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ursos Multimedia SL\Documents\Cursos\Plan de igualdad y auditoria retributiva\"/>
    </mc:Choice>
  </mc:AlternateContent>
  <xr:revisionPtr revIDLastSave="0" documentId="13_ncr:1_{28EAD654-72C9-4AF8-88DF-0D58BA0F641A}" xr6:coauthVersionLast="47" xr6:coauthVersionMax="47" xr10:uidLastSave="{00000000-0000-0000-0000-000000000000}"/>
  <bookViews>
    <workbookView xWindow="-120" yWindow="-120" windowWidth="29040" windowHeight="15840" tabRatio="947" xr2:uid="{00000000-000D-0000-FFFF-FFFF0000000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91029"/>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16" i="4" l="1"/>
  <c r="AL115" i="4"/>
  <c r="AL114" i="4"/>
  <c r="AL113" i="4"/>
  <c r="AL112" i="4"/>
  <c r="AL111" i="4"/>
  <c r="AL110" i="4"/>
  <c r="AL109" i="4"/>
  <c r="AL108" i="4"/>
  <c r="AL107" i="4"/>
  <c r="AL106" i="4"/>
  <c r="AL105" i="4"/>
  <c r="AL104" i="4"/>
  <c r="AL102" i="4"/>
  <c r="AL101" i="4"/>
  <c r="AL100" i="4"/>
  <c r="AL99" i="4"/>
  <c r="AL98" i="4"/>
  <c r="AL97" i="4"/>
  <c r="AL95" i="4"/>
  <c r="AL93" i="4"/>
  <c r="AL92" i="4"/>
  <c r="AL90" i="4"/>
  <c r="AL88" i="4"/>
  <c r="AL87" i="4"/>
  <c r="AL85" i="4"/>
  <c r="AL84" i="4"/>
  <c r="AL69" i="4"/>
  <c r="BP10" i="4" l="1"/>
  <c r="BP11" i="4"/>
  <c r="BP12" i="4"/>
  <c r="BP13" i="4"/>
  <c r="BP14" i="4"/>
  <c r="BP15" i="4"/>
  <c r="BP16" i="4"/>
  <c r="BP17" i="4"/>
  <c r="BP19" i="4"/>
  <c r="BP18" i="4"/>
  <c r="BP20" i="4"/>
  <c r="BP21" i="4"/>
  <c r="BP22" i="4"/>
  <c r="BP23" i="4"/>
  <c r="BP24" i="4"/>
  <c r="BP25" i="4"/>
  <c r="BP26" i="4"/>
  <c r="BP27" i="4"/>
  <c r="BP28" i="4"/>
  <c r="BP29" i="4"/>
  <c r="BP30" i="4"/>
  <c r="BP31" i="4"/>
  <c r="BP32" i="4"/>
  <c r="BP33" i="4"/>
  <c r="BP34" i="4"/>
  <c r="BP35" i="4"/>
  <c r="BP36" i="4"/>
  <c r="BP37" i="4"/>
  <c r="BP38" i="4"/>
  <c r="BP39" i="4"/>
  <c r="BP40" i="4"/>
  <c r="BP41" i="4"/>
  <c r="BP42" i="4"/>
  <c r="BP43" i="4"/>
  <c r="BP44" i="4"/>
  <c r="BP45" i="4"/>
  <c r="BP46" i="4"/>
  <c r="BP47" i="4"/>
  <c r="BP48" i="4"/>
  <c r="BP49" i="4"/>
  <c r="BP50" i="4"/>
  <c r="BP51" i="4"/>
  <c r="BP52" i="4"/>
  <c r="BP53" i="4"/>
  <c r="BP54" i="4"/>
  <c r="BP55" i="4"/>
  <c r="BP56" i="4"/>
  <c r="BP57" i="4"/>
  <c r="BP58" i="4"/>
  <c r="BP59" i="4"/>
  <c r="BP60" i="4"/>
  <c r="BP61" i="4"/>
  <c r="BP62" i="4"/>
  <c r="BP63" i="4"/>
  <c r="BP64" i="4"/>
  <c r="BP65" i="4"/>
  <c r="BP66" i="4"/>
  <c r="BP67" i="4"/>
  <c r="BP68" i="4"/>
  <c r="BP70" i="4"/>
  <c r="BP69" i="4"/>
  <c r="BP71" i="4"/>
  <c r="BP72" i="4"/>
  <c r="BP73" i="4"/>
  <c r="BP74" i="4"/>
  <c r="BP75" i="4"/>
  <c r="BP76" i="4"/>
  <c r="BP77" i="4"/>
  <c r="BP78" i="4"/>
  <c r="BP79" i="4"/>
  <c r="BP80" i="4"/>
  <c r="BP81" i="4"/>
  <c r="BP82" i="4"/>
  <c r="BP83" i="4"/>
  <c r="BP84" i="4"/>
  <c r="BP85" i="4"/>
  <c r="BP86" i="4"/>
  <c r="BP87" i="4"/>
  <c r="BP88" i="4"/>
  <c r="BP89" i="4"/>
  <c r="BP90" i="4"/>
  <c r="BP91" i="4"/>
  <c r="BP92" i="4"/>
  <c r="BP93" i="4"/>
  <c r="BP94" i="4"/>
  <c r="BP95" i="4"/>
  <c r="BP96" i="4"/>
  <c r="BP97" i="4"/>
  <c r="BP98" i="4"/>
  <c r="BP99" i="4"/>
  <c r="BP100" i="4"/>
  <c r="BP101" i="4"/>
  <c r="BP102" i="4"/>
  <c r="BP103" i="4"/>
  <c r="BP104" i="4"/>
  <c r="BP105" i="4"/>
  <c r="BP106" i="4"/>
  <c r="BP107" i="4"/>
  <c r="BP108" i="4"/>
  <c r="BP109" i="4"/>
  <c r="BP110" i="4"/>
  <c r="BP111" i="4"/>
  <c r="BP112" i="4"/>
  <c r="BP113" i="4"/>
  <c r="BP114" i="4"/>
  <c r="BP115" i="4"/>
  <c r="BP116" i="4"/>
  <c r="BP117" i="4"/>
  <c r="BP118" i="4"/>
  <c r="BP119" i="4"/>
  <c r="BP120" i="4"/>
  <c r="BP121" i="4"/>
  <c r="BP122" i="4"/>
  <c r="BP123" i="4"/>
  <c r="BP124" i="4"/>
  <c r="BP125" i="4"/>
  <c r="BP126" i="4"/>
  <c r="BP127" i="4"/>
  <c r="BP128" i="4"/>
  <c r="BP129" i="4"/>
  <c r="BP130" i="4"/>
  <c r="BP131" i="4"/>
  <c r="BP132" i="4"/>
  <c r="BP133" i="4"/>
  <c r="BP134" i="4"/>
  <c r="BP135" i="4"/>
  <c r="BP136" i="4"/>
  <c r="BP137" i="4"/>
  <c r="BP138" i="4"/>
  <c r="BP139" i="4"/>
  <c r="BP140" i="4"/>
  <c r="BP141" i="4"/>
  <c r="BP142" i="4"/>
  <c r="BP143" i="4"/>
  <c r="BP144" i="4"/>
  <c r="BP145" i="4"/>
  <c r="BP146" i="4"/>
  <c r="BP147" i="4"/>
  <c r="BP148" i="4"/>
  <c r="BP149" i="4"/>
  <c r="BP150" i="4"/>
  <c r="BP151" i="4"/>
  <c r="BP152" i="4"/>
  <c r="BP153" i="4"/>
  <c r="BP154" i="4"/>
  <c r="BP155" i="4"/>
  <c r="BP156" i="4"/>
  <c r="BP157" i="4"/>
  <c r="BP158" i="4"/>
  <c r="BP159" i="4"/>
  <c r="BP160" i="4"/>
  <c r="BP161" i="4"/>
  <c r="BP162" i="4"/>
  <c r="BP163" i="4"/>
  <c r="BP164" i="4"/>
  <c r="BP165" i="4"/>
  <c r="BP166" i="4"/>
  <c r="BP167" i="4"/>
  <c r="BP168" i="4"/>
  <c r="BP169" i="4"/>
  <c r="BP170" i="4"/>
  <c r="BP171" i="4"/>
  <c r="BP173" i="4"/>
  <c r="BP172" i="4"/>
  <c r="BP175" i="4"/>
  <c r="BP174" i="4"/>
  <c r="BP177" i="4"/>
  <c r="BP176" i="4"/>
  <c r="BP179" i="4"/>
  <c r="BP178" i="4"/>
  <c r="BP180" i="4"/>
  <c r="BP181" i="4"/>
  <c r="BP182" i="4"/>
  <c r="BP183" i="4"/>
  <c r="BP184" i="4"/>
  <c r="BP185" i="4"/>
  <c r="BP186" i="4"/>
  <c r="BP187" i="4"/>
  <c r="BP188" i="4"/>
  <c r="BP189" i="4"/>
  <c r="BP190" i="4"/>
  <c r="BP191" i="4"/>
  <c r="BP192" i="4"/>
  <c r="BP193" i="4"/>
  <c r="BP194" i="4"/>
  <c r="BP195" i="4"/>
  <c r="BP196" i="4"/>
  <c r="BP197" i="4"/>
  <c r="BP198" i="4"/>
  <c r="BP199" i="4"/>
  <c r="BP200" i="4"/>
  <c r="BP201" i="4"/>
  <c r="BP202" i="4"/>
  <c r="BP203" i="4"/>
  <c r="BP204" i="4"/>
  <c r="BP205" i="4"/>
  <c r="BP206" i="4"/>
  <c r="BP207" i="4"/>
  <c r="BP208" i="4"/>
  <c r="BP209" i="4"/>
  <c r="BP210" i="4"/>
  <c r="BP211" i="4"/>
  <c r="BP212" i="4"/>
  <c r="BP213" i="4"/>
  <c r="BP214" i="4"/>
  <c r="BP215" i="4"/>
  <c r="BP216" i="4"/>
  <c r="BP217" i="4"/>
  <c r="BP218" i="4"/>
  <c r="BP219" i="4"/>
  <c r="BP220" i="4"/>
  <c r="BP221" i="4"/>
  <c r="BP222" i="4"/>
  <c r="BP223" i="4"/>
  <c r="BP224" i="4"/>
  <c r="BP225" i="4"/>
  <c r="BP226" i="4"/>
  <c r="BP227" i="4"/>
  <c r="BP228" i="4"/>
  <c r="BP229" i="4"/>
  <c r="BP230" i="4"/>
  <c r="BP231" i="4"/>
  <c r="BP232" i="4"/>
  <c r="BP233" i="4"/>
  <c r="BP234" i="4"/>
  <c r="BP235" i="4"/>
  <c r="BP236" i="4"/>
  <c r="BP237" i="4"/>
  <c r="BP238" i="4"/>
  <c r="BP239" i="4"/>
  <c r="BP240" i="4"/>
  <c r="BP241" i="4"/>
  <c r="BP242" i="4"/>
  <c r="BP243" i="4"/>
  <c r="BP244" i="4"/>
  <c r="BP245" i="4"/>
  <c r="BP246" i="4"/>
  <c r="BP247" i="4"/>
  <c r="BP248" i="4"/>
  <c r="BP249" i="4"/>
  <c r="BP250" i="4"/>
  <c r="BP251" i="4"/>
  <c r="BP252" i="4"/>
  <c r="BP253" i="4"/>
  <c r="BP254" i="4"/>
  <c r="BP255" i="4"/>
  <c r="BP256" i="4"/>
  <c r="BP257" i="4"/>
  <c r="BP258" i="4"/>
  <c r="BP259" i="4"/>
  <c r="BP260" i="4"/>
  <c r="BP261" i="4"/>
  <c r="BP262" i="4"/>
  <c r="BP263" i="4"/>
  <c r="BP264" i="4"/>
  <c r="BP265" i="4"/>
  <c r="BP266" i="4"/>
  <c r="BP267" i="4"/>
  <c r="BP268" i="4"/>
  <c r="BP269" i="4"/>
  <c r="BP270" i="4"/>
  <c r="BP271" i="4"/>
  <c r="BP272" i="4"/>
  <c r="BP273" i="4"/>
  <c r="BP274" i="4"/>
  <c r="BP275" i="4"/>
  <c r="BP276" i="4"/>
  <c r="BP277" i="4"/>
  <c r="BP278" i="4"/>
  <c r="BP279" i="4"/>
  <c r="BP280" i="4"/>
  <c r="BP281" i="4"/>
  <c r="BP282" i="4"/>
  <c r="CC10" i="4"/>
  <c r="CC11" i="4"/>
  <c r="CC12" i="4"/>
  <c r="CC13" i="4"/>
  <c r="CC14" i="4"/>
  <c r="CC15" i="4"/>
  <c r="CC16" i="4"/>
  <c r="CC17" i="4"/>
  <c r="CC19" i="4"/>
  <c r="CC18"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C62" i="4"/>
  <c r="CC63" i="4"/>
  <c r="CC64" i="4"/>
  <c r="CC65" i="4"/>
  <c r="CC66" i="4"/>
  <c r="CC67" i="4"/>
  <c r="CC68" i="4"/>
  <c r="CC70" i="4"/>
  <c r="CC69" i="4"/>
  <c r="CC71" i="4"/>
  <c r="CC72" i="4"/>
  <c r="CC73" i="4"/>
  <c r="CC74" i="4"/>
  <c r="CC75" i="4"/>
  <c r="CC76" i="4"/>
  <c r="CC77" i="4"/>
  <c r="CC78" i="4"/>
  <c r="CC79" i="4"/>
  <c r="CC80" i="4"/>
  <c r="CC81" i="4"/>
  <c r="CC82" i="4"/>
  <c r="CC83" i="4"/>
  <c r="CC84" i="4"/>
  <c r="CC85" i="4"/>
  <c r="CC86" i="4"/>
  <c r="CC87" i="4"/>
  <c r="CC88" i="4"/>
  <c r="CC89" i="4"/>
  <c r="CC90" i="4"/>
  <c r="CC91" i="4"/>
  <c r="CC92" i="4"/>
  <c r="CC93" i="4"/>
  <c r="CC94" i="4"/>
  <c r="CC95" i="4"/>
  <c r="CC96" i="4"/>
  <c r="CC97" i="4"/>
  <c r="CC98" i="4"/>
  <c r="CC99" i="4"/>
  <c r="CC100" i="4"/>
  <c r="CC101" i="4"/>
  <c r="CC102" i="4"/>
  <c r="CC103" i="4"/>
  <c r="CC104" i="4"/>
  <c r="CC105" i="4"/>
  <c r="CC106" i="4"/>
  <c r="CC107" i="4"/>
  <c r="CC108" i="4"/>
  <c r="CC109" i="4"/>
  <c r="CC110" i="4"/>
  <c r="CC111" i="4"/>
  <c r="CC112" i="4"/>
  <c r="CC113" i="4"/>
  <c r="CC114" i="4"/>
  <c r="CC115" i="4"/>
  <c r="CC116" i="4"/>
  <c r="CC117" i="4"/>
  <c r="CC118" i="4"/>
  <c r="CC119" i="4"/>
  <c r="CC120" i="4"/>
  <c r="CC121" i="4"/>
  <c r="CC122" i="4"/>
  <c r="CC123" i="4"/>
  <c r="CC124" i="4"/>
  <c r="CC125" i="4"/>
  <c r="CC126" i="4"/>
  <c r="CC127" i="4"/>
  <c r="CC128" i="4"/>
  <c r="CC129" i="4"/>
  <c r="CC130" i="4"/>
  <c r="CC131" i="4"/>
  <c r="CC132" i="4"/>
  <c r="CC133" i="4"/>
  <c r="CC134" i="4"/>
  <c r="CC135" i="4"/>
  <c r="CC136" i="4"/>
  <c r="CC137" i="4"/>
  <c r="CC138" i="4"/>
  <c r="CC139" i="4"/>
  <c r="CC140" i="4"/>
  <c r="CC141" i="4"/>
  <c r="CC142" i="4"/>
  <c r="CC143" i="4"/>
  <c r="CC144" i="4"/>
  <c r="CC145" i="4"/>
  <c r="CC146" i="4"/>
  <c r="CC147" i="4"/>
  <c r="CC148" i="4"/>
  <c r="CC149" i="4"/>
  <c r="CC150" i="4"/>
  <c r="CC151" i="4"/>
  <c r="CC152" i="4"/>
  <c r="CC153" i="4"/>
  <c r="CC154" i="4"/>
  <c r="CC155" i="4"/>
  <c r="CC156" i="4"/>
  <c r="CC157" i="4"/>
  <c r="CC158" i="4"/>
  <c r="CC159" i="4"/>
  <c r="CC160" i="4"/>
  <c r="CC161" i="4"/>
  <c r="CC162" i="4"/>
  <c r="CC163" i="4"/>
  <c r="CC164" i="4"/>
  <c r="CC165" i="4"/>
  <c r="CC166" i="4"/>
  <c r="CC167" i="4"/>
  <c r="CC168" i="4"/>
  <c r="CC169" i="4"/>
  <c r="CC170" i="4"/>
  <c r="CC171" i="4"/>
  <c r="CC173" i="4"/>
  <c r="CC172" i="4"/>
  <c r="CC175" i="4"/>
  <c r="CC174" i="4"/>
  <c r="CC177" i="4"/>
  <c r="CC176" i="4"/>
  <c r="CC179" i="4"/>
  <c r="CC178" i="4"/>
  <c r="CC180" i="4"/>
  <c r="CC181" i="4"/>
  <c r="CC182" i="4"/>
  <c r="CC183" i="4"/>
  <c r="CC184" i="4"/>
  <c r="CC185" i="4"/>
  <c r="CC186" i="4"/>
  <c r="CC187" i="4"/>
  <c r="CC188" i="4"/>
  <c r="CC189" i="4"/>
  <c r="CC190" i="4"/>
  <c r="CC191" i="4"/>
  <c r="CC192" i="4"/>
  <c r="CC193" i="4"/>
  <c r="CC194" i="4"/>
  <c r="CC195" i="4"/>
  <c r="CC196" i="4"/>
  <c r="CC197" i="4"/>
  <c r="CC198" i="4"/>
  <c r="CC199" i="4"/>
  <c r="CC200" i="4"/>
  <c r="CC201" i="4"/>
  <c r="CC202" i="4"/>
  <c r="CC203" i="4"/>
  <c r="CC204" i="4"/>
  <c r="CC205" i="4"/>
  <c r="CC206" i="4"/>
  <c r="CC207" i="4"/>
  <c r="CC208" i="4"/>
  <c r="CC209" i="4"/>
  <c r="CC210" i="4"/>
  <c r="CC211" i="4"/>
  <c r="CC212" i="4"/>
  <c r="CC213" i="4"/>
  <c r="CC214" i="4"/>
  <c r="CC215" i="4"/>
  <c r="CC216" i="4"/>
  <c r="CC217" i="4"/>
  <c r="CC218" i="4"/>
  <c r="CC219" i="4"/>
  <c r="CC220" i="4"/>
  <c r="CC221" i="4"/>
  <c r="CC222" i="4"/>
  <c r="CC223" i="4"/>
  <c r="CC224" i="4"/>
  <c r="CC225" i="4"/>
  <c r="CC226" i="4"/>
  <c r="CC227" i="4"/>
  <c r="CC228" i="4"/>
  <c r="CC229" i="4"/>
  <c r="CC230" i="4"/>
  <c r="CC231" i="4"/>
  <c r="CC232" i="4"/>
  <c r="CC233" i="4"/>
  <c r="CC234" i="4"/>
  <c r="CC235" i="4"/>
  <c r="CC236" i="4"/>
  <c r="CC237" i="4"/>
  <c r="CC238" i="4"/>
  <c r="CC239" i="4"/>
  <c r="CC240" i="4"/>
  <c r="CC241" i="4"/>
  <c r="CC242" i="4"/>
  <c r="CC243" i="4"/>
  <c r="CC244" i="4"/>
  <c r="CC245" i="4"/>
  <c r="CC246" i="4"/>
  <c r="CC247" i="4"/>
  <c r="CC248" i="4"/>
  <c r="CC249" i="4"/>
  <c r="CC250" i="4"/>
  <c r="CC251" i="4"/>
  <c r="CC252" i="4"/>
  <c r="CC253" i="4"/>
  <c r="CC254" i="4"/>
  <c r="CC255" i="4"/>
  <c r="CC256" i="4"/>
  <c r="CC257" i="4"/>
  <c r="CC258" i="4"/>
  <c r="CC259" i="4"/>
  <c r="CC260" i="4"/>
  <c r="CC261" i="4"/>
  <c r="CC262" i="4"/>
  <c r="CC263" i="4"/>
  <c r="CC264" i="4"/>
  <c r="CC265" i="4"/>
  <c r="CC266" i="4"/>
  <c r="CC267" i="4"/>
  <c r="CC268" i="4"/>
  <c r="CC269" i="4"/>
  <c r="CC270" i="4"/>
  <c r="CC271" i="4"/>
  <c r="CC272" i="4"/>
  <c r="CC273" i="4"/>
  <c r="CC274" i="4"/>
  <c r="CC275" i="4"/>
  <c r="CC276" i="4"/>
  <c r="CC277" i="4"/>
  <c r="CC278" i="4"/>
  <c r="CC279" i="4"/>
  <c r="CC280" i="4"/>
  <c r="CC281" i="4"/>
  <c r="CC282" i="4"/>
  <c r="CD10" i="4"/>
  <c r="CD11" i="4"/>
  <c r="CD12" i="4"/>
  <c r="CD13" i="4"/>
  <c r="CD14" i="4"/>
  <c r="CD15" i="4"/>
  <c r="CD16" i="4"/>
  <c r="CD17" i="4"/>
  <c r="CD19" i="4"/>
  <c r="CD18" i="4"/>
  <c r="CD20" i="4"/>
  <c r="CD21" i="4"/>
  <c r="CD22" i="4"/>
  <c r="CD23" i="4"/>
  <c r="CD24" i="4"/>
  <c r="CD25" i="4"/>
  <c r="CD26" i="4"/>
  <c r="CD27" i="4"/>
  <c r="CD28" i="4"/>
  <c r="CD29" i="4"/>
  <c r="CD30" i="4"/>
  <c r="CD31" i="4"/>
  <c r="CD32" i="4"/>
  <c r="CD33" i="4"/>
  <c r="CD34" i="4"/>
  <c r="CD35" i="4"/>
  <c r="CD36" i="4"/>
  <c r="CD37" i="4"/>
  <c r="CD38" i="4"/>
  <c r="CD39" i="4"/>
  <c r="CD40" i="4"/>
  <c r="CD41" i="4"/>
  <c r="CD42" i="4"/>
  <c r="CD43" i="4"/>
  <c r="CD44" i="4"/>
  <c r="CD45" i="4"/>
  <c r="CD46" i="4"/>
  <c r="CD47" i="4"/>
  <c r="CD48" i="4"/>
  <c r="CD49" i="4"/>
  <c r="CD50" i="4"/>
  <c r="CD51" i="4"/>
  <c r="CD52" i="4"/>
  <c r="CD53" i="4"/>
  <c r="CD54" i="4"/>
  <c r="CD55" i="4"/>
  <c r="CD56" i="4"/>
  <c r="CD57" i="4"/>
  <c r="CD58" i="4"/>
  <c r="CD59" i="4"/>
  <c r="CD60" i="4"/>
  <c r="CD61" i="4"/>
  <c r="CD62" i="4"/>
  <c r="CD63" i="4"/>
  <c r="CD64" i="4"/>
  <c r="CD65" i="4"/>
  <c r="CD66" i="4"/>
  <c r="CD67" i="4"/>
  <c r="CD68" i="4"/>
  <c r="CD70" i="4"/>
  <c r="CD69" i="4"/>
  <c r="CD71" i="4"/>
  <c r="CD72" i="4"/>
  <c r="CD73" i="4"/>
  <c r="CD74" i="4"/>
  <c r="CD75" i="4"/>
  <c r="CD76" i="4"/>
  <c r="CD77" i="4"/>
  <c r="CD78" i="4"/>
  <c r="CD79" i="4"/>
  <c r="CD80" i="4"/>
  <c r="CD81" i="4"/>
  <c r="CD82" i="4"/>
  <c r="CD83" i="4"/>
  <c r="CD84" i="4"/>
  <c r="CD85" i="4"/>
  <c r="CD86" i="4"/>
  <c r="CD87" i="4"/>
  <c r="CD88" i="4"/>
  <c r="CD89" i="4"/>
  <c r="CD90" i="4"/>
  <c r="CD91" i="4"/>
  <c r="CD92" i="4"/>
  <c r="CD93" i="4"/>
  <c r="CD94" i="4"/>
  <c r="CD95" i="4"/>
  <c r="CD96" i="4"/>
  <c r="CD97" i="4"/>
  <c r="CD98" i="4"/>
  <c r="CD99" i="4"/>
  <c r="CD100" i="4"/>
  <c r="CD101" i="4"/>
  <c r="CD102" i="4"/>
  <c r="CD103" i="4"/>
  <c r="CD104" i="4"/>
  <c r="CD105" i="4"/>
  <c r="CD106" i="4"/>
  <c r="CD107" i="4"/>
  <c r="CD108" i="4"/>
  <c r="CD109" i="4"/>
  <c r="CD110" i="4"/>
  <c r="CD111" i="4"/>
  <c r="CD112" i="4"/>
  <c r="CD113" i="4"/>
  <c r="CD114" i="4"/>
  <c r="CD115" i="4"/>
  <c r="CD116" i="4"/>
  <c r="CD117" i="4"/>
  <c r="CD118" i="4"/>
  <c r="CD119" i="4"/>
  <c r="CD120" i="4"/>
  <c r="CD121" i="4"/>
  <c r="CD122" i="4"/>
  <c r="CD123" i="4"/>
  <c r="CD124" i="4"/>
  <c r="CD125" i="4"/>
  <c r="CD126" i="4"/>
  <c r="CD127" i="4"/>
  <c r="CD128" i="4"/>
  <c r="CD129" i="4"/>
  <c r="CD130" i="4"/>
  <c r="CD131" i="4"/>
  <c r="CD132" i="4"/>
  <c r="CD133" i="4"/>
  <c r="CD134" i="4"/>
  <c r="CD135" i="4"/>
  <c r="CD136" i="4"/>
  <c r="CD137" i="4"/>
  <c r="CD138" i="4"/>
  <c r="CD139" i="4"/>
  <c r="CD140" i="4"/>
  <c r="CD141" i="4"/>
  <c r="CD142" i="4"/>
  <c r="CD143" i="4"/>
  <c r="CD144" i="4"/>
  <c r="CD145" i="4"/>
  <c r="CD146" i="4"/>
  <c r="CD147" i="4"/>
  <c r="CD148" i="4"/>
  <c r="CD149" i="4"/>
  <c r="CD150" i="4"/>
  <c r="CD151" i="4"/>
  <c r="CD152" i="4"/>
  <c r="CD153" i="4"/>
  <c r="CD154" i="4"/>
  <c r="CD155" i="4"/>
  <c r="CD156" i="4"/>
  <c r="CD157" i="4"/>
  <c r="CD158" i="4"/>
  <c r="CD159" i="4"/>
  <c r="CD160" i="4"/>
  <c r="CD161" i="4"/>
  <c r="CD162" i="4"/>
  <c r="CD163" i="4"/>
  <c r="CD164" i="4"/>
  <c r="CD165" i="4"/>
  <c r="CD166" i="4"/>
  <c r="CD167" i="4"/>
  <c r="CD168" i="4"/>
  <c r="CD169" i="4"/>
  <c r="CD170" i="4"/>
  <c r="CD171" i="4"/>
  <c r="CD173" i="4"/>
  <c r="CD172" i="4"/>
  <c r="CD175" i="4"/>
  <c r="CD174" i="4"/>
  <c r="CD177" i="4"/>
  <c r="CD176" i="4"/>
  <c r="CD179" i="4"/>
  <c r="CD178" i="4"/>
  <c r="CD180" i="4"/>
  <c r="CD181" i="4"/>
  <c r="CD182" i="4"/>
  <c r="CD183" i="4"/>
  <c r="CD184" i="4"/>
  <c r="CD185" i="4"/>
  <c r="CD186" i="4"/>
  <c r="CD187" i="4"/>
  <c r="CD188" i="4"/>
  <c r="CD189" i="4"/>
  <c r="CD190" i="4"/>
  <c r="CD191" i="4"/>
  <c r="CD192" i="4"/>
  <c r="CD193" i="4"/>
  <c r="CD194" i="4"/>
  <c r="CD195" i="4"/>
  <c r="CD196" i="4"/>
  <c r="CD197" i="4"/>
  <c r="CD198" i="4"/>
  <c r="CD199" i="4"/>
  <c r="CD200" i="4"/>
  <c r="CD201" i="4"/>
  <c r="CD202" i="4"/>
  <c r="CD203" i="4"/>
  <c r="CD204" i="4"/>
  <c r="CD205" i="4"/>
  <c r="CD206" i="4"/>
  <c r="CD207" i="4"/>
  <c r="CD208" i="4"/>
  <c r="CD209" i="4"/>
  <c r="CD210" i="4"/>
  <c r="CD211" i="4"/>
  <c r="CD212" i="4"/>
  <c r="CD213" i="4"/>
  <c r="CD214" i="4"/>
  <c r="CD215" i="4"/>
  <c r="CD216" i="4"/>
  <c r="CD217" i="4"/>
  <c r="CD218" i="4"/>
  <c r="CD219" i="4"/>
  <c r="CD220" i="4"/>
  <c r="CD221" i="4"/>
  <c r="CD222" i="4"/>
  <c r="CD223" i="4"/>
  <c r="CD224" i="4"/>
  <c r="CD225" i="4"/>
  <c r="CD226" i="4"/>
  <c r="CD227" i="4"/>
  <c r="CD228" i="4"/>
  <c r="CD229" i="4"/>
  <c r="CD230" i="4"/>
  <c r="CD231" i="4"/>
  <c r="CD232" i="4"/>
  <c r="CD233" i="4"/>
  <c r="CD234" i="4"/>
  <c r="CD235" i="4"/>
  <c r="CD236" i="4"/>
  <c r="CD237" i="4"/>
  <c r="CD238" i="4"/>
  <c r="CD239" i="4"/>
  <c r="CD240" i="4"/>
  <c r="CD241" i="4"/>
  <c r="CD242" i="4"/>
  <c r="CD243" i="4"/>
  <c r="CD244" i="4"/>
  <c r="CD245" i="4"/>
  <c r="CD246" i="4"/>
  <c r="CD247" i="4"/>
  <c r="CD248" i="4"/>
  <c r="CD249" i="4"/>
  <c r="CD250" i="4"/>
  <c r="CD251" i="4"/>
  <c r="CD252" i="4"/>
  <c r="CD253" i="4"/>
  <c r="CD254" i="4"/>
  <c r="CD255" i="4"/>
  <c r="CD256" i="4"/>
  <c r="CD257" i="4"/>
  <c r="CD258" i="4"/>
  <c r="CD259" i="4"/>
  <c r="CD260" i="4"/>
  <c r="CD261" i="4"/>
  <c r="CD262" i="4"/>
  <c r="CD263" i="4"/>
  <c r="CD264" i="4"/>
  <c r="CD265" i="4"/>
  <c r="CD266" i="4"/>
  <c r="CD267" i="4"/>
  <c r="CD268" i="4"/>
  <c r="CD269" i="4"/>
  <c r="CD270" i="4"/>
  <c r="CD271" i="4"/>
  <c r="CD272" i="4"/>
  <c r="CD273" i="4"/>
  <c r="CD274" i="4"/>
  <c r="CD275" i="4"/>
  <c r="CD276" i="4"/>
  <c r="CD277" i="4"/>
  <c r="CD278" i="4"/>
  <c r="CD279" i="4"/>
  <c r="CD280" i="4"/>
  <c r="CD281" i="4"/>
  <c r="CD282" i="4"/>
  <c r="CF10" i="4"/>
  <c r="CF11" i="4"/>
  <c r="CF12" i="4"/>
  <c r="CF13" i="4"/>
  <c r="CF14" i="4"/>
  <c r="CF15" i="4"/>
  <c r="CF16" i="4"/>
  <c r="CF17" i="4"/>
  <c r="CF19" i="4"/>
  <c r="CF18" i="4"/>
  <c r="CF20" i="4"/>
  <c r="CF21" i="4"/>
  <c r="CF22" i="4"/>
  <c r="CF23" i="4"/>
  <c r="CF24" i="4"/>
  <c r="CF25" i="4"/>
  <c r="CF26" i="4"/>
  <c r="CF27" i="4"/>
  <c r="CF28" i="4"/>
  <c r="CF29" i="4"/>
  <c r="CF30" i="4"/>
  <c r="CF31" i="4"/>
  <c r="CF32" i="4"/>
  <c r="CF33" i="4"/>
  <c r="CF34" i="4"/>
  <c r="CF35" i="4"/>
  <c r="CF36" i="4"/>
  <c r="CF37" i="4"/>
  <c r="CF38" i="4"/>
  <c r="CF39" i="4"/>
  <c r="CF40" i="4"/>
  <c r="CF41" i="4"/>
  <c r="CF42" i="4"/>
  <c r="CF43" i="4"/>
  <c r="CF44" i="4"/>
  <c r="CF45" i="4"/>
  <c r="CF46" i="4"/>
  <c r="CF47" i="4"/>
  <c r="CF48" i="4"/>
  <c r="CF49" i="4"/>
  <c r="CF50" i="4"/>
  <c r="CF51" i="4"/>
  <c r="CF52" i="4"/>
  <c r="CF53" i="4"/>
  <c r="CF54" i="4"/>
  <c r="CF55" i="4"/>
  <c r="CF56" i="4"/>
  <c r="CF57" i="4"/>
  <c r="CF58" i="4"/>
  <c r="CF59" i="4"/>
  <c r="CF60" i="4"/>
  <c r="CF61" i="4"/>
  <c r="CF62" i="4"/>
  <c r="CF63" i="4"/>
  <c r="CF64" i="4"/>
  <c r="CF65" i="4"/>
  <c r="CF66" i="4"/>
  <c r="CF67" i="4"/>
  <c r="CF68" i="4"/>
  <c r="CF70" i="4"/>
  <c r="CF69" i="4"/>
  <c r="CF71" i="4"/>
  <c r="CF72" i="4"/>
  <c r="CF73" i="4"/>
  <c r="CF74" i="4"/>
  <c r="CF75" i="4"/>
  <c r="CF76" i="4"/>
  <c r="CF77" i="4"/>
  <c r="CF78" i="4"/>
  <c r="CF79" i="4"/>
  <c r="CF80" i="4"/>
  <c r="CF81" i="4"/>
  <c r="CF82" i="4"/>
  <c r="CF83" i="4"/>
  <c r="CF84" i="4"/>
  <c r="CF85" i="4"/>
  <c r="CF86" i="4"/>
  <c r="CF87" i="4"/>
  <c r="CF88" i="4"/>
  <c r="CF89" i="4"/>
  <c r="CF90" i="4"/>
  <c r="CF91" i="4"/>
  <c r="CF92" i="4"/>
  <c r="CF93" i="4"/>
  <c r="CF94" i="4"/>
  <c r="CF95" i="4"/>
  <c r="CF96" i="4"/>
  <c r="CF97" i="4"/>
  <c r="CF98" i="4"/>
  <c r="CF99" i="4"/>
  <c r="CF100" i="4"/>
  <c r="CF101" i="4"/>
  <c r="CF102" i="4"/>
  <c r="CF103" i="4"/>
  <c r="CF104" i="4"/>
  <c r="CF105" i="4"/>
  <c r="CF106" i="4"/>
  <c r="CF107" i="4"/>
  <c r="CF108" i="4"/>
  <c r="CF109" i="4"/>
  <c r="CF110" i="4"/>
  <c r="CF111" i="4"/>
  <c r="CF112" i="4"/>
  <c r="CF113" i="4"/>
  <c r="CF114" i="4"/>
  <c r="CF115" i="4"/>
  <c r="CF116" i="4"/>
  <c r="CF117" i="4"/>
  <c r="CF118" i="4"/>
  <c r="CF119" i="4"/>
  <c r="CF120" i="4"/>
  <c r="CF121" i="4"/>
  <c r="CF122" i="4"/>
  <c r="CF123" i="4"/>
  <c r="CF124" i="4"/>
  <c r="CF125" i="4"/>
  <c r="CF126" i="4"/>
  <c r="CF127" i="4"/>
  <c r="CF128" i="4"/>
  <c r="CF129" i="4"/>
  <c r="CF130" i="4"/>
  <c r="CF131" i="4"/>
  <c r="CF132" i="4"/>
  <c r="CF133" i="4"/>
  <c r="CF134" i="4"/>
  <c r="CF135" i="4"/>
  <c r="CF136" i="4"/>
  <c r="CF137" i="4"/>
  <c r="CF138" i="4"/>
  <c r="CF139" i="4"/>
  <c r="CF140" i="4"/>
  <c r="CF141" i="4"/>
  <c r="CF142" i="4"/>
  <c r="CF143" i="4"/>
  <c r="CF144" i="4"/>
  <c r="CF145" i="4"/>
  <c r="CF146" i="4"/>
  <c r="CF147" i="4"/>
  <c r="CF148" i="4"/>
  <c r="CF149" i="4"/>
  <c r="CF150" i="4"/>
  <c r="CF151" i="4"/>
  <c r="CF152" i="4"/>
  <c r="CF153" i="4"/>
  <c r="CF154" i="4"/>
  <c r="CF155" i="4"/>
  <c r="CF156" i="4"/>
  <c r="CF157" i="4"/>
  <c r="CF158" i="4"/>
  <c r="CF159" i="4"/>
  <c r="CF160" i="4"/>
  <c r="CF161" i="4"/>
  <c r="CF162" i="4"/>
  <c r="CF163" i="4"/>
  <c r="CF164" i="4"/>
  <c r="CF165" i="4"/>
  <c r="CF166" i="4"/>
  <c r="CF167" i="4"/>
  <c r="CF168" i="4"/>
  <c r="CF169" i="4"/>
  <c r="CF170" i="4"/>
  <c r="CF171" i="4"/>
  <c r="CF173" i="4"/>
  <c r="CF172" i="4"/>
  <c r="CF175" i="4"/>
  <c r="CF174" i="4"/>
  <c r="CF177" i="4"/>
  <c r="CF176" i="4"/>
  <c r="CF179" i="4"/>
  <c r="CF178" i="4"/>
  <c r="CF180" i="4"/>
  <c r="CF181" i="4"/>
  <c r="CF182" i="4"/>
  <c r="CF183" i="4"/>
  <c r="CF184" i="4"/>
  <c r="CF185" i="4"/>
  <c r="CF186" i="4"/>
  <c r="CF187" i="4"/>
  <c r="CF188" i="4"/>
  <c r="CF189" i="4"/>
  <c r="CF190" i="4"/>
  <c r="CF191" i="4"/>
  <c r="CF192" i="4"/>
  <c r="CF193" i="4"/>
  <c r="CF194" i="4"/>
  <c r="CF195" i="4"/>
  <c r="CF196" i="4"/>
  <c r="CF197" i="4"/>
  <c r="CF198" i="4"/>
  <c r="CF199" i="4"/>
  <c r="CF200" i="4"/>
  <c r="CF201" i="4"/>
  <c r="CF202" i="4"/>
  <c r="CF203" i="4"/>
  <c r="CF204" i="4"/>
  <c r="CF205" i="4"/>
  <c r="CF206" i="4"/>
  <c r="CF207" i="4"/>
  <c r="CF208" i="4"/>
  <c r="CF209" i="4"/>
  <c r="CF210" i="4"/>
  <c r="CF211" i="4"/>
  <c r="CF212" i="4"/>
  <c r="CF213" i="4"/>
  <c r="CF214" i="4"/>
  <c r="CF215" i="4"/>
  <c r="CF216" i="4"/>
  <c r="CF217" i="4"/>
  <c r="CF218" i="4"/>
  <c r="CF219" i="4"/>
  <c r="CF220" i="4"/>
  <c r="CF221" i="4"/>
  <c r="CF222" i="4"/>
  <c r="CF223" i="4"/>
  <c r="CF224" i="4"/>
  <c r="CF225" i="4"/>
  <c r="CF226" i="4"/>
  <c r="CF227" i="4"/>
  <c r="CF228" i="4"/>
  <c r="CF229" i="4"/>
  <c r="CF230" i="4"/>
  <c r="CF231" i="4"/>
  <c r="CF232" i="4"/>
  <c r="CF233" i="4"/>
  <c r="CF234" i="4"/>
  <c r="CF235" i="4"/>
  <c r="CF236" i="4"/>
  <c r="CF237" i="4"/>
  <c r="CF238" i="4"/>
  <c r="CF239" i="4"/>
  <c r="CF240" i="4"/>
  <c r="CF241" i="4"/>
  <c r="CF242" i="4"/>
  <c r="CF243" i="4"/>
  <c r="CF244" i="4"/>
  <c r="CF245" i="4"/>
  <c r="CF246" i="4"/>
  <c r="CF247" i="4"/>
  <c r="CF248" i="4"/>
  <c r="CF249" i="4"/>
  <c r="CF250" i="4"/>
  <c r="CF251" i="4"/>
  <c r="CF252" i="4"/>
  <c r="CF253" i="4"/>
  <c r="CF254" i="4"/>
  <c r="CF255" i="4"/>
  <c r="CF256" i="4"/>
  <c r="CF257" i="4"/>
  <c r="CF258" i="4"/>
  <c r="CF259" i="4"/>
  <c r="CF260" i="4"/>
  <c r="CF261" i="4"/>
  <c r="CF262" i="4"/>
  <c r="CF263" i="4"/>
  <c r="CF264" i="4"/>
  <c r="CF265" i="4"/>
  <c r="CF266" i="4"/>
  <c r="CF267" i="4"/>
  <c r="CF268" i="4"/>
  <c r="CF269" i="4"/>
  <c r="CF270" i="4"/>
  <c r="CF271" i="4"/>
  <c r="CF272" i="4"/>
  <c r="CF273" i="4"/>
  <c r="CF274" i="4"/>
  <c r="CF275" i="4"/>
  <c r="CF276" i="4"/>
  <c r="CF277" i="4"/>
  <c r="CF278" i="4"/>
  <c r="CF279" i="4"/>
  <c r="CF280" i="4"/>
  <c r="CF281" i="4"/>
  <c r="CF282" i="4"/>
  <c r="CI10" i="4"/>
  <c r="CI11" i="4"/>
  <c r="CI12" i="4"/>
  <c r="CI13" i="4"/>
  <c r="CI14" i="4"/>
  <c r="CI15" i="4"/>
  <c r="CI16" i="4"/>
  <c r="CI17" i="4"/>
  <c r="CI19" i="4"/>
  <c r="CI18"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I62" i="4"/>
  <c r="CI63" i="4"/>
  <c r="CI64" i="4"/>
  <c r="CI65" i="4"/>
  <c r="CI66" i="4"/>
  <c r="CI67" i="4"/>
  <c r="CI68" i="4"/>
  <c r="CI70" i="4"/>
  <c r="CI69" i="4"/>
  <c r="CI71" i="4"/>
  <c r="CI72" i="4"/>
  <c r="CI73" i="4"/>
  <c r="CI74" i="4"/>
  <c r="CI75" i="4"/>
  <c r="CI76" i="4"/>
  <c r="CI77" i="4"/>
  <c r="CI78" i="4"/>
  <c r="CI79" i="4"/>
  <c r="CI80" i="4"/>
  <c r="CI81" i="4"/>
  <c r="CI82" i="4"/>
  <c r="CI83" i="4"/>
  <c r="CI84" i="4"/>
  <c r="CI85" i="4"/>
  <c r="CI86" i="4"/>
  <c r="CI87" i="4"/>
  <c r="CI88" i="4"/>
  <c r="CI89" i="4"/>
  <c r="CI90" i="4"/>
  <c r="CI91" i="4"/>
  <c r="CI92" i="4"/>
  <c r="CI93" i="4"/>
  <c r="CI94" i="4"/>
  <c r="CI95" i="4"/>
  <c r="CI96" i="4"/>
  <c r="CI97" i="4"/>
  <c r="CI98" i="4"/>
  <c r="CI99" i="4"/>
  <c r="CI100" i="4"/>
  <c r="CI101" i="4"/>
  <c r="CI102" i="4"/>
  <c r="CI103" i="4"/>
  <c r="CI104" i="4"/>
  <c r="CI105" i="4"/>
  <c r="CI106" i="4"/>
  <c r="CI107" i="4"/>
  <c r="CI108" i="4"/>
  <c r="CI109" i="4"/>
  <c r="CI110" i="4"/>
  <c r="CI111" i="4"/>
  <c r="CI112" i="4"/>
  <c r="CI113" i="4"/>
  <c r="CI114" i="4"/>
  <c r="CI115" i="4"/>
  <c r="CI116" i="4"/>
  <c r="CI117" i="4"/>
  <c r="CI118" i="4"/>
  <c r="CI119" i="4"/>
  <c r="CI120" i="4"/>
  <c r="CI121" i="4"/>
  <c r="CI122" i="4"/>
  <c r="CI123" i="4"/>
  <c r="CI124" i="4"/>
  <c r="CI125" i="4"/>
  <c r="CI126" i="4"/>
  <c r="CI127" i="4"/>
  <c r="CI128" i="4"/>
  <c r="CI129" i="4"/>
  <c r="CI130" i="4"/>
  <c r="CI131" i="4"/>
  <c r="CI132" i="4"/>
  <c r="CI133" i="4"/>
  <c r="CI134" i="4"/>
  <c r="CI135" i="4"/>
  <c r="CI136" i="4"/>
  <c r="CI137" i="4"/>
  <c r="CI138" i="4"/>
  <c r="CI139" i="4"/>
  <c r="CI140" i="4"/>
  <c r="CI141" i="4"/>
  <c r="CI142" i="4"/>
  <c r="CI143" i="4"/>
  <c r="CI144" i="4"/>
  <c r="CI145" i="4"/>
  <c r="CI146" i="4"/>
  <c r="CI147" i="4"/>
  <c r="CI148" i="4"/>
  <c r="CI149" i="4"/>
  <c r="CI150" i="4"/>
  <c r="CI151" i="4"/>
  <c r="CI152" i="4"/>
  <c r="CI153" i="4"/>
  <c r="CI154" i="4"/>
  <c r="CI155" i="4"/>
  <c r="CI156" i="4"/>
  <c r="CI157" i="4"/>
  <c r="CI158" i="4"/>
  <c r="CI159" i="4"/>
  <c r="CI160" i="4"/>
  <c r="CI161" i="4"/>
  <c r="CI162" i="4"/>
  <c r="CI163" i="4"/>
  <c r="CI164" i="4"/>
  <c r="CI165" i="4"/>
  <c r="CI166" i="4"/>
  <c r="CI167" i="4"/>
  <c r="CI168" i="4"/>
  <c r="CI169" i="4"/>
  <c r="CI170" i="4"/>
  <c r="CI171" i="4"/>
  <c r="CI173" i="4"/>
  <c r="CI172" i="4"/>
  <c r="CI175" i="4"/>
  <c r="CI174" i="4"/>
  <c r="CI177" i="4"/>
  <c r="CI176" i="4"/>
  <c r="CI179" i="4"/>
  <c r="CI178" i="4"/>
  <c r="CI180" i="4"/>
  <c r="CI181" i="4"/>
  <c r="CI182" i="4"/>
  <c r="CI183" i="4"/>
  <c r="CI184" i="4"/>
  <c r="CI185" i="4"/>
  <c r="CI186" i="4"/>
  <c r="CI187" i="4"/>
  <c r="CI188" i="4"/>
  <c r="CI189" i="4"/>
  <c r="CI190" i="4"/>
  <c r="CI191" i="4"/>
  <c r="CI192" i="4"/>
  <c r="CI193" i="4"/>
  <c r="CI194" i="4"/>
  <c r="CI195" i="4"/>
  <c r="CI196" i="4"/>
  <c r="CI197" i="4"/>
  <c r="CI198" i="4"/>
  <c r="CI199" i="4"/>
  <c r="CI200" i="4"/>
  <c r="CI201" i="4"/>
  <c r="CI202" i="4"/>
  <c r="CI203" i="4"/>
  <c r="CI204" i="4"/>
  <c r="CI205" i="4"/>
  <c r="CI206" i="4"/>
  <c r="CI207" i="4"/>
  <c r="CI208" i="4"/>
  <c r="CI209" i="4"/>
  <c r="CI210" i="4"/>
  <c r="CI211" i="4"/>
  <c r="CI212" i="4"/>
  <c r="CI213" i="4"/>
  <c r="CI214" i="4"/>
  <c r="CI215" i="4"/>
  <c r="CI216" i="4"/>
  <c r="CI217" i="4"/>
  <c r="CI218" i="4"/>
  <c r="CI219" i="4"/>
  <c r="CI220" i="4"/>
  <c r="CI221" i="4"/>
  <c r="CI222" i="4"/>
  <c r="CI223" i="4"/>
  <c r="CI224" i="4"/>
  <c r="CI225" i="4"/>
  <c r="CI226" i="4"/>
  <c r="CI227" i="4"/>
  <c r="CI228" i="4"/>
  <c r="CI229" i="4"/>
  <c r="CI230" i="4"/>
  <c r="CI231" i="4"/>
  <c r="CI232" i="4"/>
  <c r="CI233" i="4"/>
  <c r="CI234" i="4"/>
  <c r="CI235" i="4"/>
  <c r="CI236" i="4"/>
  <c r="CI237" i="4"/>
  <c r="CI238" i="4"/>
  <c r="CI239" i="4"/>
  <c r="CI240" i="4"/>
  <c r="CI241" i="4"/>
  <c r="CI242" i="4"/>
  <c r="CI243" i="4"/>
  <c r="CI244" i="4"/>
  <c r="CI245" i="4"/>
  <c r="CI246" i="4"/>
  <c r="CI247" i="4"/>
  <c r="CI248" i="4"/>
  <c r="CI249" i="4"/>
  <c r="CI250" i="4"/>
  <c r="CI251" i="4"/>
  <c r="CI252" i="4"/>
  <c r="CI253" i="4"/>
  <c r="CI254" i="4"/>
  <c r="CI255" i="4"/>
  <c r="CI256" i="4"/>
  <c r="CI257" i="4"/>
  <c r="CI258" i="4"/>
  <c r="CI259" i="4"/>
  <c r="CI260" i="4"/>
  <c r="CI261" i="4"/>
  <c r="CI262" i="4"/>
  <c r="CI263" i="4"/>
  <c r="CI264" i="4"/>
  <c r="CI265" i="4"/>
  <c r="CI266" i="4"/>
  <c r="CI267" i="4"/>
  <c r="CI268" i="4"/>
  <c r="CI269" i="4"/>
  <c r="CI270" i="4"/>
  <c r="CI271" i="4"/>
  <c r="CI272" i="4"/>
  <c r="CI273" i="4"/>
  <c r="CI274" i="4"/>
  <c r="CI275" i="4"/>
  <c r="CI276" i="4"/>
  <c r="CI277" i="4"/>
  <c r="CI278" i="4"/>
  <c r="CI279" i="4"/>
  <c r="CI280" i="4"/>
  <c r="CI281" i="4"/>
  <c r="CI282" i="4"/>
  <c r="CJ10" i="4"/>
  <c r="CN10" i="4" s="1"/>
  <c r="CJ11" i="4"/>
  <c r="CN11" i="4" s="1"/>
  <c r="CJ12" i="4"/>
  <c r="CN12" i="4" s="1"/>
  <c r="CJ13" i="4"/>
  <c r="CN13" i="4" s="1"/>
  <c r="CJ14" i="4"/>
  <c r="CN14" i="4" s="1"/>
  <c r="CJ15" i="4"/>
  <c r="CN15" i="4" s="1"/>
  <c r="CJ16" i="4"/>
  <c r="CN16" i="4" s="1"/>
  <c r="CJ17" i="4"/>
  <c r="CN17" i="4" s="1"/>
  <c r="CJ19" i="4"/>
  <c r="CN19" i="4" s="1"/>
  <c r="CJ18" i="4"/>
  <c r="CN18" i="4" s="1"/>
  <c r="CJ20" i="4"/>
  <c r="CN20" i="4" s="1"/>
  <c r="CJ21" i="4"/>
  <c r="CN21" i="4" s="1"/>
  <c r="CJ22" i="4"/>
  <c r="CN22" i="4" s="1"/>
  <c r="CJ23" i="4"/>
  <c r="CN23" i="4" s="1"/>
  <c r="CJ24" i="4"/>
  <c r="CN24" i="4" s="1"/>
  <c r="CJ25" i="4"/>
  <c r="CN25" i="4" s="1"/>
  <c r="CJ26" i="4"/>
  <c r="CN26" i="4" s="1"/>
  <c r="CJ27" i="4"/>
  <c r="CN27" i="4" s="1"/>
  <c r="CJ28" i="4"/>
  <c r="CN28" i="4" s="1"/>
  <c r="CJ29" i="4"/>
  <c r="CN29" i="4" s="1"/>
  <c r="CJ30" i="4"/>
  <c r="CN30" i="4" s="1"/>
  <c r="CJ31" i="4"/>
  <c r="CN31" i="4" s="1"/>
  <c r="CJ32" i="4"/>
  <c r="CN32" i="4" s="1"/>
  <c r="CJ33" i="4"/>
  <c r="CN33" i="4" s="1"/>
  <c r="CJ34" i="4"/>
  <c r="CN34" i="4" s="1"/>
  <c r="CJ35" i="4"/>
  <c r="CN35" i="4" s="1"/>
  <c r="CJ36" i="4"/>
  <c r="CN36" i="4" s="1"/>
  <c r="CJ37" i="4"/>
  <c r="CN37" i="4" s="1"/>
  <c r="CJ38" i="4"/>
  <c r="CN38" i="4" s="1"/>
  <c r="CJ39" i="4"/>
  <c r="CN39" i="4" s="1"/>
  <c r="CJ40" i="4"/>
  <c r="CN40" i="4" s="1"/>
  <c r="CJ41" i="4"/>
  <c r="CN41" i="4" s="1"/>
  <c r="CJ42" i="4"/>
  <c r="CN42" i="4" s="1"/>
  <c r="CJ43" i="4"/>
  <c r="CN43" i="4" s="1"/>
  <c r="CJ44" i="4"/>
  <c r="CN44" i="4" s="1"/>
  <c r="CJ45" i="4"/>
  <c r="CN45" i="4" s="1"/>
  <c r="CJ46" i="4"/>
  <c r="CN46" i="4" s="1"/>
  <c r="CJ47" i="4"/>
  <c r="CN47" i="4" s="1"/>
  <c r="CJ48" i="4"/>
  <c r="CN48" i="4" s="1"/>
  <c r="CJ49" i="4"/>
  <c r="CN49" i="4" s="1"/>
  <c r="CJ50" i="4"/>
  <c r="CN50" i="4" s="1"/>
  <c r="CJ51" i="4"/>
  <c r="CN51" i="4" s="1"/>
  <c r="CJ52" i="4"/>
  <c r="CN52" i="4" s="1"/>
  <c r="CJ53" i="4"/>
  <c r="CN53" i="4" s="1"/>
  <c r="CJ54" i="4"/>
  <c r="CN54" i="4" s="1"/>
  <c r="CJ55" i="4"/>
  <c r="CN55" i="4" s="1"/>
  <c r="CJ56" i="4"/>
  <c r="CN56" i="4" s="1"/>
  <c r="CJ57" i="4"/>
  <c r="CN57" i="4" s="1"/>
  <c r="CJ58" i="4"/>
  <c r="CN58" i="4" s="1"/>
  <c r="CJ59" i="4"/>
  <c r="CN59" i="4" s="1"/>
  <c r="CJ60" i="4"/>
  <c r="CN60" i="4" s="1"/>
  <c r="CJ61" i="4"/>
  <c r="CN61" i="4" s="1"/>
  <c r="CJ62" i="4"/>
  <c r="CN62" i="4" s="1"/>
  <c r="CJ63" i="4"/>
  <c r="CN63" i="4" s="1"/>
  <c r="CJ64" i="4"/>
  <c r="CN64" i="4" s="1"/>
  <c r="CJ65" i="4"/>
  <c r="CN65" i="4" s="1"/>
  <c r="CJ66" i="4"/>
  <c r="CN66" i="4" s="1"/>
  <c r="CJ67" i="4"/>
  <c r="CN67" i="4" s="1"/>
  <c r="CJ68" i="4"/>
  <c r="CN68" i="4" s="1"/>
  <c r="CJ70" i="4"/>
  <c r="CN70" i="4" s="1"/>
  <c r="CJ69" i="4"/>
  <c r="CN69" i="4" s="1"/>
  <c r="CJ71" i="4"/>
  <c r="CN71" i="4" s="1"/>
  <c r="CJ72" i="4"/>
  <c r="CN72" i="4" s="1"/>
  <c r="CJ73" i="4"/>
  <c r="CN73" i="4" s="1"/>
  <c r="CJ74" i="4"/>
  <c r="CN74" i="4" s="1"/>
  <c r="CJ75" i="4"/>
  <c r="CN75" i="4" s="1"/>
  <c r="CJ76" i="4"/>
  <c r="CN76" i="4" s="1"/>
  <c r="CJ77" i="4"/>
  <c r="CN77" i="4" s="1"/>
  <c r="CJ78" i="4"/>
  <c r="CN78" i="4" s="1"/>
  <c r="CJ79" i="4"/>
  <c r="CN79" i="4" s="1"/>
  <c r="CJ80" i="4"/>
  <c r="CN80" i="4" s="1"/>
  <c r="CJ81" i="4"/>
  <c r="CN81" i="4" s="1"/>
  <c r="CJ82" i="4"/>
  <c r="CN82" i="4" s="1"/>
  <c r="CJ83" i="4"/>
  <c r="CN83" i="4" s="1"/>
  <c r="CJ84" i="4"/>
  <c r="CN84" i="4" s="1"/>
  <c r="CJ85" i="4"/>
  <c r="CN85" i="4" s="1"/>
  <c r="CJ86" i="4"/>
  <c r="CN86" i="4" s="1"/>
  <c r="CJ87" i="4"/>
  <c r="CN87" i="4" s="1"/>
  <c r="CJ88" i="4"/>
  <c r="CN88" i="4" s="1"/>
  <c r="CJ89" i="4"/>
  <c r="CN89" i="4" s="1"/>
  <c r="CJ90" i="4"/>
  <c r="CN90" i="4" s="1"/>
  <c r="CJ91" i="4"/>
  <c r="CN91" i="4" s="1"/>
  <c r="CJ92" i="4"/>
  <c r="CN92" i="4" s="1"/>
  <c r="CJ93" i="4"/>
  <c r="CN93" i="4" s="1"/>
  <c r="CJ94" i="4"/>
  <c r="CN94" i="4" s="1"/>
  <c r="CJ95" i="4"/>
  <c r="CN95" i="4" s="1"/>
  <c r="CJ96" i="4"/>
  <c r="CN96" i="4" s="1"/>
  <c r="CJ97" i="4"/>
  <c r="CN97" i="4" s="1"/>
  <c r="CJ98" i="4"/>
  <c r="CN98" i="4" s="1"/>
  <c r="CJ99" i="4"/>
  <c r="CN99" i="4" s="1"/>
  <c r="CJ100" i="4"/>
  <c r="CN100" i="4" s="1"/>
  <c r="CJ101" i="4"/>
  <c r="CN101" i="4" s="1"/>
  <c r="CJ102" i="4"/>
  <c r="CN102" i="4" s="1"/>
  <c r="CJ103" i="4"/>
  <c r="CN103" i="4" s="1"/>
  <c r="CJ104" i="4"/>
  <c r="CN104" i="4" s="1"/>
  <c r="CJ105" i="4"/>
  <c r="CN105" i="4" s="1"/>
  <c r="CJ106" i="4"/>
  <c r="CN106" i="4" s="1"/>
  <c r="CJ107" i="4"/>
  <c r="CN107" i="4" s="1"/>
  <c r="CJ108" i="4"/>
  <c r="CN108" i="4" s="1"/>
  <c r="CJ109" i="4"/>
  <c r="CN109" i="4" s="1"/>
  <c r="CJ110" i="4"/>
  <c r="CN110" i="4" s="1"/>
  <c r="CJ111" i="4"/>
  <c r="CN111" i="4" s="1"/>
  <c r="CJ112" i="4"/>
  <c r="CN112" i="4" s="1"/>
  <c r="CJ113" i="4"/>
  <c r="CN113" i="4" s="1"/>
  <c r="CJ114" i="4"/>
  <c r="CN114" i="4" s="1"/>
  <c r="CJ115" i="4"/>
  <c r="CN115" i="4" s="1"/>
  <c r="CJ116" i="4"/>
  <c r="CN116" i="4" s="1"/>
  <c r="CJ117" i="4"/>
  <c r="CN117" i="4" s="1"/>
  <c r="CJ118" i="4"/>
  <c r="CN118" i="4" s="1"/>
  <c r="CJ119" i="4"/>
  <c r="CN119" i="4" s="1"/>
  <c r="CJ120" i="4"/>
  <c r="CN120" i="4" s="1"/>
  <c r="CJ121" i="4"/>
  <c r="CN121" i="4" s="1"/>
  <c r="CJ122" i="4"/>
  <c r="CN122" i="4" s="1"/>
  <c r="CJ123" i="4"/>
  <c r="CN123" i="4" s="1"/>
  <c r="CJ124" i="4"/>
  <c r="CN124" i="4" s="1"/>
  <c r="CJ125" i="4"/>
  <c r="CN125" i="4" s="1"/>
  <c r="CJ126" i="4"/>
  <c r="CN126" i="4" s="1"/>
  <c r="CJ127" i="4"/>
  <c r="CN127" i="4" s="1"/>
  <c r="CJ128" i="4"/>
  <c r="CN128" i="4" s="1"/>
  <c r="CJ129" i="4"/>
  <c r="CN129" i="4" s="1"/>
  <c r="CJ130" i="4"/>
  <c r="CN130" i="4" s="1"/>
  <c r="CJ131" i="4"/>
  <c r="CN131" i="4" s="1"/>
  <c r="CJ132" i="4"/>
  <c r="CN132" i="4" s="1"/>
  <c r="CJ133" i="4"/>
  <c r="CN133" i="4" s="1"/>
  <c r="CJ134" i="4"/>
  <c r="CN134" i="4" s="1"/>
  <c r="CJ135" i="4"/>
  <c r="CN135" i="4" s="1"/>
  <c r="CJ136" i="4"/>
  <c r="CN136" i="4" s="1"/>
  <c r="CJ137" i="4"/>
  <c r="CN137" i="4" s="1"/>
  <c r="CJ138" i="4"/>
  <c r="CN138" i="4" s="1"/>
  <c r="CJ139" i="4"/>
  <c r="CN139" i="4" s="1"/>
  <c r="CJ140" i="4"/>
  <c r="CN140" i="4" s="1"/>
  <c r="CJ141" i="4"/>
  <c r="CN141" i="4" s="1"/>
  <c r="CJ142" i="4"/>
  <c r="CN142" i="4" s="1"/>
  <c r="CJ143" i="4"/>
  <c r="CN143" i="4" s="1"/>
  <c r="CJ144" i="4"/>
  <c r="CN144" i="4" s="1"/>
  <c r="CJ145" i="4"/>
  <c r="CN145" i="4" s="1"/>
  <c r="CJ146" i="4"/>
  <c r="CN146" i="4" s="1"/>
  <c r="CJ147" i="4"/>
  <c r="CN147" i="4" s="1"/>
  <c r="CJ148" i="4"/>
  <c r="CN148" i="4" s="1"/>
  <c r="CJ149" i="4"/>
  <c r="CN149" i="4" s="1"/>
  <c r="CJ150" i="4"/>
  <c r="CN150" i="4" s="1"/>
  <c r="CJ151" i="4"/>
  <c r="CN151" i="4" s="1"/>
  <c r="CJ152" i="4"/>
  <c r="CN152" i="4" s="1"/>
  <c r="CJ153" i="4"/>
  <c r="CN153" i="4" s="1"/>
  <c r="CJ154" i="4"/>
  <c r="CN154" i="4" s="1"/>
  <c r="CJ155" i="4"/>
  <c r="CN155" i="4" s="1"/>
  <c r="CJ156" i="4"/>
  <c r="CN156" i="4" s="1"/>
  <c r="CJ157" i="4"/>
  <c r="CN157" i="4" s="1"/>
  <c r="CJ158" i="4"/>
  <c r="CN158" i="4" s="1"/>
  <c r="CJ159" i="4"/>
  <c r="CN159" i="4" s="1"/>
  <c r="CJ160" i="4"/>
  <c r="CN160" i="4" s="1"/>
  <c r="CJ161" i="4"/>
  <c r="CN161" i="4" s="1"/>
  <c r="CJ162" i="4"/>
  <c r="CN162" i="4" s="1"/>
  <c r="CJ163" i="4"/>
  <c r="CN163" i="4" s="1"/>
  <c r="CJ164" i="4"/>
  <c r="CN164" i="4" s="1"/>
  <c r="CJ165" i="4"/>
  <c r="CN165" i="4" s="1"/>
  <c r="CJ166" i="4"/>
  <c r="CN166" i="4" s="1"/>
  <c r="CJ167" i="4"/>
  <c r="CN167" i="4" s="1"/>
  <c r="CJ168" i="4"/>
  <c r="CN168" i="4" s="1"/>
  <c r="CJ169" i="4"/>
  <c r="CN169" i="4" s="1"/>
  <c r="CJ170" i="4"/>
  <c r="CN170" i="4" s="1"/>
  <c r="CJ171" i="4"/>
  <c r="CN171" i="4" s="1"/>
  <c r="CJ173" i="4"/>
  <c r="CN173" i="4" s="1"/>
  <c r="CJ172" i="4"/>
  <c r="CN172" i="4" s="1"/>
  <c r="CJ175" i="4"/>
  <c r="CN175" i="4" s="1"/>
  <c r="CJ174" i="4"/>
  <c r="CN174" i="4" s="1"/>
  <c r="CJ177" i="4"/>
  <c r="CN177" i="4" s="1"/>
  <c r="CJ176" i="4"/>
  <c r="CN176" i="4" s="1"/>
  <c r="CJ179" i="4"/>
  <c r="CN179" i="4" s="1"/>
  <c r="CJ178" i="4"/>
  <c r="CN178" i="4" s="1"/>
  <c r="CJ180" i="4"/>
  <c r="CN180" i="4" s="1"/>
  <c r="CJ181" i="4"/>
  <c r="CN181" i="4" s="1"/>
  <c r="CJ182" i="4"/>
  <c r="CN182" i="4" s="1"/>
  <c r="CJ183" i="4"/>
  <c r="CN183" i="4" s="1"/>
  <c r="CJ184" i="4"/>
  <c r="CN184" i="4" s="1"/>
  <c r="CJ185" i="4"/>
  <c r="CN185" i="4" s="1"/>
  <c r="CJ186" i="4"/>
  <c r="CN186" i="4" s="1"/>
  <c r="CJ187" i="4"/>
  <c r="CN187" i="4" s="1"/>
  <c r="CJ188" i="4"/>
  <c r="CN188" i="4" s="1"/>
  <c r="CJ189" i="4"/>
  <c r="CN189" i="4" s="1"/>
  <c r="CJ190" i="4"/>
  <c r="CN190" i="4" s="1"/>
  <c r="CJ191" i="4"/>
  <c r="CN191" i="4" s="1"/>
  <c r="CJ192" i="4"/>
  <c r="CN192" i="4" s="1"/>
  <c r="CJ193" i="4"/>
  <c r="CN193" i="4" s="1"/>
  <c r="CJ194" i="4"/>
  <c r="CN194" i="4" s="1"/>
  <c r="CJ195" i="4"/>
  <c r="CN195" i="4" s="1"/>
  <c r="CJ196" i="4"/>
  <c r="CN196" i="4" s="1"/>
  <c r="CJ197" i="4"/>
  <c r="CN197" i="4" s="1"/>
  <c r="CJ198" i="4"/>
  <c r="CN198" i="4" s="1"/>
  <c r="CJ199" i="4"/>
  <c r="CN199" i="4" s="1"/>
  <c r="CJ200" i="4"/>
  <c r="CN200" i="4" s="1"/>
  <c r="CJ201" i="4"/>
  <c r="CN201" i="4" s="1"/>
  <c r="CJ202" i="4"/>
  <c r="CN202" i="4" s="1"/>
  <c r="CJ203" i="4"/>
  <c r="CN203" i="4" s="1"/>
  <c r="CJ204" i="4"/>
  <c r="CN204" i="4" s="1"/>
  <c r="CJ205" i="4"/>
  <c r="CN205" i="4" s="1"/>
  <c r="CJ206" i="4"/>
  <c r="CN206" i="4" s="1"/>
  <c r="CJ207" i="4"/>
  <c r="CN207" i="4" s="1"/>
  <c r="CJ208" i="4"/>
  <c r="CN208" i="4" s="1"/>
  <c r="CJ209" i="4"/>
  <c r="CN209" i="4" s="1"/>
  <c r="CJ210" i="4"/>
  <c r="CN210" i="4" s="1"/>
  <c r="CJ211" i="4"/>
  <c r="CN211" i="4" s="1"/>
  <c r="CJ212" i="4"/>
  <c r="CN212" i="4" s="1"/>
  <c r="CJ213" i="4"/>
  <c r="CN213" i="4" s="1"/>
  <c r="CJ214" i="4"/>
  <c r="CN214" i="4" s="1"/>
  <c r="CJ215" i="4"/>
  <c r="CN215" i="4" s="1"/>
  <c r="CJ216" i="4"/>
  <c r="CN216" i="4" s="1"/>
  <c r="CJ217" i="4"/>
  <c r="CN217" i="4" s="1"/>
  <c r="CJ218" i="4"/>
  <c r="CN218" i="4" s="1"/>
  <c r="CJ219" i="4"/>
  <c r="CN219" i="4" s="1"/>
  <c r="CJ220" i="4"/>
  <c r="CN220" i="4" s="1"/>
  <c r="CJ221" i="4"/>
  <c r="CN221" i="4" s="1"/>
  <c r="CJ222" i="4"/>
  <c r="CN222" i="4" s="1"/>
  <c r="CJ223" i="4"/>
  <c r="CN223" i="4" s="1"/>
  <c r="CJ224" i="4"/>
  <c r="CN224" i="4" s="1"/>
  <c r="CJ225" i="4"/>
  <c r="CN225" i="4" s="1"/>
  <c r="CJ226" i="4"/>
  <c r="CN226" i="4" s="1"/>
  <c r="CJ227" i="4"/>
  <c r="CN227" i="4" s="1"/>
  <c r="CJ228" i="4"/>
  <c r="CN228" i="4" s="1"/>
  <c r="CJ229" i="4"/>
  <c r="CN229" i="4" s="1"/>
  <c r="CJ230" i="4"/>
  <c r="CN230" i="4" s="1"/>
  <c r="CJ231" i="4"/>
  <c r="CN231" i="4" s="1"/>
  <c r="CJ232" i="4"/>
  <c r="CN232" i="4" s="1"/>
  <c r="CJ233" i="4"/>
  <c r="CN233" i="4" s="1"/>
  <c r="CJ234" i="4"/>
  <c r="CN234" i="4" s="1"/>
  <c r="CJ235" i="4"/>
  <c r="CN235" i="4" s="1"/>
  <c r="CJ236" i="4"/>
  <c r="CN236" i="4" s="1"/>
  <c r="CJ237" i="4"/>
  <c r="CN237" i="4" s="1"/>
  <c r="CJ238" i="4"/>
  <c r="CN238" i="4" s="1"/>
  <c r="CJ239" i="4"/>
  <c r="CN239" i="4" s="1"/>
  <c r="CJ240" i="4"/>
  <c r="CN240" i="4" s="1"/>
  <c r="CJ241" i="4"/>
  <c r="CN241" i="4" s="1"/>
  <c r="CJ242" i="4"/>
  <c r="CN242" i="4" s="1"/>
  <c r="CJ243" i="4"/>
  <c r="CN243" i="4" s="1"/>
  <c r="CJ244" i="4"/>
  <c r="CN244" i="4" s="1"/>
  <c r="CJ245" i="4"/>
  <c r="CN245" i="4" s="1"/>
  <c r="CJ246" i="4"/>
  <c r="CN246" i="4" s="1"/>
  <c r="CJ247" i="4"/>
  <c r="CN247" i="4" s="1"/>
  <c r="CJ248" i="4"/>
  <c r="CN248" i="4" s="1"/>
  <c r="CJ249" i="4"/>
  <c r="CN249" i="4" s="1"/>
  <c r="CJ250" i="4"/>
  <c r="CN250" i="4" s="1"/>
  <c r="CJ251" i="4"/>
  <c r="CN251" i="4" s="1"/>
  <c r="CJ252" i="4"/>
  <c r="CN252" i="4" s="1"/>
  <c r="CJ253" i="4"/>
  <c r="CN253" i="4" s="1"/>
  <c r="CJ254" i="4"/>
  <c r="CN254" i="4" s="1"/>
  <c r="CJ255" i="4"/>
  <c r="CN255" i="4" s="1"/>
  <c r="CJ256" i="4"/>
  <c r="CN256" i="4" s="1"/>
  <c r="CJ257" i="4"/>
  <c r="CN257" i="4" s="1"/>
  <c r="CJ258" i="4"/>
  <c r="CN258" i="4" s="1"/>
  <c r="CJ259" i="4"/>
  <c r="CN259" i="4" s="1"/>
  <c r="CJ260" i="4"/>
  <c r="CN260" i="4" s="1"/>
  <c r="CJ261" i="4"/>
  <c r="CN261" i="4" s="1"/>
  <c r="CJ262" i="4"/>
  <c r="CN262" i="4" s="1"/>
  <c r="CJ263" i="4"/>
  <c r="CN263" i="4" s="1"/>
  <c r="CJ264" i="4"/>
  <c r="CN264" i="4" s="1"/>
  <c r="CJ265" i="4"/>
  <c r="CN265" i="4" s="1"/>
  <c r="CJ266" i="4"/>
  <c r="CN266" i="4" s="1"/>
  <c r="CJ267" i="4"/>
  <c r="CN267" i="4" s="1"/>
  <c r="CJ268" i="4"/>
  <c r="CN268" i="4" s="1"/>
  <c r="CJ269" i="4"/>
  <c r="CN269" i="4" s="1"/>
  <c r="CJ270" i="4"/>
  <c r="CN270" i="4" s="1"/>
  <c r="CJ271" i="4"/>
  <c r="CN271" i="4" s="1"/>
  <c r="CJ272" i="4"/>
  <c r="CN272" i="4" s="1"/>
  <c r="CJ273" i="4"/>
  <c r="CN273" i="4" s="1"/>
  <c r="CJ274" i="4"/>
  <c r="CN274" i="4" s="1"/>
  <c r="CJ275" i="4"/>
  <c r="CN275" i="4" s="1"/>
  <c r="CJ276" i="4"/>
  <c r="CN276" i="4" s="1"/>
  <c r="CJ277" i="4"/>
  <c r="CN277" i="4" s="1"/>
  <c r="CJ278" i="4"/>
  <c r="CN278" i="4" s="1"/>
  <c r="CJ279" i="4"/>
  <c r="CN279" i="4" s="1"/>
  <c r="CJ280" i="4"/>
  <c r="CN280" i="4" s="1"/>
  <c r="CJ281" i="4"/>
  <c r="CN281" i="4" s="1"/>
  <c r="CJ282" i="4"/>
  <c r="CN282" i="4" s="1"/>
  <c r="CK10" i="4"/>
  <c r="CO10" i="4" s="1"/>
  <c r="CK11" i="4"/>
  <c r="CO11" i="4" s="1"/>
  <c r="CK12" i="4"/>
  <c r="CO12" i="4" s="1"/>
  <c r="CK13" i="4"/>
  <c r="CO13" i="4" s="1"/>
  <c r="CK14" i="4"/>
  <c r="CO14" i="4" s="1"/>
  <c r="CK15" i="4"/>
  <c r="CO15" i="4" s="1"/>
  <c r="CK16" i="4"/>
  <c r="CO16" i="4" s="1"/>
  <c r="CK17" i="4"/>
  <c r="CO17" i="4" s="1"/>
  <c r="CK19" i="4"/>
  <c r="CO19" i="4" s="1"/>
  <c r="CK18" i="4"/>
  <c r="CO18" i="4" s="1"/>
  <c r="CK20" i="4"/>
  <c r="CO20" i="4" s="1"/>
  <c r="CK21" i="4"/>
  <c r="CO21" i="4" s="1"/>
  <c r="CK22" i="4"/>
  <c r="CO22" i="4" s="1"/>
  <c r="CK23" i="4"/>
  <c r="CO23" i="4" s="1"/>
  <c r="CK24" i="4"/>
  <c r="CO24" i="4" s="1"/>
  <c r="CK25" i="4"/>
  <c r="CO25" i="4" s="1"/>
  <c r="CK26" i="4"/>
  <c r="CO26" i="4" s="1"/>
  <c r="CK27" i="4"/>
  <c r="CO27" i="4" s="1"/>
  <c r="CK28" i="4"/>
  <c r="CO28" i="4" s="1"/>
  <c r="CK29" i="4"/>
  <c r="CO29" i="4" s="1"/>
  <c r="CK30" i="4"/>
  <c r="CO30" i="4" s="1"/>
  <c r="CK31" i="4"/>
  <c r="CO31" i="4" s="1"/>
  <c r="CK32" i="4"/>
  <c r="CO32" i="4" s="1"/>
  <c r="CK33" i="4"/>
  <c r="CO33" i="4" s="1"/>
  <c r="CK34" i="4"/>
  <c r="CO34" i="4" s="1"/>
  <c r="CK35" i="4"/>
  <c r="CO35" i="4" s="1"/>
  <c r="CK36" i="4"/>
  <c r="CO36" i="4" s="1"/>
  <c r="CK37" i="4"/>
  <c r="CO37" i="4" s="1"/>
  <c r="CK38" i="4"/>
  <c r="CO38" i="4" s="1"/>
  <c r="CK39" i="4"/>
  <c r="CO39" i="4" s="1"/>
  <c r="CK40" i="4"/>
  <c r="CO40" i="4" s="1"/>
  <c r="CK41" i="4"/>
  <c r="CO41" i="4" s="1"/>
  <c r="CK42" i="4"/>
  <c r="CO42" i="4" s="1"/>
  <c r="CK43" i="4"/>
  <c r="CO43" i="4" s="1"/>
  <c r="CK44" i="4"/>
  <c r="CO44" i="4" s="1"/>
  <c r="CK45" i="4"/>
  <c r="CO45" i="4" s="1"/>
  <c r="CK46" i="4"/>
  <c r="CO46" i="4" s="1"/>
  <c r="CK47" i="4"/>
  <c r="CO47" i="4" s="1"/>
  <c r="CK48" i="4"/>
  <c r="CO48" i="4" s="1"/>
  <c r="CK49" i="4"/>
  <c r="CO49" i="4" s="1"/>
  <c r="CK50" i="4"/>
  <c r="CO50" i="4" s="1"/>
  <c r="CK51" i="4"/>
  <c r="CO51" i="4" s="1"/>
  <c r="CK52" i="4"/>
  <c r="CO52" i="4" s="1"/>
  <c r="CK53" i="4"/>
  <c r="CO53" i="4" s="1"/>
  <c r="CK54" i="4"/>
  <c r="CO54" i="4" s="1"/>
  <c r="CK55" i="4"/>
  <c r="CO55" i="4" s="1"/>
  <c r="CK56" i="4"/>
  <c r="CO56" i="4" s="1"/>
  <c r="CK57" i="4"/>
  <c r="CO57" i="4" s="1"/>
  <c r="CK58" i="4"/>
  <c r="CO58" i="4" s="1"/>
  <c r="CK59" i="4"/>
  <c r="CO59" i="4" s="1"/>
  <c r="CK60" i="4"/>
  <c r="CO60" i="4" s="1"/>
  <c r="CK61" i="4"/>
  <c r="CO61" i="4" s="1"/>
  <c r="CK62" i="4"/>
  <c r="CO62" i="4" s="1"/>
  <c r="CK63" i="4"/>
  <c r="CO63" i="4" s="1"/>
  <c r="CK64" i="4"/>
  <c r="CO64" i="4" s="1"/>
  <c r="CK65" i="4"/>
  <c r="CO65" i="4" s="1"/>
  <c r="CK66" i="4"/>
  <c r="CO66" i="4" s="1"/>
  <c r="CK67" i="4"/>
  <c r="CO67" i="4" s="1"/>
  <c r="CK68" i="4"/>
  <c r="CO68" i="4" s="1"/>
  <c r="CK70" i="4"/>
  <c r="CO70" i="4" s="1"/>
  <c r="CK69" i="4"/>
  <c r="CO69" i="4" s="1"/>
  <c r="CK71" i="4"/>
  <c r="CO71" i="4" s="1"/>
  <c r="CK72" i="4"/>
  <c r="CO72" i="4" s="1"/>
  <c r="CK73" i="4"/>
  <c r="CO73" i="4" s="1"/>
  <c r="CK74" i="4"/>
  <c r="CO74" i="4" s="1"/>
  <c r="CK75" i="4"/>
  <c r="CO75" i="4" s="1"/>
  <c r="CK76" i="4"/>
  <c r="CO76" i="4" s="1"/>
  <c r="CK77" i="4"/>
  <c r="CO77" i="4" s="1"/>
  <c r="CK78" i="4"/>
  <c r="CO78" i="4" s="1"/>
  <c r="CK79" i="4"/>
  <c r="CO79" i="4" s="1"/>
  <c r="CK80" i="4"/>
  <c r="CO80" i="4" s="1"/>
  <c r="CK81" i="4"/>
  <c r="CO81" i="4" s="1"/>
  <c r="CK82" i="4"/>
  <c r="CO82" i="4" s="1"/>
  <c r="CK83" i="4"/>
  <c r="CO83" i="4" s="1"/>
  <c r="CK84" i="4"/>
  <c r="CO84" i="4" s="1"/>
  <c r="CK85" i="4"/>
  <c r="CO85" i="4" s="1"/>
  <c r="CK86" i="4"/>
  <c r="CO86" i="4" s="1"/>
  <c r="CK87" i="4"/>
  <c r="CO87" i="4" s="1"/>
  <c r="CK88" i="4"/>
  <c r="CO88" i="4" s="1"/>
  <c r="CK89" i="4"/>
  <c r="CO89" i="4" s="1"/>
  <c r="CK90" i="4"/>
  <c r="CO90" i="4" s="1"/>
  <c r="CK91" i="4"/>
  <c r="CO91" i="4" s="1"/>
  <c r="CK92" i="4"/>
  <c r="CO92" i="4" s="1"/>
  <c r="CK93" i="4"/>
  <c r="CO93" i="4" s="1"/>
  <c r="CK94" i="4"/>
  <c r="CO94" i="4" s="1"/>
  <c r="CK95" i="4"/>
  <c r="CO95" i="4" s="1"/>
  <c r="CK96" i="4"/>
  <c r="CO96" i="4" s="1"/>
  <c r="CK97" i="4"/>
  <c r="CO97" i="4" s="1"/>
  <c r="CK98" i="4"/>
  <c r="CO98" i="4" s="1"/>
  <c r="CK99" i="4"/>
  <c r="CO99" i="4" s="1"/>
  <c r="CK100" i="4"/>
  <c r="CO100" i="4" s="1"/>
  <c r="CK101" i="4"/>
  <c r="CO101" i="4" s="1"/>
  <c r="CK102" i="4"/>
  <c r="CO102" i="4" s="1"/>
  <c r="CK103" i="4"/>
  <c r="CO103" i="4" s="1"/>
  <c r="CK104" i="4"/>
  <c r="CO104" i="4" s="1"/>
  <c r="CK105" i="4"/>
  <c r="CO105" i="4" s="1"/>
  <c r="CK106" i="4"/>
  <c r="CO106" i="4" s="1"/>
  <c r="CK107" i="4"/>
  <c r="CO107" i="4" s="1"/>
  <c r="CK108" i="4"/>
  <c r="CO108" i="4" s="1"/>
  <c r="CK109" i="4"/>
  <c r="CO109" i="4" s="1"/>
  <c r="CK110" i="4"/>
  <c r="CO110" i="4" s="1"/>
  <c r="CK111" i="4"/>
  <c r="CO111" i="4" s="1"/>
  <c r="CK112" i="4"/>
  <c r="CO112" i="4" s="1"/>
  <c r="CK113" i="4"/>
  <c r="CO113" i="4" s="1"/>
  <c r="CK114" i="4"/>
  <c r="CO114" i="4" s="1"/>
  <c r="CK115" i="4"/>
  <c r="CO115" i="4" s="1"/>
  <c r="CK116" i="4"/>
  <c r="CO116" i="4" s="1"/>
  <c r="CK117" i="4"/>
  <c r="CO117" i="4" s="1"/>
  <c r="CK118" i="4"/>
  <c r="CO118" i="4" s="1"/>
  <c r="CK119" i="4"/>
  <c r="CO119" i="4" s="1"/>
  <c r="CK120" i="4"/>
  <c r="CO120" i="4" s="1"/>
  <c r="CK121" i="4"/>
  <c r="CO121" i="4" s="1"/>
  <c r="CK122" i="4"/>
  <c r="CO122" i="4" s="1"/>
  <c r="CK123" i="4"/>
  <c r="CO123" i="4" s="1"/>
  <c r="CK124" i="4"/>
  <c r="CO124" i="4" s="1"/>
  <c r="CK125" i="4"/>
  <c r="CO125" i="4" s="1"/>
  <c r="CK126" i="4"/>
  <c r="CO126" i="4" s="1"/>
  <c r="CK127" i="4"/>
  <c r="CO127" i="4" s="1"/>
  <c r="CK128" i="4"/>
  <c r="CO128" i="4" s="1"/>
  <c r="CK129" i="4"/>
  <c r="CO129" i="4" s="1"/>
  <c r="CK130" i="4"/>
  <c r="CO130" i="4" s="1"/>
  <c r="CK131" i="4"/>
  <c r="CO131" i="4" s="1"/>
  <c r="CK132" i="4"/>
  <c r="CO132" i="4" s="1"/>
  <c r="CK133" i="4"/>
  <c r="CO133" i="4" s="1"/>
  <c r="CK134" i="4"/>
  <c r="CO134" i="4" s="1"/>
  <c r="CK135" i="4"/>
  <c r="CO135" i="4" s="1"/>
  <c r="CK136" i="4"/>
  <c r="CO136" i="4" s="1"/>
  <c r="CK137" i="4"/>
  <c r="CO137" i="4" s="1"/>
  <c r="CK138" i="4"/>
  <c r="CO138" i="4" s="1"/>
  <c r="CK139" i="4"/>
  <c r="CO139" i="4" s="1"/>
  <c r="CK140" i="4"/>
  <c r="CO140" i="4" s="1"/>
  <c r="CK141" i="4"/>
  <c r="CO141" i="4" s="1"/>
  <c r="CK142" i="4"/>
  <c r="CO142" i="4" s="1"/>
  <c r="CK143" i="4"/>
  <c r="CO143" i="4" s="1"/>
  <c r="CK144" i="4"/>
  <c r="CO144" i="4" s="1"/>
  <c r="CK145" i="4"/>
  <c r="CO145" i="4" s="1"/>
  <c r="CK146" i="4"/>
  <c r="CO146" i="4" s="1"/>
  <c r="CK147" i="4"/>
  <c r="CO147" i="4" s="1"/>
  <c r="CK148" i="4"/>
  <c r="CO148" i="4" s="1"/>
  <c r="CK149" i="4"/>
  <c r="CO149" i="4" s="1"/>
  <c r="CK150" i="4"/>
  <c r="CO150" i="4" s="1"/>
  <c r="CK151" i="4"/>
  <c r="CO151" i="4" s="1"/>
  <c r="CK152" i="4"/>
  <c r="CO152" i="4" s="1"/>
  <c r="CK153" i="4"/>
  <c r="CO153" i="4" s="1"/>
  <c r="CK154" i="4"/>
  <c r="CO154" i="4" s="1"/>
  <c r="CK155" i="4"/>
  <c r="CO155" i="4" s="1"/>
  <c r="CK156" i="4"/>
  <c r="CO156" i="4" s="1"/>
  <c r="CK157" i="4"/>
  <c r="CO157" i="4" s="1"/>
  <c r="CK158" i="4"/>
  <c r="CO158" i="4" s="1"/>
  <c r="CK159" i="4"/>
  <c r="CO159" i="4" s="1"/>
  <c r="CK160" i="4"/>
  <c r="CO160" i="4" s="1"/>
  <c r="CK161" i="4"/>
  <c r="CO161" i="4" s="1"/>
  <c r="CK162" i="4"/>
  <c r="CO162" i="4" s="1"/>
  <c r="CK163" i="4"/>
  <c r="CO163" i="4" s="1"/>
  <c r="CK164" i="4"/>
  <c r="CO164" i="4" s="1"/>
  <c r="CK165" i="4"/>
  <c r="CO165" i="4" s="1"/>
  <c r="CK166" i="4"/>
  <c r="CO166" i="4" s="1"/>
  <c r="CK167" i="4"/>
  <c r="CO167" i="4" s="1"/>
  <c r="CK168" i="4"/>
  <c r="CO168" i="4" s="1"/>
  <c r="CK169" i="4"/>
  <c r="CO169" i="4" s="1"/>
  <c r="CK170" i="4"/>
  <c r="CO170" i="4" s="1"/>
  <c r="CK171" i="4"/>
  <c r="CO171" i="4" s="1"/>
  <c r="CK173" i="4"/>
  <c r="CO173" i="4" s="1"/>
  <c r="CK172" i="4"/>
  <c r="CO172" i="4" s="1"/>
  <c r="CK175" i="4"/>
  <c r="CO175" i="4" s="1"/>
  <c r="CK174" i="4"/>
  <c r="CO174" i="4" s="1"/>
  <c r="CK177" i="4"/>
  <c r="CO177" i="4" s="1"/>
  <c r="CK176" i="4"/>
  <c r="CO176" i="4" s="1"/>
  <c r="CK179" i="4"/>
  <c r="CO179" i="4" s="1"/>
  <c r="CK178" i="4"/>
  <c r="CO178" i="4" s="1"/>
  <c r="CK180" i="4"/>
  <c r="CO180" i="4" s="1"/>
  <c r="CK181" i="4"/>
  <c r="CO181" i="4" s="1"/>
  <c r="CK182" i="4"/>
  <c r="CO182" i="4" s="1"/>
  <c r="CK183" i="4"/>
  <c r="CO183" i="4" s="1"/>
  <c r="CK184" i="4"/>
  <c r="CO184" i="4" s="1"/>
  <c r="CK185" i="4"/>
  <c r="CO185" i="4" s="1"/>
  <c r="CK186" i="4"/>
  <c r="CO186" i="4" s="1"/>
  <c r="CK187" i="4"/>
  <c r="CO187" i="4" s="1"/>
  <c r="CK188" i="4"/>
  <c r="CO188" i="4" s="1"/>
  <c r="CK189" i="4"/>
  <c r="CO189" i="4" s="1"/>
  <c r="CK190" i="4"/>
  <c r="CO190" i="4" s="1"/>
  <c r="CK191" i="4"/>
  <c r="CO191" i="4" s="1"/>
  <c r="CK192" i="4"/>
  <c r="CO192" i="4" s="1"/>
  <c r="CK193" i="4"/>
  <c r="CO193" i="4" s="1"/>
  <c r="CK194" i="4"/>
  <c r="CO194" i="4" s="1"/>
  <c r="CK195" i="4"/>
  <c r="CO195" i="4" s="1"/>
  <c r="CK196" i="4"/>
  <c r="CO196" i="4" s="1"/>
  <c r="CK197" i="4"/>
  <c r="CO197" i="4" s="1"/>
  <c r="CK198" i="4"/>
  <c r="CO198" i="4" s="1"/>
  <c r="CK199" i="4"/>
  <c r="CO199" i="4" s="1"/>
  <c r="CK200" i="4"/>
  <c r="CO200" i="4" s="1"/>
  <c r="CK201" i="4"/>
  <c r="CO201" i="4" s="1"/>
  <c r="CK202" i="4"/>
  <c r="CO202" i="4" s="1"/>
  <c r="CK203" i="4"/>
  <c r="CO203" i="4" s="1"/>
  <c r="CK204" i="4"/>
  <c r="CO204" i="4" s="1"/>
  <c r="CK205" i="4"/>
  <c r="CO205" i="4" s="1"/>
  <c r="CK206" i="4"/>
  <c r="CO206" i="4" s="1"/>
  <c r="CK207" i="4"/>
  <c r="CO207" i="4" s="1"/>
  <c r="CK208" i="4"/>
  <c r="CO208" i="4" s="1"/>
  <c r="CK209" i="4"/>
  <c r="CO209" i="4" s="1"/>
  <c r="CK210" i="4"/>
  <c r="CO210" i="4" s="1"/>
  <c r="CK211" i="4"/>
  <c r="CO211" i="4" s="1"/>
  <c r="CK212" i="4"/>
  <c r="CO212" i="4" s="1"/>
  <c r="CK213" i="4"/>
  <c r="CO213" i="4" s="1"/>
  <c r="CK214" i="4"/>
  <c r="CO214" i="4" s="1"/>
  <c r="CK215" i="4"/>
  <c r="CO215" i="4" s="1"/>
  <c r="CK216" i="4"/>
  <c r="CO216" i="4" s="1"/>
  <c r="CK217" i="4"/>
  <c r="CO217" i="4" s="1"/>
  <c r="CK218" i="4"/>
  <c r="CO218" i="4" s="1"/>
  <c r="CK219" i="4"/>
  <c r="CO219" i="4" s="1"/>
  <c r="CK220" i="4"/>
  <c r="CO220" i="4" s="1"/>
  <c r="CK221" i="4"/>
  <c r="CO221" i="4" s="1"/>
  <c r="CK222" i="4"/>
  <c r="CO222" i="4" s="1"/>
  <c r="CK223" i="4"/>
  <c r="CO223" i="4" s="1"/>
  <c r="CK224" i="4"/>
  <c r="CO224" i="4" s="1"/>
  <c r="CK225" i="4"/>
  <c r="CO225" i="4" s="1"/>
  <c r="CK226" i="4"/>
  <c r="CO226" i="4" s="1"/>
  <c r="CK227" i="4"/>
  <c r="CO227" i="4" s="1"/>
  <c r="CK228" i="4"/>
  <c r="CO228" i="4" s="1"/>
  <c r="CK229" i="4"/>
  <c r="CO229" i="4" s="1"/>
  <c r="CK230" i="4"/>
  <c r="CO230" i="4" s="1"/>
  <c r="CK231" i="4"/>
  <c r="CO231" i="4" s="1"/>
  <c r="CK232" i="4"/>
  <c r="CO232" i="4" s="1"/>
  <c r="CK233" i="4"/>
  <c r="CO233" i="4" s="1"/>
  <c r="CK234" i="4"/>
  <c r="CO234" i="4" s="1"/>
  <c r="CK235" i="4"/>
  <c r="CO235" i="4" s="1"/>
  <c r="CK236" i="4"/>
  <c r="CO236" i="4" s="1"/>
  <c r="CK237" i="4"/>
  <c r="CO237" i="4" s="1"/>
  <c r="CK238" i="4"/>
  <c r="CO238" i="4" s="1"/>
  <c r="CK239" i="4"/>
  <c r="CO239" i="4" s="1"/>
  <c r="CK240" i="4"/>
  <c r="CO240" i="4" s="1"/>
  <c r="CK241" i="4"/>
  <c r="CO241" i="4" s="1"/>
  <c r="CK242" i="4"/>
  <c r="CO242" i="4" s="1"/>
  <c r="CK243" i="4"/>
  <c r="CO243" i="4" s="1"/>
  <c r="CK244" i="4"/>
  <c r="CO244" i="4" s="1"/>
  <c r="CK245" i="4"/>
  <c r="CO245" i="4" s="1"/>
  <c r="CK246" i="4"/>
  <c r="CO246" i="4" s="1"/>
  <c r="CK247" i="4"/>
  <c r="CO247" i="4" s="1"/>
  <c r="CK248" i="4"/>
  <c r="CO248" i="4" s="1"/>
  <c r="CK249" i="4"/>
  <c r="CO249" i="4" s="1"/>
  <c r="CK250" i="4"/>
  <c r="CO250" i="4" s="1"/>
  <c r="CK251" i="4"/>
  <c r="CO251" i="4" s="1"/>
  <c r="CK252" i="4"/>
  <c r="CO252" i="4" s="1"/>
  <c r="CK253" i="4"/>
  <c r="CO253" i="4" s="1"/>
  <c r="CK254" i="4"/>
  <c r="CO254" i="4" s="1"/>
  <c r="CK255" i="4"/>
  <c r="CO255" i="4" s="1"/>
  <c r="CK256" i="4"/>
  <c r="CO256" i="4" s="1"/>
  <c r="CK257" i="4"/>
  <c r="CO257" i="4" s="1"/>
  <c r="CK258" i="4"/>
  <c r="CO258" i="4" s="1"/>
  <c r="CK259" i="4"/>
  <c r="CO259" i="4" s="1"/>
  <c r="CK260" i="4"/>
  <c r="CO260" i="4" s="1"/>
  <c r="CK261" i="4"/>
  <c r="CO261" i="4" s="1"/>
  <c r="CK262" i="4"/>
  <c r="CO262" i="4" s="1"/>
  <c r="CK263" i="4"/>
  <c r="CO263" i="4" s="1"/>
  <c r="CK264" i="4"/>
  <c r="CO264" i="4" s="1"/>
  <c r="CK265" i="4"/>
  <c r="CO265" i="4" s="1"/>
  <c r="CK266" i="4"/>
  <c r="CO266" i="4" s="1"/>
  <c r="CK267" i="4"/>
  <c r="CO267" i="4" s="1"/>
  <c r="CK268" i="4"/>
  <c r="CO268" i="4" s="1"/>
  <c r="CK269" i="4"/>
  <c r="CO269" i="4" s="1"/>
  <c r="CK270" i="4"/>
  <c r="CO270" i="4" s="1"/>
  <c r="CK271" i="4"/>
  <c r="CO271" i="4" s="1"/>
  <c r="CK272" i="4"/>
  <c r="CO272" i="4" s="1"/>
  <c r="CK273" i="4"/>
  <c r="CO273" i="4" s="1"/>
  <c r="CK274" i="4"/>
  <c r="CO274" i="4" s="1"/>
  <c r="CK275" i="4"/>
  <c r="CO275" i="4" s="1"/>
  <c r="CK276" i="4"/>
  <c r="CO276" i="4" s="1"/>
  <c r="CK277" i="4"/>
  <c r="CO277" i="4" s="1"/>
  <c r="CK278" i="4"/>
  <c r="CO278" i="4" s="1"/>
  <c r="CK279" i="4"/>
  <c r="CO279" i="4" s="1"/>
  <c r="CK280" i="4"/>
  <c r="CO280" i="4" s="1"/>
  <c r="CK281" i="4"/>
  <c r="CO281" i="4" s="1"/>
  <c r="CK282" i="4"/>
  <c r="CO282" i="4" s="1"/>
  <c r="CL10" i="4"/>
  <c r="CL11" i="4"/>
  <c r="CL12" i="4"/>
  <c r="CL13" i="4"/>
  <c r="CL14" i="4"/>
  <c r="CL15" i="4"/>
  <c r="CL16" i="4"/>
  <c r="CL17" i="4"/>
  <c r="CL19" i="4"/>
  <c r="CL18" i="4"/>
  <c r="CL20" i="4"/>
  <c r="CL21" i="4"/>
  <c r="CL22" i="4"/>
  <c r="CL23" i="4"/>
  <c r="CL24" i="4"/>
  <c r="CL25" i="4"/>
  <c r="CL26" i="4"/>
  <c r="CL27" i="4"/>
  <c r="CL28" i="4"/>
  <c r="CL29" i="4"/>
  <c r="CL30" i="4"/>
  <c r="CL31" i="4"/>
  <c r="CL32" i="4"/>
  <c r="CL33" i="4"/>
  <c r="CL34" i="4"/>
  <c r="CL35" i="4"/>
  <c r="CL36" i="4"/>
  <c r="CL37" i="4"/>
  <c r="CL38" i="4"/>
  <c r="CL39" i="4"/>
  <c r="CL40" i="4"/>
  <c r="CL41" i="4"/>
  <c r="CL42" i="4"/>
  <c r="CL43" i="4"/>
  <c r="CL44" i="4"/>
  <c r="CL45" i="4"/>
  <c r="CL46" i="4"/>
  <c r="CL47" i="4"/>
  <c r="CL48" i="4"/>
  <c r="CL49" i="4"/>
  <c r="CL50" i="4"/>
  <c r="CL51" i="4"/>
  <c r="CL52" i="4"/>
  <c r="CL53" i="4"/>
  <c r="CL54" i="4"/>
  <c r="CL55" i="4"/>
  <c r="CL56" i="4"/>
  <c r="CL57" i="4"/>
  <c r="CL58" i="4"/>
  <c r="CL59" i="4"/>
  <c r="CL60" i="4"/>
  <c r="CL61" i="4"/>
  <c r="CL62" i="4"/>
  <c r="CL63" i="4"/>
  <c r="CL64" i="4"/>
  <c r="CL65" i="4"/>
  <c r="CL66" i="4"/>
  <c r="CL67" i="4"/>
  <c r="CL68" i="4"/>
  <c r="CL70" i="4"/>
  <c r="CL69" i="4"/>
  <c r="CL71" i="4"/>
  <c r="CL72" i="4"/>
  <c r="CL73" i="4"/>
  <c r="CL74" i="4"/>
  <c r="CL75" i="4"/>
  <c r="CL76" i="4"/>
  <c r="CL77" i="4"/>
  <c r="CL78" i="4"/>
  <c r="CL79" i="4"/>
  <c r="CL80" i="4"/>
  <c r="CL81" i="4"/>
  <c r="CL82" i="4"/>
  <c r="CL83" i="4"/>
  <c r="CL84" i="4"/>
  <c r="CL85" i="4"/>
  <c r="CL86" i="4"/>
  <c r="CL87" i="4"/>
  <c r="CL88" i="4"/>
  <c r="CL89" i="4"/>
  <c r="CL90" i="4"/>
  <c r="CL91" i="4"/>
  <c r="CL92" i="4"/>
  <c r="CL93" i="4"/>
  <c r="CL94" i="4"/>
  <c r="CL95" i="4"/>
  <c r="CL96" i="4"/>
  <c r="CL97" i="4"/>
  <c r="CL98" i="4"/>
  <c r="CL99" i="4"/>
  <c r="CL100" i="4"/>
  <c r="CL101" i="4"/>
  <c r="CL102" i="4"/>
  <c r="CL103" i="4"/>
  <c r="CL104" i="4"/>
  <c r="CL105" i="4"/>
  <c r="CL106" i="4"/>
  <c r="CL107" i="4"/>
  <c r="CL108" i="4"/>
  <c r="CL109" i="4"/>
  <c r="CL110" i="4"/>
  <c r="CL111" i="4"/>
  <c r="CL112" i="4"/>
  <c r="CL113" i="4"/>
  <c r="CL114" i="4"/>
  <c r="CL115" i="4"/>
  <c r="CL116" i="4"/>
  <c r="CL117" i="4"/>
  <c r="CL118" i="4"/>
  <c r="CL119" i="4"/>
  <c r="CL120" i="4"/>
  <c r="CL121" i="4"/>
  <c r="CL122" i="4"/>
  <c r="CL123" i="4"/>
  <c r="CL124" i="4"/>
  <c r="CL125" i="4"/>
  <c r="CL126" i="4"/>
  <c r="CL127" i="4"/>
  <c r="CL128" i="4"/>
  <c r="CL129" i="4"/>
  <c r="CL130" i="4"/>
  <c r="CL131" i="4"/>
  <c r="CL132" i="4"/>
  <c r="CL133" i="4"/>
  <c r="CL134" i="4"/>
  <c r="CL135" i="4"/>
  <c r="CL136" i="4"/>
  <c r="CL137" i="4"/>
  <c r="CL138" i="4"/>
  <c r="CL139" i="4"/>
  <c r="CL140" i="4"/>
  <c r="CL141" i="4"/>
  <c r="CL142" i="4"/>
  <c r="CL143" i="4"/>
  <c r="CL144" i="4"/>
  <c r="CL145" i="4"/>
  <c r="CL146" i="4"/>
  <c r="CL147" i="4"/>
  <c r="CL148" i="4"/>
  <c r="CL149" i="4"/>
  <c r="CL150" i="4"/>
  <c r="CL151" i="4"/>
  <c r="CL152" i="4"/>
  <c r="CL153" i="4"/>
  <c r="CL154" i="4"/>
  <c r="CL155" i="4"/>
  <c r="CL156" i="4"/>
  <c r="CL157" i="4"/>
  <c r="CL158" i="4"/>
  <c r="CL159" i="4"/>
  <c r="CL160" i="4"/>
  <c r="CL161" i="4"/>
  <c r="CL162" i="4"/>
  <c r="CL163" i="4"/>
  <c r="CL164" i="4"/>
  <c r="CL165" i="4"/>
  <c r="CL166" i="4"/>
  <c r="CL167" i="4"/>
  <c r="CL168" i="4"/>
  <c r="CL169" i="4"/>
  <c r="CL170" i="4"/>
  <c r="CL171" i="4"/>
  <c r="CL173" i="4"/>
  <c r="CL172" i="4"/>
  <c r="CL175" i="4"/>
  <c r="CL174" i="4"/>
  <c r="CL177" i="4"/>
  <c r="CL176" i="4"/>
  <c r="CL179" i="4"/>
  <c r="CL178" i="4"/>
  <c r="CL180" i="4"/>
  <c r="CL181" i="4"/>
  <c r="CL182" i="4"/>
  <c r="CL183" i="4"/>
  <c r="CL184" i="4"/>
  <c r="CL185" i="4"/>
  <c r="CL186" i="4"/>
  <c r="CL187" i="4"/>
  <c r="CL188" i="4"/>
  <c r="CL189" i="4"/>
  <c r="CL190" i="4"/>
  <c r="CL191" i="4"/>
  <c r="CL192" i="4"/>
  <c r="CL193" i="4"/>
  <c r="CL194" i="4"/>
  <c r="CL195" i="4"/>
  <c r="CL196" i="4"/>
  <c r="CL197" i="4"/>
  <c r="CL198" i="4"/>
  <c r="CL199" i="4"/>
  <c r="CL200" i="4"/>
  <c r="CL201" i="4"/>
  <c r="CL202" i="4"/>
  <c r="CL203" i="4"/>
  <c r="CL204" i="4"/>
  <c r="CL205" i="4"/>
  <c r="CL206" i="4"/>
  <c r="CL207" i="4"/>
  <c r="CL208" i="4"/>
  <c r="CL209" i="4"/>
  <c r="CL210" i="4"/>
  <c r="CL211" i="4"/>
  <c r="CL212" i="4"/>
  <c r="CL213" i="4"/>
  <c r="CL214" i="4"/>
  <c r="CL215" i="4"/>
  <c r="CL216" i="4"/>
  <c r="CL217" i="4"/>
  <c r="CL218" i="4"/>
  <c r="CL219" i="4"/>
  <c r="CL220" i="4"/>
  <c r="CL221" i="4"/>
  <c r="CL222" i="4"/>
  <c r="CL223" i="4"/>
  <c r="CL224" i="4"/>
  <c r="CL225" i="4"/>
  <c r="CL226" i="4"/>
  <c r="CL227" i="4"/>
  <c r="CL228" i="4"/>
  <c r="CL229" i="4"/>
  <c r="CL230" i="4"/>
  <c r="CL231" i="4"/>
  <c r="CL232" i="4"/>
  <c r="CL233" i="4"/>
  <c r="CL234" i="4"/>
  <c r="CL235" i="4"/>
  <c r="CL236" i="4"/>
  <c r="CL237" i="4"/>
  <c r="CL238" i="4"/>
  <c r="CL239" i="4"/>
  <c r="CL240" i="4"/>
  <c r="CL241" i="4"/>
  <c r="CL242" i="4"/>
  <c r="CL243" i="4"/>
  <c r="CL244" i="4"/>
  <c r="CL245" i="4"/>
  <c r="CL246" i="4"/>
  <c r="CL247" i="4"/>
  <c r="CL248" i="4"/>
  <c r="CL249" i="4"/>
  <c r="CL250" i="4"/>
  <c r="CL251" i="4"/>
  <c r="CL252" i="4"/>
  <c r="CL253" i="4"/>
  <c r="CL254" i="4"/>
  <c r="CL255" i="4"/>
  <c r="CL256" i="4"/>
  <c r="CL257" i="4"/>
  <c r="CL258" i="4"/>
  <c r="CL259" i="4"/>
  <c r="CL260" i="4"/>
  <c r="CL261" i="4"/>
  <c r="CL262" i="4"/>
  <c r="CL263" i="4"/>
  <c r="CL264" i="4"/>
  <c r="CL265" i="4"/>
  <c r="CL266" i="4"/>
  <c r="CL267" i="4"/>
  <c r="CL268" i="4"/>
  <c r="CL269" i="4"/>
  <c r="CL270" i="4"/>
  <c r="CL271" i="4"/>
  <c r="CL272" i="4"/>
  <c r="CL273" i="4"/>
  <c r="CL274" i="4"/>
  <c r="CL275" i="4"/>
  <c r="CL276" i="4"/>
  <c r="CL277" i="4"/>
  <c r="CL278" i="4"/>
  <c r="CL279" i="4"/>
  <c r="CL280" i="4"/>
  <c r="CL281" i="4"/>
  <c r="CL282" i="4"/>
  <c r="CM10" i="4"/>
  <c r="CM11" i="4"/>
  <c r="CM12" i="4"/>
  <c r="CM13" i="4"/>
  <c r="CM14" i="4"/>
  <c r="CM15" i="4"/>
  <c r="CM16" i="4"/>
  <c r="CM17" i="4"/>
  <c r="CM19" i="4"/>
  <c r="CM18" i="4"/>
  <c r="CM20" i="4"/>
  <c r="CM21" i="4"/>
  <c r="CM22" i="4"/>
  <c r="CM23" i="4"/>
  <c r="CM24" i="4"/>
  <c r="CM25" i="4"/>
  <c r="CM26" i="4"/>
  <c r="CM27" i="4"/>
  <c r="CM28" i="4"/>
  <c r="CM29" i="4"/>
  <c r="CM30" i="4"/>
  <c r="CM31" i="4"/>
  <c r="CM32" i="4"/>
  <c r="CM33" i="4"/>
  <c r="CM34" i="4"/>
  <c r="CM35" i="4"/>
  <c r="CM36" i="4"/>
  <c r="CM37" i="4"/>
  <c r="CM38" i="4"/>
  <c r="CM39" i="4"/>
  <c r="CM40" i="4"/>
  <c r="CM41" i="4"/>
  <c r="CM42" i="4"/>
  <c r="CM43" i="4"/>
  <c r="CM44" i="4"/>
  <c r="CM45" i="4"/>
  <c r="CM46" i="4"/>
  <c r="CM47" i="4"/>
  <c r="CM48" i="4"/>
  <c r="CM49" i="4"/>
  <c r="CM50" i="4"/>
  <c r="CM51" i="4"/>
  <c r="CM52" i="4"/>
  <c r="CM53" i="4"/>
  <c r="CM54" i="4"/>
  <c r="CM55" i="4"/>
  <c r="CM56" i="4"/>
  <c r="CM57" i="4"/>
  <c r="CM58" i="4"/>
  <c r="CM59" i="4"/>
  <c r="CM60" i="4"/>
  <c r="CM61" i="4"/>
  <c r="CM62" i="4"/>
  <c r="CM63" i="4"/>
  <c r="CM64" i="4"/>
  <c r="CM65" i="4"/>
  <c r="CM66" i="4"/>
  <c r="CM67" i="4"/>
  <c r="CM68" i="4"/>
  <c r="CM70" i="4"/>
  <c r="CM69" i="4"/>
  <c r="CM71" i="4"/>
  <c r="CM72" i="4"/>
  <c r="CM73" i="4"/>
  <c r="CM74" i="4"/>
  <c r="CM75" i="4"/>
  <c r="CM76" i="4"/>
  <c r="CM77" i="4"/>
  <c r="CM78" i="4"/>
  <c r="CM79" i="4"/>
  <c r="CM80" i="4"/>
  <c r="CM81" i="4"/>
  <c r="CM82" i="4"/>
  <c r="CM83" i="4"/>
  <c r="CM84" i="4"/>
  <c r="CM85" i="4"/>
  <c r="CM86" i="4"/>
  <c r="CM87" i="4"/>
  <c r="CM88" i="4"/>
  <c r="CM89" i="4"/>
  <c r="CM90" i="4"/>
  <c r="CM91" i="4"/>
  <c r="CM92" i="4"/>
  <c r="CM93" i="4"/>
  <c r="CM94" i="4"/>
  <c r="CM95" i="4"/>
  <c r="CM96" i="4"/>
  <c r="CM97" i="4"/>
  <c r="CM98" i="4"/>
  <c r="CM99" i="4"/>
  <c r="CM100" i="4"/>
  <c r="CM101" i="4"/>
  <c r="CM102" i="4"/>
  <c r="CM103" i="4"/>
  <c r="CM104" i="4"/>
  <c r="CM105" i="4"/>
  <c r="CM106" i="4"/>
  <c r="CM107" i="4"/>
  <c r="CM108" i="4"/>
  <c r="CM109" i="4"/>
  <c r="CM110" i="4"/>
  <c r="CM111" i="4"/>
  <c r="CM112" i="4"/>
  <c r="CM113" i="4"/>
  <c r="CM114" i="4"/>
  <c r="CM115" i="4"/>
  <c r="CM116" i="4"/>
  <c r="CM117" i="4"/>
  <c r="CM118" i="4"/>
  <c r="CM119" i="4"/>
  <c r="CM120" i="4"/>
  <c r="CM121" i="4"/>
  <c r="CM122" i="4"/>
  <c r="CM123" i="4"/>
  <c r="CM124" i="4"/>
  <c r="CM125" i="4"/>
  <c r="CM126" i="4"/>
  <c r="CM127" i="4"/>
  <c r="CM128" i="4"/>
  <c r="CM129" i="4"/>
  <c r="CM130" i="4"/>
  <c r="CM131" i="4"/>
  <c r="CM132" i="4"/>
  <c r="CM133" i="4"/>
  <c r="CM134" i="4"/>
  <c r="CM135" i="4"/>
  <c r="CM136" i="4"/>
  <c r="CM137" i="4"/>
  <c r="CM138" i="4"/>
  <c r="CM139" i="4"/>
  <c r="CM140" i="4"/>
  <c r="CM141" i="4"/>
  <c r="CM142" i="4"/>
  <c r="CM143" i="4"/>
  <c r="CM144" i="4"/>
  <c r="CM145" i="4"/>
  <c r="CM146" i="4"/>
  <c r="CM147" i="4"/>
  <c r="CM148" i="4"/>
  <c r="CM149" i="4"/>
  <c r="CM150" i="4"/>
  <c r="CM151" i="4"/>
  <c r="CM152" i="4"/>
  <c r="CM153" i="4"/>
  <c r="CM154" i="4"/>
  <c r="CM155" i="4"/>
  <c r="CM156" i="4"/>
  <c r="CM157" i="4"/>
  <c r="CM158" i="4"/>
  <c r="CM159" i="4"/>
  <c r="CM160" i="4"/>
  <c r="CM161" i="4"/>
  <c r="CM162" i="4"/>
  <c r="CM163" i="4"/>
  <c r="CM164" i="4"/>
  <c r="CM165" i="4"/>
  <c r="CM166" i="4"/>
  <c r="CM167" i="4"/>
  <c r="CM168" i="4"/>
  <c r="CM169" i="4"/>
  <c r="CM170" i="4"/>
  <c r="CM171" i="4"/>
  <c r="CM173" i="4"/>
  <c r="CM172" i="4"/>
  <c r="CM175" i="4"/>
  <c r="CM174" i="4"/>
  <c r="CM177" i="4"/>
  <c r="CM176" i="4"/>
  <c r="CM179" i="4"/>
  <c r="CM178" i="4"/>
  <c r="CM180" i="4"/>
  <c r="CM181" i="4"/>
  <c r="CM182" i="4"/>
  <c r="CM183" i="4"/>
  <c r="CM184" i="4"/>
  <c r="CM185" i="4"/>
  <c r="CM186" i="4"/>
  <c r="CM187" i="4"/>
  <c r="CM188" i="4"/>
  <c r="CM189" i="4"/>
  <c r="CM190" i="4"/>
  <c r="CM191" i="4"/>
  <c r="CM192" i="4"/>
  <c r="CM193" i="4"/>
  <c r="CM194" i="4"/>
  <c r="CM195" i="4"/>
  <c r="CM196" i="4"/>
  <c r="CM197" i="4"/>
  <c r="CM198" i="4"/>
  <c r="CM199" i="4"/>
  <c r="CM200" i="4"/>
  <c r="CM201" i="4"/>
  <c r="CM202" i="4"/>
  <c r="CM203" i="4"/>
  <c r="CM204" i="4"/>
  <c r="CM205" i="4"/>
  <c r="CM206" i="4"/>
  <c r="CM207" i="4"/>
  <c r="CM208" i="4"/>
  <c r="CM209" i="4"/>
  <c r="CM210" i="4"/>
  <c r="CM211" i="4"/>
  <c r="CM212" i="4"/>
  <c r="CM213" i="4"/>
  <c r="CM214" i="4"/>
  <c r="CM215" i="4"/>
  <c r="CM216" i="4"/>
  <c r="CM217" i="4"/>
  <c r="CM218" i="4"/>
  <c r="CM219" i="4"/>
  <c r="CM220" i="4"/>
  <c r="CM221" i="4"/>
  <c r="CM222" i="4"/>
  <c r="CM223" i="4"/>
  <c r="CM224" i="4"/>
  <c r="CM225" i="4"/>
  <c r="CM226" i="4"/>
  <c r="CM227" i="4"/>
  <c r="CM228" i="4"/>
  <c r="CM229" i="4"/>
  <c r="CM230" i="4"/>
  <c r="CM231" i="4"/>
  <c r="CM232" i="4"/>
  <c r="CM233" i="4"/>
  <c r="CM234" i="4"/>
  <c r="CM235" i="4"/>
  <c r="CM236" i="4"/>
  <c r="CM237" i="4"/>
  <c r="CM238" i="4"/>
  <c r="CM239" i="4"/>
  <c r="CM240" i="4"/>
  <c r="CM241" i="4"/>
  <c r="CM242" i="4"/>
  <c r="CM243" i="4"/>
  <c r="CM244" i="4"/>
  <c r="CM245" i="4"/>
  <c r="CM246" i="4"/>
  <c r="CM247" i="4"/>
  <c r="CM248" i="4"/>
  <c r="CM249" i="4"/>
  <c r="CM250" i="4"/>
  <c r="CM251" i="4"/>
  <c r="CM252" i="4"/>
  <c r="CM253" i="4"/>
  <c r="CM254" i="4"/>
  <c r="CM255" i="4"/>
  <c r="CM256" i="4"/>
  <c r="CM257" i="4"/>
  <c r="CM258" i="4"/>
  <c r="CM259" i="4"/>
  <c r="CM260" i="4"/>
  <c r="CM261" i="4"/>
  <c r="CM262" i="4"/>
  <c r="CM263" i="4"/>
  <c r="CM264" i="4"/>
  <c r="CM265" i="4"/>
  <c r="CM266" i="4"/>
  <c r="CM267" i="4"/>
  <c r="CM268" i="4"/>
  <c r="CM269" i="4"/>
  <c r="CM270" i="4"/>
  <c r="CM271" i="4"/>
  <c r="CM272" i="4"/>
  <c r="CM273" i="4"/>
  <c r="CM274" i="4"/>
  <c r="CM275" i="4"/>
  <c r="CM276" i="4"/>
  <c r="CM277" i="4"/>
  <c r="CM278" i="4"/>
  <c r="CM279" i="4"/>
  <c r="CM280" i="4"/>
  <c r="CM281" i="4"/>
  <c r="CM282" i="4"/>
  <c r="CE278" i="4" l="1"/>
  <c r="CG278" i="4" s="1"/>
  <c r="CE270" i="4"/>
  <c r="CG270" i="4" s="1"/>
  <c r="CE262" i="4"/>
  <c r="CG262" i="4" s="1"/>
  <c r="CE254" i="4"/>
  <c r="CG254" i="4" s="1"/>
  <c r="CE246" i="4"/>
  <c r="CG246" i="4" s="1"/>
  <c r="CE238" i="4"/>
  <c r="CG238" i="4" s="1"/>
  <c r="CE230" i="4"/>
  <c r="CG230" i="4" s="1"/>
  <c r="CE222" i="4"/>
  <c r="CG222" i="4" s="1"/>
  <c r="CE214" i="4"/>
  <c r="CG214" i="4" s="1"/>
  <c r="CE206" i="4"/>
  <c r="CG206" i="4" s="1"/>
  <c r="CE198" i="4"/>
  <c r="CG198" i="4" s="1"/>
  <c r="CE190" i="4"/>
  <c r="CE182" i="4"/>
  <c r="CG182" i="4" s="1"/>
  <c r="CE175" i="4"/>
  <c r="CG175" i="4" s="1"/>
  <c r="CE166" i="4"/>
  <c r="CG166" i="4" s="1"/>
  <c r="CE158" i="4"/>
  <c r="CG158" i="4" s="1"/>
  <c r="CE150" i="4"/>
  <c r="CG150" i="4" s="1"/>
  <c r="CE142" i="4"/>
  <c r="CG142" i="4" s="1"/>
  <c r="CE134" i="4"/>
  <c r="CG134" i="4" s="1"/>
  <c r="CE126" i="4"/>
  <c r="CG126" i="4" s="1"/>
  <c r="CE118" i="4"/>
  <c r="CG118" i="4" s="1"/>
  <c r="CE110" i="4"/>
  <c r="CG110" i="4" s="1"/>
  <c r="CE102" i="4"/>
  <c r="CG102" i="4" s="1"/>
  <c r="CE94" i="4"/>
  <c r="CG94" i="4" s="1"/>
  <c r="CE86" i="4"/>
  <c r="CG86" i="4" s="1"/>
  <c r="CE78" i="4"/>
  <c r="CG78" i="4" s="1"/>
  <c r="CE69" i="4"/>
  <c r="CG69" i="4" s="1"/>
  <c r="CE62" i="4"/>
  <c r="CG62" i="4" s="1"/>
  <c r="CE54" i="4"/>
  <c r="CG54" i="4" s="1"/>
  <c r="CE46" i="4"/>
  <c r="CG46" i="4" s="1"/>
  <c r="CE38" i="4"/>
  <c r="CG38" i="4" s="1"/>
  <c r="CE30" i="4"/>
  <c r="CG30" i="4" s="1"/>
  <c r="CE22" i="4"/>
  <c r="CG22" i="4" s="1"/>
  <c r="CE14" i="4"/>
  <c r="CG14" i="4" s="1"/>
  <c r="CE18" i="4"/>
  <c r="CG18" i="4" s="1"/>
  <c r="CE275" i="4"/>
  <c r="CG275" i="4" s="1"/>
  <c r="CE267" i="4"/>
  <c r="CG267" i="4" s="1"/>
  <c r="CE259" i="4"/>
  <c r="CG259" i="4" s="1"/>
  <c r="CE251" i="4"/>
  <c r="CG251" i="4" s="1"/>
  <c r="CE243" i="4"/>
  <c r="CG243" i="4" s="1"/>
  <c r="CE235" i="4"/>
  <c r="CG235" i="4" s="1"/>
  <c r="CE227" i="4"/>
  <c r="CG227" i="4" s="1"/>
  <c r="CE219" i="4"/>
  <c r="CG219" i="4" s="1"/>
  <c r="CE211" i="4"/>
  <c r="CG211" i="4" s="1"/>
  <c r="CE195" i="4"/>
  <c r="CG195" i="4" s="1"/>
  <c r="CE187" i="4"/>
  <c r="CG187" i="4" s="1"/>
  <c r="CE178" i="4"/>
  <c r="CG178" i="4" s="1"/>
  <c r="CE171" i="4"/>
  <c r="CG171" i="4" s="1"/>
  <c r="CE155" i="4"/>
  <c r="CG155" i="4" s="1"/>
  <c r="CE147" i="4"/>
  <c r="CG147" i="4" s="1"/>
  <c r="CE123" i="4"/>
  <c r="CG123" i="4" s="1"/>
  <c r="CE115" i="4"/>
  <c r="CG115" i="4" s="1"/>
  <c r="CE91" i="4"/>
  <c r="CG91" i="4" s="1"/>
  <c r="CE83" i="4"/>
  <c r="CG83" i="4" s="1"/>
  <c r="CE59" i="4"/>
  <c r="CG59" i="4" s="1"/>
  <c r="CE51" i="4"/>
  <c r="CG51" i="4" s="1"/>
  <c r="CE27" i="4"/>
  <c r="CG27" i="4" s="1"/>
  <c r="CE101" i="4"/>
  <c r="CG101" i="4" s="1"/>
  <c r="CE61" i="4"/>
  <c r="CG61" i="4" s="1"/>
  <c r="CE279" i="4"/>
  <c r="CG279" i="4" s="1"/>
  <c r="CE271" i="4"/>
  <c r="CG271" i="4" s="1"/>
  <c r="CE263" i="4"/>
  <c r="CG263" i="4" s="1"/>
  <c r="CE255" i="4"/>
  <c r="CG255" i="4" s="1"/>
  <c r="CE247" i="4"/>
  <c r="CG247" i="4" s="1"/>
  <c r="CE239" i="4"/>
  <c r="CG239" i="4" s="1"/>
  <c r="CE231" i="4"/>
  <c r="CG231" i="4" s="1"/>
  <c r="CE223" i="4"/>
  <c r="CG223" i="4" s="1"/>
  <c r="CE215" i="4"/>
  <c r="CG215" i="4" s="1"/>
  <c r="CE207" i="4"/>
  <c r="CG207" i="4" s="1"/>
  <c r="CE191" i="4"/>
  <c r="CG191" i="4" s="1"/>
  <c r="CE183" i="4"/>
  <c r="CG183" i="4" s="1"/>
  <c r="CE167" i="4"/>
  <c r="CG167" i="4" s="1"/>
  <c r="CE159" i="4"/>
  <c r="CG159" i="4" s="1"/>
  <c r="CE151" i="4"/>
  <c r="CG151" i="4" s="1"/>
  <c r="CE143" i="4"/>
  <c r="CG143" i="4" s="1"/>
  <c r="CE127" i="4"/>
  <c r="CG127" i="4" s="1"/>
  <c r="CE119" i="4"/>
  <c r="CG119" i="4" s="1"/>
  <c r="CE111" i="4"/>
  <c r="CG111" i="4" s="1"/>
  <c r="CE95" i="4"/>
  <c r="CG95" i="4" s="1"/>
  <c r="CE87" i="4"/>
  <c r="CG87" i="4" s="1"/>
  <c r="CE79" i="4"/>
  <c r="CG79" i="4" s="1"/>
  <c r="CE63" i="4"/>
  <c r="CG63" i="4" s="1"/>
  <c r="CE55" i="4"/>
  <c r="CG55" i="4" s="1"/>
  <c r="CE31" i="4"/>
  <c r="CG31" i="4" s="1"/>
  <c r="CE23" i="4"/>
  <c r="CG23" i="4" s="1"/>
  <c r="CE15" i="4"/>
  <c r="CG15" i="4" s="1"/>
  <c r="CE120" i="4"/>
  <c r="CG120" i="4" s="1"/>
  <c r="CE47" i="4"/>
  <c r="CG47" i="4" s="1"/>
  <c r="CE272" i="4"/>
  <c r="CG272" i="4" s="1"/>
  <c r="CE256" i="4"/>
  <c r="CG256" i="4" s="1"/>
  <c r="CE248" i="4"/>
  <c r="CG248" i="4" s="1"/>
  <c r="CE240" i="4"/>
  <c r="CG240" i="4" s="1"/>
  <c r="CE224" i="4"/>
  <c r="CG224" i="4" s="1"/>
  <c r="CE216" i="4"/>
  <c r="CG216" i="4" s="1"/>
  <c r="CE192" i="4"/>
  <c r="CG192" i="4" s="1"/>
  <c r="CE184" i="4"/>
  <c r="CG184" i="4" s="1"/>
  <c r="CE177" i="4"/>
  <c r="CG177" i="4" s="1"/>
  <c r="CE152" i="4"/>
  <c r="CG152" i="4" s="1"/>
  <c r="CE144" i="4"/>
  <c r="CG144" i="4" s="1"/>
  <c r="CE136" i="4"/>
  <c r="CG136" i="4" s="1"/>
  <c r="CE128" i="4"/>
  <c r="CG128" i="4" s="1"/>
  <c r="CE104" i="4"/>
  <c r="CG104" i="4" s="1"/>
  <c r="CE80" i="4"/>
  <c r="CG80" i="4" s="1"/>
  <c r="CE64" i="4"/>
  <c r="CG64" i="4" s="1"/>
  <c r="CE56" i="4"/>
  <c r="CG56" i="4" s="1"/>
  <c r="CE32" i="4"/>
  <c r="CG32" i="4" s="1"/>
  <c r="CE276" i="4"/>
  <c r="CG276" i="4" s="1"/>
  <c r="CE268" i="4"/>
  <c r="CG268" i="4" s="1"/>
  <c r="CE260" i="4"/>
  <c r="CG260" i="4" s="1"/>
  <c r="CE252" i="4"/>
  <c r="CG252" i="4" s="1"/>
  <c r="CE244" i="4"/>
  <c r="CG244" i="4" s="1"/>
  <c r="CE236" i="4"/>
  <c r="CG236" i="4" s="1"/>
  <c r="CE228" i="4"/>
  <c r="CG228" i="4" s="1"/>
  <c r="CE220" i="4"/>
  <c r="CG220" i="4" s="1"/>
  <c r="CE212" i="4"/>
  <c r="CG212" i="4" s="1"/>
  <c r="CE204" i="4"/>
  <c r="CG204" i="4" s="1"/>
  <c r="CE196" i="4"/>
  <c r="CG196" i="4" s="1"/>
  <c r="CE188" i="4"/>
  <c r="CG188" i="4" s="1"/>
  <c r="CE180" i="4"/>
  <c r="CG180" i="4" s="1"/>
  <c r="CE173" i="4"/>
  <c r="CG173" i="4" s="1"/>
  <c r="CE164" i="4"/>
  <c r="CG164" i="4" s="1"/>
  <c r="CE156" i="4"/>
  <c r="CG156" i="4" s="1"/>
  <c r="CE148" i="4"/>
  <c r="CG148" i="4" s="1"/>
  <c r="CE140" i="4"/>
  <c r="CG140" i="4" s="1"/>
  <c r="CE132" i="4"/>
  <c r="CG132" i="4" s="1"/>
  <c r="CE124" i="4"/>
  <c r="CG124" i="4" s="1"/>
  <c r="CE116" i="4"/>
  <c r="CG116" i="4" s="1"/>
  <c r="CE108" i="4"/>
  <c r="CG108" i="4" s="1"/>
  <c r="CE100" i="4"/>
  <c r="CG100" i="4" s="1"/>
  <c r="CE92" i="4"/>
  <c r="CG92" i="4" s="1"/>
  <c r="CE84" i="4"/>
  <c r="CG84" i="4" s="1"/>
  <c r="CE76" i="4"/>
  <c r="CG76" i="4" s="1"/>
  <c r="CE68" i="4"/>
  <c r="CG68" i="4" s="1"/>
  <c r="CE60" i="4"/>
  <c r="CG60" i="4" s="1"/>
  <c r="CE52" i="4"/>
  <c r="CG52" i="4" s="1"/>
  <c r="CE44" i="4"/>
  <c r="CG44" i="4" s="1"/>
  <c r="CE36" i="4"/>
  <c r="CG36" i="4" s="1"/>
  <c r="CE28" i="4"/>
  <c r="CG28" i="4" s="1"/>
  <c r="CE20" i="4"/>
  <c r="CG20" i="4" s="1"/>
  <c r="CE12" i="4"/>
  <c r="CG12" i="4" s="1"/>
  <c r="CE280" i="4"/>
  <c r="CG280" i="4" s="1"/>
  <c r="CE264" i="4"/>
  <c r="CG264" i="4" s="1"/>
  <c r="CE232" i="4"/>
  <c r="CG232" i="4" s="1"/>
  <c r="CE208" i="4"/>
  <c r="CG208" i="4" s="1"/>
  <c r="CE200" i="4"/>
  <c r="CG200" i="4" s="1"/>
  <c r="CE168" i="4"/>
  <c r="CG168" i="4" s="1"/>
  <c r="CE160" i="4"/>
  <c r="CG160" i="4" s="1"/>
  <c r="CE112" i="4"/>
  <c r="CG112" i="4" s="1"/>
  <c r="CE96" i="4"/>
  <c r="CG96" i="4" s="1"/>
  <c r="CE88" i="4"/>
  <c r="CG88" i="4" s="1"/>
  <c r="CE72" i="4"/>
  <c r="CG72" i="4" s="1"/>
  <c r="CE48" i="4"/>
  <c r="CG48" i="4" s="1"/>
  <c r="CE40" i="4"/>
  <c r="CG40" i="4" s="1"/>
  <c r="CE24" i="4"/>
  <c r="CG24" i="4" s="1"/>
  <c r="CE16" i="4"/>
  <c r="CG16" i="4" s="1"/>
  <c r="CE277" i="4"/>
  <c r="CG277" i="4" s="1"/>
  <c r="CE269" i="4"/>
  <c r="CG269" i="4" s="1"/>
  <c r="CE261" i="4"/>
  <c r="CG261" i="4" s="1"/>
  <c r="CE253" i="4"/>
  <c r="CG253" i="4" s="1"/>
  <c r="CE245" i="4"/>
  <c r="CG245" i="4" s="1"/>
  <c r="CE213" i="4"/>
  <c r="CG213" i="4" s="1"/>
  <c r="CE205" i="4"/>
  <c r="CG205" i="4" s="1"/>
  <c r="CE197" i="4"/>
  <c r="CG197" i="4" s="1"/>
  <c r="CE189" i="4"/>
  <c r="CG189" i="4" s="1"/>
  <c r="CE181" i="4"/>
  <c r="CG181" i="4" s="1"/>
  <c r="CE172" i="4"/>
  <c r="CG172" i="4" s="1"/>
  <c r="CE165" i="4"/>
  <c r="CG165" i="4" s="1"/>
  <c r="CE149" i="4"/>
  <c r="CG149" i="4" s="1"/>
  <c r="CE141" i="4"/>
  <c r="CG141" i="4" s="1"/>
  <c r="CE133" i="4"/>
  <c r="CG133" i="4" s="1"/>
  <c r="CE125" i="4"/>
  <c r="CG125" i="4" s="1"/>
  <c r="CE117" i="4"/>
  <c r="CG117" i="4" s="1"/>
  <c r="CE109" i="4"/>
  <c r="CG109" i="4" s="1"/>
  <c r="CE93" i="4"/>
  <c r="CG93" i="4" s="1"/>
  <c r="CE85" i="4"/>
  <c r="CG85" i="4" s="1"/>
  <c r="CE77" i="4"/>
  <c r="CG77" i="4" s="1"/>
  <c r="CE70" i="4"/>
  <c r="CG70" i="4" s="1"/>
  <c r="CE53" i="4"/>
  <c r="CG53" i="4" s="1"/>
  <c r="CE45" i="4"/>
  <c r="CG45" i="4" s="1"/>
  <c r="CE37" i="4"/>
  <c r="CG37" i="4" s="1"/>
  <c r="CE29" i="4"/>
  <c r="CG29" i="4" s="1"/>
  <c r="CE21" i="4"/>
  <c r="CG21" i="4" s="1"/>
  <c r="CE13" i="4"/>
  <c r="CG13" i="4" s="1"/>
  <c r="CE281" i="4"/>
  <c r="CG281" i="4" s="1"/>
  <c r="CE273" i="4"/>
  <c r="CG273" i="4" s="1"/>
  <c r="CE265" i="4"/>
  <c r="CG265" i="4" s="1"/>
  <c r="CE257" i="4"/>
  <c r="CG257" i="4" s="1"/>
  <c r="CE249" i="4"/>
  <c r="CG249" i="4" s="1"/>
  <c r="CE241" i="4"/>
  <c r="CG241" i="4" s="1"/>
  <c r="CE233" i="4"/>
  <c r="CG233" i="4" s="1"/>
  <c r="CE225" i="4"/>
  <c r="CG225" i="4" s="1"/>
  <c r="CE217" i="4"/>
  <c r="CG217" i="4" s="1"/>
  <c r="CE209" i="4"/>
  <c r="CG209" i="4" s="1"/>
  <c r="CE201" i="4"/>
  <c r="CG201" i="4" s="1"/>
  <c r="CE193" i="4"/>
  <c r="CG193" i="4" s="1"/>
  <c r="CE185" i="4"/>
  <c r="CG185" i="4" s="1"/>
  <c r="CE176" i="4"/>
  <c r="CG176" i="4" s="1"/>
  <c r="CE169" i="4"/>
  <c r="CG169" i="4" s="1"/>
  <c r="CE161" i="4"/>
  <c r="CG161" i="4" s="1"/>
  <c r="CE153" i="4"/>
  <c r="CG153" i="4" s="1"/>
  <c r="CE145" i="4"/>
  <c r="CG145" i="4" s="1"/>
  <c r="CE137" i="4"/>
  <c r="CG137" i="4" s="1"/>
  <c r="CE129" i="4"/>
  <c r="CG129" i="4" s="1"/>
  <c r="CE121" i="4"/>
  <c r="CG121" i="4" s="1"/>
  <c r="CE113" i="4"/>
  <c r="CG113" i="4" s="1"/>
  <c r="CE105" i="4"/>
  <c r="CG105" i="4" s="1"/>
  <c r="CE97" i="4"/>
  <c r="CG97" i="4" s="1"/>
  <c r="CE89" i="4"/>
  <c r="CG89" i="4" s="1"/>
  <c r="CE81" i="4"/>
  <c r="CG81" i="4" s="1"/>
  <c r="CE73" i="4"/>
  <c r="CG73" i="4" s="1"/>
  <c r="CE65" i="4"/>
  <c r="CG65" i="4" s="1"/>
  <c r="CE57" i="4"/>
  <c r="CG57" i="4" s="1"/>
  <c r="CE49" i="4"/>
  <c r="CG49" i="4" s="1"/>
  <c r="CE41" i="4"/>
  <c r="CG41" i="4" s="1"/>
  <c r="CE33" i="4"/>
  <c r="CG33" i="4" s="1"/>
  <c r="CE25" i="4"/>
  <c r="CG25" i="4" s="1"/>
  <c r="CE17" i="4"/>
  <c r="CG17" i="4" s="1"/>
  <c r="CE203" i="4"/>
  <c r="CG203" i="4" s="1"/>
  <c r="CE163" i="4"/>
  <c r="CG163" i="4" s="1"/>
  <c r="CE139" i="4"/>
  <c r="CG139" i="4" s="1"/>
  <c r="CE131" i="4"/>
  <c r="CG131" i="4" s="1"/>
  <c r="CE107" i="4"/>
  <c r="CG107" i="4" s="1"/>
  <c r="CE99" i="4"/>
  <c r="CG99" i="4" s="1"/>
  <c r="CE75" i="4"/>
  <c r="CG75" i="4" s="1"/>
  <c r="CE67" i="4"/>
  <c r="CG67" i="4" s="1"/>
  <c r="CE43" i="4"/>
  <c r="CG43" i="4" s="1"/>
  <c r="CE35" i="4"/>
  <c r="CG35" i="4" s="1"/>
  <c r="CE11" i="4"/>
  <c r="CG11" i="4" s="1"/>
  <c r="CE237" i="4"/>
  <c r="CG237" i="4" s="1"/>
  <c r="CE229" i="4"/>
  <c r="CG229" i="4" s="1"/>
  <c r="CE221" i="4"/>
  <c r="CG221" i="4" s="1"/>
  <c r="CE157" i="4"/>
  <c r="CG157" i="4" s="1"/>
  <c r="CE282" i="4"/>
  <c r="CG282" i="4" s="1"/>
  <c r="CE274" i="4"/>
  <c r="CG274" i="4" s="1"/>
  <c r="CE266" i="4"/>
  <c r="CG266" i="4" s="1"/>
  <c r="CE258" i="4"/>
  <c r="CG258" i="4" s="1"/>
  <c r="CE250" i="4"/>
  <c r="CG250" i="4" s="1"/>
  <c r="CE242" i="4"/>
  <c r="CG242" i="4" s="1"/>
  <c r="CE234" i="4"/>
  <c r="CG234" i="4" s="1"/>
  <c r="CE226" i="4"/>
  <c r="CG226" i="4" s="1"/>
  <c r="CE218" i="4"/>
  <c r="CG218" i="4" s="1"/>
  <c r="CE210" i="4"/>
  <c r="CG210" i="4" s="1"/>
  <c r="CE202" i="4"/>
  <c r="CG202" i="4" s="1"/>
  <c r="CE194" i="4"/>
  <c r="CG194" i="4" s="1"/>
  <c r="CE186" i="4"/>
  <c r="CG186" i="4" s="1"/>
  <c r="CE179" i="4"/>
  <c r="CG179" i="4" s="1"/>
  <c r="CE170" i="4"/>
  <c r="CG170" i="4" s="1"/>
  <c r="CE162" i="4"/>
  <c r="CG162" i="4" s="1"/>
  <c r="CE154" i="4"/>
  <c r="CG154" i="4" s="1"/>
  <c r="CE146" i="4"/>
  <c r="CG146" i="4" s="1"/>
  <c r="CE138" i="4"/>
  <c r="CG138" i="4" s="1"/>
  <c r="CE130" i="4"/>
  <c r="CG130" i="4" s="1"/>
  <c r="CE122" i="4"/>
  <c r="CG122" i="4" s="1"/>
  <c r="CE114" i="4"/>
  <c r="CG114" i="4" s="1"/>
  <c r="CE106" i="4"/>
  <c r="CG106" i="4" s="1"/>
  <c r="CE98" i="4"/>
  <c r="CG98" i="4" s="1"/>
  <c r="CE90" i="4"/>
  <c r="CG90" i="4" s="1"/>
  <c r="CE82" i="4"/>
  <c r="CG82" i="4" s="1"/>
  <c r="CE74" i="4"/>
  <c r="CG74" i="4" s="1"/>
  <c r="CE66" i="4"/>
  <c r="CG66" i="4" s="1"/>
  <c r="CE58" i="4"/>
  <c r="CG58" i="4" s="1"/>
  <c r="CE50" i="4"/>
  <c r="CG50" i="4" s="1"/>
  <c r="CE42" i="4"/>
  <c r="CG42" i="4" s="1"/>
  <c r="CE34" i="4"/>
  <c r="CG34" i="4" s="1"/>
  <c r="CE26" i="4"/>
  <c r="CG26" i="4" s="1"/>
  <c r="CE19" i="4"/>
  <c r="CG19" i="4" s="1"/>
  <c r="CE10" i="4"/>
  <c r="CG10" i="4" s="1"/>
  <c r="CG190" i="4"/>
  <c r="CE199" i="4"/>
  <c r="CG199" i="4" s="1"/>
  <c r="CE174" i="4"/>
  <c r="CG174" i="4" s="1"/>
  <c r="CE135" i="4"/>
  <c r="CG135" i="4" s="1"/>
  <c r="CE103" i="4"/>
  <c r="CG103" i="4" s="1"/>
  <c r="CE71" i="4"/>
  <c r="CG71" i="4" s="1"/>
  <c r="CE39" i="4"/>
  <c r="CG39" i="4" s="1"/>
  <c r="AE5" i="4" l="1"/>
  <c r="AE4" i="4"/>
  <c r="AL17" i="33" l="1"/>
  <c r="G101" i="47" l="1"/>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1" i="43" l="1"/>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1" i="42" l="1"/>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F4" i="4"/>
  <c r="AG4" i="4"/>
  <c r="AH4" i="4"/>
  <c r="AI4" i="4"/>
  <c r="AJ4" i="4"/>
  <c r="AK4" i="4"/>
  <c r="AL4" i="4"/>
  <c r="AM4"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F14" i="44" l="1"/>
  <c r="S14" i="46"/>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l="1"/>
  <c r="CK9" i="4" l="1"/>
  <c r="CO9" i="4" s="1"/>
  <c r="CJ9" i="4"/>
  <c r="CN9" i="4" s="1"/>
  <c r="CI9" i="4" l="1"/>
  <c r="D4" i="4" l="1"/>
  <c r="D3" i="4"/>
  <c r="BN15" i="4" l="1"/>
  <c r="BN23" i="4"/>
  <c r="BN31" i="4"/>
  <c r="BN39" i="4"/>
  <c r="BN47" i="4"/>
  <c r="BN55" i="4"/>
  <c r="BN63" i="4"/>
  <c r="BN71" i="4"/>
  <c r="BN79" i="4"/>
  <c r="BN87" i="4"/>
  <c r="BN95" i="4"/>
  <c r="BN103" i="4"/>
  <c r="BN111" i="4"/>
  <c r="BN119" i="4"/>
  <c r="BN127" i="4"/>
  <c r="BN135" i="4"/>
  <c r="BN143" i="4"/>
  <c r="BN151" i="4"/>
  <c r="BN159" i="4"/>
  <c r="BN167" i="4"/>
  <c r="BN174" i="4"/>
  <c r="BN183" i="4"/>
  <c r="BN191" i="4"/>
  <c r="BN199" i="4"/>
  <c r="BN207" i="4"/>
  <c r="BN16" i="4"/>
  <c r="BN24" i="4"/>
  <c r="BN32" i="4"/>
  <c r="BN40" i="4"/>
  <c r="BN48" i="4"/>
  <c r="BN56" i="4"/>
  <c r="BN64" i="4"/>
  <c r="BN72" i="4"/>
  <c r="BN80" i="4"/>
  <c r="BN88" i="4"/>
  <c r="BN96" i="4"/>
  <c r="BN104" i="4"/>
  <c r="BN112" i="4"/>
  <c r="BN120" i="4"/>
  <c r="BN128" i="4"/>
  <c r="BN136" i="4"/>
  <c r="BN144" i="4"/>
  <c r="BN152" i="4"/>
  <c r="BN160" i="4"/>
  <c r="BN168" i="4"/>
  <c r="BN177" i="4"/>
  <c r="BN184" i="4"/>
  <c r="BN192" i="4"/>
  <c r="BN200" i="4"/>
  <c r="BN208" i="4"/>
  <c r="BN216" i="4"/>
  <c r="BN224" i="4"/>
  <c r="BN232" i="4"/>
  <c r="BN240" i="4"/>
  <c r="BN248" i="4"/>
  <c r="BN256" i="4"/>
  <c r="BN264" i="4"/>
  <c r="BN272" i="4"/>
  <c r="BN280" i="4"/>
  <c r="BR10" i="4"/>
  <c r="BN17" i="4"/>
  <c r="BN25" i="4"/>
  <c r="BN33" i="4"/>
  <c r="BN41" i="4"/>
  <c r="BN49" i="4"/>
  <c r="BN57" i="4"/>
  <c r="BN65" i="4"/>
  <c r="BN73" i="4"/>
  <c r="BN81" i="4"/>
  <c r="BN89" i="4"/>
  <c r="BN97" i="4"/>
  <c r="BN105" i="4"/>
  <c r="BN113" i="4"/>
  <c r="BN121" i="4"/>
  <c r="BN129" i="4"/>
  <c r="BN137" i="4"/>
  <c r="BN145" i="4"/>
  <c r="BN153" i="4"/>
  <c r="BN161" i="4"/>
  <c r="BN169" i="4"/>
  <c r="BN176" i="4"/>
  <c r="BN185" i="4"/>
  <c r="BN193" i="4"/>
  <c r="BN201" i="4"/>
  <c r="BN209" i="4"/>
  <c r="BN217" i="4"/>
  <c r="BN225" i="4"/>
  <c r="BN233" i="4"/>
  <c r="BN241" i="4"/>
  <c r="BN249" i="4"/>
  <c r="BN257" i="4"/>
  <c r="BN265" i="4"/>
  <c r="BN273" i="4"/>
  <c r="BN281" i="4"/>
  <c r="BN10" i="4"/>
  <c r="BN19" i="4"/>
  <c r="BN26" i="4"/>
  <c r="BN34" i="4"/>
  <c r="BN42" i="4"/>
  <c r="BN50" i="4"/>
  <c r="BN58" i="4"/>
  <c r="BN66" i="4"/>
  <c r="BN74" i="4"/>
  <c r="BN82" i="4"/>
  <c r="BN90" i="4"/>
  <c r="BN98" i="4"/>
  <c r="BN106" i="4"/>
  <c r="BN114" i="4"/>
  <c r="BN122" i="4"/>
  <c r="BN130" i="4"/>
  <c r="BN138" i="4"/>
  <c r="BN146" i="4"/>
  <c r="BN154" i="4"/>
  <c r="BN162" i="4"/>
  <c r="BN170" i="4"/>
  <c r="BN179" i="4"/>
  <c r="BN186" i="4"/>
  <c r="BN194" i="4"/>
  <c r="BN202" i="4"/>
  <c r="BN210" i="4"/>
  <c r="BN218" i="4"/>
  <c r="BN226" i="4"/>
  <c r="BN234" i="4"/>
  <c r="BN242" i="4"/>
  <c r="BN250" i="4"/>
  <c r="BN258" i="4"/>
  <c r="BN266" i="4"/>
  <c r="BN274" i="4"/>
  <c r="BN282" i="4"/>
  <c r="BR12" i="4"/>
  <c r="BR20" i="4"/>
  <c r="BR28" i="4"/>
  <c r="BR36" i="4"/>
  <c r="BR44" i="4"/>
  <c r="BR52" i="4"/>
  <c r="BR60" i="4"/>
  <c r="BR68" i="4"/>
  <c r="BR76" i="4"/>
  <c r="BR84" i="4"/>
  <c r="BR92" i="4"/>
  <c r="BN11" i="4"/>
  <c r="BN18" i="4"/>
  <c r="BN27" i="4"/>
  <c r="BN35" i="4"/>
  <c r="BN43" i="4"/>
  <c r="BN51" i="4"/>
  <c r="BN59" i="4"/>
  <c r="BN67" i="4"/>
  <c r="BN75" i="4"/>
  <c r="BN83" i="4"/>
  <c r="BN91" i="4"/>
  <c r="BN99" i="4"/>
  <c r="BN107" i="4"/>
  <c r="BN115" i="4"/>
  <c r="BN123" i="4"/>
  <c r="BN131" i="4"/>
  <c r="BN139" i="4"/>
  <c r="BN147" i="4"/>
  <c r="BN155" i="4"/>
  <c r="BN163" i="4"/>
  <c r="BN171" i="4"/>
  <c r="BN178" i="4"/>
  <c r="BN187" i="4"/>
  <c r="BN195" i="4"/>
  <c r="BN203" i="4"/>
  <c r="BN211" i="4"/>
  <c r="BN219" i="4"/>
  <c r="BN227" i="4"/>
  <c r="BN235" i="4"/>
  <c r="BN243" i="4"/>
  <c r="BN251" i="4"/>
  <c r="BN259" i="4"/>
  <c r="BN267" i="4"/>
  <c r="BN275" i="4"/>
  <c r="BN13" i="4"/>
  <c r="BN21" i="4"/>
  <c r="BN29" i="4"/>
  <c r="BN37" i="4"/>
  <c r="BN45" i="4"/>
  <c r="BN53" i="4"/>
  <c r="BN61" i="4"/>
  <c r="BN70" i="4"/>
  <c r="BN77" i="4"/>
  <c r="BN85" i="4"/>
  <c r="BN93" i="4"/>
  <c r="BN101" i="4"/>
  <c r="BN109" i="4"/>
  <c r="BN117" i="4"/>
  <c r="BN125" i="4"/>
  <c r="BN133" i="4"/>
  <c r="BN141" i="4"/>
  <c r="BN149" i="4"/>
  <c r="BN157" i="4"/>
  <c r="BN165" i="4"/>
  <c r="BN172" i="4"/>
  <c r="BN181" i="4"/>
  <c r="BN189" i="4"/>
  <c r="BN197" i="4"/>
  <c r="BN205" i="4"/>
  <c r="BN213" i="4"/>
  <c r="BN221" i="4"/>
  <c r="BN229" i="4"/>
  <c r="BN237" i="4"/>
  <c r="BN245" i="4"/>
  <c r="BN253" i="4"/>
  <c r="BN261" i="4"/>
  <c r="BN269" i="4"/>
  <c r="BN277" i="4"/>
  <c r="BR15" i="4"/>
  <c r="BR23" i="4"/>
  <c r="BR31" i="4"/>
  <c r="BR39" i="4"/>
  <c r="BR47" i="4"/>
  <c r="BR55" i="4"/>
  <c r="BR63" i="4"/>
  <c r="BR71" i="4"/>
  <c r="BR79" i="4"/>
  <c r="BR87" i="4"/>
  <c r="BR95" i="4"/>
  <c r="BN30" i="4"/>
  <c r="BN62" i="4"/>
  <c r="BN94" i="4"/>
  <c r="BN126" i="4"/>
  <c r="BN158" i="4"/>
  <c r="BN190" i="4"/>
  <c r="BN220" i="4"/>
  <c r="BN239" i="4"/>
  <c r="BN262" i="4"/>
  <c r="BR19" i="4"/>
  <c r="BR29" i="4"/>
  <c r="BR40" i="4"/>
  <c r="BR50" i="4"/>
  <c r="BR61" i="4"/>
  <c r="BR72" i="4"/>
  <c r="BR82" i="4"/>
  <c r="BR93" i="4"/>
  <c r="BR102" i="4"/>
  <c r="BR110" i="4"/>
  <c r="BR118" i="4"/>
  <c r="BR126" i="4"/>
  <c r="BR134" i="4"/>
  <c r="BR142" i="4"/>
  <c r="BR150" i="4"/>
  <c r="BR158" i="4"/>
  <c r="BR166" i="4"/>
  <c r="BR175" i="4"/>
  <c r="BR182" i="4"/>
  <c r="BR190" i="4"/>
  <c r="BR198" i="4"/>
  <c r="BR206" i="4"/>
  <c r="BR214" i="4"/>
  <c r="BR222" i="4"/>
  <c r="BR230" i="4"/>
  <c r="BR238" i="4"/>
  <c r="BR246" i="4"/>
  <c r="BR254" i="4"/>
  <c r="BR262" i="4"/>
  <c r="BR270" i="4"/>
  <c r="BR278" i="4"/>
  <c r="BN36" i="4"/>
  <c r="BN68" i="4"/>
  <c r="BN100" i="4"/>
  <c r="BN132" i="4"/>
  <c r="BN164" i="4"/>
  <c r="BN196" i="4"/>
  <c r="BN222" i="4"/>
  <c r="BN244" i="4"/>
  <c r="BN263" i="4"/>
  <c r="BR18" i="4"/>
  <c r="BR30" i="4"/>
  <c r="BR41" i="4"/>
  <c r="BR51" i="4"/>
  <c r="BR62" i="4"/>
  <c r="BR73" i="4"/>
  <c r="BR83" i="4"/>
  <c r="BR94" i="4"/>
  <c r="BR103" i="4"/>
  <c r="BR111" i="4"/>
  <c r="BR119" i="4"/>
  <c r="BR127" i="4"/>
  <c r="BR135" i="4"/>
  <c r="BR143" i="4"/>
  <c r="BR151" i="4"/>
  <c r="BR159" i="4"/>
  <c r="BR167" i="4"/>
  <c r="BR174" i="4"/>
  <c r="BR183" i="4"/>
  <c r="BR191" i="4"/>
  <c r="BR199" i="4"/>
  <c r="BR207" i="4"/>
  <c r="BR215" i="4"/>
  <c r="BR223" i="4"/>
  <c r="BR231" i="4"/>
  <c r="BR239" i="4"/>
  <c r="BR247" i="4"/>
  <c r="BR255" i="4"/>
  <c r="BR263" i="4"/>
  <c r="BR271" i="4"/>
  <c r="BR279" i="4"/>
  <c r="BN38" i="4"/>
  <c r="BN69" i="4"/>
  <c r="BN102" i="4"/>
  <c r="BN134" i="4"/>
  <c r="BN166" i="4"/>
  <c r="BN198" i="4"/>
  <c r="BN223" i="4"/>
  <c r="BN246" i="4"/>
  <c r="BN268" i="4"/>
  <c r="BR21" i="4"/>
  <c r="BR32" i="4"/>
  <c r="BR42" i="4"/>
  <c r="BR53" i="4"/>
  <c r="BR64" i="4"/>
  <c r="BR74" i="4"/>
  <c r="BR85" i="4"/>
  <c r="BR96" i="4"/>
  <c r="BR104" i="4"/>
  <c r="BR112" i="4"/>
  <c r="BR120" i="4"/>
  <c r="BR128" i="4"/>
  <c r="BR136" i="4"/>
  <c r="BR144" i="4"/>
  <c r="BR152" i="4"/>
  <c r="BR160" i="4"/>
  <c r="BR168" i="4"/>
  <c r="BR177" i="4"/>
  <c r="BR184" i="4"/>
  <c r="BR192" i="4"/>
  <c r="BR200" i="4"/>
  <c r="BR208" i="4"/>
  <c r="BR216" i="4"/>
  <c r="BR224" i="4"/>
  <c r="BR232" i="4"/>
  <c r="BR240" i="4"/>
  <c r="BR248" i="4"/>
  <c r="BR256" i="4"/>
  <c r="BR264" i="4"/>
  <c r="BR272" i="4"/>
  <c r="BR280" i="4"/>
  <c r="BN12" i="4"/>
  <c r="BN44" i="4"/>
  <c r="BN76" i="4"/>
  <c r="BN108" i="4"/>
  <c r="BN140" i="4"/>
  <c r="BN173" i="4"/>
  <c r="BN204" i="4"/>
  <c r="BN228" i="4"/>
  <c r="BN247" i="4"/>
  <c r="BN270" i="4"/>
  <c r="BR11" i="4"/>
  <c r="BR22" i="4"/>
  <c r="BR33" i="4"/>
  <c r="BR43" i="4"/>
  <c r="BR54" i="4"/>
  <c r="BR65" i="4"/>
  <c r="BR75" i="4"/>
  <c r="BR86" i="4"/>
  <c r="BR97" i="4"/>
  <c r="BR105" i="4"/>
  <c r="BR113" i="4"/>
  <c r="BR121" i="4"/>
  <c r="BR129" i="4"/>
  <c r="BR137" i="4"/>
  <c r="BR145" i="4"/>
  <c r="BR153" i="4"/>
  <c r="BR161" i="4"/>
  <c r="BR169" i="4"/>
  <c r="BR176" i="4"/>
  <c r="BR185" i="4"/>
  <c r="BR193" i="4"/>
  <c r="BR201" i="4"/>
  <c r="BR209" i="4"/>
  <c r="BR217" i="4"/>
  <c r="BR225" i="4"/>
  <c r="BR233" i="4"/>
  <c r="BR241" i="4"/>
  <c r="BR249" i="4"/>
  <c r="BR257" i="4"/>
  <c r="BR265" i="4"/>
  <c r="BR273" i="4"/>
  <c r="BR281" i="4"/>
  <c r="BN14" i="4"/>
  <c r="BN46" i="4"/>
  <c r="BN78" i="4"/>
  <c r="BN110" i="4"/>
  <c r="BN142" i="4"/>
  <c r="BN175" i="4"/>
  <c r="BN206" i="4"/>
  <c r="BN230" i="4"/>
  <c r="BN252" i="4"/>
  <c r="BN271" i="4"/>
  <c r="BR13" i="4"/>
  <c r="BR24" i="4"/>
  <c r="BR34" i="4"/>
  <c r="BR45" i="4"/>
  <c r="BR56" i="4"/>
  <c r="BR66" i="4"/>
  <c r="BR77" i="4"/>
  <c r="BR88" i="4"/>
  <c r="BR98" i="4"/>
  <c r="BR106" i="4"/>
  <c r="BR114" i="4"/>
  <c r="BR122" i="4"/>
  <c r="BR130" i="4"/>
  <c r="BR138" i="4"/>
  <c r="BR146" i="4"/>
  <c r="BR154" i="4"/>
  <c r="BR162" i="4"/>
  <c r="BR170" i="4"/>
  <c r="BR179" i="4"/>
  <c r="BR186" i="4"/>
  <c r="BR194" i="4"/>
  <c r="BR202" i="4"/>
  <c r="BR210" i="4"/>
  <c r="BR218" i="4"/>
  <c r="BR226" i="4"/>
  <c r="BR234" i="4"/>
  <c r="BR242" i="4"/>
  <c r="BR250" i="4"/>
  <c r="BR258" i="4"/>
  <c r="BR266" i="4"/>
  <c r="BR274" i="4"/>
  <c r="BR282" i="4"/>
  <c r="BN20" i="4"/>
  <c r="BN52" i="4"/>
  <c r="BN84" i="4"/>
  <c r="BN116" i="4"/>
  <c r="BN148" i="4"/>
  <c r="BN180" i="4"/>
  <c r="BN212" i="4"/>
  <c r="BN231" i="4"/>
  <c r="BN254" i="4"/>
  <c r="BN276" i="4"/>
  <c r="BR14" i="4"/>
  <c r="BR25" i="4"/>
  <c r="BR35" i="4"/>
  <c r="BR46" i="4"/>
  <c r="BR57" i="4"/>
  <c r="BR67" i="4"/>
  <c r="BR78" i="4"/>
  <c r="BR89" i="4"/>
  <c r="BR99" i="4"/>
  <c r="BR107" i="4"/>
  <c r="BR115" i="4"/>
  <c r="BR123" i="4"/>
  <c r="BR131" i="4"/>
  <c r="BR139" i="4"/>
  <c r="BR147" i="4"/>
  <c r="BR155" i="4"/>
  <c r="BR163" i="4"/>
  <c r="BR171" i="4"/>
  <c r="BR178" i="4"/>
  <c r="BR187" i="4"/>
  <c r="BR195" i="4"/>
  <c r="BR203" i="4"/>
  <c r="BR211" i="4"/>
  <c r="BR219" i="4"/>
  <c r="BR227" i="4"/>
  <c r="BR235" i="4"/>
  <c r="BR243" i="4"/>
  <c r="BR251" i="4"/>
  <c r="BR259" i="4"/>
  <c r="BR267" i="4"/>
  <c r="BR275" i="4"/>
  <c r="BN22" i="4"/>
  <c r="BN54" i="4"/>
  <c r="BN86" i="4"/>
  <c r="BN118" i="4"/>
  <c r="BN150" i="4"/>
  <c r="BN182" i="4"/>
  <c r="BN214" i="4"/>
  <c r="BN236" i="4"/>
  <c r="BN255" i="4"/>
  <c r="BN278" i="4"/>
  <c r="BR16" i="4"/>
  <c r="BR26" i="4"/>
  <c r="BR37" i="4"/>
  <c r="BR48" i="4"/>
  <c r="BR58" i="4"/>
  <c r="BR70" i="4"/>
  <c r="BR80" i="4"/>
  <c r="BR90" i="4"/>
  <c r="BR100" i="4"/>
  <c r="BR108" i="4"/>
  <c r="BR116" i="4"/>
  <c r="BR124" i="4"/>
  <c r="BR132" i="4"/>
  <c r="BR140" i="4"/>
  <c r="BR148" i="4"/>
  <c r="BR156" i="4"/>
  <c r="BR164" i="4"/>
  <c r="BR173" i="4"/>
  <c r="BR180" i="4"/>
  <c r="BR188" i="4"/>
  <c r="BR196" i="4"/>
  <c r="BR204" i="4"/>
  <c r="BR212" i="4"/>
  <c r="BR220" i="4"/>
  <c r="BR228" i="4"/>
  <c r="BR236" i="4"/>
  <c r="BR244" i="4"/>
  <c r="BR252" i="4"/>
  <c r="BR260" i="4"/>
  <c r="BR268" i="4"/>
  <c r="BR276" i="4"/>
  <c r="BN188" i="4"/>
  <c r="BR81" i="4"/>
  <c r="BR149" i="4"/>
  <c r="BR213" i="4"/>
  <c r="BR277" i="4"/>
  <c r="BN215" i="4"/>
  <c r="BR91" i="4"/>
  <c r="BR157" i="4"/>
  <c r="BR221" i="4"/>
  <c r="BN238" i="4"/>
  <c r="BR17" i="4"/>
  <c r="BR101" i="4"/>
  <c r="BR165" i="4"/>
  <c r="BR229" i="4"/>
  <c r="BN28" i="4"/>
  <c r="BN260" i="4"/>
  <c r="BR27" i="4"/>
  <c r="BR109" i="4"/>
  <c r="BR172" i="4"/>
  <c r="BR237" i="4"/>
  <c r="BR141" i="4"/>
  <c r="BN60" i="4"/>
  <c r="BN279" i="4"/>
  <c r="BR38" i="4"/>
  <c r="BR117" i="4"/>
  <c r="BR181" i="4"/>
  <c r="BR245" i="4"/>
  <c r="BN92" i="4"/>
  <c r="BR49" i="4"/>
  <c r="BR125" i="4"/>
  <c r="BR189" i="4"/>
  <c r="BR253" i="4"/>
  <c r="BR69" i="4"/>
  <c r="BR205" i="4"/>
  <c r="BN124" i="4"/>
  <c r="BR59" i="4"/>
  <c r="BR133" i="4"/>
  <c r="BR197" i="4"/>
  <c r="BR261" i="4"/>
  <c r="BN156" i="4"/>
  <c r="BR269" i="4"/>
  <c r="BO15" i="4"/>
  <c r="BO23" i="4"/>
  <c r="BO31" i="4"/>
  <c r="BO39" i="4"/>
  <c r="BO47" i="4"/>
  <c r="BO55" i="4"/>
  <c r="BO63" i="4"/>
  <c r="BO71" i="4"/>
  <c r="BO79" i="4"/>
  <c r="BO87" i="4"/>
  <c r="BO95" i="4"/>
  <c r="BO103" i="4"/>
  <c r="BO111" i="4"/>
  <c r="BO119" i="4"/>
  <c r="BO127" i="4"/>
  <c r="BO135" i="4"/>
  <c r="BO143" i="4"/>
  <c r="BO151" i="4"/>
  <c r="BO159" i="4"/>
  <c r="BO167" i="4"/>
  <c r="BO174" i="4"/>
  <c r="BO183" i="4"/>
  <c r="BO191" i="4"/>
  <c r="BO199" i="4"/>
  <c r="BO207" i="4"/>
  <c r="BO215" i="4"/>
  <c r="BO223" i="4"/>
  <c r="BO231" i="4"/>
  <c r="BO239" i="4"/>
  <c r="BO247" i="4"/>
  <c r="BO255" i="4"/>
  <c r="BO263" i="4"/>
  <c r="BO271" i="4"/>
  <c r="BO279" i="4"/>
  <c r="BO16" i="4"/>
  <c r="BQ16" i="4" s="1"/>
  <c r="BO24" i="4"/>
  <c r="BQ24" i="4" s="1"/>
  <c r="BO32" i="4"/>
  <c r="BO40" i="4"/>
  <c r="BQ40" i="4" s="1"/>
  <c r="BO48" i="4"/>
  <c r="BQ48" i="4" s="1"/>
  <c r="BO56" i="4"/>
  <c r="BO64" i="4"/>
  <c r="BO72" i="4"/>
  <c r="BO80" i="4"/>
  <c r="BQ80" i="4" s="1"/>
  <c r="BO17" i="4"/>
  <c r="BO25" i="4"/>
  <c r="BO33" i="4"/>
  <c r="BQ33" i="4" s="1"/>
  <c r="BO41" i="4"/>
  <c r="BO49" i="4"/>
  <c r="BQ49" i="4" s="1"/>
  <c r="BO57" i="4"/>
  <c r="BQ57" i="4" s="1"/>
  <c r="BO65" i="4"/>
  <c r="BO73" i="4"/>
  <c r="BO81" i="4"/>
  <c r="BO89" i="4"/>
  <c r="BO97" i="4"/>
  <c r="BQ97" i="4" s="1"/>
  <c r="BO105" i="4"/>
  <c r="BO113" i="4"/>
  <c r="BQ113" i="4" s="1"/>
  <c r="BO121" i="4"/>
  <c r="BQ121" i="4" s="1"/>
  <c r="BO129" i="4"/>
  <c r="BO137" i="4"/>
  <c r="BO145" i="4"/>
  <c r="BO153" i="4"/>
  <c r="BO161" i="4"/>
  <c r="BQ161" i="4" s="1"/>
  <c r="BO169" i="4"/>
  <c r="BO176" i="4"/>
  <c r="BQ176" i="4" s="1"/>
  <c r="BO185" i="4"/>
  <c r="BQ185" i="4" s="1"/>
  <c r="BO193" i="4"/>
  <c r="BO201" i="4"/>
  <c r="BO209" i="4"/>
  <c r="BO217" i="4"/>
  <c r="BO225" i="4"/>
  <c r="BQ225" i="4" s="1"/>
  <c r="BO233" i="4"/>
  <c r="BO241" i="4"/>
  <c r="BQ241" i="4" s="1"/>
  <c r="BO249" i="4"/>
  <c r="BQ249" i="4" s="1"/>
  <c r="BO257" i="4"/>
  <c r="BO265" i="4"/>
  <c r="BO273" i="4"/>
  <c r="BO281" i="4"/>
  <c r="BO10" i="4"/>
  <c r="BQ10" i="4" s="1"/>
  <c r="BO19" i="4"/>
  <c r="BO26" i="4"/>
  <c r="BQ26" i="4" s="1"/>
  <c r="BO34" i="4"/>
  <c r="BQ34" i="4" s="1"/>
  <c r="BO42" i="4"/>
  <c r="BO50" i="4"/>
  <c r="BO58" i="4"/>
  <c r="BO66" i="4"/>
  <c r="BO74" i="4"/>
  <c r="BQ74" i="4" s="1"/>
  <c r="BO82" i="4"/>
  <c r="BO90" i="4"/>
  <c r="BQ90" i="4" s="1"/>
  <c r="BO98" i="4"/>
  <c r="BQ98" i="4" s="1"/>
  <c r="BO106" i="4"/>
  <c r="BO114" i="4"/>
  <c r="BO122" i="4"/>
  <c r="BO130" i="4"/>
  <c r="BO138" i="4"/>
  <c r="BQ138" i="4" s="1"/>
  <c r="BO146" i="4"/>
  <c r="BO154" i="4"/>
  <c r="BQ154" i="4" s="1"/>
  <c r="BO12" i="4"/>
  <c r="BO20" i="4"/>
  <c r="BO28" i="4"/>
  <c r="BO36" i="4"/>
  <c r="BO44" i="4"/>
  <c r="BO52" i="4"/>
  <c r="BO60" i="4"/>
  <c r="BO68" i="4"/>
  <c r="BO76" i="4"/>
  <c r="BO84" i="4"/>
  <c r="BO92" i="4"/>
  <c r="BQ92" i="4" s="1"/>
  <c r="BO100" i="4"/>
  <c r="BQ100" i="4" s="1"/>
  <c r="BO108" i="4"/>
  <c r="BQ108" i="4" s="1"/>
  <c r="BO116" i="4"/>
  <c r="BO124" i="4"/>
  <c r="BO132" i="4"/>
  <c r="BO140" i="4"/>
  <c r="BO148" i="4"/>
  <c r="BQ148" i="4" s="1"/>
  <c r="BO156" i="4"/>
  <c r="BO164" i="4"/>
  <c r="BO173" i="4"/>
  <c r="BQ173" i="4" s="1"/>
  <c r="BO180" i="4"/>
  <c r="BO188" i="4"/>
  <c r="BO196" i="4"/>
  <c r="BQ196" i="4" s="1"/>
  <c r="BO204" i="4"/>
  <c r="BO212" i="4"/>
  <c r="BO220" i="4"/>
  <c r="BQ220" i="4" s="1"/>
  <c r="BO228" i="4"/>
  <c r="BQ228" i="4" s="1"/>
  <c r="BO236" i="4"/>
  <c r="BO244" i="4"/>
  <c r="BQ244" i="4" s="1"/>
  <c r="BO252" i="4"/>
  <c r="BO260" i="4"/>
  <c r="BO268" i="4"/>
  <c r="BO276" i="4"/>
  <c r="BO11" i="4"/>
  <c r="BQ11" i="4" s="1"/>
  <c r="BO30" i="4"/>
  <c r="BO53" i="4"/>
  <c r="BO75" i="4"/>
  <c r="BO93" i="4"/>
  <c r="BQ93" i="4" s="1"/>
  <c r="BO109" i="4"/>
  <c r="BO125" i="4"/>
  <c r="BO141" i="4"/>
  <c r="BO157" i="4"/>
  <c r="BQ157" i="4" s="1"/>
  <c r="BO170" i="4"/>
  <c r="BQ170" i="4" s="1"/>
  <c r="BO182" i="4"/>
  <c r="BO195" i="4"/>
  <c r="BO208" i="4"/>
  <c r="BQ208" i="4" s="1"/>
  <c r="BO221" i="4"/>
  <c r="BQ221" i="4" s="1"/>
  <c r="BO234" i="4"/>
  <c r="BQ234" i="4" s="1"/>
  <c r="BO246" i="4"/>
  <c r="BO259" i="4"/>
  <c r="BO272" i="4"/>
  <c r="BQ272" i="4" s="1"/>
  <c r="BO13" i="4"/>
  <c r="BQ13" i="4" s="1"/>
  <c r="BO35" i="4"/>
  <c r="BQ35" i="4" s="1"/>
  <c r="BO54" i="4"/>
  <c r="BO77" i="4"/>
  <c r="BO94" i="4"/>
  <c r="BO110" i="4"/>
  <c r="BO126" i="4"/>
  <c r="BO142" i="4"/>
  <c r="BO158" i="4"/>
  <c r="BO171" i="4"/>
  <c r="BQ171" i="4" s="1"/>
  <c r="BO184" i="4"/>
  <c r="BO197" i="4"/>
  <c r="BO210" i="4"/>
  <c r="BO222" i="4"/>
  <c r="BQ222" i="4" s="1"/>
  <c r="BO235" i="4"/>
  <c r="BQ235" i="4" s="1"/>
  <c r="BO248" i="4"/>
  <c r="BO261" i="4"/>
  <c r="BO274" i="4"/>
  <c r="BQ274" i="4" s="1"/>
  <c r="BO14" i="4"/>
  <c r="BO37" i="4"/>
  <c r="BQ37" i="4" s="1"/>
  <c r="BO59" i="4"/>
  <c r="BQ59" i="4" s="1"/>
  <c r="BO78" i="4"/>
  <c r="BO96" i="4"/>
  <c r="BO112" i="4"/>
  <c r="BQ112" i="4" s="1"/>
  <c r="BO128" i="4"/>
  <c r="BO144" i="4"/>
  <c r="BQ144" i="4" s="1"/>
  <c r="BO160" i="4"/>
  <c r="BO172" i="4"/>
  <c r="BO186" i="4"/>
  <c r="BO198" i="4"/>
  <c r="BO211" i="4"/>
  <c r="BO224" i="4"/>
  <c r="BQ224" i="4" s="1"/>
  <c r="BO237" i="4"/>
  <c r="BO250" i="4"/>
  <c r="BO262" i="4"/>
  <c r="BO275" i="4"/>
  <c r="BO18" i="4"/>
  <c r="BQ18" i="4" s="1"/>
  <c r="BO38" i="4"/>
  <c r="BQ38" i="4" s="1"/>
  <c r="BO61" i="4"/>
  <c r="BQ61" i="4" s="1"/>
  <c r="BO83" i="4"/>
  <c r="BQ83" i="4" s="1"/>
  <c r="BO99" i="4"/>
  <c r="BO115" i="4"/>
  <c r="BQ115" i="4" s="1"/>
  <c r="BO131" i="4"/>
  <c r="BO147" i="4"/>
  <c r="BO162" i="4"/>
  <c r="BQ162" i="4" s="1"/>
  <c r="BO175" i="4"/>
  <c r="BO187" i="4"/>
  <c r="BO200" i="4"/>
  <c r="BQ200" i="4" s="1"/>
  <c r="BO213" i="4"/>
  <c r="BO226" i="4"/>
  <c r="BQ226" i="4" s="1"/>
  <c r="BO238" i="4"/>
  <c r="BO251" i="4"/>
  <c r="BO264" i="4"/>
  <c r="BQ264" i="4" s="1"/>
  <c r="BO277" i="4"/>
  <c r="CH14" i="4"/>
  <c r="CH22" i="4"/>
  <c r="CH30" i="4"/>
  <c r="CH38" i="4"/>
  <c r="CH46" i="4"/>
  <c r="CH54" i="4"/>
  <c r="CH62" i="4"/>
  <c r="CH69" i="4"/>
  <c r="CH78" i="4"/>
  <c r="CH86" i="4"/>
  <c r="CH94" i="4"/>
  <c r="CH102" i="4"/>
  <c r="CH110" i="4"/>
  <c r="CH118" i="4"/>
  <c r="CH126" i="4"/>
  <c r="CH134" i="4"/>
  <c r="CH142" i="4"/>
  <c r="CH150" i="4"/>
  <c r="CH158" i="4"/>
  <c r="BO21" i="4"/>
  <c r="BQ21" i="4" s="1"/>
  <c r="BO43" i="4"/>
  <c r="BQ43" i="4" s="1"/>
  <c r="BO62" i="4"/>
  <c r="BO85" i="4"/>
  <c r="BO101" i="4"/>
  <c r="BQ101" i="4" s="1"/>
  <c r="BO117" i="4"/>
  <c r="BO133" i="4"/>
  <c r="BQ133" i="4" s="1"/>
  <c r="BO149" i="4"/>
  <c r="BO163" i="4"/>
  <c r="BQ163" i="4" s="1"/>
  <c r="BO177" i="4"/>
  <c r="BQ177" i="4" s="1"/>
  <c r="BO189" i="4"/>
  <c r="BO202" i="4"/>
  <c r="BO214" i="4"/>
  <c r="BO227" i="4"/>
  <c r="BO240" i="4"/>
  <c r="BQ240" i="4" s="1"/>
  <c r="BO253" i="4"/>
  <c r="BO266" i="4"/>
  <c r="BQ266" i="4" s="1"/>
  <c r="BO278" i="4"/>
  <c r="CH15" i="4"/>
  <c r="CH23" i="4"/>
  <c r="CH31" i="4"/>
  <c r="CH39" i="4"/>
  <c r="CH47" i="4"/>
  <c r="CH55" i="4"/>
  <c r="CH63" i="4"/>
  <c r="CH71" i="4"/>
  <c r="CH79" i="4"/>
  <c r="CH87" i="4"/>
  <c r="CH95" i="4"/>
  <c r="CH103" i="4"/>
  <c r="CH111" i="4"/>
  <c r="CH119" i="4"/>
  <c r="CH127" i="4"/>
  <c r="BO22" i="4"/>
  <c r="BQ22" i="4" s="1"/>
  <c r="BO45" i="4"/>
  <c r="BO67" i="4"/>
  <c r="BO86" i="4"/>
  <c r="BO102" i="4"/>
  <c r="BO118" i="4"/>
  <c r="BO134" i="4"/>
  <c r="BQ134" i="4" s="1"/>
  <c r="BO150" i="4"/>
  <c r="BO165" i="4"/>
  <c r="BQ165" i="4" s="1"/>
  <c r="BO179" i="4"/>
  <c r="BO190" i="4"/>
  <c r="BQ190" i="4" s="1"/>
  <c r="BO203" i="4"/>
  <c r="BO216" i="4"/>
  <c r="BO229" i="4"/>
  <c r="BQ229" i="4" s="1"/>
  <c r="BO242" i="4"/>
  <c r="BO254" i="4"/>
  <c r="BQ254" i="4" s="1"/>
  <c r="BO267" i="4"/>
  <c r="BO280" i="4"/>
  <c r="BO27" i="4"/>
  <c r="BO46" i="4"/>
  <c r="BO70" i="4"/>
  <c r="BO88" i="4"/>
  <c r="BQ88" i="4" s="1"/>
  <c r="BO104" i="4"/>
  <c r="BQ104" i="4" s="1"/>
  <c r="BO120" i="4"/>
  <c r="BQ120" i="4" s="1"/>
  <c r="BO136" i="4"/>
  <c r="BQ136" i="4" s="1"/>
  <c r="BO152" i="4"/>
  <c r="BO166" i="4"/>
  <c r="BO178" i="4"/>
  <c r="BQ178" i="4" s="1"/>
  <c r="BO192" i="4"/>
  <c r="BO205" i="4"/>
  <c r="BO218" i="4"/>
  <c r="BQ218" i="4" s="1"/>
  <c r="BO230" i="4"/>
  <c r="BO243" i="4"/>
  <c r="BQ243" i="4" s="1"/>
  <c r="BO256" i="4"/>
  <c r="BO269" i="4"/>
  <c r="BO282" i="4"/>
  <c r="BQ282" i="4" s="1"/>
  <c r="CH17" i="4"/>
  <c r="CH25" i="4"/>
  <c r="CH33" i="4"/>
  <c r="CH41" i="4"/>
  <c r="CH49" i="4"/>
  <c r="CH57" i="4"/>
  <c r="CH65" i="4"/>
  <c r="CH73" i="4"/>
  <c r="CH81" i="4"/>
  <c r="CH89" i="4"/>
  <c r="CH97" i="4"/>
  <c r="CH105" i="4"/>
  <c r="CH113" i="4"/>
  <c r="CH121" i="4"/>
  <c r="CH129" i="4"/>
  <c r="CH137" i="4"/>
  <c r="CH145" i="4"/>
  <c r="CH153" i="4"/>
  <c r="BO91" i="4"/>
  <c r="BQ91" i="4" s="1"/>
  <c r="BO206" i="4"/>
  <c r="CH20" i="4"/>
  <c r="CH34" i="4"/>
  <c r="CH45" i="4"/>
  <c r="CH59" i="4"/>
  <c r="CH72" i="4"/>
  <c r="CH84" i="4"/>
  <c r="CH98" i="4"/>
  <c r="CH109" i="4"/>
  <c r="CH123" i="4"/>
  <c r="CH135" i="4"/>
  <c r="CH146" i="4"/>
  <c r="CH156" i="4"/>
  <c r="CH165" i="4"/>
  <c r="CH172" i="4"/>
  <c r="CH181" i="4"/>
  <c r="CH189" i="4"/>
  <c r="CH197" i="4"/>
  <c r="CH205" i="4"/>
  <c r="CH213" i="4"/>
  <c r="CH221" i="4"/>
  <c r="CH229" i="4"/>
  <c r="CH237" i="4"/>
  <c r="CH245" i="4"/>
  <c r="CH253" i="4"/>
  <c r="CH261" i="4"/>
  <c r="CH269" i="4"/>
  <c r="CH277" i="4"/>
  <c r="BO107" i="4"/>
  <c r="BQ107" i="4" s="1"/>
  <c r="BO219" i="4"/>
  <c r="CH10" i="4"/>
  <c r="CH21" i="4"/>
  <c r="CH35" i="4"/>
  <c r="CH48" i="4"/>
  <c r="CH60" i="4"/>
  <c r="CH74" i="4"/>
  <c r="CH85" i="4"/>
  <c r="CH99" i="4"/>
  <c r="CH112" i="4"/>
  <c r="CH124" i="4"/>
  <c r="CH136" i="4"/>
  <c r="CH147" i="4"/>
  <c r="CH157" i="4"/>
  <c r="CH166" i="4"/>
  <c r="CH175" i="4"/>
  <c r="CH182" i="4"/>
  <c r="CH190" i="4"/>
  <c r="CH198" i="4"/>
  <c r="CH206" i="4"/>
  <c r="CH214" i="4"/>
  <c r="CH222" i="4"/>
  <c r="CH230" i="4"/>
  <c r="CH238" i="4"/>
  <c r="CH246" i="4"/>
  <c r="CH254" i="4"/>
  <c r="CH262" i="4"/>
  <c r="CH270" i="4"/>
  <c r="CH278" i="4"/>
  <c r="CH58" i="4"/>
  <c r="CH122" i="4"/>
  <c r="CH180" i="4"/>
  <c r="CH228" i="4"/>
  <c r="CH260" i="4"/>
  <c r="BO123" i="4"/>
  <c r="BO232" i="4"/>
  <c r="CH11" i="4"/>
  <c r="CH24" i="4"/>
  <c r="CH36" i="4"/>
  <c r="CH50" i="4"/>
  <c r="CH61" i="4"/>
  <c r="CH75" i="4"/>
  <c r="CH88" i="4"/>
  <c r="CH100" i="4"/>
  <c r="CH114" i="4"/>
  <c r="CH125" i="4"/>
  <c r="CH138" i="4"/>
  <c r="CH148" i="4"/>
  <c r="CH159" i="4"/>
  <c r="CH167" i="4"/>
  <c r="CH174" i="4"/>
  <c r="CH183" i="4"/>
  <c r="CH191" i="4"/>
  <c r="CH199" i="4"/>
  <c r="CH207" i="4"/>
  <c r="CH215" i="4"/>
  <c r="CH223" i="4"/>
  <c r="CH231" i="4"/>
  <c r="CH239" i="4"/>
  <c r="CH247" i="4"/>
  <c r="CH255" i="4"/>
  <c r="CH263" i="4"/>
  <c r="CH271" i="4"/>
  <c r="CH279" i="4"/>
  <c r="CH83" i="4"/>
  <c r="CH188" i="4"/>
  <c r="BO139" i="4"/>
  <c r="BO245" i="4"/>
  <c r="CH12" i="4"/>
  <c r="CH26" i="4"/>
  <c r="CH37" i="4"/>
  <c r="CH51" i="4"/>
  <c r="CH64" i="4"/>
  <c r="CH76" i="4"/>
  <c r="CH90" i="4"/>
  <c r="CH101" i="4"/>
  <c r="CH115" i="4"/>
  <c r="CH128" i="4"/>
  <c r="CH139" i="4"/>
  <c r="CH149" i="4"/>
  <c r="CH160" i="4"/>
  <c r="CH168" i="4"/>
  <c r="CH177" i="4"/>
  <c r="CH184" i="4"/>
  <c r="CH192" i="4"/>
  <c r="CH200" i="4"/>
  <c r="CH208" i="4"/>
  <c r="CH216" i="4"/>
  <c r="CH224" i="4"/>
  <c r="CH232" i="4"/>
  <c r="CH240" i="4"/>
  <c r="CH248" i="4"/>
  <c r="CH256" i="4"/>
  <c r="CH264" i="4"/>
  <c r="CH272" i="4"/>
  <c r="CH280" i="4"/>
  <c r="CH70" i="4"/>
  <c r="CH133" i="4"/>
  <c r="CH173" i="4"/>
  <c r="CH220" i="4"/>
  <c r="CH268" i="4"/>
  <c r="BO155" i="4"/>
  <c r="BO258" i="4"/>
  <c r="BQ258" i="4" s="1"/>
  <c r="CH13" i="4"/>
  <c r="CH27" i="4"/>
  <c r="CH40" i="4"/>
  <c r="CH52" i="4"/>
  <c r="CH66" i="4"/>
  <c r="CH77" i="4"/>
  <c r="CH91" i="4"/>
  <c r="CH104" i="4"/>
  <c r="CH116" i="4"/>
  <c r="CH130" i="4"/>
  <c r="CH140" i="4"/>
  <c r="CH151" i="4"/>
  <c r="CH161" i="4"/>
  <c r="CH169" i="4"/>
  <c r="CH176" i="4"/>
  <c r="CH185" i="4"/>
  <c r="CH193" i="4"/>
  <c r="CH201" i="4"/>
  <c r="CH209" i="4"/>
  <c r="CH217" i="4"/>
  <c r="CH225" i="4"/>
  <c r="CH233" i="4"/>
  <c r="CH241" i="4"/>
  <c r="CH249" i="4"/>
  <c r="CH257" i="4"/>
  <c r="CH265" i="4"/>
  <c r="CH273" i="4"/>
  <c r="CH281" i="4"/>
  <c r="CH18" i="4"/>
  <c r="CH144" i="4"/>
  <c r="CH196" i="4"/>
  <c r="CH236" i="4"/>
  <c r="CH276" i="4"/>
  <c r="BO29" i="4"/>
  <c r="BQ29" i="4" s="1"/>
  <c r="BO168" i="4"/>
  <c r="BO270" i="4"/>
  <c r="CH16" i="4"/>
  <c r="CH28" i="4"/>
  <c r="CH42" i="4"/>
  <c r="CH53" i="4"/>
  <c r="CH67" i="4"/>
  <c r="CH80" i="4"/>
  <c r="CH92" i="4"/>
  <c r="CH106" i="4"/>
  <c r="CH117" i="4"/>
  <c r="CH131" i="4"/>
  <c r="CH141" i="4"/>
  <c r="CH152" i="4"/>
  <c r="CH162" i="4"/>
  <c r="CH170" i="4"/>
  <c r="CH179" i="4"/>
  <c r="CH186" i="4"/>
  <c r="CH194" i="4"/>
  <c r="CH202" i="4"/>
  <c r="CH210" i="4"/>
  <c r="CH218" i="4"/>
  <c r="CH226" i="4"/>
  <c r="CH234" i="4"/>
  <c r="CH242" i="4"/>
  <c r="CH250" i="4"/>
  <c r="CH258" i="4"/>
  <c r="CH266" i="4"/>
  <c r="CH274" i="4"/>
  <c r="CH282" i="4"/>
  <c r="BO69" i="4"/>
  <c r="CH32" i="4"/>
  <c r="CH96" i="4"/>
  <c r="CH155" i="4"/>
  <c r="CH204" i="4"/>
  <c r="CH244" i="4"/>
  <c r="BO51" i="4"/>
  <c r="BQ51" i="4" s="1"/>
  <c r="BO181" i="4"/>
  <c r="CH19" i="4"/>
  <c r="CH29" i="4"/>
  <c r="CH43" i="4"/>
  <c r="CH56" i="4"/>
  <c r="CH68" i="4"/>
  <c r="CH82" i="4"/>
  <c r="CH93" i="4"/>
  <c r="CH107" i="4"/>
  <c r="CH120" i="4"/>
  <c r="CH132" i="4"/>
  <c r="CH143" i="4"/>
  <c r="CH154" i="4"/>
  <c r="CH163" i="4"/>
  <c r="CH171" i="4"/>
  <c r="CH178" i="4"/>
  <c r="CH187" i="4"/>
  <c r="CH195" i="4"/>
  <c r="CH203" i="4"/>
  <c r="CH211" i="4"/>
  <c r="CH219" i="4"/>
  <c r="CH227" i="4"/>
  <c r="CH235" i="4"/>
  <c r="CH243" i="4"/>
  <c r="CH251" i="4"/>
  <c r="CH259" i="4"/>
  <c r="CH267" i="4"/>
  <c r="CH275" i="4"/>
  <c r="BO194" i="4"/>
  <c r="CH44" i="4"/>
  <c r="CH108" i="4"/>
  <c r="CH164" i="4"/>
  <c r="CH212" i="4"/>
  <c r="CH252" i="4"/>
  <c r="BR9" i="4"/>
  <c r="D5" i="4"/>
  <c r="BN9" i="4"/>
  <c r="CH9" i="4"/>
  <c r="BO9" i="4"/>
  <c r="BQ168" i="4" l="1"/>
  <c r="BQ142" i="4"/>
  <c r="BQ198" i="4"/>
  <c r="BQ72" i="4"/>
  <c r="BQ194" i="4"/>
  <c r="BU194" i="4" s="1"/>
  <c r="BQ123" i="4"/>
  <c r="BQ237" i="4"/>
  <c r="BQ261" i="4"/>
  <c r="BU261" i="4" s="1"/>
  <c r="BQ130" i="4"/>
  <c r="BQ66" i="4"/>
  <c r="BQ281" i="4"/>
  <c r="BQ217" i="4"/>
  <c r="BQ153" i="4"/>
  <c r="BU153" i="4" s="1"/>
  <c r="BQ89" i="4"/>
  <c r="BQ25" i="4"/>
  <c r="BQ70" i="4"/>
  <c r="BW70" i="4" s="1"/>
  <c r="BQ216" i="4"/>
  <c r="BQ102" i="4"/>
  <c r="BQ187" i="4"/>
  <c r="BQ211" i="4"/>
  <c r="BQ86" i="4"/>
  <c r="BU86" i="4" s="1"/>
  <c r="BQ246" i="4"/>
  <c r="BQ106" i="4"/>
  <c r="BQ42" i="4"/>
  <c r="BU42" i="4" s="1"/>
  <c r="BQ257" i="4"/>
  <c r="BQ193" i="4"/>
  <c r="BQ129" i="4"/>
  <c r="BQ65" i="4"/>
  <c r="BQ152" i="4"/>
  <c r="BU152" i="4" s="1"/>
  <c r="BQ280" i="4"/>
  <c r="BQ45" i="4"/>
  <c r="BQ251" i="4"/>
  <c r="BW251" i="4" s="1"/>
  <c r="BQ147" i="4"/>
  <c r="BQ275" i="4"/>
  <c r="BQ197" i="4"/>
  <c r="BQ109" i="4"/>
  <c r="BQ260" i="4"/>
  <c r="BU260" i="4" s="1"/>
  <c r="BQ238" i="4"/>
  <c r="BQ14" i="4"/>
  <c r="BQ252" i="4"/>
  <c r="BW252" i="4" s="1"/>
  <c r="BQ245" i="4"/>
  <c r="BQ206" i="4"/>
  <c r="BQ195" i="4"/>
  <c r="BQ179" i="4"/>
  <c r="BQ181" i="4"/>
  <c r="BU181" i="4" s="1"/>
  <c r="BQ242" i="4"/>
  <c r="BQ67" i="4"/>
  <c r="BQ94" i="4"/>
  <c r="BT94" i="4" s="1"/>
  <c r="BQ53" i="4"/>
  <c r="BQ32" i="4"/>
  <c r="BQ278" i="4"/>
  <c r="BQ131" i="4"/>
  <c r="BV131" i="4" s="1"/>
  <c r="BQ160" i="4"/>
  <c r="BU160" i="4" s="1"/>
  <c r="BQ96" i="4"/>
  <c r="BQ54" i="4"/>
  <c r="D103" i="45"/>
  <c r="D103" i="44"/>
  <c r="D103" i="46"/>
  <c r="D103" i="47"/>
  <c r="D103" i="43"/>
  <c r="D103" i="42"/>
  <c r="D103" i="41"/>
  <c r="D103" i="33"/>
  <c r="D104" i="45"/>
  <c r="D104" i="44"/>
  <c r="D104" i="46"/>
  <c r="D104" i="47"/>
  <c r="D104" i="43"/>
  <c r="D104" i="42"/>
  <c r="D104" i="33"/>
  <c r="D104" i="41"/>
  <c r="BQ182" i="4"/>
  <c r="BV182" i="4" s="1"/>
  <c r="BQ110" i="4"/>
  <c r="BU110" i="4" s="1"/>
  <c r="BQ204" i="4"/>
  <c r="BQ76" i="4"/>
  <c r="BV76" i="4" s="1"/>
  <c r="BQ175" i="4"/>
  <c r="BW175" i="4" s="1"/>
  <c r="BQ172" i="4"/>
  <c r="BT172" i="4" s="1"/>
  <c r="BQ188" i="4"/>
  <c r="BU188" i="4" s="1"/>
  <c r="BQ232" i="4"/>
  <c r="BV232" i="4" s="1"/>
  <c r="BQ230" i="4"/>
  <c r="BV230" i="4" s="1"/>
  <c r="BQ150" i="4"/>
  <c r="BT150" i="4" s="1"/>
  <c r="BQ250" i="4"/>
  <c r="BT250" i="4" s="1"/>
  <c r="BQ75" i="4"/>
  <c r="BU75" i="4" s="1"/>
  <c r="BQ270" i="4"/>
  <c r="BU270" i="4" s="1"/>
  <c r="BQ139" i="4"/>
  <c r="BU139" i="4" s="1"/>
  <c r="BQ253" i="4"/>
  <c r="BV253" i="4" s="1"/>
  <c r="BQ44" i="4"/>
  <c r="BW44" i="4" s="1"/>
  <c r="BQ122" i="4"/>
  <c r="BW122" i="4" s="1"/>
  <c r="BQ58" i="4"/>
  <c r="BU58" i="4" s="1"/>
  <c r="BQ273" i="4"/>
  <c r="BU273" i="4" s="1"/>
  <c r="BQ209" i="4"/>
  <c r="BT209" i="4" s="1"/>
  <c r="BQ145" i="4"/>
  <c r="BU145" i="4" s="1"/>
  <c r="BQ81" i="4"/>
  <c r="BT81" i="4" s="1"/>
  <c r="BQ17" i="4"/>
  <c r="BW17" i="4" s="1"/>
  <c r="BQ69" i="4"/>
  <c r="BW69" i="4" s="1"/>
  <c r="BQ203" i="4"/>
  <c r="BU203" i="4" s="1"/>
  <c r="BQ186" i="4"/>
  <c r="BU186" i="4" s="1"/>
  <c r="BQ125" i="4"/>
  <c r="BQ189" i="4"/>
  <c r="BT189" i="4" s="1"/>
  <c r="BQ62" i="4"/>
  <c r="BV62" i="4" s="1"/>
  <c r="BQ68" i="4"/>
  <c r="BU68" i="4" s="1"/>
  <c r="BQ267" i="4"/>
  <c r="BU267" i="4" s="1"/>
  <c r="BQ118" i="4"/>
  <c r="BU118" i="4" s="1"/>
  <c r="BQ30" i="4"/>
  <c r="BV30" i="4" s="1"/>
  <c r="BQ36" i="4"/>
  <c r="BV36" i="4" s="1"/>
  <c r="BQ39" i="4"/>
  <c r="BW39" i="4" s="1"/>
  <c r="BQ117" i="4"/>
  <c r="BT117" i="4" s="1"/>
  <c r="BQ259" i="4"/>
  <c r="BT259" i="4" s="1"/>
  <c r="BQ156" i="4"/>
  <c r="BU156" i="4" s="1"/>
  <c r="BQ114" i="4"/>
  <c r="BT114" i="4" s="1"/>
  <c r="BQ50" i="4"/>
  <c r="BV50" i="4" s="1"/>
  <c r="BQ265" i="4"/>
  <c r="BU265" i="4" s="1"/>
  <c r="BQ201" i="4"/>
  <c r="BT201" i="4" s="1"/>
  <c r="BQ137" i="4"/>
  <c r="BT137" i="4" s="1"/>
  <c r="BQ73" i="4"/>
  <c r="BT73" i="4" s="1"/>
  <c r="BQ268" i="4"/>
  <c r="BW268" i="4" s="1"/>
  <c r="BQ12" i="4"/>
  <c r="BU12" i="4" s="1"/>
  <c r="BQ262" i="4"/>
  <c r="BU262" i="4" s="1"/>
  <c r="BQ124" i="4"/>
  <c r="BT124" i="4" s="1"/>
  <c r="BQ205" i="4"/>
  <c r="BW205" i="4" s="1"/>
  <c r="BQ248" i="4"/>
  <c r="BT248" i="4" s="1"/>
  <c r="BQ219" i="4"/>
  <c r="BT219" i="4" s="1"/>
  <c r="BQ126" i="4"/>
  <c r="BT126" i="4" s="1"/>
  <c r="BQ46" i="4"/>
  <c r="BV46" i="4" s="1"/>
  <c r="BQ141" i="4"/>
  <c r="BV141" i="4" s="1"/>
  <c r="BQ269" i="4"/>
  <c r="BW269" i="4" s="1"/>
  <c r="BQ27" i="4"/>
  <c r="BU27" i="4" s="1"/>
  <c r="BQ202" i="4"/>
  <c r="BW202" i="4" s="1"/>
  <c r="BQ77" i="4"/>
  <c r="BT77" i="4" s="1"/>
  <c r="BQ132" i="4"/>
  <c r="BQ56" i="4"/>
  <c r="BV56" i="4" s="1"/>
  <c r="BQ155" i="4"/>
  <c r="BU155" i="4" s="1"/>
  <c r="BQ184" i="4"/>
  <c r="BV184" i="4" s="1"/>
  <c r="BQ215" i="4"/>
  <c r="BU215" i="4" s="1"/>
  <c r="BQ149" i="4"/>
  <c r="BW149" i="4" s="1"/>
  <c r="BQ99" i="4"/>
  <c r="BW99" i="4" s="1"/>
  <c r="BQ128" i="4"/>
  <c r="BV128" i="4" s="1"/>
  <c r="BQ164" i="4"/>
  <c r="BW164" i="4" s="1"/>
  <c r="BQ158" i="4"/>
  <c r="BW158" i="4" s="1"/>
  <c r="BQ236" i="4"/>
  <c r="BW236" i="4" s="1"/>
  <c r="BQ192" i="4"/>
  <c r="BW192" i="4" s="1"/>
  <c r="BQ227" i="4"/>
  <c r="BT227" i="4" s="1"/>
  <c r="BQ28" i="4"/>
  <c r="BV28" i="4" s="1"/>
  <c r="BQ213" i="4"/>
  <c r="BU213" i="4" s="1"/>
  <c r="BQ214" i="4"/>
  <c r="BU214" i="4" s="1"/>
  <c r="BQ277" i="4"/>
  <c r="BW277" i="4" s="1"/>
  <c r="BQ78" i="4"/>
  <c r="BV78" i="4" s="1"/>
  <c r="BQ20" i="4"/>
  <c r="BT20" i="4" s="1"/>
  <c r="BQ166" i="4"/>
  <c r="BU166" i="4" s="1"/>
  <c r="BQ85" i="4"/>
  <c r="BT85" i="4" s="1"/>
  <c r="BQ210" i="4"/>
  <c r="BW210" i="4" s="1"/>
  <c r="BQ140" i="4"/>
  <c r="BT140" i="4" s="1"/>
  <c r="BQ64" i="4"/>
  <c r="BT64" i="4" s="1"/>
  <c r="BQ256" i="4"/>
  <c r="BQ60" i="4"/>
  <c r="BV60" i="4" s="1"/>
  <c r="BQ146" i="4"/>
  <c r="BU146" i="4" s="1"/>
  <c r="BQ82" i="4"/>
  <c r="BW82" i="4" s="1"/>
  <c r="BQ19" i="4"/>
  <c r="BT19" i="4" s="1"/>
  <c r="BQ233" i="4"/>
  <c r="BW233" i="4" s="1"/>
  <c r="BQ169" i="4"/>
  <c r="BV169" i="4" s="1"/>
  <c r="BQ105" i="4"/>
  <c r="BW105" i="4" s="1"/>
  <c r="BQ41" i="4"/>
  <c r="BW245" i="4"/>
  <c r="BU245" i="4"/>
  <c r="BT245" i="4"/>
  <c r="BV245" i="4"/>
  <c r="BT232" i="4"/>
  <c r="BV206" i="4"/>
  <c r="BT206" i="4"/>
  <c r="BW206" i="4"/>
  <c r="BU206" i="4"/>
  <c r="BV120" i="4"/>
  <c r="BW120" i="4"/>
  <c r="BU120" i="4"/>
  <c r="BT120" i="4"/>
  <c r="BU254" i="4"/>
  <c r="BV254" i="4"/>
  <c r="BW254" i="4"/>
  <c r="BT254" i="4"/>
  <c r="BW266" i="4"/>
  <c r="BT266" i="4"/>
  <c r="BV266" i="4"/>
  <c r="BU266" i="4"/>
  <c r="BW163" i="4"/>
  <c r="BT163" i="4"/>
  <c r="BU163" i="4"/>
  <c r="BV163" i="4"/>
  <c r="BU21" i="4"/>
  <c r="BV21" i="4"/>
  <c r="BW21" i="4"/>
  <c r="BT21" i="4"/>
  <c r="BT226" i="4"/>
  <c r="BV226" i="4"/>
  <c r="BW226" i="4"/>
  <c r="BU226" i="4"/>
  <c r="BT115" i="4"/>
  <c r="BU115" i="4"/>
  <c r="BV115" i="4"/>
  <c r="BW115" i="4"/>
  <c r="BU144" i="4"/>
  <c r="BV144" i="4"/>
  <c r="BT144" i="4"/>
  <c r="BW144" i="4"/>
  <c r="BV274" i="4"/>
  <c r="BT274" i="4"/>
  <c r="BW274" i="4"/>
  <c r="BU274" i="4"/>
  <c r="BT171" i="4"/>
  <c r="BV171" i="4"/>
  <c r="BU171" i="4"/>
  <c r="BW171" i="4"/>
  <c r="BV35" i="4"/>
  <c r="BU35" i="4"/>
  <c r="BW35" i="4"/>
  <c r="BT35" i="4"/>
  <c r="BV195" i="4"/>
  <c r="BW195" i="4"/>
  <c r="BT195" i="4"/>
  <c r="BU195" i="4"/>
  <c r="BW244" i="4"/>
  <c r="BV244" i="4"/>
  <c r="BU244" i="4"/>
  <c r="BT244" i="4"/>
  <c r="BQ180" i="4"/>
  <c r="BQ116" i="4"/>
  <c r="BQ52" i="4"/>
  <c r="BV138" i="4"/>
  <c r="BW138" i="4"/>
  <c r="BU138" i="4"/>
  <c r="BT138" i="4"/>
  <c r="BW74" i="4"/>
  <c r="BU74" i="4"/>
  <c r="BT74" i="4"/>
  <c r="BV74" i="4"/>
  <c r="BW10" i="4"/>
  <c r="BT10" i="4"/>
  <c r="BU10" i="4"/>
  <c r="BV10" i="4"/>
  <c r="BV225" i="4"/>
  <c r="BT225" i="4"/>
  <c r="BU225" i="4"/>
  <c r="BW225" i="4"/>
  <c r="BV161" i="4"/>
  <c r="BT161" i="4"/>
  <c r="BU161" i="4"/>
  <c r="BW161" i="4"/>
  <c r="BT97" i="4"/>
  <c r="BU97" i="4"/>
  <c r="BV97" i="4"/>
  <c r="BW97" i="4"/>
  <c r="BW33" i="4"/>
  <c r="BU33" i="4"/>
  <c r="BT33" i="4"/>
  <c r="BV33" i="4"/>
  <c r="BT40" i="4"/>
  <c r="BU40" i="4"/>
  <c r="BV40" i="4"/>
  <c r="BW40" i="4"/>
  <c r="BQ279" i="4"/>
  <c r="BQ199" i="4"/>
  <c r="BQ135" i="4"/>
  <c r="BQ71" i="4"/>
  <c r="BV194" i="4"/>
  <c r="BV123" i="4"/>
  <c r="BW123" i="4"/>
  <c r="BU123" i="4"/>
  <c r="BT123" i="4"/>
  <c r="BT91" i="4"/>
  <c r="BV91" i="4"/>
  <c r="BW91" i="4"/>
  <c r="BU91" i="4"/>
  <c r="BU218" i="4"/>
  <c r="BW218" i="4"/>
  <c r="BT218" i="4"/>
  <c r="BV218" i="4"/>
  <c r="BV104" i="4"/>
  <c r="BW104" i="4"/>
  <c r="BU104" i="4"/>
  <c r="BT104" i="4"/>
  <c r="BV242" i="4"/>
  <c r="BT242" i="4"/>
  <c r="BW242" i="4"/>
  <c r="BU242" i="4"/>
  <c r="BV134" i="4"/>
  <c r="BU134" i="4"/>
  <c r="BW134" i="4"/>
  <c r="BT134" i="4"/>
  <c r="BT237" i="4"/>
  <c r="BV237" i="4"/>
  <c r="BW237" i="4"/>
  <c r="BU237" i="4"/>
  <c r="BT13" i="4"/>
  <c r="BV13" i="4"/>
  <c r="BU13" i="4"/>
  <c r="BW13" i="4"/>
  <c r="BT53" i="4"/>
  <c r="BU53" i="4"/>
  <c r="BW53" i="4"/>
  <c r="BV53" i="4"/>
  <c r="BU173" i="4"/>
  <c r="BV173" i="4"/>
  <c r="BW173" i="4"/>
  <c r="BT173" i="4"/>
  <c r="BV108" i="4"/>
  <c r="BW108" i="4"/>
  <c r="BT108" i="4"/>
  <c r="BU108" i="4"/>
  <c r="BV130" i="4"/>
  <c r="BW130" i="4"/>
  <c r="BT130" i="4"/>
  <c r="BU130" i="4"/>
  <c r="BV66" i="4"/>
  <c r="BW66" i="4"/>
  <c r="BU66" i="4"/>
  <c r="BT66" i="4"/>
  <c r="BV281" i="4"/>
  <c r="BU281" i="4"/>
  <c r="BT281" i="4"/>
  <c r="BW281" i="4"/>
  <c r="BV217" i="4"/>
  <c r="BT217" i="4"/>
  <c r="BU217" i="4"/>
  <c r="BW217" i="4"/>
  <c r="BV153" i="4"/>
  <c r="BU89" i="4"/>
  <c r="BT89" i="4"/>
  <c r="BW89" i="4"/>
  <c r="BV89" i="4"/>
  <c r="BV25" i="4"/>
  <c r="BT25" i="4"/>
  <c r="BU25" i="4"/>
  <c r="BW25" i="4"/>
  <c r="BU32" i="4"/>
  <c r="BW32" i="4"/>
  <c r="BV32" i="4"/>
  <c r="BT32" i="4"/>
  <c r="BQ231" i="4"/>
  <c r="BQ271" i="4"/>
  <c r="BQ191" i="4"/>
  <c r="BQ127" i="4"/>
  <c r="BQ63" i="4"/>
  <c r="BT168" i="4"/>
  <c r="BU168" i="4"/>
  <c r="BV168" i="4"/>
  <c r="BW168" i="4"/>
  <c r="BT88" i="4"/>
  <c r="BU88" i="4"/>
  <c r="BV88" i="4"/>
  <c r="BW88" i="4"/>
  <c r="BW229" i="4"/>
  <c r="BU229" i="4"/>
  <c r="BV229" i="4"/>
  <c r="BT229" i="4"/>
  <c r="BU240" i="4"/>
  <c r="BW240" i="4"/>
  <c r="BV240" i="4"/>
  <c r="BT240" i="4"/>
  <c r="BU133" i="4"/>
  <c r="BV133" i="4"/>
  <c r="BT133" i="4"/>
  <c r="BW133" i="4"/>
  <c r="BT200" i="4"/>
  <c r="BU200" i="4"/>
  <c r="BV200" i="4"/>
  <c r="BW200" i="4"/>
  <c r="BV83" i="4"/>
  <c r="BU83" i="4"/>
  <c r="BT83" i="4"/>
  <c r="BW83" i="4"/>
  <c r="BV224" i="4"/>
  <c r="BW224" i="4"/>
  <c r="BT224" i="4"/>
  <c r="BU224" i="4"/>
  <c r="BT112" i="4"/>
  <c r="BU112" i="4"/>
  <c r="BV112" i="4"/>
  <c r="BW112" i="4"/>
  <c r="BT142" i="4"/>
  <c r="BU142" i="4"/>
  <c r="BV142" i="4"/>
  <c r="BW142" i="4"/>
  <c r="BT272" i="4"/>
  <c r="BU272" i="4"/>
  <c r="BV272" i="4"/>
  <c r="BW272" i="4"/>
  <c r="BW170" i="4"/>
  <c r="BV170" i="4"/>
  <c r="BU170" i="4"/>
  <c r="BT170" i="4"/>
  <c r="BW228" i="4"/>
  <c r="BT228" i="4"/>
  <c r="BV228" i="4"/>
  <c r="BU228" i="4"/>
  <c r="BV164" i="4"/>
  <c r="BV100" i="4"/>
  <c r="BT100" i="4"/>
  <c r="BU100" i="4"/>
  <c r="BW100" i="4"/>
  <c r="BT273" i="4"/>
  <c r="BV273" i="4"/>
  <c r="BT24" i="4"/>
  <c r="BU24" i="4"/>
  <c r="BW24" i="4"/>
  <c r="BV24" i="4"/>
  <c r="BT39" i="4"/>
  <c r="BU39" i="4"/>
  <c r="BQ183" i="4"/>
  <c r="BQ119" i="4"/>
  <c r="BQ55" i="4"/>
  <c r="BT29" i="4"/>
  <c r="BU29" i="4"/>
  <c r="BV29" i="4"/>
  <c r="BW29" i="4"/>
  <c r="BT216" i="4"/>
  <c r="BU216" i="4"/>
  <c r="BV216" i="4"/>
  <c r="BW216" i="4"/>
  <c r="BT102" i="4"/>
  <c r="BV102" i="4"/>
  <c r="BU102" i="4"/>
  <c r="BW102" i="4"/>
  <c r="BT187" i="4"/>
  <c r="BV187" i="4"/>
  <c r="BU187" i="4"/>
  <c r="BW187" i="4"/>
  <c r="BW61" i="4"/>
  <c r="BV61" i="4"/>
  <c r="BT61" i="4"/>
  <c r="BU61" i="4"/>
  <c r="BW211" i="4"/>
  <c r="BT211" i="4"/>
  <c r="BU211" i="4"/>
  <c r="BV211" i="4"/>
  <c r="BU96" i="4"/>
  <c r="BT96" i="4"/>
  <c r="BV96" i="4"/>
  <c r="BW96" i="4"/>
  <c r="BW235" i="4"/>
  <c r="BV235" i="4"/>
  <c r="BU235" i="4"/>
  <c r="BT235" i="4"/>
  <c r="BV157" i="4"/>
  <c r="BW157" i="4"/>
  <c r="BU157" i="4"/>
  <c r="BT157" i="4"/>
  <c r="BU11" i="4"/>
  <c r="BT11" i="4"/>
  <c r="BV11" i="4"/>
  <c r="BW11" i="4"/>
  <c r="BW220" i="4"/>
  <c r="BV220" i="4"/>
  <c r="BU220" i="4"/>
  <c r="BT220" i="4"/>
  <c r="BW92" i="4"/>
  <c r="BT92" i="4"/>
  <c r="BV92" i="4"/>
  <c r="BU92" i="4"/>
  <c r="BV80" i="4"/>
  <c r="BU80" i="4"/>
  <c r="BT80" i="4"/>
  <c r="BW80" i="4"/>
  <c r="BV16" i="4"/>
  <c r="BU16" i="4"/>
  <c r="BW16" i="4"/>
  <c r="BT16" i="4"/>
  <c r="BQ174" i="4"/>
  <c r="BQ111" i="4"/>
  <c r="BQ47" i="4"/>
  <c r="BW219" i="4"/>
  <c r="BU107" i="4"/>
  <c r="BW107" i="4"/>
  <c r="BT107" i="4"/>
  <c r="BV107" i="4"/>
  <c r="BU282" i="4"/>
  <c r="BT282" i="4"/>
  <c r="BV282" i="4"/>
  <c r="BW282" i="4"/>
  <c r="BV178" i="4"/>
  <c r="BW178" i="4"/>
  <c r="BT178" i="4"/>
  <c r="BU178" i="4"/>
  <c r="BW86" i="4"/>
  <c r="BT101" i="4"/>
  <c r="BU101" i="4"/>
  <c r="BW101" i="4"/>
  <c r="BV101" i="4"/>
  <c r="BU277" i="4"/>
  <c r="BW38" i="4"/>
  <c r="BV38" i="4"/>
  <c r="BT38" i="4"/>
  <c r="BU38" i="4"/>
  <c r="BU198" i="4"/>
  <c r="BV198" i="4"/>
  <c r="BT198" i="4"/>
  <c r="BW198" i="4"/>
  <c r="BT222" i="4"/>
  <c r="BW222" i="4"/>
  <c r="BU222" i="4"/>
  <c r="BV222" i="4"/>
  <c r="BW110" i="4"/>
  <c r="BU246" i="4"/>
  <c r="BW246" i="4"/>
  <c r="BT246" i="4"/>
  <c r="BV246" i="4"/>
  <c r="BQ276" i="4"/>
  <c r="BQ212" i="4"/>
  <c r="BU148" i="4"/>
  <c r="BV148" i="4"/>
  <c r="BT148" i="4"/>
  <c r="BW148" i="4"/>
  <c r="BQ84" i="4"/>
  <c r="BT106" i="4"/>
  <c r="BU106" i="4"/>
  <c r="BW106" i="4"/>
  <c r="BV106" i="4"/>
  <c r="BV257" i="4"/>
  <c r="BT257" i="4"/>
  <c r="BW257" i="4"/>
  <c r="BU257" i="4"/>
  <c r="BU193" i="4"/>
  <c r="BW193" i="4"/>
  <c r="BV193" i="4"/>
  <c r="BT193" i="4"/>
  <c r="BT129" i="4"/>
  <c r="BU129" i="4"/>
  <c r="BW129" i="4"/>
  <c r="BV129" i="4"/>
  <c r="BU65" i="4"/>
  <c r="BT65" i="4"/>
  <c r="BW65" i="4"/>
  <c r="BV65" i="4"/>
  <c r="BV72" i="4"/>
  <c r="BT72" i="4"/>
  <c r="BW72" i="4"/>
  <c r="BU72" i="4"/>
  <c r="BQ247" i="4"/>
  <c r="BQ263" i="4"/>
  <c r="BQ167" i="4"/>
  <c r="BQ103" i="4"/>
  <c r="BT258" i="4"/>
  <c r="BW258" i="4"/>
  <c r="BU258" i="4"/>
  <c r="BV258" i="4"/>
  <c r="BT190" i="4"/>
  <c r="BW190" i="4"/>
  <c r="BV190" i="4"/>
  <c r="BU190" i="4"/>
  <c r="BW67" i="4"/>
  <c r="BV67" i="4"/>
  <c r="BT67" i="4"/>
  <c r="BU67" i="4"/>
  <c r="BT264" i="4"/>
  <c r="BU264" i="4"/>
  <c r="BV264" i="4"/>
  <c r="BW264" i="4"/>
  <c r="BT162" i="4"/>
  <c r="BU162" i="4"/>
  <c r="BW162" i="4"/>
  <c r="BV162" i="4"/>
  <c r="BT18" i="4"/>
  <c r="BV18" i="4"/>
  <c r="BU18" i="4"/>
  <c r="BW18" i="4"/>
  <c r="BV59" i="4"/>
  <c r="BW59" i="4"/>
  <c r="BT59" i="4"/>
  <c r="BU59" i="4"/>
  <c r="BW234" i="4"/>
  <c r="BV234" i="4"/>
  <c r="BU234" i="4"/>
  <c r="BT234" i="4"/>
  <c r="BV125" i="4"/>
  <c r="BU125" i="4"/>
  <c r="BT125" i="4"/>
  <c r="BW125" i="4"/>
  <c r="BU204" i="4"/>
  <c r="BW204" i="4"/>
  <c r="BV204" i="4"/>
  <c r="BT204" i="4"/>
  <c r="BV98" i="4"/>
  <c r="BU98" i="4"/>
  <c r="BT98" i="4"/>
  <c r="BW98" i="4"/>
  <c r="BV34" i="4"/>
  <c r="BU34" i="4"/>
  <c r="BT34" i="4"/>
  <c r="BW34" i="4"/>
  <c r="BW249" i="4"/>
  <c r="BV249" i="4"/>
  <c r="BT249" i="4"/>
  <c r="BU249" i="4"/>
  <c r="BW185" i="4"/>
  <c r="BU185" i="4"/>
  <c r="BV185" i="4"/>
  <c r="BT185" i="4"/>
  <c r="BU121" i="4"/>
  <c r="BT121" i="4"/>
  <c r="BW121" i="4"/>
  <c r="BV121" i="4"/>
  <c r="BV57" i="4"/>
  <c r="BW57" i="4"/>
  <c r="BU57" i="4"/>
  <c r="BT57" i="4"/>
  <c r="BQ239" i="4"/>
  <c r="BQ159" i="4"/>
  <c r="BQ95" i="4"/>
  <c r="BQ31" i="4"/>
  <c r="BW181" i="4"/>
  <c r="BV256" i="4"/>
  <c r="BT256" i="4"/>
  <c r="BW256" i="4"/>
  <c r="BU256" i="4"/>
  <c r="BT152" i="4"/>
  <c r="BW280" i="4"/>
  <c r="BT280" i="4"/>
  <c r="BU280" i="4"/>
  <c r="BV280" i="4"/>
  <c r="BT179" i="4"/>
  <c r="BW179" i="4"/>
  <c r="BU179" i="4"/>
  <c r="BV179" i="4"/>
  <c r="BU45" i="4"/>
  <c r="BT45" i="4"/>
  <c r="BW45" i="4"/>
  <c r="BV45" i="4"/>
  <c r="BT147" i="4"/>
  <c r="BU147" i="4"/>
  <c r="BW147" i="4"/>
  <c r="BV147" i="4"/>
  <c r="BU275" i="4"/>
  <c r="BW275" i="4"/>
  <c r="BV275" i="4"/>
  <c r="BT275" i="4"/>
  <c r="BT37" i="4"/>
  <c r="BU37" i="4"/>
  <c r="BV37" i="4"/>
  <c r="BW37" i="4"/>
  <c r="BU197" i="4"/>
  <c r="BW197" i="4"/>
  <c r="BV197" i="4"/>
  <c r="BT197" i="4"/>
  <c r="BU221" i="4"/>
  <c r="BW221" i="4"/>
  <c r="BT221" i="4"/>
  <c r="BV221" i="4"/>
  <c r="BT109" i="4"/>
  <c r="BW109" i="4"/>
  <c r="BV109" i="4"/>
  <c r="BU109" i="4"/>
  <c r="BV260" i="4"/>
  <c r="BW260" i="4"/>
  <c r="BV196" i="4"/>
  <c r="BT196" i="4"/>
  <c r="BW196" i="4"/>
  <c r="BU196" i="4"/>
  <c r="BU132" i="4"/>
  <c r="BT132" i="4"/>
  <c r="BV132" i="4"/>
  <c r="BW132" i="4"/>
  <c r="BT154" i="4"/>
  <c r="BV154" i="4"/>
  <c r="BU154" i="4"/>
  <c r="BW154" i="4"/>
  <c r="BU90" i="4"/>
  <c r="BW90" i="4"/>
  <c r="BV90" i="4"/>
  <c r="BT90" i="4"/>
  <c r="BU26" i="4"/>
  <c r="BT26" i="4"/>
  <c r="BW26" i="4"/>
  <c r="BV26" i="4"/>
  <c r="BW241" i="4"/>
  <c r="BU241" i="4"/>
  <c r="BT241" i="4"/>
  <c r="BV241" i="4"/>
  <c r="BT176" i="4"/>
  <c r="BW176" i="4"/>
  <c r="BU176" i="4"/>
  <c r="BV176" i="4"/>
  <c r="BT113" i="4"/>
  <c r="BW113" i="4"/>
  <c r="BV113" i="4"/>
  <c r="BU113" i="4"/>
  <c r="BT49" i="4"/>
  <c r="BU49" i="4"/>
  <c r="BW49" i="4"/>
  <c r="BV49" i="4"/>
  <c r="BQ223" i="4"/>
  <c r="BQ151" i="4"/>
  <c r="BQ87" i="4"/>
  <c r="BQ23" i="4"/>
  <c r="BV51" i="4"/>
  <c r="BW51" i="4"/>
  <c r="BU51" i="4"/>
  <c r="BT51" i="4"/>
  <c r="BW243" i="4"/>
  <c r="BT243" i="4"/>
  <c r="BU243" i="4"/>
  <c r="BV243" i="4"/>
  <c r="BU136" i="4"/>
  <c r="BV136" i="4"/>
  <c r="BW136" i="4"/>
  <c r="BT136" i="4"/>
  <c r="BV165" i="4"/>
  <c r="BU165" i="4"/>
  <c r="BW165" i="4"/>
  <c r="BT165" i="4"/>
  <c r="BW22" i="4"/>
  <c r="BU22" i="4"/>
  <c r="BV22" i="4"/>
  <c r="BT22" i="4"/>
  <c r="BU278" i="4"/>
  <c r="BW278" i="4"/>
  <c r="BT278" i="4"/>
  <c r="BV278" i="4"/>
  <c r="BT177" i="4"/>
  <c r="BU177" i="4"/>
  <c r="BW177" i="4"/>
  <c r="BV177" i="4"/>
  <c r="BV43" i="4"/>
  <c r="BW43" i="4"/>
  <c r="BT43" i="4"/>
  <c r="BU43" i="4"/>
  <c r="BU238" i="4"/>
  <c r="BV238" i="4"/>
  <c r="BW238" i="4"/>
  <c r="BT238" i="4"/>
  <c r="BW131" i="4"/>
  <c r="BT160" i="4"/>
  <c r="BW14" i="4"/>
  <c r="BV14" i="4"/>
  <c r="BU14" i="4"/>
  <c r="BT14" i="4"/>
  <c r="BU54" i="4"/>
  <c r="BV54" i="4"/>
  <c r="BW54" i="4"/>
  <c r="BT54" i="4"/>
  <c r="BW208" i="4"/>
  <c r="BV208" i="4"/>
  <c r="BT208" i="4"/>
  <c r="BU208" i="4"/>
  <c r="BW93" i="4"/>
  <c r="BV93" i="4"/>
  <c r="BT93" i="4"/>
  <c r="BU93" i="4"/>
  <c r="BV41" i="4"/>
  <c r="BT41" i="4"/>
  <c r="BW41" i="4"/>
  <c r="BU41" i="4"/>
  <c r="BU48" i="4"/>
  <c r="BV48" i="4"/>
  <c r="BW48" i="4"/>
  <c r="BT48" i="4"/>
  <c r="BQ255" i="4"/>
  <c r="BQ207" i="4"/>
  <c r="BQ143" i="4"/>
  <c r="BQ79" i="4"/>
  <c r="BQ15" i="4"/>
  <c r="BS12" i="4" a="1"/>
  <c r="BS12" i="4" s="1"/>
  <c r="BS18" i="4" a="1"/>
  <c r="BS18" i="4" s="1"/>
  <c r="BS28" i="4" a="1"/>
  <c r="BS28" i="4" s="1"/>
  <c r="BS37" i="4" a="1"/>
  <c r="BS37" i="4" s="1"/>
  <c r="BS42" i="4" a="1"/>
  <c r="BS42" i="4" s="1"/>
  <c r="BS51" i="4" a="1"/>
  <c r="BS51" i="4" s="1"/>
  <c r="BS60" i="4" a="1"/>
  <c r="BS60" i="4" s="1"/>
  <c r="BS70" i="4" a="1"/>
  <c r="BS70" i="4" s="1"/>
  <c r="BS74" i="4" a="1"/>
  <c r="BS74" i="4" s="1"/>
  <c r="BS83" i="4" a="1"/>
  <c r="BS83" i="4" s="1"/>
  <c r="BS92" i="4" a="1"/>
  <c r="BS92" i="4" s="1"/>
  <c r="BS101" i="4" a="1"/>
  <c r="BS101" i="4" s="1"/>
  <c r="BS106" i="4" a="1"/>
  <c r="BS106" i="4" s="1"/>
  <c r="BS115" i="4" a="1"/>
  <c r="BS115" i="4" s="1"/>
  <c r="BS124" i="4" a="1"/>
  <c r="BS124" i="4" s="1"/>
  <c r="BS133" i="4" a="1"/>
  <c r="BS133" i="4" s="1"/>
  <c r="BS138" i="4" a="1"/>
  <c r="BS138" i="4" s="1"/>
  <c r="BS147" i="4" a="1"/>
  <c r="BS147" i="4" s="1"/>
  <c r="BS156" i="4" a="1"/>
  <c r="BS156" i="4" s="1"/>
  <c r="BS165" i="4" a="1"/>
  <c r="BS165" i="4" s="1"/>
  <c r="BS170" i="4" a="1"/>
  <c r="BS170" i="4" s="1"/>
  <c r="BS178" i="4" a="1"/>
  <c r="BS178" i="4" s="1"/>
  <c r="BS20" i="4" a="1"/>
  <c r="BS20" i="4" s="1"/>
  <c r="BS29" i="4" a="1"/>
  <c r="BS29" i="4" s="1"/>
  <c r="BX29" i="4" s="1"/>
  <c r="BS34" i="4" a="1"/>
  <c r="BS34" i="4" s="1"/>
  <c r="BS43" i="4" a="1"/>
  <c r="BS43" i="4" s="1"/>
  <c r="BS52" i="4" a="1"/>
  <c r="BS52" i="4" s="1"/>
  <c r="BS61" i="4" a="1"/>
  <c r="BS61" i="4" s="1"/>
  <c r="BS66" i="4" a="1"/>
  <c r="BS66" i="4" s="1"/>
  <c r="BS75" i="4" a="1"/>
  <c r="BS75" i="4" s="1"/>
  <c r="BS84" i="4" a="1"/>
  <c r="BS84" i="4" s="1"/>
  <c r="BS93" i="4" a="1"/>
  <c r="BS93" i="4" s="1"/>
  <c r="BS98" i="4" a="1"/>
  <c r="BS98" i="4" s="1"/>
  <c r="BS107" i="4" a="1"/>
  <c r="BS107" i="4" s="1"/>
  <c r="BS116" i="4" a="1"/>
  <c r="BS116" i="4" s="1"/>
  <c r="BS125" i="4" a="1"/>
  <c r="BS125" i="4" s="1"/>
  <c r="BS130" i="4" a="1"/>
  <c r="BS130" i="4" s="1"/>
  <c r="BS139" i="4" a="1"/>
  <c r="BS139" i="4" s="1"/>
  <c r="BS148" i="4" a="1"/>
  <c r="BS148" i="4" s="1"/>
  <c r="BS157" i="4" a="1"/>
  <c r="BS157" i="4" s="1"/>
  <c r="BS162" i="4" a="1"/>
  <c r="BS162" i="4" s="1"/>
  <c r="BS171" i="4" a="1"/>
  <c r="BS171" i="4" s="1"/>
  <c r="BS180" i="4" a="1"/>
  <c r="BS180" i="4" s="1"/>
  <c r="BS189" i="4" a="1"/>
  <c r="BS189" i="4" s="1"/>
  <c r="BS194" i="4" a="1"/>
  <c r="BS194" i="4" s="1"/>
  <c r="BS203" i="4" a="1"/>
  <c r="BS203" i="4" s="1"/>
  <c r="BS212" i="4" a="1"/>
  <c r="BS212" i="4" s="1"/>
  <c r="BS221" i="4" a="1"/>
  <c r="BS221" i="4" s="1"/>
  <c r="BS226" i="4" a="1"/>
  <c r="BS226" i="4" s="1"/>
  <c r="BS235" i="4" a="1"/>
  <c r="BS235" i="4" s="1"/>
  <c r="BS244" i="4" a="1"/>
  <c r="BS244" i="4" s="1"/>
  <c r="BS253" i="4" a="1"/>
  <c r="BS253" i="4" s="1"/>
  <c r="BS258" i="4" a="1"/>
  <c r="BS258" i="4" s="1"/>
  <c r="BS267" i="4" a="1"/>
  <c r="BS267" i="4" s="1"/>
  <c r="BS276" i="4" a="1"/>
  <c r="BS276" i="4" s="1"/>
  <c r="BS11" i="4" a="1"/>
  <c r="BS11" i="4" s="1"/>
  <c r="BS16" i="4" a="1"/>
  <c r="BS16" i="4" s="1"/>
  <c r="BS25" i="4" a="1"/>
  <c r="BS25" i="4" s="1"/>
  <c r="BS30" i="4" a="1"/>
  <c r="BS30" i="4" s="1"/>
  <c r="BS39" i="4" a="1"/>
  <c r="BS39" i="4" s="1"/>
  <c r="BS48" i="4" a="1"/>
  <c r="BS48" i="4" s="1"/>
  <c r="BS57" i="4" a="1"/>
  <c r="BS57" i="4" s="1"/>
  <c r="BS62" i="4" a="1"/>
  <c r="BS62" i="4" s="1"/>
  <c r="BS71" i="4" a="1"/>
  <c r="BS71" i="4" s="1"/>
  <c r="BS80" i="4" a="1"/>
  <c r="BS80" i="4" s="1"/>
  <c r="BS89" i="4" a="1"/>
  <c r="BS89" i="4" s="1"/>
  <c r="BS94" i="4" a="1"/>
  <c r="BS94" i="4" s="1"/>
  <c r="BS103" i="4" a="1"/>
  <c r="BS103" i="4" s="1"/>
  <c r="BS112" i="4" a="1"/>
  <c r="BS112" i="4" s="1"/>
  <c r="BS121" i="4" a="1"/>
  <c r="BS121" i="4" s="1"/>
  <c r="BS126" i="4" a="1"/>
  <c r="BS126" i="4" s="1"/>
  <c r="BS135" i="4" a="1"/>
  <c r="BS135" i="4" s="1"/>
  <c r="BS144" i="4" a="1"/>
  <c r="BS144" i="4" s="1"/>
  <c r="BS153" i="4" a="1"/>
  <c r="BS153" i="4" s="1"/>
  <c r="BS158" i="4" a="1"/>
  <c r="BS158" i="4" s="1"/>
  <c r="BS167" i="4" a="1"/>
  <c r="BS167" i="4" s="1"/>
  <c r="BS177" i="4" a="1"/>
  <c r="BS177" i="4" s="1"/>
  <c r="BS185" i="4" a="1"/>
  <c r="BS185" i="4" s="1"/>
  <c r="BS190" i="4" a="1"/>
  <c r="BS190" i="4" s="1"/>
  <c r="BS199" i="4" a="1"/>
  <c r="BS199" i="4" s="1"/>
  <c r="BS208" i="4" a="1"/>
  <c r="BS208" i="4" s="1"/>
  <c r="BS217" i="4" a="1"/>
  <c r="BS217" i="4" s="1"/>
  <c r="BS222" i="4" a="1"/>
  <c r="BS222" i="4" s="1"/>
  <c r="BS231" i="4" a="1"/>
  <c r="BS231" i="4" s="1"/>
  <c r="BS240" i="4" a="1"/>
  <c r="BS240" i="4" s="1"/>
  <c r="BS249" i="4" a="1"/>
  <c r="BS249" i="4" s="1"/>
  <c r="BS21" i="4" a="1"/>
  <c r="BS21" i="4" s="1"/>
  <c r="BS26" i="4" a="1"/>
  <c r="BS26" i="4" s="1"/>
  <c r="BS35" i="4" a="1"/>
  <c r="BS35" i="4" s="1"/>
  <c r="BS44" i="4" a="1"/>
  <c r="BS44" i="4" s="1"/>
  <c r="BS53" i="4" a="1"/>
  <c r="BS53" i="4" s="1"/>
  <c r="BS58" i="4" a="1"/>
  <c r="BS58" i="4" s="1"/>
  <c r="BS67" i="4" a="1"/>
  <c r="BS67" i="4" s="1"/>
  <c r="BS76" i="4" a="1"/>
  <c r="BS76" i="4" s="1"/>
  <c r="BS85" i="4" a="1"/>
  <c r="BS85" i="4" s="1"/>
  <c r="BS90" i="4" a="1"/>
  <c r="BS90" i="4" s="1"/>
  <c r="BS99" i="4" a="1"/>
  <c r="BS99" i="4" s="1"/>
  <c r="BS108" i="4" a="1"/>
  <c r="BS108" i="4" s="1"/>
  <c r="BS117" i="4" a="1"/>
  <c r="BS117" i="4" s="1"/>
  <c r="BS122" i="4" a="1"/>
  <c r="BS122" i="4" s="1"/>
  <c r="BS131" i="4" a="1"/>
  <c r="BS131" i="4" s="1"/>
  <c r="BS140" i="4" a="1"/>
  <c r="BS140" i="4" s="1"/>
  <c r="BS149" i="4" a="1"/>
  <c r="BS149" i="4" s="1"/>
  <c r="BS154" i="4" a="1"/>
  <c r="BS154" i="4" s="1"/>
  <c r="BS163" i="4" a="1"/>
  <c r="BS163" i="4" s="1"/>
  <c r="BS173" i="4" a="1"/>
  <c r="BS173" i="4" s="1"/>
  <c r="BS181" i="4" a="1"/>
  <c r="BS181" i="4" s="1"/>
  <c r="BS186" i="4" a="1"/>
  <c r="BS186" i="4" s="1"/>
  <c r="BS195" i="4" a="1"/>
  <c r="BS195" i="4" s="1"/>
  <c r="BS204" i="4" a="1"/>
  <c r="BS204" i="4" s="1"/>
  <c r="BS213" i="4" a="1"/>
  <c r="BS213" i="4" s="1"/>
  <c r="BS218" i="4" a="1"/>
  <c r="BS218" i="4" s="1"/>
  <c r="BS227" i="4" a="1"/>
  <c r="BS227" i="4" s="1"/>
  <c r="BS236" i="4" a="1"/>
  <c r="BS236" i="4" s="1"/>
  <c r="BS245" i="4" a="1"/>
  <c r="BS245" i="4" s="1"/>
  <c r="BS250" i="4" a="1"/>
  <c r="BS250" i="4" s="1"/>
  <c r="BS259" i="4" a="1"/>
  <c r="BS259" i="4" s="1"/>
  <c r="BS17" i="4" a="1"/>
  <c r="BS17" i="4" s="1"/>
  <c r="BS22" i="4" a="1"/>
  <c r="BS22" i="4" s="1"/>
  <c r="BS31" i="4" a="1"/>
  <c r="BS31" i="4" s="1"/>
  <c r="BS40" i="4" a="1"/>
  <c r="BS40" i="4" s="1"/>
  <c r="BS49" i="4" a="1"/>
  <c r="BS49" i="4" s="1"/>
  <c r="BS54" i="4" a="1"/>
  <c r="BS54" i="4" s="1"/>
  <c r="BS63" i="4" a="1"/>
  <c r="BS63" i="4" s="1"/>
  <c r="BS72" i="4" a="1"/>
  <c r="BS72" i="4" s="1"/>
  <c r="BS81" i="4" a="1"/>
  <c r="BS81" i="4" s="1"/>
  <c r="BS86" i="4" a="1"/>
  <c r="BS86" i="4" s="1"/>
  <c r="BS95" i="4" a="1"/>
  <c r="BS95" i="4" s="1"/>
  <c r="BS104" i="4" a="1"/>
  <c r="BS104" i="4" s="1"/>
  <c r="BS113" i="4" a="1"/>
  <c r="BS113" i="4" s="1"/>
  <c r="BS118" i="4" a="1"/>
  <c r="BS118" i="4" s="1"/>
  <c r="BS127" i="4" a="1"/>
  <c r="BS127" i="4" s="1"/>
  <c r="BS136" i="4" a="1"/>
  <c r="BS136" i="4" s="1"/>
  <c r="BS145" i="4" a="1"/>
  <c r="BS145" i="4" s="1"/>
  <c r="BS150" i="4" a="1"/>
  <c r="BS150" i="4" s="1"/>
  <c r="BS159" i="4" a="1"/>
  <c r="BS159" i="4" s="1"/>
  <c r="BS168" i="4" a="1"/>
  <c r="BS168" i="4" s="1"/>
  <c r="BS176" i="4" a="1"/>
  <c r="BS176" i="4" s="1"/>
  <c r="BS182" i="4" a="1"/>
  <c r="BS182" i="4" s="1"/>
  <c r="BS191" i="4" a="1"/>
  <c r="BS191" i="4" s="1"/>
  <c r="BS200" i="4" a="1"/>
  <c r="BS200" i="4" s="1"/>
  <c r="BS209" i="4" a="1"/>
  <c r="BS209" i="4" s="1"/>
  <c r="BS214" i="4" a="1"/>
  <c r="BS214" i="4" s="1"/>
  <c r="BS223" i="4" a="1"/>
  <c r="BS223" i="4" s="1"/>
  <c r="BS232" i="4" a="1"/>
  <c r="BS232" i="4" s="1"/>
  <c r="BS241" i="4" a="1"/>
  <c r="BS241" i="4" s="1"/>
  <c r="BS246" i="4" a="1"/>
  <c r="BS246" i="4" s="1"/>
  <c r="BS13" i="4" a="1"/>
  <c r="BS13" i="4" s="1"/>
  <c r="BS19" i="4" a="1"/>
  <c r="BS19" i="4" s="1"/>
  <c r="BS27" i="4" a="1"/>
  <c r="BS27" i="4" s="1"/>
  <c r="BS36" i="4" a="1"/>
  <c r="BS36" i="4" s="1"/>
  <c r="BS45" i="4" a="1"/>
  <c r="BS45" i="4" s="1"/>
  <c r="BS50" i="4" a="1"/>
  <c r="BS50" i="4" s="1"/>
  <c r="BS59" i="4" a="1"/>
  <c r="BS59" i="4" s="1"/>
  <c r="BS68" i="4" a="1"/>
  <c r="BS68" i="4" s="1"/>
  <c r="BS77" i="4" a="1"/>
  <c r="BS77" i="4" s="1"/>
  <c r="BS82" i="4" a="1"/>
  <c r="BS82" i="4" s="1"/>
  <c r="BS91" i="4" a="1"/>
  <c r="BS91" i="4" s="1"/>
  <c r="BS100" i="4" a="1"/>
  <c r="BS100" i="4" s="1"/>
  <c r="BS109" i="4" a="1"/>
  <c r="BS109" i="4" s="1"/>
  <c r="BS114" i="4" a="1"/>
  <c r="BS114" i="4" s="1"/>
  <c r="BS123" i="4" a="1"/>
  <c r="BS123" i="4" s="1"/>
  <c r="BS132" i="4" a="1"/>
  <c r="BS132" i="4" s="1"/>
  <c r="BS141" i="4" a="1"/>
  <c r="BS141" i="4" s="1"/>
  <c r="BS146" i="4" a="1"/>
  <c r="BS146" i="4" s="1"/>
  <c r="BS155" i="4" a="1"/>
  <c r="BS155" i="4" s="1"/>
  <c r="BS164" i="4" a="1"/>
  <c r="BS164" i="4" s="1"/>
  <c r="BS172" i="4" a="1"/>
  <c r="BS172" i="4" s="1"/>
  <c r="BS179" i="4" a="1"/>
  <c r="BS179" i="4" s="1"/>
  <c r="BS187" i="4" a="1"/>
  <c r="BS187" i="4" s="1"/>
  <c r="BS196" i="4" a="1"/>
  <c r="BS196" i="4" s="1"/>
  <c r="BS205" i="4" a="1"/>
  <c r="BS205" i="4" s="1"/>
  <c r="BS210" i="4" a="1"/>
  <c r="BS210" i="4" s="1"/>
  <c r="BS219" i="4" a="1"/>
  <c r="BS219" i="4" s="1"/>
  <c r="BS228" i="4" a="1"/>
  <c r="BS228" i="4" s="1"/>
  <c r="BS237" i="4" a="1"/>
  <c r="BS237" i="4" s="1"/>
  <c r="BS242" i="4" a="1"/>
  <c r="BS242" i="4" s="1"/>
  <c r="BS251" i="4" a="1"/>
  <c r="BS251" i="4" s="1"/>
  <c r="BS46" i="4" a="1"/>
  <c r="BS46" i="4" s="1"/>
  <c r="BS64" i="4" a="1"/>
  <c r="BS64" i="4" s="1"/>
  <c r="BS119" i="4" a="1"/>
  <c r="BS119" i="4" s="1"/>
  <c r="BS137" i="4" a="1"/>
  <c r="BS137" i="4" s="1"/>
  <c r="BS175" i="4" a="1"/>
  <c r="BS175" i="4" s="1"/>
  <c r="BS188" i="4" a="1"/>
  <c r="BS188" i="4" s="1"/>
  <c r="BS201" i="4" a="1"/>
  <c r="BS201" i="4" s="1"/>
  <c r="BS238" i="4" a="1"/>
  <c r="BS238" i="4" s="1"/>
  <c r="BS248" i="4" a="1"/>
  <c r="BS248" i="4" s="1"/>
  <c r="BS256" i="4" a="1"/>
  <c r="BS256" i="4" s="1"/>
  <c r="BS262" i="4" a="1"/>
  <c r="BS262" i="4" s="1"/>
  <c r="BS278" i="4" a="1"/>
  <c r="BS278" i="4" s="1"/>
  <c r="BS10" i="4" a="1"/>
  <c r="BS10" i="4" s="1"/>
  <c r="BS47" i="4" a="1"/>
  <c r="BS47" i="4" s="1"/>
  <c r="BS65" i="4" a="1"/>
  <c r="BS65" i="4" s="1"/>
  <c r="BS102" i="4" a="1"/>
  <c r="BS102" i="4" s="1"/>
  <c r="BS120" i="4" a="1"/>
  <c r="BS120" i="4" s="1"/>
  <c r="BS174" i="4" a="1"/>
  <c r="BS174" i="4" s="1"/>
  <c r="BS202" i="4" a="1"/>
  <c r="BS202" i="4" s="1"/>
  <c r="BS215" i="4" a="1"/>
  <c r="BS215" i="4" s="1"/>
  <c r="BS225" i="4" a="1"/>
  <c r="BS225" i="4" s="1"/>
  <c r="BS263" i="4" a="1"/>
  <c r="BS263" i="4" s="1"/>
  <c r="BS268" i="4" a="1"/>
  <c r="BS268" i="4" s="1"/>
  <c r="BS273" i="4" a="1"/>
  <c r="BS273" i="4" s="1"/>
  <c r="BS14" i="4" a="1"/>
  <c r="BS14" i="4" s="1"/>
  <c r="BS32" i="4" a="1"/>
  <c r="BS32" i="4" s="1"/>
  <c r="BS87" i="4" a="1"/>
  <c r="BS87" i="4" s="1"/>
  <c r="BS105" i="4" a="1"/>
  <c r="BS105" i="4" s="1"/>
  <c r="BS142" i="4" a="1"/>
  <c r="BS142" i="4" s="1"/>
  <c r="BS160" i="4" a="1"/>
  <c r="BS160" i="4" s="1"/>
  <c r="BS192" i="4" a="1"/>
  <c r="BS192" i="4" s="1"/>
  <c r="BS239" i="4" a="1"/>
  <c r="BS239" i="4" s="1"/>
  <c r="BS257" i="4" a="1"/>
  <c r="BS257" i="4" s="1"/>
  <c r="BS274" i="4" a="1"/>
  <c r="BS274" i="4" s="1"/>
  <c r="BS279" i="4" a="1"/>
  <c r="BS279" i="4" s="1"/>
  <c r="BS15" i="4" a="1"/>
  <c r="BS15" i="4" s="1"/>
  <c r="BS33" i="4" a="1"/>
  <c r="BS33" i="4" s="1"/>
  <c r="BS69" i="4" a="1"/>
  <c r="BS69" i="4" s="1"/>
  <c r="BS88" i="4" a="1"/>
  <c r="BS88" i="4" s="1"/>
  <c r="BS143" i="4" a="1"/>
  <c r="BS143" i="4" s="1"/>
  <c r="BS161" i="4" a="1"/>
  <c r="BS161" i="4" s="1"/>
  <c r="BS206" i="4" a="1"/>
  <c r="BS206" i="4" s="1"/>
  <c r="BS216" i="4" a="1"/>
  <c r="BS216" i="4" s="1"/>
  <c r="BS229" i="4" a="1"/>
  <c r="BS229" i="4" s="1"/>
  <c r="BS252" i="4" a="1"/>
  <c r="BS252" i="4" s="1"/>
  <c r="BS264" i="4" a="1"/>
  <c r="BS264" i="4" s="1"/>
  <c r="BS269" i="4" a="1"/>
  <c r="BS269" i="4" s="1"/>
  <c r="BS55" i="4" a="1"/>
  <c r="BS55" i="4" s="1"/>
  <c r="BS73" i="4" a="1"/>
  <c r="BS73" i="4" s="1"/>
  <c r="BS110" i="4" a="1"/>
  <c r="BS110" i="4" s="1"/>
  <c r="BS128" i="4" a="1"/>
  <c r="BS128" i="4" s="1"/>
  <c r="BS183" i="4" a="1"/>
  <c r="BS183" i="4" s="1"/>
  <c r="BS193" i="4" a="1"/>
  <c r="BS193" i="4" s="1"/>
  <c r="BS230" i="4" a="1"/>
  <c r="BS230" i="4" s="1"/>
  <c r="BS243" i="4" a="1"/>
  <c r="BS243" i="4" s="1"/>
  <c r="BS270" i="4" a="1"/>
  <c r="BS270" i="4" s="1"/>
  <c r="BS275" i="4" a="1"/>
  <c r="BS275" i="4" s="1"/>
  <c r="BS280" i="4" a="1"/>
  <c r="BS280" i="4" s="1"/>
  <c r="BS38" i="4" a="1"/>
  <c r="BS38" i="4" s="1"/>
  <c r="BS56" i="4" a="1"/>
  <c r="BS56" i="4" s="1"/>
  <c r="BS111" i="4" a="1"/>
  <c r="BS111" i="4" s="1"/>
  <c r="BS129" i="4" a="1"/>
  <c r="BS129" i="4" s="1"/>
  <c r="BS166" i="4" a="1"/>
  <c r="BS166" i="4" s="1"/>
  <c r="BS207" i="4" a="1"/>
  <c r="BS207" i="4" s="1"/>
  <c r="BS220" i="4" a="1"/>
  <c r="BS220" i="4" s="1"/>
  <c r="BS233" i="4" a="1"/>
  <c r="BS233" i="4" s="1"/>
  <c r="BS254" i="4" a="1"/>
  <c r="BS254" i="4" s="1"/>
  <c r="BS260" i="4" a="1"/>
  <c r="BS260" i="4" s="1"/>
  <c r="BS265" i="4" a="1"/>
  <c r="BS265" i="4" s="1"/>
  <c r="BS281" i="4" a="1"/>
  <c r="BS281" i="4" s="1"/>
  <c r="BS23" i="4" a="1"/>
  <c r="BS23" i="4" s="1"/>
  <c r="BS41" i="4" a="1"/>
  <c r="BS41" i="4" s="1"/>
  <c r="BS78" i="4" a="1"/>
  <c r="BS78" i="4" s="1"/>
  <c r="BS96" i="4" a="1"/>
  <c r="BS96" i="4" s="1"/>
  <c r="BS151" i="4" a="1"/>
  <c r="BS151" i="4" s="1"/>
  <c r="BS169" i="4" a="1"/>
  <c r="BS169" i="4" s="1"/>
  <c r="BS184" i="4" a="1"/>
  <c r="BS184" i="4" s="1"/>
  <c r="BS197" i="4" a="1"/>
  <c r="BS197" i="4" s="1"/>
  <c r="BS234" i="4" a="1"/>
  <c r="BS234" i="4" s="1"/>
  <c r="BS247" i="4" a="1"/>
  <c r="BS247" i="4" s="1"/>
  <c r="BS255" i="4" a="1"/>
  <c r="BS255" i="4" s="1"/>
  <c r="BS266" i="4" a="1"/>
  <c r="BS266" i="4" s="1"/>
  <c r="BS271" i="4" a="1"/>
  <c r="BS271" i="4" s="1"/>
  <c r="BS282" i="4" a="1"/>
  <c r="BS282" i="4" s="1"/>
  <c r="BS24" i="4" a="1"/>
  <c r="BS24" i="4" s="1"/>
  <c r="BS79" i="4" a="1"/>
  <c r="BS79" i="4" s="1"/>
  <c r="BS97" i="4" a="1"/>
  <c r="BS97" i="4" s="1"/>
  <c r="BS134" i="4" a="1"/>
  <c r="BS134" i="4" s="1"/>
  <c r="BS152" i="4" a="1"/>
  <c r="BS152" i="4" s="1"/>
  <c r="BS198" i="4" a="1"/>
  <c r="BS198" i="4" s="1"/>
  <c r="BS211" i="4" a="1"/>
  <c r="BS211" i="4" s="1"/>
  <c r="BS224" i="4" a="1"/>
  <c r="BS224" i="4" s="1"/>
  <c r="BS261" i="4" a="1"/>
  <c r="BS261" i="4" s="1"/>
  <c r="BS272" i="4" a="1"/>
  <c r="BS272" i="4" s="1"/>
  <c r="BS277" i="4" a="1"/>
  <c r="BS277" i="4" s="1"/>
  <c r="AR104" i="42" a="1"/>
  <c r="AR104" i="42" s="1"/>
  <c r="AJ104" i="42" a="1"/>
  <c r="AJ104" i="42" s="1"/>
  <c r="AB104" i="42" a="1"/>
  <c r="AB104" i="42" s="1"/>
  <c r="T104" i="42" a="1"/>
  <c r="T104" i="42" s="1"/>
  <c r="L104" i="42" a="1"/>
  <c r="L104" i="42" s="1"/>
  <c r="AR103" i="42" a="1"/>
  <c r="AR103" i="42" s="1"/>
  <c r="AJ103" i="42" a="1"/>
  <c r="AJ103" i="42" s="1"/>
  <c r="AB103" i="42" a="1"/>
  <c r="AB103" i="42" s="1"/>
  <c r="T103" i="42" a="1"/>
  <c r="T103" i="42" s="1"/>
  <c r="L103" i="42" a="1"/>
  <c r="L103" i="42" s="1"/>
  <c r="AR101" i="42" a="1"/>
  <c r="AR101" i="42" s="1"/>
  <c r="AJ101" i="42" a="1"/>
  <c r="AJ101" i="42" s="1"/>
  <c r="AB101" i="42" a="1"/>
  <c r="AB101" i="42" s="1"/>
  <c r="T101" i="42" a="1"/>
  <c r="T101" i="42" s="1"/>
  <c r="L101" i="42" a="1"/>
  <c r="L101" i="42" s="1"/>
  <c r="AR100" i="42" a="1"/>
  <c r="AR100" i="42" s="1"/>
  <c r="AJ100" i="42" a="1"/>
  <c r="AJ100" i="42" s="1"/>
  <c r="AB100" i="42" a="1"/>
  <c r="AB100" i="42" s="1"/>
  <c r="T100" i="42" a="1"/>
  <c r="T100" i="42" s="1"/>
  <c r="L100" i="42" a="1"/>
  <c r="L100" i="42" s="1"/>
  <c r="AR98" i="42" a="1"/>
  <c r="AR98" i="42" s="1"/>
  <c r="AJ98" i="42" a="1"/>
  <c r="AJ98" i="42" s="1"/>
  <c r="AB98" i="42" a="1"/>
  <c r="AB98" i="42" s="1"/>
  <c r="T98" i="42" a="1"/>
  <c r="T98" i="42" s="1"/>
  <c r="L98" i="42" a="1"/>
  <c r="L98" i="42" s="1"/>
  <c r="AR97" i="42" a="1"/>
  <c r="AR97" i="42" s="1"/>
  <c r="AJ97" i="42" a="1"/>
  <c r="AJ97" i="42" s="1"/>
  <c r="AB97" i="42" a="1"/>
  <c r="AB97" i="42" s="1"/>
  <c r="T97" i="42" a="1"/>
  <c r="T97" i="42" s="1"/>
  <c r="L97" i="42" a="1"/>
  <c r="L97" i="42" s="1"/>
  <c r="AR95" i="42" a="1"/>
  <c r="AR95" i="42" s="1"/>
  <c r="AJ95" i="42" a="1"/>
  <c r="AJ95" i="42" s="1"/>
  <c r="AB95" i="42" a="1"/>
  <c r="AB95" i="42" s="1"/>
  <c r="T95" i="42" a="1"/>
  <c r="T95" i="42" s="1"/>
  <c r="L95" i="42" a="1"/>
  <c r="L95" i="42" s="1"/>
  <c r="AR94" i="42" a="1"/>
  <c r="AR94" i="42" s="1"/>
  <c r="AJ94" i="42" a="1"/>
  <c r="AJ94" i="42" s="1"/>
  <c r="AB94" i="42" a="1"/>
  <c r="AB94" i="42" s="1"/>
  <c r="T94" i="42" a="1"/>
  <c r="T94" i="42" s="1"/>
  <c r="L94" i="42" a="1"/>
  <c r="L94" i="42" s="1"/>
  <c r="AK92" i="42" a="1"/>
  <c r="AK92" i="42" s="1"/>
  <c r="AC92" i="42" a="1"/>
  <c r="AC92" i="42" s="1"/>
  <c r="U92" i="42" a="1"/>
  <c r="U92" i="42" s="1"/>
  <c r="M92" i="42" a="1"/>
  <c r="M92" i="42" s="1"/>
  <c r="E92" i="42" a="1"/>
  <c r="E92" i="42" s="1"/>
  <c r="AK91" i="42" a="1"/>
  <c r="AK91" i="42" s="1"/>
  <c r="AC91" i="42" a="1"/>
  <c r="AC91" i="42" s="1"/>
  <c r="U91" i="42" a="1"/>
  <c r="U91" i="42" s="1"/>
  <c r="M91" i="42" a="1"/>
  <c r="M91" i="42" s="1"/>
  <c r="E91" i="42" a="1"/>
  <c r="E91" i="42" s="1"/>
  <c r="AK89" i="42" a="1"/>
  <c r="AK89" i="42" s="1"/>
  <c r="AC89" i="42" a="1"/>
  <c r="AC89" i="42" s="1"/>
  <c r="U89" i="42" a="1"/>
  <c r="U89" i="42" s="1"/>
  <c r="M89" i="42" a="1"/>
  <c r="M89" i="42" s="1"/>
  <c r="E89" i="42" a="1"/>
  <c r="E89" i="42" s="1"/>
  <c r="AK88" i="42" a="1"/>
  <c r="AK88" i="42" s="1"/>
  <c r="AC88" i="42" a="1"/>
  <c r="AC88" i="42" s="1"/>
  <c r="U88" i="42" a="1"/>
  <c r="U88" i="42" s="1"/>
  <c r="M88" i="42" a="1"/>
  <c r="M88" i="42" s="1"/>
  <c r="E88" i="42" a="1"/>
  <c r="E88" i="42" s="1"/>
  <c r="AK86" i="42" a="1"/>
  <c r="AK86" i="42" s="1"/>
  <c r="AC86" i="42" a="1"/>
  <c r="AC86" i="42" s="1"/>
  <c r="U86" i="42" a="1"/>
  <c r="U86" i="42" s="1"/>
  <c r="M86" i="42" a="1"/>
  <c r="M86" i="42" s="1"/>
  <c r="E86" i="42" a="1"/>
  <c r="E86" i="42" s="1"/>
  <c r="AK85" i="42" a="1"/>
  <c r="AK85" i="42" s="1"/>
  <c r="AC85" i="42" a="1"/>
  <c r="AC85" i="42" s="1"/>
  <c r="U85" i="42" a="1"/>
  <c r="U85" i="42" s="1"/>
  <c r="M85" i="42" a="1"/>
  <c r="M85" i="42" s="1"/>
  <c r="E85" i="42" a="1"/>
  <c r="E85" i="42" s="1"/>
  <c r="AK83" i="42" a="1"/>
  <c r="AK83" i="42" s="1"/>
  <c r="AC83" i="42" a="1"/>
  <c r="AC83" i="42" s="1"/>
  <c r="U83" i="42" a="1"/>
  <c r="U83" i="42" s="1"/>
  <c r="M83" i="42" a="1"/>
  <c r="M83" i="42" s="1"/>
  <c r="E83" i="42" a="1"/>
  <c r="E83" i="42" s="1"/>
  <c r="AK82" i="42" a="1"/>
  <c r="AK82" i="42" s="1"/>
  <c r="AC82" i="42" a="1"/>
  <c r="AC82" i="42" s="1"/>
  <c r="U82" i="42" a="1"/>
  <c r="U82" i="42" s="1"/>
  <c r="M82" i="42" a="1"/>
  <c r="M82" i="42" s="1"/>
  <c r="E82" i="42" a="1"/>
  <c r="E82" i="42" s="1"/>
  <c r="AK80" i="42" a="1"/>
  <c r="AK80" i="42" s="1"/>
  <c r="AC80" i="42" a="1"/>
  <c r="AC80" i="42" s="1"/>
  <c r="U80" i="42" a="1"/>
  <c r="U80" i="42" s="1"/>
  <c r="M80" i="42" a="1"/>
  <c r="M80" i="42" s="1"/>
  <c r="E80" i="42" a="1"/>
  <c r="E80" i="42" s="1"/>
  <c r="AK79" i="42" a="1"/>
  <c r="AK79" i="42" s="1"/>
  <c r="AC79" i="42" a="1"/>
  <c r="AC79" i="42" s="1"/>
  <c r="U79" i="42" a="1"/>
  <c r="U79" i="42" s="1"/>
  <c r="M79" i="42" a="1"/>
  <c r="M79" i="42" s="1"/>
  <c r="E79" i="42" a="1"/>
  <c r="E79" i="42" s="1"/>
  <c r="AK77" i="42" a="1"/>
  <c r="AK77" i="42" s="1"/>
  <c r="AC77" i="42" a="1"/>
  <c r="AC77" i="42" s="1"/>
  <c r="U77" i="42" a="1"/>
  <c r="U77" i="42" s="1"/>
  <c r="M77" i="42" a="1"/>
  <c r="M77" i="42" s="1"/>
  <c r="E77" i="42" a="1"/>
  <c r="E77" i="42" s="1"/>
  <c r="AK76" i="42" a="1"/>
  <c r="AK76" i="42" s="1"/>
  <c r="AC76" i="42" a="1"/>
  <c r="AC76" i="42" s="1"/>
  <c r="U76" i="42" a="1"/>
  <c r="U76" i="42" s="1"/>
  <c r="M76" i="42" a="1"/>
  <c r="M76" i="42" s="1"/>
  <c r="E76" i="42" a="1"/>
  <c r="E76" i="42" s="1"/>
  <c r="AK74" i="42" a="1"/>
  <c r="AK74" i="42" s="1"/>
  <c r="AC74" i="42" a="1"/>
  <c r="AC74" i="42" s="1"/>
  <c r="U74" i="42" a="1"/>
  <c r="U74" i="42" s="1"/>
  <c r="M74" i="42" a="1"/>
  <c r="M74" i="42" s="1"/>
  <c r="E74" i="42" a="1"/>
  <c r="E74" i="42" s="1"/>
  <c r="AK73" i="42" a="1"/>
  <c r="AK73" i="42" s="1"/>
  <c r="AC73" i="42" a="1"/>
  <c r="AC73" i="42" s="1"/>
  <c r="U73" i="42" a="1"/>
  <c r="U73" i="42" s="1"/>
  <c r="M73" i="42" a="1"/>
  <c r="M73" i="42" s="1"/>
  <c r="E73" i="42" a="1"/>
  <c r="E73" i="42" s="1"/>
  <c r="AK71" i="42" a="1"/>
  <c r="AK71" i="42" s="1"/>
  <c r="AC71" i="42" a="1"/>
  <c r="AC71" i="42" s="1"/>
  <c r="U71" i="42" a="1"/>
  <c r="U71" i="42" s="1"/>
  <c r="M71" i="42" a="1"/>
  <c r="M71" i="42" s="1"/>
  <c r="E71" i="42" a="1"/>
  <c r="E71" i="42" s="1"/>
  <c r="AL70" i="42" a="1"/>
  <c r="AL70" i="42" s="1"/>
  <c r="AD70" i="42" a="1"/>
  <c r="AD70" i="42" s="1"/>
  <c r="V70" i="42" a="1"/>
  <c r="V70" i="42" s="1"/>
  <c r="N70" i="42" a="1"/>
  <c r="N70" i="42" s="1"/>
  <c r="F70" i="42" a="1"/>
  <c r="F70" i="42" s="1"/>
  <c r="AL68" i="42" a="1"/>
  <c r="AL68" i="42" s="1"/>
  <c r="AD68" i="42" a="1"/>
  <c r="AD68" i="42" s="1"/>
  <c r="V68" i="42" a="1"/>
  <c r="V68" i="42" s="1"/>
  <c r="N68" i="42" a="1"/>
  <c r="N68" i="42" s="1"/>
  <c r="F68" i="42" a="1"/>
  <c r="F68" i="42" s="1"/>
  <c r="AL67" i="42" a="1"/>
  <c r="AL67" i="42" s="1"/>
  <c r="AD67" i="42" a="1"/>
  <c r="AD67" i="42" s="1"/>
  <c r="V67" i="42" a="1"/>
  <c r="V67" i="42" s="1"/>
  <c r="N67" i="42" a="1"/>
  <c r="N67" i="42" s="1"/>
  <c r="F67" i="42" a="1"/>
  <c r="F67" i="42" s="1"/>
  <c r="AL65" i="42" a="1"/>
  <c r="AL65" i="42" s="1"/>
  <c r="AD65" i="42" a="1"/>
  <c r="AD65" i="42" s="1"/>
  <c r="V65" i="42" a="1"/>
  <c r="V65" i="42" s="1"/>
  <c r="N65" i="42" a="1"/>
  <c r="N65" i="42" s="1"/>
  <c r="F65" i="42" a="1"/>
  <c r="F65" i="42" s="1"/>
  <c r="AL64" i="42" a="1"/>
  <c r="AL64" i="42" s="1"/>
  <c r="AD64" i="42" a="1"/>
  <c r="AD64" i="42" s="1"/>
  <c r="V64" i="42" a="1"/>
  <c r="V64" i="42" s="1"/>
  <c r="N64" i="42" a="1"/>
  <c r="N64" i="42" s="1"/>
  <c r="F64" i="42" a="1"/>
  <c r="F64" i="42" s="1"/>
  <c r="AL62" i="42" a="1"/>
  <c r="AL62" i="42" s="1"/>
  <c r="AD62" i="42" a="1"/>
  <c r="AD62" i="42" s="1"/>
  <c r="V62" i="42" a="1"/>
  <c r="V62" i="42" s="1"/>
  <c r="N62" i="42" a="1"/>
  <c r="N62" i="42" s="1"/>
  <c r="F62" i="42" a="1"/>
  <c r="F62" i="42" s="1"/>
  <c r="AL61" i="42" a="1"/>
  <c r="AL61" i="42" s="1"/>
  <c r="AD61" i="42" a="1"/>
  <c r="AD61" i="42" s="1"/>
  <c r="V61" i="42" a="1"/>
  <c r="V61" i="42" s="1"/>
  <c r="N61" i="42" a="1"/>
  <c r="N61" i="42" s="1"/>
  <c r="F61" i="42" a="1"/>
  <c r="F61" i="42" s="1"/>
  <c r="AL59" i="42" a="1"/>
  <c r="AL59" i="42" s="1"/>
  <c r="AD59" i="42" a="1"/>
  <c r="AD59" i="42" s="1"/>
  <c r="V59" i="42" a="1"/>
  <c r="V59" i="42" s="1"/>
  <c r="N59" i="42" a="1"/>
  <c r="N59" i="42" s="1"/>
  <c r="F59" i="42" a="1"/>
  <c r="F59" i="42" s="1"/>
  <c r="AL58" i="42" a="1"/>
  <c r="AL58" i="42" s="1"/>
  <c r="AD58" i="42" a="1"/>
  <c r="AD58" i="42" s="1"/>
  <c r="V58" i="42" a="1"/>
  <c r="V58" i="42" s="1"/>
  <c r="N58" i="42" a="1"/>
  <c r="N58" i="42" s="1"/>
  <c r="F58" i="42" a="1"/>
  <c r="F58" i="42" s="1"/>
  <c r="AL56" i="42" a="1"/>
  <c r="AL56" i="42" s="1"/>
  <c r="AD56" i="42" a="1"/>
  <c r="AD56" i="42" s="1"/>
  <c r="V56" i="42" a="1"/>
  <c r="V56" i="42" s="1"/>
  <c r="N56" i="42" a="1"/>
  <c r="N56" i="42" s="1"/>
  <c r="F56" i="42" a="1"/>
  <c r="F56" i="42" s="1"/>
  <c r="AL55" i="42" a="1"/>
  <c r="AL55" i="42" s="1"/>
  <c r="AD55" i="42" a="1"/>
  <c r="AD55" i="42" s="1"/>
  <c r="V55" i="42" a="1"/>
  <c r="V55" i="42" s="1"/>
  <c r="N55" i="42" a="1"/>
  <c r="N55" i="42" s="1"/>
  <c r="F55" i="42" a="1"/>
  <c r="F55" i="42" s="1"/>
  <c r="AL53" i="42" a="1"/>
  <c r="AL53" i="42" s="1"/>
  <c r="AQ104" i="42" a="1"/>
  <c r="AQ104" i="42" s="1"/>
  <c r="AI104" i="42" a="1"/>
  <c r="AI104" i="42" s="1"/>
  <c r="AA104" i="42" a="1"/>
  <c r="AA104" i="42" s="1"/>
  <c r="S104" i="42" a="1"/>
  <c r="S104" i="42" s="1"/>
  <c r="K104" i="42" a="1"/>
  <c r="K104" i="42" s="1"/>
  <c r="AQ103" i="42" a="1"/>
  <c r="AQ103" i="42" s="1"/>
  <c r="AI103" i="42" a="1"/>
  <c r="AI103" i="42" s="1"/>
  <c r="AA103" i="42" a="1"/>
  <c r="AA103" i="42" s="1"/>
  <c r="S103" i="42" a="1"/>
  <c r="S103" i="42" s="1"/>
  <c r="K103" i="42" a="1"/>
  <c r="K103" i="42" s="1"/>
  <c r="AQ101" i="42" a="1"/>
  <c r="AQ101" i="42" s="1"/>
  <c r="AI101" i="42" a="1"/>
  <c r="AI101" i="42" s="1"/>
  <c r="AA101" i="42" a="1"/>
  <c r="AA101" i="42" s="1"/>
  <c r="S101" i="42" a="1"/>
  <c r="S101" i="42" s="1"/>
  <c r="K101" i="42" a="1"/>
  <c r="K101" i="42" s="1"/>
  <c r="AQ100" i="42" a="1"/>
  <c r="AQ100" i="42" s="1"/>
  <c r="AI100" i="42" a="1"/>
  <c r="AI100" i="42" s="1"/>
  <c r="AA100" i="42" a="1"/>
  <c r="AA100" i="42" s="1"/>
  <c r="S100" i="42" a="1"/>
  <c r="S100" i="42" s="1"/>
  <c r="K100" i="42" a="1"/>
  <c r="K100" i="42" s="1"/>
  <c r="AQ98" i="42" a="1"/>
  <c r="AQ98" i="42" s="1"/>
  <c r="AI98" i="42" a="1"/>
  <c r="AI98" i="42" s="1"/>
  <c r="AA98" i="42" a="1"/>
  <c r="AA98" i="42" s="1"/>
  <c r="S98" i="42" a="1"/>
  <c r="S98" i="42" s="1"/>
  <c r="K98" i="42" a="1"/>
  <c r="K98" i="42" s="1"/>
  <c r="AQ97" i="42" a="1"/>
  <c r="AQ97" i="42" s="1"/>
  <c r="AI97" i="42" a="1"/>
  <c r="AI97" i="42" s="1"/>
  <c r="AA97" i="42" a="1"/>
  <c r="AA97" i="42" s="1"/>
  <c r="S97" i="42" a="1"/>
  <c r="S97" i="42" s="1"/>
  <c r="K97" i="42" a="1"/>
  <c r="K97" i="42" s="1"/>
  <c r="AQ95" i="42" a="1"/>
  <c r="AQ95" i="42" s="1"/>
  <c r="AI95" i="42" a="1"/>
  <c r="AI95" i="42" s="1"/>
  <c r="AA95" i="42" a="1"/>
  <c r="AA95" i="42" s="1"/>
  <c r="S95" i="42" a="1"/>
  <c r="S95" i="42" s="1"/>
  <c r="K95" i="42" a="1"/>
  <c r="K95" i="42" s="1"/>
  <c r="AQ94" i="42" a="1"/>
  <c r="AQ94" i="42" s="1"/>
  <c r="AI94" i="42" a="1"/>
  <c r="AI94" i="42" s="1"/>
  <c r="AA94" i="42" a="1"/>
  <c r="AA94" i="42" s="1"/>
  <c r="S94" i="42" a="1"/>
  <c r="S94" i="42" s="1"/>
  <c r="K94" i="42" a="1"/>
  <c r="K94" i="42" s="1"/>
  <c r="AR92" i="42" a="1"/>
  <c r="AR92" i="42" s="1"/>
  <c r="AJ92" i="42" a="1"/>
  <c r="AJ92" i="42" s="1"/>
  <c r="AB92" i="42" a="1"/>
  <c r="AB92" i="42" s="1"/>
  <c r="T92" i="42" a="1"/>
  <c r="T92" i="42" s="1"/>
  <c r="L92" i="42" a="1"/>
  <c r="L92" i="42" s="1"/>
  <c r="AR91" i="42" a="1"/>
  <c r="AR91" i="42" s="1"/>
  <c r="AJ91" i="42" a="1"/>
  <c r="AJ91" i="42" s="1"/>
  <c r="AB91" i="42" a="1"/>
  <c r="AB91" i="42" s="1"/>
  <c r="T91" i="42" a="1"/>
  <c r="T91" i="42" s="1"/>
  <c r="L91" i="42" a="1"/>
  <c r="L91" i="42" s="1"/>
  <c r="AR89" i="42" a="1"/>
  <c r="AR89" i="42" s="1"/>
  <c r="AJ89" i="42" a="1"/>
  <c r="AJ89" i="42" s="1"/>
  <c r="AB89" i="42" a="1"/>
  <c r="AB89" i="42" s="1"/>
  <c r="T89" i="42" a="1"/>
  <c r="T89" i="42" s="1"/>
  <c r="L89" i="42" a="1"/>
  <c r="L89" i="42" s="1"/>
  <c r="AR88" i="42" a="1"/>
  <c r="AR88" i="42" s="1"/>
  <c r="AJ88" i="42" a="1"/>
  <c r="AJ88" i="42" s="1"/>
  <c r="AB88" i="42" a="1"/>
  <c r="AB88" i="42" s="1"/>
  <c r="T88" i="42" a="1"/>
  <c r="T88" i="42" s="1"/>
  <c r="L88" i="42" a="1"/>
  <c r="L88" i="42" s="1"/>
  <c r="AR86" i="42" a="1"/>
  <c r="AR86" i="42" s="1"/>
  <c r="AJ86" i="42" a="1"/>
  <c r="AJ86" i="42" s="1"/>
  <c r="AB86" i="42" a="1"/>
  <c r="AB86" i="42" s="1"/>
  <c r="T86" i="42" a="1"/>
  <c r="T86" i="42" s="1"/>
  <c r="L86" i="42" a="1"/>
  <c r="L86" i="42" s="1"/>
  <c r="AR85" i="42" a="1"/>
  <c r="AR85" i="42" s="1"/>
  <c r="AJ85" i="42" a="1"/>
  <c r="AJ85" i="42" s="1"/>
  <c r="AB85" i="42" a="1"/>
  <c r="AB85" i="42" s="1"/>
  <c r="T85" i="42" a="1"/>
  <c r="T85" i="42" s="1"/>
  <c r="L85" i="42" a="1"/>
  <c r="L85" i="42" s="1"/>
  <c r="AR83" i="42" a="1"/>
  <c r="AR83" i="42" s="1"/>
  <c r="AJ83" i="42" a="1"/>
  <c r="AJ83" i="42" s="1"/>
  <c r="AB83" i="42" a="1"/>
  <c r="AB83" i="42" s="1"/>
  <c r="T83" i="42" a="1"/>
  <c r="T83" i="42" s="1"/>
  <c r="L83" i="42" a="1"/>
  <c r="L83" i="42" s="1"/>
  <c r="AR82" i="42" a="1"/>
  <c r="AR82" i="42" s="1"/>
  <c r="AJ82" i="42" a="1"/>
  <c r="AJ82" i="42" s="1"/>
  <c r="AB82" i="42" a="1"/>
  <c r="AB82" i="42" s="1"/>
  <c r="T82" i="42" a="1"/>
  <c r="T82" i="42" s="1"/>
  <c r="L82" i="42" a="1"/>
  <c r="L82" i="42" s="1"/>
  <c r="AR80" i="42" a="1"/>
  <c r="AR80" i="42" s="1"/>
  <c r="AJ80" i="42" a="1"/>
  <c r="AJ80" i="42" s="1"/>
  <c r="AB80" i="42" a="1"/>
  <c r="AB80" i="42" s="1"/>
  <c r="T80" i="42" a="1"/>
  <c r="T80" i="42" s="1"/>
  <c r="L80" i="42" a="1"/>
  <c r="L80" i="42" s="1"/>
  <c r="AR79" i="42" a="1"/>
  <c r="AR79" i="42" s="1"/>
  <c r="AJ79" i="42" a="1"/>
  <c r="AJ79" i="42" s="1"/>
  <c r="AB79" i="42" a="1"/>
  <c r="AB79" i="42" s="1"/>
  <c r="T79" i="42" a="1"/>
  <c r="T79" i="42" s="1"/>
  <c r="L79" i="42" a="1"/>
  <c r="L79" i="42" s="1"/>
  <c r="AR77" i="42" a="1"/>
  <c r="AR77" i="42" s="1"/>
  <c r="AJ77" i="42" a="1"/>
  <c r="AJ77" i="42" s="1"/>
  <c r="AB77" i="42" a="1"/>
  <c r="AB77" i="42" s="1"/>
  <c r="T77" i="42" a="1"/>
  <c r="T77" i="42" s="1"/>
  <c r="L77" i="42" a="1"/>
  <c r="L77" i="42" s="1"/>
  <c r="AR76" i="42" a="1"/>
  <c r="AR76" i="42" s="1"/>
  <c r="AJ76" i="42" a="1"/>
  <c r="AJ76" i="42" s="1"/>
  <c r="AB76" i="42" a="1"/>
  <c r="AB76" i="42" s="1"/>
  <c r="T76" i="42" a="1"/>
  <c r="T76" i="42" s="1"/>
  <c r="L76" i="42" a="1"/>
  <c r="L76" i="42" s="1"/>
  <c r="AR74" i="42" a="1"/>
  <c r="AR74" i="42" s="1"/>
  <c r="AJ74" i="42" a="1"/>
  <c r="AJ74" i="42" s="1"/>
  <c r="AB74" i="42" a="1"/>
  <c r="AB74" i="42" s="1"/>
  <c r="T74" i="42" a="1"/>
  <c r="T74" i="42" s="1"/>
  <c r="L74" i="42" a="1"/>
  <c r="L74" i="42" s="1"/>
  <c r="AR73" i="42" a="1"/>
  <c r="AR73" i="42" s="1"/>
  <c r="AJ73" i="42" a="1"/>
  <c r="AJ73" i="42" s="1"/>
  <c r="AB73" i="42" a="1"/>
  <c r="AB73" i="42" s="1"/>
  <c r="T73" i="42" a="1"/>
  <c r="T73" i="42" s="1"/>
  <c r="L73" i="42" a="1"/>
  <c r="L73" i="42" s="1"/>
  <c r="AR71" i="42" a="1"/>
  <c r="AR71" i="42" s="1"/>
  <c r="AJ71" i="42" a="1"/>
  <c r="AJ71" i="42" s="1"/>
  <c r="AB71" i="42" a="1"/>
  <c r="AB71" i="42" s="1"/>
  <c r="T71" i="42" a="1"/>
  <c r="T71" i="42" s="1"/>
  <c r="L71" i="42" a="1"/>
  <c r="L71" i="42" s="1"/>
  <c r="AK70" i="42" a="1"/>
  <c r="AK70" i="42" s="1"/>
  <c r="AK69" i="42" s="1"/>
  <c r="AC70" i="42" a="1"/>
  <c r="AC70" i="42" s="1"/>
  <c r="AC69" i="42" s="1"/>
  <c r="U70" i="42" a="1"/>
  <c r="U70" i="42" s="1"/>
  <c r="U69" i="42" s="1"/>
  <c r="M70" i="42" a="1"/>
  <c r="M70" i="42" s="1"/>
  <c r="M69" i="42" s="1"/>
  <c r="E70" i="42" a="1"/>
  <c r="E70" i="42" s="1"/>
  <c r="E69" i="42" s="1"/>
  <c r="AK68" i="42" a="1"/>
  <c r="AK68" i="42" s="1"/>
  <c r="AC68" i="42" a="1"/>
  <c r="AC68" i="42" s="1"/>
  <c r="U68" i="42" a="1"/>
  <c r="U68" i="42" s="1"/>
  <c r="M68" i="42" a="1"/>
  <c r="M68" i="42" s="1"/>
  <c r="E68" i="42" a="1"/>
  <c r="E68" i="42" s="1"/>
  <c r="AK67" i="42" a="1"/>
  <c r="AK67" i="42" s="1"/>
  <c r="AC67" i="42" a="1"/>
  <c r="AC67" i="42" s="1"/>
  <c r="U67" i="42" a="1"/>
  <c r="U67" i="42" s="1"/>
  <c r="M67" i="42" a="1"/>
  <c r="M67" i="42" s="1"/>
  <c r="E67" i="42" a="1"/>
  <c r="E67" i="42" s="1"/>
  <c r="AK65" i="42" a="1"/>
  <c r="AK65" i="42" s="1"/>
  <c r="AC65" i="42" a="1"/>
  <c r="AC65" i="42" s="1"/>
  <c r="U65" i="42" a="1"/>
  <c r="U65" i="42" s="1"/>
  <c r="M65" i="42" a="1"/>
  <c r="M65" i="42" s="1"/>
  <c r="E65" i="42" a="1"/>
  <c r="E65" i="42" s="1"/>
  <c r="AK64" i="42" a="1"/>
  <c r="AK64" i="42" s="1"/>
  <c r="AC64" i="42" a="1"/>
  <c r="AC64" i="42" s="1"/>
  <c r="U64" i="42" a="1"/>
  <c r="U64" i="42" s="1"/>
  <c r="M64" i="42" a="1"/>
  <c r="M64" i="42" s="1"/>
  <c r="E64" i="42" a="1"/>
  <c r="E64" i="42" s="1"/>
  <c r="AK62" i="42" a="1"/>
  <c r="AK62" i="42" s="1"/>
  <c r="AC62" i="42" a="1"/>
  <c r="AC62" i="42" s="1"/>
  <c r="U62" i="42" a="1"/>
  <c r="U62" i="42" s="1"/>
  <c r="M62" i="42" a="1"/>
  <c r="M62" i="42" s="1"/>
  <c r="E62" i="42" a="1"/>
  <c r="E62" i="42" s="1"/>
  <c r="AK61" i="42" a="1"/>
  <c r="AK61" i="42" s="1"/>
  <c r="AC61" i="42" a="1"/>
  <c r="AC61" i="42" s="1"/>
  <c r="U61" i="42" a="1"/>
  <c r="U61" i="42" s="1"/>
  <c r="M61" i="42" a="1"/>
  <c r="M61" i="42" s="1"/>
  <c r="E61" i="42" a="1"/>
  <c r="E61" i="42" s="1"/>
  <c r="AK59" i="42" a="1"/>
  <c r="AK59" i="42" s="1"/>
  <c r="AC59" i="42" a="1"/>
  <c r="AC59" i="42" s="1"/>
  <c r="U59" i="42" a="1"/>
  <c r="U59" i="42" s="1"/>
  <c r="M59" i="42" a="1"/>
  <c r="M59" i="42" s="1"/>
  <c r="E59" i="42" a="1"/>
  <c r="E59" i="42" s="1"/>
  <c r="AK58" i="42" a="1"/>
  <c r="AK58" i="42" s="1"/>
  <c r="AC58" i="42" a="1"/>
  <c r="AC58" i="42" s="1"/>
  <c r="U58" i="42" a="1"/>
  <c r="U58" i="42" s="1"/>
  <c r="M58" i="42" a="1"/>
  <c r="M58" i="42" s="1"/>
  <c r="E58" i="42" a="1"/>
  <c r="E58" i="42" s="1"/>
  <c r="AK56" i="42" a="1"/>
  <c r="AK56" i="42" s="1"/>
  <c r="AC56" i="42" a="1"/>
  <c r="AC56" i="42" s="1"/>
  <c r="U56" i="42" a="1"/>
  <c r="U56" i="42" s="1"/>
  <c r="M56" i="42" a="1"/>
  <c r="M56" i="42" s="1"/>
  <c r="E56" i="42" a="1"/>
  <c r="E56" i="42" s="1"/>
  <c r="AK55" i="42" a="1"/>
  <c r="AK55" i="42" s="1"/>
  <c r="AC55" i="42" a="1"/>
  <c r="AC55" i="42" s="1"/>
  <c r="U55" i="42" a="1"/>
  <c r="U55" i="42" s="1"/>
  <c r="M55" i="42" a="1"/>
  <c r="M55" i="42" s="1"/>
  <c r="E55" i="42" a="1"/>
  <c r="E55" i="42" s="1"/>
  <c r="AK53" i="42" a="1"/>
  <c r="AK53" i="42" s="1"/>
  <c r="AP104" i="42" a="1"/>
  <c r="AP104" i="42" s="1"/>
  <c r="AH104" i="42" a="1"/>
  <c r="AH104" i="42" s="1"/>
  <c r="Z104" i="42" a="1"/>
  <c r="Z104" i="42" s="1"/>
  <c r="R104" i="42" a="1"/>
  <c r="R104" i="42" s="1"/>
  <c r="J104" i="42" a="1"/>
  <c r="J104" i="42" s="1"/>
  <c r="AP103" i="42" a="1"/>
  <c r="AP103" i="42" s="1"/>
  <c r="AH103" i="42" a="1"/>
  <c r="AH103" i="42" s="1"/>
  <c r="Z103" i="42" a="1"/>
  <c r="Z103" i="42" s="1"/>
  <c r="R103" i="42" a="1"/>
  <c r="R103" i="42" s="1"/>
  <c r="J103" i="42" a="1"/>
  <c r="J103" i="42" s="1"/>
  <c r="AP101" i="42" a="1"/>
  <c r="AP101" i="42" s="1"/>
  <c r="AH101" i="42" a="1"/>
  <c r="AH101" i="42" s="1"/>
  <c r="Z101" i="42" a="1"/>
  <c r="Z101" i="42" s="1"/>
  <c r="R101" i="42" a="1"/>
  <c r="R101" i="42" s="1"/>
  <c r="J101" i="42" a="1"/>
  <c r="J101" i="42" s="1"/>
  <c r="AP100" i="42" a="1"/>
  <c r="AP100" i="42" s="1"/>
  <c r="AH100" i="42" a="1"/>
  <c r="AH100" i="42" s="1"/>
  <c r="Z100" i="42" a="1"/>
  <c r="Z100" i="42" s="1"/>
  <c r="R100" i="42" a="1"/>
  <c r="R100" i="42" s="1"/>
  <c r="J100" i="42" a="1"/>
  <c r="J100" i="42" s="1"/>
  <c r="AP98" i="42" a="1"/>
  <c r="AP98" i="42" s="1"/>
  <c r="AH98" i="42" a="1"/>
  <c r="AH98" i="42" s="1"/>
  <c r="Z98" i="42" a="1"/>
  <c r="Z98" i="42" s="1"/>
  <c r="R98" i="42" a="1"/>
  <c r="R98" i="42" s="1"/>
  <c r="J98" i="42" a="1"/>
  <c r="J98" i="42" s="1"/>
  <c r="AP97" i="42" a="1"/>
  <c r="AP97" i="42" s="1"/>
  <c r="AH97" i="42" a="1"/>
  <c r="AH97" i="42" s="1"/>
  <c r="Z97" i="42" a="1"/>
  <c r="Z97" i="42" s="1"/>
  <c r="R97" i="42" a="1"/>
  <c r="R97" i="42" s="1"/>
  <c r="J97" i="42" a="1"/>
  <c r="J97" i="42" s="1"/>
  <c r="AP95" i="42" a="1"/>
  <c r="AP95" i="42" s="1"/>
  <c r="AH95" i="42" a="1"/>
  <c r="AH95" i="42" s="1"/>
  <c r="Z95" i="42" a="1"/>
  <c r="Z95" i="42" s="1"/>
  <c r="R95" i="42" a="1"/>
  <c r="R95" i="42" s="1"/>
  <c r="J95" i="42" a="1"/>
  <c r="J95" i="42" s="1"/>
  <c r="AP94" i="42" a="1"/>
  <c r="AP94" i="42" s="1"/>
  <c r="AH94" i="42" a="1"/>
  <c r="AH94" i="42" s="1"/>
  <c r="Z94" i="42" a="1"/>
  <c r="Z94" i="42" s="1"/>
  <c r="R94" i="42" a="1"/>
  <c r="R94" i="42" s="1"/>
  <c r="J94" i="42" a="1"/>
  <c r="J94" i="42" s="1"/>
  <c r="AQ92" i="42" a="1"/>
  <c r="AQ92" i="42" s="1"/>
  <c r="AI92" i="42" a="1"/>
  <c r="AI92" i="42" s="1"/>
  <c r="AA92" i="42" a="1"/>
  <c r="AA92" i="42" s="1"/>
  <c r="S92" i="42" a="1"/>
  <c r="S92" i="42" s="1"/>
  <c r="K92" i="42" a="1"/>
  <c r="K92" i="42" s="1"/>
  <c r="AQ91" i="42" a="1"/>
  <c r="AQ91" i="42" s="1"/>
  <c r="AI91" i="42" a="1"/>
  <c r="AI91" i="42" s="1"/>
  <c r="AA91" i="42" a="1"/>
  <c r="AA91" i="42" s="1"/>
  <c r="S91" i="42" a="1"/>
  <c r="S91" i="42" s="1"/>
  <c r="K91" i="42" a="1"/>
  <c r="K91" i="42" s="1"/>
  <c r="AQ89" i="42" a="1"/>
  <c r="AQ89" i="42" s="1"/>
  <c r="AI89" i="42" a="1"/>
  <c r="AI89" i="42" s="1"/>
  <c r="AA89" i="42" a="1"/>
  <c r="AA89" i="42" s="1"/>
  <c r="S89" i="42" a="1"/>
  <c r="S89" i="42" s="1"/>
  <c r="K89" i="42" a="1"/>
  <c r="K89" i="42" s="1"/>
  <c r="AQ88" i="42" a="1"/>
  <c r="AQ88" i="42" s="1"/>
  <c r="AI88" i="42" a="1"/>
  <c r="AI88" i="42" s="1"/>
  <c r="AA88" i="42" a="1"/>
  <c r="AA88" i="42" s="1"/>
  <c r="S88" i="42" a="1"/>
  <c r="S88" i="42" s="1"/>
  <c r="K88" i="42" a="1"/>
  <c r="K88" i="42" s="1"/>
  <c r="AQ86" i="42" a="1"/>
  <c r="AQ86" i="42" s="1"/>
  <c r="AI86" i="42" a="1"/>
  <c r="AI86" i="42" s="1"/>
  <c r="AA86" i="42" a="1"/>
  <c r="AA86" i="42" s="1"/>
  <c r="S86" i="42" a="1"/>
  <c r="S86" i="42" s="1"/>
  <c r="K86" i="42" a="1"/>
  <c r="K86" i="42" s="1"/>
  <c r="AQ85" i="42" a="1"/>
  <c r="AQ85" i="42" s="1"/>
  <c r="AI85" i="42" a="1"/>
  <c r="AI85" i="42" s="1"/>
  <c r="AA85" i="42" a="1"/>
  <c r="AA85" i="42" s="1"/>
  <c r="S85" i="42" a="1"/>
  <c r="S85" i="42" s="1"/>
  <c r="K85" i="42" a="1"/>
  <c r="K85" i="42" s="1"/>
  <c r="AQ83" i="42" a="1"/>
  <c r="AQ83" i="42" s="1"/>
  <c r="AI83" i="42" a="1"/>
  <c r="AI83" i="42" s="1"/>
  <c r="AA83" i="42" a="1"/>
  <c r="AA83" i="42" s="1"/>
  <c r="S83" i="42" a="1"/>
  <c r="S83" i="42" s="1"/>
  <c r="K83" i="42" a="1"/>
  <c r="K83" i="42" s="1"/>
  <c r="AQ82" i="42" a="1"/>
  <c r="AQ82" i="42" s="1"/>
  <c r="AI82" i="42" a="1"/>
  <c r="AI82" i="42" s="1"/>
  <c r="AA82" i="42" a="1"/>
  <c r="AA82" i="42" s="1"/>
  <c r="S82" i="42" a="1"/>
  <c r="S82" i="42" s="1"/>
  <c r="K82" i="42" a="1"/>
  <c r="K82" i="42" s="1"/>
  <c r="AQ80" i="42" a="1"/>
  <c r="AQ80" i="42" s="1"/>
  <c r="AI80" i="42" a="1"/>
  <c r="AI80" i="42" s="1"/>
  <c r="AA80" i="42" a="1"/>
  <c r="AA80" i="42" s="1"/>
  <c r="S80" i="42" a="1"/>
  <c r="S80" i="42" s="1"/>
  <c r="K80" i="42" a="1"/>
  <c r="K80" i="42" s="1"/>
  <c r="AQ79" i="42" a="1"/>
  <c r="AQ79" i="42" s="1"/>
  <c r="AI79" i="42" a="1"/>
  <c r="AI79" i="42" s="1"/>
  <c r="AA79" i="42" a="1"/>
  <c r="AA79" i="42" s="1"/>
  <c r="S79" i="42" a="1"/>
  <c r="S79" i="42" s="1"/>
  <c r="K79" i="42" a="1"/>
  <c r="K79" i="42" s="1"/>
  <c r="AQ77" i="42" a="1"/>
  <c r="AQ77" i="42" s="1"/>
  <c r="AI77" i="42" a="1"/>
  <c r="AI77" i="42" s="1"/>
  <c r="AA77" i="42" a="1"/>
  <c r="AA77" i="42" s="1"/>
  <c r="S77" i="42" a="1"/>
  <c r="S77" i="42" s="1"/>
  <c r="K77" i="42" a="1"/>
  <c r="K77" i="42" s="1"/>
  <c r="AQ76" i="42" a="1"/>
  <c r="AQ76" i="42" s="1"/>
  <c r="AI76" i="42" a="1"/>
  <c r="AI76" i="42" s="1"/>
  <c r="AA76" i="42" a="1"/>
  <c r="AA76" i="42" s="1"/>
  <c r="S76" i="42" a="1"/>
  <c r="S76" i="42" s="1"/>
  <c r="K76" i="42" a="1"/>
  <c r="K76" i="42" s="1"/>
  <c r="AQ74" i="42" a="1"/>
  <c r="AQ74" i="42" s="1"/>
  <c r="AI74" i="42" a="1"/>
  <c r="AI74" i="42" s="1"/>
  <c r="AA74" i="42" a="1"/>
  <c r="AA74" i="42" s="1"/>
  <c r="S74" i="42" a="1"/>
  <c r="S74" i="42" s="1"/>
  <c r="K74" i="42" a="1"/>
  <c r="K74" i="42" s="1"/>
  <c r="AQ73" i="42" a="1"/>
  <c r="AQ73" i="42" s="1"/>
  <c r="AI73" i="42" a="1"/>
  <c r="AI73" i="42" s="1"/>
  <c r="AA73" i="42" a="1"/>
  <c r="AA73" i="42" s="1"/>
  <c r="S73" i="42" a="1"/>
  <c r="S73" i="42" s="1"/>
  <c r="K73" i="42" a="1"/>
  <c r="K73" i="42" s="1"/>
  <c r="AQ71" i="42" a="1"/>
  <c r="AQ71" i="42" s="1"/>
  <c r="AI71" i="42" a="1"/>
  <c r="AI71" i="42" s="1"/>
  <c r="AA71" i="42" a="1"/>
  <c r="AA71" i="42" s="1"/>
  <c r="S71" i="42" a="1"/>
  <c r="S71" i="42" s="1"/>
  <c r="K71" i="42" a="1"/>
  <c r="K71" i="42" s="1"/>
  <c r="AR70" i="42" a="1"/>
  <c r="AR70" i="42" s="1"/>
  <c r="AR69" i="42" s="1"/>
  <c r="AJ70" i="42" a="1"/>
  <c r="AJ70" i="42" s="1"/>
  <c r="AJ69" i="42" s="1"/>
  <c r="AB70" i="42" a="1"/>
  <c r="AB70" i="42" s="1"/>
  <c r="AB69" i="42" s="1"/>
  <c r="T70" i="42" a="1"/>
  <c r="T70" i="42" s="1"/>
  <c r="T69" i="42" s="1"/>
  <c r="L70" i="42" a="1"/>
  <c r="L70" i="42" s="1"/>
  <c r="L69" i="42" s="1"/>
  <c r="AR68" i="42" a="1"/>
  <c r="AR68" i="42" s="1"/>
  <c r="AJ68" i="42" a="1"/>
  <c r="AJ68" i="42" s="1"/>
  <c r="AB68" i="42" a="1"/>
  <c r="AB68" i="42" s="1"/>
  <c r="T68" i="42" a="1"/>
  <c r="T68" i="42" s="1"/>
  <c r="L68" i="42" a="1"/>
  <c r="L68" i="42" s="1"/>
  <c r="AR67" i="42" a="1"/>
  <c r="AR67" i="42" s="1"/>
  <c r="AJ67" i="42" a="1"/>
  <c r="AJ67" i="42" s="1"/>
  <c r="AB67" i="42" a="1"/>
  <c r="AB67" i="42" s="1"/>
  <c r="T67" i="42" a="1"/>
  <c r="T67" i="42" s="1"/>
  <c r="L67" i="42" a="1"/>
  <c r="L67" i="42" s="1"/>
  <c r="AR65" i="42" a="1"/>
  <c r="AR65" i="42" s="1"/>
  <c r="AJ65" i="42" a="1"/>
  <c r="AJ65" i="42" s="1"/>
  <c r="AB65" i="42" a="1"/>
  <c r="AB65" i="42" s="1"/>
  <c r="T65" i="42" a="1"/>
  <c r="T65" i="42" s="1"/>
  <c r="L65" i="42" a="1"/>
  <c r="L65" i="42" s="1"/>
  <c r="AR64" i="42" a="1"/>
  <c r="AR64" i="42" s="1"/>
  <c r="AJ64" i="42" a="1"/>
  <c r="AJ64" i="42" s="1"/>
  <c r="AB64" i="42" a="1"/>
  <c r="AB64" i="42" s="1"/>
  <c r="T64" i="42" a="1"/>
  <c r="T64" i="42" s="1"/>
  <c r="L64" i="42" a="1"/>
  <c r="L64" i="42" s="1"/>
  <c r="AR62" i="42" a="1"/>
  <c r="AR62" i="42" s="1"/>
  <c r="AJ62" i="42" a="1"/>
  <c r="AJ62" i="42" s="1"/>
  <c r="AB62" i="42" a="1"/>
  <c r="AB62" i="42" s="1"/>
  <c r="T62" i="42" a="1"/>
  <c r="T62" i="42" s="1"/>
  <c r="L62" i="42" a="1"/>
  <c r="L62" i="42" s="1"/>
  <c r="AR61" i="42" a="1"/>
  <c r="AR61" i="42" s="1"/>
  <c r="AJ61" i="42" a="1"/>
  <c r="AJ61" i="42" s="1"/>
  <c r="AB61" i="42" a="1"/>
  <c r="AB61" i="42" s="1"/>
  <c r="T61" i="42" a="1"/>
  <c r="T61" i="42" s="1"/>
  <c r="L61" i="42" a="1"/>
  <c r="L61" i="42" s="1"/>
  <c r="AR59" i="42" a="1"/>
  <c r="AR59" i="42" s="1"/>
  <c r="AJ59" i="42" a="1"/>
  <c r="AJ59" i="42" s="1"/>
  <c r="AB59" i="42" a="1"/>
  <c r="AB59" i="42" s="1"/>
  <c r="T59" i="42" a="1"/>
  <c r="T59" i="42" s="1"/>
  <c r="L59" i="42" a="1"/>
  <c r="L59" i="42" s="1"/>
  <c r="AR58" i="42" a="1"/>
  <c r="AR58" i="42" s="1"/>
  <c r="AJ58" i="42" a="1"/>
  <c r="AJ58" i="42" s="1"/>
  <c r="AB58" i="42" a="1"/>
  <c r="AB58" i="42" s="1"/>
  <c r="T58" i="42" a="1"/>
  <c r="T58" i="42" s="1"/>
  <c r="L58" i="42" a="1"/>
  <c r="L58" i="42" s="1"/>
  <c r="AR56" i="42" a="1"/>
  <c r="AR56" i="42" s="1"/>
  <c r="AJ56" i="42" a="1"/>
  <c r="AJ56" i="42" s="1"/>
  <c r="AB56" i="42" a="1"/>
  <c r="AB56" i="42" s="1"/>
  <c r="T56" i="42" a="1"/>
  <c r="T56" i="42" s="1"/>
  <c r="L56" i="42" a="1"/>
  <c r="L56" i="42" s="1"/>
  <c r="AR55" i="42" a="1"/>
  <c r="AR55" i="42" s="1"/>
  <c r="AJ55" i="42" a="1"/>
  <c r="AJ55" i="42" s="1"/>
  <c r="AB55" i="42" a="1"/>
  <c r="AB55" i="42" s="1"/>
  <c r="T55" i="42" a="1"/>
  <c r="T55" i="42" s="1"/>
  <c r="L55" i="42" a="1"/>
  <c r="L55" i="42" s="1"/>
  <c r="AO104" i="42" a="1"/>
  <c r="AO104" i="42" s="1"/>
  <c r="AG104" i="42" a="1"/>
  <c r="AG104" i="42" s="1"/>
  <c r="Y104" i="42" a="1"/>
  <c r="Y104" i="42" s="1"/>
  <c r="Q104" i="42" a="1"/>
  <c r="Q104" i="42" s="1"/>
  <c r="I104" i="42" a="1"/>
  <c r="I104" i="42" s="1"/>
  <c r="AO103" i="42" a="1"/>
  <c r="AO103" i="42" s="1"/>
  <c r="AG103" i="42" a="1"/>
  <c r="AG103" i="42" s="1"/>
  <c r="Y103" i="42" a="1"/>
  <c r="Y103" i="42" s="1"/>
  <c r="Q103" i="42" a="1"/>
  <c r="Q103" i="42" s="1"/>
  <c r="I103" i="42" a="1"/>
  <c r="I103" i="42" s="1"/>
  <c r="AO101" i="42" a="1"/>
  <c r="AO101" i="42" s="1"/>
  <c r="AG101" i="42" a="1"/>
  <c r="AG101" i="42" s="1"/>
  <c r="Y101" i="42" a="1"/>
  <c r="Y101" i="42" s="1"/>
  <c r="Q101" i="42" a="1"/>
  <c r="Q101" i="42" s="1"/>
  <c r="I101" i="42" a="1"/>
  <c r="I101" i="42" s="1"/>
  <c r="AO100" i="42" a="1"/>
  <c r="AO100" i="42" s="1"/>
  <c r="AG100" i="42" a="1"/>
  <c r="AG100" i="42" s="1"/>
  <c r="Y100" i="42" a="1"/>
  <c r="Y100" i="42" s="1"/>
  <c r="Q100" i="42" a="1"/>
  <c r="Q100" i="42" s="1"/>
  <c r="I100" i="42" a="1"/>
  <c r="I100" i="42" s="1"/>
  <c r="AO98" i="42" a="1"/>
  <c r="AO98" i="42" s="1"/>
  <c r="AG98" i="42" a="1"/>
  <c r="AG98" i="42" s="1"/>
  <c r="Y98" i="42" a="1"/>
  <c r="Y98" i="42" s="1"/>
  <c r="Q98" i="42" a="1"/>
  <c r="Q98" i="42" s="1"/>
  <c r="I98" i="42" a="1"/>
  <c r="I98" i="42" s="1"/>
  <c r="AO97" i="42" a="1"/>
  <c r="AO97" i="42" s="1"/>
  <c r="AG97" i="42" a="1"/>
  <c r="AG97" i="42" s="1"/>
  <c r="Y97" i="42" a="1"/>
  <c r="Y97" i="42" s="1"/>
  <c r="Q97" i="42" a="1"/>
  <c r="Q97" i="42" s="1"/>
  <c r="I97" i="42" a="1"/>
  <c r="I97" i="42" s="1"/>
  <c r="AO95" i="42" a="1"/>
  <c r="AO95" i="42" s="1"/>
  <c r="AG95" i="42" a="1"/>
  <c r="AG95" i="42" s="1"/>
  <c r="Y95" i="42" a="1"/>
  <c r="Y95" i="42" s="1"/>
  <c r="Q95" i="42" a="1"/>
  <c r="Q95" i="42" s="1"/>
  <c r="I95" i="42" a="1"/>
  <c r="I95" i="42" s="1"/>
  <c r="AO94" i="42" a="1"/>
  <c r="AO94" i="42" s="1"/>
  <c r="AG94" i="42" a="1"/>
  <c r="AG94" i="42" s="1"/>
  <c r="Y94" i="42" a="1"/>
  <c r="Y94" i="42" s="1"/>
  <c r="Q94" i="42" a="1"/>
  <c r="Q94" i="42" s="1"/>
  <c r="I94" i="42" a="1"/>
  <c r="I94" i="42" s="1"/>
  <c r="AP92" i="42" a="1"/>
  <c r="AP92" i="42" s="1"/>
  <c r="AH92" i="42" a="1"/>
  <c r="AH92" i="42" s="1"/>
  <c r="Z92" i="42" a="1"/>
  <c r="Z92" i="42" s="1"/>
  <c r="R92" i="42" a="1"/>
  <c r="R92" i="42" s="1"/>
  <c r="J92" i="42" a="1"/>
  <c r="J92" i="42" s="1"/>
  <c r="AP91" i="42" a="1"/>
  <c r="AP91" i="42" s="1"/>
  <c r="AH91" i="42" a="1"/>
  <c r="AH91" i="42" s="1"/>
  <c r="Z91" i="42" a="1"/>
  <c r="Z91" i="42" s="1"/>
  <c r="R91" i="42" a="1"/>
  <c r="R91" i="42" s="1"/>
  <c r="J91" i="42" a="1"/>
  <c r="J91" i="42" s="1"/>
  <c r="AP89" i="42" a="1"/>
  <c r="AP89" i="42" s="1"/>
  <c r="AH89" i="42" a="1"/>
  <c r="AH89" i="42" s="1"/>
  <c r="Z89" i="42" a="1"/>
  <c r="Z89" i="42" s="1"/>
  <c r="R89" i="42" a="1"/>
  <c r="R89" i="42" s="1"/>
  <c r="J89" i="42" a="1"/>
  <c r="J89" i="42" s="1"/>
  <c r="AP88" i="42" a="1"/>
  <c r="AP88" i="42" s="1"/>
  <c r="AH88" i="42" a="1"/>
  <c r="AH88" i="42" s="1"/>
  <c r="Z88" i="42" a="1"/>
  <c r="Z88" i="42" s="1"/>
  <c r="R88" i="42" a="1"/>
  <c r="R88" i="42" s="1"/>
  <c r="J88" i="42" a="1"/>
  <c r="J88" i="42" s="1"/>
  <c r="AP86" i="42" a="1"/>
  <c r="AP86" i="42" s="1"/>
  <c r="AH86" i="42" a="1"/>
  <c r="AH86" i="42" s="1"/>
  <c r="Z86" i="42" a="1"/>
  <c r="Z86" i="42" s="1"/>
  <c r="R86" i="42" a="1"/>
  <c r="R86" i="42" s="1"/>
  <c r="J86" i="42" a="1"/>
  <c r="J86" i="42" s="1"/>
  <c r="AP85" i="42" a="1"/>
  <c r="AP85" i="42" s="1"/>
  <c r="AH85" i="42" a="1"/>
  <c r="AH85" i="42" s="1"/>
  <c r="Z85" i="42" a="1"/>
  <c r="Z85" i="42" s="1"/>
  <c r="R85" i="42" a="1"/>
  <c r="R85" i="42" s="1"/>
  <c r="J85" i="42" a="1"/>
  <c r="J85" i="42" s="1"/>
  <c r="AP83" i="42" a="1"/>
  <c r="AP83" i="42" s="1"/>
  <c r="AH83" i="42" a="1"/>
  <c r="AH83" i="42" s="1"/>
  <c r="Z83" i="42" a="1"/>
  <c r="Z83" i="42" s="1"/>
  <c r="R83" i="42" a="1"/>
  <c r="R83" i="42" s="1"/>
  <c r="J83" i="42" a="1"/>
  <c r="J83" i="42" s="1"/>
  <c r="AP82" i="42" a="1"/>
  <c r="AP82" i="42" s="1"/>
  <c r="AH82" i="42" a="1"/>
  <c r="AH82" i="42" s="1"/>
  <c r="Z82" i="42" a="1"/>
  <c r="Z82" i="42" s="1"/>
  <c r="R82" i="42" a="1"/>
  <c r="R82" i="42" s="1"/>
  <c r="J82" i="42" a="1"/>
  <c r="J82" i="42" s="1"/>
  <c r="AP80" i="42" a="1"/>
  <c r="AP80" i="42" s="1"/>
  <c r="AH80" i="42" a="1"/>
  <c r="AH80" i="42" s="1"/>
  <c r="Z80" i="42" a="1"/>
  <c r="Z80" i="42" s="1"/>
  <c r="R80" i="42" a="1"/>
  <c r="R80" i="42" s="1"/>
  <c r="J80" i="42" a="1"/>
  <c r="J80" i="42" s="1"/>
  <c r="AP79" i="42" a="1"/>
  <c r="AP79" i="42" s="1"/>
  <c r="AH79" i="42" a="1"/>
  <c r="AH79" i="42" s="1"/>
  <c r="Z79" i="42" a="1"/>
  <c r="Z79" i="42" s="1"/>
  <c r="R79" i="42" a="1"/>
  <c r="R79" i="42" s="1"/>
  <c r="J79" i="42" a="1"/>
  <c r="J79" i="42" s="1"/>
  <c r="AP77" i="42" a="1"/>
  <c r="AP77" i="42" s="1"/>
  <c r="AH77" i="42" a="1"/>
  <c r="AH77" i="42" s="1"/>
  <c r="Z77" i="42" a="1"/>
  <c r="Z77" i="42" s="1"/>
  <c r="R77" i="42" a="1"/>
  <c r="R77" i="42" s="1"/>
  <c r="J77" i="42" a="1"/>
  <c r="J77" i="42" s="1"/>
  <c r="AP76" i="42" a="1"/>
  <c r="AP76" i="42" s="1"/>
  <c r="AH76" i="42" a="1"/>
  <c r="AH76" i="42" s="1"/>
  <c r="Z76" i="42" a="1"/>
  <c r="Z76" i="42" s="1"/>
  <c r="R76" i="42" a="1"/>
  <c r="R76" i="42" s="1"/>
  <c r="J76" i="42" a="1"/>
  <c r="J76" i="42" s="1"/>
  <c r="AP74" i="42" a="1"/>
  <c r="AP74" i="42" s="1"/>
  <c r="AH74" i="42" a="1"/>
  <c r="AH74" i="42" s="1"/>
  <c r="Z74" i="42" a="1"/>
  <c r="Z74" i="42" s="1"/>
  <c r="R74" i="42" a="1"/>
  <c r="R74" i="42" s="1"/>
  <c r="J74" i="42" a="1"/>
  <c r="J74" i="42" s="1"/>
  <c r="AP73" i="42" a="1"/>
  <c r="AP73" i="42" s="1"/>
  <c r="AH73" i="42" a="1"/>
  <c r="AH73" i="42" s="1"/>
  <c r="Z73" i="42" a="1"/>
  <c r="Z73" i="42" s="1"/>
  <c r="R73" i="42" a="1"/>
  <c r="R73" i="42" s="1"/>
  <c r="J73" i="42" a="1"/>
  <c r="J73" i="42" s="1"/>
  <c r="AP71" i="42" a="1"/>
  <c r="AP71" i="42" s="1"/>
  <c r="AH71" i="42" a="1"/>
  <c r="AH71" i="42" s="1"/>
  <c r="Z71" i="42" a="1"/>
  <c r="Z71" i="42" s="1"/>
  <c r="R71" i="42" a="1"/>
  <c r="R71" i="42" s="1"/>
  <c r="J71" i="42" a="1"/>
  <c r="J71" i="42" s="1"/>
  <c r="AQ70" i="42" a="1"/>
  <c r="AQ70" i="42" s="1"/>
  <c r="AI70" i="42" a="1"/>
  <c r="AI70" i="42" s="1"/>
  <c r="AA70" i="42" a="1"/>
  <c r="AA70" i="42" s="1"/>
  <c r="S70" i="42" a="1"/>
  <c r="S70" i="42" s="1"/>
  <c r="K70" i="42" a="1"/>
  <c r="K70" i="42" s="1"/>
  <c r="AQ68" i="42" a="1"/>
  <c r="AQ68" i="42" s="1"/>
  <c r="AI68" i="42" a="1"/>
  <c r="AI68" i="42" s="1"/>
  <c r="AA68" i="42" a="1"/>
  <c r="AA68" i="42" s="1"/>
  <c r="S68" i="42" a="1"/>
  <c r="S68" i="42" s="1"/>
  <c r="K68" i="42" a="1"/>
  <c r="K68" i="42" s="1"/>
  <c r="AQ67" i="42" a="1"/>
  <c r="AQ67" i="42" s="1"/>
  <c r="AI67" i="42" a="1"/>
  <c r="AI67" i="42" s="1"/>
  <c r="AA67" i="42" a="1"/>
  <c r="AA67" i="42" s="1"/>
  <c r="S67" i="42" a="1"/>
  <c r="S67" i="42" s="1"/>
  <c r="K67" i="42" a="1"/>
  <c r="K67" i="42" s="1"/>
  <c r="AQ65" i="42" a="1"/>
  <c r="AQ65" i="42" s="1"/>
  <c r="AI65" i="42" a="1"/>
  <c r="AI65" i="42" s="1"/>
  <c r="AA65" i="42" a="1"/>
  <c r="AA65" i="42" s="1"/>
  <c r="S65" i="42" a="1"/>
  <c r="S65" i="42" s="1"/>
  <c r="K65" i="42" a="1"/>
  <c r="K65" i="42" s="1"/>
  <c r="AQ64" i="42" a="1"/>
  <c r="AQ64" i="42" s="1"/>
  <c r="AI64" i="42" a="1"/>
  <c r="AI64" i="42" s="1"/>
  <c r="AA64" i="42" a="1"/>
  <c r="AA64" i="42" s="1"/>
  <c r="S64" i="42" a="1"/>
  <c r="S64" i="42" s="1"/>
  <c r="K64" i="42" a="1"/>
  <c r="K64" i="42" s="1"/>
  <c r="AQ62" i="42" a="1"/>
  <c r="AQ62" i="42" s="1"/>
  <c r="AI62" i="42" a="1"/>
  <c r="AI62" i="42" s="1"/>
  <c r="AA62" i="42" a="1"/>
  <c r="AA62" i="42" s="1"/>
  <c r="S62" i="42" a="1"/>
  <c r="S62" i="42" s="1"/>
  <c r="K62" i="42" a="1"/>
  <c r="K62" i="42" s="1"/>
  <c r="AQ61" i="42" a="1"/>
  <c r="AQ61" i="42" s="1"/>
  <c r="AI61" i="42" a="1"/>
  <c r="AI61" i="42" s="1"/>
  <c r="AA61" i="42" a="1"/>
  <c r="AA61" i="42" s="1"/>
  <c r="S61" i="42" a="1"/>
  <c r="S61" i="42" s="1"/>
  <c r="K61" i="42" a="1"/>
  <c r="K61" i="42" s="1"/>
  <c r="AQ59" i="42" a="1"/>
  <c r="AQ59" i="42" s="1"/>
  <c r="AI59" i="42" a="1"/>
  <c r="AI59" i="42" s="1"/>
  <c r="AA59" i="42" a="1"/>
  <c r="AA59" i="42" s="1"/>
  <c r="S59" i="42" a="1"/>
  <c r="S59" i="42" s="1"/>
  <c r="K59" i="42" a="1"/>
  <c r="K59" i="42" s="1"/>
  <c r="AQ58" i="42" a="1"/>
  <c r="AQ58" i="42" s="1"/>
  <c r="AI58" i="42" a="1"/>
  <c r="AI58" i="42" s="1"/>
  <c r="AA58" i="42" a="1"/>
  <c r="AA58" i="42" s="1"/>
  <c r="S58" i="42" a="1"/>
  <c r="S58" i="42" s="1"/>
  <c r="K58" i="42" a="1"/>
  <c r="K58" i="42" s="1"/>
  <c r="AQ56" i="42" a="1"/>
  <c r="AQ56" i="42" s="1"/>
  <c r="AI56" i="42" a="1"/>
  <c r="AI56" i="42" s="1"/>
  <c r="AA56" i="42" a="1"/>
  <c r="AA56" i="42" s="1"/>
  <c r="S56" i="42" a="1"/>
  <c r="S56" i="42" s="1"/>
  <c r="K56" i="42" a="1"/>
  <c r="K56" i="42" s="1"/>
  <c r="AQ55" i="42" a="1"/>
  <c r="AQ55" i="42" s="1"/>
  <c r="AI55" i="42" a="1"/>
  <c r="AI55" i="42" s="1"/>
  <c r="AA55" i="42" a="1"/>
  <c r="AA55" i="42" s="1"/>
  <c r="S55" i="42" a="1"/>
  <c r="S55" i="42" s="1"/>
  <c r="K55" i="42" a="1"/>
  <c r="K55" i="42" s="1"/>
  <c r="AQ53" i="42" a="1"/>
  <c r="AQ53" i="42" s="1"/>
  <c r="AN104" i="42" a="1"/>
  <c r="AN104" i="42" s="1"/>
  <c r="AF104" i="42" a="1"/>
  <c r="AF104" i="42" s="1"/>
  <c r="X104" i="42" a="1"/>
  <c r="X104" i="42" s="1"/>
  <c r="P104" i="42" a="1"/>
  <c r="P104" i="42" s="1"/>
  <c r="H104" i="42" a="1"/>
  <c r="H104" i="42" s="1"/>
  <c r="AN103" i="42" a="1"/>
  <c r="AN103" i="42" s="1"/>
  <c r="AF103" i="42" a="1"/>
  <c r="AF103" i="42" s="1"/>
  <c r="X103" i="42" a="1"/>
  <c r="X103" i="42" s="1"/>
  <c r="P103" i="42" a="1"/>
  <c r="P103" i="42" s="1"/>
  <c r="H103" i="42" a="1"/>
  <c r="H103" i="42" s="1"/>
  <c r="AN101" i="42" a="1"/>
  <c r="AN101" i="42" s="1"/>
  <c r="AF101" i="42" a="1"/>
  <c r="AF101" i="42" s="1"/>
  <c r="X101" i="42" a="1"/>
  <c r="X101" i="42" s="1"/>
  <c r="P101" i="42" a="1"/>
  <c r="P101" i="42" s="1"/>
  <c r="H101" i="42" a="1"/>
  <c r="H101" i="42" s="1"/>
  <c r="AN100" i="42" a="1"/>
  <c r="AN100" i="42" s="1"/>
  <c r="AF100" i="42" a="1"/>
  <c r="AF100" i="42" s="1"/>
  <c r="X100" i="42" a="1"/>
  <c r="X100" i="42" s="1"/>
  <c r="P100" i="42" a="1"/>
  <c r="P100" i="42" s="1"/>
  <c r="H100" i="42" a="1"/>
  <c r="H100" i="42" s="1"/>
  <c r="AN98" i="42" a="1"/>
  <c r="AN98" i="42" s="1"/>
  <c r="AF98" i="42" a="1"/>
  <c r="AF98" i="42" s="1"/>
  <c r="X98" i="42" a="1"/>
  <c r="X98" i="42" s="1"/>
  <c r="P98" i="42" a="1"/>
  <c r="P98" i="42" s="1"/>
  <c r="H98" i="42" a="1"/>
  <c r="H98" i="42" s="1"/>
  <c r="AN97" i="42" a="1"/>
  <c r="AN97" i="42" s="1"/>
  <c r="AF97" i="42" a="1"/>
  <c r="AF97" i="42" s="1"/>
  <c r="X97" i="42" a="1"/>
  <c r="X97" i="42" s="1"/>
  <c r="P97" i="42" a="1"/>
  <c r="P97" i="42" s="1"/>
  <c r="H97" i="42" a="1"/>
  <c r="H97" i="42" s="1"/>
  <c r="AN95" i="42" a="1"/>
  <c r="AN95" i="42" s="1"/>
  <c r="AF95" i="42" a="1"/>
  <c r="AF95" i="42" s="1"/>
  <c r="X95" i="42" a="1"/>
  <c r="X95" i="42" s="1"/>
  <c r="P95" i="42" a="1"/>
  <c r="P95" i="42" s="1"/>
  <c r="H95" i="42" a="1"/>
  <c r="H95" i="42" s="1"/>
  <c r="AN94" i="42" a="1"/>
  <c r="AN94" i="42" s="1"/>
  <c r="AF94" i="42" a="1"/>
  <c r="AF94" i="42" s="1"/>
  <c r="X94" i="42" a="1"/>
  <c r="X94" i="42" s="1"/>
  <c r="P94" i="42" a="1"/>
  <c r="P94" i="42" s="1"/>
  <c r="H94" i="42" a="1"/>
  <c r="H94" i="42" s="1"/>
  <c r="AO92" i="42" a="1"/>
  <c r="AO92" i="42" s="1"/>
  <c r="AG92" i="42" a="1"/>
  <c r="AG92" i="42" s="1"/>
  <c r="Y92" i="42" a="1"/>
  <c r="Y92" i="42" s="1"/>
  <c r="Q92" i="42" a="1"/>
  <c r="Q92" i="42" s="1"/>
  <c r="I92" i="42" a="1"/>
  <c r="I92" i="42" s="1"/>
  <c r="AO91" i="42" a="1"/>
  <c r="AO91" i="42" s="1"/>
  <c r="AG91" i="42" a="1"/>
  <c r="AG91" i="42" s="1"/>
  <c r="Y91" i="42" a="1"/>
  <c r="Y91" i="42" s="1"/>
  <c r="Q91" i="42" a="1"/>
  <c r="Q91" i="42" s="1"/>
  <c r="I91" i="42" a="1"/>
  <c r="I91" i="42" s="1"/>
  <c r="AO89" i="42" a="1"/>
  <c r="AO89" i="42" s="1"/>
  <c r="AG89" i="42" a="1"/>
  <c r="AG89" i="42" s="1"/>
  <c r="Y89" i="42" a="1"/>
  <c r="Y89" i="42" s="1"/>
  <c r="Q89" i="42" a="1"/>
  <c r="Q89" i="42" s="1"/>
  <c r="I89" i="42" a="1"/>
  <c r="I89" i="42" s="1"/>
  <c r="AO88" i="42" a="1"/>
  <c r="AO88" i="42" s="1"/>
  <c r="AG88" i="42" a="1"/>
  <c r="AG88" i="42" s="1"/>
  <c r="Y88" i="42" a="1"/>
  <c r="Y88" i="42" s="1"/>
  <c r="Q88" i="42" a="1"/>
  <c r="Q88" i="42" s="1"/>
  <c r="I88" i="42" a="1"/>
  <c r="I88" i="42" s="1"/>
  <c r="AO86" i="42" a="1"/>
  <c r="AO86" i="42" s="1"/>
  <c r="AG86" i="42" a="1"/>
  <c r="AG86" i="42" s="1"/>
  <c r="Y86" i="42" a="1"/>
  <c r="Y86" i="42" s="1"/>
  <c r="Q86" i="42" a="1"/>
  <c r="Q86" i="42" s="1"/>
  <c r="I86" i="42" a="1"/>
  <c r="I86" i="42" s="1"/>
  <c r="AO85" i="42" a="1"/>
  <c r="AO85" i="42" s="1"/>
  <c r="AG85" i="42" a="1"/>
  <c r="AG85" i="42" s="1"/>
  <c r="Y85" i="42" a="1"/>
  <c r="Y85" i="42" s="1"/>
  <c r="Q85" i="42" a="1"/>
  <c r="Q85" i="42" s="1"/>
  <c r="I85" i="42" a="1"/>
  <c r="I85" i="42" s="1"/>
  <c r="AO83" i="42" a="1"/>
  <c r="AO83" i="42" s="1"/>
  <c r="AG83" i="42" a="1"/>
  <c r="AG83" i="42" s="1"/>
  <c r="Y83" i="42" a="1"/>
  <c r="Y83" i="42" s="1"/>
  <c r="Q83" i="42" a="1"/>
  <c r="Q83" i="42" s="1"/>
  <c r="I83" i="42" a="1"/>
  <c r="I83" i="42" s="1"/>
  <c r="AO82" i="42" a="1"/>
  <c r="AO82" i="42" s="1"/>
  <c r="AG82" i="42" a="1"/>
  <c r="AG82" i="42" s="1"/>
  <c r="Y82" i="42" a="1"/>
  <c r="Y82" i="42" s="1"/>
  <c r="Q82" i="42" a="1"/>
  <c r="Q82" i="42" s="1"/>
  <c r="I82" i="42" a="1"/>
  <c r="I82" i="42" s="1"/>
  <c r="AO80" i="42" a="1"/>
  <c r="AO80" i="42" s="1"/>
  <c r="AG80" i="42" a="1"/>
  <c r="AG80" i="42" s="1"/>
  <c r="Y80" i="42" a="1"/>
  <c r="Y80" i="42" s="1"/>
  <c r="Q80" i="42" a="1"/>
  <c r="Q80" i="42" s="1"/>
  <c r="I80" i="42" a="1"/>
  <c r="I80" i="42" s="1"/>
  <c r="AO79" i="42" a="1"/>
  <c r="AO79" i="42" s="1"/>
  <c r="AG79" i="42" a="1"/>
  <c r="AG79" i="42" s="1"/>
  <c r="Y79" i="42" a="1"/>
  <c r="Y79" i="42" s="1"/>
  <c r="Q79" i="42" a="1"/>
  <c r="Q79" i="42" s="1"/>
  <c r="I79" i="42" a="1"/>
  <c r="I79" i="42" s="1"/>
  <c r="AO77" i="42" a="1"/>
  <c r="AO77" i="42" s="1"/>
  <c r="AG77" i="42" a="1"/>
  <c r="AG77" i="42" s="1"/>
  <c r="Y77" i="42" a="1"/>
  <c r="Y77" i="42" s="1"/>
  <c r="Q77" i="42" a="1"/>
  <c r="Q77" i="42" s="1"/>
  <c r="I77" i="42" a="1"/>
  <c r="I77" i="42" s="1"/>
  <c r="AO76" i="42" a="1"/>
  <c r="AO76" i="42" s="1"/>
  <c r="AG76" i="42" a="1"/>
  <c r="AG76" i="42" s="1"/>
  <c r="Y76" i="42" a="1"/>
  <c r="Y76" i="42" s="1"/>
  <c r="Q76" i="42" a="1"/>
  <c r="Q76" i="42" s="1"/>
  <c r="I76" i="42" a="1"/>
  <c r="I76" i="42" s="1"/>
  <c r="AO74" i="42" a="1"/>
  <c r="AO74" i="42" s="1"/>
  <c r="AG74" i="42" a="1"/>
  <c r="AG74" i="42" s="1"/>
  <c r="Y74" i="42" a="1"/>
  <c r="Y74" i="42" s="1"/>
  <c r="Q74" i="42" a="1"/>
  <c r="Q74" i="42" s="1"/>
  <c r="I74" i="42" a="1"/>
  <c r="I74" i="42" s="1"/>
  <c r="AO73" i="42" a="1"/>
  <c r="AO73" i="42" s="1"/>
  <c r="AG73" i="42" a="1"/>
  <c r="AG73" i="42" s="1"/>
  <c r="Y73" i="42" a="1"/>
  <c r="Y73" i="42" s="1"/>
  <c r="Q73" i="42" a="1"/>
  <c r="Q73" i="42" s="1"/>
  <c r="I73" i="42" a="1"/>
  <c r="I73" i="42" s="1"/>
  <c r="AO71" i="42" a="1"/>
  <c r="AO71" i="42" s="1"/>
  <c r="AG71" i="42" a="1"/>
  <c r="AG71" i="42" s="1"/>
  <c r="Y71" i="42" a="1"/>
  <c r="Y71" i="42" s="1"/>
  <c r="Q71" i="42" a="1"/>
  <c r="Q71" i="42" s="1"/>
  <c r="I71" i="42" a="1"/>
  <c r="I71" i="42" s="1"/>
  <c r="AP70" i="42" a="1"/>
  <c r="AP70" i="42" s="1"/>
  <c r="AP69" i="42" s="1"/>
  <c r="AH70" i="42" a="1"/>
  <c r="AH70" i="42" s="1"/>
  <c r="AH69" i="42" s="1"/>
  <c r="Z70" i="42" a="1"/>
  <c r="Z70" i="42" s="1"/>
  <c r="Z69" i="42" s="1"/>
  <c r="R70" i="42" a="1"/>
  <c r="R70" i="42" s="1"/>
  <c r="R69" i="42" s="1"/>
  <c r="J70" i="42" a="1"/>
  <c r="J70" i="42" s="1"/>
  <c r="J69" i="42" s="1"/>
  <c r="AP68" i="42" a="1"/>
  <c r="AP68" i="42" s="1"/>
  <c r="AH68" i="42" a="1"/>
  <c r="AH68" i="42" s="1"/>
  <c r="Z68" i="42" a="1"/>
  <c r="Z68" i="42" s="1"/>
  <c r="R68" i="42" a="1"/>
  <c r="R68" i="42" s="1"/>
  <c r="J68" i="42" a="1"/>
  <c r="J68" i="42" s="1"/>
  <c r="AP67" i="42" a="1"/>
  <c r="AP67" i="42" s="1"/>
  <c r="AH67" i="42" a="1"/>
  <c r="AH67" i="42" s="1"/>
  <c r="Z67" i="42" a="1"/>
  <c r="Z67" i="42" s="1"/>
  <c r="R67" i="42" a="1"/>
  <c r="R67" i="42" s="1"/>
  <c r="J67" i="42" a="1"/>
  <c r="J67" i="42" s="1"/>
  <c r="AP65" i="42" a="1"/>
  <c r="AP65" i="42" s="1"/>
  <c r="AH65" i="42" a="1"/>
  <c r="AH65" i="42" s="1"/>
  <c r="Z65" i="42" a="1"/>
  <c r="Z65" i="42" s="1"/>
  <c r="R65" i="42" a="1"/>
  <c r="R65" i="42" s="1"/>
  <c r="J65" i="42" a="1"/>
  <c r="J65" i="42" s="1"/>
  <c r="AP64" i="42" a="1"/>
  <c r="AP64" i="42" s="1"/>
  <c r="AH64" i="42" a="1"/>
  <c r="AH64" i="42" s="1"/>
  <c r="Z64" i="42" a="1"/>
  <c r="Z64" i="42" s="1"/>
  <c r="R64" i="42" a="1"/>
  <c r="R64" i="42" s="1"/>
  <c r="J64" i="42" a="1"/>
  <c r="J64" i="42" s="1"/>
  <c r="AP62" i="42" a="1"/>
  <c r="AP62" i="42" s="1"/>
  <c r="AH62" i="42" a="1"/>
  <c r="AH62" i="42" s="1"/>
  <c r="Z62" i="42" a="1"/>
  <c r="Z62" i="42" s="1"/>
  <c r="R62" i="42" a="1"/>
  <c r="R62" i="42" s="1"/>
  <c r="J62" i="42" a="1"/>
  <c r="J62" i="42" s="1"/>
  <c r="AP61" i="42" a="1"/>
  <c r="AP61" i="42" s="1"/>
  <c r="AH61" i="42" a="1"/>
  <c r="AH61" i="42" s="1"/>
  <c r="Z61" i="42" a="1"/>
  <c r="Z61" i="42" s="1"/>
  <c r="R61" i="42" a="1"/>
  <c r="R61" i="42" s="1"/>
  <c r="J61" i="42" a="1"/>
  <c r="J61" i="42" s="1"/>
  <c r="AP59" i="42" a="1"/>
  <c r="AP59" i="42" s="1"/>
  <c r="AH59" i="42" a="1"/>
  <c r="AH59" i="42" s="1"/>
  <c r="Z59" i="42" a="1"/>
  <c r="Z59" i="42" s="1"/>
  <c r="R59" i="42" a="1"/>
  <c r="R59" i="42" s="1"/>
  <c r="J59" i="42" a="1"/>
  <c r="J59" i="42" s="1"/>
  <c r="AP58" i="42" a="1"/>
  <c r="AP58" i="42" s="1"/>
  <c r="AH58" i="42" a="1"/>
  <c r="AH58" i="42" s="1"/>
  <c r="Z58" i="42" a="1"/>
  <c r="Z58" i="42" s="1"/>
  <c r="R58" i="42" a="1"/>
  <c r="R58" i="42" s="1"/>
  <c r="J58" i="42" a="1"/>
  <c r="J58" i="42" s="1"/>
  <c r="AP56" i="42" a="1"/>
  <c r="AP56" i="42" s="1"/>
  <c r="AH56" i="42" a="1"/>
  <c r="AH56" i="42" s="1"/>
  <c r="Z56" i="42" a="1"/>
  <c r="Z56" i="42" s="1"/>
  <c r="R56" i="42" a="1"/>
  <c r="R56" i="42" s="1"/>
  <c r="J56" i="42" a="1"/>
  <c r="J56" i="42" s="1"/>
  <c r="AP55" i="42" a="1"/>
  <c r="AP55" i="42" s="1"/>
  <c r="AH55" i="42" a="1"/>
  <c r="AH55" i="42" s="1"/>
  <c r="Z55" i="42" a="1"/>
  <c r="Z55" i="42" s="1"/>
  <c r="R55" i="42" a="1"/>
  <c r="R55" i="42" s="1"/>
  <c r="J55" i="42" a="1"/>
  <c r="J55" i="42" s="1"/>
  <c r="AM104" i="42" a="1"/>
  <c r="AM104" i="42" s="1"/>
  <c r="AE104" i="42" a="1"/>
  <c r="AE104" i="42" s="1"/>
  <c r="W104" i="42" a="1"/>
  <c r="W104" i="42" s="1"/>
  <c r="O104" i="42" a="1"/>
  <c r="O104" i="42" s="1"/>
  <c r="G104" i="42" a="1"/>
  <c r="G104" i="42" s="1"/>
  <c r="AM103" i="42" a="1"/>
  <c r="AM103" i="42" s="1"/>
  <c r="AE103" i="42" a="1"/>
  <c r="AE103" i="42" s="1"/>
  <c r="W103" i="42" a="1"/>
  <c r="W103" i="42" s="1"/>
  <c r="O103" i="42" a="1"/>
  <c r="O103" i="42" s="1"/>
  <c r="G103" i="42" a="1"/>
  <c r="G103" i="42" s="1"/>
  <c r="AM101" i="42" a="1"/>
  <c r="AM101" i="42" s="1"/>
  <c r="AE101" i="42" a="1"/>
  <c r="AE101" i="42" s="1"/>
  <c r="W101" i="42" a="1"/>
  <c r="W101" i="42" s="1"/>
  <c r="O101" i="42" a="1"/>
  <c r="O101" i="42" s="1"/>
  <c r="G101" i="42" a="1"/>
  <c r="G101" i="42" s="1"/>
  <c r="AM100" i="42" a="1"/>
  <c r="AM100" i="42" s="1"/>
  <c r="AE100" i="42" a="1"/>
  <c r="AE100" i="42" s="1"/>
  <c r="W100" i="42" a="1"/>
  <c r="W100" i="42" s="1"/>
  <c r="O100" i="42" a="1"/>
  <c r="O100" i="42" s="1"/>
  <c r="G100" i="42" a="1"/>
  <c r="G100" i="42" s="1"/>
  <c r="AM98" i="42" a="1"/>
  <c r="AM98" i="42" s="1"/>
  <c r="AE98" i="42" a="1"/>
  <c r="AE98" i="42" s="1"/>
  <c r="W98" i="42" a="1"/>
  <c r="W98" i="42" s="1"/>
  <c r="O98" i="42" a="1"/>
  <c r="O98" i="42" s="1"/>
  <c r="G98" i="42" a="1"/>
  <c r="G98" i="42" s="1"/>
  <c r="AM97" i="42" a="1"/>
  <c r="AM97" i="42" s="1"/>
  <c r="AE97" i="42" a="1"/>
  <c r="AE97" i="42" s="1"/>
  <c r="W97" i="42" a="1"/>
  <c r="W97" i="42" s="1"/>
  <c r="O97" i="42" a="1"/>
  <c r="O97" i="42" s="1"/>
  <c r="G97" i="42" a="1"/>
  <c r="G97" i="42" s="1"/>
  <c r="AM95" i="42" a="1"/>
  <c r="AM95" i="42" s="1"/>
  <c r="AE95" i="42" a="1"/>
  <c r="AE95" i="42" s="1"/>
  <c r="W95" i="42" a="1"/>
  <c r="W95" i="42" s="1"/>
  <c r="O95" i="42" a="1"/>
  <c r="O95" i="42" s="1"/>
  <c r="G95" i="42" a="1"/>
  <c r="G95" i="42" s="1"/>
  <c r="AM94" i="42" a="1"/>
  <c r="AM94" i="42" s="1"/>
  <c r="AE94" i="42" a="1"/>
  <c r="AE94" i="42" s="1"/>
  <c r="W94" i="42" a="1"/>
  <c r="W94" i="42" s="1"/>
  <c r="O94" i="42" a="1"/>
  <c r="O94" i="42" s="1"/>
  <c r="G94" i="42" a="1"/>
  <c r="G94" i="42" s="1"/>
  <c r="AN92" i="42" a="1"/>
  <c r="AN92" i="42" s="1"/>
  <c r="AF92" i="42" a="1"/>
  <c r="AF92" i="42" s="1"/>
  <c r="X92" i="42" a="1"/>
  <c r="X92" i="42" s="1"/>
  <c r="P92" i="42" a="1"/>
  <c r="P92" i="42" s="1"/>
  <c r="H92" i="42" a="1"/>
  <c r="H92" i="42" s="1"/>
  <c r="AN91" i="42" a="1"/>
  <c r="AN91" i="42" s="1"/>
  <c r="AF91" i="42" a="1"/>
  <c r="AF91" i="42" s="1"/>
  <c r="X91" i="42" a="1"/>
  <c r="X91" i="42" s="1"/>
  <c r="P91" i="42" a="1"/>
  <c r="P91" i="42" s="1"/>
  <c r="H91" i="42" a="1"/>
  <c r="H91" i="42" s="1"/>
  <c r="AN89" i="42" a="1"/>
  <c r="AN89" i="42" s="1"/>
  <c r="AF89" i="42" a="1"/>
  <c r="AF89" i="42" s="1"/>
  <c r="X89" i="42" a="1"/>
  <c r="X89" i="42" s="1"/>
  <c r="P89" i="42" a="1"/>
  <c r="P89" i="42" s="1"/>
  <c r="H89" i="42" a="1"/>
  <c r="H89" i="42" s="1"/>
  <c r="AN88" i="42" a="1"/>
  <c r="AN88" i="42" s="1"/>
  <c r="AF88" i="42" a="1"/>
  <c r="AF88" i="42" s="1"/>
  <c r="X88" i="42" a="1"/>
  <c r="X88" i="42" s="1"/>
  <c r="P88" i="42" a="1"/>
  <c r="P88" i="42" s="1"/>
  <c r="H88" i="42" a="1"/>
  <c r="H88" i="42" s="1"/>
  <c r="AN86" i="42" a="1"/>
  <c r="AN86" i="42" s="1"/>
  <c r="AF86" i="42" a="1"/>
  <c r="AF86" i="42" s="1"/>
  <c r="X86" i="42" a="1"/>
  <c r="X86" i="42" s="1"/>
  <c r="P86" i="42" a="1"/>
  <c r="P86" i="42" s="1"/>
  <c r="H86" i="42" a="1"/>
  <c r="H86" i="42" s="1"/>
  <c r="AN85" i="42" a="1"/>
  <c r="AN85" i="42" s="1"/>
  <c r="AF85" i="42" a="1"/>
  <c r="AF85" i="42" s="1"/>
  <c r="X85" i="42" a="1"/>
  <c r="X85" i="42" s="1"/>
  <c r="P85" i="42" a="1"/>
  <c r="P85" i="42" s="1"/>
  <c r="H85" i="42" a="1"/>
  <c r="H85" i="42" s="1"/>
  <c r="AN83" i="42" a="1"/>
  <c r="AN83" i="42" s="1"/>
  <c r="AF83" i="42" a="1"/>
  <c r="AF83" i="42" s="1"/>
  <c r="X83" i="42" a="1"/>
  <c r="X83" i="42" s="1"/>
  <c r="P83" i="42" a="1"/>
  <c r="P83" i="42" s="1"/>
  <c r="H83" i="42" a="1"/>
  <c r="H83" i="42" s="1"/>
  <c r="AN82" i="42" a="1"/>
  <c r="AN82" i="42" s="1"/>
  <c r="AF82" i="42" a="1"/>
  <c r="AF82" i="42" s="1"/>
  <c r="X82" i="42" a="1"/>
  <c r="X82" i="42" s="1"/>
  <c r="P82" i="42" a="1"/>
  <c r="P82" i="42" s="1"/>
  <c r="H82" i="42" a="1"/>
  <c r="H82" i="42" s="1"/>
  <c r="AN80" i="42" a="1"/>
  <c r="AN80" i="42" s="1"/>
  <c r="AF80" i="42" a="1"/>
  <c r="AF80" i="42" s="1"/>
  <c r="X80" i="42" a="1"/>
  <c r="X80" i="42" s="1"/>
  <c r="P80" i="42" a="1"/>
  <c r="P80" i="42" s="1"/>
  <c r="H80" i="42" a="1"/>
  <c r="H80" i="42" s="1"/>
  <c r="AN79" i="42" a="1"/>
  <c r="AN79" i="42" s="1"/>
  <c r="AF79" i="42" a="1"/>
  <c r="AF79" i="42" s="1"/>
  <c r="X79" i="42" a="1"/>
  <c r="X79" i="42" s="1"/>
  <c r="P79" i="42" a="1"/>
  <c r="P79" i="42" s="1"/>
  <c r="H79" i="42" a="1"/>
  <c r="H79" i="42" s="1"/>
  <c r="AN77" i="42" a="1"/>
  <c r="AN77" i="42" s="1"/>
  <c r="AF77" i="42" a="1"/>
  <c r="AF77" i="42" s="1"/>
  <c r="X77" i="42" a="1"/>
  <c r="X77" i="42" s="1"/>
  <c r="P77" i="42" a="1"/>
  <c r="P77" i="42" s="1"/>
  <c r="H77" i="42" a="1"/>
  <c r="H77" i="42" s="1"/>
  <c r="AN76" i="42" a="1"/>
  <c r="AN76" i="42" s="1"/>
  <c r="AF76" i="42" a="1"/>
  <c r="AF76" i="42" s="1"/>
  <c r="X76" i="42" a="1"/>
  <c r="X76" i="42" s="1"/>
  <c r="P76" i="42" a="1"/>
  <c r="P76" i="42" s="1"/>
  <c r="H76" i="42" a="1"/>
  <c r="H76" i="42" s="1"/>
  <c r="AN74" i="42" a="1"/>
  <c r="AN74" i="42" s="1"/>
  <c r="AF74" i="42" a="1"/>
  <c r="AF74" i="42" s="1"/>
  <c r="X74" i="42" a="1"/>
  <c r="X74" i="42" s="1"/>
  <c r="P74" i="42" a="1"/>
  <c r="P74" i="42" s="1"/>
  <c r="H74" i="42" a="1"/>
  <c r="H74" i="42" s="1"/>
  <c r="AN73" i="42" a="1"/>
  <c r="AN73" i="42" s="1"/>
  <c r="AF73" i="42" a="1"/>
  <c r="AF73" i="42" s="1"/>
  <c r="X73" i="42" a="1"/>
  <c r="X73" i="42" s="1"/>
  <c r="P73" i="42" a="1"/>
  <c r="P73" i="42" s="1"/>
  <c r="H73" i="42" a="1"/>
  <c r="H73" i="42" s="1"/>
  <c r="AN71" i="42" a="1"/>
  <c r="AN71" i="42" s="1"/>
  <c r="AF71" i="42" a="1"/>
  <c r="AF71" i="42" s="1"/>
  <c r="X71" i="42" a="1"/>
  <c r="X71" i="42" s="1"/>
  <c r="P71" i="42" a="1"/>
  <c r="P71" i="42" s="1"/>
  <c r="H71" i="42" a="1"/>
  <c r="H71" i="42" s="1"/>
  <c r="AO70" i="42" a="1"/>
  <c r="AO70" i="42" s="1"/>
  <c r="AG70" i="42" a="1"/>
  <c r="AG70" i="42" s="1"/>
  <c r="Y70" i="42" a="1"/>
  <c r="Y70" i="42" s="1"/>
  <c r="Q70" i="42" a="1"/>
  <c r="Q70" i="42" s="1"/>
  <c r="I70" i="42" a="1"/>
  <c r="I70" i="42" s="1"/>
  <c r="AO68" i="42" a="1"/>
  <c r="AO68" i="42" s="1"/>
  <c r="AG68" i="42" a="1"/>
  <c r="AG68" i="42" s="1"/>
  <c r="Y68" i="42" a="1"/>
  <c r="Y68" i="42" s="1"/>
  <c r="Q68" i="42" a="1"/>
  <c r="Q68" i="42" s="1"/>
  <c r="I68" i="42" a="1"/>
  <c r="I68" i="42" s="1"/>
  <c r="AO67" i="42" a="1"/>
  <c r="AO67" i="42" s="1"/>
  <c r="AG67" i="42" a="1"/>
  <c r="AG67" i="42" s="1"/>
  <c r="Y67" i="42" a="1"/>
  <c r="Y67" i="42" s="1"/>
  <c r="Q67" i="42" a="1"/>
  <c r="Q67" i="42" s="1"/>
  <c r="I67" i="42" a="1"/>
  <c r="I67" i="42" s="1"/>
  <c r="AO65" i="42" a="1"/>
  <c r="AO65" i="42" s="1"/>
  <c r="AG65" i="42" a="1"/>
  <c r="AG65" i="42" s="1"/>
  <c r="Y65" i="42" a="1"/>
  <c r="Y65" i="42" s="1"/>
  <c r="Q65" i="42" a="1"/>
  <c r="Q65" i="42" s="1"/>
  <c r="I65" i="42" a="1"/>
  <c r="I65" i="42" s="1"/>
  <c r="AO64" i="42" a="1"/>
  <c r="AO64" i="42" s="1"/>
  <c r="AG64" i="42" a="1"/>
  <c r="AG64" i="42" s="1"/>
  <c r="Y64" i="42" a="1"/>
  <c r="Y64" i="42" s="1"/>
  <c r="Q64" i="42" a="1"/>
  <c r="Q64" i="42" s="1"/>
  <c r="I64" i="42" a="1"/>
  <c r="I64" i="42" s="1"/>
  <c r="AO62" i="42" a="1"/>
  <c r="AO62" i="42" s="1"/>
  <c r="AG62" i="42" a="1"/>
  <c r="AG62" i="42" s="1"/>
  <c r="Y62" i="42" a="1"/>
  <c r="Y62" i="42" s="1"/>
  <c r="Q62" i="42" a="1"/>
  <c r="Q62" i="42" s="1"/>
  <c r="I62" i="42" a="1"/>
  <c r="I62" i="42" s="1"/>
  <c r="AO61" i="42" a="1"/>
  <c r="AO61" i="42" s="1"/>
  <c r="AG61" i="42" a="1"/>
  <c r="AG61" i="42" s="1"/>
  <c r="Y61" i="42" a="1"/>
  <c r="Y61" i="42" s="1"/>
  <c r="Q61" i="42" a="1"/>
  <c r="Q61" i="42" s="1"/>
  <c r="I61" i="42" a="1"/>
  <c r="I61" i="42" s="1"/>
  <c r="AO59" i="42" a="1"/>
  <c r="AO59" i="42" s="1"/>
  <c r="AG59" i="42" a="1"/>
  <c r="AG59" i="42" s="1"/>
  <c r="Y59" i="42" a="1"/>
  <c r="Y59" i="42" s="1"/>
  <c r="Q59" i="42" a="1"/>
  <c r="Q59" i="42" s="1"/>
  <c r="I59" i="42" a="1"/>
  <c r="I59" i="42" s="1"/>
  <c r="AO58" i="42" a="1"/>
  <c r="AO58" i="42" s="1"/>
  <c r="AG58" i="42" a="1"/>
  <c r="AG58" i="42" s="1"/>
  <c r="Y58" i="42" a="1"/>
  <c r="Y58" i="42" s="1"/>
  <c r="Q58" i="42" a="1"/>
  <c r="Q58" i="42" s="1"/>
  <c r="I58" i="42" a="1"/>
  <c r="I58" i="42" s="1"/>
  <c r="AO56" i="42" a="1"/>
  <c r="AO56" i="42" s="1"/>
  <c r="AG56" i="42" a="1"/>
  <c r="AG56" i="42" s="1"/>
  <c r="Y56" i="42" a="1"/>
  <c r="Y56" i="42" s="1"/>
  <c r="Q56" i="42" a="1"/>
  <c r="Q56" i="42" s="1"/>
  <c r="I56" i="42" a="1"/>
  <c r="I56" i="42" s="1"/>
  <c r="AO55" i="42" a="1"/>
  <c r="AO55" i="42" s="1"/>
  <c r="AG55" i="42" a="1"/>
  <c r="AG55" i="42" s="1"/>
  <c r="Y55" i="42" a="1"/>
  <c r="Y55" i="42" s="1"/>
  <c r="Q55" i="42" a="1"/>
  <c r="Q55" i="42" s="1"/>
  <c r="I55" i="42" a="1"/>
  <c r="I55" i="42" s="1"/>
  <c r="AO53" i="42" a="1"/>
  <c r="AO53" i="42" s="1"/>
  <c r="AL104" i="42" a="1"/>
  <c r="AL104" i="42" s="1"/>
  <c r="AD104" i="42" a="1"/>
  <c r="AD104" i="42" s="1"/>
  <c r="V104" i="42" a="1"/>
  <c r="V104" i="42" s="1"/>
  <c r="N104" i="42" a="1"/>
  <c r="N104" i="42" s="1"/>
  <c r="F104" i="42" a="1"/>
  <c r="F104" i="42" s="1"/>
  <c r="AL103" i="42" a="1"/>
  <c r="AL103" i="42" s="1"/>
  <c r="AD103" i="42" a="1"/>
  <c r="AD103" i="42" s="1"/>
  <c r="V103" i="42" a="1"/>
  <c r="V103" i="42" s="1"/>
  <c r="N103" i="42" a="1"/>
  <c r="N103" i="42" s="1"/>
  <c r="F103" i="42" a="1"/>
  <c r="F103" i="42" s="1"/>
  <c r="AL101" i="42" a="1"/>
  <c r="AL101" i="42" s="1"/>
  <c r="AD101" i="42" a="1"/>
  <c r="AD101" i="42" s="1"/>
  <c r="V101" i="42" a="1"/>
  <c r="V101" i="42" s="1"/>
  <c r="N101" i="42" a="1"/>
  <c r="N101" i="42" s="1"/>
  <c r="F101" i="42" a="1"/>
  <c r="F101" i="42" s="1"/>
  <c r="AL100" i="42" a="1"/>
  <c r="AL100" i="42" s="1"/>
  <c r="AD100" i="42" a="1"/>
  <c r="AD100" i="42" s="1"/>
  <c r="V100" i="42" a="1"/>
  <c r="V100" i="42" s="1"/>
  <c r="N100" i="42" a="1"/>
  <c r="N100" i="42" s="1"/>
  <c r="F100" i="42" a="1"/>
  <c r="F100" i="42" s="1"/>
  <c r="AL98" i="42" a="1"/>
  <c r="AL98" i="42" s="1"/>
  <c r="AD98" i="42" a="1"/>
  <c r="AD98" i="42" s="1"/>
  <c r="V98" i="42" a="1"/>
  <c r="V98" i="42" s="1"/>
  <c r="N98" i="42" a="1"/>
  <c r="N98" i="42" s="1"/>
  <c r="F98" i="42" a="1"/>
  <c r="F98" i="42" s="1"/>
  <c r="AL97" i="42" a="1"/>
  <c r="AL97" i="42" s="1"/>
  <c r="AD97" i="42" a="1"/>
  <c r="AD97" i="42" s="1"/>
  <c r="V97" i="42" a="1"/>
  <c r="V97" i="42" s="1"/>
  <c r="N97" i="42" a="1"/>
  <c r="N97" i="42" s="1"/>
  <c r="F97" i="42" a="1"/>
  <c r="F97" i="42" s="1"/>
  <c r="AL95" i="42" a="1"/>
  <c r="AL95" i="42" s="1"/>
  <c r="AD95" i="42" a="1"/>
  <c r="AD95" i="42" s="1"/>
  <c r="V95" i="42" a="1"/>
  <c r="V95" i="42" s="1"/>
  <c r="N95" i="42" a="1"/>
  <c r="N95" i="42" s="1"/>
  <c r="F95" i="42" a="1"/>
  <c r="F95" i="42" s="1"/>
  <c r="AL94" i="42" a="1"/>
  <c r="AL94" i="42" s="1"/>
  <c r="AD94" i="42" a="1"/>
  <c r="AD94" i="42" s="1"/>
  <c r="V94" i="42" a="1"/>
  <c r="V94" i="42" s="1"/>
  <c r="N94" i="42" a="1"/>
  <c r="N94" i="42" s="1"/>
  <c r="F94" i="42" a="1"/>
  <c r="F94" i="42" s="1"/>
  <c r="AM92" i="42" a="1"/>
  <c r="AM92" i="42" s="1"/>
  <c r="AE92" i="42" a="1"/>
  <c r="AE92" i="42" s="1"/>
  <c r="W92" i="42" a="1"/>
  <c r="W92" i="42" s="1"/>
  <c r="O92" i="42" a="1"/>
  <c r="O92" i="42" s="1"/>
  <c r="G92" i="42" a="1"/>
  <c r="G92" i="42" s="1"/>
  <c r="AM91" i="42" a="1"/>
  <c r="AM91" i="42" s="1"/>
  <c r="AE91" i="42" a="1"/>
  <c r="AE91" i="42" s="1"/>
  <c r="W91" i="42" a="1"/>
  <c r="W91" i="42" s="1"/>
  <c r="O91" i="42" a="1"/>
  <c r="O91" i="42" s="1"/>
  <c r="G91" i="42" a="1"/>
  <c r="G91" i="42" s="1"/>
  <c r="AM89" i="42" a="1"/>
  <c r="AM89" i="42" s="1"/>
  <c r="AE89" i="42" a="1"/>
  <c r="AE89" i="42" s="1"/>
  <c r="W89" i="42" a="1"/>
  <c r="W89" i="42" s="1"/>
  <c r="O89" i="42" a="1"/>
  <c r="O89" i="42" s="1"/>
  <c r="G89" i="42" a="1"/>
  <c r="G89" i="42" s="1"/>
  <c r="AM88" i="42" a="1"/>
  <c r="AM88" i="42" s="1"/>
  <c r="AE88" i="42" a="1"/>
  <c r="AE88" i="42" s="1"/>
  <c r="W88" i="42" a="1"/>
  <c r="W88" i="42" s="1"/>
  <c r="O88" i="42" a="1"/>
  <c r="O88" i="42" s="1"/>
  <c r="G88" i="42" a="1"/>
  <c r="G88" i="42" s="1"/>
  <c r="AM86" i="42" a="1"/>
  <c r="AM86" i="42" s="1"/>
  <c r="AE86" i="42" a="1"/>
  <c r="AE86" i="42" s="1"/>
  <c r="W86" i="42" a="1"/>
  <c r="W86" i="42" s="1"/>
  <c r="O86" i="42" a="1"/>
  <c r="O86" i="42" s="1"/>
  <c r="G86" i="42" a="1"/>
  <c r="G86" i="42" s="1"/>
  <c r="AM85" i="42" a="1"/>
  <c r="AM85" i="42" s="1"/>
  <c r="AE85" i="42" a="1"/>
  <c r="AE85" i="42" s="1"/>
  <c r="W85" i="42" a="1"/>
  <c r="W85" i="42" s="1"/>
  <c r="O85" i="42" a="1"/>
  <c r="O85" i="42" s="1"/>
  <c r="G85" i="42" a="1"/>
  <c r="G85" i="42" s="1"/>
  <c r="AM83" i="42" a="1"/>
  <c r="AM83" i="42" s="1"/>
  <c r="AE83" i="42" a="1"/>
  <c r="AE83" i="42" s="1"/>
  <c r="W83" i="42" a="1"/>
  <c r="W83" i="42" s="1"/>
  <c r="O83" i="42" a="1"/>
  <c r="O83" i="42" s="1"/>
  <c r="G83" i="42" a="1"/>
  <c r="G83" i="42" s="1"/>
  <c r="AM82" i="42" a="1"/>
  <c r="AM82" i="42" s="1"/>
  <c r="AE82" i="42" a="1"/>
  <c r="AE82" i="42" s="1"/>
  <c r="W82" i="42" a="1"/>
  <c r="W82" i="42" s="1"/>
  <c r="O82" i="42" a="1"/>
  <c r="O82" i="42" s="1"/>
  <c r="G82" i="42" a="1"/>
  <c r="G82" i="42" s="1"/>
  <c r="AM80" i="42" a="1"/>
  <c r="AM80" i="42" s="1"/>
  <c r="AE80" i="42" a="1"/>
  <c r="AE80" i="42" s="1"/>
  <c r="W80" i="42" a="1"/>
  <c r="W80" i="42" s="1"/>
  <c r="O80" i="42" a="1"/>
  <c r="O80" i="42" s="1"/>
  <c r="G80" i="42" a="1"/>
  <c r="G80" i="42" s="1"/>
  <c r="AM79" i="42" a="1"/>
  <c r="AM79" i="42" s="1"/>
  <c r="AE79" i="42" a="1"/>
  <c r="AE79" i="42" s="1"/>
  <c r="W79" i="42" a="1"/>
  <c r="W79" i="42" s="1"/>
  <c r="O79" i="42" a="1"/>
  <c r="O79" i="42" s="1"/>
  <c r="G79" i="42" a="1"/>
  <c r="G79" i="42" s="1"/>
  <c r="AM77" i="42" a="1"/>
  <c r="AM77" i="42" s="1"/>
  <c r="AE77" i="42" a="1"/>
  <c r="AE77" i="42" s="1"/>
  <c r="W77" i="42" a="1"/>
  <c r="W77" i="42" s="1"/>
  <c r="O77" i="42" a="1"/>
  <c r="O77" i="42" s="1"/>
  <c r="G77" i="42" a="1"/>
  <c r="G77" i="42" s="1"/>
  <c r="AM76" i="42" a="1"/>
  <c r="AM76" i="42" s="1"/>
  <c r="AE76" i="42" a="1"/>
  <c r="AE76" i="42" s="1"/>
  <c r="W76" i="42" a="1"/>
  <c r="W76" i="42" s="1"/>
  <c r="O76" i="42" a="1"/>
  <c r="O76" i="42" s="1"/>
  <c r="G76" i="42" a="1"/>
  <c r="G76" i="42" s="1"/>
  <c r="AM74" i="42" a="1"/>
  <c r="AM74" i="42" s="1"/>
  <c r="AE74" i="42" a="1"/>
  <c r="AE74" i="42" s="1"/>
  <c r="W74" i="42" a="1"/>
  <c r="W74" i="42" s="1"/>
  <c r="O74" i="42" a="1"/>
  <c r="O74" i="42" s="1"/>
  <c r="G74" i="42" a="1"/>
  <c r="G74" i="42" s="1"/>
  <c r="AM73" i="42" a="1"/>
  <c r="AM73" i="42" s="1"/>
  <c r="AE73" i="42" a="1"/>
  <c r="AE73" i="42" s="1"/>
  <c r="W73" i="42" a="1"/>
  <c r="W73" i="42" s="1"/>
  <c r="O73" i="42" a="1"/>
  <c r="O73" i="42" s="1"/>
  <c r="G73" i="42" a="1"/>
  <c r="G73" i="42" s="1"/>
  <c r="AM71" i="42" a="1"/>
  <c r="AM71" i="42" s="1"/>
  <c r="AE71" i="42" a="1"/>
  <c r="AE71" i="42" s="1"/>
  <c r="W71" i="42" a="1"/>
  <c r="W71" i="42" s="1"/>
  <c r="O71" i="42" a="1"/>
  <c r="O71" i="42" s="1"/>
  <c r="G71" i="42" a="1"/>
  <c r="G71" i="42" s="1"/>
  <c r="AN70" i="42" a="1"/>
  <c r="AN70" i="42" s="1"/>
  <c r="AN69" i="42" s="1"/>
  <c r="AF70" i="42" a="1"/>
  <c r="AF70" i="42" s="1"/>
  <c r="AF69" i="42" s="1"/>
  <c r="X70" i="42" a="1"/>
  <c r="X70" i="42" s="1"/>
  <c r="X69" i="42" s="1"/>
  <c r="P70" i="42" a="1"/>
  <c r="P70" i="42" s="1"/>
  <c r="P69" i="42" s="1"/>
  <c r="H70" i="42" a="1"/>
  <c r="H70" i="42" s="1"/>
  <c r="H69" i="42" s="1"/>
  <c r="AN68" i="42" a="1"/>
  <c r="AN68" i="42" s="1"/>
  <c r="AF68" i="42" a="1"/>
  <c r="AF68" i="42" s="1"/>
  <c r="X68" i="42" a="1"/>
  <c r="X68" i="42" s="1"/>
  <c r="P68" i="42" a="1"/>
  <c r="P68" i="42" s="1"/>
  <c r="H68" i="42" a="1"/>
  <c r="H68" i="42" s="1"/>
  <c r="AN67" i="42" a="1"/>
  <c r="AN67" i="42" s="1"/>
  <c r="AF67" i="42" a="1"/>
  <c r="AF67" i="42" s="1"/>
  <c r="X67" i="42" a="1"/>
  <c r="X67" i="42" s="1"/>
  <c r="P67" i="42" a="1"/>
  <c r="P67" i="42" s="1"/>
  <c r="H67" i="42" a="1"/>
  <c r="H67" i="42" s="1"/>
  <c r="AN65" i="42" a="1"/>
  <c r="AN65" i="42" s="1"/>
  <c r="AF65" i="42" a="1"/>
  <c r="AF65" i="42" s="1"/>
  <c r="X65" i="42" a="1"/>
  <c r="X65" i="42" s="1"/>
  <c r="P65" i="42" a="1"/>
  <c r="P65" i="42" s="1"/>
  <c r="H65" i="42" a="1"/>
  <c r="H65" i="42" s="1"/>
  <c r="AN64" i="42" a="1"/>
  <c r="AN64" i="42" s="1"/>
  <c r="AF64" i="42" a="1"/>
  <c r="AF64" i="42" s="1"/>
  <c r="X64" i="42" a="1"/>
  <c r="X64" i="42" s="1"/>
  <c r="P64" i="42" a="1"/>
  <c r="P64" i="42" s="1"/>
  <c r="H64" i="42" a="1"/>
  <c r="H64" i="42" s="1"/>
  <c r="AN62" i="42" a="1"/>
  <c r="AN62" i="42" s="1"/>
  <c r="AF62" i="42" a="1"/>
  <c r="AF62" i="42" s="1"/>
  <c r="X62" i="42" a="1"/>
  <c r="X62" i="42" s="1"/>
  <c r="P62" i="42" a="1"/>
  <c r="P62" i="42" s="1"/>
  <c r="H62" i="42" a="1"/>
  <c r="H62" i="42" s="1"/>
  <c r="AN61" i="42" a="1"/>
  <c r="AN61" i="42" s="1"/>
  <c r="AF61" i="42" a="1"/>
  <c r="AF61" i="42" s="1"/>
  <c r="X61" i="42" a="1"/>
  <c r="X61" i="42" s="1"/>
  <c r="P61" i="42" a="1"/>
  <c r="P61" i="42" s="1"/>
  <c r="H61" i="42" a="1"/>
  <c r="H61" i="42" s="1"/>
  <c r="AN59" i="42" a="1"/>
  <c r="AN59" i="42" s="1"/>
  <c r="AF59" i="42" a="1"/>
  <c r="AF59" i="42" s="1"/>
  <c r="X59" i="42" a="1"/>
  <c r="X59" i="42" s="1"/>
  <c r="P59" i="42" a="1"/>
  <c r="P59" i="42" s="1"/>
  <c r="H59" i="42" a="1"/>
  <c r="H59" i="42" s="1"/>
  <c r="AN58" i="42" a="1"/>
  <c r="AN58" i="42" s="1"/>
  <c r="AF58" i="42" a="1"/>
  <c r="AF58" i="42" s="1"/>
  <c r="X58" i="42" a="1"/>
  <c r="X58" i="42" s="1"/>
  <c r="P58" i="42" a="1"/>
  <c r="P58" i="42" s="1"/>
  <c r="H58" i="42" a="1"/>
  <c r="H58" i="42" s="1"/>
  <c r="AN56" i="42" a="1"/>
  <c r="AN56" i="42" s="1"/>
  <c r="AF56" i="42" a="1"/>
  <c r="AF56" i="42" s="1"/>
  <c r="X56" i="42" a="1"/>
  <c r="X56" i="42" s="1"/>
  <c r="P56" i="42" a="1"/>
  <c r="P56" i="42" s="1"/>
  <c r="H56" i="42" a="1"/>
  <c r="H56" i="42" s="1"/>
  <c r="AN55" i="42" a="1"/>
  <c r="AN55" i="42" s="1"/>
  <c r="AF55" i="42" a="1"/>
  <c r="AF55" i="42" s="1"/>
  <c r="X55" i="42" a="1"/>
  <c r="X55" i="42" s="1"/>
  <c r="P55" i="42" a="1"/>
  <c r="P55" i="42" s="1"/>
  <c r="AK104" i="42" a="1"/>
  <c r="AK104" i="42" s="1"/>
  <c r="AC104" i="42" a="1"/>
  <c r="AC104" i="42" s="1"/>
  <c r="U104" i="42" a="1"/>
  <c r="U104" i="42" s="1"/>
  <c r="M104" i="42" a="1"/>
  <c r="M104" i="42" s="1"/>
  <c r="E104" i="42" a="1"/>
  <c r="E104" i="42" s="1"/>
  <c r="AK103" i="42" a="1"/>
  <c r="AK103" i="42" s="1"/>
  <c r="AC103" i="42" a="1"/>
  <c r="AC103" i="42" s="1"/>
  <c r="U103" i="42" a="1"/>
  <c r="U103" i="42" s="1"/>
  <c r="M103" i="42" a="1"/>
  <c r="M103" i="42" s="1"/>
  <c r="E103" i="42" a="1"/>
  <c r="E103" i="42" s="1"/>
  <c r="AK101" i="42" a="1"/>
  <c r="AK101" i="42" s="1"/>
  <c r="AC101" i="42" a="1"/>
  <c r="AC101" i="42" s="1"/>
  <c r="U101" i="42" a="1"/>
  <c r="U101" i="42" s="1"/>
  <c r="M101" i="42" a="1"/>
  <c r="M101" i="42" s="1"/>
  <c r="E101" i="42" a="1"/>
  <c r="E101" i="42" s="1"/>
  <c r="AK100" i="42" a="1"/>
  <c r="AK100" i="42" s="1"/>
  <c r="AC100" i="42" a="1"/>
  <c r="AC100" i="42" s="1"/>
  <c r="U100" i="42" a="1"/>
  <c r="U100" i="42" s="1"/>
  <c r="M100" i="42" a="1"/>
  <c r="M100" i="42" s="1"/>
  <c r="E100" i="42" a="1"/>
  <c r="E100" i="42" s="1"/>
  <c r="AK98" i="42" a="1"/>
  <c r="AK98" i="42" s="1"/>
  <c r="AC98" i="42" a="1"/>
  <c r="AC98" i="42" s="1"/>
  <c r="U98" i="42" a="1"/>
  <c r="U98" i="42" s="1"/>
  <c r="M98" i="42" a="1"/>
  <c r="M98" i="42" s="1"/>
  <c r="E98" i="42" a="1"/>
  <c r="E98" i="42" s="1"/>
  <c r="AK97" i="42" a="1"/>
  <c r="AK97" i="42" s="1"/>
  <c r="AC97" i="42" a="1"/>
  <c r="AC97" i="42" s="1"/>
  <c r="U97" i="42" a="1"/>
  <c r="U97" i="42" s="1"/>
  <c r="M97" i="42" a="1"/>
  <c r="M97" i="42" s="1"/>
  <c r="E97" i="42" a="1"/>
  <c r="E97" i="42" s="1"/>
  <c r="AK95" i="42" a="1"/>
  <c r="AK95" i="42" s="1"/>
  <c r="AC95" i="42" a="1"/>
  <c r="AC95" i="42" s="1"/>
  <c r="U95" i="42" a="1"/>
  <c r="U95" i="42" s="1"/>
  <c r="M95" i="42" a="1"/>
  <c r="M95" i="42" s="1"/>
  <c r="E95" i="42" a="1"/>
  <c r="E95" i="42" s="1"/>
  <c r="AK94" i="42" a="1"/>
  <c r="AK94" i="42" s="1"/>
  <c r="AC94" i="42" a="1"/>
  <c r="AC94" i="42" s="1"/>
  <c r="U94" i="42" a="1"/>
  <c r="U94" i="42" s="1"/>
  <c r="M94" i="42" a="1"/>
  <c r="M94" i="42" s="1"/>
  <c r="E94" i="42" a="1"/>
  <c r="E94" i="42" s="1"/>
  <c r="AL92" i="42" a="1"/>
  <c r="AL92" i="42" s="1"/>
  <c r="AD92" i="42" a="1"/>
  <c r="AD92" i="42" s="1"/>
  <c r="V92" i="42" a="1"/>
  <c r="V92" i="42" s="1"/>
  <c r="N92" i="42" a="1"/>
  <c r="N92" i="42" s="1"/>
  <c r="F92" i="42" a="1"/>
  <c r="F92" i="42" s="1"/>
  <c r="AL91" i="42" a="1"/>
  <c r="AL91" i="42" s="1"/>
  <c r="AD91" i="42" a="1"/>
  <c r="AD91" i="42" s="1"/>
  <c r="V91" i="42" a="1"/>
  <c r="V91" i="42" s="1"/>
  <c r="N91" i="42" a="1"/>
  <c r="N91" i="42" s="1"/>
  <c r="F91" i="42" a="1"/>
  <c r="F91" i="42" s="1"/>
  <c r="AL89" i="42" a="1"/>
  <c r="AL89" i="42" s="1"/>
  <c r="AD89" i="42" a="1"/>
  <c r="AD89" i="42" s="1"/>
  <c r="V89" i="42" a="1"/>
  <c r="V89" i="42" s="1"/>
  <c r="N89" i="42" a="1"/>
  <c r="N89" i="42" s="1"/>
  <c r="F89" i="42" a="1"/>
  <c r="F89" i="42" s="1"/>
  <c r="AL88" i="42" a="1"/>
  <c r="AL88" i="42" s="1"/>
  <c r="AD88" i="42" a="1"/>
  <c r="AD88" i="42" s="1"/>
  <c r="V88" i="42" a="1"/>
  <c r="V88" i="42" s="1"/>
  <c r="N88" i="42" a="1"/>
  <c r="N88" i="42" s="1"/>
  <c r="F88" i="42" a="1"/>
  <c r="F88" i="42" s="1"/>
  <c r="AL86" i="42" a="1"/>
  <c r="AL86" i="42" s="1"/>
  <c r="AD86" i="42" a="1"/>
  <c r="AD86" i="42" s="1"/>
  <c r="V86" i="42" a="1"/>
  <c r="V86" i="42" s="1"/>
  <c r="N86" i="42" a="1"/>
  <c r="N86" i="42" s="1"/>
  <c r="F86" i="42" a="1"/>
  <c r="F86" i="42" s="1"/>
  <c r="AL85" i="42" a="1"/>
  <c r="AL85" i="42" s="1"/>
  <c r="AD85" i="42" a="1"/>
  <c r="AD85" i="42" s="1"/>
  <c r="V85" i="42" a="1"/>
  <c r="V85" i="42" s="1"/>
  <c r="N85" i="42" a="1"/>
  <c r="N85" i="42" s="1"/>
  <c r="F85" i="42" a="1"/>
  <c r="F85" i="42" s="1"/>
  <c r="AL83" i="42" a="1"/>
  <c r="AL83" i="42" s="1"/>
  <c r="AD83" i="42" a="1"/>
  <c r="AD83" i="42" s="1"/>
  <c r="V83" i="42" a="1"/>
  <c r="V83" i="42" s="1"/>
  <c r="N83" i="42" a="1"/>
  <c r="N83" i="42" s="1"/>
  <c r="F83" i="42" a="1"/>
  <c r="F83" i="42" s="1"/>
  <c r="AL82" i="42" a="1"/>
  <c r="AL82" i="42" s="1"/>
  <c r="AD82" i="42" a="1"/>
  <c r="AD82" i="42" s="1"/>
  <c r="V82" i="42" a="1"/>
  <c r="V82" i="42" s="1"/>
  <c r="N82" i="42" a="1"/>
  <c r="N82" i="42" s="1"/>
  <c r="F82" i="42" a="1"/>
  <c r="F82" i="42" s="1"/>
  <c r="AL80" i="42" a="1"/>
  <c r="AL80" i="42" s="1"/>
  <c r="AD80" i="42" a="1"/>
  <c r="AD80" i="42" s="1"/>
  <c r="V80" i="42" a="1"/>
  <c r="V80" i="42" s="1"/>
  <c r="N80" i="42" a="1"/>
  <c r="N80" i="42" s="1"/>
  <c r="F80" i="42" a="1"/>
  <c r="F80" i="42" s="1"/>
  <c r="AL79" i="42" a="1"/>
  <c r="AL79" i="42" s="1"/>
  <c r="AD79" i="42" a="1"/>
  <c r="AD79" i="42" s="1"/>
  <c r="V79" i="42" a="1"/>
  <c r="V79" i="42" s="1"/>
  <c r="N79" i="42" a="1"/>
  <c r="N79" i="42" s="1"/>
  <c r="F79" i="42" a="1"/>
  <c r="F79" i="42" s="1"/>
  <c r="AL77" i="42" a="1"/>
  <c r="AL77" i="42" s="1"/>
  <c r="AD77" i="42" a="1"/>
  <c r="AD77" i="42" s="1"/>
  <c r="V77" i="42" a="1"/>
  <c r="V77" i="42" s="1"/>
  <c r="N77" i="42" a="1"/>
  <c r="N77" i="42" s="1"/>
  <c r="F77" i="42" a="1"/>
  <c r="F77" i="42" s="1"/>
  <c r="AL76" i="42" a="1"/>
  <c r="AL76" i="42" s="1"/>
  <c r="AD76" i="42" a="1"/>
  <c r="AD76" i="42" s="1"/>
  <c r="V76" i="42" a="1"/>
  <c r="V76" i="42" s="1"/>
  <c r="N76" i="42" a="1"/>
  <c r="N76" i="42" s="1"/>
  <c r="F76" i="42" a="1"/>
  <c r="F76" i="42" s="1"/>
  <c r="AL74" i="42" a="1"/>
  <c r="AL74" i="42" s="1"/>
  <c r="AD74" i="42" a="1"/>
  <c r="AD74" i="42" s="1"/>
  <c r="V74" i="42" a="1"/>
  <c r="V74" i="42" s="1"/>
  <c r="N74" i="42" a="1"/>
  <c r="N74" i="42" s="1"/>
  <c r="F74" i="42" a="1"/>
  <c r="F74" i="42" s="1"/>
  <c r="AL73" i="42" a="1"/>
  <c r="AL73" i="42" s="1"/>
  <c r="AD73" i="42" a="1"/>
  <c r="AD73" i="42" s="1"/>
  <c r="V73" i="42" a="1"/>
  <c r="V73" i="42" s="1"/>
  <c r="N73" i="42" a="1"/>
  <c r="N73" i="42" s="1"/>
  <c r="F73" i="42" a="1"/>
  <c r="F73" i="42" s="1"/>
  <c r="AL71" i="42" a="1"/>
  <c r="AL71" i="42" s="1"/>
  <c r="AD71" i="42" a="1"/>
  <c r="AD71" i="42" s="1"/>
  <c r="V71" i="42" a="1"/>
  <c r="V71" i="42" s="1"/>
  <c r="N71" i="42" a="1"/>
  <c r="N71" i="42" s="1"/>
  <c r="F71" i="42" a="1"/>
  <c r="F71" i="42" s="1"/>
  <c r="AM70" i="42" a="1"/>
  <c r="AM70" i="42" s="1"/>
  <c r="AE70" i="42" a="1"/>
  <c r="AE70" i="42" s="1"/>
  <c r="W70" i="42" a="1"/>
  <c r="W70" i="42" s="1"/>
  <c r="O70" i="42" a="1"/>
  <c r="O70" i="42" s="1"/>
  <c r="G70" i="42" a="1"/>
  <c r="G70" i="42" s="1"/>
  <c r="AM68" i="42" a="1"/>
  <c r="AM68" i="42" s="1"/>
  <c r="AE68" i="42" a="1"/>
  <c r="AE68" i="42" s="1"/>
  <c r="W68" i="42" a="1"/>
  <c r="W68" i="42" s="1"/>
  <c r="O68" i="42" a="1"/>
  <c r="O68" i="42" s="1"/>
  <c r="G68" i="42" a="1"/>
  <c r="G68" i="42" s="1"/>
  <c r="AM67" i="42" a="1"/>
  <c r="AM67" i="42" s="1"/>
  <c r="AE67" i="42" a="1"/>
  <c r="AE67" i="42" s="1"/>
  <c r="W67" i="42" a="1"/>
  <c r="W67" i="42" s="1"/>
  <c r="O67" i="42" a="1"/>
  <c r="O67" i="42" s="1"/>
  <c r="G67" i="42" a="1"/>
  <c r="G67" i="42" s="1"/>
  <c r="AM65" i="42" a="1"/>
  <c r="AM65" i="42" s="1"/>
  <c r="AE65" i="42" a="1"/>
  <c r="AE65" i="42" s="1"/>
  <c r="W65" i="42" a="1"/>
  <c r="W65" i="42" s="1"/>
  <c r="O65" i="42" a="1"/>
  <c r="O65" i="42" s="1"/>
  <c r="G65" i="42" a="1"/>
  <c r="G65" i="42" s="1"/>
  <c r="AM64" i="42" a="1"/>
  <c r="AM64" i="42" s="1"/>
  <c r="AE64" i="42" a="1"/>
  <c r="AE64" i="42" s="1"/>
  <c r="W64" i="42" a="1"/>
  <c r="W64" i="42" s="1"/>
  <c r="O64" i="42" a="1"/>
  <c r="O64" i="42" s="1"/>
  <c r="G64" i="42" a="1"/>
  <c r="G64" i="42" s="1"/>
  <c r="AM62" i="42" a="1"/>
  <c r="AM62" i="42" s="1"/>
  <c r="AE62" i="42" a="1"/>
  <c r="AE62" i="42" s="1"/>
  <c r="W62" i="42" a="1"/>
  <c r="W62" i="42" s="1"/>
  <c r="O62" i="42" a="1"/>
  <c r="O62" i="42" s="1"/>
  <c r="G62" i="42" a="1"/>
  <c r="G62" i="42" s="1"/>
  <c r="AM61" i="42" a="1"/>
  <c r="AM61" i="42" s="1"/>
  <c r="AE61" i="42" a="1"/>
  <c r="AE61" i="42" s="1"/>
  <c r="W61" i="42" a="1"/>
  <c r="W61" i="42" s="1"/>
  <c r="O61" i="42" a="1"/>
  <c r="O61" i="42" s="1"/>
  <c r="G61" i="42" a="1"/>
  <c r="G61" i="42" s="1"/>
  <c r="AM59" i="42" a="1"/>
  <c r="AM59" i="42" s="1"/>
  <c r="AE59" i="42" a="1"/>
  <c r="AE59" i="42" s="1"/>
  <c r="W59" i="42" a="1"/>
  <c r="W59" i="42" s="1"/>
  <c r="O59" i="42" a="1"/>
  <c r="O59" i="42" s="1"/>
  <c r="G59" i="42" a="1"/>
  <c r="G59" i="42" s="1"/>
  <c r="AM58" i="42" a="1"/>
  <c r="AM58" i="42" s="1"/>
  <c r="AE58" i="42" a="1"/>
  <c r="AE58" i="42" s="1"/>
  <c r="W58" i="42" a="1"/>
  <c r="W58" i="42" s="1"/>
  <c r="O58" i="42" a="1"/>
  <c r="O58" i="42" s="1"/>
  <c r="G58" i="42" a="1"/>
  <c r="G58" i="42" s="1"/>
  <c r="AM56" i="42" a="1"/>
  <c r="AM56" i="42" s="1"/>
  <c r="AE56" i="42" a="1"/>
  <c r="AE56" i="42" s="1"/>
  <c r="W56" i="42" a="1"/>
  <c r="W56" i="42" s="1"/>
  <c r="O56" i="42" a="1"/>
  <c r="O56" i="42" s="1"/>
  <c r="G56" i="42" a="1"/>
  <c r="G56" i="42" s="1"/>
  <c r="AM55" i="42" a="1"/>
  <c r="AM55" i="42" s="1"/>
  <c r="AE55" i="42" a="1"/>
  <c r="AE55" i="42" s="1"/>
  <c r="W55" i="42" a="1"/>
  <c r="W55" i="42" s="1"/>
  <c r="O55" i="42" a="1"/>
  <c r="O55" i="42" s="1"/>
  <c r="G55" i="42" a="1"/>
  <c r="G55" i="42" s="1"/>
  <c r="H55" i="42" a="1"/>
  <c r="H55" i="42" s="1"/>
  <c r="AG53" i="42" a="1"/>
  <c r="AG53" i="42" s="1"/>
  <c r="Y53" i="42" a="1"/>
  <c r="Y53" i="42" s="1"/>
  <c r="Q53" i="42" a="1"/>
  <c r="Q53" i="42" s="1"/>
  <c r="I53" i="42" a="1"/>
  <c r="I53" i="42" s="1"/>
  <c r="AO52" i="42" a="1"/>
  <c r="AO52" i="42" s="1"/>
  <c r="AG52" i="42" a="1"/>
  <c r="AG52" i="42" s="1"/>
  <c r="Y52" i="42" a="1"/>
  <c r="Y52" i="42" s="1"/>
  <c r="Q52" i="42" a="1"/>
  <c r="Q52" i="42" s="1"/>
  <c r="I52" i="42" a="1"/>
  <c r="I52" i="42" s="1"/>
  <c r="AO50" i="42" a="1"/>
  <c r="AO50" i="42" s="1"/>
  <c r="AG50" i="42" a="1"/>
  <c r="AG50" i="42" s="1"/>
  <c r="Y50" i="42" a="1"/>
  <c r="Y50" i="42" s="1"/>
  <c r="Q50" i="42" a="1"/>
  <c r="Q50" i="42" s="1"/>
  <c r="I50" i="42" a="1"/>
  <c r="I50" i="42" s="1"/>
  <c r="AO49" i="42" a="1"/>
  <c r="AO49" i="42" s="1"/>
  <c r="AG49" i="42" a="1"/>
  <c r="AG49" i="42" s="1"/>
  <c r="Y49" i="42" a="1"/>
  <c r="Y49" i="42" s="1"/>
  <c r="Q49" i="42" a="1"/>
  <c r="Q49" i="42" s="1"/>
  <c r="I49" i="42" a="1"/>
  <c r="I49" i="42" s="1"/>
  <c r="AO47" i="42" a="1"/>
  <c r="AO47" i="42" s="1"/>
  <c r="AG47" i="42" a="1"/>
  <c r="AG47" i="42" s="1"/>
  <c r="Y47" i="42" a="1"/>
  <c r="Y47" i="42" s="1"/>
  <c r="Q47" i="42" a="1"/>
  <c r="Q47" i="42" s="1"/>
  <c r="I47" i="42" a="1"/>
  <c r="I47" i="42" s="1"/>
  <c r="AO46" i="42" a="1"/>
  <c r="AO46" i="42" s="1"/>
  <c r="AG46" i="42" a="1"/>
  <c r="AG46" i="42" s="1"/>
  <c r="Y46" i="42" a="1"/>
  <c r="Y46" i="42" s="1"/>
  <c r="Q46" i="42" a="1"/>
  <c r="Q46" i="42" s="1"/>
  <c r="I46" i="42" a="1"/>
  <c r="I46" i="42" s="1"/>
  <c r="AO44" i="42" a="1"/>
  <c r="AO44" i="42" s="1"/>
  <c r="AG44" i="42" a="1"/>
  <c r="AG44" i="42" s="1"/>
  <c r="Y44" i="42" a="1"/>
  <c r="Y44" i="42" s="1"/>
  <c r="Q44" i="42" a="1"/>
  <c r="Q44" i="42" s="1"/>
  <c r="I44" i="42" a="1"/>
  <c r="I44" i="42" s="1"/>
  <c r="AO43" i="42" a="1"/>
  <c r="AO43" i="42" s="1"/>
  <c r="AG43" i="42" a="1"/>
  <c r="AG43" i="42" s="1"/>
  <c r="Y43" i="42" a="1"/>
  <c r="Y43" i="42" s="1"/>
  <c r="Q43" i="42" a="1"/>
  <c r="Q43" i="42" s="1"/>
  <c r="I43" i="42" a="1"/>
  <c r="I43" i="42" s="1"/>
  <c r="AO41" i="42" a="1"/>
  <c r="AO41" i="42" s="1"/>
  <c r="AG41" i="42" a="1"/>
  <c r="AG41" i="42" s="1"/>
  <c r="Y41" i="42" a="1"/>
  <c r="Y41" i="42" s="1"/>
  <c r="Q41" i="42" a="1"/>
  <c r="Q41" i="42" s="1"/>
  <c r="I41" i="42" a="1"/>
  <c r="I41" i="42" s="1"/>
  <c r="AO40" i="42" a="1"/>
  <c r="AO40" i="42" s="1"/>
  <c r="AG40" i="42" a="1"/>
  <c r="AG40" i="42" s="1"/>
  <c r="Y40" i="42" a="1"/>
  <c r="Y40" i="42" s="1"/>
  <c r="Q40" i="42" a="1"/>
  <c r="Q40" i="42" s="1"/>
  <c r="I40" i="42" a="1"/>
  <c r="I40" i="42" s="1"/>
  <c r="AO38" i="42" a="1"/>
  <c r="AO38" i="42" s="1"/>
  <c r="AG38" i="42" a="1"/>
  <c r="AG38" i="42" s="1"/>
  <c r="Y38" i="42" a="1"/>
  <c r="Y38" i="42" s="1"/>
  <c r="Q38" i="42" a="1"/>
  <c r="Q38" i="42" s="1"/>
  <c r="I38" i="42" a="1"/>
  <c r="I38" i="42" s="1"/>
  <c r="AO37" i="42" a="1"/>
  <c r="AO37" i="42" s="1"/>
  <c r="AG37" i="42" a="1"/>
  <c r="AG37" i="42" s="1"/>
  <c r="Y37" i="42" a="1"/>
  <c r="Y37" i="42" s="1"/>
  <c r="Q37" i="42" a="1"/>
  <c r="Q37" i="42" s="1"/>
  <c r="I37" i="42" a="1"/>
  <c r="I37" i="42" s="1"/>
  <c r="AO35" i="42" a="1"/>
  <c r="AO35" i="42" s="1"/>
  <c r="AG35" i="42" a="1"/>
  <c r="AG35" i="42" s="1"/>
  <c r="Y35" i="42" a="1"/>
  <c r="Y35" i="42" s="1"/>
  <c r="Q35" i="42" a="1"/>
  <c r="Q35" i="42" s="1"/>
  <c r="I35" i="42" a="1"/>
  <c r="I35" i="42" s="1"/>
  <c r="AO34" i="42" a="1"/>
  <c r="AO34" i="42" s="1"/>
  <c r="AG34" i="42" a="1"/>
  <c r="AG34" i="42" s="1"/>
  <c r="Y34" i="42" a="1"/>
  <c r="Y34" i="42" s="1"/>
  <c r="Q34" i="42" a="1"/>
  <c r="Q34" i="42" s="1"/>
  <c r="I34" i="42" a="1"/>
  <c r="I34" i="42" s="1"/>
  <c r="AO32" i="42" a="1"/>
  <c r="AO32" i="42" s="1"/>
  <c r="AG32" i="42" a="1"/>
  <c r="AG32" i="42" s="1"/>
  <c r="Y32" i="42" a="1"/>
  <c r="Y32" i="42" s="1"/>
  <c r="Q32" i="42" a="1"/>
  <c r="Q32" i="42" s="1"/>
  <c r="I32" i="42" a="1"/>
  <c r="I32" i="42" s="1"/>
  <c r="AO31" i="42" a="1"/>
  <c r="AO31" i="42" s="1"/>
  <c r="AG31" i="42" a="1"/>
  <c r="AG31" i="42" s="1"/>
  <c r="Y31" i="42" a="1"/>
  <c r="Y31" i="42" s="1"/>
  <c r="Q31" i="42" a="1"/>
  <c r="Q31" i="42" s="1"/>
  <c r="I31" i="42" a="1"/>
  <c r="I31" i="42" s="1"/>
  <c r="AO29" i="42" a="1"/>
  <c r="AO29" i="42" s="1"/>
  <c r="AG29" i="42" a="1"/>
  <c r="AG29" i="42" s="1"/>
  <c r="Y29" i="42" a="1"/>
  <c r="Y29" i="42" s="1"/>
  <c r="Q29" i="42" a="1"/>
  <c r="Q29" i="42" s="1"/>
  <c r="I29" i="42" a="1"/>
  <c r="I29" i="42" s="1"/>
  <c r="AO28" i="42" a="1"/>
  <c r="AO28" i="42" s="1"/>
  <c r="AG28" i="42" a="1"/>
  <c r="AG28" i="42" s="1"/>
  <c r="Y28" i="42" a="1"/>
  <c r="Y28" i="42" s="1"/>
  <c r="Q28" i="42" a="1"/>
  <c r="Q28" i="42" s="1"/>
  <c r="I28" i="42" a="1"/>
  <c r="I28" i="42" s="1"/>
  <c r="AO26" i="42" a="1"/>
  <c r="AO26" i="42" s="1"/>
  <c r="AG26" i="42" a="1"/>
  <c r="AG26" i="42" s="1"/>
  <c r="Y26" i="42" a="1"/>
  <c r="Y26" i="42" s="1"/>
  <c r="Q26" i="42" a="1"/>
  <c r="Q26" i="42" s="1"/>
  <c r="I26" i="42" a="1"/>
  <c r="I26" i="42" s="1"/>
  <c r="AO25" i="42" a="1"/>
  <c r="AO25" i="42" s="1"/>
  <c r="AG25" i="42" a="1"/>
  <c r="AG25" i="42" s="1"/>
  <c r="Y25" i="42" a="1"/>
  <c r="Y25" i="42" s="1"/>
  <c r="Q25" i="42" a="1"/>
  <c r="Q25" i="42" s="1"/>
  <c r="I25" i="42" a="1"/>
  <c r="I25" i="42" s="1"/>
  <c r="AO23" i="42" a="1"/>
  <c r="AO23" i="42" s="1"/>
  <c r="AG23" i="42" a="1"/>
  <c r="AG23" i="42" s="1"/>
  <c r="Y23" i="42" a="1"/>
  <c r="Y23" i="42" s="1"/>
  <c r="Q23" i="42" a="1"/>
  <c r="Q23" i="42" s="1"/>
  <c r="I23" i="42" a="1"/>
  <c r="I23" i="42" s="1"/>
  <c r="AO22" i="42" a="1"/>
  <c r="AO22" i="42" s="1"/>
  <c r="AG22" i="42" a="1"/>
  <c r="AG22" i="42" s="1"/>
  <c r="Y22" i="42" a="1"/>
  <c r="Y22" i="42" s="1"/>
  <c r="Q22" i="42" a="1"/>
  <c r="Q22" i="42" s="1"/>
  <c r="I22" i="42" a="1"/>
  <c r="I22" i="42" s="1"/>
  <c r="AO20" i="42" a="1"/>
  <c r="AO20" i="42" s="1"/>
  <c r="AG20" i="42" a="1"/>
  <c r="AG20" i="42" s="1"/>
  <c r="Y20" i="42" a="1"/>
  <c r="Y20" i="42" s="1"/>
  <c r="Q20" i="42" a="1"/>
  <c r="Q20" i="42" s="1"/>
  <c r="I20" i="42" a="1"/>
  <c r="I20" i="42" s="1"/>
  <c r="AO19" i="42" a="1"/>
  <c r="AO19" i="42" s="1"/>
  <c r="AG19" i="42" a="1"/>
  <c r="AG19" i="42" s="1"/>
  <c r="Y19" i="42" a="1"/>
  <c r="Y19" i="42" s="1"/>
  <c r="Q19" i="42" a="1"/>
  <c r="Q19" i="42" s="1"/>
  <c r="I19" i="42" a="1"/>
  <c r="I19" i="42" s="1"/>
  <c r="AO17" i="42" a="1"/>
  <c r="AO17" i="42" s="1"/>
  <c r="AG17" i="42" a="1"/>
  <c r="AG17" i="42" s="1"/>
  <c r="Y17" i="42" a="1"/>
  <c r="Y17" i="42" s="1"/>
  <c r="Q17" i="42" a="1"/>
  <c r="Q17" i="42" s="1"/>
  <c r="I17" i="42" a="1"/>
  <c r="I17" i="42" s="1"/>
  <c r="AO16" i="42" a="1"/>
  <c r="AO16" i="42" s="1"/>
  <c r="AG16" i="42" a="1"/>
  <c r="AG16" i="42" s="1"/>
  <c r="Y16" i="42" a="1"/>
  <c r="Y16" i="42" s="1"/>
  <c r="Q16" i="42" a="1"/>
  <c r="Q16" i="42" s="1"/>
  <c r="I16" i="42" a="1"/>
  <c r="I16" i="42" s="1"/>
  <c r="AO11" i="42" a="1"/>
  <c r="AO11" i="42" s="1"/>
  <c r="AG11" i="42" a="1"/>
  <c r="AG11" i="42" s="1"/>
  <c r="Y11" i="42" a="1"/>
  <c r="Y11" i="42" s="1"/>
  <c r="Q11" i="42" a="1"/>
  <c r="Q11" i="42" s="1"/>
  <c r="I11" i="42" a="1"/>
  <c r="I11" i="42" s="1"/>
  <c r="AO10" i="42" a="1"/>
  <c r="AO10" i="42" s="1"/>
  <c r="AG10" i="42" a="1"/>
  <c r="AG10" i="42" s="1"/>
  <c r="Y10" i="42" a="1"/>
  <c r="Y10" i="42" s="1"/>
  <c r="Q10" i="42" a="1"/>
  <c r="Q10" i="42" s="1"/>
  <c r="AR53" i="42" a="1"/>
  <c r="AR53" i="42" s="1"/>
  <c r="AF53" i="42" a="1"/>
  <c r="AF53" i="42" s="1"/>
  <c r="X53" i="42" a="1"/>
  <c r="X53" i="42" s="1"/>
  <c r="P53" i="42" a="1"/>
  <c r="P53" i="42" s="1"/>
  <c r="H53" i="42" a="1"/>
  <c r="H53" i="42" s="1"/>
  <c r="AN52" i="42" a="1"/>
  <c r="AN52" i="42" s="1"/>
  <c r="AF52" i="42" a="1"/>
  <c r="AF52" i="42" s="1"/>
  <c r="X52" i="42" a="1"/>
  <c r="X52" i="42" s="1"/>
  <c r="P52" i="42" a="1"/>
  <c r="P52" i="42" s="1"/>
  <c r="H52" i="42" a="1"/>
  <c r="H52" i="42" s="1"/>
  <c r="AN50" i="42" a="1"/>
  <c r="AN50" i="42" s="1"/>
  <c r="AF50" i="42" a="1"/>
  <c r="AF50" i="42" s="1"/>
  <c r="X50" i="42" a="1"/>
  <c r="X50" i="42" s="1"/>
  <c r="P50" i="42" a="1"/>
  <c r="P50" i="42" s="1"/>
  <c r="H50" i="42" a="1"/>
  <c r="H50" i="42" s="1"/>
  <c r="AN49" i="42" a="1"/>
  <c r="AN49" i="42" s="1"/>
  <c r="AF49" i="42" a="1"/>
  <c r="AF49" i="42" s="1"/>
  <c r="X49" i="42" a="1"/>
  <c r="X49" i="42" s="1"/>
  <c r="P49" i="42" a="1"/>
  <c r="P49" i="42" s="1"/>
  <c r="H49" i="42" a="1"/>
  <c r="H49" i="42" s="1"/>
  <c r="AN47" i="42" a="1"/>
  <c r="AN47" i="42" s="1"/>
  <c r="AF47" i="42" a="1"/>
  <c r="AF47" i="42" s="1"/>
  <c r="X47" i="42" a="1"/>
  <c r="X47" i="42" s="1"/>
  <c r="P47" i="42" a="1"/>
  <c r="P47" i="42" s="1"/>
  <c r="H47" i="42" a="1"/>
  <c r="H47" i="42" s="1"/>
  <c r="AN46" i="42" a="1"/>
  <c r="AN46" i="42" s="1"/>
  <c r="AF46" i="42" a="1"/>
  <c r="AF46" i="42" s="1"/>
  <c r="X46" i="42" a="1"/>
  <c r="X46" i="42" s="1"/>
  <c r="P46" i="42" a="1"/>
  <c r="P46" i="42" s="1"/>
  <c r="H46" i="42" a="1"/>
  <c r="H46" i="42" s="1"/>
  <c r="AN44" i="42" a="1"/>
  <c r="AN44" i="42" s="1"/>
  <c r="AF44" i="42" a="1"/>
  <c r="AF44" i="42" s="1"/>
  <c r="X44" i="42" a="1"/>
  <c r="X44" i="42" s="1"/>
  <c r="P44" i="42" a="1"/>
  <c r="P44" i="42" s="1"/>
  <c r="H44" i="42" a="1"/>
  <c r="H44" i="42" s="1"/>
  <c r="AN43" i="42" a="1"/>
  <c r="AN43" i="42" s="1"/>
  <c r="AF43" i="42" a="1"/>
  <c r="AF43" i="42" s="1"/>
  <c r="X43" i="42" a="1"/>
  <c r="X43" i="42" s="1"/>
  <c r="P43" i="42" a="1"/>
  <c r="P43" i="42" s="1"/>
  <c r="H43" i="42" a="1"/>
  <c r="H43" i="42" s="1"/>
  <c r="AN41" i="42" a="1"/>
  <c r="AN41" i="42" s="1"/>
  <c r="AF41" i="42" a="1"/>
  <c r="AF41" i="42" s="1"/>
  <c r="X41" i="42" a="1"/>
  <c r="X41" i="42" s="1"/>
  <c r="P41" i="42" a="1"/>
  <c r="P41" i="42" s="1"/>
  <c r="H41" i="42" a="1"/>
  <c r="H41" i="42" s="1"/>
  <c r="AN40" i="42" a="1"/>
  <c r="AN40" i="42" s="1"/>
  <c r="AF40" i="42" a="1"/>
  <c r="AF40" i="42" s="1"/>
  <c r="X40" i="42" a="1"/>
  <c r="X40" i="42" s="1"/>
  <c r="P40" i="42" a="1"/>
  <c r="P40" i="42" s="1"/>
  <c r="H40" i="42" a="1"/>
  <c r="H40" i="42" s="1"/>
  <c r="AN38" i="42" a="1"/>
  <c r="AN38" i="42" s="1"/>
  <c r="AF38" i="42" a="1"/>
  <c r="AF38" i="42" s="1"/>
  <c r="X38" i="42" a="1"/>
  <c r="X38" i="42" s="1"/>
  <c r="P38" i="42" a="1"/>
  <c r="P38" i="42" s="1"/>
  <c r="H38" i="42" a="1"/>
  <c r="H38" i="42" s="1"/>
  <c r="AN37" i="42" a="1"/>
  <c r="AN37" i="42" s="1"/>
  <c r="AF37" i="42" a="1"/>
  <c r="AF37" i="42" s="1"/>
  <c r="X37" i="42" a="1"/>
  <c r="X37" i="42" s="1"/>
  <c r="P37" i="42" a="1"/>
  <c r="P37" i="42" s="1"/>
  <c r="H37" i="42" a="1"/>
  <c r="H37" i="42" s="1"/>
  <c r="AN35" i="42" a="1"/>
  <c r="AN35" i="42" s="1"/>
  <c r="AF35" i="42" a="1"/>
  <c r="AF35" i="42" s="1"/>
  <c r="X35" i="42" a="1"/>
  <c r="X35" i="42" s="1"/>
  <c r="P35" i="42" a="1"/>
  <c r="P35" i="42" s="1"/>
  <c r="H35" i="42" a="1"/>
  <c r="H35" i="42" s="1"/>
  <c r="AN34" i="42" a="1"/>
  <c r="AN34" i="42" s="1"/>
  <c r="AF34" i="42" a="1"/>
  <c r="AF34" i="42" s="1"/>
  <c r="X34" i="42" a="1"/>
  <c r="X34" i="42" s="1"/>
  <c r="P34" i="42" a="1"/>
  <c r="P34" i="42" s="1"/>
  <c r="H34" i="42" a="1"/>
  <c r="H34" i="42" s="1"/>
  <c r="AN32" i="42" a="1"/>
  <c r="AN32" i="42" s="1"/>
  <c r="AF32" i="42" a="1"/>
  <c r="AF32" i="42" s="1"/>
  <c r="X32" i="42" a="1"/>
  <c r="X32" i="42" s="1"/>
  <c r="P32" i="42" a="1"/>
  <c r="P32" i="42" s="1"/>
  <c r="H32" i="42" a="1"/>
  <c r="H32" i="42" s="1"/>
  <c r="AN31" i="42" a="1"/>
  <c r="AN31" i="42" s="1"/>
  <c r="AF31" i="42" a="1"/>
  <c r="AF31" i="42" s="1"/>
  <c r="X31" i="42" a="1"/>
  <c r="X31" i="42" s="1"/>
  <c r="P31" i="42" a="1"/>
  <c r="P31" i="42" s="1"/>
  <c r="H31" i="42" a="1"/>
  <c r="H31" i="42" s="1"/>
  <c r="AN29" i="42" a="1"/>
  <c r="AN29" i="42" s="1"/>
  <c r="AF29" i="42" a="1"/>
  <c r="AF29" i="42" s="1"/>
  <c r="X29" i="42" a="1"/>
  <c r="X29" i="42" s="1"/>
  <c r="P29" i="42" a="1"/>
  <c r="P29" i="42" s="1"/>
  <c r="H29" i="42" a="1"/>
  <c r="H29" i="42" s="1"/>
  <c r="AN28" i="42" a="1"/>
  <c r="AN28" i="42" s="1"/>
  <c r="AF28" i="42" a="1"/>
  <c r="AF28" i="42" s="1"/>
  <c r="X28" i="42" a="1"/>
  <c r="X28" i="42" s="1"/>
  <c r="H28" i="42" a="1"/>
  <c r="H28" i="42" s="1"/>
  <c r="AN26" i="42" a="1"/>
  <c r="AN26" i="42" s="1"/>
  <c r="AF26" i="42" a="1"/>
  <c r="AF26" i="42" s="1"/>
  <c r="X26" i="42" a="1"/>
  <c r="X26" i="42" s="1"/>
  <c r="P26" i="42" a="1"/>
  <c r="P26" i="42" s="1"/>
  <c r="H26" i="42" a="1"/>
  <c r="H26" i="42" s="1"/>
  <c r="AN25" i="42" a="1"/>
  <c r="AN25" i="42" s="1"/>
  <c r="AF25" i="42" a="1"/>
  <c r="AF25" i="42" s="1"/>
  <c r="X25" i="42" a="1"/>
  <c r="X25" i="42" s="1"/>
  <c r="P25" i="42" a="1"/>
  <c r="P25" i="42" s="1"/>
  <c r="H25" i="42" a="1"/>
  <c r="H25" i="42" s="1"/>
  <c r="AN23" i="42" a="1"/>
  <c r="AN23" i="42" s="1"/>
  <c r="AF23" i="42" a="1"/>
  <c r="AF23" i="42" s="1"/>
  <c r="X23" i="42" a="1"/>
  <c r="X23" i="42" s="1"/>
  <c r="P23" i="42" a="1"/>
  <c r="P23" i="42" s="1"/>
  <c r="H23" i="42" a="1"/>
  <c r="H23" i="42" s="1"/>
  <c r="AN22" i="42" a="1"/>
  <c r="AN22" i="42" s="1"/>
  <c r="AF22" i="42" a="1"/>
  <c r="AF22" i="42" s="1"/>
  <c r="X22" i="42" a="1"/>
  <c r="X22" i="42" s="1"/>
  <c r="P22" i="42" a="1"/>
  <c r="P22" i="42" s="1"/>
  <c r="H22" i="42" a="1"/>
  <c r="H22" i="42" s="1"/>
  <c r="AN20" i="42" a="1"/>
  <c r="AN20" i="42" s="1"/>
  <c r="AF20" i="42" a="1"/>
  <c r="AF20" i="42" s="1"/>
  <c r="X20" i="42" a="1"/>
  <c r="X20" i="42" s="1"/>
  <c r="P20" i="42" a="1"/>
  <c r="P20" i="42" s="1"/>
  <c r="H20" i="42" a="1"/>
  <c r="H20" i="42" s="1"/>
  <c r="AN19" i="42" a="1"/>
  <c r="AN19" i="42" s="1"/>
  <c r="AF19" i="42" a="1"/>
  <c r="AF19" i="42" s="1"/>
  <c r="X19" i="42" a="1"/>
  <c r="X19" i="42" s="1"/>
  <c r="P19" i="42" a="1"/>
  <c r="P19" i="42" s="1"/>
  <c r="H19" i="42" a="1"/>
  <c r="H19" i="42" s="1"/>
  <c r="AN17" i="42" a="1"/>
  <c r="AN17" i="42" s="1"/>
  <c r="AF17" i="42" a="1"/>
  <c r="AF17" i="42" s="1"/>
  <c r="X17" i="42" a="1"/>
  <c r="X17" i="42" s="1"/>
  <c r="P17" i="42" a="1"/>
  <c r="P17" i="42" s="1"/>
  <c r="H17" i="42" a="1"/>
  <c r="H17" i="42" s="1"/>
  <c r="AN16" i="42" a="1"/>
  <c r="AN16" i="42" s="1"/>
  <c r="AF16" i="42" a="1"/>
  <c r="AF16" i="42" s="1"/>
  <c r="X16" i="42" a="1"/>
  <c r="X16" i="42" s="1"/>
  <c r="P16" i="42" a="1"/>
  <c r="P16" i="42" s="1"/>
  <c r="H16" i="42" a="1"/>
  <c r="H16" i="42" s="1"/>
  <c r="AN11" i="42" a="1"/>
  <c r="AN11" i="42" s="1"/>
  <c r="AF11" i="42" a="1"/>
  <c r="AF11" i="42" s="1"/>
  <c r="X11" i="42" a="1"/>
  <c r="X11" i="42" s="1"/>
  <c r="P11" i="42" a="1"/>
  <c r="P11" i="42" s="1"/>
  <c r="H11" i="42" a="1"/>
  <c r="H11" i="42" s="1"/>
  <c r="AN10" i="42" a="1"/>
  <c r="AN10" i="42" s="1"/>
  <c r="AF10" i="42" a="1"/>
  <c r="AF10" i="42" s="1"/>
  <c r="X10" i="42" a="1"/>
  <c r="X10" i="42" s="1"/>
  <c r="P10" i="42" a="1"/>
  <c r="P10" i="42" s="1"/>
  <c r="H10" i="42" a="1"/>
  <c r="H10" i="42" s="1"/>
  <c r="AP53" i="42" a="1"/>
  <c r="AP53" i="42" s="1"/>
  <c r="AE53" i="42" a="1"/>
  <c r="AE53" i="42" s="1"/>
  <c r="W53" i="42" a="1"/>
  <c r="W53" i="42" s="1"/>
  <c r="O53" i="42" a="1"/>
  <c r="O53" i="42" s="1"/>
  <c r="G53" i="42" a="1"/>
  <c r="G53" i="42" s="1"/>
  <c r="AM52" i="42" a="1"/>
  <c r="AM52" i="42" s="1"/>
  <c r="AE52" i="42" a="1"/>
  <c r="AE52" i="42" s="1"/>
  <c r="W52" i="42" a="1"/>
  <c r="W52" i="42" s="1"/>
  <c r="O52" i="42" a="1"/>
  <c r="O52" i="42" s="1"/>
  <c r="G52" i="42" a="1"/>
  <c r="G52" i="42" s="1"/>
  <c r="AM50" i="42" a="1"/>
  <c r="AM50" i="42" s="1"/>
  <c r="AE50" i="42" a="1"/>
  <c r="AE50" i="42" s="1"/>
  <c r="W50" i="42" a="1"/>
  <c r="W50" i="42" s="1"/>
  <c r="O50" i="42" a="1"/>
  <c r="O50" i="42" s="1"/>
  <c r="G50" i="42" a="1"/>
  <c r="G50" i="42" s="1"/>
  <c r="AM49" i="42" a="1"/>
  <c r="AM49" i="42" s="1"/>
  <c r="AE49" i="42" a="1"/>
  <c r="AE49" i="42" s="1"/>
  <c r="W49" i="42" a="1"/>
  <c r="W49" i="42" s="1"/>
  <c r="O49" i="42" a="1"/>
  <c r="O49" i="42" s="1"/>
  <c r="G49" i="42" a="1"/>
  <c r="G49" i="42" s="1"/>
  <c r="AM47" i="42" a="1"/>
  <c r="AM47" i="42" s="1"/>
  <c r="AE47" i="42" a="1"/>
  <c r="AE47" i="42" s="1"/>
  <c r="W47" i="42" a="1"/>
  <c r="W47" i="42" s="1"/>
  <c r="O47" i="42" a="1"/>
  <c r="O47" i="42" s="1"/>
  <c r="G47" i="42" a="1"/>
  <c r="G47" i="42" s="1"/>
  <c r="AM46" i="42" a="1"/>
  <c r="AM46" i="42" s="1"/>
  <c r="AE46" i="42" a="1"/>
  <c r="AE46" i="42" s="1"/>
  <c r="W46" i="42" a="1"/>
  <c r="W46" i="42" s="1"/>
  <c r="O46" i="42" a="1"/>
  <c r="O46" i="42" s="1"/>
  <c r="G46" i="42" a="1"/>
  <c r="G46" i="42" s="1"/>
  <c r="AM44" i="42" a="1"/>
  <c r="AM44" i="42" s="1"/>
  <c r="AE44" i="42" a="1"/>
  <c r="AE44" i="42" s="1"/>
  <c r="W44" i="42" a="1"/>
  <c r="W44" i="42" s="1"/>
  <c r="O44" i="42" a="1"/>
  <c r="O44" i="42" s="1"/>
  <c r="G44" i="42" a="1"/>
  <c r="G44" i="42" s="1"/>
  <c r="AM43" i="42" a="1"/>
  <c r="AM43" i="42" s="1"/>
  <c r="AE43" i="42" a="1"/>
  <c r="AE43" i="42" s="1"/>
  <c r="W43" i="42" a="1"/>
  <c r="W43" i="42" s="1"/>
  <c r="O43" i="42" a="1"/>
  <c r="O43" i="42" s="1"/>
  <c r="G43" i="42" a="1"/>
  <c r="G43" i="42" s="1"/>
  <c r="AM41" i="42" a="1"/>
  <c r="AM41" i="42" s="1"/>
  <c r="AE41" i="42" a="1"/>
  <c r="AE41" i="42" s="1"/>
  <c r="W41" i="42" a="1"/>
  <c r="W41" i="42" s="1"/>
  <c r="O41" i="42" a="1"/>
  <c r="O41" i="42" s="1"/>
  <c r="G41" i="42" a="1"/>
  <c r="G41" i="42" s="1"/>
  <c r="AM40" i="42" a="1"/>
  <c r="AM40" i="42" s="1"/>
  <c r="AE40" i="42" a="1"/>
  <c r="AE40" i="42" s="1"/>
  <c r="W40" i="42" a="1"/>
  <c r="W40" i="42" s="1"/>
  <c r="O40" i="42" a="1"/>
  <c r="O40" i="42" s="1"/>
  <c r="G40" i="42" a="1"/>
  <c r="G40" i="42" s="1"/>
  <c r="AM38" i="42" a="1"/>
  <c r="AM38" i="42" s="1"/>
  <c r="AE38" i="42" a="1"/>
  <c r="AE38" i="42" s="1"/>
  <c r="W38" i="42" a="1"/>
  <c r="W38" i="42" s="1"/>
  <c r="O38" i="42" a="1"/>
  <c r="O38" i="42" s="1"/>
  <c r="G38" i="42" a="1"/>
  <c r="G38" i="42" s="1"/>
  <c r="AM37" i="42" a="1"/>
  <c r="AM37" i="42" s="1"/>
  <c r="AE37" i="42" a="1"/>
  <c r="AE37" i="42" s="1"/>
  <c r="W37" i="42" a="1"/>
  <c r="W37" i="42" s="1"/>
  <c r="O37" i="42" a="1"/>
  <c r="O37" i="42" s="1"/>
  <c r="G37" i="42" a="1"/>
  <c r="G37" i="42" s="1"/>
  <c r="AM35" i="42" a="1"/>
  <c r="AM35" i="42" s="1"/>
  <c r="AE35" i="42" a="1"/>
  <c r="AE35" i="42" s="1"/>
  <c r="W35" i="42" a="1"/>
  <c r="W35" i="42" s="1"/>
  <c r="O35" i="42" a="1"/>
  <c r="O35" i="42" s="1"/>
  <c r="G35" i="42" a="1"/>
  <c r="G35" i="42" s="1"/>
  <c r="AM34" i="42" a="1"/>
  <c r="AM34" i="42" s="1"/>
  <c r="AE34" i="42" a="1"/>
  <c r="AE34" i="42" s="1"/>
  <c r="W34" i="42" a="1"/>
  <c r="W34" i="42" s="1"/>
  <c r="O34" i="42" a="1"/>
  <c r="O34" i="42" s="1"/>
  <c r="G34" i="42" a="1"/>
  <c r="G34" i="42" s="1"/>
  <c r="AM32" i="42" a="1"/>
  <c r="AM32" i="42" s="1"/>
  <c r="AE32" i="42" a="1"/>
  <c r="AE32" i="42" s="1"/>
  <c r="W32" i="42" a="1"/>
  <c r="W32" i="42" s="1"/>
  <c r="O32" i="42" a="1"/>
  <c r="O32" i="42" s="1"/>
  <c r="G32" i="42" a="1"/>
  <c r="G32" i="42" s="1"/>
  <c r="AM31" i="42" a="1"/>
  <c r="AM31" i="42" s="1"/>
  <c r="AE31" i="42" a="1"/>
  <c r="AE31" i="42" s="1"/>
  <c r="W31" i="42" a="1"/>
  <c r="W31" i="42" s="1"/>
  <c r="O31" i="42" a="1"/>
  <c r="O31" i="42" s="1"/>
  <c r="G31" i="42" a="1"/>
  <c r="G31" i="42" s="1"/>
  <c r="AM29" i="42" a="1"/>
  <c r="AM29" i="42" s="1"/>
  <c r="AE29" i="42" a="1"/>
  <c r="AE29" i="42" s="1"/>
  <c r="W29" i="42" a="1"/>
  <c r="W29" i="42" s="1"/>
  <c r="O29" i="42" a="1"/>
  <c r="O29" i="42" s="1"/>
  <c r="G29" i="42" a="1"/>
  <c r="G29" i="42" s="1"/>
  <c r="AM28" i="42" a="1"/>
  <c r="AM28" i="42" s="1"/>
  <c r="AE28" i="42" a="1"/>
  <c r="AE28" i="42" s="1"/>
  <c r="W28" i="42" a="1"/>
  <c r="W28" i="42" s="1"/>
  <c r="O28" i="42" a="1"/>
  <c r="O28" i="42" s="1"/>
  <c r="G28" i="42" a="1"/>
  <c r="G28" i="42" s="1"/>
  <c r="AM26" i="42" a="1"/>
  <c r="AM26" i="42" s="1"/>
  <c r="AE26" i="42" a="1"/>
  <c r="AE26" i="42" s="1"/>
  <c r="W26" i="42" a="1"/>
  <c r="W26" i="42" s="1"/>
  <c r="O26" i="42" a="1"/>
  <c r="O26" i="42" s="1"/>
  <c r="G26" i="42" a="1"/>
  <c r="G26" i="42" s="1"/>
  <c r="AM25" i="42" a="1"/>
  <c r="AM25" i="42" s="1"/>
  <c r="AE25" i="42" a="1"/>
  <c r="AE25" i="42" s="1"/>
  <c r="W25" i="42" a="1"/>
  <c r="W25" i="42" s="1"/>
  <c r="O25" i="42" a="1"/>
  <c r="O25" i="42" s="1"/>
  <c r="G25" i="42" a="1"/>
  <c r="G25" i="42" s="1"/>
  <c r="AM23" i="42" a="1"/>
  <c r="AM23" i="42" s="1"/>
  <c r="AE23" i="42" a="1"/>
  <c r="AE23" i="42" s="1"/>
  <c r="W23" i="42" a="1"/>
  <c r="W23" i="42" s="1"/>
  <c r="O23" i="42" a="1"/>
  <c r="O23" i="42" s="1"/>
  <c r="G23" i="42" a="1"/>
  <c r="G23" i="42" s="1"/>
  <c r="AM22" i="42" a="1"/>
  <c r="AM22" i="42" s="1"/>
  <c r="AE22" i="42" a="1"/>
  <c r="AE22" i="42" s="1"/>
  <c r="W22" i="42" a="1"/>
  <c r="W22" i="42" s="1"/>
  <c r="O22" i="42" a="1"/>
  <c r="O22" i="42" s="1"/>
  <c r="G22" i="42" a="1"/>
  <c r="G22" i="42" s="1"/>
  <c r="AM20" i="42" a="1"/>
  <c r="AM20" i="42" s="1"/>
  <c r="AE20" i="42" a="1"/>
  <c r="AE20" i="42" s="1"/>
  <c r="W20" i="42" a="1"/>
  <c r="W20" i="42" s="1"/>
  <c r="O20" i="42" a="1"/>
  <c r="O20" i="42" s="1"/>
  <c r="G20" i="42" a="1"/>
  <c r="G20" i="42" s="1"/>
  <c r="AM19" i="42" a="1"/>
  <c r="AM19" i="42" s="1"/>
  <c r="AE19" i="42" a="1"/>
  <c r="AE19" i="42" s="1"/>
  <c r="W19" i="42" a="1"/>
  <c r="W19" i="42" s="1"/>
  <c r="O19" i="42" a="1"/>
  <c r="O19" i="42" s="1"/>
  <c r="G19" i="42" a="1"/>
  <c r="G19" i="42" s="1"/>
  <c r="AM17" i="42" a="1"/>
  <c r="AM17" i="42" s="1"/>
  <c r="AE17" i="42" a="1"/>
  <c r="AE17" i="42" s="1"/>
  <c r="W17" i="42" a="1"/>
  <c r="W17" i="42" s="1"/>
  <c r="O17" i="42" a="1"/>
  <c r="O17" i="42" s="1"/>
  <c r="G17" i="42" a="1"/>
  <c r="G17" i="42" s="1"/>
  <c r="AM16" i="42" a="1"/>
  <c r="AM16" i="42" s="1"/>
  <c r="AE16" i="42" a="1"/>
  <c r="AE16" i="42" s="1"/>
  <c r="W16" i="42" a="1"/>
  <c r="W16" i="42" s="1"/>
  <c r="O16" i="42" a="1"/>
  <c r="O16" i="42" s="1"/>
  <c r="G16" i="42" a="1"/>
  <c r="G16" i="42" s="1"/>
  <c r="AM11" i="42" a="1"/>
  <c r="AM11" i="42" s="1"/>
  <c r="AE11" i="42" a="1"/>
  <c r="AE11" i="42" s="1"/>
  <c r="W11" i="42" a="1"/>
  <c r="W11" i="42" s="1"/>
  <c r="O11" i="42" a="1"/>
  <c r="O11" i="42" s="1"/>
  <c r="G11" i="42" a="1"/>
  <c r="G11" i="42" s="1"/>
  <c r="AM10" i="42" a="1"/>
  <c r="AM10" i="42" s="1"/>
  <c r="AE10" i="42" a="1"/>
  <c r="AE10" i="42" s="1"/>
  <c r="W10" i="42" a="1"/>
  <c r="W10" i="42" s="1"/>
  <c r="E10" i="42" a="1"/>
  <c r="E10" i="42" s="1"/>
  <c r="AN53" i="42" a="1"/>
  <c r="AN53" i="42" s="1"/>
  <c r="AD53" i="42" a="1"/>
  <c r="AD53" i="42" s="1"/>
  <c r="V53" i="42" a="1"/>
  <c r="V53" i="42" s="1"/>
  <c r="N53" i="42" a="1"/>
  <c r="N53" i="42" s="1"/>
  <c r="F53" i="42" a="1"/>
  <c r="F53" i="42" s="1"/>
  <c r="AL52" i="42" a="1"/>
  <c r="AL52" i="42" s="1"/>
  <c r="AL51" i="42" s="1"/>
  <c r="AD52" i="42" a="1"/>
  <c r="AD52" i="42" s="1"/>
  <c r="V52" i="42" a="1"/>
  <c r="V52" i="42" s="1"/>
  <c r="N52" i="42" a="1"/>
  <c r="N52" i="42" s="1"/>
  <c r="F52" i="42" a="1"/>
  <c r="F52" i="42" s="1"/>
  <c r="AL50" i="42" a="1"/>
  <c r="AL50" i="42" s="1"/>
  <c r="AD50" i="42" a="1"/>
  <c r="AD50" i="42" s="1"/>
  <c r="V50" i="42" a="1"/>
  <c r="V50" i="42" s="1"/>
  <c r="N50" i="42" a="1"/>
  <c r="N50" i="42" s="1"/>
  <c r="F50" i="42" a="1"/>
  <c r="F50" i="42" s="1"/>
  <c r="AL49" i="42" a="1"/>
  <c r="AL49" i="42" s="1"/>
  <c r="AD49" i="42" a="1"/>
  <c r="AD49" i="42" s="1"/>
  <c r="V49" i="42" a="1"/>
  <c r="V49" i="42" s="1"/>
  <c r="N49" i="42" a="1"/>
  <c r="N49" i="42" s="1"/>
  <c r="F49" i="42" a="1"/>
  <c r="F49" i="42" s="1"/>
  <c r="AL47" i="42" a="1"/>
  <c r="AL47" i="42" s="1"/>
  <c r="AD47" i="42" a="1"/>
  <c r="AD47" i="42" s="1"/>
  <c r="V47" i="42" a="1"/>
  <c r="V47" i="42" s="1"/>
  <c r="N47" i="42" a="1"/>
  <c r="N47" i="42" s="1"/>
  <c r="F47" i="42" a="1"/>
  <c r="F47" i="42" s="1"/>
  <c r="AL46" i="42" a="1"/>
  <c r="AL46" i="42" s="1"/>
  <c r="AD46" i="42" a="1"/>
  <c r="AD46" i="42" s="1"/>
  <c r="V46" i="42" a="1"/>
  <c r="V46" i="42" s="1"/>
  <c r="N46" i="42" a="1"/>
  <c r="N46" i="42" s="1"/>
  <c r="F46" i="42" a="1"/>
  <c r="F46" i="42" s="1"/>
  <c r="AL44" i="42" a="1"/>
  <c r="AL44" i="42" s="1"/>
  <c r="AD44" i="42" a="1"/>
  <c r="AD44" i="42" s="1"/>
  <c r="V44" i="42" a="1"/>
  <c r="V44" i="42" s="1"/>
  <c r="N44" i="42" a="1"/>
  <c r="N44" i="42" s="1"/>
  <c r="F44" i="42" a="1"/>
  <c r="F44" i="42" s="1"/>
  <c r="AL43" i="42" a="1"/>
  <c r="AL43" i="42" s="1"/>
  <c r="AD43" i="42" a="1"/>
  <c r="AD43" i="42" s="1"/>
  <c r="V43" i="42" a="1"/>
  <c r="V43" i="42" s="1"/>
  <c r="N43" i="42" a="1"/>
  <c r="N43" i="42" s="1"/>
  <c r="F43" i="42" a="1"/>
  <c r="F43" i="42" s="1"/>
  <c r="AL41" i="42" a="1"/>
  <c r="AL41" i="42" s="1"/>
  <c r="AD41" i="42" a="1"/>
  <c r="AD41" i="42" s="1"/>
  <c r="V41" i="42" a="1"/>
  <c r="V41" i="42" s="1"/>
  <c r="N41" i="42" a="1"/>
  <c r="N41" i="42" s="1"/>
  <c r="F41" i="42" a="1"/>
  <c r="F41" i="42" s="1"/>
  <c r="AL40" i="42" a="1"/>
  <c r="AL40" i="42" s="1"/>
  <c r="AD40" i="42" a="1"/>
  <c r="AD40" i="42" s="1"/>
  <c r="V40" i="42" a="1"/>
  <c r="V40" i="42" s="1"/>
  <c r="N40" i="42" a="1"/>
  <c r="N40" i="42" s="1"/>
  <c r="F40" i="42" a="1"/>
  <c r="F40" i="42" s="1"/>
  <c r="AL38" i="42" a="1"/>
  <c r="AL38" i="42" s="1"/>
  <c r="AD38" i="42" a="1"/>
  <c r="AD38" i="42" s="1"/>
  <c r="V38" i="42" a="1"/>
  <c r="V38" i="42" s="1"/>
  <c r="N38" i="42" a="1"/>
  <c r="N38" i="42" s="1"/>
  <c r="F38" i="42" a="1"/>
  <c r="F38" i="42" s="1"/>
  <c r="AL37" i="42" a="1"/>
  <c r="AL37" i="42" s="1"/>
  <c r="AD37" i="42" a="1"/>
  <c r="AD37" i="42" s="1"/>
  <c r="V37" i="42" a="1"/>
  <c r="V37" i="42" s="1"/>
  <c r="N37" i="42" a="1"/>
  <c r="N37" i="42" s="1"/>
  <c r="F37" i="42" a="1"/>
  <c r="F37" i="42" s="1"/>
  <c r="AL35" i="42" a="1"/>
  <c r="AL35" i="42" s="1"/>
  <c r="AD35" i="42" a="1"/>
  <c r="AD35" i="42" s="1"/>
  <c r="V35" i="42" a="1"/>
  <c r="V35" i="42" s="1"/>
  <c r="N35" i="42" a="1"/>
  <c r="N35" i="42" s="1"/>
  <c r="F35" i="42" a="1"/>
  <c r="F35" i="42" s="1"/>
  <c r="AL34" i="42" a="1"/>
  <c r="AL34" i="42" s="1"/>
  <c r="AD34" i="42" a="1"/>
  <c r="AD34" i="42" s="1"/>
  <c r="V34" i="42" a="1"/>
  <c r="V34" i="42" s="1"/>
  <c r="N34" i="42" a="1"/>
  <c r="N34" i="42" s="1"/>
  <c r="F34" i="42" a="1"/>
  <c r="F34" i="42" s="1"/>
  <c r="AL32" i="42" a="1"/>
  <c r="AL32" i="42" s="1"/>
  <c r="AD32" i="42" a="1"/>
  <c r="AD32" i="42" s="1"/>
  <c r="V32" i="42" a="1"/>
  <c r="V32" i="42" s="1"/>
  <c r="N32" i="42" a="1"/>
  <c r="N32" i="42" s="1"/>
  <c r="F32" i="42" a="1"/>
  <c r="F32" i="42" s="1"/>
  <c r="AL31" i="42" a="1"/>
  <c r="AL31" i="42" s="1"/>
  <c r="AD31" i="42" a="1"/>
  <c r="AD31" i="42" s="1"/>
  <c r="V31" i="42" a="1"/>
  <c r="V31" i="42" s="1"/>
  <c r="N31" i="42" a="1"/>
  <c r="N31" i="42" s="1"/>
  <c r="F31" i="42" a="1"/>
  <c r="F31" i="42" s="1"/>
  <c r="AL29" i="42" a="1"/>
  <c r="AL29" i="42" s="1"/>
  <c r="AD29" i="42" a="1"/>
  <c r="AD29" i="42" s="1"/>
  <c r="V29" i="42" a="1"/>
  <c r="V29" i="42" s="1"/>
  <c r="N29" i="42" a="1"/>
  <c r="N29" i="42" s="1"/>
  <c r="F29" i="42" a="1"/>
  <c r="F29" i="42" s="1"/>
  <c r="AL28" i="42" a="1"/>
  <c r="AL28" i="42" s="1"/>
  <c r="AD28" i="42" a="1"/>
  <c r="AD28" i="42" s="1"/>
  <c r="V28" i="42" a="1"/>
  <c r="V28" i="42" s="1"/>
  <c r="N28" i="42" a="1"/>
  <c r="N28" i="42" s="1"/>
  <c r="F28" i="42" a="1"/>
  <c r="F28" i="42" s="1"/>
  <c r="AL26" i="42" a="1"/>
  <c r="AL26" i="42" s="1"/>
  <c r="AD26" i="42" a="1"/>
  <c r="AD26" i="42" s="1"/>
  <c r="V26" i="42" a="1"/>
  <c r="V26" i="42" s="1"/>
  <c r="N26" i="42" a="1"/>
  <c r="N26" i="42" s="1"/>
  <c r="F26" i="42" a="1"/>
  <c r="F26" i="42" s="1"/>
  <c r="AL25" i="42" a="1"/>
  <c r="AL25" i="42" s="1"/>
  <c r="AD25" i="42" a="1"/>
  <c r="AD25" i="42" s="1"/>
  <c r="V25" i="42" a="1"/>
  <c r="V25" i="42" s="1"/>
  <c r="N25" i="42" a="1"/>
  <c r="N25" i="42" s="1"/>
  <c r="F25" i="42" a="1"/>
  <c r="F25" i="42" s="1"/>
  <c r="AL23" i="42" a="1"/>
  <c r="AL23" i="42" s="1"/>
  <c r="AD23" i="42" a="1"/>
  <c r="AD23" i="42" s="1"/>
  <c r="V23" i="42" a="1"/>
  <c r="V23" i="42" s="1"/>
  <c r="N23" i="42" a="1"/>
  <c r="N23" i="42" s="1"/>
  <c r="F23" i="42" a="1"/>
  <c r="F23" i="42" s="1"/>
  <c r="AL22" i="42" a="1"/>
  <c r="AL22" i="42" s="1"/>
  <c r="AD22" i="42" a="1"/>
  <c r="AD22" i="42" s="1"/>
  <c r="V22" i="42" a="1"/>
  <c r="V22" i="42" s="1"/>
  <c r="N22" i="42" a="1"/>
  <c r="N22" i="42" s="1"/>
  <c r="F22" i="42" a="1"/>
  <c r="F22" i="42" s="1"/>
  <c r="AL20" i="42" a="1"/>
  <c r="AL20" i="42" s="1"/>
  <c r="AD20" i="42" a="1"/>
  <c r="AD20" i="42" s="1"/>
  <c r="V20" i="42" a="1"/>
  <c r="V20" i="42" s="1"/>
  <c r="N20" i="42" a="1"/>
  <c r="N20" i="42" s="1"/>
  <c r="F20" i="42" a="1"/>
  <c r="F20" i="42" s="1"/>
  <c r="AL19" i="42" a="1"/>
  <c r="AL19" i="42" s="1"/>
  <c r="AD19" i="42" a="1"/>
  <c r="AD19" i="42" s="1"/>
  <c r="V19" i="42" a="1"/>
  <c r="V19" i="42" s="1"/>
  <c r="N19" i="42" a="1"/>
  <c r="N19" i="42" s="1"/>
  <c r="F19" i="42" a="1"/>
  <c r="F19" i="42" s="1"/>
  <c r="AL17" i="42" a="1"/>
  <c r="AL17" i="42" s="1"/>
  <c r="AD17" i="42" a="1"/>
  <c r="AD17" i="42" s="1"/>
  <c r="V17" i="42" a="1"/>
  <c r="V17" i="42" s="1"/>
  <c r="N17" i="42" a="1"/>
  <c r="N17" i="42" s="1"/>
  <c r="F17" i="42" a="1"/>
  <c r="F17" i="42" s="1"/>
  <c r="AL16" i="42" a="1"/>
  <c r="AL16" i="42" s="1"/>
  <c r="AD16" i="42" a="1"/>
  <c r="AD16" i="42" s="1"/>
  <c r="V16" i="42" a="1"/>
  <c r="V16" i="42" s="1"/>
  <c r="N16" i="42" a="1"/>
  <c r="N16" i="42" s="1"/>
  <c r="F16" i="42" a="1"/>
  <c r="F16" i="42" s="1"/>
  <c r="AL11" i="42" a="1"/>
  <c r="AL11" i="42" s="1"/>
  <c r="AD11" i="42" a="1"/>
  <c r="AD11" i="42" s="1"/>
  <c r="V11" i="42" a="1"/>
  <c r="V11" i="42" s="1"/>
  <c r="N11" i="42" a="1"/>
  <c r="N11" i="42" s="1"/>
  <c r="F11" i="42" a="1"/>
  <c r="F11" i="42" s="1"/>
  <c r="AL10" i="42" a="1"/>
  <c r="AL10" i="42" s="1"/>
  <c r="AD10" i="42" a="1"/>
  <c r="AD10" i="42" s="1"/>
  <c r="V10" i="42" a="1"/>
  <c r="V10" i="42" s="1"/>
  <c r="N10" i="42" a="1"/>
  <c r="N10" i="42" s="1"/>
  <c r="F10" i="42" a="1"/>
  <c r="F10" i="42" s="1"/>
  <c r="AM53" i="42" a="1"/>
  <c r="AM53" i="42" s="1"/>
  <c r="AC53" i="42" a="1"/>
  <c r="AC53" i="42" s="1"/>
  <c r="U53" i="42" a="1"/>
  <c r="U53" i="42" s="1"/>
  <c r="M53" i="42" a="1"/>
  <c r="M53" i="42" s="1"/>
  <c r="E53" i="42" a="1"/>
  <c r="E53" i="42" s="1"/>
  <c r="AK52" i="42" a="1"/>
  <c r="AK52" i="42" s="1"/>
  <c r="AK51" i="42" s="1"/>
  <c r="AC52" i="42" a="1"/>
  <c r="AC52" i="42" s="1"/>
  <c r="U52" i="42" a="1"/>
  <c r="U52" i="42" s="1"/>
  <c r="M52" i="42" a="1"/>
  <c r="M52" i="42" s="1"/>
  <c r="E52" i="42" a="1"/>
  <c r="E52" i="42" s="1"/>
  <c r="AK50" i="42" a="1"/>
  <c r="AK50" i="42" s="1"/>
  <c r="AC50" i="42" a="1"/>
  <c r="AC50" i="42" s="1"/>
  <c r="U50" i="42" a="1"/>
  <c r="U50" i="42" s="1"/>
  <c r="M50" i="42" a="1"/>
  <c r="M50" i="42" s="1"/>
  <c r="E50" i="42" a="1"/>
  <c r="E50" i="42" s="1"/>
  <c r="AK49" i="42" a="1"/>
  <c r="AK49" i="42" s="1"/>
  <c r="AC49" i="42" a="1"/>
  <c r="AC49" i="42" s="1"/>
  <c r="U49" i="42" a="1"/>
  <c r="U49" i="42" s="1"/>
  <c r="M49" i="42" a="1"/>
  <c r="M49" i="42" s="1"/>
  <c r="E49" i="42" a="1"/>
  <c r="E49" i="42" s="1"/>
  <c r="AK47" i="42" a="1"/>
  <c r="AK47" i="42" s="1"/>
  <c r="AC47" i="42" a="1"/>
  <c r="AC47" i="42" s="1"/>
  <c r="U47" i="42" a="1"/>
  <c r="U47" i="42" s="1"/>
  <c r="M47" i="42" a="1"/>
  <c r="M47" i="42" s="1"/>
  <c r="E47" i="42" a="1"/>
  <c r="E47" i="42" s="1"/>
  <c r="AK46" i="42" a="1"/>
  <c r="AK46" i="42" s="1"/>
  <c r="AC46" i="42" a="1"/>
  <c r="AC46" i="42" s="1"/>
  <c r="U46" i="42" a="1"/>
  <c r="U46" i="42" s="1"/>
  <c r="M46" i="42" a="1"/>
  <c r="M46" i="42" s="1"/>
  <c r="E46" i="42" a="1"/>
  <c r="E46" i="42" s="1"/>
  <c r="AK44" i="42" a="1"/>
  <c r="AK44" i="42" s="1"/>
  <c r="AC44" i="42" a="1"/>
  <c r="AC44" i="42" s="1"/>
  <c r="U44" i="42" a="1"/>
  <c r="U44" i="42" s="1"/>
  <c r="M44" i="42" a="1"/>
  <c r="M44" i="42" s="1"/>
  <c r="E44" i="42" a="1"/>
  <c r="E44" i="42" s="1"/>
  <c r="AK43" i="42" a="1"/>
  <c r="AK43" i="42" s="1"/>
  <c r="AC43" i="42" a="1"/>
  <c r="AC43" i="42" s="1"/>
  <c r="U43" i="42" a="1"/>
  <c r="U43" i="42" s="1"/>
  <c r="M43" i="42" a="1"/>
  <c r="M43" i="42" s="1"/>
  <c r="E43" i="42" a="1"/>
  <c r="E43" i="42" s="1"/>
  <c r="AK41" i="42" a="1"/>
  <c r="AK41" i="42" s="1"/>
  <c r="AC41" i="42" a="1"/>
  <c r="AC41" i="42" s="1"/>
  <c r="U41" i="42" a="1"/>
  <c r="U41" i="42" s="1"/>
  <c r="M41" i="42" a="1"/>
  <c r="M41" i="42" s="1"/>
  <c r="E41" i="42" a="1"/>
  <c r="E41" i="42" s="1"/>
  <c r="AK40" i="42" a="1"/>
  <c r="AK40" i="42" s="1"/>
  <c r="AC40" i="42" a="1"/>
  <c r="AC40" i="42" s="1"/>
  <c r="U40" i="42" a="1"/>
  <c r="U40" i="42" s="1"/>
  <c r="M40" i="42" a="1"/>
  <c r="M40" i="42" s="1"/>
  <c r="E40" i="42" a="1"/>
  <c r="E40" i="42" s="1"/>
  <c r="AK38" i="42" a="1"/>
  <c r="AK38" i="42" s="1"/>
  <c r="AC38" i="42" a="1"/>
  <c r="AC38" i="42" s="1"/>
  <c r="U38" i="42" a="1"/>
  <c r="U38" i="42" s="1"/>
  <c r="M38" i="42" a="1"/>
  <c r="M38" i="42" s="1"/>
  <c r="E38" i="42" a="1"/>
  <c r="E38" i="42" s="1"/>
  <c r="AK37" i="42" a="1"/>
  <c r="AK37" i="42" s="1"/>
  <c r="AC37" i="42" a="1"/>
  <c r="AC37" i="42" s="1"/>
  <c r="U37" i="42" a="1"/>
  <c r="U37" i="42" s="1"/>
  <c r="M37" i="42" a="1"/>
  <c r="M37" i="42" s="1"/>
  <c r="E37" i="42" a="1"/>
  <c r="E37" i="42" s="1"/>
  <c r="AK35" i="42" a="1"/>
  <c r="AK35" i="42" s="1"/>
  <c r="AC35" i="42" a="1"/>
  <c r="AC35" i="42" s="1"/>
  <c r="U35" i="42" a="1"/>
  <c r="U35" i="42" s="1"/>
  <c r="M35" i="42" a="1"/>
  <c r="M35" i="42" s="1"/>
  <c r="E35" i="42" a="1"/>
  <c r="E35" i="42" s="1"/>
  <c r="AK34" i="42" a="1"/>
  <c r="AK34" i="42" s="1"/>
  <c r="AC34" i="42" a="1"/>
  <c r="AC34" i="42" s="1"/>
  <c r="U34" i="42" a="1"/>
  <c r="U34" i="42" s="1"/>
  <c r="M34" i="42" a="1"/>
  <c r="M34" i="42" s="1"/>
  <c r="E34" i="42" a="1"/>
  <c r="E34" i="42" s="1"/>
  <c r="AK32" i="42" a="1"/>
  <c r="AK32" i="42" s="1"/>
  <c r="AC32" i="42" a="1"/>
  <c r="AC32" i="42" s="1"/>
  <c r="U32" i="42" a="1"/>
  <c r="U32" i="42" s="1"/>
  <c r="M32" i="42" a="1"/>
  <c r="M32" i="42" s="1"/>
  <c r="E32" i="42" a="1"/>
  <c r="E32" i="42" s="1"/>
  <c r="AK31" i="42" a="1"/>
  <c r="AK31" i="42" s="1"/>
  <c r="AC31" i="42" a="1"/>
  <c r="AC31" i="42" s="1"/>
  <c r="U31" i="42" a="1"/>
  <c r="U31" i="42" s="1"/>
  <c r="M31" i="42" a="1"/>
  <c r="M31" i="42" s="1"/>
  <c r="E31" i="42" a="1"/>
  <c r="E31" i="42" s="1"/>
  <c r="AK29" i="42" a="1"/>
  <c r="AK29" i="42" s="1"/>
  <c r="AC29" i="42" a="1"/>
  <c r="AC29" i="42" s="1"/>
  <c r="U29" i="42" a="1"/>
  <c r="U29" i="42" s="1"/>
  <c r="M29" i="42" a="1"/>
  <c r="M29" i="42" s="1"/>
  <c r="E29" i="42" a="1"/>
  <c r="E29" i="42" s="1"/>
  <c r="AK28" i="42" a="1"/>
  <c r="AK28" i="42" s="1"/>
  <c r="AC28" i="42" a="1"/>
  <c r="AC28" i="42" s="1"/>
  <c r="U28" i="42" a="1"/>
  <c r="U28" i="42" s="1"/>
  <c r="M28" i="42" a="1"/>
  <c r="M28" i="42" s="1"/>
  <c r="E28" i="42" a="1"/>
  <c r="E28" i="42" s="1"/>
  <c r="AK26" i="42" a="1"/>
  <c r="AK26" i="42" s="1"/>
  <c r="AC26" i="42" a="1"/>
  <c r="AC26" i="42" s="1"/>
  <c r="U26" i="42" a="1"/>
  <c r="U26" i="42" s="1"/>
  <c r="M26" i="42" a="1"/>
  <c r="M26" i="42" s="1"/>
  <c r="E26" i="42" a="1"/>
  <c r="E26" i="42" s="1"/>
  <c r="AK25" i="42" a="1"/>
  <c r="AK25" i="42" s="1"/>
  <c r="AC25" i="42" a="1"/>
  <c r="AC25" i="42" s="1"/>
  <c r="U25" i="42" a="1"/>
  <c r="U25" i="42" s="1"/>
  <c r="M25" i="42" a="1"/>
  <c r="M25" i="42" s="1"/>
  <c r="E25" i="42" a="1"/>
  <c r="E25" i="42" s="1"/>
  <c r="AK23" i="42" a="1"/>
  <c r="AK23" i="42" s="1"/>
  <c r="AC23" i="42" a="1"/>
  <c r="AC23" i="42" s="1"/>
  <c r="U23" i="42" a="1"/>
  <c r="U23" i="42" s="1"/>
  <c r="M23" i="42" a="1"/>
  <c r="M23" i="42" s="1"/>
  <c r="E23" i="42" a="1"/>
  <c r="E23" i="42" s="1"/>
  <c r="AK22" i="42" a="1"/>
  <c r="AK22" i="42" s="1"/>
  <c r="AC22" i="42" a="1"/>
  <c r="AC22" i="42" s="1"/>
  <c r="U22" i="42" a="1"/>
  <c r="U22" i="42" s="1"/>
  <c r="M22" i="42" a="1"/>
  <c r="M22" i="42" s="1"/>
  <c r="E22" i="42" a="1"/>
  <c r="E22" i="42" s="1"/>
  <c r="AK20" i="42" a="1"/>
  <c r="AK20" i="42" s="1"/>
  <c r="AC20" i="42" a="1"/>
  <c r="AC20" i="42" s="1"/>
  <c r="U20" i="42" a="1"/>
  <c r="U20" i="42" s="1"/>
  <c r="M20" i="42" a="1"/>
  <c r="M20" i="42" s="1"/>
  <c r="E20" i="42" a="1"/>
  <c r="E20" i="42" s="1"/>
  <c r="AK19" i="42" a="1"/>
  <c r="AK19" i="42" s="1"/>
  <c r="AC19" i="42" a="1"/>
  <c r="AC19" i="42" s="1"/>
  <c r="U19" i="42" a="1"/>
  <c r="U19" i="42" s="1"/>
  <c r="M19" i="42" a="1"/>
  <c r="M19" i="42" s="1"/>
  <c r="E19" i="42" a="1"/>
  <c r="E19" i="42" s="1"/>
  <c r="AK17" i="42" a="1"/>
  <c r="AK17" i="42" s="1"/>
  <c r="AC17" i="42" a="1"/>
  <c r="AC17" i="42" s="1"/>
  <c r="U17" i="42" a="1"/>
  <c r="U17" i="42" s="1"/>
  <c r="M17" i="42" a="1"/>
  <c r="M17" i="42" s="1"/>
  <c r="E17" i="42" a="1"/>
  <c r="E17" i="42" s="1"/>
  <c r="AK16" i="42" a="1"/>
  <c r="AK16" i="42" s="1"/>
  <c r="AC16" i="42" a="1"/>
  <c r="AC16" i="42" s="1"/>
  <c r="U16" i="42" a="1"/>
  <c r="U16" i="42" s="1"/>
  <c r="M16" i="42" a="1"/>
  <c r="M16" i="42" s="1"/>
  <c r="E16" i="42" a="1"/>
  <c r="E16" i="42" s="1"/>
  <c r="AK11" i="42" a="1"/>
  <c r="AK11" i="42" s="1"/>
  <c r="AC11" i="42" a="1"/>
  <c r="AC11" i="42" s="1"/>
  <c r="U11" i="42" a="1"/>
  <c r="U11" i="42" s="1"/>
  <c r="M11" i="42" a="1"/>
  <c r="M11" i="42" s="1"/>
  <c r="E11" i="42" a="1"/>
  <c r="E11" i="42" s="1"/>
  <c r="AK10" i="42" a="1"/>
  <c r="AK10" i="42" s="1"/>
  <c r="AC10" i="42" a="1"/>
  <c r="AC10" i="42" s="1"/>
  <c r="U10" i="42" a="1"/>
  <c r="U10" i="42" s="1"/>
  <c r="M10" i="42" a="1"/>
  <c r="M10" i="42" s="1"/>
  <c r="AJ53" i="42" a="1"/>
  <c r="AJ53" i="42" s="1"/>
  <c r="AB53" i="42" a="1"/>
  <c r="AB53" i="42" s="1"/>
  <c r="T53" i="42" a="1"/>
  <c r="T53" i="42" s="1"/>
  <c r="L53" i="42" a="1"/>
  <c r="L53" i="42" s="1"/>
  <c r="AR52" i="42" a="1"/>
  <c r="AR52" i="42" s="1"/>
  <c r="AJ52" i="42" a="1"/>
  <c r="AJ52" i="42" s="1"/>
  <c r="AB52" i="42" a="1"/>
  <c r="AB52" i="42" s="1"/>
  <c r="T52" i="42" a="1"/>
  <c r="T52" i="42" s="1"/>
  <c r="L52" i="42" a="1"/>
  <c r="L52" i="42" s="1"/>
  <c r="AR50" i="42" a="1"/>
  <c r="AR50" i="42" s="1"/>
  <c r="AJ50" i="42" a="1"/>
  <c r="AJ50" i="42" s="1"/>
  <c r="AB50" i="42" a="1"/>
  <c r="AB50" i="42" s="1"/>
  <c r="T50" i="42" a="1"/>
  <c r="T50" i="42" s="1"/>
  <c r="L50" i="42" a="1"/>
  <c r="L50" i="42" s="1"/>
  <c r="AR49" i="42" a="1"/>
  <c r="AR49" i="42" s="1"/>
  <c r="AJ49" i="42" a="1"/>
  <c r="AJ49" i="42" s="1"/>
  <c r="AB49" i="42" a="1"/>
  <c r="AB49" i="42" s="1"/>
  <c r="T49" i="42" a="1"/>
  <c r="T49" i="42" s="1"/>
  <c r="L49" i="42" a="1"/>
  <c r="L49" i="42" s="1"/>
  <c r="AR47" i="42" a="1"/>
  <c r="AR47" i="42" s="1"/>
  <c r="AJ47" i="42" a="1"/>
  <c r="AJ47" i="42" s="1"/>
  <c r="AB47" i="42" a="1"/>
  <c r="AB47" i="42" s="1"/>
  <c r="T47" i="42" a="1"/>
  <c r="T47" i="42" s="1"/>
  <c r="L47" i="42" a="1"/>
  <c r="L47" i="42" s="1"/>
  <c r="AR46" i="42" a="1"/>
  <c r="AR46" i="42" s="1"/>
  <c r="AJ46" i="42" a="1"/>
  <c r="AJ46" i="42" s="1"/>
  <c r="AB46" i="42" a="1"/>
  <c r="AB46" i="42" s="1"/>
  <c r="T46" i="42" a="1"/>
  <c r="T46" i="42" s="1"/>
  <c r="L46" i="42" a="1"/>
  <c r="L46" i="42" s="1"/>
  <c r="AR44" i="42" a="1"/>
  <c r="AR44" i="42" s="1"/>
  <c r="AJ44" i="42" a="1"/>
  <c r="AJ44" i="42" s="1"/>
  <c r="AB44" i="42" a="1"/>
  <c r="AB44" i="42" s="1"/>
  <c r="T44" i="42" a="1"/>
  <c r="T44" i="42" s="1"/>
  <c r="L44" i="42" a="1"/>
  <c r="L44" i="42" s="1"/>
  <c r="AR43" i="42" a="1"/>
  <c r="AR43" i="42" s="1"/>
  <c r="AJ43" i="42" a="1"/>
  <c r="AJ43" i="42" s="1"/>
  <c r="AB43" i="42" a="1"/>
  <c r="AB43" i="42" s="1"/>
  <c r="T43" i="42" a="1"/>
  <c r="T43" i="42" s="1"/>
  <c r="L43" i="42" a="1"/>
  <c r="L43" i="42" s="1"/>
  <c r="AR41" i="42" a="1"/>
  <c r="AR41" i="42" s="1"/>
  <c r="AJ41" i="42" a="1"/>
  <c r="AJ41" i="42" s="1"/>
  <c r="AB41" i="42" a="1"/>
  <c r="AB41" i="42" s="1"/>
  <c r="T41" i="42" a="1"/>
  <c r="T41" i="42" s="1"/>
  <c r="L41" i="42" a="1"/>
  <c r="L41" i="42" s="1"/>
  <c r="AR40" i="42" a="1"/>
  <c r="AR40" i="42" s="1"/>
  <c r="AJ40" i="42" a="1"/>
  <c r="AJ40" i="42" s="1"/>
  <c r="AB40" i="42" a="1"/>
  <c r="AB40" i="42" s="1"/>
  <c r="T40" i="42" a="1"/>
  <c r="T40" i="42" s="1"/>
  <c r="L40" i="42" a="1"/>
  <c r="L40" i="42" s="1"/>
  <c r="AR38" i="42" a="1"/>
  <c r="AR38" i="42" s="1"/>
  <c r="AJ38" i="42" a="1"/>
  <c r="AJ38" i="42" s="1"/>
  <c r="AB38" i="42" a="1"/>
  <c r="AB38" i="42" s="1"/>
  <c r="T38" i="42" a="1"/>
  <c r="T38" i="42" s="1"/>
  <c r="L38" i="42" a="1"/>
  <c r="L38" i="42" s="1"/>
  <c r="AR37" i="42" a="1"/>
  <c r="AR37" i="42" s="1"/>
  <c r="AJ37" i="42" a="1"/>
  <c r="AJ37" i="42" s="1"/>
  <c r="AB37" i="42" a="1"/>
  <c r="AB37" i="42" s="1"/>
  <c r="T37" i="42" a="1"/>
  <c r="T37" i="42" s="1"/>
  <c r="L37" i="42" a="1"/>
  <c r="L37" i="42" s="1"/>
  <c r="AR35" i="42" a="1"/>
  <c r="AR35" i="42" s="1"/>
  <c r="AJ35" i="42" a="1"/>
  <c r="AJ35" i="42" s="1"/>
  <c r="AB35" i="42" a="1"/>
  <c r="AB35" i="42" s="1"/>
  <c r="T35" i="42" a="1"/>
  <c r="T35" i="42" s="1"/>
  <c r="L35" i="42" a="1"/>
  <c r="L35" i="42" s="1"/>
  <c r="AR34" i="42" a="1"/>
  <c r="AR34" i="42" s="1"/>
  <c r="AJ34" i="42" a="1"/>
  <c r="AJ34" i="42" s="1"/>
  <c r="AB34" i="42" a="1"/>
  <c r="AB34" i="42" s="1"/>
  <c r="T34" i="42" a="1"/>
  <c r="T34" i="42" s="1"/>
  <c r="L34" i="42" a="1"/>
  <c r="L34" i="42" s="1"/>
  <c r="AR32" i="42" a="1"/>
  <c r="AR32" i="42" s="1"/>
  <c r="AJ32" i="42" a="1"/>
  <c r="AJ32" i="42" s="1"/>
  <c r="AB32" i="42" a="1"/>
  <c r="AB32" i="42" s="1"/>
  <c r="T32" i="42" a="1"/>
  <c r="T32" i="42" s="1"/>
  <c r="L32" i="42" a="1"/>
  <c r="L32" i="42" s="1"/>
  <c r="AR31" i="42" a="1"/>
  <c r="AR31" i="42" s="1"/>
  <c r="AJ31" i="42" a="1"/>
  <c r="AJ31" i="42" s="1"/>
  <c r="AB31" i="42" a="1"/>
  <c r="AB31" i="42" s="1"/>
  <c r="T31" i="42" a="1"/>
  <c r="T31" i="42" s="1"/>
  <c r="L31" i="42" a="1"/>
  <c r="L31" i="42" s="1"/>
  <c r="AR29" i="42" a="1"/>
  <c r="AR29" i="42" s="1"/>
  <c r="AJ29" i="42" a="1"/>
  <c r="AJ29" i="42" s="1"/>
  <c r="AB29" i="42" a="1"/>
  <c r="AB29" i="42" s="1"/>
  <c r="T29" i="42" a="1"/>
  <c r="T29" i="42" s="1"/>
  <c r="L29" i="42" a="1"/>
  <c r="L29" i="42" s="1"/>
  <c r="AR28" i="42" a="1"/>
  <c r="AR28" i="42" s="1"/>
  <c r="AJ28" i="42" a="1"/>
  <c r="AJ28" i="42" s="1"/>
  <c r="AB28" i="42" a="1"/>
  <c r="AB28" i="42" s="1"/>
  <c r="T28" i="42" a="1"/>
  <c r="T28" i="42" s="1"/>
  <c r="L28" i="42" a="1"/>
  <c r="L28" i="42" s="1"/>
  <c r="AR26" i="42" a="1"/>
  <c r="AR26" i="42" s="1"/>
  <c r="AJ26" i="42" a="1"/>
  <c r="AJ26" i="42" s="1"/>
  <c r="AB26" i="42" a="1"/>
  <c r="AB26" i="42" s="1"/>
  <c r="T26" i="42" a="1"/>
  <c r="T26" i="42" s="1"/>
  <c r="L26" i="42" a="1"/>
  <c r="L26" i="42" s="1"/>
  <c r="AR25" i="42" a="1"/>
  <c r="AR25" i="42" s="1"/>
  <c r="AJ25" i="42" a="1"/>
  <c r="AJ25" i="42" s="1"/>
  <c r="AB25" i="42" a="1"/>
  <c r="AB25" i="42" s="1"/>
  <c r="T25" i="42" a="1"/>
  <c r="T25" i="42" s="1"/>
  <c r="L25" i="42" a="1"/>
  <c r="L25" i="42" s="1"/>
  <c r="AR23" i="42" a="1"/>
  <c r="AR23" i="42" s="1"/>
  <c r="AJ23" i="42" a="1"/>
  <c r="AJ23" i="42" s="1"/>
  <c r="AB23" i="42" a="1"/>
  <c r="AB23" i="42" s="1"/>
  <c r="T23" i="42" a="1"/>
  <c r="T23" i="42" s="1"/>
  <c r="L23" i="42" a="1"/>
  <c r="L23" i="42" s="1"/>
  <c r="AR22" i="42" a="1"/>
  <c r="AR22" i="42" s="1"/>
  <c r="AJ22" i="42" a="1"/>
  <c r="AJ22" i="42" s="1"/>
  <c r="AB22" i="42" a="1"/>
  <c r="AB22" i="42" s="1"/>
  <c r="T22" i="42" a="1"/>
  <c r="T22" i="42" s="1"/>
  <c r="L22" i="42" a="1"/>
  <c r="L22" i="42" s="1"/>
  <c r="AR20" i="42" a="1"/>
  <c r="AR20" i="42" s="1"/>
  <c r="AJ20" i="42" a="1"/>
  <c r="AJ20" i="42" s="1"/>
  <c r="AB20" i="42" a="1"/>
  <c r="AB20" i="42" s="1"/>
  <c r="T20" i="42" a="1"/>
  <c r="T20" i="42" s="1"/>
  <c r="L20" i="42" a="1"/>
  <c r="L20" i="42" s="1"/>
  <c r="AR19" i="42" a="1"/>
  <c r="AR19" i="42" s="1"/>
  <c r="AJ19" i="42" a="1"/>
  <c r="AJ19" i="42" s="1"/>
  <c r="AB19" i="42" a="1"/>
  <c r="AB19" i="42" s="1"/>
  <c r="T19" i="42" a="1"/>
  <c r="T19" i="42" s="1"/>
  <c r="L19" i="42" a="1"/>
  <c r="L19" i="42" s="1"/>
  <c r="AR17" i="42" a="1"/>
  <c r="AR17" i="42" s="1"/>
  <c r="AJ17" i="42" a="1"/>
  <c r="AJ17" i="42" s="1"/>
  <c r="AB17" i="42" a="1"/>
  <c r="AB17" i="42" s="1"/>
  <c r="T17" i="42" a="1"/>
  <c r="T17" i="42" s="1"/>
  <c r="L17" i="42" a="1"/>
  <c r="L17" i="42" s="1"/>
  <c r="AR16" i="42" a="1"/>
  <c r="AR16" i="42" s="1"/>
  <c r="AJ16" i="42" a="1"/>
  <c r="AJ16" i="42" s="1"/>
  <c r="AB16" i="42" a="1"/>
  <c r="AB16" i="42" s="1"/>
  <c r="T16" i="42" a="1"/>
  <c r="T16" i="42" s="1"/>
  <c r="L16" i="42" a="1"/>
  <c r="L16" i="42" s="1"/>
  <c r="AR11" i="42" a="1"/>
  <c r="AR11" i="42" s="1"/>
  <c r="AJ11" i="42" a="1"/>
  <c r="AJ11" i="42" s="1"/>
  <c r="AB11" i="42" a="1"/>
  <c r="AB11" i="42" s="1"/>
  <c r="T11" i="42" a="1"/>
  <c r="T11" i="42" s="1"/>
  <c r="L11" i="42" a="1"/>
  <c r="L11" i="42" s="1"/>
  <c r="AR10" i="42" a="1"/>
  <c r="AR10" i="42" s="1"/>
  <c r="AJ10" i="42" a="1"/>
  <c r="AJ10" i="42" s="1"/>
  <c r="AB10" i="42" a="1"/>
  <c r="AB10" i="42" s="1"/>
  <c r="T10" i="42" a="1"/>
  <c r="T10" i="42" s="1"/>
  <c r="L10" i="42" a="1"/>
  <c r="L10" i="42" s="1"/>
  <c r="K10" i="42" a="1"/>
  <c r="K10" i="42" s="1"/>
  <c r="G10" i="42" a="1"/>
  <c r="G10" i="42" s="1"/>
  <c r="G9" i="42" s="1"/>
  <c r="AI53" i="42" a="1"/>
  <c r="AI53" i="42" s="1"/>
  <c r="AA53" i="42" a="1"/>
  <c r="AA53" i="42" s="1"/>
  <c r="S53" i="42" a="1"/>
  <c r="S53" i="42" s="1"/>
  <c r="K53" i="42" a="1"/>
  <c r="K53" i="42" s="1"/>
  <c r="AQ52" i="42" a="1"/>
  <c r="AQ52" i="42" s="1"/>
  <c r="AQ51" i="42" s="1"/>
  <c r="AI52" i="42" a="1"/>
  <c r="AI52" i="42" s="1"/>
  <c r="AA52" i="42" a="1"/>
  <c r="AA52" i="42" s="1"/>
  <c r="S52" i="42" a="1"/>
  <c r="S52" i="42" s="1"/>
  <c r="K52" i="42" a="1"/>
  <c r="K52" i="42" s="1"/>
  <c r="AQ50" i="42" a="1"/>
  <c r="AQ50" i="42" s="1"/>
  <c r="AI50" i="42" a="1"/>
  <c r="AI50" i="42" s="1"/>
  <c r="AA50" i="42" a="1"/>
  <c r="AA50" i="42" s="1"/>
  <c r="S50" i="42" a="1"/>
  <c r="S50" i="42" s="1"/>
  <c r="K50" i="42" a="1"/>
  <c r="K50" i="42" s="1"/>
  <c r="AQ49" i="42" a="1"/>
  <c r="AQ49" i="42" s="1"/>
  <c r="AI49" i="42" a="1"/>
  <c r="AI49" i="42" s="1"/>
  <c r="AA49" i="42" a="1"/>
  <c r="AA49" i="42" s="1"/>
  <c r="S49" i="42" a="1"/>
  <c r="S49" i="42" s="1"/>
  <c r="K49" i="42" a="1"/>
  <c r="K49" i="42" s="1"/>
  <c r="AQ47" i="42" a="1"/>
  <c r="AQ47" i="42" s="1"/>
  <c r="AI47" i="42" a="1"/>
  <c r="AI47" i="42" s="1"/>
  <c r="AA47" i="42" a="1"/>
  <c r="AA47" i="42" s="1"/>
  <c r="S47" i="42" a="1"/>
  <c r="S47" i="42" s="1"/>
  <c r="K47" i="42" a="1"/>
  <c r="K47" i="42" s="1"/>
  <c r="AQ46" i="42" a="1"/>
  <c r="AQ46" i="42" s="1"/>
  <c r="AI46" i="42" a="1"/>
  <c r="AI46" i="42" s="1"/>
  <c r="AA46" i="42" a="1"/>
  <c r="AA46" i="42" s="1"/>
  <c r="S46" i="42" a="1"/>
  <c r="S46" i="42" s="1"/>
  <c r="K46" i="42" a="1"/>
  <c r="K46" i="42" s="1"/>
  <c r="AQ44" i="42" a="1"/>
  <c r="AQ44" i="42" s="1"/>
  <c r="AI44" i="42" a="1"/>
  <c r="AI44" i="42" s="1"/>
  <c r="AA44" i="42" a="1"/>
  <c r="AA44" i="42" s="1"/>
  <c r="S44" i="42" a="1"/>
  <c r="S44" i="42" s="1"/>
  <c r="K44" i="42" a="1"/>
  <c r="K44" i="42" s="1"/>
  <c r="AQ43" i="42" a="1"/>
  <c r="AQ43" i="42" s="1"/>
  <c r="AI43" i="42" a="1"/>
  <c r="AI43" i="42" s="1"/>
  <c r="AA43" i="42" a="1"/>
  <c r="AA43" i="42" s="1"/>
  <c r="S43" i="42" a="1"/>
  <c r="S43" i="42" s="1"/>
  <c r="K43" i="42" a="1"/>
  <c r="K43" i="42" s="1"/>
  <c r="AQ41" i="42" a="1"/>
  <c r="AQ41" i="42" s="1"/>
  <c r="AI41" i="42" a="1"/>
  <c r="AI41" i="42" s="1"/>
  <c r="AA41" i="42" a="1"/>
  <c r="AA41" i="42" s="1"/>
  <c r="S41" i="42" a="1"/>
  <c r="S41" i="42" s="1"/>
  <c r="K41" i="42" a="1"/>
  <c r="K41" i="42" s="1"/>
  <c r="AQ40" i="42" a="1"/>
  <c r="AQ40" i="42" s="1"/>
  <c r="AI40" i="42" a="1"/>
  <c r="AI40" i="42" s="1"/>
  <c r="AA40" i="42" a="1"/>
  <c r="AA40" i="42" s="1"/>
  <c r="S40" i="42" a="1"/>
  <c r="S40" i="42" s="1"/>
  <c r="K40" i="42" a="1"/>
  <c r="K40" i="42" s="1"/>
  <c r="AQ38" i="42" a="1"/>
  <c r="AQ38" i="42" s="1"/>
  <c r="AI38" i="42" a="1"/>
  <c r="AI38" i="42" s="1"/>
  <c r="AA38" i="42" a="1"/>
  <c r="AA38" i="42" s="1"/>
  <c r="S38" i="42" a="1"/>
  <c r="S38" i="42" s="1"/>
  <c r="K38" i="42" a="1"/>
  <c r="K38" i="42" s="1"/>
  <c r="AQ37" i="42" a="1"/>
  <c r="AQ37" i="42" s="1"/>
  <c r="AI37" i="42" a="1"/>
  <c r="AI37" i="42" s="1"/>
  <c r="AA37" i="42" a="1"/>
  <c r="AA37" i="42" s="1"/>
  <c r="S37" i="42" a="1"/>
  <c r="S37" i="42" s="1"/>
  <c r="K37" i="42" a="1"/>
  <c r="K37" i="42" s="1"/>
  <c r="AQ35" i="42" a="1"/>
  <c r="AQ35" i="42" s="1"/>
  <c r="AI35" i="42" a="1"/>
  <c r="AI35" i="42" s="1"/>
  <c r="AA35" i="42" a="1"/>
  <c r="AA35" i="42" s="1"/>
  <c r="S35" i="42" a="1"/>
  <c r="S35" i="42" s="1"/>
  <c r="K35" i="42" a="1"/>
  <c r="K35" i="42" s="1"/>
  <c r="AQ34" i="42" a="1"/>
  <c r="AQ34" i="42" s="1"/>
  <c r="AI34" i="42" a="1"/>
  <c r="AI34" i="42" s="1"/>
  <c r="AA34" i="42" a="1"/>
  <c r="AA34" i="42" s="1"/>
  <c r="S34" i="42" a="1"/>
  <c r="S34" i="42" s="1"/>
  <c r="K34" i="42" a="1"/>
  <c r="K34" i="42" s="1"/>
  <c r="AQ32" i="42" a="1"/>
  <c r="AQ32" i="42" s="1"/>
  <c r="AI32" i="42" a="1"/>
  <c r="AI32" i="42" s="1"/>
  <c r="AA32" i="42" a="1"/>
  <c r="AA32" i="42" s="1"/>
  <c r="S32" i="42" a="1"/>
  <c r="S32" i="42" s="1"/>
  <c r="K32" i="42" a="1"/>
  <c r="K32" i="42" s="1"/>
  <c r="AQ31" i="42" a="1"/>
  <c r="AQ31" i="42" s="1"/>
  <c r="AI31" i="42" a="1"/>
  <c r="AI31" i="42" s="1"/>
  <c r="AA31" i="42" a="1"/>
  <c r="AA31" i="42" s="1"/>
  <c r="S31" i="42" a="1"/>
  <c r="S31" i="42" s="1"/>
  <c r="K31" i="42" a="1"/>
  <c r="K31" i="42" s="1"/>
  <c r="AQ29" i="42" a="1"/>
  <c r="AQ29" i="42" s="1"/>
  <c r="AI29" i="42" a="1"/>
  <c r="AI29" i="42" s="1"/>
  <c r="AA29" i="42" a="1"/>
  <c r="AA29" i="42" s="1"/>
  <c r="S29" i="42" a="1"/>
  <c r="S29" i="42" s="1"/>
  <c r="K29" i="42" a="1"/>
  <c r="K29" i="42" s="1"/>
  <c r="AQ28" i="42" a="1"/>
  <c r="AQ28" i="42" s="1"/>
  <c r="AI28" i="42" a="1"/>
  <c r="AI28" i="42" s="1"/>
  <c r="AA28" i="42" a="1"/>
  <c r="AA28" i="42" s="1"/>
  <c r="S28" i="42" a="1"/>
  <c r="S28" i="42" s="1"/>
  <c r="K28" i="42" a="1"/>
  <c r="K28" i="42" s="1"/>
  <c r="AQ26" i="42" a="1"/>
  <c r="AQ26" i="42" s="1"/>
  <c r="AI26" i="42" a="1"/>
  <c r="AI26" i="42" s="1"/>
  <c r="AA26" i="42" a="1"/>
  <c r="AA26" i="42" s="1"/>
  <c r="S26" i="42" a="1"/>
  <c r="S26" i="42" s="1"/>
  <c r="K26" i="42" a="1"/>
  <c r="K26" i="42" s="1"/>
  <c r="AQ25" i="42" a="1"/>
  <c r="AQ25" i="42" s="1"/>
  <c r="AI25" i="42" a="1"/>
  <c r="AI25" i="42" s="1"/>
  <c r="AA25" i="42" a="1"/>
  <c r="AA25" i="42" s="1"/>
  <c r="S25" i="42" a="1"/>
  <c r="S25" i="42" s="1"/>
  <c r="K25" i="42" a="1"/>
  <c r="K25" i="42" s="1"/>
  <c r="AQ23" i="42" a="1"/>
  <c r="AQ23" i="42" s="1"/>
  <c r="AI23" i="42" a="1"/>
  <c r="AI23" i="42" s="1"/>
  <c r="AA23" i="42" a="1"/>
  <c r="AA23" i="42" s="1"/>
  <c r="S23" i="42" a="1"/>
  <c r="S23" i="42" s="1"/>
  <c r="K23" i="42" a="1"/>
  <c r="K23" i="42" s="1"/>
  <c r="AQ22" i="42" a="1"/>
  <c r="AQ22" i="42" s="1"/>
  <c r="AI22" i="42" a="1"/>
  <c r="AI22" i="42" s="1"/>
  <c r="AA22" i="42" a="1"/>
  <c r="AA22" i="42" s="1"/>
  <c r="S22" i="42" a="1"/>
  <c r="S22" i="42" s="1"/>
  <c r="K22" i="42" a="1"/>
  <c r="K22" i="42" s="1"/>
  <c r="AQ20" i="42" a="1"/>
  <c r="AQ20" i="42" s="1"/>
  <c r="AI20" i="42" a="1"/>
  <c r="AI20" i="42" s="1"/>
  <c r="AA20" i="42" a="1"/>
  <c r="AA20" i="42" s="1"/>
  <c r="S20" i="42" a="1"/>
  <c r="S20" i="42" s="1"/>
  <c r="K20" i="42" a="1"/>
  <c r="K20" i="42" s="1"/>
  <c r="AQ19" i="42" a="1"/>
  <c r="AQ19" i="42" s="1"/>
  <c r="AI19" i="42" a="1"/>
  <c r="AI19" i="42" s="1"/>
  <c r="AA19" i="42" a="1"/>
  <c r="AA19" i="42" s="1"/>
  <c r="S19" i="42" a="1"/>
  <c r="S19" i="42" s="1"/>
  <c r="K19" i="42" a="1"/>
  <c r="K19" i="42" s="1"/>
  <c r="AQ17" i="42" a="1"/>
  <c r="AQ17" i="42" s="1"/>
  <c r="AI17" i="42" a="1"/>
  <c r="AI17" i="42" s="1"/>
  <c r="AA17" i="42" a="1"/>
  <c r="AA17" i="42" s="1"/>
  <c r="S17" i="42" a="1"/>
  <c r="S17" i="42" s="1"/>
  <c r="K17" i="42" a="1"/>
  <c r="K17" i="42" s="1"/>
  <c r="AQ16" i="42" a="1"/>
  <c r="AQ16" i="42" s="1"/>
  <c r="AI16" i="42" a="1"/>
  <c r="AI16" i="42" s="1"/>
  <c r="AA16" i="42" a="1"/>
  <c r="AA16" i="42" s="1"/>
  <c r="S16" i="42" a="1"/>
  <c r="S16" i="42" s="1"/>
  <c r="K16" i="42" a="1"/>
  <c r="K16" i="42" s="1"/>
  <c r="AQ11" i="42" a="1"/>
  <c r="AQ11" i="42" s="1"/>
  <c r="AI11" i="42" a="1"/>
  <c r="AI11" i="42" s="1"/>
  <c r="AA11" i="42" a="1"/>
  <c r="AA11" i="42" s="1"/>
  <c r="S11" i="42" a="1"/>
  <c r="S11" i="42" s="1"/>
  <c r="K11" i="42" a="1"/>
  <c r="K11" i="42" s="1"/>
  <c r="AQ10" i="42" a="1"/>
  <c r="AQ10" i="42" s="1"/>
  <c r="AI10" i="42" a="1"/>
  <c r="AI10" i="42" s="1"/>
  <c r="AA10" i="42" a="1"/>
  <c r="AA10" i="42" s="1"/>
  <c r="S10" i="42" a="1"/>
  <c r="S10" i="42" s="1"/>
  <c r="O10" i="42" a="1"/>
  <c r="O10" i="42" s="1"/>
  <c r="O9" i="42" s="1"/>
  <c r="AH53" i="42" a="1"/>
  <c r="AH53" i="42" s="1"/>
  <c r="Z53" i="42" a="1"/>
  <c r="Z53" i="42" s="1"/>
  <c r="R53" i="42" a="1"/>
  <c r="R53" i="42" s="1"/>
  <c r="J53" i="42" a="1"/>
  <c r="J53" i="42" s="1"/>
  <c r="AP52" i="42" a="1"/>
  <c r="AP52" i="42" s="1"/>
  <c r="AP51" i="42" s="1"/>
  <c r="AH52" i="42" a="1"/>
  <c r="AH52" i="42" s="1"/>
  <c r="Z52" i="42" a="1"/>
  <c r="Z52" i="42" s="1"/>
  <c r="R52" i="42" a="1"/>
  <c r="R52" i="42" s="1"/>
  <c r="J52" i="42" a="1"/>
  <c r="J52" i="42" s="1"/>
  <c r="AP50" i="42" a="1"/>
  <c r="AP50" i="42" s="1"/>
  <c r="AH50" i="42" a="1"/>
  <c r="AH50" i="42" s="1"/>
  <c r="Z50" i="42" a="1"/>
  <c r="Z50" i="42" s="1"/>
  <c r="R50" i="42" a="1"/>
  <c r="R50" i="42" s="1"/>
  <c r="J50" i="42" a="1"/>
  <c r="J50" i="42" s="1"/>
  <c r="AP49" i="42" a="1"/>
  <c r="AP49" i="42" s="1"/>
  <c r="AH49" i="42" a="1"/>
  <c r="AH49" i="42" s="1"/>
  <c r="Z49" i="42" a="1"/>
  <c r="Z49" i="42" s="1"/>
  <c r="R49" i="42" a="1"/>
  <c r="R49" i="42" s="1"/>
  <c r="J49" i="42" a="1"/>
  <c r="J49" i="42" s="1"/>
  <c r="AP47" i="42" a="1"/>
  <c r="AP47" i="42" s="1"/>
  <c r="AH47" i="42" a="1"/>
  <c r="AH47" i="42" s="1"/>
  <c r="Z47" i="42" a="1"/>
  <c r="Z47" i="42" s="1"/>
  <c r="R47" i="42" a="1"/>
  <c r="R47" i="42" s="1"/>
  <c r="J47" i="42" a="1"/>
  <c r="J47" i="42" s="1"/>
  <c r="AP46" i="42" a="1"/>
  <c r="AP46" i="42" s="1"/>
  <c r="AH46" i="42" a="1"/>
  <c r="AH46" i="42" s="1"/>
  <c r="Z46" i="42" a="1"/>
  <c r="Z46" i="42" s="1"/>
  <c r="R46" i="42" a="1"/>
  <c r="R46" i="42" s="1"/>
  <c r="J46" i="42" a="1"/>
  <c r="J46" i="42" s="1"/>
  <c r="AP44" i="42" a="1"/>
  <c r="AP44" i="42" s="1"/>
  <c r="AH44" i="42" a="1"/>
  <c r="AH44" i="42" s="1"/>
  <c r="Z44" i="42" a="1"/>
  <c r="Z44" i="42" s="1"/>
  <c r="R44" i="42" a="1"/>
  <c r="R44" i="42" s="1"/>
  <c r="J44" i="42" a="1"/>
  <c r="J44" i="42" s="1"/>
  <c r="AP43" i="42" a="1"/>
  <c r="AP43" i="42" s="1"/>
  <c r="AH43" i="42" a="1"/>
  <c r="AH43" i="42" s="1"/>
  <c r="Z43" i="42" a="1"/>
  <c r="Z43" i="42" s="1"/>
  <c r="R43" i="42" a="1"/>
  <c r="R43" i="42" s="1"/>
  <c r="J43" i="42" a="1"/>
  <c r="J43" i="42" s="1"/>
  <c r="AP41" i="42" a="1"/>
  <c r="AP41" i="42" s="1"/>
  <c r="AH41" i="42" a="1"/>
  <c r="AH41" i="42" s="1"/>
  <c r="Z41" i="42" a="1"/>
  <c r="Z41" i="42" s="1"/>
  <c r="R41" i="42" a="1"/>
  <c r="R41" i="42" s="1"/>
  <c r="J41" i="42" a="1"/>
  <c r="J41" i="42" s="1"/>
  <c r="AP40" i="42" a="1"/>
  <c r="AP40" i="42" s="1"/>
  <c r="AH40" i="42" a="1"/>
  <c r="AH40" i="42" s="1"/>
  <c r="Z40" i="42" a="1"/>
  <c r="Z40" i="42" s="1"/>
  <c r="R40" i="42" a="1"/>
  <c r="R40" i="42" s="1"/>
  <c r="J40" i="42" a="1"/>
  <c r="J40" i="42" s="1"/>
  <c r="AP38" i="42" a="1"/>
  <c r="AP38" i="42" s="1"/>
  <c r="AH38" i="42" a="1"/>
  <c r="AH38" i="42" s="1"/>
  <c r="Z38" i="42" a="1"/>
  <c r="Z38" i="42" s="1"/>
  <c r="R38" i="42" a="1"/>
  <c r="R38" i="42" s="1"/>
  <c r="J38" i="42" a="1"/>
  <c r="J38" i="42" s="1"/>
  <c r="AP37" i="42" a="1"/>
  <c r="AP37" i="42" s="1"/>
  <c r="AH37" i="42" a="1"/>
  <c r="AH37" i="42" s="1"/>
  <c r="Z37" i="42" a="1"/>
  <c r="Z37" i="42" s="1"/>
  <c r="R37" i="42" a="1"/>
  <c r="R37" i="42" s="1"/>
  <c r="J37" i="42" a="1"/>
  <c r="J37" i="42" s="1"/>
  <c r="AP35" i="42" a="1"/>
  <c r="AP35" i="42" s="1"/>
  <c r="AH35" i="42" a="1"/>
  <c r="AH35" i="42" s="1"/>
  <c r="Z35" i="42" a="1"/>
  <c r="Z35" i="42" s="1"/>
  <c r="R35" i="42" a="1"/>
  <c r="R35" i="42" s="1"/>
  <c r="J35" i="42" a="1"/>
  <c r="J35" i="42" s="1"/>
  <c r="AP34" i="42" a="1"/>
  <c r="AP34" i="42" s="1"/>
  <c r="AH34" i="42" a="1"/>
  <c r="AH34" i="42" s="1"/>
  <c r="Z34" i="42" a="1"/>
  <c r="Z34" i="42" s="1"/>
  <c r="R34" i="42" a="1"/>
  <c r="R34" i="42" s="1"/>
  <c r="J34" i="42" a="1"/>
  <c r="J34" i="42" s="1"/>
  <c r="AP32" i="42" a="1"/>
  <c r="AP32" i="42" s="1"/>
  <c r="AH32" i="42" a="1"/>
  <c r="AH32" i="42" s="1"/>
  <c r="Z32" i="42" a="1"/>
  <c r="Z32" i="42" s="1"/>
  <c r="R32" i="42" a="1"/>
  <c r="R32" i="42" s="1"/>
  <c r="J32" i="42" a="1"/>
  <c r="J32" i="42" s="1"/>
  <c r="AP31" i="42" a="1"/>
  <c r="AP31" i="42" s="1"/>
  <c r="AH31" i="42" a="1"/>
  <c r="AH31" i="42" s="1"/>
  <c r="Z31" i="42" a="1"/>
  <c r="Z31" i="42" s="1"/>
  <c r="R31" i="42" a="1"/>
  <c r="R31" i="42" s="1"/>
  <c r="J31" i="42" a="1"/>
  <c r="J31" i="42" s="1"/>
  <c r="AP29" i="42" a="1"/>
  <c r="AP29" i="42" s="1"/>
  <c r="AH29" i="42" a="1"/>
  <c r="AH29" i="42" s="1"/>
  <c r="Z29" i="42" a="1"/>
  <c r="Z29" i="42" s="1"/>
  <c r="R29" i="42" a="1"/>
  <c r="R29" i="42" s="1"/>
  <c r="J29" i="42" a="1"/>
  <c r="J29" i="42" s="1"/>
  <c r="AP28" i="42" a="1"/>
  <c r="AP28" i="42" s="1"/>
  <c r="AH28" i="42" a="1"/>
  <c r="AH28" i="42" s="1"/>
  <c r="Z28" i="42" a="1"/>
  <c r="Z28" i="42" s="1"/>
  <c r="R28" i="42" a="1"/>
  <c r="R28" i="42" s="1"/>
  <c r="J28" i="42" a="1"/>
  <c r="J28" i="42" s="1"/>
  <c r="AP26" i="42" a="1"/>
  <c r="AP26" i="42" s="1"/>
  <c r="AH26" i="42" a="1"/>
  <c r="AH26" i="42" s="1"/>
  <c r="Z26" i="42" a="1"/>
  <c r="Z26" i="42" s="1"/>
  <c r="R26" i="42" a="1"/>
  <c r="R26" i="42" s="1"/>
  <c r="J26" i="42" a="1"/>
  <c r="J26" i="42" s="1"/>
  <c r="AP25" i="42" a="1"/>
  <c r="AP25" i="42" s="1"/>
  <c r="AH25" i="42" a="1"/>
  <c r="AH25" i="42" s="1"/>
  <c r="Z25" i="42" a="1"/>
  <c r="Z25" i="42" s="1"/>
  <c r="R25" i="42" a="1"/>
  <c r="R25" i="42" s="1"/>
  <c r="J25" i="42" a="1"/>
  <c r="J25" i="42" s="1"/>
  <c r="AP23" i="42" a="1"/>
  <c r="AP23" i="42" s="1"/>
  <c r="AH23" i="42" a="1"/>
  <c r="AH23" i="42" s="1"/>
  <c r="Z23" i="42" a="1"/>
  <c r="Z23" i="42" s="1"/>
  <c r="R23" i="42" a="1"/>
  <c r="R23" i="42" s="1"/>
  <c r="J23" i="42" a="1"/>
  <c r="J23" i="42" s="1"/>
  <c r="AP22" i="42" a="1"/>
  <c r="AP22" i="42" s="1"/>
  <c r="AH22" i="42" a="1"/>
  <c r="AH22" i="42" s="1"/>
  <c r="Z22" i="42" a="1"/>
  <c r="Z22" i="42" s="1"/>
  <c r="R22" i="42" a="1"/>
  <c r="R22" i="42" s="1"/>
  <c r="J22" i="42" a="1"/>
  <c r="J22" i="42" s="1"/>
  <c r="AP20" i="42" a="1"/>
  <c r="AP20" i="42" s="1"/>
  <c r="AH20" i="42" a="1"/>
  <c r="AH20" i="42" s="1"/>
  <c r="Z20" i="42" a="1"/>
  <c r="Z20" i="42" s="1"/>
  <c r="R20" i="42" a="1"/>
  <c r="R20" i="42" s="1"/>
  <c r="J20" i="42" a="1"/>
  <c r="J20" i="42" s="1"/>
  <c r="AP19" i="42" a="1"/>
  <c r="AP19" i="42" s="1"/>
  <c r="AH19" i="42" a="1"/>
  <c r="AH19" i="42" s="1"/>
  <c r="Z19" i="42" a="1"/>
  <c r="Z19" i="42" s="1"/>
  <c r="R19" i="42" a="1"/>
  <c r="R19" i="42" s="1"/>
  <c r="J19" i="42" a="1"/>
  <c r="J19" i="42" s="1"/>
  <c r="AP17" i="42" a="1"/>
  <c r="AP17" i="42" s="1"/>
  <c r="AH17" i="42" a="1"/>
  <c r="AH17" i="42" s="1"/>
  <c r="Z17" i="42" a="1"/>
  <c r="Z17" i="42" s="1"/>
  <c r="R17" i="42" a="1"/>
  <c r="R17" i="42" s="1"/>
  <c r="J17" i="42" a="1"/>
  <c r="J17" i="42" s="1"/>
  <c r="AP16" i="42" a="1"/>
  <c r="AP16" i="42" s="1"/>
  <c r="AH16" i="42" a="1"/>
  <c r="AH16" i="42" s="1"/>
  <c r="Z16" i="42" a="1"/>
  <c r="Z16" i="42" s="1"/>
  <c r="R16" i="42" a="1"/>
  <c r="R16" i="42" s="1"/>
  <c r="J16" i="42" a="1"/>
  <c r="J16" i="42" s="1"/>
  <c r="AP11" i="42" a="1"/>
  <c r="AP11" i="42" s="1"/>
  <c r="AH11" i="42" a="1"/>
  <c r="AH11" i="42" s="1"/>
  <c r="Z11" i="42" a="1"/>
  <c r="Z11" i="42" s="1"/>
  <c r="R11" i="42" a="1"/>
  <c r="R11" i="42" s="1"/>
  <c r="J11" i="42" a="1"/>
  <c r="J11" i="42" s="1"/>
  <c r="AP10" i="42" a="1"/>
  <c r="AP10" i="42" s="1"/>
  <c r="AH10" i="42" a="1"/>
  <c r="AH10" i="42" s="1"/>
  <c r="Z10" i="42" a="1"/>
  <c r="Z10" i="42" s="1"/>
  <c r="R10" i="42" a="1"/>
  <c r="R10" i="42" s="1"/>
  <c r="J10" i="42" a="1"/>
  <c r="J10" i="42" s="1"/>
  <c r="I10" i="42" a="1"/>
  <c r="I10" i="42" s="1"/>
  <c r="I9" i="42" s="1"/>
  <c r="D22" i="45"/>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BT42" i="4" l="1"/>
  <c r="BV251" i="4"/>
  <c r="BV261" i="4"/>
  <c r="AS1" i="42"/>
  <c r="BW160" i="4"/>
  <c r="BT260" i="4"/>
  <c r="BW94" i="4"/>
  <c r="BV42" i="4"/>
  <c r="BW153" i="4"/>
  <c r="BW194" i="4"/>
  <c r="BV252" i="4"/>
  <c r="BT153" i="4"/>
  <c r="BT252" i="4"/>
  <c r="BV70" i="4"/>
  <c r="BU252" i="4"/>
  <c r="BV172" i="4"/>
  <c r="BV86" i="4"/>
  <c r="BU70" i="4"/>
  <c r="BW81" i="4"/>
  <c r="BT251" i="4"/>
  <c r="BW152" i="4"/>
  <c r="BV181" i="4"/>
  <c r="BT86" i="4"/>
  <c r="BT70" i="4"/>
  <c r="BT261" i="4"/>
  <c r="BV139" i="4"/>
  <c r="BV160" i="4"/>
  <c r="BU251" i="4"/>
  <c r="BV152" i="4"/>
  <c r="BT181" i="4"/>
  <c r="BW42" i="4"/>
  <c r="BW261" i="4"/>
  <c r="BT194" i="4"/>
  <c r="BW68" i="4"/>
  <c r="Y69" i="42"/>
  <c r="AO51" i="42"/>
  <c r="BV188" i="4"/>
  <c r="BV17" i="4"/>
  <c r="BU124" i="4"/>
  <c r="BT76" i="4"/>
  <c r="BW188" i="4"/>
  <c r="BU219" i="4"/>
  <c r="BT188" i="4"/>
  <c r="BV277" i="4"/>
  <c r="BW137" i="4"/>
  <c r="BV39" i="4"/>
  <c r="BU164" i="4"/>
  <c r="BV137" i="4"/>
  <c r="BW273" i="4"/>
  <c r="BT164" i="4"/>
  <c r="BT277" i="4"/>
  <c r="BV219" i="4"/>
  <c r="BU137" i="4"/>
  <c r="BT230" i="4"/>
  <c r="BV250" i="4"/>
  <c r="BU250" i="4"/>
  <c r="BW250" i="4"/>
  <c r="BW64" i="4"/>
  <c r="BU201" i="4"/>
  <c r="BW186" i="4"/>
  <c r="BT214" i="4"/>
  <c r="BU105" i="4"/>
  <c r="BW77" i="4"/>
  <c r="BU36" i="4"/>
  <c r="BT62" i="4"/>
  <c r="BV175" i="4"/>
  <c r="BT105" i="4"/>
  <c r="BW184" i="4"/>
  <c r="BV68" i="4"/>
  <c r="BV77" i="4"/>
  <c r="BW172" i="4"/>
  <c r="BV64" i="4"/>
  <c r="BT12" i="4"/>
  <c r="BT186" i="4"/>
  <c r="BV166" i="4"/>
  <c r="BT141" i="4"/>
  <c r="BV110" i="4"/>
  <c r="BV214" i="4"/>
  <c r="BW156" i="4"/>
  <c r="BT58" i="4"/>
  <c r="BV248" i="4"/>
  <c r="BT139" i="4"/>
  <c r="BV105" i="4"/>
  <c r="BU184" i="4"/>
  <c r="BT68" i="4"/>
  <c r="BU77" i="4"/>
  <c r="BU172" i="4"/>
  <c r="BU64" i="4"/>
  <c r="BV12" i="4"/>
  <c r="BV186" i="4"/>
  <c r="BW141" i="4"/>
  <c r="BT110" i="4"/>
  <c r="BW214" i="4"/>
  <c r="BV156" i="4"/>
  <c r="BW58" i="4"/>
  <c r="BU248" i="4"/>
  <c r="BV201" i="4"/>
  <c r="BU81" i="4"/>
  <c r="BT36" i="4"/>
  <c r="AQ69" i="42"/>
  <c r="BU169" i="4"/>
  <c r="BV202" i="4"/>
  <c r="BV203" i="4"/>
  <c r="BW60" i="4"/>
  <c r="BU76" i="4"/>
  <c r="BW76" i="4"/>
  <c r="BW140" i="4"/>
  <c r="BV145" i="4"/>
  <c r="BW169" i="4"/>
  <c r="BU131" i="4"/>
  <c r="BT155" i="4"/>
  <c r="BU62" i="4"/>
  <c r="BV140" i="4"/>
  <c r="BU94" i="4"/>
  <c r="BU202" i="4"/>
  <c r="BT175" i="4"/>
  <c r="BW270" i="4"/>
  <c r="BV265" i="4"/>
  <c r="BW182" i="4"/>
  <c r="BT169" i="4"/>
  <c r="BT131" i="4"/>
  <c r="BW62" i="4"/>
  <c r="BU140" i="4"/>
  <c r="BV94" i="4"/>
  <c r="BT202" i="4"/>
  <c r="BU175" i="4"/>
  <c r="BT203" i="4"/>
  <c r="BV270" i="4"/>
  <c r="BW265" i="4"/>
  <c r="BU158" i="4"/>
  <c r="BW203" i="4"/>
  <c r="BT270" i="4"/>
  <c r="BT265" i="4"/>
  <c r="BT205" i="4"/>
  <c r="G69" i="42"/>
  <c r="AG69" i="42"/>
  <c r="L102" i="42"/>
  <c r="BT46" i="4"/>
  <c r="BV259" i="4"/>
  <c r="BW145" i="4"/>
  <c r="BV122" i="4"/>
  <c r="BW30" i="4"/>
  <c r="BV118" i="4"/>
  <c r="BU44" i="4"/>
  <c r="BT99" i="4"/>
  <c r="BT145" i="4"/>
  <c r="BU122" i="4"/>
  <c r="BT30" i="4"/>
  <c r="BV205" i="4"/>
  <c r="BT182" i="4"/>
  <c r="E90" i="42"/>
  <c r="Q69" i="42"/>
  <c r="AO69" i="42"/>
  <c r="O69" i="42"/>
  <c r="S69" i="42"/>
  <c r="AA69" i="42"/>
  <c r="BW118" i="4"/>
  <c r="BV27" i="4"/>
  <c r="BT69" i="4"/>
  <c r="BV69" i="4"/>
  <c r="BU50" i="4"/>
  <c r="BU69" i="4"/>
  <c r="BT50" i="4"/>
  <c r="BW124" i="4"/>
  <c r="BW50" i="4"/>
  <c r="BT44" i="4"/>
  <c r="BV124" i="4"/>
  <c r="BT118" i="4"/>
  <c r="BV44" i="4"/>
  <c r="BU28" i="4"/>
  <c r="BU232" i="4"/>
  <c r="K69" i="42"/>
  <c r="W69" i="42"/>
  <c r="BW201" i="4"/>
  <c r="BV81" i="4"/>
  <c r="BT122" i="4"/>
  <c r="BU182" i="4"/>
  <c r="BT213" i="4"/>
  <c r="BW150" i="4"/>
  <c r="BV58" i="4"/>
  <c r="BW36" i="4"/>
  <c r="BU30" i="4"/>
  <c r="BW248" i="4"/>
  <c r="BU205" i="4"/>
  <c r="BW139" i="4"/>
  <c r="BW230" i="4"/>
  <c r="BU60" i="4"/>
  <c r="BT56" i="4"/>
  <c r="BV189" i="4"/>
  <c r="BU56" i="4"/>
  <c r="BW189" i="4"/>
  <c r="BW78" i="4"/>
  <c r="BV73" i="4"/>
  <c r="BU126" i="4"/>
  <c r="BU117" i="4"/>
  <c r="BV209" i="4"/>
  <c r="BW56" i="4"/>
  <c r="BU189" i="4"/>
  <c r="BU78" i="4"/>
  <c r="BU73" i="4"/>
  <c r="BW126" i="4"/>
  <c r="BW117" i="4"/>
  <c r="BW209" i="4"/>
  <c r="BT78" i="4"/>
  <c r="BW73" i="4"/>
  <c r="BV126" i="4"/>
  <c r="BV117" i="4"/>
  <c r="BU209" i="4"/>
  <c r="BT60" i="4"/>
  <c r="BV75" i="4"/>
  <c r="BV158" i="4"/>
  <c r="BT75" i="4"/>
  <c r="AK84" i="42"/>
  <c r="U87" i="42"/>
  <c r="AR96" i="42"/>
  <c r="AB99" i="42"/>
  <c r="BU149" i="4"/>
  <c r="BT158" i="4"/>
  <c r="BW232" i="4"/>
  <c r="BU236" i="4"/>
  <c r="BW75" i="4"/>
  <c r="BW213" i="4"/>
  <c r="BV267" i="4"/>
  <c r="BU17" i="4"/>
  <c r="BU99" i="4"/>
  <c r="BU253" i="4"/>
  <c r="BU150" i="4"/>
  <c r="BW267" i="4"/>
  <c r="BT17" i="4"/>
  <c r="BW128" i="4"/>
  <c r="BV99" i="4"/>
  <c r="BW253" i="4"/>
  <c r="BV150" i="4"/>
  <c r="BT267" i="4"/>
  <c r="BU128" i="4"/>
  <c r="BT253" i="4"/>
  <c r="BU114" i="4"/>
  <c r="BV213" i="4"/>
  <c r="BU230" i="4"/>
  <c r="BU269" i="4"/>
  <c r="BT146" i="4"/>
  <c r="BW155" i="4"/>
  <c r="BV268" i="4"/>
  <c r="BV20" i="4"/>
  <c r="BW146" i="4"/>
  <c r="BV155" i="4"/>
  <c r="BT268" i="4"/>
  <c r="BW259" i="4"/>
  <c r="BU46" i="4"/>
  <c r="BU259" i="4"/>
  <c r="BV236" i="4"/>
  <c r="H54" i="42"/>
  <c r="BW46" i="4"/>
  <c r="BT236" i="4"/>
  <c r="BW20" i="4"/>
  <c r="BW215" i="4"/>
  <c r="AP93" i="42"/>
  <c r="Z96" i="42"/>
  <c r="J99" i="42"/>
  <c r="AL60" i="42"/>
  <c r="V63" i="42"/>
  <c r="F66" i="42"/>
  <c r="AK72" i="42"/>
  <c r="U75" i="42"/>
  <c r="E78" i="42"/>
  <c r="BV146" i="4"/>
  <c r="BU268" i="4"/>
  <c r="BU20" i="4"/>
  <c r="AE69" i="42"/>
  <c r="BW114" i="4"/>
  <c r="BV215" i="4"/>
  <c r="BT184" i="4"/>
  <c r="BW12" i="4"/>
  <c r="BW166" i="4"/>
  <c r="BU141" i="4"/>
  <c r="BV114" i="4"/>
  <c r="BT156" i="4"/>
  <c r="BT215" i="4"/>
  <c r="BT128" i="4"/>
  <c r="BT166" i="4"/>
  <c r="BU82" i="4"/>
  <c r="BV262" i="4"/>
  <c r="BU192" i="4"/>
  <c r="BV82" i="4"/>
  <c r="BW262" i="4"/>
  <c r="BV269" i="4"/>
  <c r="BT192" i="4"/>
  <c r="BT82" i="4"/>
  <c r="BT262" i="4"/>
  <c r="BT269" i="4"/>
  <c r="BV192" i="4"/>
  <c r="AC54" i="42"/>
  <c r="M57" i="42"/>
  <c r="AC66" i="42"/>
  <c r="AJ78" i="42"/>
  <c r="T81" i="42"/>
  <c r="AJ90" i="42"/>
  <c r="S93" i="42"/>
  <c r="AI102" i="42"/>
  <c r="F54" i="42"/>
  <c r="BT27" i="4"/>
  <c r="BT28" i="4"/>
  <c r="BV149" i="4"/>
  <c r="BW27" i="4"/>
  <c r="E15" i="42"/>
  <c r="E27" i="42"/>
  <c r="BV233" i="4"/>
  <c r="BV210" i="4"/>
  <c r="BU233" i="4"/>
  <c r="BU210" i="4"/>
  <c r="BT233" i="4"/>
  <c r="BT210" i="4"/>
  <c r="BW28" i="4"/>
  <c r="BT149" i="4"/>
  <c r="E39" i="42"/>
  <c r="E51" i="42"/>
  <c r="BW227" i="4"/>
  <c r="BV227" i="4"/>
  <c r="BV19" i="4"/>
  <c r="BW85" i="4"/>
  <c r="BU227" i="4"/>
  <c r="BU19" i="4"/>
  <c r="BU85" i="4"/>
  <c r="BW19" i="4"/>
  <c r="BV85" i="4"/>
  <c r="BW143" i="4"/>
  <c r="BT143" i="4"/>
  <c r="BU143" i="4"/>
  <c r="BV143" i="4"/>
  <c r="BW87" i="4"/>
  <c r="BT87" i="4"/>
  <c r="BU87" i="4"/>
  <c r="BV87" i="4"/>
  <c r="BT95" i="4"/>
  <c r="BU95" i="4"/>
  <c r="BV95" i="4"/>
  <c r="BW95" i="4"/>
  <c r="BU167" i="4"/>
  <c r="BT167" i="4"/>
  <c r="BV167" i="4"/>
  <c r="BW167" i="4"/>
  <c r="BW212" i="4"/>
  <c r="BU212" i="4"/>
  <c r="BT212" i="4"/>
  <c r="BV212" i="4"/>
  <c r="BU231" i="4"/>
  <c r="BT231" i="4"/>
  <c r="BV231" i="4"/>
  <c r="BW231" i="4"/>
  <c r="BW207" i="4"/>
  <c r="BT207" i="4"/>
  <c r="E103" i="46" s="1"/>
  <c r="BU207" i="4"/>
  <c r="F103" i="47" s="1"/>
  <c r="BV207" i="4"/>
  <c r="G103" i="41" s="1"/>
  <c r="BU151" i="4"/>
  <c r="BT151" i="4"/>
  <c r="BV151" i="4"/>
  <c r="BW151" i="4"/>
  <c r="BW159" i="4"/>
  <c r="BV159" i="4"/>
  <c r="BT159" i="4"/>
  <c r="BU159" i="4"/>
  <c r="BU263" i="4"/>
  <c r="BV263" i="4"/>
  <c r="BW263" i="4"/>
  <c r="BT263" i="4"/>
  <c r="BV276" i="4"/>
  <c r="BT276" i="4"/>
  <c r="BU276" i="4"/>
  <c r="BW276" i="4"/>
  <c r="BW71" i="4"/>
  <c r="BT71" i="4"/>
  <c r="BU71" i="4"/>
  <c r="BV71" i="4"/>
  <c r="BW255" i="4"/>
  <c r="BT255" i="4"/>
  <c r="BU255" i="4"/>
  <c r="BV255" i="4"/>
  <c r="BW223" i="4"/>
  <c r="BV223" i="4"/>
  <c r="BU223" i="4"/>
  <c r="BT223" i="4"/>
  <c r="BW239" i="4"/>
  <c r="BT239" i="4"/>
  <c r="BU239" i="4"/>
  <c r="BV239" i="4"/>
  <c r="BU247" i="4"/>
  <c r="BT247" i="4"/>
  <c r="BV247" i="4"/>
  <c r="BW247" i="4"/>
  <c r="BW47" i="4"/>
  <c r="BT47" i="4"/>
  <c r="BV47" i="4"/>
  <c r="BU47" i="4"/>
  <c r="BU135" i="4"/>
  <c r="BV135" i="4"/>
  <c r="BW135" i="4"/>
  <c r="BT135" i="4"/>
  <c r="BW84" i="4"/>
  <c r="BU84" i="4"/>
  <c r="BT84" i="4"/>
  <c r="BV84" i="4"/>
  <c r="BT111" i="4"/>
  <c r="BU111" i="4"/>
  <c r="BV111" i="4"/>
  <c r="BW111" i="4"/>
  <c r="BU199" i="4"/>
  <c r="F104" i="41" s="1"/>
  <c r="BV199" i="4"/>
  <c r="G104" i="43" s="1"/>
  <c r="BW199" i="4"/>
  <c r="H104" i="43" s="1"/>
  <c r="BT199" i="4"/>
  <c r="E104" i="47" s="1"/>
  <c r="BW174" i="4"/>
  <c r="BT174" i="4"/>
  <c r="BU174" i="4"/>
  <c r="BV174" i="4"/>
  <c r="BW63" i="4"/>
  <c r="BU63" i="4"/>
  <c r="BV63" i="4"/>
  <c r="BT63" i="4"/>
  <c r="BU279" i="4"/>
  <c r="BW279" i="4"/>
  <c r="BT279" i="4"/>
  <c r="BV279" i="4"/>
  <c r="BT55" i="4"/>
  <c r="BU55" i="4"/>
  <c r="BV55" i="4"/>
  <c r="BW55" i="4"/>
  <c r="BW127" i="4"/>
  <c r="BT127" i="4"/>
  <c r="BU127" i="4"/>
  <c r="BV127" i="4"/>
  <c r="BW52" i="4"/>
  <c r="BT52" i="4"/>
  <c r="BU52" i="4"/>
  <c r="BV52" i="4"/>
  <c r="BW15" i="4"/>
  <c r="BT15" i="4"/>
  <c r="BU15" i="4"/>
  <c r="BV15" i="4"/>
  <c r="BU119" i="4"/>
  <c r="BW119" i="4"/>
  <c r="BT119" i="4"/>
  <c r="BV119" i="4"/>
  <c r="BW191" i="4"/>
  <c r="BT191" i="4"/>
  <c r="BU191" i="4"/>
  <c r="BV191" i="4"/>
  <c r="BW116" i="4"/>
  <c r="BT116" i="4"/>
  <c r="BV116" i="4"/>
  <c r="BU116" i="4"/>
  <c r="BT79" i="4"/>
  <c r="BU79" i="4"/>
  <c r="BV79" i="4"/>
  <c r="BW79" i="4"/>
  <c r="BV23" i="4"/>
  <c r="BW23" i="4"/>
  <c r="BT23" i="4"/>
  <c r="BU23" i="4"/>
  <c r="BW31" i="4"/>
  <c r="BT31" i="4"/>
  <c r="BU31" i="4"/>
  <c r="BV31" i="4"/>
  <c r="BT103" i="4"/>
  <c r="BU103" i="4"/>
  <c r="BV103" i="4"/>
  <c r="BW103" i="4"/>
  <c r="BU183" i="4"/>
  <c r="BW183" i="4"/>
  <c r="BT183" i="4"/>
  <c r="BV183" i="4"/>
  <c r="BW271" i="4"/>
  <c r="BT271" i="4"/>
  <c r="BU271" i="4"/>
  <c r="BV271" i="4"/>
  <c r="BU180" i="4"/>
  <c r="BT180" i="4"/>
  <c r="BV180" i="4"/>
  <c r="BW180" i="4"/>
  <c r="E102" i="42"/>
  <c r="T87" i="42"/>
  <c r="AI96" i="42"/>
  <c r="S99" i="42"/>
  <c r="T75" i="42"/>
  <c r="AM69" i="42"/>
  <c r="I69" i="42"/>
  <c r="AI69" i="42"/>
  <c r="AJ93" i="42"/>
  <c r="T96" i="42"/>
  <c r="W72" i="42"/>
  <c r="G75" i="42"/>
  <c r="AM81" i="42"/>
  <c r="W84" i="42"/>
  <c r="G87" i="42"/>
  <c r="AL93" i="42"/>
  <c r="V96" i="42"/>
  <c r="F99" i="42"/>
  <c r="AG54" i="42"/>
  <c r="Q57" i="42"/>
  <c r="AG66" i="42"/>
  <c r="AF78" i="42"/>
  <c r="P81" i="42"/>
  <c r="AF90" i="42"/>
  <c r="O93" i="42"/>
  <c r="AE102" i="42"/>
  <c r="R54" i="42"/>
  <c r="AH63" i="42"/>
  <c r="R66" i="42"/>
  <c r="AG75" i="42"/>
  <c r="Q78" i="42"/>
  <c r="AG87" i="42"/>
  <c r="Q90" i="42"/>
  <c r="AF99" i="42"/>
  <c r="P102" i="42"/>
  <c r="AQ57" i="42"/>
  <c r="AA60" i="42"/>
  <c r="K63" i="42"/>
  <c r="Z72" i="42"/>
  <c r="J75" i="42"/>
  <c r="AP81" i="42"/>
  <c r="Z84" i="42"/>
  <c r="J87" i="42"/>
  <c r="AO93" i="42"/>
  <c r="Y96" i="42"/>
  <c r="I99" i="42"/>
  <c r="AR54" i="42"/>
  <c r="AB57" i="42"/>
  <c r="L60" i="42"/>
  <c r="AR66" i="42"/>
  <c r="K72" i="42"/>
  <c r="AQ78" i="42"/>
  <c r="AA81" i="42"/>
  <c r="K84" i="42"/>
  <c r="AQ90" i="42"/>
  <c r="Z93" i="42"/>
  <c r="J96" i="42"/>
  <c r="AP102" i="42"/>
  <c r="M54" i="42"/>
  <c r="AC63" i="42"/>
  <c r="M66" i="42"/>
  <c r="AJ75" i="42"/>
  <c r="T78" i="42"/>
  <c r="AJ87" i="42"/>
  <c r="T90" i="42"/>
  <c r="E75" i="42"/>
  <c r="E87" i="42"/>
  <c r="E57" i="42"/>
  <c r="AJ96" i="42"/>
  <c r="T99" i="42"/>
  <c r="AR51" i="42"/>
  <c r="AJ72" i="42"/>
  <c r="AI99" i="42"/>
  <c r="S102" i="42"/>
  <c r="AL57" i="42"/>
  <c r="V60" i="42"/>
  <c r="F63" i="42"/>
  <c r="U72" i="42"/>
  <c r="AK81" i="42"/>
  <c r="U84" i="42"/>
  <c r="AR93" i="42"/>
  <c r="AD60" i="42"/>
  <c r="N63" i="42"/>
  <c r="AC72" i="42"/>
  <c r="M75" i="42"/>
  <c r="AC84" i="42"/>
  <c r="M87" i="42"/>
  <c r="AJ99" i="42"/>
  <c r="T102" i="42"/>
  <c r="AR102" i="42"/>
  <c r="M72" i="42"/>
  <c r="AC81" i="42"/>
  <c r="AH24" i="42"/>
  <c r="R27" i="42"/>
  <c r="AH36" i="42"/>
  <c r="R39" i="42"/>
  <c r="AH48" i="42"/>
  <c r="R51" i="42"/>
  <c r="AQ18" i="42"/>
  <c r="AA21" i="42"/>
  <c r="K24" i="42"/>
  <c r="AQ30" i="42"/>
  <c r="AA33" i="42"/>
  <c r="K36" i="42"/>
  <c r="AQ42" i="42"/>
  <c r="AA45" i="42"/>
  <c r="K48" i="42"/>
  <c r="AJ9" i="42"/>
  <c r="T15" i="42"/>
  <c r="AJ24" i="42"/>
  <c r="T27" i="42"/>
  <c r="AJ36" i="42"/>
  <c r="T39" i="42"/>
  <c r="AJ48" i="42"/>
  <c r="T51" i="42"/>
  <c r="M9" i="42"/>
  <c r="AC21" i="42"/>
  <c r="M24" i="42"/>
  <c r="AC33" i="42"/>
  <c r="M36" i="42"/>
  <c r="AC45" i="42"/>
  <c r="M48" i="42"/>
  <c r="AD15" i="42"/>
  <c r="N18" i="42"/>
  <c r="AD27" i="42"/>
  <c r="N30" i="42"/>
  <c r="AD39" i="42"/>
  <c r="N42" i="42"/>
  <c r="AD51" i="42"/>
  <c r="W9" i="42"/>
  <c r="G15" i="42"/>
  <c r="AM21" i="42"/>
  <c r="W24" i="42"/>
  <c r="G27" i="42"/>
  <c r="AM33" i="42"/>
  <c r="W36" i="42"/>
  <c r="G39" i="42"/>
  <c r="AM45" i="42"/>
  <c r="W48" i="42"/>
  <c r="G51" i="42"/>
  <c r="AN15" i="42"/>
  <c r="X18" i="42"/>
  <c r="H21" i="42"/>
  <c r="AN27" i="42"/>
  <c r="X30" i="42"/>
  <c r="H33" i="42"/>
  <c r="AN39" i="42"/>
  <c r="X42" i="42"/>
  <c r="H45" i="42"/>
  <c r="AG9" i="42"/>
  <c r="Q15" i="42"/>
  <c r="AG24" i="42"/>
  <c r="Q27" i="42"/>
  <c r="AG36" i="42"/>
  <c r="Q39" i="42"/>
  <c r="AG48" i="42"/>
  <c r="Q51" i="42"/>
  <c r="AE60" i="42"/>
  <c r="O63" i="42"/>
  <c r="AD72" i="42"/>
  <c r="N75" i="42"/>
  <c r="AD84" i="42"/>
  <c r="N87" i="42"/>
  <c r="AC96" i="42"/>
  <c r="M99" i="42"/>
  <c r="AN57" i="42"/>
  <c r="X60" i="42"/>
  <c r="H63" i="42"/>
  <c r="AB96" i="42"/>
  <c r="L99" i="42"/>
  <c r="L57" i="42"/>
  <c r="AR63" i="42"/>
  <c r="AB66" i="42"/>
  <c r="AQ75" i="42"/>
  <c r="AA78" i="42"/>
  <c r="K81" i="42"/>
  <c r="AQ87" i="42"/>
  <c r="AA90" i="42"/>
  <c r="J93" i="42"/>
  <c r="AP99" i="42"/>
  <c r="Z102" i="42"/>
  <c r="AC60" i="42"/>
  <c r="M63" i="42"/>
  <c r="AJ84" i="42"/>
  <c r="AL54" i="42"/>
  <c r="V57" i="42"/>
  <c r="F60" i="42"/>
  <c r="AL66" i="42"/>
  <c r="E72" i="42"/>
  <c r="AK78" i="42"/>
  <c r="U81" i="42"/>
  <c r="E84" i="42"/>
  <c r="AK90" i="42"/>
  <c r="AB93" i="42"/>
  <c r="L96" i="42"/>
  <c r="M84" i="42"/>
  <c r="AD63" i="42"/>
  <c r="N66" i="42"/>
  <c r="AC75" i="42"/>
  <c r="M78" i="42"/>
  <c r="AC87" i="42"/>
  <c r="M90" i="42"/>
  <c r="AH9" i="42"/>
  <c r="AP9" i="42"/>
  <c r="Z15" i="42"/>
  <c r="J18" i="42"/>
  <c r="AP24" i="42"/>
  <c r="Z27" i="42"/>
  <c r="J30" i="42"/>
  <c r="AP36" i="42"/>
  <c r="Z39" i="42"/>
  <c r="J42" i="42"/>
  <c r="AP48" i="42"/>
  <c r="Z51" i="42"/>
  <c r="S9" i="42"/>
  <c r="AI21" i="42"/>
  <c r="S24" i="42"/>
  <c r="AI33" i="42"/>
  <c r="S36" i="42"/>
  <c r="AI45" i="42"/>
  <c r="S48" i="42"/>
  <c r="AR9" i="42"/>
  <c r="AB15" i="42"/>
  <c r="L18" i="42"/>
  <c r="AR24" i="42"/>
  <c r="AB27" i="42"/>
  <c r="L30" i="42"/>
  <c r="AR36" i="42"/>
  <c r="AB39" i="42"/>
  <c r="L42" i="42"/>
  <c r="AR48" i="42"/>
  <c r="AB51" i="42"/>
  <c r="U9" i="42"/>
  <c r="AK21" i="42"/>
  <c r="U24" i="42"/>
  <c r="AK33" i="42"/>
  <c r="U36" i="42"/>
  <c r="AK45" i="42"/>
  <c r="U48" i="42"/>
  <c r="AL15" i="42"/>
  <c r="V18" i="42"/>
  <c r="F21" i="42"/>
  <c r="AL27" i="42"/>
  <c r="V30" i="42"/>
  <c r="F33" i="42"/>
  <c r="AL39" i="42"/>
  <c r="V42" i="42"/>
  <c r="F45" i="42"/>
  <c r="AE9" i="42"/>
  <c r="O15" i="42"/>
  <c r="AE24" i="42"/>
  <c r="O27" i="42"/>
  <c r="AE36" i="42"/>
  <c r="O39" i="42"/>
  <c r="AE48" i="42"/>
  <c r="O51" i="42"/>
  <c r="AF18" i="42"/>
  <c r="P21" i="42"/>
  <c r="R18" i="42"/>
  <c r="AH27" i="42"/>
  <c r="R30" i="42"/>
  <c r="AH39" i="42"/>
  <c r="R42" i="42"/>
  <c r="AH51" i="42"/>
  <c r="AA9" i="42"/>
  <c r="K15" i="42"/>
  <c r="AQ21" i="42"/>
  <c r="AA24" i="42"/>
  <c r="K27" i="42"/>
  <c r="AQ33" i="42"/>
  <c r="AA36" i="42"/>
  <c r="K39" i="42"/>
  <c r="AQ45" i="42"/>
  <c r="AA48" i="42"/>
  <c r="K51" i="42"/>
  <c r="AJ15" i="42"/>
  <c r="T18" i="42"/>
  <c r="AJ27" i="42"/>
  <c r="T30" i="42"/>
  <c r="AJ39" i="42"/>
  <c r="T42" i="42"/>
  <c r="AJ51" i="42"/>
  <c r="AC9" i="42"/>
  <c r="M15" i="42"/>
  <c r="AC24" i="42"/>
  <c r="M27" i="42"/>
  <c r="AC36" i="42"/>
  <c r="M39" i="42"/>
  <c r="AC48" i="42"/>
  <c r="M51" i="42"/>
  <c r="AD18" i="42"/>
  <c r="N21" i="42"/>
  <c r="AD30" i="42"/>
  <c r="N33" i="42"/>
  <c r="AD42" i="42"/>
  <c r="N45" i="42"/>
  <c r="AM9" i="42"/>
  <c r="W15" i="42"/>
  <c r="G18" i="42"/>
  <c r="AM24" i="42"/>
  <c r="W27" i="42"/>
  <c r="G30" i="42"/>
  <c r="AM36" i="42"/>
  <c r="W39" i="42"/>
  <c r="G42" i="42"/>
  <c r="AM48" i="42"/>
  <c r="W51" i="42"/>
  <c r="H9" i="42"/>
  <c r="AN18" i="42"/>
  <c r="X21" i="42"/>
  <c r="H24" i="42"/>
  <c r="AN30" i="42"/>
  <c r="R15" i="42"/>
  <c r="AH15" i="42"/>
  <c r="AF30" i="42"/>
  <c r="P33" i="42"/>
  <c r="AF42" i="42"/>
  <c r="P45" i="42"/>
  <c r="AO9" i="42"/>
  <c r="Y15" i="42"/>
  <c r="I18" i="42"/>
  <c r="AO24" i="42"/>
  <c r="Y27" i="42"/>
  <c r="I30" i="42"/>
  <c r="AO36" i="42"/>
  <c r="Y39" i="42"/>
  <c r="I42" i="42"/>
  <c r="AO48" i="42"/>
  <c r="Y51" i="42"/>
  <c r="G54" i="42"/>
  <c r="AM60" i="42"/>
  <c r="W63" i="42"/>
  <c r="G66" i="42"/>
  <c r="AL72" i="42"/>
  <c r="V75" i="42"/>
  <c r="F78" i="42"/>
  <c r="AL84" i="42"/>
  <c r="V87" i="42"/>
  <c r="F90" i="42"/>
  <c r="AK96" i="42"/>
  <c r="U99" i="42"/>
  <c r="AF60" i="42"/>
  <c r="P63" i="42"/>
  <c r="AE72" i="42"/>
  <c r="O75" i="42"/>
  <c r="AE84" i="42"/>
  <c r="O87" i="42"/>
  <c r="AD96" i="42"/>
  <c r="N99" i="42"/>
  <c r="AO54" i="42"/>
  <c r="Y57" i="42"/>
  <c r="I60" i="42"/>
  <c r="AO66" i="42"/>
  <c r="H72" i="42"/>
  <c r="AN78" i="42"/>
  <c r="X81" i="42"/>
  <c r="H84" i="42"/>
  <c r="AN90" i="42"/>
  <c r="W93" i="42"/>
  <c r="G96" i="42"/>
  <c r="AM102" i="42"/>
  <c r="Z54" i="42"/>
  <c r="J57" i="42"/>
  <c r="AP63" i="42"/>
  <c r="Z66" i="42"/>
  <c r="AO75" i="42"/>
  <c r="Y78" i="42"/>
  <c r="I81" i="42"/>
  <c r="AO87" i="42"/>
  <c r="Y90" i="42"/>
  <c r="H93" i="42"/>
  <c r="AN99" i="42"/>
  <c r="X102" i="42"/>
  <c r="AI60" i="42"/>
  <c r="S63" i="42"/>
  <c r="AH72" i="42"/>
  <c r="R75" i="42"/>
  <c r="AH84" i="42"/>
  <c r="R87" i="42"/>
  <c r="AG96" i="42"/>
  <c r="Q99" i="42"/>
  <c r="AJ57" i="42"/>
  <c r="T60" i="42"/>
  <c r="S72" i="42"/>
  <c r="AI81" i="42"/>
  <c r="S84" i="42"/>
  <c r="AH93" i="42"/>
  <c r="R96" i="42"/>
  <c r="U54" i="42"/>
  <c r="AK63" i="42"/>
  <c r="U66" i="42"/>
  <c r="AR75" i="42"/>
  <c r="AB78" i="42"/>
  <c r="L81" i="42"/>
  <c r="AR87" i="42"/>
  <c r="AB90" i="42"/>
  <c r="K93" i="42"/>
  <c r="AQ99" i="42"/>
  <c r="AA102" i="42"/>
  <c r="X33" i="42"/>
  <c r="H36" i="42"/>
  <c r="AN42" i="42"/>
  <c r="X45" i="42"/>
  <c r="H48" i="42"/>
  <c r="AG15" i="42"/>
  <c r="Q18" i="42"/>
  <c r="AG27" i="42"/>
  <c r="Q30" i="42"/>
  <c r="AG39" i="42"/>
  <c r="Q42" i="42"/>
  <c r="AG51" i="42"/>
  <c r="O54" i="42"/>
  <c r="AE63" i="42"/>
  <c r="O66" i="42"/>
  <c r="AD75" i="42"/>
  <c r="N78" i="42"/>
  <c r="AD87" i="42"/>
  <c r="N90" i="42"/>
  <c r="AC99" i="42"/>
  <c r="M102" i="42"/>
  <c r="AN60" i="42"/>
  <c r="X63" i="42"/>
  <c r="H66" i="42"/>
  <c r="AM72" i="42"/>
  <c r="W75" i="42"/>
  <c r="G78" i="42"/>
  <c r="AM84" i="42"/>
  <c r="W87" i="42"/>
  <c r="G90" i="42"/>
  <c r="AL96" i="42"/>
  <c r="V99" i="42"/>
  <c r="F102" i="42"/>
  <c r="AG57" i="42"/>
  <c r="Q60" i="42"/>
  <c r="P72" i="42"/>
  <c r="AF81" i="42"/>
  <c r="P84" i="42"/>
  <c r="AE93" i="42"/>
  <c r="O96" i="42"/>
  <c r="AH54" i="42"/>
  <c r="R57" i="42"/>
  <c r="AH66" i="42"/>
  <c r="AG78" i="42"/>
  <c r="Q81" i="42"/>
  <c r="AG90" i="42"/>
  <c r="P93" i="42"/>
  <c r="AF102" i="42"/>
  <c r="K54" i="42"/>
  <c r="AQ60" i="42"/>
  <c r="AA63" i="42"/>
  <c r="K66" i="42"/>
  <c r="AP72" i="42"/>
  <c r="Z75" i="42"/>
  <c r="J78" i="42"/>
  <c r="AP84" i="42"/>
  <c r="Z87" i="42"/>
  <c r="J90" i="42"/>
  <c r="AO96" i="42"/>
  <c r="Y99" i="42"/>
  <c r="I102" i="42"/>
  <c r="AR57" i="42"/>
  <c r="AB60" i="42"/>
  <c r="L63" i="42"/>
  <c r="AA72" i="42"/>
  <c r="K75" i="42"/>
  <c r="AQ81" i="42"/>
  <c r="AA84" i="42"/>
  <c r="K87" i="42"/>
  <c r="K96" i="42"/>
  <c r="AQ102" i="42"/>
  <c r="N54" i="42"/>
  <c r="J9" i="42"/>
  <c r="AP18" i="42"/>
  <c r="Z21" i="42"/>
  <c r="J24" i="42"/>
  <c r="AP30" i="42"/>
  <c r="Z33" i="42"/>
  <c r="J36" i="42"/>
  <c r="AP42" i="42"/>
  <c r="Z45" i="42"/>
  <c r="J48" i="42"/>
  <c r="AI15" i="42"/>
  <c r="S18" i="42"/>
  <c r="AI27" i="42"/>
  <c r="S30" i="42"/>
  <c r="AI39" i="42"/>
  <c r="S42" i="42"/>
  <c r="AI51" i="42"/>
  <c r="L9" i="42"/>
  <c r="AR18" i="42"/>
  <c r="AB21" i="42"/>
  <c r="L24" i="42"/>
  <c r="AR30" i="42"/>
  <c r="AB33" i="42"/>
  <c r="L36" i="42"/>
  <c r="AR42" i="42"/>
  <c r="AB45" i="42"/>
  <c r="L48" i="42"/>
  <c r="AK15" i="42"/>
  <c r="U18" i="42"/>
  <c r="E21" i="42"/>
  <c r="AK27" i="42"/>
  <c r="U30" i="42"/>
  <c r="E33" i="42"/>
  <c r="AK39" i="42"/>
  <c r="U42" i="42"/>
  <c r="E45" i="42"/>
  <c r="V9" i="42"/>
  <c r="F15" i="42"/>
  <c r="AL21" i="42"/>
  <c r="V24" i="42"/>
  <c r="F27" i="42"/>
  <c r="AL33" i="42"/>
  <c r="V36" i="42"/>
  <c r="F39" i="42"/>
  <c r="AL45" i="42"/>
  <c r="V48" i="42"/>
  <c r="F51" i="42"/>
  <c r="AE18" i="42"/>
  <c r="O21" i="42"/>
  <c r="AE30" i="42"/>
  <c r="O33" i="42"/>
  <c r="AE42" i="42"/>
  <c r="O45" i="42"/>
  <c r="AF9" i="42"/>
  <c r="P15" i="42"/>
  <c r="AF24" i="42"/>
  <c r="P27" i="42"/>
  <c r="AF36" i="42"/>
  <c r="P39" i="42"/>
  <c r="AF48" i="42"/>
  <c r="P51" i="42"/>
  <c r="AO18" i="42"/>
  <c r="Y21" i="42"/>
  <c r="I24" i="42"/>
  <c r="AO30" i="42"/>
  <c r="Y33" i="42"/>
  <c r="I36" i="42"/>
  <c r="AO42" i="42"/>
  <c r="Y45" i="42"/>
  <c r="I48" i="42"/>
  <c r="AM54" i="42"/>
  <c r="W57" i="42"/>
  <c r="G60" i="42"/>
  <c r="AM66" i="42"/>
  <c r="F72" i="42"/>
  <c r="AL78" i="42"/>
  <c r="V81" i="42"/>
  <c r="F84" i="42"/>
  <c r="AL90" i="42"/>
  <c r="U93" i="42"/>
  <c r="E96" i="42"/>
  <c r="AK102" i="42"/>
  <c r="AF54" i="42"/>
  <c r="P57" i="42"/>
  <c r="AF66" i="42"/>
  <c r="AE78" i="42"/>
  <c r="O81" i="42"/>
  <c r="AE90" i="42"/>
  <c r="N93" i="42"/>
  <c r="AD102" i="42"/>
  <c r="I54" i="42"/>
  <c r="AO60" i="42"/>
  <c r="Y63" i="42"/>
  <c r="I66" i="42"/>
  <c r="AN72" i="42"/>
  <c r="X75" i="42"/>
  <c r="H78" i="42"/>
  <c r="AN84" i="42"/>
  <c r="X87" i="42"/>
  <c r="H90" i="42"/>
  <c r="AM96" i="42"/>
  <c r="W99" i="42"/>
  <c r="G102" i="42"/>
  <c r="AP57" i="42"/>
  <c r="Z60" i="42"/>
  <c r="J63" i="42"/>
  <c r="Y72" i="42"/>
  <c r="I75" i="42"/>
  <c r="AO81" i="42"/>
  <c r="Y84" i="42"/>
  <c r="I87" i="42"/>
  <c r="AN93" i="42"/>
  <c r="X96" i="42"/>
  <c r="H99" i="42"/>
  <c r="AI54" i="42"/>
  <c r="S57" i="42"/>
  <c r="AI66" i="42"/>
  <c r="AH78" i="42"/>
  <c r="R81" i="42"/>
  <c r="AH90" i="42"/>
  <c r="Q93" i="42"/>
  <c r="AG102" i="42"/>
  <c r="T54" i="42"/>
  <c r="AJ63" i="42"/>
  <c r="T66" i="42"/>
  <c r="AI75" i="42"/>
  <c r="S78" i="42"/>
  <c r="AI87" i="42"/>
  <c r="S90" i="42"/>
  <c r="AH99" i="42"/>
  <c r="R102" i="42"/>
  <c r="AK57" i="42"/>
  <c r="U60" i="42"/>
  <c r="E63" i="42"/>
  <c r="AB72" i="42"/>
  <c r="L75" i="42"/>
  <c r="AR81" i="42"/>
  <c r="AB84" i="42"/>
  <c r="L87" i="42"/>
  <c r="AQ93" i="42"/>
  <c r="AA96" i="42"/>
  <c r="K99" i="42"/>
  <c r="AD54" i="42"/>
  <c r="N57" i="42"/>
  <c r="AD66" i="42"/>
  <c r="N69" i="42"/>
  <c r="AC78" i="42"/>
  <c r="M81" i="42"/>
  <c r="AC90" i="42"/>
  <c r="T93" i="42"/>
  <c r="AJ102" i="42"/>
  <c r="BX272" i="4"/>
  <c r="BY272" i="4"/>
  <c r="CA272" i="4" a="1"/>
  <c r="CA272" i="4" s="1"/>
  <c r="BY79" i="4"/>
  <c r="BX79" i="4"/>
  <c r="CA79" i="4" a="1"/>
  <c r="CA79" i="4" s="1"/>
  <c r="BX197" i="4"/>
  <c r="BY197" i="4"/>
  <c r="CA197" i="4" a="1"/>
  <c r="CA197" i="4" s="1"/>
  <c r="BX281" i="4"/>
  <c r="BY281" i="4"/>
  <c r="CA281" i="4" a="1"/>
  <c r="CA281" i="4" s="1"/>
  <c r="BX129" i="4"/>
  <c r="BY129" i="4"/>
  <c r="CA129" i="4" a="1"/>
  <c r="CA129" i="4" s="1"/>
  <c r="BX230" i="4"/>
  <c r="BY230" i="4"/>
  <c r="CA230" i="4" a="1"/>
  <c r="CA230" i="4" s="1"/>
  <c r="BX264" i="4"/>
  <c r="BY264" i="4"/>
  <c r="CA264" i="4" a="1"/>
  <c r="CA264" i="4" s="1"/>
  <c r="BX69" i="4"/>
  <c r="BY69" i="4"/>
  <c r="CA69" i="4" a="1"/>
  <c r="CA69" i="4" s="1"/>
  <c r="BX160" i="4"/>
  <c r="BY160" i="4"/>
  <c r="CA160" i="4" a="1"/>
  <c r="CA160" i="4" s="1"/>
  <c r="BX263" i="4"/>
  <c r="BY263" i="4"/>
  <c r="CA263" i="4" a="1"/>
  <c r="CA263" i="4" s="1"/>
  <c r="BY47" i="4"/>
  <c r="BX47" i="4"/>
  <c r="CA47" i="4" a="1"/>
  <c r="CA47" i="4" s="1"/>
  <c r="BX188" i="4"/>
  <c r="BY188" i="4"/>
  <c r="CA188" i="4" a="1"/>
  <c r="CA188" i="4" s="1"/>
  <c r="BX237" i="4"/>
  <c r="BY237" i="4"/>
  <c r="CA237" i="4" a="1"/>
  <c r="CA237" i="4" s="1"/>
  <c r="BX172" i="4"/>
  <c r="BY172" i="4"/>
  <c r="CA172" i="4" a="1"/>
  <c r="CA172" i="4" s="1"/>
  <c r="BX109" i="4"/>
  <c r="BY109" i="4"/>
  <c r="CA109" i="4" a="1"/>
  <c r="CA109" i="4" s="1"/>
  <c r="BX45" i="4"/>
  <c r="BY45" i="4"/>
  <c r="CA45" i="4" a="1"/>
  <c r="CA45" i="4" s="1"/>
  <c r="BY223" i="4"/>
  <c r="BX223" i="4"/>
  <c r="CA223" i="4" a="1"/>
  <c r="CA223" i="4" s="1"/>
  <c r="BY159" i="4"/>
  <c r="BX159" i="4"/>
  <c r="CA159" i="4" a="1"/>
  <c r="CA159" i="4" s="1"/>
  <c r="BY95" i="4"/>
  <c r="BX95" i="4"/>
  <c r="CA95" i="4" a="1"/>
  <c r="CA95" i="4" s="1"/>
  <c r="BY31" i="4"/>
  <c r="BX31" i="4"/>
  <c r="CA31" i="4" a="1"/>
  <c r="CA31" i="4" s="1"/>
  <c r="BX218" i="4"/>
  <c r="BY218" i="4"/>
  <c r="CA218" i="4" a="1"/>
  <c r="CA218" i="4" s="1"/>
  <c r="BX154" i="4"/>
  <c r="BY154" i="4"/>
  <c r="CA154" i="4" a="1"/>
  <c r="CA154" i="4" s="1"/>
  <c r="BX90" i="4"/>
  <c r="BY90" i="4"/>
  <c r="CA90" i="4" a="1"/>
  <c r="CA90" i="4" s="1"/>
  <c r="BX26" i="4"/>
  <c r="BY26" i="4"/>
  <c r="CA26" i="4" a="1"/>
  <c r="CA26" i="4" s="1"/>
  <c r="BY199" i="4"/>
  <c r="BX199" i="4"/>
  <c r="CA199" i="4" a="1"/>
  <c r="CA199" i="4" s="1"/>
  <c r="BY135" i="4"/>
  <c r="BX135" i="4"/>
  <c r="CA135" i="4" a="1"/>
  <c r="CA135" i="4" s="1"/>
  <c r="BY71" i="4"/>
  <c r="BX71" i="4"/>
  <c r="CA71" i="4" a="1"/>
  <c r="CA71" i="4" s="1"/>
  <c r="BX11" i="4"/>
  <c r="BY11" i="4"/>
  <c r="CA11" i="4" a="1"/>
  <c r="CA11" i="4" s="1"/>
  <c r="BX221" i="4"/>
  <c r="BY221" i="4"/>
  <c r="CA221" i="4" a="1"/>
  <c r="CA221" i="4" s="1"/>
  <c r="BX157" i="4"/>
  <c r="BY157" i="4"/>
  <c r="CA157" i="4" a="1"/>
  <c r="CA157" i="4" s="1"/>
  <c r="BX93" i="4"/>
  <c r="BY93" i="4"/>
  <c r="CA93" i="4" a="1"/>
  <c r="CA93" i="4" s="1"/>
  <c r="BY29" i="4"/>
  <c r="CA29" i="4" a="1"/>
  <c r="CA29" i="4" s="1"/>
  <c r="BX133" i="4"/>
  <c r="BY133" i="4"/>
  <c r="CA133" i="4" a="1"/>
  <c r="CA133" i="4" s="1"/>
  <c r="BX70" i="4"/>
  <c r="BY70" i="4"/>
  <c r="CA70" i="4" a="1"/>
  <c r="CA70" i="4" s="1"/>
  <c r="AT104" i="47" a="1"/>
  <c r="AT104" i="47" s="1"/>
  <c r="AJ104" i="47" a="1"/>
  <c r="AJ104" i="47" s="1"/>
  <c r="AB104" i="47" a="1"/>
  <c r="AB104" i="47" s="1"/>
  <c r="T104" i="47" a="1"/>
  <c r="T104" i="47" s="1"/>
  <c r="L104" i="47" a="1"/>
  <c r="L104" i="47" s="1"/>
  <c r="AM103" i="47" a="1"/>
  <c r="AM103" i="47" s="1"/>
  <c r="AE103" i="47" a="1"/>
  <c r="AE103" i="47" s="1"/>
  <c r="W103" i="47" a="1"/>
  <c r="W103" i="47" s="1"/>
  <c r="O103" i="47" a="1"/>
  <c r="O103" i="47" s="1"/>
  <c r="AR101" i="47" a="1"/>
  <c r="AR101" i="47" s="1"/>
  <c r="AH101" i="47" a="1"/>
  <c r="AH101" i="47" s="1"/>
  <c r="Z101" i="47" a="1"/>
  <c r="Z101" i="47" s="1"/>
  <c r="R101" i="47" a="1"/>
  <c r="R101" i="47" s="1"/>
  <c r="J101" i="47" a="1"/>
  <c r="J101" i="47" s="1"/>
  <c r="AK100" i="47" a="1"/>
  <c r="AK100" i="47" s="1"/>
  <c r="AC100" i="47" a="1"/>
  <c r="AC100" i="47" s="1"/>
  <c r="U100" i="47" a="1"/>
  <c r="U100" i="47" s="1"/>
  <c r="M100" i="47" a="1"/>
  <c r="M100" i="47" s="1"/>
  <c r="AP98" i="47" a="1"/>
  <c r="AP98" i="47" s="1"/>
  <c r="AF98" i="47" a="1"/>
  <c r="AF98" i="47" s="1"/>
  <c r="X98" i="47" a="1"/>
  <c r="X98" i="47" s="1"/>
  <c r="P98" i="47" a="1"/>
  <c r="P98" i="47" s="1"/>
  <c r="AS97" i="47" a="1"/>
  <c r="AS97" i="47" s="1"/>
  <c r="AI97" i="47" a="1"/>
  <c r="AI97" i="47" s="1"/>
  <c r="AA97" i="47" a="1"/>
  <c r="AA97" i="47" s="1"/>
  <c r="S97" i="47" a="1"/>
  <c r="S97" i="47" s="1"/>
  <c r="K97" i="47" a="1"/>
  <c r="K97" i="47" s="1"/>
  <c r="AL95" i="47" a="1"/>
  <c r="AL95" i="47" s="1"/>
  <c r="AD95" i="47" a="1"/>
  <c r="AD95" i="47" s="1"/>
  <c r="V95" i="47" a="1"/>
  <c r="V95" i="47" s="1"/>
  <c r="N95" i="47" a="1"/>
  <c r="N95" i="47" s="1"/>
  <c r="AQ94" i="47" a="1"/>
  <c r="AQ94" i="47" s="1"/>
  <c r="AG94" i="47" a="1"/>
  <c r="AG94" i="47" s="1"/>
  <c r="Y94" i="47" a="1"/>
  <c r="Y94" i="47" s="1"/>
  <c r="Q94" i="47" a="1"/>
  <c r="Q94" i="47" s="1"/>
  <c r="AT92" i="47" a="1"/>
  <c r="AT92" i="47" s="1"/>
  <c r="AJ92" i="47" a="1"/>
  <c r="AJ92" i="47" s="1"/>
  <c r="AB92" i="47" a="1"/>
  <c r="AB92" i="47" s="1"/>
  <c r="T92" i="47" a="1"/>
  <c r="T92" i="47" s="1"/>
  <c r="L92" i="47" a="1"/>
  <c r="L92" i="47" s="1"/>
  <c r="AM91" i="47" a="1"/>
  <c r="AM91" i="47" s="1"/>
  <c r="AE91" i="47" a="1"/>
  <c r="AE91" i="47" s="1"/>
  <c r="W91" i="47" a="1"/>
  <c r="W91" i="47" s="1"/>
  <c r="O91" i="47" a="1"/>
  <c r="O91" i="47" s="1"/>
  <c r="AR89" i="47" a="1"/>
  <c r="AR89" i="47" s="1"/>
  <c r="AH89" i="47" a="1"/>
  <c r="AH89" i="47" s="1"/>
  <c r="Z89" i="47" a="1"/>
  <c r="Z89" i="47" s="1"/>
  <c r="R89" i="47" a="1"/>
  <c r="R89" i="47" s="1"/>
  <c r="J89" i="47" a="1"/>
  <c r="J89" i="47" s="1"/>
  <c r="AK88" i="47" a="1"/>
  <c r="AK88" i="47" s="1"/>
  <c r="AC88" i="47" a="1"/>
  <c r="AC88" i="47" s="1"/>
  <c r="U88" i="47" a="1"/>
  <c r="U88" i="47" s="1"/>
  <c r="M88" i="47" a="1"/>
  <c r="M88" i="47" s="1"/>
  <c r="AP86" i="47" a="1"/>
  <c r="AP86" i="47" s="1"/>
  <c r="AF86" i="47" a="1"/>
  <c r="AF86" i="47" s="1"/>
  <c r="X86" i="47" a="1"/>
  <c r="X86" i="47" s="1"/>
  <c r="P86" i="47" a="1"/>
  <c r="P86" i="47" s="1"/>
  <c r="AS85" i="47" a="1"/>
  <c r="AS85" i="47" s="1"/>
  <c r="AI85" i="47" a="1"/>
  <c r="AI85" i="47" s="1"/>
  <c r="AA85" i="47" a="1"/>
  <c r="AA85" i="47" s="1"/>
  <c r="S85" i="47" a="1"/>
  <c r="S85" i="47" s="1"/>
  <c r="K85" i="47" a="1"/>
  <c r="K85" i="47" s="1"/>
  <c r="AL83" i="47" a="1"/>
  <c r="AL83" i="47" s="1"/>
  <c r="AD83" i="47" a="1"/>
  <c r="AD83" i="47" s="1"/>
  <c r="V83" i="47" a="1"/>
  <c r="V83" i="47" s="1"/>
  <c r="N83" i="47" a="1"/>
  <c r="N83" i="47" s="1"/>
  <c r="AQ82" i="47" a="1"/>
  <c r="AQ82" i="47" s="1"/>
  <c r="AG82" i="47" a="1"/>
  <c r="AG82" i="47" s="1"/>
  <c r="Y82" i="47" a="1"/>
  <c r="Y82" i="47" s="1"/>
  <c r="Q82" i="47" a="1"/>
  <c r="Q82" i="47" s="1"/>
  <c r="AT80" i="47" a="1"/>
  <c r="AT80" i="47" s="1"/>
  <c r="AJ80" i="47" a="1"/>
  <c r="AJ80" i="47" s="1"/>
  <c r="AB80" i="47" a="1"/>
  <c r="AB80" i="47" s="1"/>
  <c r="T80" i="47" a="1"/>
  <c r="T80" i="47" s="1"/>
  <c r="L80" i="47" a="1"/>
  <c r="L80" i="47" s="1"/>
  <c r="AM79" i="47" a="1"/>
  <c r="AM79" i="47" s="1"/>
  <c r="AE79" i="47" a="1"/>
  <c r="AE79" i="47" s="1"/>
  <c r="W79" i="47" a="1"/>
  <c r="W79" i="47" s="1"/>
  <c r="O79" i="47" a="1"/>
  <c r="O79" i="47" s="1"/>
  <c r="AR77" i="47" a="1"/>
  <c r="AR77" i="47" s="1"/>
  <c r="AH77" i="47" a="1"/>
  <c r="AH77" i="47" s="1"/>
  <c r="Z77" i="47" a="1"/>
  <c r="Z77" i="47" s="1"/>
  <c r="R77" i="47" a="1"/>
  <c r="R77" i="47" s="1"/>
  <c r="J77" i="47" a="1"/>
  <c r="J77" i="47" s="1"/>
  <c r="AK76" i="47" a="1"/>
  <c r="AK76" i="47" s="1"/>
  <c r="AS104" i="47" a="1"/>
  <c r="AS104" i="47" s="1"/>
  <c r="AI104" i="47" a="1"/>
  <c r="AI104" i="47" s="1"/>
  <c r="AA104" i="47" a="1"/>
  <c r="AA104" i="47" s="1"/>
  <c r="S104" i="47" a="1"/>
  <c r="S104" i="47" s="1"/>
  <c r="K104" i="47" a="1"/>
  <c r="K104" i="47" s="1"/>
  <c r="AL103" i="47" a="1"/>
  <c r="AL103" i="47" s="1"/>
  <c r="AD103" i="47" a="1"/>
  <c r="AD103" i="47" s="1"/>
  <c r="V103" i="47" a="1"/>
  <c r="V103" i="47" s="1"/>
  <c r="N103" i="47" a="1"/>
  <c r="N103" i="47" s="1"/>
  <c r="AQ101" i="47" a="1"/>
  <c r="AQ101" i="47" s="1"/>
  <c r="AG101" i="47" a="1"/>
  <c r="AG101" i="47" s="1"/>
  <c r="Y101" i="47" a="1"/>
  <c r="Y101" i="47" s="1"/>
  <c r="Q101" i="47" a="1"/>
  <c r="Q101" i="47" s="1"/>
  <c r="AT100" i="47" a="1"/>
  <c r="AT100" i="47" s="1"/>
  <c r="AJ100" i="47" a="1"/>
  <c r="AJ100" i="47" s="1"/>
  <c r="AB100" i="47" a="1"/>
  <c r="AB100" i="47" s="1"/>
  <c r="T100" i="47" a="1"/>
  <c r="T100" i="47" s="1"/>
  <c r="L100" i="47" a="1"/>
  <c r="L100" i="47" s="1"/>
  <c r="AM98" i="47" a="1"/>
  <c r="AM98" i="47" s="1"/>
  <c r="AE98" i="47" a="1"/>
  <c r="AE98" i="47" s="1"/>
  <c r="W98" i="47" a="1"/>
  <c r="W98" i="47" s="1"/>
  <c r="O98" i="47" a="1"/>
  <c r="O98" i="47" s="1"/>
  <c r="AR97" i="47" a="1"/>
  <c r="AR97" i="47" s="1"/>
  <c r="AH97" i="47" a="1"/>
  <c r="AH97" i="47" s="1"/>
  <c r="Z97" i="47" a="1"/>
  <c r="Z97" i="47" s="1"/>
  <c r="R97" i="47" a="1"/>
  <c r="R97" i="47" s="1"/>
  <c r="J97" i="47" a="1"/>
  <c r="J97" i="47" s="1"/>
  <c r="AK95" i="47" a="1"/>
  <c r="AK95" i="47" s="1"/>
  <c r="AC95" i="47" a="1"/>
  <c r="AC95" i="47" s="1"/>
  <c r="U95" i="47" a="1"/>
  <c r="U95" i="47" s="1"/>
  <c r="M95" i="47" a="1"/>
  <c r="M95" i="47" s="1"/>
  <c r="AP94" i="47" a="1"/>
  <c r="AP94" i="47" s="1"/>
  <c r="AF94" i="47" a="1"/>
  <c r="AF94" i="47" s="1"/>
  <c r="X94" i="47" a="1"/>
  <c r="X94" i="47" s="1"/>
  <c r="P94" i="47" a="1"/>
  <c r="P94" i="47" s="1"/>
  <c r="AS92" i="47" a="1"/>
  <c r="AS92" i="47" s="1"/>
  <c r="AI92" i="47" a="1"/>
  <c r="AI92" i="47" s="1"/>
  <c r="AA92" i="47" a="1"/>
  <c r="AA92" i="47" s="1"/>
  <c r="S92" i="47" a="1"/>
  <c r="S92" i="47" s="1"/>
  <c r="K92" i="47" a="1"/>
  <c r="K92" i="47" s="1"/>
  <c r="AL91" i="47" a="1"/>
  <c r="AL91" i="47" s="1"/>
  <c r="AD91" i="47" a="1"/>
  <c r="AD91" i="47" s="1"/>
  <c r="V91" i="47" a="1"/>
  <c r="V91" i="47" s="1"/>
  <c r="N91" i="47" a="1"/>
  <c r="N91" i="47" s="1"/>
  <c r="AQ89" i="47" a="1"/>
  <c r="AQ89" i="47" s="1"/>
  <c r="AG89" i="47" a="1"/>
  <c r="AG89" i="47" s="1"/>
  <c r="Y89" i="47" a="1"/>
  <c r="Y89" i="47" s="1"/>
  <c r="Q89" i="47" a="1"/>
  <c r="Q89" i="47" s="1"/>
  <c r="AT88" i="47" a="1"/>
  <c r="AT88" i="47" s="1"/>
  <c r="AJ88" i="47" a="1"/>
  <c r="AJ88" i="47" s="1"/>
  <c r="AB88" i="47" a="1"/>
  <c r="AB88" i="47" s="1"/>
  <c r="T88" i="47" a="1"/>
  <c r="T88" i="47" s="1"/>
  <c r="L88" i="47" a="1"/>
  <c r="L88" i="47" s="1"/>
  <c r="AM86" i="47" a="1"/>
  <c r="AM86" i="47" s="1"/>
  <c r="AE86" i="47" a="1"/>
  <c r="AE86" i="47" s="1"/>
  <c r="W86" i="47" a="1"/>
  <c r="W86" i="47" s="1"/>
  <c r="O86" i="47" a="1"/>
  <c r="O86" i="47" s="1"/>
  <c r="AR85" i="47" a="1"/>
  <c r="AR85" i="47" s="1"/>
  <c r="AH85" i="47" a="1"/>
  <c r="AH85" i="47" s="1"/>
  <c r="Z85" i="47" a="1"/>
  <c r="Z85" i="47" s="1"/>
  <c r="R85" i="47" a="1"/>
  <c r="R85" i="47" s="1"/>
  <c r="J85" i="47" a="1"/>
  <c r="J85" i="47" s="1"/>
  <c r="AK83" i="47" a="1"/>
  <c r="AK83" i="47" s="1"/>
  <c r="AC83" i="47" a="1"/>
  <c r="AC83" i="47" s="1"/>
  <c r="U83" i="47" a="1"/>
  <c r="U83" i="47" s="1"/>
  <c r="M83" i="47" a="1"/>
  <c r="M83" i="47" s="1"/>
  <c r="AP82" i="47" a="1"/>
  <c r="AP82" i="47" s="1"/>
  <c r="AF82" i="47" a="1"/>
  <c r="AF82" i="47" s="1"/>
  <c r="X82" i="47" a="1"/>
  <c r="X82" i="47" s="1"/>
  <c r="P82" i="47" a="1"/>
  <c r="P82" i="47" s="1"/>
  <c r="AS80" i="47" a="1"/>
  <c r="AS80" i="47" s="1"/>
  <c r="AI80" i="47" a="1"/>
  <c r="AI80" i="47" s="1"/>
  <c r="AA80" i="47" a="1"/>
  <c r="AA80" i="47" s="1"/>
  <c r="S80" i="47" a="1"/>
  <c r="S80" i="47" s="1"/>
  <c r="K80" i="47" a="1"/>
  <c r="K80" i="47" s="1"/>
  <c r="AL79" i="47" a="1"/>
  <c r="AL79" i="47" s="1"/>
  <c r="AD79" i="47" a="1"/>
  <c r="AD79" i="47" s="1"/>
  <c r="V79" i="47" a="1"/>
  <c r="V79" i="47" s="1"/>
  <c r="N79" i="47" a="1"/>
  <c r="N79" i="47" s="1"/>
  <c r="AQ77" i="47" a="1"/>
  <c r="AQ77" i="47" s="1"/>
  <c r="AG77" i="47" a="1"/>
  <c r="AG77" i="47" s="1"/>
  <c r="Y77" i="47" a="1"/>
  <c r="Y77" i="47" s="1"/>
  <c r="Q77" i="47" a="1"/>
  <c r="Q77" i="47" s="1"/>
  <c r="AT76" i="47" a="1"/>
  <c r="AT76" i="47" s="1"/>
  <c r="AJ76" i="47" a="1"/>
  <c r="AJ76" i="47" s="1"/>
  <c r="AB76" i="47" a="1"/>
  <c r="AB76" i="47" s="1"/>
  <c r="T76" i="47" a="1"/>
  <c r="T76" i="47" s="1"/>
  <c r="AR104" i="47" a="1"/>
  <c r="AR104" i="47" s="1"/>
  <c r="AH104" i="47" a="1"/>
  <c r="AH104" i="47" s="1"/>
  <c r="Z104" i="47" a="1"/>
  <c r="Z104" i="47" s="1"/>
  <c r="R104" i="47" a="1"/>
  <c r="R104" i="47" s="1"/>
  <c r="J104" i="47" a="1"/>
  <c r="J104" i="47" s="1"/>
  <c r="AK103" i="47" a="1"/>
  <c r="AK103" i="47" s="1"/>
  <c r="AC103" i="47" a="1"/>
  <c r="AC103" i="47" s="1"/>
  <c r="U103" i="47" a="1"/>
  <c r="U103" i="47" s="1"/>
  <c r="M103" i="47" a="1"/>
  <c r="M103" i="47" s="1"/>
  <c r="AP101" i="47" a="1"/>
  <c r="AP101" i="47" s="1"/>
  <c r="AF101" i="47" a="1"/>
  <c r="AF101" i="47" s="1"/>
  <c r="X101" i="47" a="1"/>
  <c r="X101" i="47" s="1"/>
  <c r="P101" i="47" a="1"/>
  <c r="P101" i="47" s="1"/>
  <c r="AS100" i="47" a="1"/>
  <c r="AS100" i="47" s="1"/>
  <c r="AI100" i="47" a="1"/>
  <c r="AI100" i="47" s="1"/>
  <c r="AA100" i="47" a="1"/>
  <c r="AA100" i="47" s="1"/>
  <c r="S100" i="47" a="1"/>
  <c r="S100" i="47" s="1"/>
  <c r="K100" i="47" a="1"/>
  <c r="K100" i="47" s="1"/>
  <c r="AL98" i="47" a="1"/>
  <c r="AL98" i="47" s="1"/>
  <c r="AD98" i="47" a="1"/>
  <c r="AD98" i="47" s="1"/>
  <c r="V98" i="47" a="1"/>
  <c r="V98" i="47" s="1"/>
  <c r="N98" i="47" a="1"/>
  <c r="N98" i="47" s="1"/>
  <c r="AQ97" i="47" a="1"/>
  <c r="AQ97" i="47" s="1"/>
  <c r="AG97" i="47" a="1"/>
  <c r="AG97" i="47" s="1"/>
  <c r="Y97" i="47" a="1"/>
  <c r="Y97" i="47" s="1"/>
  <c r="Q97" i="47" a="1"/>
  <c r="Q97" i="47" s="1"/>
  <c r="AT95" i="47" a="1"/>
  <c r="AT95" i="47" s="1"/>
  <c r="AJ95" i="47" a="1"/>
  <c r="AJ95" i="47" s="1"/>
  <c r="AB95" i="47" a="1"/>
  <c r="AB95" i="47" s="1"/>
  <c r="T95" i="47" a="1"/>
  <c r="T95" i="47" s="1"/>
  <c r="L95" i="47" a="1"/>
  <c r="L95" i="47" s="1"/>
  <c r="AM94" i="47" a="1"/>
  <c r="AM94" i="47" s="1"/>
  <c r="AE94" i="47" a="1"/>
  <c r="AE94" i="47" s="1"/>
  <c r="W94" i="47" a="1"/>
  <c r="W94" i="47" s="1"/>
  <c r="O94" i="47" a="1"/>
  <c r="O94" i="47" s="1"/>
  <c r="AR92" i="47" a="1"/>
  <c r="AR92" i="47" s="1"/>
  <c r="AH92" i="47" a="1"/>
  <c r="AH92" i="47" s="1"/>
  <c r="Z92" i="47" a="1"/>
  <c r="Z92" i="47" s="1"/>
  <c r="R92" i="47" a="1"/>
  <c r="R92" i="47" s="1"/>
  <c r="J92" i="47" a="1"/>
  <c r="J92" i="47" s="1"/>
  <c r="AK91" i="47" a="1"/>
  <c r="AK91" i="47" s="1"/>
  <c r="AC91" i="47" a="1"/>
  <c r="AC91" i="47" s="1"/>
  <c r="U91" i="47" a="1"/>
  <c r="U91" i="47" s="1"/>
  <c r="M91" i="47" a="1"/>
  <c r="M91" i="47" s="1"/>
  <c r="AP89" i="47" a="1"/>
  <c r="AP89" i="47" s="1"/>
  <c r="AF89" i="47" a="1"/>
  <c r="AF89" i="47" s="1"/>
  <c r="X89" i="47" a="1"/>
  <c r="X89" i="47" s="1"/>
  <c r="P89" i="47" a="1"/>
  <c r="P89" i="47" s="1"/>
  <c r="AS88" i="47" a="1"/>
  <c r="AS88" i="47" s="1"/>
  <c r="AI88" i="47" a="1"/>
  <c r="AI88" i="47" s="1"/>
  <c r="AA88" i="47" a="1"/>
  <c r="AA88" i="47" s="1"/>
  <c r="S88" i="47" a="1"/>
  <c r="S88" i="47" s="1"/>
  <c r="K88" i="47" a="1"/>
  <c r="K88" i="47" s="1"/>
  <c r="AL86" i="47" a="1"/>
  <c r="AL86" i="47" s="1"/>
  <c r="AD86" i="47" a="1"/>
  <c r="AD86" i="47" s="1"/>
  <c r="V86" i="47" a="1"/>
  <c r="V86" i="47" s="1"/>
  <c r="N86" i="47" a="1"/>
  <c r="N86" i="47" s="1"/>
  <c r="AQ85" i="47" a="1"/>
  <c r="AQ85" i="47" s="1"/>
  <c r="AG85" i="47" a="1"/>
  <c r="AG85" i="47" s="1"/>
  <c r="Y85" i="47" a="1"/>
  <c r="Y85" i="47" s="1"/>
  <c r="Q85" i="47" a="1"/>
  <c r="Q85" i="47" s="1"/>
  <c r="AT83" i="47" a="1"/>
  <c r="AT83" i="47" s="1"/>
  <c r="AJ83" i="47" a="1"/>
  <c r="AJ83" i="47" s="1"/>
  <c r="AB83" i="47" a="1"/>
  <c r="AB83" i="47" s="1"/>
  <c r="T83" i="47" a="1"/>
  <c r="T83" i="47" s="1"/>
  <c r="L83" i="47" a="1"/>
  <c r="L83" i="47" s="1"/>
  <c r="AM82" i="47" a="1"/>
  <c r="AM82" i="47" s="1"/>
  <c r="AE82" i="47" a="1"/>
  <c r="AE82" i="47" s="1"/>
  <c r="W82" i="47" a="1"/>
  <c r="W82" i="47" s="1"/>
  <c r="O82" i="47" a="1"/>
  <c r="O82" i="47" s="1"/>
  <c r="AR80" i="47" a="1"/>
  <c r="AR80" i="47" s="1"/>
  <c r="AH80" i="47" a="1"/>
  <c r="AH80" i="47" s="1"/>
  <c r="Z80" i="47" a="1"/>
  <c r="Z80" i="47" s="1"/>
  <c r="R80" i="47" a="1"/>
  <c r="R80" i="47" s="1"/>
  <c r="J80" i="47" a="1"/>
  <c r="J80" i="47" s="1"/>
  <c r="AK79" i="47" a="1"/>
  <c r="AK79" i="47" s="1"/>
  <c r="AC79" i="47" a="1"/>
  <c r="AC79" i="47" s="1"/>
  <c r="U79" i="47" a="1"/>
  <c r="U79" i="47" s="1"/>
  <c r="M79" i="47" a="1"/>
  <c r="M79" i="47" s="1"/>
  <c r="AP77" i="47" a="1"/>
  <c r="AP77" i="47" s="1"/>
  <c r="AF77" i="47" a="1"/>
  <c r="AF77" i="47" s="1"/>
  <c r="X77" i="47" a="1"/>
  <c r="X77" i="47" s="1"/>
  <c r="P77" i="47" a="1"/>
  <c r="P77" i="47" s="1"/>
  <c r="AS76" i="47" a="1"/>
  <c r="AS76" i="47" s="1"/>
  <c r="AI76" i="47" a="1"/>
  <c r="AI76" i="47" s="1"/>
  <c r="AA76" i="47" a="1"/>
  <c r="AA76" i="47" s="1"/>
  <c r="AQ104" i="47" a="1"/>
  <c r="AQ104" i="47" s="1"/>
  <c r="AG104" i="47" a="1"/>
  <c r="AG104" i="47" s="1"/>
  <c r="Y104" i="47" a="1"/>
  <c r="Y104" i="47" s="1"/>
  <c r="Q104" i="47" a="1"/>
  <c r="Q104" i="47" s="1"/>
  <c r="AT103" i="47" a="1"/>
  <c r="AT103" i="47" s="1"/>
  <c r="AJ103" i="47" a="1"/>
  <c r="AJ103" i="47" s="1"/>
  <c r="AB103" i="47" a="1"/>
  <c r="AB103" i="47" s="1"/>
  <c r="T103" i="47" a="1"/>
  <c r="T103" i="47" s="1"/>
  <c r="L103" i="47" a="1"/>
  <c r="L103" i="47" s="1"/>
  <c r="AM101" i="47" a="1"/>
  <c r="AM101" i="47" s="1"/>
  <c r="AE101" i="47" a="1"/>
  <c r="AE101" i="47" s="1"/>
  <c r="W101" i="47" a="1"/>
  <c r="W101" i="47" s="1"/>
  <c r="O101" i="47" a="1"/>
  <c r="O101" i="47" s="1"/>
  <c r="AR100" i="47" a="1"/>
  <c r="AR100" i="47" s="1"/>
  <c r="AH100" i="47" a="1"/>
  <c r="AH100" i="47" s="1"/>
  <c r="Z100" i="47" a="1"/>
  <c r="Z100" i="47" s="1"/>
  <c r="R100" i="47" a="1"/>
  <c r="R100" i="47" s="1"/>
  <c r="J100" i="47" a="1"/>
  <c r="J100" i="47" s="1"/>
  <c r="AK98" i="47" a="1"/>
  <c r="AK98" i="47" s="1"/>
  <c r="AC98" i="47" a="1"/>
  <c r="AC98" i="47" s="1"/>
  <c r="U98" i="47" a="1"/>
  <c r="U98" i="47" s="1"/>
  <c r="M98" i="47" a="1"/>
  <c r="M98" i="47" s="1"/>
  <c r="AP97" i="47" a="1"/>
  <c r="AP97" i="47" s="1"/>
  <c r="AF97" i="47" a="1"/>
  <c r="AF97" i="47" s="1"/>
  <c r="X97" i="47" a="1"/>
  <c r="X97" i="47" s="1"/>
  <c r="P97" i="47" a="1"/>
  <c r="P97" i="47" s="1"/>
  <c r="AS95" i="47" a="1"/>
  <c r="AS95" i="47" s="1"/>
  <c r="AI95" i="47" a="1"/>
  <c r="AI95" i="47" s="1"/>
  <c r="AA95" i="47" a="1"/>
  <c r="AA95" i="47" s="1"/>
  <c r="S95" i="47" a="1"/>
  <c r="S95" i="47" s="1"/>
  <c r="K95" i="47" a="1"/>
  <c r="K95" i="47" s="1"/>
  <c r="AL94" i="47" a="1"/>
  <c r="AL94" i="47" s="1"/>
  <c r="AD94" i="47" a="1"/>
  <c r="AD94" i="47" s="1"/>
  <c r="V94" i="47" a="1"/>
  <c r="V94" i="47" s="1"/>
  <c r="N94" i="47" a="1"/>
  <c r="N94" i="47" s="1"/>
  <c r="AQ92" i="47" a="1"/>
  <c r="AQ92" i="47" s="1"/>
  <c r="AG92" i="47" a="1"/>
  <c r="AG92" i="47" s="1"/>
  <c r="Y92" i="47" a="1"/>
  <c r="Y92" i="47" s="1"/>
  <c r="Q92" i="47" a="1"/>
  <c r="Q92" i="47" s="1"/>
  <c r="AT91" i="47" a="1"/>
  <c r="AT91" i="47" s="1"/>
  <c r="AJ91" i="47" a="1"/>
  <c r="AJ91" i="47" s="1"/>
  <c r="AB91" i="47" a="1"/>
  <c r="AB91" i="47" s="1"/>
  <c r="T91" i="47" a="1"/>
  <c r="T91" i="47" s="1"/>
  <c r="L91" i="47" a="1"/>
  <c r="L91" i="47" s="1"/>
  <c r="AM89" i="47" a="1"/>
  <c r="AM89" i="47" s="1"/>
  <c r="AE89" i="47" a="1"/>
  <c r="AE89" i="47" s="1"/>
  <c r="W89" i="47" a="1"/>
  <c r="W89" i="47" s="1"/>
  <c r="O89" i="47" a="1"/>
  <c r="O89" i="47" s="1"/>
  <c r="AR88" i="47" a="1"/>
  <c r="AR88" i="47" s="1"/>
  <c r="AH88" i="47" a="1"/>
  <c r="AH88" i="47" s="1"/>
  <c r="Z88" i="47" a="1"/>
  <c r="Z88" i="47" s="1"/>
  <c r="R88" i="47" a="1"/>
  <c r="R88" i="47" s="1"/>
  <c r="J88" i="47" a="1"/>
  <c r="J88" i="47" s="1"/>
  <c r="AK86" i="47" a="1"/>
  <c r="AK86" i="47" s="1"/>
  <c r="AC86" i="47" a="1"/>
  <c r="AC86" i="47" s="1"/>
  <c r="U86" i="47" a="1"/>
  <c r="U86" i="47" s="1"/>
  <c r="M86" i="47" a="1"/>
  <c r="M86" i="47" s="1"/>
  <c r="AP85" i="47" a="1"/>
  <c r="AP85" i="47" s="1"/>
  <c r="AF85" i="47" a="1"/>
  <c r="AF85" i="47" s="1"/>
  <c r="X85" i="47" a="1"/>
  <c r="X85" i="47" s="1"/>
  <c r="P85" i="47" a="1"/>
  <c r="P85" i="47" s="1"/>
  <c r="AS83" i="47" a="1"/>
  <c r="AS83" i="47" s="1"/>
  <c r="AI83" i="47" a="1"/>
  <c r="AI83" i="47" s="1"/>
  <c r="AA83" i="47" a="1"/>
  <c r="AA83" i="47" s="1"/>
  <c r="S83" i="47" a="1"/>
  <c r="S83" i="47" s="1"/>
  <c r="K83" i="47" a="1"/>
  <c r="K83" i="47" s="1"/>
  <c r="AL82" i="47" a="1"/>
  <c r="AL82" i="47" s="1"/>
  <c r="AD82" i="47" a="1"/>
  <c r="AD82" i="47" s="1"/>
  <c r="V82" i="47" a="1"/>
  <c r="V82" i="47" s="1"/>
  <c r="N82" i="47" a="1"/>
  <c r="N82" i="47" s="1"/>
  <c r="AQ80" i="47" a="1"/>
  <c r="AQ80" i="47" s="1"/>
  <c r="AG80" i="47" a="1"/>
  <c r="AG80" i="47" s="1"/>
  <c r="Y80" i="47" a="1"/>
  <c r="Y80" i="47" s="1"/>
  <c r="Q80" i="47" a="1"/>
  <c r="Q80" i="47" s="1"/>
  <c r="AT79" i="47" a="1"/>
  <c r="AT79" i="47" s="1"/>
  <c r="AJ79" i="47" a="1"/>
  <c r="AJ79" i="47" s="1"/>
  <c r="AB79" i="47" a="1"/>
  <c r="AB79" i="47" s="1"/>
  <c r="T79" i="47" a="1"/>
  <c r="T79" i="47" s="1"/>
  <c r="L79" i="47" a="1"/>
  <c r="L79" i="47" s="1"/>
  <c r="AM77" i="47" a="1"/>
  <c r="AM77" i="47" s="1"/>
  <c r="AE77" i="47" a="1"/>
  <c r="AE77" i="47" s="1"/>
  <c r="W77" i="47" a="1"/>
  <c r="W77" i="47" s="1"/>
  <c r="O77" i="47" a="1"/>
  <c r="O77" i="47" s="1"/>
  <c r="AR76" i="47" a="1"/>
  <c r="AR76" i="47" s="1"/>
  <c r="AH76" i="47" a="1"/>
  <c r="AH76" i="47" s="1"/>
  <c r="Z76" i="47" a="1"/>
  <c r="Z76" i="47" s="1"/>
  <c r="R76" i="47" a="1"/>
  <c r="R76" i="47" s="1"/>
  <c r="AP104" i="47" a="1"/>
  <c r="AP104" i="47" s="1"/>
  <c r="AF104" i="47" a="1"/>
  <c r="AF104" i="47" s="1"/>
  <c r="X104" i="47" a="1"/>
  <c r="X104" i="47" s="1"/>
  <c r="P104" i="47" a="1"/>
  <c r="P104" i="47" s="1"/>
  <c r="AS103" i="47" a="1"/>
  <c r="AS103" i="47" s="1"/>
  <c r="AI103" i="47" a="1"/>
  <c r="AI103" i="47" s="1"/>
  <c r="AA103" i="47" a="1"/>
  <c r="AA103" i="47" s="1"/>
  <c r="S103" i="47" a="1"/>
  <c r="S103" i="47" s="1"/>
  <c r="K103" i="47" a="1"/>
  <c r="K103" i="47" s="1"/>
  <c r="AL101" i="47" a="1"/>
  <c r="AL101" i="47" s="1"/>
  <c r="AD101" i="47" a="1"/>
  <c r="AD101" i="47" s="1"/>
  <c r="V101" i="47" a="1"/>
  <c r="V101" i="47" s="1"/>
  <c r="N101" i="47" a="1"/>
  <c r="N101" i="47" s="1"/>
  <c r="AQ100" i="47" a="1"/>
  <c r="AQ100" i="47" s="1"/>
  <c r="AG100" i="47" a="1"/>
  <c r="AG100" i="47" s="1"/>
  <c r="Y100" i="47" a="1"/>
  <c r="Y100" i="47" s="1"/>
  <c r="Q100" i="47" a="1"/>
  <c r="Q100" i="47" s="1"/>
  <c r="AT98" i="47" a="1"/>
  <c r="AT98" i="47" s="1"/>
  <c r="AJ98" i="47" a="1"/>
  <c r="AJ98" i="47" s="1"/>
  <c r="AB98" i="47" a="1"/>
  <c r="AB98" i="47" s="1"/>
  <c r="T98" i="47" a="1"/>
  <c r="T98" i="47" s="1"/>
  <c r="L98" i="47" a="1"/>
  <c r="L98" i="47" s="1"/>
  <c r="AM97" i="47" a="1"/>
  <c r="AM97" i="47" s="1"/>
  <c r="AE97" i="47" a="1"/>
  <c r="AE97" i="47" s="1"/>
  <c r="W97" i="47" a="1"/>
  <c r="W97" i="47" s="1"/>
  <c r="O97" i="47" a="1"/>
  <c r="O97" i="47" s="1"/>
  <c r="AR95" i="47" a="1"/>
  <c r="AR95" i="47" s="1"/>
  <c r="AH95" i="47" a="1"/>
  <c r="AH95" i="47" s="1"/>
  <c r="Z95" i="47" a="1"/>
  <c r="Z95" i="47" s="1"/>
  <c r="R95" i="47" a="1"/>
  <c r="R95" i="47" s="1"/>
  <c r="J95" i="47" a="1"/>
  <c r="J95" i="47" s="1"/>
  <c r="AK94" i="47" a="1"/>
  <c r="AK94" i="47" s="1"/>
  <c r="AC94" i="47" a="1"/>
  <c r="AC94" i="47" s="1"/>
  <c r="U94" i="47" a="1"/>
  <c r="U94" i="47" s="1"/>
  <c r="M94" i="47" a="1"/>
  <c r="M94" i="47" s="1"/>
  <c r="AP92" i="47" a="1"/>
  <c r="AP92" i="47" s="1"/>
  <c r="AF92" i="47" a="1"/>
  <c r="AF92" i="47" s="1"/>
  <c r="X92" i="47" a="1"/>
  <c r="X92" i="47" s="1"/>
  <c r="P92" i="47" a="1"/>
  <c r="P92" i="47" s="1"/>
  <c r="AS91" i="47" a="1"/>
  <c r="AS91" i="47" s="1"/>
  <c r="AI91" i="47" a="1"/>
  <c r="AI91" i="47" s="1"/>
  <c r="AA91" i="47" a="1"/>
  <c r="AA91" i="47" s="1"/>
  <c r="S91" i="47" a="1"/>
  <c r="S91" i="47" s="1"/>
  <c r="K91" i="47" a="1"/>
  <c r="K91" i="47" s="1"/>
  <c r="AL89" i="47" a="1"/>
  <c r="AL89" i="47" s="1"/>
  <c r="AD89" i="47" a="1"/>
  <c r="AD89" i="47" s="1"/>
  <c r="V89" i="47" a="1"/>
  <c r="V89" i="47" s="1"/>
  <c r="N89" i="47" a="1"/>
  <c r="N89" i="47" s="1"/>
  <c r="AQ88" i="47" a="1"/>
  <c r="AQ88" i="47" s="1"/>
  <c r="AG88" i="47" a="1"/>
  <c r="AG88" i="47" s="1"/>
  <c r="Y88" i="47" a="1"/>
  <c r="Y88" i="47" s="1"/>
  <c r="Q88" i="47" a="1"/>
  <c r="Q88" i="47" s="1"/>
  <c r="AT86" i="47" a="1"/>
  <c r="AT86" i="47" s="1"/>
  <c r="AJ86" i="47" a="1"/>
  <c r="AJ86" i="47" s="1"/>
  <c r="AB86" i="47" a="1"/>
  <c r="AB86" i="47" s="1"/>
  <c r="T86" i="47" a="1"/>
  <c r="T86" i="47" s="1"/>
  <c r="L86" i="47" a="1"/>
  <c r="L86" i="47" s="1"/>
  <c r="AM85" i="47" a="1"/>
  <c r="AM85" i="47" s="1"/>
  <c r="AE85" i="47" a="1"/>
  <c r="AE85" i="47" s="1"/>
  <c r="W85" i="47" a="1"/>
  <c r="W85" i="47" s="1"/>
  <c r="O85" i="47" a="1"/>
  <c r="O85" i="47" s="1"/>
  <c r="AR83" i="47" a="1"/>
  <c r="AR83" i="47" s="1"/>
  <c r="AH83" i="47" a="1"/>
  <c r="AH83" i="47" s="1"/>
  <c r="Z83" i="47" a="1"/>
  <c r="Z83" i="47" s="1"/>
  <c r="R83" i="47" a="1"/>
  <c r="R83" i="47" s="1"/>
  <c r="J83" i="47" a="1"/>
  <c r="J83" i="47" s="1"/>
  <c r="AK82" i="47" a="1"/>
  <c r="AK82" i="47" s="1"/>
  <c r="AC82" i="47" a="1"/>
  <c r="AC82" i="47" s="1"/>
  <c r="U82" i="47" a="1"/>
  <c r="U82" i="47" s="1"/>
  <c r="M82" i="47" a="1"/>
  <c r="M82" i="47" s="1"/>
  <c r="AP80" i="47" a="1"/>
  <c r="AP80" i="47" s="1"/>
  <c r="AF80" i="47" a="1"/>
  <c r="AF80" i="47" s="1"/>
  <c r="X80" i="47" a="1"/>
  <c r="X80" i="47" s="1"/>
  <c r="P80" i="47" a="1"/>
  <c r="P80" i="47" s="1"/>
  <c r="AS79" i="47" a="1"/>
  <c r="AS79" i="47" s="1"/>
  <c r="AI79" i="47" a="1"/>
  <c r="AI79" i="47" s="1"/>
  <c r="AA79" i="47" a="1"/>
  <c r="AA79" i="47" s="1"/>
  <c r="S79" i="47" a="1"/>
  <c r="S79" i="47" s="1"/>
  <c r="K79" i="47" a="1"/>
  <c r="K79" i="47" s="1"/>
  <c r="AL77" i="47" a="1"/>
  <c r="AL77" i="47" s="1"/>
  <c r="AD77" i="47" a="1"/>
  <c r="AD77" i="47" s="1"/>
  <c r="V77" i="47" a="1"/>
  <c r="V77" i="47" s="1"/>
  <c r="N77" i="47" a="1"/>
  <c r="N77" i="47" s="1"/>
  <c r="AQ76" i="47" a="1"/>
  <c r="AQ76" i="47" s="1"/>
  <c r="AG76" i="47" a="1"/>
  <c r="AG76" i="47" s="1"/>
  <c r="Y76" i="47" a="1"/>
  <c r="Y76" i="47" s="1"/>
  <c r="AM104" i="47" a="1"/>
  <c r="AM104" i="47" s="1"/>
  <c r="AE104" i="47" a="1"/>
  <c r="AE104" i="47" s="1"/>
  <c r="W104" i="47" a="1"/>
  <c r="W104" i="47" s="1"/>
  <c r="O104" i="47" a="1"/>
  <c r="O104" i="47" s="1"/>
  <c r="AR103" i="47" a="1"/>
  <c r="AR103" i="47" s="1"/>
  <c r="AH103" i="47" a="1"/>
  <c r="AH103" i="47" s="1"/>
  <c r="Z103" i="47" a="1"/>
  <c r="Z103" i="47" s="1"/>
  <c r="R103" i="47" a="1"/>
  <c r="R103" i="47" s="1"/>
  <c r="J103" i="47" a="1"/>
  <c r="J103" i="47" s="1"/>
  <c r="AK101" i="47" a="1"/>
  <c r="AK101" i="47" s="1"/>
  <c r="AC101" i="47" a="1"/>
  <c r="AC101" i="47" s="1"/>
  <c r="U101" i="47" a="1"/>
  <c r="U101" i="47" s="1"/>
  <c r="M101" i="47" a="1"/>
  <c r="M101" i="47" s="1"/>
  <c r="AP100" i="47" a="1"/>
  <c r="AP100" i="47" s="1"/>
  <c r="AF100" i="47" a="1"/>
  <c r="AF100" i="47" s="1"/>
  <c r="X100" i="47" a="1"/>
  <c r="X100" i="47" s="1"/>
  <c r="P100" i="47" a="1"/>
  <c r="P100" i="47" s="1"/>
  <c r="AS98" i="47" a="1"/>
  <c r="AS98" i="47" s="1"/>
  <c r="AI98" i="47" a="1"/>
  <c r="AI98" i="47" s="1"/>
  <c r="AA98" i="47" a="1"/>
  <c r="AA98" i="47" s="1"/>
  <c r="S98" i="47" a="1"/>
  <c r="S98" i="47" s="1"/>
  <c r="K98" i="47" a="1"/>
  <c r="K98" i="47" s="1"/>
  <c r="AL97" i="47" a="1"/>
  <c r="AL97" i="47" s="1"/>
  <c r="AD97" i="47" a="1"/>
  <c r="AD97" i="47" s="1"/>
  <c r="V97" i="47" a="1"/>
  <c r="V97" i="47" s="1"/>
  <c r="N97" i="47" a="1"/>
  <c r="N97" i="47" s="1"/>
  <c r="AQ95" i="47" a="1"/>
  <c r="AQ95" i="47" s="1"/>
  <c r="AG95" i="47" a="1"/>
  <c r="AG95" i="47" s="1"/>
  <c r="Y95" i="47" a="1"/>
  <c r="Y95" i="47" s="1"/>
  <c r="Q95" i="47" a="1"/>
  <c r="Q95" i="47" s="1"/>
  <c r="AT94" i="47" a="1"/>
  <c r="AT94" i="47" s="1"/>
  <c r="AJ94" i="47" a="1"/>
  <c r="AJ94" i="47" s="1"/>
  <c r="AB94" i="47" a="1"/>
  <c r="AB94" i="47" s="1"/>
  <c r="T94" i="47" a="1"/>
  <c r="T94" i="47" s="1"/>
  <c r="L94" i="47" a="1"/>
  <c r="L94" i="47" s="1"/>
  <c r="AM92" i="47" a="1"/>
  <c r="AM92" i="47" s="1"/>
  <c r="AE92" i="47" a="1"/>
  <c r="AE92" i="47" s="1"/>
  <c r="W92" i="47" a="1"/>
  <c r="W92" i="47" s="1"/>
  <c r="O92" i="47" a="1"/>
  <c r="O92" i="47" s="1"/>
  <c r="AR91" i="47" a="1"/>
  <c r="AR91" i="47" s="1"/>
  <c r="AH91" i="47" a="1"/>
  <c r="AH91" i="47" s="1"/>
  <c r="Z91" i="47" a="1"/>
  <c r="Z91" i="47" s="1"/>
  <c r="R91" i="47" a="1"/>
  <c r="R91" i="47" s="1"/>
  <c r="J91" i="47" a="1"/>
  <c r="J91" i="47" s="1"/>
  <c r="AK89" i="47" a="1"/>
  <c r="AK89" i="47" s="1"/>
  <c r="AC89" i="47" a="1"/>
  <c r="AC89" i="47" s="1"/>
  <c r="U89" i="47" a="1"/>
  <c r="U89" i="47" s="1"/>
  <c r="M89" i="47" a="1"/>
  <c r="M89" i="47" s="1"/>
  <c r="AP88" i="47" a="1"/>
  <c r="AP88" i="47" s="1"/>
  <c r="AF88" i="47" a="1"/>
  <c r="AF88" i="47" s="1"/>
  <c r="X88" i="47" a="1"/>
  <c r="X88" i="47" s="1"/>
  <c r="P88" i="47" a="1"/>
  <c r="P88" i="47" s="1"/>
  <c r="AS86" i="47" a="1"/>
  <c r="AS86" i="47" s="1"/>
  <c r="AI86" i="47" a="1"/>
  <c r="AI86" i="47" s="1"/>
  <c r="AA86" i="47" a="1"/>
  <c r="AA86" i="47" s="1"/>
  <c r="S86" i="47" a="1"/>
  <c r="S86" i="47" s="1"/>
  <c r="K86" i="47" a="1"/>
  <c r="K86" i="47" s="1"/>
  <c r="AL85" i="47" a="1"/>
  <c r="AL85" i="47" s="1"/>
  <c r="AD85" i="47" a="1"/>
  <c r="AD85" i="47" s="1"/>
  <c r="V85" i="47" a="1"/>
  <c r="V85" i="47" s="1"/>
  <c r="N85" i="47" a="1"/>
  <c r="N85" i="47" s="1"/>
  <c r="AQ83" i="47" a="1"/>
  <c r="AQ83" i="47" s="1"/>
  <c r="AG83" i="47" a="1"/>
  <c r="AG83" i="47" s="1"/>
  <c r="Y83" i="47" a="1"/>
  <c r="Y83" i="47" s="1"/>
  <c r="Q83" i="47" a="1"/>
  <c r="Q83" i="47" s="1"/>
  <c r="AT82" i="47" a="1"/>
  <c r="AT82" i="47" s="1"/>
  <c r="AJ82" i="47" a="1"/>
  <c r="AJ82" i="47" s="1"/>
  <c r="AB82" i="47" a="1"/>
  <c r="AB82" i="47" s="1"/>
  <c r="T82" i="47" a="1"/>
  <c r="T82" i="47" s="1"/>
  <c r="L82" i="47" a="1"/>
  <c r="L82" i="47" s="1"/>
  <c r="AM80" i="47" a="1"/>
  <c r="AM80" i="47" s="1"/>
  <c r="AE80" i="47" a="1"/>
  <c r="AE80" i="47" s="1"/>
  <c r="W80" i="47" a="1"/>
  <c r="W80" i="47" s="1"/>
  <c r="O80" i="47" a="1"/>
  <c r="O80" i="47" s="1"/>
  <c r="AR79" i="47" a="1"/>
  <c r="AR79" i="47" s="1"/>
  <c r="AH79" i="47" a="1"/>
  <c r="AH79" i="47" s="1"/>
  <c r="Z79" i="47" a="1"/>
  <c r="Z79" i="47" s="1"/>
  <c r="R79" i="47" a="1"/>
  <c r="R79" i="47" s="1"/>
  <c r="J79" i="47" a="1"/>
  <c r="J79" i="47" s="1"/>
  <c r="AK77" i="47" a="1"/>
  <c r="AK77" i="47" s="1"/>
  <c r="AC77" i="47" a="1"/>
  <c r="AC77" i="47" s="1"/>
  <c r="U77" i="47" a="1"/>
  <c r="U77" i="47" s="1"/>
  <c r="M77" i="47" a="1"/>
  <c r="M77" i="47" s="1"/>
  <c r="AP76" i="47" a="1"/>
  <c r="AP76" i="47" s="1"/>
  <c r="AF76" i="47" a="1"/>
  <c r="AF76" i="47" s="1"/>
  <c r="X76" i="47" a="1"/>
  <c r="X76" i="47" s="1"/>
  <c r="P76" i="47" a="1"/>
  <c r="P76" i="47" s="1"/>
  <c r="AL104" i="47" a="1"/>
  <c r="AL104" i="47" s="1"/>
  <c r="AD104" i="47" a="1"/>
  <c r="AD104" i="47" s="1"/>
  <c r="V104" i="47" a="1"/>
  <c r="V104" i="47" s="1"/>
  <c r="N104" i="47" a="1"/>
  <c r="N104" i="47" s="1"/>
  <c r="AQ103" i="47" a="1"/>
  <c r="AQ103" i="47" s="1"/>
  <c r="AG103" i="47" a="1"/>
  <c r="AG103" i="47" s="1"/>
  <c r="Y103" i="47" a="1"/>
  <c r="Y103" i="47" s="1"/>
  <c r="Q103" i="47" a="1"/>
  <c r="Q103" i="47" s="1"/>
  <c r="AT101" i="47" a="1"/>
  <c r="AT101" i="47" s="1"/>
  <c r="AJ101" i="47" a="1"/>
  <c r="AJ101" i="47" s="1"/>
  <c r="AB101" i="47" a="1"/>
  <c r="AB101" i="47" s="1"/>
  <c r="T101" i="47" a="1"/>
  <c r="T101" i="47" s="1"/>
  <c r="L101" i="47" a="1"/>
  <c r="L101" i="47" s="1"/>
  <c r="AM100" i="47" a="1"/>
  <c r="AM100" i="47" s="1"/>
  <c r="AE100" i="47" a="1"/>
  <c r="AE100" i="47" s="1"/>
  <c r="W100" i="47" a="1"/>
  <c r="W100" i="47" s="1"/>
  <c r="O100" i="47" a="1"/>
  <c r="O100" i="47" s="1"/>
  <c r="AR98" i="47" a="1"/>
  <c r="AR98" i="47" s="1"/>
  <c r="AH98" i="47" a="1"/>
  <c r="AH98" i="47" s="1"/>
  <c r="Z98" i="47" a="1"/>
  <c r="Z98" i="47" s="1"/>
  <c r="R98" i="47" a="1"/>
  <c r="R98" i="47" s="1"/>
  <c r="J98" i="47" a="1"/>
  <c r="J98" i="47" s="1"/>
  <c r="AK97" i="47" a="1"/>
  <c r="AK97" i="47" s="1"/>
  <c r="AC97" i="47" a="1"/>
  <c r="AC97" i="47" s="1"/>
  <c r="U97" i="47" a="1"/>
  <c r="U97" i="47" s="1"/>
  <c r="M97" i="47" a="1"/>
  <c r="M97" i="47" s="1"/>
  <c r="AP95" i="47" a="1"/>
  <c r="AP95" i="47" s="1"/>
  <c r="AF95" i="47" a="1"/>
  <c r="AF95" i="47" s="1"/>
  <c r="X95" i="47" a="1"/>
  <c r="X95" i="47" s="1"/>
  <c r="P95" i="47" a="1"/>
  <c r="P95" i="47" s="1"/>
  <c r="AS94" i="47" a="1"/>
  <c r="AS94" i="47" s="1"/>
  <c r="AI94" i="47" a="1"/>
  <c r="AI94" i="47" s="1"/>
  <c r="AA94" i="47" a="1"/>
  <c r="AA94" i="47" s="1"/>
  <c r="S94" i="47" a="1"/>
  <c r="S94" i="47" s="1"/>
  <c r="K94" i="47" a="1"/>
  <c r="K94" i="47" s="1"/>
  <c r="AL92" i="47" a="1"/>
  <c r="AL92" i="47" s="1"/>
  <c r="AD92" i="47" a="1"/>
  <c r="AD92" i="47" s="1"/>
  <c r="V92" i="47" a="1"/>
  <c r="V92" i="47" s="1"/>
  <c r="N92" i="47" a="1"/>
  <c r="N92" i="47" s="1"/>
  <c r="AQ91" i="47" a="1"/>
  <c r="AQ91" i="47" s="1"/>
  <c r="AG91" i="47" a="1"/>
  <c r="AG91" i="47" s="1"/>
  <c r="Y91" i="47" a="1"/>
  <c r="Y91" i="47" s="1"/>
  <c r="Q91" i="47" a="1"/>
  <c r="Q91" i="47" s="1"/>
  <c r="AT89" i="47" a="1"/>
  <c r="AT89" i="47" s="1"/>
  <c r="AJ89" i="47" a="1"/>
  <c r="AJ89" i="47" s="1"/>
  <c r="AB89" i="47" a="1"/>
  <c r="AB89" i="47" s="1"/>
  <c r="T89" i="47" a="1"/>
  <c r="T89" i="47" s="1"/>
  <c r="L89" i="47" a="1"/>
  <c r="L89" i="47" s="1"/>
  <c r="AM88" i="47" a="1"/>
  <c r="AM88" i="47" s="1"/>
  <c r="AE88" i="47" a="1"/>
  <c r="AE88" i="47" s="1"/>
  <c r="W88" i="47" a="1"/>
  <c r="W88" i="47" s="1"/>
  <c r="O88" i="47" a="1"/>
  <c r="O88" i="47" s="1"/>
  <c r="AR86" i="47" a="1"/>
  <c r="AR86" i="47" s="1"/>
  <c r="AH86" i="47" a="1"/>
  <c r="AH86" i="47" s="1"/>
  <c r="Z86" i="47" a="1"/>
  <c r="Z86" i="47" s="1"/>
  <c r="R86" i="47" a="1"/>
  <c r="R86" i="47" s="1"/>
  <c r="J86" i="47" a="1"/>
  <c r="J86" i="47" s="1"/>
  <c r="AK85" i="47" a="1"/>
  <c r="AK85" i="47" s="1"/>
  <c r="AC85" i="47" a="1"/>
  <c r="AC85" i="47" s="1"/>
  <c r="U85" i="47" a="1"/>
  <c r="U85" i="47" s="1"/>
  <c r="M85" i="47" a="1"/>
  <c r="M85" i="47" s="1"/>
  <c r="AP83" i="47" a="1"/>
  <c r="AP83" i="47" s="1"/>
  <c r="AF83" i="47" a="1"/>
  <c r="AF83" i="47" s="1"/>
  <c r="X83" i="47" a="1"/>
  <c r="X83" i="47" s="1"/>
  <c r="P83" i="47" a="1"/>
  <c r="P83" i="47" s="1"/>
  <c r="AS82" i="47" a="1"/>
  <c r="AS82" i="47" s="1"/>
  <c r="AI82" i="47" a="1"/>
  <c r="AI82" i="47" s="1"/>
  <c r="AA82" i="47" a="1"/>
  <c r="AA82" i="47" s="1"/>
  <c r="S82" i="47" a="1"/>
  <c r="S82" i="47" s="1"/>
  <c r="K82" i="47" a="1"/>
  <c r="K82" i="47" s="1"/>
  <c r="AL80" i="47" a="1"/>
  <c r="AL80" i="47" s="1"/>
  <c r="AD80" i="47" a="1"/>
  <c r="AD80" i="47" s="1"/>
  <c r="V80" i="47" a="1"/>
  <c r="V80" i="47" s="1"/>
  <c r="N80" i="47" a="1"/>
  <c r="N80" i="47" s="1"/>
  <c r="AQ79" i="47" a="1"/>
  <c r="AQ79" i="47" s="1"/>
  <c r="AG79" i="47" a="1"/>
  <c r="AG79" i="47" s="1"/>
  <c r="Y79" i="47" a="1"/>
  <c r="Y79" i="47" s="1"/>
  <c r="Q79" i="47" a="1"/>
  <c r="Q79" i="47" s="1"/>
  <c r="AT77" i="47" a="1"/>
  <c r="AT77" i="47" s="1"/>
  <c r="AJ77" i="47" a="1"/>
  <c r="AJ77" i="47" s="1"/>
  <c r="AB77" i="47" a="1"/>
  <c r="AB77" i="47" s="1"/>
  <c r="T77" i="47" a="1"/>
  <c r="T77" i="47" s="1"/>
  <c r="L77" i="47" a="1"/>
  <c r="L77" i="47" s="1"/>
  <c r="AM76" i="47" a="1"/>
  <c r="AM76" i="47" s="1"/>
  <c r="AE76" i="47" a="1"/>
  <c r="AE76" i="47" s="1"/>
  <c r="W76" i="47" a="1"/>
  <c r="W76" i="47" s="1"/>
  <c r="AK104" i="47" a="1"/>
  <c r="AK104" i="47" s="1"/>
  <c r="AC104" i="47" a="1"/>
  <c r="AC104" i="47" s="1"/>
  <c r="U104" i="47" a="1"/>
  <c r="U104" i="47" s="1"/>
  <c r="M104" i="47" a="1"/>
  <c r="M104" i="47" s="1"/>
  <c r="AP103" i="47" a="1"/>
  <c r="AP103" i="47" s="1"/>
  <c r="AF103" i="47" a="1"/>
  <c r="AF103" i="47" s="1"/>
  <c r="X103" i="47" a="1"/>
  <c r="X103" i="47" s="1"/>
  <c r="P103" i="47" a="1"/>
  <c r="P103" i="47" s="1"/>
  <c r="AS101" i="47" a="1"/>
  <c r="AS101" i="47" s="1"/>
  <c r="AI101" i="47" a="1"/>
  <c r="AI101" i="47" s="1"/>
  <c r="AA101" i="47" a="1"/>
  <c r="AA101" i="47" s="1"/>
  <c r="S101" i="47" a="1"/>
  <c r="S101" i="47" s="1"/>
  <c r="K101" i="47" a="1"/>
  <c r="K101" i="47" s="1"/>
  <c r="AL100" i="47" a="1"/>
  <c r="AL100" i="47" s="1"/>
  <c r="AD100" i="47" a="1"/>
  <c r="AD100" i="47" s="1"/>
  <c r="V100" i="47" a="1"/>
  <c r="V100" i="47" s="1"/>
  <c r="N100" i="47" a="1"/>
  <c r="N100" i="47" s="1"/>
  <c r="AQ98" i="47" a="1"/>
  <c r="AQ98" i="47" s="1"/>
  <c r="AG98" i="47" a="1"/>
  <c r="AG98" i="47" s="1"/>
  <c r="Y98" i="47" a="1"/>
  <c r="Y98" i="47" s="1"/>
  <c r="Q98" i="47" a="1"/>
  <c r="Q98" i="47" s="1"/>
  <c r="AT97" i="47" a="1"/>
  <c r="AT97" i="47" s="1"/>
  <c r="AJ97" i="47" a="1"/>
  <c r="AJ97" i="47" s="1"/>
  <c r="AB97" i="47" a="1"/>
  <c r="AB97" i="47" s="1"/>
  <c r="T97" i="47" a="1"/>
  <c r="T97" i="47" s="1"/>
  <c r="L97" i="47" a="1"/>
  <c r="L97" i="47" s="1"/>
  <c r="AM95" i="47" a="1"/>
  <c r="AM95" i="47" s="1"/>
  <c r="AE95" i="47" a="1"/>
  <c r="AE95" i="47" s="1"/>
  <c r="W95" i="47" a="1"/>
  <c r="W95" i="47" s="1"/>
  <c r="O95" i="47" a="1"/>
  <c r="O95" i="47" s="1"/>
  <c r="AR94" i="47" a="1"/>
  <c r="AR94" i="47" s="1"/>
  <c r="AH94" i="47" a="1"/>
  <c r="AH94" i="47" s="1"/>
  <c r="Z94" i="47" a="1"/>
  <c r="Z94" i="47" s="1"/>
  <c r="R94" i="47" a="1"/>
  <c r="R94" i="47" s="1"/>
  <c r="J94" i="47" a="1"/>
  <c r="J94" i="47" s="1"/>
  <c r="AK92" i="47" a="1"/>
  <c r="AK92" i="47" s="1"/>
  <c r="AC92" i="47" a="1"/>
  <c r="AC92" i="47" s="1"/>
  <c r="U92" i="47" a="1"/>
  <c r="U92" i="47" s="1"/>
  <c r="M92" i="47" a="1"/>
  <c r="M92" i="47" s="1"/>
  <c r="AP91" i="47" a="1"/>
  <c r="AP91" i="47" s="1"/>
  <c r="AF91" i="47" a="1"/>
  <c r="AF91" i="47" s="1"/>
  <c r="X91" i="47" a="1"/>
  <c r="X91" i="47" s="1"/>
  <c r="P91" i="47" a="1"/>
  <c r="P91" i="47" s="1"/>
  <c r="AS89" i="47" a="1"/>
  <c r="AS89" i="47" s="1"/>
  <c r="AI89" i="47" a="1"/>
  <c r="AI89" i="47" s="1"/>
  <c r="AA89" i="47" a="1"/>
  <c r="AA89" i="47" s="1"/>
  <c r="S89" i="47" a="1"/>
  <c r="S89" i="47" s="1"/>
  <c r="K89" i="47" a="1"/>
  <c r="K89" i="47" s="1"/>
  <c r="AL88" i="47" a="1"/>
  <c r="AL88" i="47" s="1"/>
  <c r="AD88" i="47" a="1"/>
  <c r="AD88" i="47" s="1"/>
  <c r="V88" i="47" a="1"/>
  <c r="V88" i="47" s="1"/>
  <c r="N88" i="47" a="1"/>
  <c r="N88" i="47" s="1"/>
  <c r="AQ86" i="47" a="1"/>
  <c r="AQ86" i="47" s="1"/>
  <c r="AG86" i="47" a="1"/>
  <c r="AG86" i="47" s="1"/>
  <c r="Y86" i="47" a="1"/>
  <c r="Y86" i="47" s="1"/>
  <c r="Q86" i="47" a="1"/>
  <c r="Q86" i="47" s="1"/>
  <c r="AT85" i="47" a="1"/>
  <c r="AT85" i="47" s="1"/>
  <c r="AJ85" i="47" a="1"/>
  <c r="AJ85" i="47" s="1"/>
  <c r="AB85" i="47" a="1"/>
  <c r="AB85" i="47" s="1"/>
  <c r="T85" i="47" a="1"/>
  <c r="T85" i="47" s="1"/>
  <c r="L85" i="47" a="1"/>
  <c r="L85" i="47" s="1"/>
  <c r="AM83" i="47" a="1"/>
  <c r="AM83" i="47" s="1"/>
  <c r="AE83" i="47" a="1"/>
  <c r="AE83" i="47" s="1"/>
  <c r="W83" i="47" a="1"/>
  <c r="W83" i="47" s="1"/>
  <c r="O83" i="47" a="1"/>
  <c r="O83" i="47" s="1"/>
  <c r="AR82" i="47" a="1"/>
  <c r="AR82" i="47" s="1"/>
  <c r="AH82" i="47" a="1"/>
  <c r="AH82" i="47" s="1"/>
  <c r="Z82" i="47" a="1"/>
  <c r="Z82" i="47" s="1"/>
  <c r="R82" i="47" a="1"/>
  <c r="R82" i="47" s="1"/>
  <c r="J82" i="47" a="1"/>
  <c r="J82" i="47" s="1"/>
  <c r="AK80" i="47" a="1"/>
  <c r="AK80" i="47" s="1"/>
  <c r="AC80" i="47" a="1"/>
  <c r="AC80" i="47" s="1"/>
  <c r="U80" i="47" a="1"/>
  <c r="U80" i="47" s="1"/>
  <c r="M80" i="47" a="1"/>
  <c r="M80" i="47" s="1"/>
  <c r="AP79" i="47" a="1"/>
  <c r="AP79" i="47" s="1"/>
  <c r="AF79" i="47" a="1"/>
  <c r="AF79" i="47" s="1"/>
  <c r="X79" i="47" a="1"/>
  <c r="X79" i="47" s="1"/>
  <c r="P79" i="47" a="1"/>
  <c r="P79" i="47" s="1"/>
  <c r="AS77" i="47" a="1"/>
  <c r="AS77" i="47" s="1"/>
  <c r="AI77" i="47" a="1"/>
  <c r="AI77" i="47" s="1"/>
  <c r="AA77" i="47" a="1"/>
  <c r="AA77" i="47" s="1"/>
  <c r="S77" i="47" a="1"/>
  <c r="S77" i="47" s="1"/>
  <c r="K77" i="47" a="1"/>
  <c r="K77" i="47" s="1"/>
  <c r="AL76" i="47" a="1"/>
  <c r="AL76" i="47" s="1"/>
  <c r="AD76" i="47" a="1"/>
  <c r="AD76" i="47" s="1"/>
  <c r="V76" i="47" a="1"/>
  <c r="V76" i="47" s="1"/>
  <c r="AC76" i="47" a="1"/>
  <c r="AC76" i="47" s="1"/>
  <c r="K76" i="47" a="1"/>
  <c r="K76" i="47" s="1"/>
  <c r="AL74" i="47" a="1"/>
  <c r="AL74" i="47" s="1"/>
  <c r="AD74" i="47" a="1"/>
  <c r="AD74" i="47" s="1"/>
  <c r="V74" i="47" a="1"/>
  <c r="V74" i="47" s="1"/>
  <c r="N74" i="47" a="1"/>
  <c r="N74" i="47" s="1"/>
  <c r="AQ73" i="47" a="1"/>
  <c r="AQ73" i="47" s="1"/>
  <c r="AG73" i="47" a="1"/>
  <c r="AG73" i="47" s="1"/>
  <c r="Y73" i="47" a="1"/>
  <c r="Y73" i="47" s="1"/>
  <c r="Q73" i="47" a="1"/>
  <c r="Q73" i="47" s="1"/>
  <c r="AT71" i="47" a="1"/>
  <c r="AT71" i="47" s="1"/>
  <c r="AJ71" i="47" a="1"/>
  <c r="AJ71" i="47" s="1"/>
  <c r="AB71" i="47" a="1"/>
  <c r="AB71" i="47" s="1"/>
  <c r="T71" i="47" a="1"/>
  <c r="T71" i="47" s="1"/>
  <c r="L71" i="47" a="1"/>
  <c r="L71" i="47" s="1"/>
  <c r="AM70" i="47" a="1"/>
  <c r="AM70" i="47" s="1"/>
  <c r="AE70" i="47" a="1"/>
  <c r="AE70" i="47" s="1"/>
  <c r="W70" i="47" a="1"/>
  <c r="W70" i="47" s="1"/>
  <c r="O70" i="47" a="1"/>
  <c r="O70" i="47" s="1"/>
  <c r="AR68" i="47" a="1"/>
  <c r="AR68" i="47" s="1"/>
  <c r="AH68" i="47" a="1"/>
  <c r="AH68" i="47" s="1"/>
  <c r="Z68" i="47" a="1"/>
  <c r="Z68" i="47" s="1"/>
  <c r="R68" i="47" a="1"/>
  <c r="R68" i="47" s="1"/>
  <c r="J68" i="47" a="1"/>
  <c r="J68" i="47" s="1"/>
  <c r="AK67" i="47" a="1"/>
  <c r="AK67" i="47" s="1"/>
  <c r="AC67" i="47" a="1"/>
  <c r="AC67" i="47" s="1"/>
  <c r="U67" i="47" a="1"/>
  <c r="U67" i="47" s="1"/>
  <c r="M67" i="47" a="1"/>
  <c r="M67" i="47" s="1"/>
  <c r="AP65" i="47" a="1"/>
  <c r="AP65" i="47" s="1"/>
  <c r="AF65" i="47" a="1"/>
  <c r="AF65" i="47" s="1"/>
  <c r="X65" i="47" a="1"/>
  <c r="X65" i="47" s="1"/>
  <c r="P65" i="47" a="1"/>
  <c r="P65" i="47" s="1"/>
  <c r="AS64" i="47" a="1"/>
  <c r="AS64" i="47" s="1"/>
  <c r="AI64" i="47" a="1"/>
  <c r="AI64" i="47" s="1"/>
  <c r="AA64" i="47" a="1"/>
  <c r="AA64" i="47" s="1"/>
  <c r="S64" i="47" a="1"/>
  <c r="S64" i="47" s="1"/>
  <c r="K64" i="47" a="1"/>
  <c r="K64" i="47" s="1"/>
  <c r="AL62" i="47" a="1"/>
  <c r="AL62" i="47" s="1"/>
  <c r="AD62" i="47" a="1"/>
  <c r="AD62" i="47" s="1"/>
  <c r="V62" i="47" a="1"/>
  <c r="V62" i="47" s="1"/>
  <c r="N62" i="47" a="1"/>
  <c r="N62" i="47" s="1"/>
  <c r="AQ61" i="47" a="1"/>
  <c r="AQ61" i="47" s="1"/>
  <c r="AG61" i="47" a="1"/>
  <c r="AG61" i="47" s="1"/>
  <c r="Y61" i="47" a="1"/>
  <c r="Y61" i="47" s="1"/>
  <c r="Q61" i="47" a="1"/>
  <c r="Q61" i="47" s="1"/>
  <c r="AT59" i="47" a="1"/>
  <c r="AT59" i="47" s="1"/>
  <c r="AJ59" i="47" a="1"/>
  <c r="AJ59" i="47" s="1"/>
  <c r="AB59" i="47" a="1"/>
  <c r="AB59" i="47" s="1"/>
  <c r="T59" i="47" a="1"/>
  <c r="T59" i="47" s="1"/>
  <c r="L59" i="47" a="1"/>
  <c r="L59" i="47" s="1"/>
  <c r="AM58" i="47" a="1"/>
  <c r="AM58" i="47" s="1"/>
  <c r="AE58" i="47" a="1"/>
  <c r="AE58" i="47" s="1"/>
  <c r="W58" i="47" a="1"/>
  <c r="W58" i="47" s="1"/>
  <c r="O58" i="47" a="1"/>
  <c r="O58" i="47" s="1"/>
  <c r="AR56" i="47" a="1"/>
  <c r="AR56" i="47" s="1"/>
  <c r="AH56" i="47" a="1"/>
  <c r="AH56" i="47" s="1"/>
  <c r="Z56" i="47" a="1"/>
  <c r="Z56" i="47" s="1"/>
  <c r="R56" i="47" a="1"/>
  <c r="R56" i="47" s="1"/>
  <c r="J56" i="47" a="1"/>
  <c r="J56" i="47" s="1"/>
  <c r="AK55" i="47" a="1"/>
  <c r="AK55" i="47" s="1"/>
  <c r="AC55" i="47" a="1"/>
  <c r="AC55" i="47" s="1"/>
  <c r="U55" i="47" a="1"/>
  <c r="U55" i="47" s="1"/>
  <c r="M55" i="47" a="1"/>
  <c r="M55" i="47" s="1"/>
  <c r="AP53" i="47" a="1"/>
  <c r="AP53" i="47" s="1"/>
  <c r="AF53" i="47" a="1"/>
  <c r="AF53" i="47" s="1"/>
  <c r="X53" i="47" a="1"/>
  <c r="X53" i="47" s="1"/>
  <c r="P53" i="47" a="1"/>
  <c r="P53" i="47" s="1"/>
  <c r="AS52" i="47" a="1"/>
  <c r="AS52" i="47" s="1"/>
  <c r="AI52" i="47" a="1"/>
  <c r="AI52" i="47" s="1"/>
  <c r="AA52" i="47" a="1"/>
  <c r="AA52" i="47" s="1"/>
  <c r="S52" i="47" a="1"/>
  <c r="S52" i="47" s="1"/>
  <c r="K52" i="47" a="1"/>
  <c r="K52" i="47" s="1"/>
  <c r="AL50" i="47" a="1"/>
  <c r="AL50" i="47" s="1"/>
  <c r="AD50" i="47" a="1"/>
  <c r="AD50" i="47" s="1"/>
  <c r="V50" i="47" a="1"/>
  <c r="V50" i="47" s="1"/>
  <c r="N50" i="47" a="1"/>
  <c r="N50" i="47" s="1"/>
  <c r="AQ49" i="47" a="1"/>
  <c r="AQ49" i="47" s="1"/>
  <c r="AG49" i="47" a="1"/>
  <c r="AG49" i="47" s="1"/>
  <c r="Y49" i="47" a="1"/>
  <c r="Y49" i="47" s="1"/>
  <c r="Q49" i="47" a="1"/>
  <c r="Q49" i="47" s="1"/>
  <c r="AT47" i="47" a="1"/>
  <c r="AT47" i="47" s="1"/>
  <c r="AJ47" i="47" a="1"/>
  <c r="AJ47" i="47" s="1"/>
  <c r="AB47" i="47" a="1"/>
  <c r="AB47" i="47" s="1"/>
  <c r="T47" i="47" a="1"/>
  <c r="T47" i="47" s="1"/>
  <c r="L47" i="47" a="1"/>
  <c r="L47" i="47" s="1"/>
  <c r="AM46" i="47" a="1"/>
  <c r="AM46" i="47" s="1"/>
  <c r="AE46" i="47" a="1"/>
  <c r="AE46" i="47" s="1"/>
  <c r="W46" i="47" a="1"/>
  <c r="W46" i="47" s="1"/>
  <c r="O46" i="47" a="1"/>
  <c r="O46" i="47" s="1"/>
  <c r="AR44" i="47" a="1"/>
  <c r="AR44" i="47" s="1"/>
  <c r="AH44" i="47" a="1"/>
  <c r="AH44" i="47" s="1"/>
  <c r="Z44" i="47" a="1"/>
  <c r="Z44" i="47" s="1"/>
  <c r="R44" i="47" a="1"/>
  <c r="R44" i="47" s="1"/>
  <c r="J44" i="47" a="1"/>
  <c r="J44" i="47" s="1"/>
  <c r="AK43" i="47" a="1"/>
  <c r="AK43" i="47" s="1"/>
  <c r="AC43" i="47" a="1"/>
  <c r="AC43" i="47" s="1"/>
  <c r="U43" i="47" a="1"/>
  <c r="U43" i="47" s="1"/>
  <c r="M43" i="47" a="1"/>
  <c r="M43" i="47" s="1"/>
  <c r="AP41" i="47" a="1"/>
  <c r="AP41" i="47" s="1"/>
  <c r="AF41" i="47" a="1"/>
  <c r="AF41" i="47" s="1"/>
  <c r="X41" i="47" a="1"/>
  <c r="X41" i="47" s="1"/>
  <c r="P41" i="47" a="1"/>
  <c r="P41" i="47" s="1"/>
  <c r="AS40" i="47" a="1"/>
  <c r="AS40" i="47" s="1"/>
  <c r="AI40" i="47" a="1"/>
  <c r="AI40" i="47" s="1"/>
  <c r="AA40" i="47" a="1"/>
  <c r="AA40" i="47" s="1"/>
  <c r="S40" i="47" a="1"/>
  <c r="S40" i="47" s="1"/>
  <c r="K40" i="47" a="1"/>
  <c r="K40" i="47" s="1"/>
  <c r="AL38" i="47" a="1"/>
  <c r="AL38" i="47" s="1"/>
  <c r="AD38" i="47" a="1"/>
  <c r="AD38" i="47" s="1"/>
  <c r="V38" i="47" a="1"/>
  <c r="V38" i="47" s="1"/>
  <c r="N38" i="47" a="1"/>
  <c r="N38" i="47" s="1"/>
  <c r="AQ37" i="47" a="1"/>
  <c r="AQ37" i="47" s="1"/>
  <c r="AG37" i="47" a="1"/>
  <c r="AG37" i="47" s="1"/>
  <c r="Y37" i="47" a="1"/>
  <c r="Y37" i="47" s="1"/>
  <c r="Q37" i="47" a="1"/>
  <c r="Q37" i="47" s="1"/>
  <c r="AT35" i="47" a="1"/>
  <c r="AT35" i="47" s="1"/>
  <c r="AJ35" i="47" a="1"/>
  <c r="AJ35" i="47" s="1"/>
  <c r="AB35" i="47" a="1"/>
  <c r="AB35" i="47" s="1"/>
  <c r="T35" i="47" a="1"/>
  <c r="T35" i="47" s="1"/>
  <c r="L35" i="47" a="1"/>
  <c r="L35" i="47" s="1"/>
  <c r="AM34" i="47" a="1"/>
  <c r="AM34" i="47" s="1"/>
  <c r="AE34" i="47" a="1"/>
  <c r="AE34" i="47" s="1"/>
  <c r="W34" i="47" a="1"/>
  <c r="W34" i="47" s="1"/>
  <c r="O34" i="47" a="1"/>
  <c r="O34" i="47" s="1"/>
  <c r="AR32" i="47" a="1"/>
  <c r="AR32" i="47" s="1"/>
  <c r="AH32" i="47" a="1"/>
  <c r="AH32" i="47" s="1"/>
  <c r="Z32" i="47" a="1"/>
  <c r="Z32" i="47" s="1"/>
  <c r="R32" i="47" a="1"/>
  <c r="R32" i="47" s="1"/>
  <c r="J32" i="47" a="1"/>
  <c r="J32" i="47" s="1"/>
  <c r="AK31" i="47" a="1"/>
  <c r="AK31" i="47" s="1"/>
  <c r="AC31" i="47" a="1"/>
  <c r="AC31" i="47" s="1"/>
  <c r="U31" i="47" a="1"/>
  <c r="U31" i="47" s="1"/>
  <c r="M31" i="47" a="1"/>
  <c r="M31" i="47" s="1"/>
  <c r="AP29" i="47" a="1"/>
  <c r="AP29" i="47" s="1"/>
  <c r="AF29" i="47" a="1"/>
  <c r="AF29" i="47" s="1"/>
  <c r="X29" i="47" a="1"/>
  <c r="X29" i="47" s="1"/>
  <c r="P29" i="47" a="1"/>
  <c r="P29" i="47" s="1"/>
  <c r="AS28" i="47" a="1"/>
  <c r="AS28" i="47" s="1"/>
  <c r="AI28" i="47" a="1"/>
  <c r="AI28" i="47" s="1"/>
  <c r="AA28" i="47" a="1"/>
  <c r="AA28" i="47" s="1"/>
  <c r="S28" i="47" a="1"/>
  <c r="S28" i="47" s="1"/>
  <c r="K28" i="47" a="1"/>
  <c r="K28" i="47" s="1"/>
  <c r="AL26" i="47" a="1"/>
  <c r="AL26" i="47" s="1"/>
  <c r="AD26" i="47" a="1"/>
  <c r="AD26" i="47" s="1"/>
  <c r="V26" i="47" a="1"/>
  <c r="V26" i="47" s="1"/>
  <c r="N26" i="47" a="1"/>
  <c r="N26" i="47" s="1"/>
  <c r="AQ25" i="47" a="1"/>
  <c r="AQ25" i="47" s="1"/>
  <c r="AG25" i="47" a="1"/>
  <c r="AG25" i="47" s="1"/>
  <c r="Y25" i="47" a="1"/>
  <c r="Y25" i="47" s="1"/>
  <c r="Q25" i="47" a="1"/>
  <c r="Q25" i="47" s="1"/>
  <c r="AT23" i="47" a="1"/>
  <c r="AT23" i="47" s="1"/>
  <c r="AJ23" i="47" a="1"/>
  <c r="AJ23" i="47" s="1"/>
  <c r="AB23" i="47" a="1"/>
  <c r="AB23" i="47" s="1"/>
  <c r="T23" i="47" a="1"/>
  <c r="T23" i="47" s="1"/>
  <c r="L23" i="47" a="1"/>
  <c r="L23" i="47" s="1"/>
  <c r="AM22" i="47" a="1"/>
  <c r="AM22" i="47" s="1"/>
  <c r="AE22" i="47" a="1"/>
  <c r="AE22" i="47" s="1"/>
  <c r="W22" i="47" a="1"/>
  <c r="W22" i="47" s="1"/>
  <c r="O22" i="47" a="1"/>
  <c r="O22" i="47" s="1"/>
  <c r="AR20" i="47" a="1"/>
  <c r="AR20" i="47" s="1"/>
  <c r="AH20" i="47" a="1"/>
  <c r="AH20" i="47" s="1"/>
  <c r="Z20" i="47" a="1"/>
  <c r="Z20" i="47" s="1"/>
  <c r="R20" i="47" a="1"/>
  <c r="R20" i="47" s="1"/>
  <c r="J20" i="47" a="1"/>
  <c r="J20" i="47" s="1"/>
  <c r="AK19" i="47" a="1"/>
  <c r="AK19" i="47" s="1"/>
  <c r="AC19" i="47" a="1"/>
  <c r="AC19" i="47" s="1"/>
  <c r="U19" i="47" a="1"/>
  <c r="U19" i="47" s="1"/>
  <c r="M19" i="47" a="1"/>
  <c r="M19" i="47" s="1"/>
  <c r="AP17" i="47" a="1"/>
  <c r="AP17" i="47" s="1"/>
  <c r="U76" i="47" a="1"/>
  <c r="U76" i="47" s="1"/>
  <c r="J76" i="47" a="1"/>
  <c r="J76" i="47" s="1"/>
  <c r="AK74" i="47" a="1"/>
  <c r="AK74" i="47" s="1"/>
  <c r="AC74" i="47" a="1"/>
  <c r="AC74" i="47" s="1"/>
  <c r="U74" i="47" a="1"/>
  <c r="U74" i="47" s="1"/>
  <c r="M74" i="47" a="1"/>
  <c r="M74" i="47" s="1"/>
  <c r="AP73" i="47" a="1"/>
  <c r="AP73" i="47" s="1"/>
  <c r="AF73" i="47" a="1"/>
  <c r="AF73" i="47" s="1"/>
  <c r="X73" i="47" a="1"/>
  <c r="X73" i="47" s="1"/>
  <c r="P73" i="47" a="1"/>
  <c r="P73" i="47" s="1"/>
  <c r="AS71" i="47" a="1"/>
  <c r="AS71" i="47" s="1"/>
  <c r="AI71" i="47" a="1"/>
  <c r="AI71" i="47" s="1"/>
  <c r="AA71" i="47" a="1"/>
  <c r="AA71" i="47" s="1"/>
  <c r="S71" i="47" a="1"/>
  <c r="S71" i="47" s="1"/>
  <c r="K71" i="47" a="1"/>
  <c r="K71" i="47" s="1"/>
  <c r="AL70" i="47" a="1"/>
  <c r="AL70" i="47" s="1"/>
  <c r="AD70" i="47" a="1"/>
  <c r="AD70" i="47" s="1"/>
  <c r="V70" i="47" a="1"/>
  <c r="V70" i="47" s="1"/>
  <c r="N70" i="47" a="1"/>
  <c r="N70" i="47" s="1"/>
  <c r="AQ68" i="47" a="1"/>
  <c r="AQ68" i="47" s="1"/>
  <c r="AG68" i="47" a="1"/>
  <c r="AG68" i="47" s="1"/>
  <c r="Y68" i="47" a="1"/>
  <c r="Y68" i="47" s="1"/>
  <c r="Q68" i="47" a="1"/>
  <c r="Q68" i="47" s="1"/>
  <c r="AT67" i="47" a="1"/>
  <c r="AT67" i="47" s="1"/>
  <c r="AJ67" i="47" a="1"/>
  <c r="AJ67" i="47" s="1"/>
  <c r="AB67" i="47" a="1"/>
  <c r="AB67" i="47" s="1"/>
  <c r="T67" i="47" a="1"/>
  <c r="T67" i="47" s="1"/>
  <c r="L67" i="47" a="1"/>
  <c r="L67" i="47" s="1"/>
  <c r="AM65" i="47" a="1"/>
  <c r="AM65" i="47" s="1"/>
  <c r="AE65" i="47" a="1"/>
  <c r="AE65" i="47" s="1"/>
  <c r="W65" i="47" a="1"/>
  <c r="W65" i="47" s="1"/>
  <c r="O65" i="47" a="1"/>
  <c r="O65" i="47" s="1"/>
  <c r="AR64" i="47" a="1"/>
  <c r="AR64" i="47" s="1"/>
  <c r="AH64" i="47" a="1"/>
  <c r="AH64" i="47" s="1"/>
  <c r="Z64" i="47" a="1"/>
  <c r="Z64" i="47" s="1"/>
  <c r="R64" i="47" a="1"/>
  <c r="R64" i="47" s="1"/>
  <c r="J64" i="47" a="1"/>
  <c r="J64" i="47" s="1"/>
  <c r="AK62" i="47" a="1"/>
  <c r="AK62" i="47" s="1"/>
  <c r="AC62" i="47" a="1"/>
  <c r="AC62" i="47" s="1"/>
  <c r="U62" i="47" a="1"/>
  <c r="U62" i="47" s="1"/>
  <c r="M62" i="47" a="1"/>
  <c r="M62" i="47" s="1"/>
  <c r="AP61" i="47" a="1"/>
  <c r="AP61" i="47" s="1"/>
  <c r="AF61" i="47" a="1"/>
  <c r="AF61" i="47" s="1"/>
  <c r="X61" i="47" a="1"/>
  <c r="X61" i="47" s="1"/>
  <c r="P61" i="47" a="1"/>
  <c r="P61" i="47" s="1"/>
  <c r="AS59" i="47" a="1"/>
  <c r="AS59" i="47" s="1"/>
  <c r="AI59" i="47" a="1"/>
  <c r="AI59" i="47" s="1"/>
  <c r="AA59" i="47" a="1"/>
  <c r="AA59" i="47" s="1"/>
  <c r="S59" i="47" a="1"/>
  <c r="S59" i="47" s="1"/>
  <c r="K59" i="47" a="1"/>
  <c r="K59" i="47" s="1"/>
  <c r="AL58" i="47" a="1"/>
  <c r="AL58" i="47" s="1"/>
  <c r="AD58" i="47" a="1"/>
  <c r="AD58" i="47" s="1"/>
  <c r="V58" i="47" a="1"/>
  <c r="V58" i="47" s="1"/>
  <c r="N58" i="47" a="1"/>
  <c r="N58" i="47" s="1"/>
  <c r="AQ56" i="47" a="1"/>
  <c r="AQ56" i="47" s="1"/>
  <c r="AG56" i="47" a="1"/>
  <c r="AG56" i="47" s="1"/>
  <c r="Y56" i="47" a="1"/>
  <c r="Y56" i="47" s="1"/>
  <c r="Q56" i="47" a="1"/>
  <c r="Q56" i="47" s="1"/>
  <c r="AT55" i="47" a="1"/>
  <c r="AT55" i="47" s="1"/>
  <c r="AJ55" i="47" a="1"/>
  <c r="AJ55" i="47" s="1"/>
  <c r="AB55" i="47" a="1"/>
  <c r="AB55" i="47" s="1"/>
  <c r="T55" i="47" a="1"/>
  <c r="T55" i="47" s="1"/>
  <c r="L55" i="47" a="1"/>
  <c r="L55" i="47" s="1"/>
  <c r="AM53" i="47" a="1"/>
  <c r="AM53" i="47" s="1"/>
  <c r="AE53" i="47" a="1"/>
  <c r="AE53" i="47" s="1"/>
  <c r="W53" i="47" a="1"/>
  <c r="W53" i="47" s="1"/>
  <c r="O53" i="47" a="1"/>
  <c r="O53" i="47" s="1"/>
  <c r="AR52" i="47" a="1"/>
  <c r="AR52" i="47" s="1"/>
  <c r="AH52" i="47" a="1"/>
  <c r="AH52" i="47" s="1"/>
  <c r="Z52" i="47" a="1"/>
  <c r="Z52" i="47" s="1"/>
  <c r="R52" i="47" a="1"/>
  <c r="R52" i="47" s="1"/>
  <c r="J52" i="47" a="1"/>
  <c r="J52" i="47" s="1"/>
  <c r="AK50" i="47" a="1"/>
  <c r="AK50" i="47" s="1"/>
  <c r="AC50" i="47" a="1"/>
  <c r="AC50" i="47" s="1"/>
  <c r="U50" i="47" a="1"/>
  <c r="U50" i="47" s="1"/>
  <c r="M50" i="47" a="1"/>
  <c r="M50" i="47" s="1"/>
  <c r="AP49" i="47" a="1"/>
  <c r="AP49" i="47" s="1"/>
  <c r="AF49" i="47" a="1"/>
  <c r="AF49" i="47" s="1"/>
  <c r="X49" i="47" a="1"/>
  <c r="X49" i="47" s="1"/>
  <c r="P49" i="47" a="1"/>
  <c r="P49" i="47" s="1"/>
  <c r="AS47" i="47" a="1"/>
  <c r="AS47" i="47" s="1"/>
  <c r="AI47" i="47" a="1"/>
  <c r="AI47" i="47" s="1"/>
  <c r="AA47" i="47" a="1"/>
  <c r="AA47" i="47" s="1"/>
  <c r="S47" i="47" a="1"/>
  <c r="S47" i="47" s="1"/>
  <c r="K47" i="47" a="1"/>
  <c r="K47" i="47" s="1"/>
  <c r="AL46" i="47" a="1"/>
  <c r="AL46" i="47" s="1"/>
  <c r="AD46" i="47" a="1"/>
  <c r="AD46" i="47" s="1"/>
  <c r="V46" i="47" a="1"/>
  <c r="V46" i="47" s="1"/>
  <c r="N46" i="47" a="1"/>
  <c r="N46" i="47" s="1"/>
  <c r="AQ44" i="47" a="1"/>
  <c r="AQ44" i="47" s="1"/>
  <c r="AG44" i="47" a="1"/>
  <c r="AG44" i="47" s="1"/>
  <c r="Y44" i="47" a="1"/>
  <c r="Y44" i="47" s="1"/>
  <c r="Q44" i="47" a="1"/>
  <c r="Q44" i="47" s="1"/>
  <c r="AT43" i="47" a="1"/>
  <c r="AT43" i="47" s="1"/>
  <c r="AJ43" i="47" a="1"/>
  <c r="AJ43" i="47" s="1"/>
  <c r="AB43" i="47" a="1"/>
  <c r="AB43" i="47" s="1"/>
  <c r="T43" i="47" a="1"/>
  <c r="T43" i="47" s="1"/>
  <c r="L43" i="47" a="1"/>
  <c r="L43" i="47" s="1"/>
  <c r="AM41" i="47" a="1"/>
  <c r="AM41" i="47" s="1"/>
  <c r="AE41" i="47" a="1"/>
  <c r="AE41" i="47" s="1"/>
  <c r="W41" i="47" a="1"/>
  <c r="W41" i="47" s="1"/>
  <c r="O41" i="47" a="1"/>
  <c r="O41" i="47" s="1"/>
  <c r="AR40" i="47" a="1"/>
  <c r="AR40" i="47" s="1"/>
  <c r="AH40" i="47" a="1"/>
  <c r="AH40" i="47" s="1"/>
  <c r="Z40" i="47" a="1"/>
  <c r="Z40" i="47" s="1"/>
  <c r="R40" i="47" a="1"/>
  <c r="R40" i="47" s="1"/>
  <c r="J40" i="47" a="1"/>
  <c r="J40" i="47" s="1"/>
  <c r="AK38" i="47" a="1"/>
  <c r="AK38" i="47" s="1"/>
  <c r="AC38" i="47" a="1"/>
  <c r="AC38" i="47" s="1"/>
  <c r="U38" i="47" a="1"/>
  <c r="U38" i="47" s="1"/>
  <c r="M38" i="47" a="1"/>
  <c r="M38" i="47" s="1"/>
  <c r="AP37" i="47" a="1"/>
  <c r="AP37" i="47" s="1"/>
  <c r="AF37" i="47" a="1"/>
  <c r="AF37" i="47" s="1"/>
  <c r="X37" i="47" a="1"/>
  <c r="X37" i="47" s="1"/>
  <c r="P37" i="47" a="1"/>
  <c r="P37" i="47" s="1"/>
  <c r="AS35" i="47" a="1"/>
  <c r="AS35" i="47" s="1"/>
  <c r="AI35" i="47" a="1"/>
  <c r="AI35" i="47" s="1"/>
  <c r="AA35" i="47" a="1"/>
  <c r="AA35" i="47" s="1"/>
  <c r="S35" i="47" a="1"/>
  <c r="S35" i="47" s="1"/>
  <c r="K35" i="47" a="1"/>
  <c r="K35" i="47" s="1"/>
  <c r="AL34" i="47" a="1"/>
  <c r="AL34" i="47" s="1"/>
  <c r="AD34" i="47" a="1"/>
  <c r="AD34" i="47" s="1"/>
  <c r="V34" i="47" a="1"/>
  <c r="V34" i="47" s="1"/>
  <c r="N34" i="47" a="1"/>
  <c r="N34" i="47" s="1"/>
  <c r="AQ32" i="47" a="1"/>
  <c r="AQ32" i="47" s="1"/>
  <c r="AG32" i="47" a="1"/>
  <c r="AG32" i="47" s="1"/>
  <c r="Y32" i="47" a="1"/>
  <c r="Y32" i="47" s="1"/>
  <c r="Q32" i="47" a="1"/>
  <c r="Q32" i="47" s="1"/>
  <c r="AT31" i="47" a="1"/>
  <c r="AT31" i="47" s="1"/>
  <c r="AJ31" i="47" a="1"/>
  <c r="AJ31" i="47" s="1"/>
  <c r="AB31" i="47" a="1"/>
  <c r="AB31" i="47" s="1"/>
  <c r="T31" i="47" a="1"/>
  <c r="T31" i="47" s="1"/>
  <c r="L31" i="47" a="1"/>
  <c r="L31" i="47" s="1"/>
  <c r="AM29" i="47" a="1"/>
  <c r="AM29" i="47" s="1"/>
  <c r="AE29" i="47" a="1"/>
  <c r="AE29" i="47" s="1"/>
  <c r="W29" i="47" a="1"/>
  <c r="W29" i="47" s="1"/>
  <c r="O29" i="47" a="1"/>
  <c r="O29" i="47" s="1"/>
  <c r="AR28" i="47" a="1"/>
  <c r="AR28" i="47" s="1"/>
  <c r="AH28" i="47" a="1"/>
  <c r="AH28" i="47" s="1"/>
  <c r="Z28" i="47" a="1"/>
  <c r="Z28" i="47" s="1"/>
  <c r="R28" i="47" a="1"/>
  <c r="R28" i="47" s="1"/>
  <c r="J28" i="47" a="1"/>
  <c r="J28" i="47" s="1"/>
  <c r="AK26" i="47" a="1"/>
  <c r="AK26" i="47" s="1"/>
  <c r="AC26" i="47" a="1"/>
  <c r="AC26" i="47" s="1"/>
  <c r="U26" i="47" a="1"/>
  <c r="U26" i="47" s="1"/>
  <c r="M26" i="47" a="1"/>
  <c r="M26" i="47" s="1"/>
  <c r="AP25" i="47" a="1"/>
  <c r="AP25" i="47" s="1"/>
  <c r="AF25" i="47" a="1"/>
  <c r="AF25" i="47" s="1"/>
  <c r="X25" i="47" a="1"/>
  <c r="X25" i="47" s="1"/>
  <c r="P25" i="47" a="1"/>
  <c r="P25" i="47" s="1"/>
  <c r="AS23" i="47" a="1"/>
  <c r="AS23" i="47" s="1"/>
  <c r="AI23" i="47" a="1"/>
  <c r="AI23" i="47" s="1"/>
  <c r="AA23" i="47" a="1"/>
  <c r="AA23" i="47" s="1"/>
  <c r="S23" i="47" a="1"/>
  <c r="S23" i="47" s="1"/>
  <c r="K23" i="47" a="1"/>
  <c r="K23" i="47" s="1"/>
  <c r="AL22" i="47" a="1"/>
  <c r="AL22" i="47" s="1"/>
  <c r="AD22" i="47" a="1"/>
  <c r="AD22" i="47" s="1"/>
  <c r="V22" i="47" a="1"/>
  <c r="V22" i="47" s="1"/>
  <c r="N22" i="47" a="1"/>
  <c r="N22" i="47" s="1"/>
  <c r="AQ20" i="47" a="1"/>
  <c r="AQ20" i="47" s="1"/>
  <c r="AG20" i="47" a="1"/>
  <c r="AG20" i="47" s="1"/>
  <c r="Y20" i="47" a="1"/>
  <c r="Y20" i="47" s="1"/>
  <c r="Q20" i="47" a="1"/>
  <c r="Q20" i="47" s="1"/>
  <c r="AT19" i="47" a="1"/>
  <c r="AT19" i="47" s="1"/>
  <c r="AJ19" i="47" a="1"/>
  <c r="AJ19" i="47" s="1"/>
  <c r="AB19" i="47" a="1"/>
  <c r="AB19" i="47" s="1"/>
  <c r="T19" i="47" a="1"/>
  <c r="T19" i="47" s="1"/>
  <c r="L19" i="47" a="1"/>
  <c r="L19" i="47" s="1"/>
  <c r="AM17" i="47" a="1"/>
  <c r="AM17" i="47" s="1"/>
  <c r="S76" i="47" a="1"/>
  <c r="S76" i="47" s="1"/>
  <c r="AT74" i="47" a="1"/>
  <c r="AT74" i="47" s="1"/>
  <c r="AJ74" i="47" a="1"/>
  <c r="AJ74" i="47" s="1"/>
  <c r="AB74" i="47" a="1"/>
  <c r="AB74" i="47" s="1"/>
  <c r="T74" i="47" a="1"/>
  <c r="T74" i="47" s="1"/>
  <c r="L74" i="47" a="1"/>
  <c r="L74" i="47" s="1"/>
  <c r="AM73" i="47" a="1"/>
  <c r="AM73" i="47" s="1"/>
  <c r="AE73" i="47" a="1"/>
  <c r="AE73" i="47" s="1"/>
  <c r="W73" i="47" a="1"/>
  <c r="W73" i="47" s="1"/>
  <c r="O73" i="47" a="1"/>
  <c r="O73" i="47" s="1"/>
  <c r="AR71" i="47" a="1"/>
  <c r="AR71" i="47" s="1"/>
  <c r="AH71" i="47" a="1"/>
  <c r="AH71" i="47" s="1"/>
  <c r="Z71" i="47" a="1"/>
  <c r="Z71" i="47" s="1"/>
  <c r="R71" i="47" a="1"/>
  <c r="R71" i="47" s="1"/>
  <c r="J71" i="47" a="1"/>
  <c r="J71" i="47" s="1"/>
  <c r="AK70" i="47" a="1"/>
  <c r="AK70" i="47" s="1"/>
  <c r="AC70" i="47" a="1"/>
  <c r="AC70" i="47" s="1"/>
  <c r="U70" i="47" a="1"/>
  <c r="U70" i="47" s="1"/>
  <c r="M70" i="47" a="1"/>
  <c r="M70" i="47" s="1"/>
  <c r="AP68" i="47" a="1"/>
  <c r="AP68" i="47" s="1"/>
  <c r="AF68" i="47" a="1"/>
  <c r="AF68" i="47" s="1"/>
  <c r="X68" i="47" a="1"/>
  <c r="X68" i="47" s="1"/>
  <c r="P68" i="47" a="1"/>
  <c r="P68" i="47" s="1"/>
  <c r="AS67" i="47" a="1"/>
  <c r="AS67" i="47" s="1"/>
  <c r="AI67" i="47" a="1"/>
  <c r="AI67" i="47" s="1"/>
  <c r="AA67" i="47" a="1"/>
  <c r="AA67" i="47" s="1"/>
  <c r="S67" i="47" a="1"/>
  <c r="S67" i="47" s="1"/>
  <c r="K67" i="47" a="1"/>
  <c r="K67" i="47" s="1"/>
  <c r="AL65" i="47" a="1"/>
  <c r="AL65" i="47" s="1"/>
  <c r="AD65" i="47" a="1"/>
  <c r="AD65" i="47" s="1"/>
  <c r="V65" i="47" a="1"/>
  <c r="V65" i="47" s="1"/>
  <c r="N65" i="47" a="1"/>
  <c r="N65" i="47" s="1"/>
  <c r="AQ64" i="47" a="1"/>
  <c r="AQ64" i="47" s="1"/>
  <c r="AG64" i="47" a="1"/>
  <c r="AG64" i="47" s="1"/>
  <c r="Y64" i="47" a="1"/>
  <c r="Y64" i="47" s="1"/>
  <c r="Q64" i="47" a="1"/>
  <c r="Q64" i="47" s="1"/>
  <c r="AT62" i="47" a="1"/>
  <c r="AT62" i="47" s="1"/>
  <c r="AJ62" i="47" a="1"/>
  <c r="AJ62" i="47" s="1"/>
  <c r="AB62" i="47" a="1"/>
  <c r="AB62" i="47" s="1"/>
  <c r="T62" i="47" a="1"/>
  <c r="T62" i="47" s="1"/>
  <c r="L62" i="47" a="1"/>
  <c r="L62" i="47" s="1"/>
  <c r="AM61" i="47" a="1"/>
  <c r="AM61" i="47" s="1"/>
  <c r="AE61" i="47" a="1"/>
  <c r="AE61" i="47" s="1"/>
  <c r="W61" i="47" a="1"/>
  <c r="W61" i="47" s="1"/>
  <c r="O61" i="47" a="1"/>
  <c r="O61" i="47" s="1"/>
  <c r="AR59" i="47" a="1"/>
  <c r="AR59" i="47" s="1"/>
  <c r="AH59" i="47" a="1"/>
  <c r="AH59" i="47" s="1"/>
  <c r="Z59" i="47" a="1"/>
  <c r="Z59" i="47" s="1"/>
  <c r="R59" i="47" a="1"/>
  <c r="R59" i="47" s="1"/>
  <c r="J59" i="47" a="1"/>
  <c r="J59" i="47" s="1"/>
  <c r="AK58" i="47" a="1"/>
  <c r="AK58" i="47" s="1"/>
  <c r="AC58" i="47" a="1"/>
  <c r="AC58" i="47" s="1"/>
  <c r="U58" i="47" a="1"/>
  <c r="U58" i="47" s="1"/>
  <c r="M58" i="47" a="1"/>
  <c r="M58" i="47" s="1"/>
  <c r="AP56" i="47" a="1"/>
  <c r="AP56" i="47" s="1"/>
  <c r="AF56" i="47" a="1"/>
  <c r="AF56" i="47" s="1"/>
  <c r="X56" i="47" a="1"/>
  <c r="X56" i="47" s="1"/>
  <c r="P56" i="47" a="1"/>
  <c r="P56" i="47" s="1"/>
  <c r="AS55" i="47" a="1"/>
  <c r="AS55" i="47" s="1"/>
  <c r="AI55" i="47" a="1"/>
  <c r="AI55" i="47" s="1"/>
  <c r="AA55" i="47" a="1"/>
  <c r="AA55" i="47" s="1"/>
  <c r="S55" i="47" a="1"/>
  <c r="S55" i="47" s="1"/>
  <c r="K55" i="47" a="1"/>
  <c r="K55" i="47" s="1"/>
  <c r="AL53" i="47" a="1"/>
  <c r="AL53" i="47" s="1"/>
  <c r="AD53" i="47" a="1"/>
  <c r="AD53" i="47" s="1"/>
  <c r="V53" i="47" a="1"/>
  <c r="V53" i="47" s="1"/>
  <c r="N53" i="47" a="1"/>
  <c r="N53" i="47" s="1"/>
  <c r="AQ52" i="47" a="1"/>
  <c r="AQ52" i="47" s="1"/>
  <c r="AG52" i="47" a="1"/>
  <c r="AG52" i="47" s="1"/>
  <c r="Y52" i="47" a="1"/>
  <c r="Y52" i="47" s="1"/>
  <c r="Q52" i="47" a="1"/>
  <c r="Q52" i="47" s="1"/>
  <c r="AT50" i="47" a="1"/>
  <c r="AT50" i="47" s="1"/>
  <c r="AJ50" i="47" a="1"/>
  <c r="AJ50" i="47" s="1"/>
  <c r="AB50" i="47" a="1"/>
  <c r="AB50" i="47" s="1"/>
  <c r="T50" i="47" a="1"/>
  <c r="T50" i="47" s="1"/>
  <c r="L50" i="47" a="1"/>
  <c r="L50" i="47" s="1"/>
  <c r="AM49" i="47" a="1"/>
  <c r="AM49" i="47" s="1"/>
  <c r="AE49" i="47" a="1"/>
  <c r="AE49" i="47" s="1"/>
  <c r="W49" i="47" a="1"/>
  <c r="W49" i="47" s="1"/>
  <c r="O49" i="47" a="1"/>
  <c r="O49" i="47" s="1"/>
  <c r="AR47" i="47" a="1"/>
  <c r="AR47" i="47" s="1"/>
  <c r="AH47" i="47" a="1"/>
  <c r="AH47" i="47" s="1"/>
  <c r="Z47" i="47" a="1"/>
  <c r="Z47" i="47" s="1"/>
  <c r="R47" i="47" a="1"/>
  <c r="R47" i="47" s="1"/>
  <c r="J47" i="47" a="1"/>
  <c r="J47" i="47" s="1"/>
  <c r="AK46" i="47" a="1"/>
  <c r="AK46" i="47" s="1"/>
  <c r="AC46" i="47" a="1"/>
  <c r="AC46" i="47" s="1"/>
  <c r="U46" i="47" a="1"/>
  <c r="U46" i="47" s="1"/>
  <c r="M46" i="47" a="1"/>
  <c r="M46" i="47" s="1"/>
  <c r="AP44" i="47" a="1"/>
  <c r="AP44" i="47" s="1"/>
  <c r="AF44" i="47" a="1"/>
  <c r="AF44" i="47" s="1"/>
  <c r="X44" i="47" a="1"/>
  <c r="X44" i="47" s="1"/>
  <c r="P44" i="47" a="1"/>
  <c r="P44" i="47" s="1"/>
  <c r="AS43" i="47" a="1"/>
  <c r="AS43" i="47" s="1"/>
  <c r="AI43" i="47" a="1"/>
  <c r="AI43" i="47" s="1"/>
  <c r="AA43" i="47" a="1"/>
  <c r="AA43" i="47" s="1"/>
  <c r="S43" i="47" a="1"/>
  <c r="S43" i="47" s="1"/>
  <c r="K43" i="47" a="1"/>
  <c r="K43" i="47" s="1"/>
  <c r="AL41" i="47" a="1"/>
  <c r="AL41" i="47" s="1"/>
  <c r="AD41" i="47" a="1"/>
  <c r="AD41" i="47" s="1"/>
  <c r="V41" i="47" a="1"/>
  <c r="V41" i="47" s="1"/>
  <c r="N41" i="47" a="1"/>
  <c r="N41" i="47" s="1"/>
  <c r="AQ40" i="47" a="1"/>
  <c r="AQ40" i="47" s="1"/>
  <c r="AG40" i="47" a="1"/>
  <c r="AG40" i="47" s="1"/>
  <c r="Y40" i="47" a="1"/>
  <c r="Y40" i="47" s="1"/>
  <c r="Q40" i="47" a="1"/>
  <c r="Q40" i="47" s="1"/>
  <c r="AT38" i="47" a="1"/>
  <c r="AT38" i="47" s="1"/>
  <c r="AJ38" i="47" a="1"/>
  <c r="AJ38" i="47" s="1"/>
  <c r="AB38" i="47" a="1"/>
  <c r="AB38" i="47" s="1"/>
  <c r="T38" i="47" a="1"/>
  <c r="T38" i="47" s="1"/>
  <c r="L38" i="47" a="1"/>
  <c r="L38" i="47" s="1"/>
  <c r="AM37" i="47" a="1"/>
  <c r="AM37" i="47" s="1"/>
  <c r="AE37" i="47" a="1"/>
  <c r="AE37" i="47" s="1"/>
  <c r="W37" i="47" a="1"/>
  <c r="W37" i="47" s="1"/>
  <c r="O37" i="47" a="1"/>
  <c r="O37" i="47" s="1"/>
  <c r="AR35" i="47" a="1"/>
  <c r="AR35" i="47" s="1"/>
  <c r="AH35" i="47" a="1"/>
  <c r="AH35" i="47" s="1"/>
  <c r="Z35" i="47" a="1"/>
  <c r="Z35" i="47" s="1"/>
  <c r="R35" i="47" a="1"/>
  <c r="R35" i="47" s="1"/>
  <c r="J35" i="47" a="1"/>
  <c r="J35" i="47" s="1"/>
  <c r="AK34" i="47" a="1"/>
  <c r="AK34" i="47" s="1"/>
  <c r="AC34" i="47" a="1"/>
  <c r="AC34" i="47" s="1"/>
  <c r="U34" i="47" a="1"/>
  <c r="U34" i="47" s="1"/>
  <c r="M34" i="47" a="1"/>
  <c r="M34" i="47" s="1"/>
  <c r="AP32" i="47" a="1"/>
  <c r="AP32" i="47" s="1"/>
  <c r="AF32" i="47" a="1"/>
  <c r="AF32" i="47" s="1"/>
  <c r="X32" i="47" a="1"/>
  <c r="X32" i="47" s="1"/>
  <c r="P32" i="47" a="1"/>
  <c r="P32" i="47" s="1"/>
  <c r="AS31" i="47" a="1"/>
  <c r="AS31" i="47" s="1"/>
  <c r="AI31" i="47" a="1"/>
  <c r="AI31" i="47" s="1"/>
  <c r="AA31" i="47" a="1"/>
  <c r="AA31" i="47" s="1"/>
  <c r="S31" i="47" a="1"/>
  <c r="S31" i="47" s="1"/>
  <c r="K31" i="47" a="1"/>
  <c r="K31" i="47" s="1"/>
  <c r="AL29" i="47" a="1"/>
  <c r="AL29" i="47" s="1"/>
  <c r="AD29" i="47" a="1"/>
  <c r="AD29" i="47" s="1"/>
  <c r="V29" i="47" a="1"/>
  <c r="V29" i="47" s="1"/>
  <c r="N29" i="47" a="1"/>
  <c r="N29" i="47" s="1"/>
  <c r="AQ28" i="47" a="1"/>
  <c r="AQ28" i="47" s="1"/>
  <c r="AG28" i="47" a="1"/>
  <c r="AG28" i="47" s="1"/>
  <c r="Y28" i="47" a="1"/>
  <c r="Y28" i="47" s="1"/>
  <c r="Q28" i="47" a="1"/>
  <c r="Q28" i="47" s="1"/>
  <c r="AT26" i="47" a="1"/>
  <c r="AT26" i="47" s="1"/>
  <c r="AJ26" i="47" a="1"/>
  <c r="AJ26" i="47" s="1"/>
  <c r="AB26" i="47" a="1"/>
  <c r="AB26" i="47" s="1"/>
  <c r="T26" i="47" a="1"/>
  <c r="T26" i="47" s="1"/>
  <c r="L26" i="47" a="1"/>
  <c r="L26" i="47" s="1"/>
  <c r="AM25" i="47" a="1"/>
  <c r="AM25" i="47" s="1"/>
  <c r="AE25" i="47" a="1"/>
  <c r="AE25" i="47" s="1"/>
  <c r="W25" i="47" a="1"/>
  <c r="W25" i="47" s="1"/>
  <c r="O25" i="47" a="1"/>
  <c r="O25" i="47" s="1"/>
  <c r="AR23" i="47" a="1"/>
  <c r="AR23" i="47" s="1"/>
  <c r="AH23" i="47" a="1"/>
  <c r="AH23" i="47" s="1"/>
  <c r="Z23" i="47" a="1"/>
  <c r="Z23" i="47" s="1"/>
  <c r="R23" i="47" a="1"/>
  <c r="R23" i="47" s="1"/>
  <c r="J23" i="47" a="1"/>
  <c r="J23" i="47" s="1"/>
  <c r="AK22" i="47" a="1"/>
  <c r="AK22" i="47" s="1"/>
  <c r="AC22" i="47" a="1"/>
  <c r="AC22" i="47" s="1"/>
  <c r="U22" i="47" a="1"/>
  <c r="U22" i="47" s="1"/>
  <c r="M22" i="47" a="1"/>
  <c r="M22" i="47" s="1"/>
  <c r="AP20" i="47" a="1"/>
  <c r="AP20" i="47" s="1"/>
  <c r="AF20" i="47" a="1"/>
  <c r="AF20" i="47" s="1"/>
  <c r="X20" i="47" a="1"/>
  <c r="X20" i="47" s="1"/>
  <c r="P20" i="47" a="1"/>
  <c r="P20" i="47" s="1"/>
  <c r="AS19" i="47" a="1"/>
  <c r="AS19" i="47" s="1"/>
  <c r="AI19" i="47" a="1"/>
  <c r="AI19" i="47" s="1"/>
  <c r="AA19" i="47" a="1"/>
  <c r="AA19" i="47" s="1"/>
  <c r="Q76" i="47" a="1"/>
  <c r="Q76" i="47" s="1"/>
  <c r="AS74" i="47" a="1"/>
  <c r="AS74" i="47" s="1"/>
  <c r="AI74" i="47" a="1"/>
  <c r="AI74" i="47" s="1"/>
  <c r="AA74" i="47" a="1"/>
  <c r="AA74" i="47" s="1"/>
  <c r="S74" i="47" a="1"/>
  <c r="S74" i="47" s="1"/>
  <c r="K74" i="47" a="1"/>
  <c r="K74" i="47" s="1"/>
  <c r="AL73" i="47" a="1"/>
  <c r="AL73" i="47" s="1"/>
  <c r="AD73" i="47" a="1"/>
  <c r="AD73" i="47" s="1"/>
  <c r="V73" i="47" a="1"/>
  <c r="V73" i="47" s="1"/>
  <c r="N73" i="47" a="1"/>
  <c r="N73" i="47" s="1"/>
  <c r="AQ71" i="47" a="1"/>
  <c r="AQ71" i="47" s="1"/>
  <c r="AG71" i="47" a="1"/>
  <c r="AG71" i="47" s="1"/>
  <c r="Y71" i="47" a="1"/>
  <c r="Y71" i="47" s="1"/>
  <c r="Q71" i="47" a="1"/>
  <c r="Q71" i="47" s="1"/>
  <c r="AT70" i="47" a="1"/>
  <c r="AT70" i="47" s="1"/>
  <c r="AJ70" i="47" a="1"/>
  <c r="AJ70" i="47" s="1"/>
  <c r="AB70" i="47" a="1"/>
  <c r="AB70" i="47" s="1"/>
  <c r="T70" i="47" a="1"/>
  <c r="T70" i="47" s="1"/>
  <c r="L70" i="47" a="1"/>
  <c r="L70" i="47" s="1"/>
  <c r="AM68" i="47" a="1"/>
  <c r="AM68" i="47" s="1"/>
  <c r="AE68" i="47" a="1"/>
  <c r="AE68" i="47" s="1"/>
  <c r="W68" i="47" a="1"/>
  <c r="W68" i="47" s="1"/>
  <c r="O68" i="47" a="1"/>
  <c r="O68" i="47" s="1"/>
  <c r="AR67" i="47" a="1"/>
  <c r="AR67" i="47" s="1"/>
  <c r="AH67" i="47" a="1"/>
  <c r="AH67" i="47" s="1"/>
  <c r="Z67" i="47" a="1"/>
  <c r="Z67" i="47" s="1"/>
  <c r="R67" i="47" a="1"/>
  <c r="R67" i="47" s="1"/>
  <c r="J67" i="47" a="1"/>
  <c r="J67" i="47" s="1"/>
  <c r="AK65" i="47" a="1"/>
  <c r="AK65" i="47" s="1"/>
  <c r="AC65" i="47" a="1"/>
  <c r="AC65" i="47" s="1"/>
  <c r="U65" i="47" a="1"/>
  <c r="U65" i="47" s="1"/>
  <c r="M65" i="47" a="1"/>
  <c r="M65" i="47" s="1"/>
  <c r="AP64" i="47" a="1"/>
  <c r="AP64" i="47" s="1"/>
  <c r="AF64" i="47" a="1"/>
  <c r="AF64" i="47" s="1"/>
  <c r="X64" i="47" a="1"/>
  <c r="X64" i="47" s="1"/>
  <c r="P64" i="47" a="1"/>
  <c r="P64" i="47" s="1"/>
  <c r="AS62" i="47" a="1"/>
  <c r="AS62" i="47" s="1"/>
  <c r="AI62" i="47" a="1"/>
  <c r="AI62" i="47" s="1"/>
  <c r="AA62" i="47" a="1"/>
  <c r="AA62" i="47" s="1"/>
  <c r="S62" i="47" a="1"/>
  <c r="S62" i="47" s="1"/>
  <c r="K62" i="47" a="1"/>
  <c r="K62" i="47" s="1"/>
  <c r="AL61" i="47" a="1"/>
  <c r="AL61" i="47" s="1"/>
  <c r="AD61" i="47" a="1"/>
  <c r="AD61" i="47" s="1"/>
  <c r="V61" i="47" a="1"/>
  <c r="V61" i="47" s="1"/>
  <c r="N61" i="47" a="1"/>
  <c r="N61" i="47" s="1"/>
  <c r="AQ59" i="47" a="1"/>
  <c r="AQ59" i="47" s="1"/>
  <c r="AG59" i="47" a="1"/>
  <c r="AG59" i="47" s="1"/>
  <c r="Y59" i="47" a="1"/>
  <c r="Y59" i="47" s="1"/>
  <c r="Q59" i="47" a="1"/>
  <c r="Q59" i="47" s="1"/>
  <c r="AT58" i="47" a="1"/>
  <c r="AT58" i="47" s="1"/>
  <c r="AJ58" i="47" a="1"/>
  <c r="AJ58" i="47" s="1"/>
  <c r="AB58" i="47" a="1"/>
  <c r="AB58" i="47" s="1"/>
  <c r="T58" i="47" a="1"/>
  <c r="T58" i="47" s="1"/>
  <c r="L58" i="47" a="1"/>
  <c r="L58" i="47" s="1"/>
  <c r="AM56" i="47" a="1"/>
  <c r="AM56" i="47" s="1"/>
  <c r="AE56" i="47" a="1"/>
  <c r="AE56" i="47" s="1"/>
  <c r="W56" i="47" a="1"/>
  <c r="W56" i="47" s="1"/>
  <c r="O56" i="47" a="1"/>
  <c r="O56" i="47" s="1"/>
  <c r="AR55" i="47" a="1"/>
  <c r="AR55" i="47" s="1"/>
  <c r="AH55" i="47" a="1"/>
  <c r="AH55" i="47" s="1"/>
  <c r="Z55" i="47" a="1"/>
  <c r="Z55" i="47" s="1"/>
  <c r="R55" i="47" a="1"/>
  <c r="R55" i="47" s="1"/>
  <c r="J55" i="47" a="1"/>
  <c r="J55" i="47" s="1"/>
  <c r="AK53" i="47" a="1"/>
  <c r="AK53" i="47" s="1"/>
  <c r="AC53" i="47" a="1"/>
  <c r="AC53" i="47" s="1"/>
  <c r="U53" i="47" a="1"/>
  <c r="U53" i="47" s="1"/>
  <c r="M53" i="47" a="1"/>
  <c r="M53" i="47" s="1"/>
  <c r="AP52" i="47" a="1"/>
  <c r="AP52" i="47" s="1"/>
  <c r="AF52" i="47" a="1"/>
  <c r="AF52" i="47" s="1"/>
  <c r="X52" i="47" a="1"/>
  <c r="X52" i="47" s="1"/>
  <c r="P52" i="47" a="1"/>
  <c r="P52" i="47" s="1"/>
  <c r="AS50" i="47" a="1"/>
  <c r="AS50" i="47" s="1"/>
  <c r="AI50" i="47" a="1"/>
  <c r="AI50" i="47" s="1"/>
  <c r="AA50" i="47" a="1"/>
  <c r="AA50" i="47" s="1"/>
  <c r="S50" i="47" a="1"/>
  <c r="S50" i="47" s="1"/>
  <c r="K50" i="47" a="1"/>
  <c r="K50" i="47" s="1"/>
  <c r="AL49" i="47" a="1"/>
  <c r="AL49" i="47" s="1"/>
  <c r="AD49" i="47" a="1"/>
  <c r="AD49" i="47" s="1"/>
  <c r="V49" i="47" a="1"/>
  <c r="V49" i="47" s="1"/>
  <c r="N49" i="47" a="1"/>
  <c r="N49" i="47" s="1"/>
  <c r="AQ47" i="47" a="1"/>
  <c r="AQ47" i="47" s="1"/>
  <c r="AG47" i="47" a="1"/>
  <c r="AG47" i="47" s="1"/>
  <c r="Y47" i="47" a="1"/>
  <c r="Y47" i="47" s="1"/>
  <c r="Q47" i="47" a="1"/>
  <c r="Q47" i="47" s="1"/>
  <c r="AT46" i="47" a="1"/>
  <c r="AT46" i="47" s="1"/>
  <c r="AJ46" i="47" a="1"/>
  <c r="AJ46" i="47" s="1"/>
  <c r="AB46" i="47" a="1"/>
  <c r="AB46" i="47" s="1"/>
  <c r="T46" i="47" a="1"/>
  <c r="T46" i="47" s="1"/>
  <c r="L46" i="47" a="1"/>
  <c r="L46" i="47" s="1"/>
  <c r="AM44" i="47" a="1"/>
  <c r="AM44" i="47" s="1"/>
  <c r="AE44" i="47" a="1"/>
  <c r="AE44" i="47" s="1"/>
  <c r="W44" i="47" a="1"/>
  <c r="W44" i="47" s="1"/>
  <c r="O44" i="47" a="1"/>
  <c r="O44" i="47" s="1"/>
  <c r="AR43" i="47" a="1"/>
  <c r="AR43" i="47" s="1"/>
  <c r="AH43" i="47" a="1"/>
  <c r="AH43" i="47" s="1"/>
  <c r="Z43" i="47" a="1"/>
  <c r="Z43" i="47" s="1"/>
  <c r="R43" i="47" a="1"/>
  <c r="R43" i="47" s="1"/>
  <c r="J43" i="47" a="1"/>
  <c r="J43" i="47" s="1"/>
  <c r="AK41" i="47" a="1"/>
  <c r="AK41" i="47" s="1"/>
  <c r="AC41" i="47" a="1"/>
  <c r="AC41" i="47" s="1"/>
  <c r="U41" i="47" a="1"/>
  <c r="U41" i="47" s="1"/>
  <c r="M41" i="47" a="1"/>
  <c r="M41" i="47" s="1"/>
  <c r="AP40" i="47" a="1"/>
  <c r="AP40" i="47" s="1"/>
  <c r="AF40" i="47" a="1"/>
  <c r="AF40" i="47" s="1"/>
  <c r="X40" i="47" a="1"/>
  <c r="X40" i="47" s="1"/>
  <c r="P40" i="47" a="1"/>
  <c r="P40" i="47" s="1"/>
  <c r="AS38" i="47" a="1"/>
  <c r="AS38" i="47" s="1"/>
  <c r="AI38" i="47" a="1"/>
  <c r="AI38" i="47" s="1"/>
  <c r="AA38" i="47" a="1"/>
  <c r="AA38" i="47" s="1"/>
  <c r="S38" i="47" a="1"/>
  <c r="S38" i="47" s="1"/>
  <c r="K38" i="47" a="1"/>
  <c r="K38" i="47" s="1"/>
  <c r="AL37" i="47" a="1"/>
  <c r="AL37" i="47" s="1"/>
  <c r="AD37" i="47" a="1"/>
  <c r="AD37" i="47" s="1"/>
  <c r="V37" i="47" a="1"/>
  <c r="V37" i="47" s="1"/>
  <c r="N37" i="47" a="1"/>
  <c r="N37" i="47" s="1"/>
  <c r="AQ35" i="47" a="1"/>
  <c r="AQ35" i="47" s="1"/>
  <c r="AG35" i="47" a="1"/>
  <c r="AG35" i="47" s="1"/>
  <c r="Y35" i="47" a="1"/>
  <c r="Y35" i="47" s="1"/>
  <c r="Q35" i="47" a="1"/>
  <c r="Q35" i="47" s="1"/>
  <c r="AT34" i="47" a="1"/>
  <c r="AT34" i="47" s="1"/>
  <c r="AJ34" i="47" a="1"/>
  <c r="AJ34" i="47" s="1"/>
  <c r="AB34" i="47" a="1"/>
  <c r="AB34" i="47" s="1"/>
  <c r="T34" i="47" a="1"/>
  <c r="T34" i="47" s="1"/>
  <c r="L34" i="47" a="1"/>
  <c r="L34" i="47" s="1"/>
  <c r="AM32" i="47" a="1"/>
  <c r="AM32" i="47" s="1"/>
  <c r="AE32" i="47" a="1"/>
  <c r="AE32" i="47" s="1"/>
  <c r="W32" i="47" a="1"/>
  <c r="W32" i="47" s="1"/>
  <c r="O32" i="47" a="1"/>
  <c r="O32" i="47" s="1"/>
  <c r="AR31" i="47" a="1"/>
  <c r="AR31" i="47" s="1"/>
  <c r="AH31" i="47" a="1"/>
  <c r="AH31" i="47" s="1"/>
  <c r="Z31" i="47" a="1"/>
  <c r="Z31" i="47" s="1"/>
  <c r="R31" i="47" a="1"/>
  <c r="R31" i="47" s="1"/>
  <c r="J31" i="47" a="1"/>
  <c r="J31" i="47" s="1"/>
  <c r="AK29" i="47" a="1"/>
  <c r="AK29" i="47" s="1"/>
  <c r="AC29" i="47" a="1"/>
  <c r="AC29" i="47" s="1"/>
  <c r="U29" i="47" a="1"/>
  <c r="U29" i="47" s="1"/>
  <c r="M29" i="47" a="1"/>
  <c r="M29" i="47" s="1"/>
  <c r="AP28" i="47" a="1"/>
  <c r="AP28" i="47" s="1"/>
  <c r="AF28" i="47" a="1"/>
  <c r="AF28" i="47" s="1"/>
  <c r="X28" i="47" a="1"/>
  <c r="X28" i="47" s="1"/>
  <c r="AS26" i="47" a="1"/>
  <c r="AS26" i="47" s="1"/>
  <c r="AI26" i="47" a="1"/>
  <c r="AI26" i="47" s="1"/>
  <c r="AA26" i="47" a="1"/>
  <c r="AA26" i="47" s="1"/>
  <c r="S26" i="47" a="1"/>
  <c r="S26" i="47" s="1"/>
  <c r="K26" i="47" a="1"/>
  <c r="K26" i="47" s="1"/>
  <c r="AL25" i="47" a="1"/>
  <c r="AL25" i="47" s="1"/>
  <c r="AD25" i="47" a="1"/>
  <c r="AD25" i="47" s="1"/>
  <c r="V25" i="47" a="1"/>
  <c r="V25" i="47" s="1"/>
  <c r="N25" i="47" a="1"/>
  <c r="N25" i="47" s="1"/>
  <c r="AQ23" i="47" a="1"/>
  <c r="AQ23" i="47" s="1"/>
  <c r="AG23" i="47" a="1"/>
  <c r="AG23" i="47" s="1"/>
  <c r="Y23" i="47" a="1"/>
  <c r="Y23" i="47" s="1"/>
  <c r="Q23" i="47" a="1"/>
  <c r="Q23" i="47" s="1"/>
  <c r="AT22" i="47" a="1"/>
  <c r="AT22" i="47" s="1"/>
  <c r="AJ22" i="47" a="1"/>
  <c r="AJ22" i="47" s="1"/>
  <c r="AB22" i="47" a="1"/>
  <c r="AB22" i="47" s="1"/>
  <c r="T22" i="47" a="1"/>
  <c r="T22" i="47" s="1"/>
  <c r="L22" i="47" a="1"/>
  <c r="L22" i="47" s="1"/>
  <c r="AM20" i="47" a="1"/>
  <c r="AM20" i="47" s="1"/>
  <c r="AE20" i="47" a="1"/>
  <c r="AE20" i="47" s="1"/>
  <c r="W20" i="47" a="1"/>
  <c r="W20" i="47" s="1"/>
  <c r="O20" i="47" a="1"/>
  <c r="O20" i="47" s="1"/>
  <c r="AR19" i="47" a="1"/>
  <c r="AR19" i="47" s="1"/>
  <c r="AH19" i="47" a="1"/>
  <c r="AH19" i="47" s="1"/>
  <c r="Z19" i="47" a="1"/>
  <c r="Z19" i="47" s="1"/>
  <c r="R19" i="47" a="1"/>
  <c r="R19" i="47" s="1"/>
  <c r="J19" i="47" a="1"/>
  <c r="J19" i="47" s="1"/>
  <c r="AK17" i="47" a="1"/>
  <c r="AK17" i="47" s="1"/>
  <c r="AC17" i="47" a="1"/>
  <c r="AC17" i="47" s="1"/>
  <c r="O76" i="47" a="1"/>
  <c r="O76" i="47" s="1"/>
  <c r="AR74" i="47" a="1"/>
  <c r="AR74" i="47" s="1"/>
  <c r="AH74" i="47" a="1"/>
  <c r="AH74" i="47" s="1"/>
  <c r="Z74" i="47" a="1"/>
  <c r="Z74" i="47" s="1"/>
  <c r="R74" i="47" a="1"/>
  <c r="R74" i="47" s="1"/>
  <c r="J74" i="47" a="1"/>
  <c r="J74" i="47" s="1"/>
  <c r="AK73" i="47" a="1"/>
  <c r="AK73" i="47" s="1"/>
  <c r="AC73" i="47" a="1"/>
  <c r="AC73" i="47" s="1"/>
  <c r="U73" i="47" a="1"/>
  <c r="U73" i="47" s="1"/>
  <c r="M73" i="47" a="1"/>
  <c r="M73" i="47" s="1"/>
  <c r="AP71" i="47" a="1"/>
  <c r="AP71" i="47" s="1"/>
  <c r="AF71" i="47" a="1"/>
  <c r="AF71" i="47" s="1"/>
  <c r="X71" i="47" a="1"/>
  <c r="X71" i="47" s="1"/>
  <c r="P71" i="47" a="1"/>
  <c r="P71" i="47" s="1"/>
  <c r="AS70" i="47" a="1"/>
  <c r="AS70" i="47" s="1"/>
  <c r="AI70" i="47" a="1"/>
  <c r="AI70" i="47" s="1"/>
  <c r="AA70" i="47" a="1"/>
  <c r="AA70" i="47" s="1"/>
  <c r="S70" i="47" a="1"/>
  <c r="S70" i="47" s="1"/>
  <c r="K70" i="47" a="1"/>
  <c r="K70" i="47" s="1"/>
  <c r="AL68" i="47" a="1"/>
  <c r="AL68" i="47" s="1"/>
  <c r="AD68" i="47" a="1"/>
  <c r="AD68" i="47" s="1"/>
  <c r="V68" i="47" a="1"/>
  <c r="V68" i="47" s="1"/>
  <c r="N68" i="47" a="1"/>
  <c r="N68" i="47" s="1"/>
  <c r="AQ67" i="47" a="1"/>
  <c r="AQ67" i="47" s="1"/>
  <c r="AG67" i="47" a="1"/>
  <c r="AG67" i="47" s="1"/>
  <c r="Y67" i="47" a="1"/>
  <c r="Y67" i="47" s="1"/>
  <c r="Q67" i="47" a="1"/>
  <c r="Q67" i="47" s="1"/>
  <c r="AT65" i="47" a="1"/>
  <c r="AT65" i="47" s="1"/>
  <c r="AJ65" i="47" a="1"/>
  <c r="AJ65" i="47" s="1"/>
  <c r="AB65" i="47" a="1"/>
  <c r="AB65" i="47" s="1"/>
  <c r="T65" i="47" a="1"/>
  <c r="T65" i="47" s="1"/>
  <c r="L65" i="47" a="1"/>
  <c r="L65" i="47" s="1"/>
  <c r="AM64" i="47" a="1"/>
  <c r="AM64" i="47" s="1"/>
  <c r="AE64" i="47" a="1"/>
  <c r="AE64" i="47" s="1"/>
  <c r="W64" i="47" a="1"/>
  <c r="W64" i="47" s="1"/>
  <c r="O64" i="47" a="1"/>
  <c r="O64" i="47" s="1"/>
  <c r="AR62" i="47" a="1"/>
  <c r="AR62" i="47" s="1"/>
  <c r="AH62" i="47" a="1"/>
  <c r="AH62" i="47" s="1"/>
  <c r="Z62" i="47" a="1"/>
  <c r="Z62" i="47" s="1"/>
  <c r="R62" i="47" a="1"/>
  <c r="R62" i="47" s="1"/>
  <c r="J62" i="47" a="1"/>
  <c r="J62" i="47" s="1"/>
  <c r="AK61" i="47" a="1"/>
  <c r="AK61" i="47" s="1"/>
  <c r="AC61" i="47" a="1"/>
  <c r="AC61" i="47" s="1"/>
  <c r="U61" i="47" a="1"/>
  <c r="U61" i="47" s="1"/>
  <c r="M61" i="47" a="1"/>
  <c r="M61" i="47" s="1"/>
  <c r="AP59" i="47" a="1"/>
  <c r="AP59" i="47" s="1"/>
  <c r="AF59" i="47" a="1"/>
  <c r="AF59" i="47" s="1"/>
  <c r="X59" i="47" a="1"/>
  <c r="X59" i="47" s="1"/>
  <c r="P59" i="47" a="1"/>
  <c r="P59" i="47" s="1"/>
  <c r="AS58" i="47" a="1"/>
  <c r="AS58" i="47" s="1"/>
  <c r="AI58" i="47" a="1"/>
  <c r="AI58" i="47" s="1"/>
  <c r="AA58" i="47" a="1"/>
  <c r="AA58" i="47" s="1"/>
  <c r="S58" i="47" a="1"/>
  <c r="S58" i="47" s="1"/>
  <c r="K58" i="47" a="1"/>
  <c r="K58" i="47" s="1"/>
  <c r="AL56" i="47" a="1"/>
  <c r="AL56" i="47" s="1"/>
  <c r="AD56" i="47" a="1"/>
  <c r="AD56" i="47" s="1"/>
  <c r="V56" i="47" a="1"/>
  <c r="V56" i="47" s="1"/>
  <c r="N56" i="47" a="1"/>
  <c r="N56" i="47" s="1"/>
  <c r="AQ55" i="47" a="1"/>
  <c r="AQ55" i="47" s="1"/>
  <c r="AG55" i="47" a="1"/>
  <c r="AG55" i="47" s="1"/>
  <c r="Y55" i="47" a="1"/>
  <c r="Y55" i="47" s="1"/>
  <c r="Q55" i="47" a="1"/>
  <c r="Q55" i="47" s="1"/>
  <c r="AT53" i="47" a="1"/>
  <c r="AT53" i="47" s="1"/>
  <c r="AJ53" i="47" a="1"/>
  <c r="AJ53" i="47" s="1"/>
  <c r="AB53" i="47" a="1"/>
  <c r="AB53" i="47" s="1"/>
  <c r="T53" i="47" a="1"/>
  <c r="T53" i="47" s="1"/>
  <c r="L53" i="47" a="1"/>
  <c r="L53" i="47" s="1"/>
  <c r="AM52" i="47" a="1"/>
  <c r="AM52" i="47" s="1"/>
  <c r="AE52" i="47" a="1"/>
  <c r="AE52" i="47" s="1"/>
  <c r="W52" i="47" a="1"/>
  <c r="W52" i="47" s="1"/>
  <c r="O52" i="47" a="1"/>
  <c r="O52" i="47" s="1"/>
  <c r="AR50" i="47" a="1"/>
  <c r="AR50" i="47" s="1"/>
  <c r="AH50" i="47" a="1"/>
  <c r="AH50" i="47" s="1"/>
  <c r="Z50" i="47" a="1"/>
  <c r="Z50" i="47" s="1"/>
  <c r="R50" i="47" a="1"/>
  <c r="R50" i="47" s="1"/>
  <c r="J50" i="47" a="1"/>
  <c r="J50" i="47" s="1"/>
  <c r="AK49" i="47" a="1"/>
  <c r="AK49" i="47" s="1"/>
  <c r="AC49" i="47" a="1"/>
  <c r="AC49" i="47" s="1"/>
  <c r="U49" i="47" a="1"/>
  <c r="U49" i="47" s="1"/>
  <c r="M49" i="47" a="1"/>
  <c r="M49" i="47" s="1"/>
  <c r="AP47" i="47" a="1"/>
  <c r="AP47" i="47" s="1"/>
  <c r="AF47" i="47" a="1"/>
  <c r="AF47" i="47" s="1"/>
  <c r="X47" i="47" a="1"/>
  <c r="X47" i="47" s="1"/>
  <c r="P47" i="47" a="1"/>
  <c r="P47" i="47" s="1"/>
  <c r="AS46" i="47" a="1"/>
  <c r="AS46" i="47" s="1"/>
  <c r="AI46" i="47" a="1"/>
  <c r="AI46" i="47" s="1"/>
  <c r="AA46" i="47" a="1"/>
  <c r="AA46" i="47" s="1"/>
  <c r="S46" i="47" a="1"/>
  <c r="S46" i="47" s="1"/>
  <c r="K46" i="47" a="1"/>
  <c r="K46" i="47" s="1"/>
  <c r="AL44" i="47" a="1"/>
  <c r="AL44" i="47" s="1"/>
  <c r="AD44" i="47" a="1"/>
  <c r="AD44" i="47" s="1"/>
  <c r="V44" i="47" a="1"/>
  <c r="V44" i="47" s="1"/>
  <c r="N44" i="47" a="1"/>
  <c r="N44" i="47" s="1"/>
  <c r="AQ43" i="47" a="1"/>
  <c r="AQ43" i="47" s="1"/>
  <c r="AG43" i="47" a="1"/>
  <c r="AG43" i="47" s="1"/>
  <c r="Y43" i="47" a="1"/>
  <c r="Y43" i="47" s="1"/>
  <c r="Q43" i="47" a="1"/>
  <c r="Q43" i="47" s="1"/>
  <c r="AT41" i="47" a="1"/>
  <c r="AT41" i="47" s="1"/>
  <c r="AJ41" i="47" a="1"/>
  <c r="AJ41" i="47" s="1"/>
  <c r="AB41" i="47" a="1"/>
  <c r="AB41" i="47" s="1"/>
  <c r="T41" i="47" a="1"/>
  <c r="T41" i="47" s="1"/>
  <c r="L41" i="47" a="1"/>
  <c r="L41" i="47" s="1"/>
  <c r="AM40" i="47" a="1"/>
  <c r="AM40" i="47" s="1"/>
  <c r="AE40" i="47" a="1"/>
  <c r="AE40" i="47" s="1"/>
  <c r="W40" i="47" a="1"/>
  <c r="W40" i="47" s="1"/>
  <c r="O40" i="47" a="1"/>
  <c r="O40" i="47" s="1"/>
  <c r="AR38" i="47" a="1"/>
  <c r="AR38" i="47" s="1"/>
  <c r="AH38" i="47" a="1"/>
  <c r="AH38" i="47" s="1"/>
  <c r="Z38" i="47" a="1"/>
  <c r="Z38" i="47" s="1"/>
  <c r="R38" i="47" a="1"/>
  <c r="R38" i="47" s="1"/>
  <c r="J38" i="47" a="1"/>
  <c r="J38" i="47" s="1"/>
  <c r="AK37" i="47" a="1"/>
  <c r="AK37" i="47" s="1"/>
  <c r="AC37" i="47" a="1"/>
  <c r="AC37" i="47" s="1"/>
  <c r="U37" i="47" a="1"/>
  <c r="U37" i="47" s="1"/>
  <c r="M37" i="47" a="1"/>
  <c r="M37" i="47" s="1"/>
  <c r="AP35" i="47" a="1"/>
  <c r="AP35" i="47" s="1"/>
  <c r="AF35" i="47" a="1"/>
  <c r="AF35" i="47" s="1"/>
  <c r="X35" i="47" a="1"/>
  <c r="X35" i="47" s="1"/>
  <c r="P35" i="47" a="1"/>
  <c r="P35" i="47" s="1"/>
  <c r="AS34" i="47" a="1"/>
  <c r="AS34" i="47" s="1"/>
  <c r="AI34" i="47" a="1"/>
  <c r="AI34" i="47" s="1"/>
  <c r="AA34" i="47" a="1"/>
  <c r="AA34" i="47" s="1"/>
  <c r="S34" i="47" a="1"/>
  <c r="S34" i="47" s="1"/>
  <c r="K34" i="47" a="1"/>
  <c r="K34" i="47" s="1"/>
  <c r="AL32" i="47" a="1"/>
  <c r="AL32" i="47" s="1"/>
  <c r="AD32" i="47" a="1"/>
  <c r="AD32" i="47" s="1"/>
  <c r="V32" i="47" a="1"/>
  <c r="V32" i="47" s="1"/>
  <c r="N32" i="47" a="1"/>
  <c r="N32" i="47" s="1"/>
  <c r="AQ31" i="47" a="1"/>
  <c r="AQ31" i="47" s="1"/>
  <c r="AG31" i="47" a="1"/>
  <c r="AG31" i="47" s="1"/>
  <c r="Y31" i="47" a="1"/>
  <c r="Y31" i="47" s="1"/>
  <c r="Q31" i="47" a="1"/>
  <c r="Q31" i="47" s="1"/>
  <c r="AT29" i="47" a="1"/>
  <c r="AT29" i="47" s="1"/>
  <c r="AJ29" i="47" a="1"/>
  <c r="AJ29" i="47" s="1"/>
  <c r="AB29" i="47" a="1"/>
  <c r="AB29" i="47" s="1"/>
  <c r="T29" i="47" a="1"/>
  <c r="T29" i="47" s="1"/>
  <c r="L29" i="47" a="1"/>
  <c r="L29" i="47" s="1"/>
  <c r="AM28" i="47" a="1"/>
  <c r="AM28" i="47" s="1"/>
  <c r="AE28" i="47" a="1"/>
  <c r="AE28" i="47" s="1"/>
  <c r="W28" i="47" a="1"/>
  <c r="W28" i="47" s="1"/>
  <c r="O28" i="47" a="1"/>
  <c r="O28" i="47" s="1"/>
  <c r="AR26" i="47" a="1"/>
  <c r="AR26" i="47" s="1"/>
  <c r="AH26" i="47" a="1"/>
  <c r="AH26" i="47" s="1"/>
  <c r="Z26" i="47" a="1"/>
  <c r="Z26" i="47" s="1"/>
  <c r="R26" i="47" a="1"/>
  <c r="R26" i="47" s="1"/>
  <c r="J26" i="47" a="1"/>
  <c r="J26" i="47" s="1"/>
  <c r="AK25" i="47" a="1"/>
  <c r="AK25" i="47" s="1"/>
  <c r="AC25" i="47" a="1"/>
  <c r="AC25" i="47" s="1"/>
  <c r="U25" i="47" a="1"/>
  <c r="U25" i="47" s="1"/>
  <c r="M25" i="47" a="1"/>
  <c r="M25" i="47" s="1"/>
  <c r="AP23" i="47" a="1"/>
  <c r="AP23" i="47" s="1"/>
  <c r="AF23" i="47" a="1"/>
  <c r="AF23" i="47" s="1"/>
  <c r="X23" i="47" a="1"/>
  <c r="X23" i="47" s="1"/>
  <c r="P23" i="47" a="1"/>
  <c r="P23" i="47" s="1"/>
  <c r="AS22" i="47" a="1"/>
  <c r="AS22" i="47" s="1"/>
  <c r="AI22" i="47" a="1"/>
  <c r="AI22" i="47" s="1"/>
  <c r="AA22" i="47" a="1"/>
  <c r="AA22" i="47" s="1"/>
  <c r="S22" i="47" a="1"/>
  <c r="S22" i="47" s="1"/>
  <c r="K22" i="47" a="1"/>
  <c r="K22" i="47" s="1"/>
  <c r="AL20" i="47" a="1"/>
  <c r="AL20" i="47" s="1"/>
  <c r="AD20" i="47" a="1"/>
  <c r="AD20" i="47" s="1"/>
  <c r="V20" i="47" a="1"/>
  <c r="V20" i="47" s="1"/>
  <c r="N20" i="47" a="1"/>
  <c r="N20" i="47" s="1"/>
  <c r="AQ19" i="47" a="1"/>
  <c r="AQ19" i="47" s="1"/>
  <c r="AG19" i="47" a="1"/>
  <c r="AG19" i="47" s="1"/>
  <c r="Y19" i="47" a="1"/>
  <c r="Y19" i="47" s="1"/>
  <c r="Q19" i="47" a="1"/>
  <c r="Q19" i="47" s="1"/>
  <c r="AT17" i="47" a="1"/>
  <c r="AT17" i="47" s="1"/>
  <c r="AJ17" i="47" a="1"/>
  <c r="AJ17" i="47" s="1"/>
  <c r="N76" i="47" a="1"/>
  <c r="N76" i="47" s="1"/>
  <c r="AQ74" i="47" a="1"/>
  <c r="AQ74" i="47" s="1"/>
  <c r="AG74" i="47" a="1"/>
  <c r="AG74" i="47" s="1"/>
  <c r="Y74" i="47" a="1"/>
  <c r="Y74" i="47" s="1"/>
  <c r="Q74" i="47" a="1"/>
  <c r="Q74" i="47" s="1"/>
  <c r="AT73" i="47" a="1"/>
  <c r="AT73" i="47" s="1"/>
  <c r="AJ73" i="47" a="1"/>
  <c r="AJ73" i="47" s="1"/>
  <c r="AB73" i="47" a="1"/>
  <c r="AB73" i="47" s="1"/>
  <c r="T73" i="47" a="1"/>
  <c r="T73" i="47" s="1"/>
  <c r="L73" i="47" a="1"/>
  <c r="L73" i="47" s="1"/>
  <c r="AM71" i="47" a="1"/>
  <c r="AM71" i="47" s="1"/>
  <c r="AE71" i="47" a="1"/>
  <c r="AE71" i="47" s="1"/>
  <c r="W71" i="47" a="1"/>
  <c r="W71" i="47" s="1"/>
  <c r="O71" i="47" a="1"/>
  <c r="O71" i="47" s="1"/>
  <c r="AR70" i="47" a="1"/>
  <c r="AR70" i="47" s="1"/>
  <c r="AH70" i="47" a="1"/>
  <c r="AH70" i="47" s="1"/>
  <c r="Z70" i="47" a="1"/>
  <c r="Z70" i="47" s="1"/>
  <c r="R70" i="47" a="1"/>
  <c r="R70" i="47" s="1"/>
  <c r="J70" i="47" a="1"/>
  <c r="J70" i="47" s="1"/>
  <c r="AK68" i="47" a="1"/>
  <c r="AK68" i="47" s="1"/>
  <c r="AC68" i="47" a="1"/>
  <c r="AC68" i="47" s="1"/>
  <c r="U68" i="47" a="1"/>
  <c r="U68" i="47" s="1"/>
  <c r="M68" i="47" a="1"/>
  <c r="M68" i="47" s="1"/>
  <c r="AP67" i="47" a="1"/>
  <c r="AP67" i="47" s="1"/>
  <c r="AF67" i="47" a="1"/>
  <c r="AF67" i="47" s="1"/>
  <c r="X67" i="47" a="1"/>
  <c r="X67" i="47" s="1"/>
  <c r="P67" i="47" a="1"/>
  <c r="P67" i="47" s="1"/>
  <c r="AS65" i="47" a="1"/>
  <c r="AS65" i="47" s="1"/>
  <c r="AI65" i="47" a="1"/>
  <c r="AI65" i="47" s="1"/>
  <c r="AA65" i="47" a="1"/>
  <c r="AA65" i="47" s="1"/>
  <c r="S65" i="47" a="1"/>
  <c r="S65" i="47" s="1"/>
  <c r="K65" i="47" a="1"/>
  <c r="K65" i="47" s="1"/>
  <c r="AL64" i="47" a="1"/>
  <c r="AL64" i="47" s="1"/>
  <c r="AD64" i="47" a="1"/>
  <c r="AD64" i="47" s="1"/>
  <c r="V64" i="47" a="1"/>
  <c r="V64" i="47" s="1"/>
  <c r="N64" i="47" a="1"/>
  <c r="N64" i="47" s="1"/>
  <c r="AQ62" i="47" a="1"/>
  <c r="AQ62" i="47" s="1"/>
  <c r="AG62" i="47" a="1"/>
  <c r="AG62" i="47" s="1"/>
  <c r="Y62" i="47" a="1"/>
  <c r="Y62" i="47" s="1"/>
  <c r="Q62" i="47" a="1"/>
  <c r="Q62" i="47" s="1"/>
  <c r="AT61" i="47" a="1"/>
  <c r="AT61" i="47" s="1"/>
  <c r="AJ61" i="47" a="1"/>
  <c r="AJ61" i="47" s="1"/>
  <c r="AB61" i="47" a="1"/>
  <c r="AB61" i="47" s="1"/>
  <c r="T61" i="47" a="1"/>
  <c r="T61" i="47" s="1"/>
  <c r="L61" i="47" a="1"/>
  <c r="L61" i="47" s="1"/>
  <c r="AM59" i="47" a="1"/>
  <c r="AM59" i="47" s="1"/>
  <c r="AE59" i="47" a="1"/>
  <c r="AE59" i="47" s="1"/>
  <c r="W59" i="47" a="1"/>
  <c r="W59" i="47" s="1"/>
  <c r="O59" i="47" a="1"/>
  <c r="O59" i="47" s="1"/>
  <c r="AR58" i="47" a="1"/>
  <c r="AR58" i="47" s="1"/>
  <c r="AH58" i="47" a="1"/>
  <c r="AH58" i="47" s="1"/>
  <c r="Z58" i="47" a="1"/>
  <c r="Z58" i="47" s="1"/>
  <c r="R58" i="47" a="1"/>
  <c r="R58" i="47" s="1"/>
  <c r="J58" i="47" a="1"/>
  <c r="J58" i="47" s="1"/>
  <c r="AK56" i="47" a="1"/>
  <c r="AK56" i="47" s="1"/>
  <c r="AC56" i="47" a="1"/>
  <c r="AC56" i="47" s="1"/>
  <c r="U56" i="47" a="1"/>
  <c r="U56" i="47" s="1"/>
  <c r="M56" i="47" a="1"/>
  <c r="M56" i="47" s="1"/>
  <c r="AP55" i="47" a="1"/>
  <c r="AP55" i="47" s="1"/>
  <c r="AF55" i="47" a="1"/>
  <c r="AF55" i="47" s="1"/>
  <c r="X55" i="47" a="1"/>
  <c r="X55" i="47" s="1"/>
  <c r="P55" i="47" a="1"/>
  <c r="P55" i="47" s="1"/>
  <c r="AS53" i="47" a="1"/>
  <c r="AS53" i="47" s="1"/>
  <c r="AI53" i="47" a="1"/>
  <c r="AI53" i="47" s="1"/>
  <c r="AA53" i="47" a="1"/>
  <c r="AA53" i="47" s="1"/>
  <c r="S53" i="47" a="1"/>
  <c r="S53" i="47" s="1"/>
  <c r="K53" i="47" a="1"/>
  <c r="K53" i="47" s="1"/>
  <c r="AL52" i="47" a="1"/>
  <c r="AL52" i="47" s="1"/>
  <c r="AD52" i="47" a="1"/>
  <c r="AD52" i="47" s="1"/>
  <c r="V52" i="47" a="1"/>
  <c r="V52" i="47" s="1"/>
  <c r="N52" i="47" a="1"/>
  <c r="N52" i="47" s="1"/>
  <c r="AQ50" i="47" a="1"/>
  <c r="AQ50" i="47" s="1"/>
  <c r="AG50" i="47" a="1"/>
  <c r="AG50" i="47" s="1"/>
  <c r="Y50" i="47" a="1"/>
  <c r="Y50" i="47" s="1"/>
  <c r="Q50" i="47" a="1"/>
  <c r="Q50" i="47" s="1"/>
  <c r="AT49" i="47" a="1"/>
  <c r="AT49" i="47" s="1"/>
  <c r="AJ49" i="47" a="1"/>
  <c r="AJ49" i="47" s="1"/>
  <c r="AB49" i="47" a="1"/>
  <c r="AB49" i="47" s="1"/>
  <c r="T49" i="47" a="1"/>
  <c r="T49" i="47" s="1"/>
  <c r="L49" i="47" a="1"/>
  <c r="L49" i="47" s="1"/>
  <c r="AM47" i="47" a="1"/>
  <c r="AM47" i="47" s="1"/>
  <c r="AE47" i="47" a="1"/>
  <c r="AE47" i="47" s="1"/>
  <c r="W47" i="47" a="1"/>
  <c r="W47" i="47" s="1"/>
  <c r="O47" i="47" a="1"/>
  <c r="O47" i="47" s="1"/>
  <c r="AR46" i="47" a="1"/>
  <c r="AR46" i="47" s="1"/>
  <c r="AH46" i="47" a="1"/>
  <c r="AH46" i="47" s="1"/>
  <c r="Z46" i="47" a="1"/>
  <c r="Z46" i="47" s="1"/>
  <c r="R46" i="47" a="1"/>
  <c r="R46" i="47" s="1"/>
  <c r="J46" i="47" a="1"/>
  <c r="J46" i="47" s="1"/>
  <c r="AK44" i="47" a="1"/>
  <c r="AK44" i="47" s="1"/>
  <c r="AC44" i="47" a="1"/>
  <c r="AC44" i="47" s="1"/>
  <c r="U44" i="47" a="1"/>
  <c r="U44" i="47" s="1"/>
  <c r="M44" i="47" a="1"/>
  <c r="M44" i="47" s="1"/>
  <c r="AP43" i="47" a="1"/>
  <c r="AP43" i="47" s="1"/>
  <c r="AF43" i="47" a="1"/>
  <c r="AF43" i="47" s="1"/>
  <c r="X43" i="47" a="1"/>
  <c r="X43" i="47" s="1"/>
  <c r="P43" i="47" a="1"/>
  <c r="P43" i="47" s="1"/>
  <c r="AS41" i="47" a="1"/>
  <c r="AS41" i="47" s="1"/>
  <c r="AI41" i="47" a="1"/>
  <c r="AI41" i="47" s="1"/>
  <c r="AA41" i="47" a="1"/>
  <c r="AA41" i="47" s="1"/>
  <c r="S41" i="47" a="1"/>
  <c r="S41" i="47" s="1"/>
  <c r="K41" i="47" a="1"/>
  <c r="K41" i="47" s="1"/>
  <c r="AL40" i="47" a="1"/>
  <c r="AL40" i="47" s="1"/>
  <c r="AD40" i="47" a="1"/>
  <c r="AD40" i="47" s="1"/>
  <c r="V40" i="47" a="1"/>
  <c r="V40" i="47" s="1"/>
  <c r="N40" i="47" a="1"/>
  <c r="N40" i="47" s="1"/>
  <c r="AQ38" i="47" a="1"/>
  <c r="AQ38" i="47" s="1"/>
  <c r="AG38" i="47" a="1"/>
  <c r="AG38" i="47" s="1"/>
  <c r="Y38" i="47" a="1"/>
  <c r="Y38" i="47" s="1"/>
  <c r="Q38" i="47" a="1"/>
  <c r="Q38" i="47" s="1"/>
  <c r="AT37" i="47" a="1"/>
  <c r="AT37" i="47" s="1"/>
  <c r="AJ37" i="47" a="1"/>
  <c r="AJ37" i="47" s="1"/>
  <c r="AB37" i="47" a="1"/>
  <c r="AB37" i="47" s="1"/>
  <c r="T37" i="47" a="1"/>
  <c r="T37" i="47" s="1"/>
  <c r="L37" i="47" a="1"/>
  <c r="L37" i="47" s="1"/>
  <c r="AM35" i="47" a="1"/>
  <c r="AM35" i="47" s="1"/>
  <c r="AE35" i="47" a="1"/>
  <c r="AE35" i="47" s="1"/>
  <c r="W35" i="47" a="1"/>
  <c r="W35" i="47" s="1"/>
  <c r="O35" i="47" a="1"/>
  <c r="O35" i="47" s="1"/>
  <c r="AR34" i="47" a="1"/>
  <c r="AR34" i="47" s="1"/>
  <c r="AH34" i="47" a="1"/>
  <c r="AH34" i="47" s="1"/>
  <c r="Z34" i="47" a="1"/>
  <c r="Z34" i="47" s="1"/>
  <c r="R34" i="47" a="1"/>
  <c r="R34" i="47" s="1"/>
  <c r="J34" i="47" a="1"/>
  <c r="J34" i="47" s="1"/>
  <c r="AK32" i="47" a="1"/>
  <c r="AK32" i="47" s="1"/>
  <c r="AC32" i="47" a="1"/>
  <c r="AC32" i="47" s="1"/>
  <c r="U32" i="47" a="1"/>
  <c r="U32" i="47" s="1"/>
  <c r="M32" i="47" a="1"/>
  <c r="M32" i="47" s="1"/>
  <c r="AP31" i="47" a="1"/>
  <c r="AP31" i="47" s="1"/>
  <c r="AF31" i="47" a="1"/>
  <c r="AF31" i="47" s="1"/>
  <c r="X31" i="47" a="1"/>
  <c r="X31" i="47" s="1"/>
  <c r="P31" i="47" a="1"/>
  <c r="P31" i="47" s="1"/>
  <c r="AS29" i="47" a="1"/>
  <c r="AS29" i="47" s="1"/>
  <c r="AI29" i="47" a="1"/>
  <c r="AI29" i="47" s="1"/>
  <c r="AA29" i="47" a="1"/>
  <c r="AA29" i="47" s="1"/>
  <c r="S29" i="47" a="1"/>
  <c r="S29" i="47" s="1"/>
  <c r="K29" i="47" a="1"/>
  <c r="K29" i="47" s="1"/>
  <c r="AL28" i="47" a="1"/>
  <c r="AL28" i="47" s="1"/>
  <c r="AD28" i="47" a="1"/>
  <c r="AD28" i="47" s="1"/>
  <c r="V28" i="47" a="1"/>
  <c r="V28" i="47" s="1"/>
  <c r="N28" i="47" a="1"/>
  <c r="N28" i="47" s="1"/>
  <c r="AQ26" i="47" a="1"/>
  <c r="AQ26" i="47" s="1"/>
  <c r="AG26" i="47" a="1"/>
  <c r="AG26" i="47" s="1"/>
  <c r="Y26" i="47" a="1"/>
  <c r="Y26" i="47" s="1"/>
  <c r="Q26" i="47" a="1"/>
  <c r="Q26" i="47" s="1"/>
  <c r="AT25" i="47" a="1"/>
  <c r="AT25" i="47" s="1"/>
  <c r="AJ25" i="47" a="1"/>
  <c r="AJ25" i="47" s="1"/>
  <c r="AB25" i="47" a="1"/>
  <c r="AB25" i="47" s="1"/>
  <c r="T25" i="47" a="1"/>
  <c r="T25" i="47" s="1"/>
  <c r="L25" i="47" a="1"/>
  <c r="L25" i="47" s="1"/>
  <c r="AM23" i="47" a="1"/>
  <c r="AM23" i="47" s="1"/>
  <c r="AE23" i="47" a="1"/>
  <c r="AE23" i="47" s="1"/>
  <c r="W23" i="47" a="1"/>
  <c r="W23" i="47" s="1"/>
  <c r="O23" i="47" a="1"/>
  <c r="O23" i="47" s="1"/>
  <c r="AR22" i="47" a="1"/>
  <c r="AR22" i="47" s="1"/>
  <c r="AH22" i="47" a="1"/>
  <c r="AH22" i="47" s="1"/>
  <c r="Z22" i="47" a="1"/>
  <c r="Z22" i="47" s="1"/>
  <c r="R22" i="47" a="1"/>
  <c r="R22" i="47" s="1"/>
  <c r="J22" i="47" a="1"/>
  <c r="J22" i="47" s="1"/>
  <c r="AK20" i="47" a="1"/>
  <c r="AK20" i="47" s="1"/>
  <c r="AC20" i="47" a="1"/>
  <c r="AC20" i="47" s="1"/>
  <c r="U20" i="47" a="1"/>
  <c r="U20" i="47" s="1"/>
  <c r="M20" i="47" a="1"/>
  <c r="M20" i="47" s="1"/>
  <c r="AP19" i="47" a="1"/>
  <c r="AP19" i="47" s="1"/>
  <c r="AF19" i="47" a="1"/>
  <c r="AF19" i="47" s="1"/>
  <c r="X19" i="47" a="1"/>
  <c r="X19" i="47" s="1"/>
  <c r="P19" i="47" a="1"/>
  <c r="P19" i="47" s="1"/>
  <c r="AS17" i="47" a="1"/>
  <c r="AS17" i="47" s="1"/>
  <c r="AI17" i="47" a="1"/>
  <c r="AI17" i="47" s="1"/>
  <c r="AA17" i="47" a="1"/>
  <c r="AA17" i="47" s="1"/>
  <c r="M76" i="47" a="1"/>
  <c r="M76" i="47" s="1"/>
  <c r="AP74" i="47" a="1"/>
  <c r="AP74" i="47" s="1"/>
  <c r="AF74" i="47" a="1"/>
  <c r="AF74" i="47" s="1"/>
  <c r="X74" i="47" a="1"/>
  <c r="X74" i="47" s="1"/>
  <c r="P74" i="47" a="1"/>
  <c r="P74" i="47" s="1"/>
  <c r="AS73" i="47" a="1"/>
  <c r="AS73" i="47" s="1"/>
  <c r="AI73" i="47" a="1"/>
  <c r="AI73" i="47" s="1"/>
  <c r="AA73" i="47" a="1"/>
  <c r="AA73" i="47" s="1"/>
  <c r="S73" i="47" a="1"/>
  <c r="S73" i="47" s="1"/>
  <c r="K73" i="47" a="1"/>
  <c r="K73" i="47" s="1"/>
  <c r="AL71" i="47" a="1"/>
  <c r="AL71" i="47" s="1"/>
  <c r="AD71" i="47" a="1"/>
  <c r="AD71" i="47" s="1"/>
  <c r="V71" i="47" a="1"/>
  <c r="V71" i="47" s="1"/>
  <c r="N71" i="47" a="1"/>
  <c r="N71" i="47" s="1"/>
  <c r="AQ70" i="47" a="1"/>
  <c r="AQ70" i="47" s="1"/>
  <c r="AG70" i="47" a="1"/>
  <c r="AG70" i="47" s="1"/>
  <c r="Y70" i="47" a="1"/>
  <c r="Y70" i="47" s="1"/>
  <c r="Q70" i="47" a="1"/>
  <c r="Q70" i="47" s="1"/>
  <c r="AT68" i="47" a="1"/>
  <c r="AT68" i="47" s="1"/>
  <c r="AJ68" i="47" a="1"/>
  <c r="AJ68" i="47" s="1"/>
  <c r="AB68" i="47" a="1"/>
  <c r="AB68" i="47" s="1"/>
  <c r="T68" i="47" a="1"/>
  <c r="T68" i="47" s="1"/>
  <c r="L68" i="47" a="1"/>
  <c r="L68" i="47" s="1"/>
  <c r="AM67" i="47" a="1"/>
  <c r="AM67" i="47" s="1"/>
  <c r="AE67" i="47" a="1"/>
  <c r="AE67" i="47" s="1"/>
  <c r="W67" i="47" a="1"/>
  <c r="W67" i="47" s="1"/>
  <c r="O67" i="47" a="1"/>
  <c r="O67" i="47" s="1"/>
  <c r="AR65" i="47" a="1"/>
  <c r="AR65" i="47" s="1"/>
  <c r="AH65" i="47" a="1"/>
  <c r="AH65" i="47" s="1"/>
  <c r="Z65" i="47" a="1"/>
  <c r="Z65" i="47" s="1"/>
  <c r="R65" i="47" a="1"/>
  <c r="R65" i="47" s="1"/>
  <c r="J65" i="47" a="1"/>
  <c r="J65" i="47" s="1"/>
  <c r="AK64" i="47" a="1"/>
  <c r="AK64" i="47" s="1"/>
  <c r="AC64" i="47" a="1"/>
  <c r="AC64" i="47" s="1"/>
  <c r="U64" i="47" a="1"/>
  <c r="U64" i="47" s="1"/>
  <c r="M64" i="47" a="1"/>
  <c r="M64" i="47" s="1"/>
  <c r="AP62" i="47" a="1"/>
  <c r="AP62" i="47" s="1"/>
  <c r="AF62" i="47" a="1"/>
  <c r="AF62" i="47" s="1"/>
  <c r="X62" i="47" a="1"/>
  <c r="X62" i="47" s="1"/>
  <c r="P62" i="47" a="1"/>
  <c r="P62" i="47" s="1"/>
  <c r="AS61" i="47" a="1"/>
  <c r="AS61" i="47" s="1"/>
  <c r="AI61" i="47" a="1"/>
  <c r="AI61" i="47" s="1"/>
  <c r="AA61" i="47" a="1"/>
  <c r="AA61" i="47" s="1"/>
  <c r="S61" i="47" a="1"/>
  <c r="S61" i="47" s="1"/>
  <c r="K61" i="47" a="1"/>
  <c r="K61" i="47" s="1"/>
  <c r="AL59" i="47" a="1"/>
  <c r="AL59" i="47" s="1"/>
  <c r="AD59" i="47" a="1"/>
  <c r="AD59" i="47" s="1"/>
  <c r="V59" i="47" a="1"/>
  <c r="V59" i="47" s="1"/>
  <c r="N59" i="47" a="1"/>
  <c r="N59" i="47" s="1"/>
  <c r="AQ58" i="47" a="1"/>
  <c r="AQ58" i="47" s="1"/>
  <c r="AG58" i="47" a="1"/>
  <c r="AG58" i="47" s="1"/>
  <c r="Y58" i="47" a="1"/>
  <c r="Y58" i="47" s="1"/>
  <c r="Q58" i="47" a="1"/>
  <c r="Q58" i="47" s="1"/>
  <c r="AT56" i="47" a="1"/>
  <c r="AT56" i="47" s="1"/>
  <c r="AJ56" i="47" a="1"/>
  <c r="AJ56" i="47" s="1"/>
  <c r="AB56" i="47" a="1"/>
  <c r="AB56" i="47" s="1"/>
  <c r="T56" i="47" a="1"/>
  <c r="T56" i="47" s="1"/>
  <c r="L56" i="47" a="1"/>
  <c r="L56" i="47" s="1"/>
  <c r="AM55" i="47" a="1"/>
  <c r="AM55" i="47" s="1"/>
  <c r="AE55" i="47" a="1"/>
  <c r="AE55" i="47" s="1"/>
  <c r="W55" i="47" a="1"/>
  <c r="W55" i="47" s="1"/>
  <c r="O55" i="47" a="1"/>
  <c r="O55" i="47" s="1"/>
  <c r="AR53" i="47" a="1"/>
  <c r="AR53" i="47" s="1"/>
  <c r="AH53" i="47" a="1"/>
  <c r="AH53" i="47" s="1"/>
  <c r="Z53" i="47" a="1"/>
  <c r="Z53" i="47" s="1"/>
  <c r="R53" i="47" a="1"/>
  <c r="R53" i="47" s="1"/>
  <c r="J53" i="47" a="1"/>
  <c r="J53" i="47" s="1"/>
  <c r="AK52" i="47" a="1"/>
  <c r="AK52" i="47" s="1"/>
  <c r="AC52" i="47" a="1"/>
  <c r="AC52" i="47" s="1"/>
  <c r="U52" i="47" a="1"/>
  <c r="U52" i="47" s="1"/>
  <c r="M52" i="47" a="1"/>
  <c r="M52" i="47" s="1"/>
  <c r="AP50" i="47" a="1"/>
  <c r="AP50" i="47" s="1"/>
  <c r="AF50" i="47" a="1"/>
  <c r="AF50" i="47" s="1"/>
  <c r="X50" i="47" a="1"/>
  <c r="X50" i="47" s="1"/>
  <c r="P50" i="47" a="1"/>
  <c r="P50" i="47" s="1"/>
  <c r="AS49" i="47" a="1"/>
  <c r="AS49" i="47" s="1"/>
  <c r="AI49" i="47" a="1"/>
  <c r="AI49" i="47" s="1"/>
  <c r="AA49" i="47" a="1"/>
  <c r="AA49" i="47" s="1"/>
  <c r="S49" i="47" a="1"/>
  <c r="S49" i="47" s="1"/>
  <c r="K49" i="47" a="1"/>
  <c r="K49" i="47" s="1"/>
  <c r="AL47" i="47" a="1"/>
  <c r="AL47" i="47" s="1"/>
  <c r="AD47" i="47" a="1"/>
  <c r="AD47" i="47" s="1"/>
  <c r="V47" i="47" a="1"/>
  <c r="V47" i="47" s="1"/>
  <c r="N47" i="47" a="1"/>
  <c r="N47" i="47" s="1"/>
  <c r="AQ46" i="47" a="1"/>
  <c r="AQ46" i="47" s="1"/>
  <c r="AG46" i="47" a="1"/>
  <c r="AG46" i="47" s="1"/>
  <c r="Y46" i="47" a="1"/>
  <c r="Y46" i="47" s="1"/>
  <c r="Q46" i="47" a="1"/>
  <c r="Q46" i="47" s="1"/>
  <c r="AT44" i="47" a="1"/>
  <c r="AT44" i="47" s="1"/>
  <c r="AJ44" i="47" a="1"/>
  <c r="AJ44" i="47" s="1"/>
  <c r="AB44" i="47" a="1"/>
  <c r="AB44" i="47" s="1"/>
  <c r="T44" i="47" a="1"/>
  <c r="T44" i="47" s="1"/>
  <c r="L44" i="47" a="1"/>
  <c r="L44" i="47" s="1"/>
  <c r="AM43" i="47" a="1"/>
  <c r="AM43" i="47" s="1"/>
  <c r="AE43" i="47" a="1"/>
  <c r="AE43" i="47" s="1"/>
  <c r="W43" i="47" a="1"/>
  <c r="W43" i="47" s="1"/>
  <c r="O43" i="47" a="1"/>
  <c r="O43" i="47" s="1"/>
  <c r="AR41" i="47" a="1"/>
  <c r="AR41" i="47" s="1"/>
  <c r="AH41" i="47" a="1"/>
  <c r="AH41" i="47" s="1"/>
  <c r="Z41" i="47" a="1"/>
  <c r="Z41" i="47" s="1"/>
  <c r="R41" i="47" a="1"/>
  <c r="R41" i="47" s="1"/>
  <c r="J41" i="47" a="1"/>
  <c r="J41" i="47" s="1"/>
  <c r="AK40" i="47" a="1"/>
  <c r="AK40" i="47" s="1"/>
  <c r="AC40" i="47" a="1"/>
  <c r="AC40" i="47" s="1"/>
  <c r="U40" i="47" a="1"/>
  <c r="U40" i="47" s="1"/>
  <c r="M40" i="47" a="1"/>
  <c r="M40" i="47" s="1"/>
  <c r="AP38" i="47" a="1"/>
  <c r="AP38" i="47" s="1"/>
  <c r="AF38" i="47" a="1"/>
  <c r="AF38" i="47" s="1"/>
  <c r="X38" i="47" a="1"/>
  <c r="X38" i="47" s="1"/>
  <c r="P38" i="47" a="1"/>
  <c r="P38" i="47" s="1"/>
  <c r="AS37" i="47" a="1"/>
  <c r="AS37" i="47" s="1"/>
  <c r="AI37" i="47" a="1"/>
  <c r="AI37" i="47" s="1"/>
  <c r="AA37" i="47" a="1"/>
  <c r="AA37" i="47" s="1"/>
  <c r="S37" i="47" a="1"/>
  <c r="S37" i="47" s="1"/>
  <c r="K37" i="47" a="1"/>
  <c r="K37" i="47" s="1"/>
  <c r="AL35" i="47" a="1"/>
  <c r="AL35" i="47" s="1"/>
  <c r="AD35" i="47" a="1"/>
  <c r="AD35" i="47" s="1"/>
  <c r="V35" i="47" a="1"/>
  <c r="V35" i="47" s="1"/>
  <c r="N35" i="47" a="1"/>
  <c r="N35" i="47" s="1"/>
  <c r="AQ34" i="47" a="1"/>
  <c r="AQ34" i="47" s="1"/>
  <c r="AG34" i="47" a="1"/>
  <c r="AG34" i="47" s="1"/>
  <c r="Y34" i="47" a="1"/>
  <c r="Y34" i="47" s="1"/>
  <c r="Q34" i="47" a="1"/>
  <c r="Q34" i="47" s="1"/>
  <c r="AT32" i="47" a="1"/>
  <c r="AT32" i="47" s="1"/>
  <c r="AJ32" i="47" a="1"/>
  <c r="AJ32" i="47" s="1"/>
  <c r="AB32" i="47" a="1"/>
  <c r="AB32" i="47" s="1"/>
  <c r="T32" i="47" a="1"/>
  <c r="T32" i="47" s="1"/>
  <c r="L32" i="47" a="1"/>
  <c r="L32" i="47" s="1"/>
  <c r="AM31" i="47" a="1"/>
  <c r="AM31" i="47" s="1"/>
  <c r="AE31" i="47" a="1"/>
  <c r="AE31" i="47" s="1"/>
  <c r="W31" i="47" a="1"/>
  <c r="W31" i="47" s="1"/>
  <c r="O31" i="47" a="1"/>
  <c r="O31" i="47" s="1"/>
  <c r="AR29" i="47" a="1"/>
  <c r="AR29" i="47" s="1"/>
  <c r="AH29" i="47" a="1"/>
  <c r="AH29" i="47" s="1"/>
  <c r="Z29" i="47" a="1"/>
  <c r="Z29" i="47" s="1"/>
  <c r="R29" i="47" a="1"/>
  <c r="R29" i="47" s="1"/>
  <c r="J29" i="47" a="1"/>
  <c r="J29" i="47" s="1"/>
  <c r="AK28" i="47" a="1"/>
  <c r="AK28" i="47" s="1"/>
  <c r="AC28" i="47" a="1"/>
  <c r="AC28" i="47" s="1"/>
  <c r="U28" i="47" a="1"/>
  <c r="U28" i="47" s="1"/>
  <c r="M28" i="47" a="1"/>
  <c r="M28" i="47" s="1"/>
  <c r="AP26" i="47" a="1"/>
  <c r="AP26" i="47" s="1"/>
  <c r="AF26" i="47" a="1"/>
  <c r="AF26" i="47" s="1"/>
  <c r="X26" i="47" a="1"/>
  <c r="X26" i="47" s="1"/>
  <c r="P26" i="47" a="1"/>
  <c r="P26" i="47" s="1"/>
  <c r="AS25" i="47" a="1"/>
  <c r="AS25" i="47" s="1"/>
  <c r="AI25" i="47" a="1"/>
  <c r="AI25" i="47" s="1"/>
  <c r="AA25" i="47" a="1"/>
  <c r="AA25" i="47" s="1"/>
  <c r="S25" i="47" a="1"/>
  <c r="S25" i="47" s="1"/>
  <c r="K25" i="47" a="1"/>
  <c r="K25" i="47" s="1"/>
  <c r="AL23" i="47" a="1"/>
  <c r="AL23" i="47" s="1"/>
  <c r="AD23" i="47" a="1"/>
  <c r="AD23" i="47" s="1"/>
  <c r="V23" i="47" a="1"/>
  <c r="V23" i="47" s="1"/>
  <c r="N23" i="47" a="1"/>
  <c r="N23" i="47" s="1"/>
  <c r="AQ22" i="47" a="1"/>
  <c r="AQ22" i="47" s="1"/>
  <c r="AG22" i="47" a="1"/>
  <c r="AG22" i="47" s="1"/>
  <c r="Y22" i="47" a="1"/>
  <c r="Y22" i="47" s="1"/>
  <c r="Q22" i="47" a="1"/>
  <c r="Q22" i="47" s="1"/>
  <c r="AT20" i="47" a="1"/>
  <c r="AT20" i="47" s="1"/>
  <c r="AJ20" i="47" a="1"/>
  <c r="AJ20" i="47" s="1"/>
  <c r="AB20" i="47" a="1"/>
  <c r="AB20" i="47" s="1"/>
  <c r="T20" i="47" a="1"/>
  <c r="T20" i="47" s="1"/>
  <c r="L20" i="47" a="1"/>
  <c r="L20" i="47" s="1"/>
  <c r="AM19" i="47" a="1"/>
  <c r="AM19" i="47" s="1"/>
  <c r="AE19" i="47" a="1"/>
  <c r="AE19" i="47" s="1"/>
  <c r="W19" i="47" a="1"/>
  <c r="W19" i="47" s="1"/>
  <c r="O19" i="47" a="1"/>
  <c r="O19" i="47" s="1"/>
  <c r="L76" i="47" a="1"/>
  <c r="L76" i="47" s="1"/>
  <c r="AM74" i="47" a="1"/>
  <c r="AM74" i="47" s="1"/>
  <c r="AE74" i="47" a="1"/>
  <c r="AE74" i="47" s="1"/>
  <c r="W74" i="47" a="1"/>
  <c r="W74" i="47" s="1"/>
  <c r="O74" i="47" a="1"/>
  <c r="O74" i="47" s="1"/>
  <c r="AR73" i="47" a="1"/>
  <c r="AR73" i="47" s="1"/>
  <c r="AH73" i="47" a="1"/>
  <c r="AH73" i="47" s="1"/>
  <c r="Z73" i="47" a="1"/>
  <c r="Z73" i="47" s="1"/>
  <c r="R73" i="47" a="1"/>
  <c r="R73" i="47" s="1"/>
  <c r="J73" i="47" a="1"/>
  <c r="J73" i="47" s="1"/>
  <c r="AK71" i="47" a="1"/>
  <c r="AK71" i="47" s="1"/>
  <c r="AC71" i="47" a="1"/>
  <c r="AC71" i="47" s="1"/>
  <c r="U71" i="47" a="1"/>
  <c r="U71" i="47" s="1"/>
  <c r="M71" i="47" a="1"/>
  <c r="M71" i="47" s="1"/>
  <c r="AP70" i="47" a="1"/>
  <c r="AP70" i="47" s="1"/>
  <c r="AF70" i="47" a="1"/>
  <c r="AF70" i="47" s="1"/>
  <c r="X70" i="47" a="1"/>
  <c r="X70" i="47" s="1"/>
  <c r="P70" i="47" a="1"/>
  <c r="P70" i="47" s="1"/>
  <c r="AS68" i="47" a="1"/>
  <c r="AS68" i="47" s="1"/>
  <c r="AI68" i="47" a="1"/>
  <c r="AI68" i="47" s="1"/>
  <c r="AA68" i="47" a="1"/>
  <c r="AA68" i="47" s="1"/>
  <c r="S68" i="47" a="1"/>
  <c r="S68" i="47" s="1"/>
  <c r="K68" i="47" a="1"/>
  <c r="K68" i="47" s="1"/>
  <c r="AL67" i="47" a="1"/>
  <c r="AL67" i="47" s="1"/>
  <c r="AD67" i="47" a="1"/>
  <c r="AD67" i="47" s="1"/>
  <c r="V67" i="47" a="1"/>
  <c r="V67" i="47" s="1"/>
  <c r="N67" i="47" a="1"/>
  <c r="N67" i="47" s="1"/>
  <c r="AQ65" i="47" a="1"/>
  <c r="AQ65" i="47" s="1"/>
  <c r="AG65" i="47" a="1"/>
  <c r="AG65" i="47" s="1"/>
  <c r="Y65" i="47" a="1"/>
  <c r="Y65" i="47" s="1"/>
  <c r="Q65" i="47" a="1"/>
  <c r="Q65" i="47" s="1"/>
  <c r="AT64" i="47" a="1"/>
  <c r="AT64" i="47" s="1"/>
  <c r="AJ64" i="47" a="1"/>
  <c r="AJ64" i="47" s="1"/>
  <c r="AB64" i="47" a="1"/>
  <c r="AB64" i="47" s="1"/>
  <c r="T64" i="47" a="1"/>
  <c r="T64" i="47" s="1"/>
  <c r="L64" i="47" a="1"/>
  <c r="L64" i="47" s="1"/>
  <c r="AM62" i="47" a="1"/>
  <c r="AM62" i="47" s="1"/>
  <c r="AE62" i="47" a="1"/>
  <c r="AE62" i="47" s="1"/>
  <c r="W62" i="47" a="1"/>
  <c r="W62" i="47" s="1"/>
  <c r="O62" i="47" a="1"/>
  <c r="O62" i="47" s="1"/>
  <c r="AR61" i="47" a="1"/>
  <c r="AR61" i="47" s="1"/>
  <c r="AH61" i="47" a="1"/>
  <c r="AH61" i="47" s="1"/>
  <c r="Z61" i="47" a="1"/>
  <c r="Z61" i="47" s="1"/>
  <c r="R61" i="47" a="1"/>
  <c r="R61" i="47" s="1"/>
  <c r="J61" i="47" a="1"/>
  <c r="J61" i="47" s="1"/>
  <c r="AK59" i="47" a="1"/>
  <c r="AK59" i="47" s="1"/>
  <c r="AC59" i="47" a="1"/>
  <c r="AC59" i="47" s="1"/>
  <c r="U59" i="47" a="1"/>
  <c r="U59" i="47" s="1"/>
  <c r="M59" i="47" a="1"/>
  <c r="M59" i="47" s="1"/>
  <c r="AP58" i="47" a="1"/>
  <c r="AP58" i="47" s="1"/>
  <c r="AF58" i="47" a="1"/>
  <c r="AF58" i="47" s="1"/>
  <c r="X58" i="47" a="1"/>
  <c r="X58" i="47" s="1"/>
  <c r="P58" i="47" a="1"/>
  <c r="P58" i="47" s="1"/>
  <c r="AS56" i="47" a="1"/>
  <c r="AS56" i="47" s="1"/>
  <c r="AI56" i="47" a="1"/>
  <c r="AI56" i="47" s="1"/>
  <c r="AA56" i="47" a="1"/>
  <c r="AA56" i="47" s="1"/>
  <c r="S56" i="47" a="1"/>
  <c r="S56" i="47" s="1"/>
  <c r="K56" i="47" a="1"/>
  <c r="K56" i="47" s="1"/>
  <c r="AL55" i="47" a="1"/>
  <c r="AL55" i="47" s="1"/>
  <c r="AD55" i="47" a="1"/>
  <c r="AD55" i="47" s="1"/>
  <c r="V55" i="47" a="1"/>
  <c r="V55" i="47" s="1"/>
  <c r="N55" i="47" a="1"/>
  <c r="N55" i="47" s="1"/>
  <c r="AQ53" i="47" a="1"/>
  <c r="AQ53" i="47" s="1"/>
  <c r="AG53" i="47" a="1"/>
  <c r="AG53" i="47" s="1"/>
  <c r="Y53" i="47" a="1"/>
  <c r="Y53" i="47" s="1"/>
  <c r="Q53" i="47" a="1"/>
  <c r="Q53" i="47" s="1"/>
  <c r="AT52" i="47" a="1"/>
  <c r="AT52" i="47" s="1"/>
  <c r="AJ52" i="47" a="1"/>
  <c r="AJ52" i="47" s="1"/>
  <c r="AB52" i="47" a="1"/>
  <c r="AB52" i="47" s="1"/>
  <c r="T52" i="47" a="1"/>
  <c r="T52" i="47" s="1"/>
  <c r="L52" i="47" a="1"/>
  <c r="L52" i="47" s="1"/>
  <c r="AM50" i="47" a="1"/>
  <c r="AM50" i="47" s="1"/>
  <c r="AE50" i="47" a="1"/>
  <c r="AE50" i="47" s="1"/>
  <c r="W50" i="47" a="1"/>
  <c r="W50" i="47" s="1"/>
  <c r="O50" i="47" a="1"/>
  <c r="O50" i="47" s="1"/>
  <c r="AR49" i="47" a="1"/>
  <c r="AR49" i="47" s="1"/>
  <c r="AH49" i="47" a="1"/>
  <c r="AH49" i="47" s="1"/>
  <c r="Z49" i="47" a="1"/>
  <c r="Z49" i="47" s="1"/>
  <c r="R49" i="47" a="1"/>
  <c r="R49" i="47" s="1"/>
  <c r="J49" i="47" a="1"/>
  <c r="J49" i="47" s="1"/>
  <c r="AK47" i="47" a="1"/>
  <c r="AK47" i="47" s="1"/>
  <c r="AC47" i="47" a="1"/>
  <c r="AC47" i="47" s="1"/>
  <c r="U47" i="47" a="1"/>
  <c r="U47" i="47" s="1"/>
  <c r="M47" i="47" a="1"/>
  <c r="M47" i="47" s="1"/>
  <c r="AP46" i="47" a="1"/>
  <c r="AP46" i="47" s="1"/>
  <c r="AF46" i="47" a="1"/>
  <c r="AF46" i="47" s="1"/>
  <c r="X46" i="47" a="1"/>
  <c r="X46" i="47" s="1"/>
  <c r="P46" i="47" a="1"/>
  <c r="P46" i="47" s="1"/>
  <c r="AS44" i="47" a="1"/>
  <c r="AS44" i="47" s="1"/>
  <c r="AI44" i="47" a="1"/>
  <c r="AI44" i="47" s="1"/>
  <c r="AA44" i="47" a="1"/>
  <c r="AA44" i="47" s="1"/>
  <c r="S44" i="47" a="1"/>
  <c r="S44" i="47" s="1"/>
  <c r="K44" i="47" a="1"/>
  <c r="K44" i="47" s="1"/>
  <c r="AL43" i="47" a="1"/>
  <c r="AL43" i="47" s="1"/>
  <c r="AD43" i="47" a="1"/>
  <c r="AD43" i="47" s="1"/>
  <c r="V43" i="47" a="1"/>
  <c r="V43" i="47" s="1"/>
  <c r="N43" i="47" a="1"/>
  <c r="N43" i="47" s="1"/>
  <c r="AQ41" i="47" a="1"/>
  <c r="AQ41" i="47" s="1"/>
  <c r="AG41" i="47" a="1"/>
  <c r="AG41" i="47" s="1"/>
  <c r="Y41" i="47" a="1"/>
  <c r="Y41" i="47" s="1"/>
  <c r="Q41" i="47" a="1"/>
  <c r="Q41" i="47" s="1"/>
  <c r="AT40" i="47" a="1"/>
  <c r="AT40" i="47" s="1"/>
  <c r="AJ40" i="47" a="1"/>
  <c r="AJ40" i="47" s="1"/>
  <c r="AB40" i="47" a="1"/>
  <c r="AB40" i="47" s="1"/>
  <c r="T40" i="47" a="1"/>
  <c r="T40" i="47" s="1"/>
  <c r="L40" i="47" a="1"/>
  <c r="L40" i="47" s="1"/>
  <c r="AM38" i="47" a="1"/>
  <c r="AM38" i="47" s="1"/>
  <c r="AE38" i="47" a="1"/>
  <c r="AE38" i="47" s="1"/>
  <c r="W38" i="47" a="1"/>
  <c r="W38" i="47" s="1"/>
  <c r="O38" i="47" a="1"/>
  <c r="O38" i="47" s="1"/>
  <c r="AR37" i="47" a="1"/>
  <c r="AR37" i="47" s="1"/>
  <c r="AH37" i="47" a="1"/>
  <c r="AH37" i="47" s="1"/>
  <c r="Z37" i="47" a="1"/>
  <c r="Z37" i="47" s="1"/>
  <c r="R37" i="47" a="1"/>
  <c r="R37" i="47" s="1"/>
  <c r="J37" i="47" a="1"/>
  <c r="J37" i="47" s="1"/>
  <c r="AK35" i="47" a="1"/>
  <c r="AK35" i="47" s="1"/>
  <c r="AC35" i="47" a="1"/>
  <c r="AC35" i="47" s="1"/>
  <c r="U35" i="47" a="1"/>
  <c r="U35" i="47" s="1"/>
  <c r="M35" i="47" a="1"/>
  <c r="M35" i="47" s="1"/>
  <c r="AP34" i="47" a="1"/>
  <c r="AP34" i="47" s="1"/>
  <c r="AF34" i="47" a="1"/>
  <c r="AF34" i="47" s="1"/>
  <c r="X34" i="47" a="1"/>
  <c r="X34" i="47" s="1"/>
  <c r="P34" i="47" a="1"/>
  <c r="P34" i="47" s="1"/>
  <c r="AS32" i="47" a="1"/>
  <c r="AS32" i="47" s="1"/>
  <c r="AI32" i="47" a="1"/>
  <c r="AI32" i="47" s="1"/>
  <c r="AA32" i="47" a="1"/>
  <c r="AA32" i="47" s="1"/>
  <c r="S32" i="47" a="1"/>
  <c r="S32" i="47" s="1"/>
  <c r="K32" i="47" a="1"/>
  <c r="K32" i="47" s="1"/>
  <c r="AL31" i="47" a="1"/>
  <c r="AL31" i="47" s="1"/>
  <c r="AD31" i="47" a="1"/>
  <c r="AD31" i="47" s="1"/>
  <c r="V31" i="47" a="1"/>
  <c r="V31" i="47" s="1"/>
  <c r="N31" i="47" a="1"/>
  <c r="N31" i="47" s="1"/>
  <c r="AQ29" i="47" a="1"/>
  <c r="AQ29" i="47" s="1"/>
  <c r="AG29" i="47" a="1"/>
  <c r="AG29" i="47" s="1"/>
  <c r="Y29" i="47" a="1"/>
  <c r="Y29" i="47" s="1"/>
  <c r="Q29" i="47" a="1"/>
  <c r="Q29" i="47" s="1"/>
  <c r="AT28" i="47" a="1"/>
  <c r="AT28" i="47" s="1"/>
  <c r="AJ28" i="47" a="1"/>
  <c r="AJ28" i="47" s="1"/>
  <c r="AB28" i="47" a="1"/>
  <c r="AB28" i="47" s="1"/>
  <c r="T28" i="47" a="1"/>
  <c r="T28" i="47" s="1"/>
  <c r="L28" i="47" a="1"/>
  <c r="L28" i="47" s="1"/>
  <c r="AM26" i="47" a="1"/>
  <c r="AM26" i="47" s="1"/>
  <c r="AE26" i="47" a="1"/>
  <c r="AE26" i="47" s="1"/>
  <c r="W26" i="47" a="1"/>
  <c r="W26" i="47" s="1"/>
  <c r="O26" i="47" a="1"/>
  <c r="O26" i="47" s="1"/>
  <c r="AR25" i="47" a="1"/>
  <c r="AR25" i="47" s="1"/>
  <c r="AH25" i="47" a="1"/>
  <c r="AH25" i="47" s="1"/>
  <c r="Z25" i="47" a="1"/>
  <c r="Z25" i="47" s="1"/>
  <c r="R25" i="47" a="1"/>
  <c r="R25" i="47" s="1"/>
  <c r="J25" i="47" a="1"/>
  <c r="J25" i="47" s="1"/>
  <c r="AK23" i="47" a="1"/>
  <c r="AK23" i="47" s="1"/>
  <c r="AC23" i="47" a="1"/>
  <c r="AC23" i="47" s="1"/>
  <c r="U23" i="47" a="1"/>
  <c r="U23" i="47" s="1"/>
  <c r="M23" i="47" a="1"/>
  <c r="M23" i="47" s="1"/>
  <c r="AP22" i="47" a="1"/>
  <c r="AP22" i="47" s="1"/>
  <c r="AF22" i="47" a="1"/>
  <c r="AF22" i="47" s="1"/>
  <c r="X22" i="47" a="1"/>
  <c r="X22" i="47" s="1"/>
  <c r="P22" i="47" a="1"/>
  <c r="P22" i="47" s="1"/>
  <c r="AS20" i="47" a="1"/>
  <c r="AS20" i="47" s="1"/>
  <c r="AI20" i="47" a="1"/>
  <c r="AI20" i="47" s="1"/>
  <c r="AA20" i="47" a="1"/>
  <c r="AA20" i="47" s="1"/>
  <c r="S20" i="47" a="1"/>
  <c r="S20" i="47" s="1"/>
  <c r="K20" i="47" a="1"/>
  <c r="K20" i="47" s="1"/>
  <c r="AL19" i="47" a="1"/>
  <c r="AL19" i="47" s="1"/>
  <c r="AD19" i="47" a="1"/>
  <c r="AD19" i="47" s="1"/>
  <c r="V19" i="47" a="1"/>
  <c r="V19" i="47" s="1"/>
  <c r="N19" i="47" a="1"/>
  <c r="N19" i="47" s="1"/>
  <c r="AQ17" i="47" a="1"/>
  <c r="AQ17" i="47" s="1"/>
  <c r="AG17" i="47" a="1"/>
  <c r="AG17" i="47" s="1"/>
  <c r="Y17" i="47" a="1"/>
  <c r="Y17" i="47" s="1"/>
  <c r="S19" i="47" a="1"/>
  <c r="S19" i="47" s="1"/>
  <c r="AB17" i="47" a="1"/>
  <c r="AB17" i="47" s="1"/>
  <c r="R17" i="47" a="1"/>
  <c r="R17" i="47" s="1"/>
  <c r="J17" i="47" a="1"/>
  <c r="J17" i="47" s="1"/>
  <c r="AK16" i="47" a="1"/>
  <c r="AK16" i="47" s="1"/>
  <c r="AC16" i="47" a="1"/>
  <c r="AC16" i="47" s="1"/>
  <c r="U16" i="47" a="1"/>
  <c r="U16" i="47" s="1"/>
  <c r="M16" i="47" a="1"/>
  <c r="M16" i="47" s="1"/>
  <c r="AP11" i="47" a="1"/>
  <c r="AP11" i="47" s="1"/>
  <c r="AF11" i="47" a="1"/>
  <c r="AF11" i="47" s="1"/>
  <c r="X11" i="47" a="1"/>
  <c r="X11" i="47" s="1"/>
  <c r="P11" i="47" a="1"/>
  <c r="P11" i="47" s="1"/>
  <c r="AS10" i="47" a="1"/>
  <c r="AS10" i="47" s="1"/>
  <c r="AI10" i="47" a="1"/>
  <c r="AI10" i="47" s="1"/>
  <c r="AA10" i="47" a="1"/>
  <c r="AA10" i="47" s="1"/>
  <c r="S10" i="47" a="1"/>
  <c r="S10" i="47" s="1"/>
  <c r="K10" i="47" a="1"/>
  <c r="K10" i="47" s="1"/>
  <c r="AL104" i="46" a="1"/>
  <c r="AL104" i="46" s="1"/>
  <c r="AD104" i="46" a="1"/>
  <c r="AD104" i="46" s="1"/>
  <c r="V104" i="46" a="1"/>
  <c r="V104" i="46" s="1"/>
  <c r="N104" i="46" a="1"/>
  <c r="N104" i="46" s="1"/>
  <c r="AQ103" i="46" a="1"/>
  <c r="AQ103" i="46" s="1"/>
  <c r="AG103" i="46" a="1"/>
  <c r="AG103" i="46" s="1"/>
  <c r="Y103" i="46" a="1"/>
  <c r="Y103" i="46" s="1"/>
  <c r="Q103" i="46" a="1"/>
  <c r="Q103" i="46" s="1"/>
  <c r="AT101" i="46" a="1"/>
  <c r="AT101" i="46" s="1"/>
  <c r="AJ101" i="46" a="1"/>
  <c r="AJ101" i="46" s="1"/>
  <c r="AB101" i="46" a="1"/>
  <c r="AB101" i="46" s="1"/>
  <c r="T101" i="46" a="1"/>
  <c r="T101" i="46" s="1"/>
  <c r="L101" i="46" a="1"/>
  <c r="L101" i="46" s="1"/>
  <c r="AM100" i="46" a="1"/>
  <c r="AM100" i="46" s="1"/>
  <c r="AE100" i="46" a="1"/>
  <c r="AE100" i="46" s="1"/>
  <c r="W100" i="46" a="1"/>
  <c r="W100" i="46" s="1"/>
  <c r="O100" i="46" a="1"/>
  <c r="O100" i="46" s="1"/>
  <c r="AR98" i="46" a="1"/>
  <c r="AR98" i="46" s="1"/>
  <c r="AH98" i="46" a="1"/>
  <c r="AH98" i="46" s="1"/>
  <c r="Z98" i="46" a="1"/>
  <c r="Z98" i="46" s="1"/>
  <c r="R98" i="46" a="1"/>
  <c r="R98" i="46" s="1"/>
  <c r="J98" i="46" a="1"/>
  <c r="J98" i="46" s="1"/>
  <c r="AK97" i="46" a="1"/>
  <c r="AK97" i="46" s="1"/>
  <c r="AC97" i="46" a="1"/>
  <c r="AC97" i="46" s="1"/>
  <c r="U97" i="46" a="1"/>
  <c r="U97" i="46" s="1"/>
  <c r="M97" i="46" a="1"/>
  <c r="M97" i="46" s="1"/>
  <c r="AP95" i="46" a="1"/>
  <c r="AP95" i="46" s="1"/>
  <c r="AF95" i="46" a="1"/>
  <c r="AF95" i="46" s="1"/>
  <c r="X95" i="46" a="1"/>
  <c r="X95" i="46" s="1"/>
  <c r="P95" i="46" a="1"/>
  <c r="P95" i="46" s="1"/>
  <c r="AS94" i="46" a="1"/>
  <c r="AS94" i="46" s="1"/>
  <c r="AI94" i="46" a="1"/>
  <c r="AI94" i="46" s="1"/>
  <c r="AA94" i="46" a="1"/>
  <c r="AA94" i="46" s="1"/>
  <c r="S94" i="46" a="1"/>
  <c r="S94" i="46" s="1"/>
  <c r="K94" i="46" a="1"/>
  <c r="K94" i="46" s="1"/>
  <c r="AL92" i="46" a="1"/>
  <c r="AL92" i="46" s="1"/>
  <c r="AD92" i="46" a="1"/>
  <c r="AD92" i="46" s="1"/>
  <c r="V92" i="46" a="1"/>
  <c r="V92" i="46" s="1"/>
  <c r="N92" i="46" a="1"/>
  <c r="N92" i="46" s="1"/>
  <c r="AQ91" i="46" a="1"/>
  <c r="AQ91" i="46" s="1"/>
  <c r="AG91" i="46" a="1"/>
  <c r="AG91" i="46" s="1"/>
  <c r="Y91" i="46" a="1"/>
  <c r="Y91" i="46" s="1"/>
  <c r="Q91" i="46" a="1"/>
  <c r="Q91" i="46" s="1"/>
  <c r="AT89" i="46" a="1"/>
  <c r="AT89" i="46" s="1"/>
  <c r="AJ89" i="46" a="1"/>
  <c r="AJ89" i="46" s="1"/>
  <c r="AB89" i="46" a="1"/>
  <c r="AB89" i="46" s="1"/>
  <c r="T89" i="46" a="1"/>
  <c r="T89" i="46" s="1"/>
  <c r="L89" i="46" a="1"/>
  <c r="L89" i="46" s="1"/>
  <c r="AM88" i="46" a="1"/>
  <c r="AM88" i="46" s="1"/>
  <c r="AE88" i="46" a="1"/>
  <c r="AE88" i="46" s="1"/>
  <c r="W88" i="46" a="1"/>
  <c r="W88" i="46" s="1"/>
  <c r="O88" i="46" a="1"/>
  <c r="O88" i="46" s="1"/>
  <c r="AR86" i="46" a="1"/>
  <c r="AR86" i="46" s="1"/>
  <c r="AH86" i="46" a="1"/>
  <c r="AH86" i="46" s="1"/>
  <c r="Z86" i="46" a="1"/>
  <c r="Z86" i="46" s="1"/>
  <c r="R86" i="46" a="1"/>
  <c r="R86" i="46" s="1"/>
  <c r="J86" i="46" a="1"/>
  <c r="J86" i="46" s="1"/>
  <c r="AK85" i="46" a="1"/>
  <c r="AK85" i="46" s="1"/>
  <c r="AC85" i="46" a="1"/>
  <c r="AC85" i="46" s="1"/>
  <c r="U85" i="46" a="1"/>
  <c r="U85" i="46" s="1"/>
  <c r="M85" i="46" a="1"/>
  <c r="M85" i="46" s="1"/>
  <c r="AP83" i="46" a="1"/>
  <c r="AP83" i="46" s="1"/>
  <c r="AF83" i="46" a="1"/>
  <c r="AF83" i="46" s="1"/>
  <c r="X83" i="46" a="1"/>
  <c r="X83" i="46" s="1"/>
  <c r="P83" i="46" a="1"/>
  <c r="P83" i="46" s="1"/>
  <c r="AS82" i="46" a="1"/>
  <c r="AS82" i="46" s="1"/>
  <c r="AI82" i="46" a="1"/>
  <c r="AI82" i="46" s="1"/>
  <c r="AA82" i="46" a="1"/>
  <c r="AA82" i="46" s="1"/>
  <c r="S82" i="46" a="1"/>
  <c r="S82" i="46" s="1"/>
  <c r="K82" i="46" a="1"/>
  <c r="K82" i="46" s="1"/>
  <c r="AL80" i="46" a="1"/>
  <c r="AL80" i="46" s="1"/>
  <c r="AD80" i="46" a="1"/>
  <c r="AD80" i="46" s="1"/>
  <c r="V80" i="46" a="1"/>
  <c r="V80" i="46" s="1"/>
  <c r="N80" i="46" a="1"/>
  <c r="N80" i="46" s="1"/>
  <c r="AQ79" i="46" a="1"/>
  <c r="AQ79" i="46" s="1"/>
  <c r="AG79" i="46" a="1"/>
  <c r="AG79" i="46" s="1"/>
  <c r="Y79" i="46" a="1"/>
  <c r="Y79" i="46" s="1"/>
  <c r="Q79" i="46" a="1"/>
  <c r="Q79" i="46" s="1"/>
  <c r="AT77" i="46" a="1"/>
  <c r="AT77" i="46" s="1"/>
  <c r="AJ77" i="46" a="1"/>
  <c r="AJ77" i="46" s="1"/>
  <c r="AB77" i="46" a="1"/>
  <c r="AB77" i="46" s="1"/>
  <c r="T77" i="46" a="1"/>
  <c r="T77" i="46" s="1"/>
  <c r="L77" i="46" a="1"/>
  <c r="L77" i="46" s="1"/>
  <c r="AM76" i="46" a="1"/>
  <c r="AM76" i="46" s="1"/>
  <c r="AE76" i="46" a="1"/>
  <c r="AE76" i="46" s="1"/>
  <c r="W76" i="46" a="1"/>
  <c r="W76" i="46" s="1"/>
  <c r="O76" i="46" a="1"/>
  <c r="O76" i="46" s="1"/>
  <c r="AR74" i="46" a="1"/>
  <c r="AR74" i="46" s="1"/>
  <c r="AH74" i="46" a="1"/>
  <c r="AH74" i="46" s="1"/>
  <c r="Z74" i="46" a="1"/>
  <c r="Z74" i="46" s="1"/>
  <c r="R74" i="46" a="1"/>
  <c r="R74" i="46" s="1"/>
  <c r="J74" i="46" a="1"/>
  <c r="J74" i="46" s="1"/>
  <c r="AK73" i="46" a="1"/>
  <c r="AK73" i="46" s="1"/>
  <c r="AC73" i="46" a="1"/>
  <c r="AC73" i="46" s="1"/>
  <c r="U73" i="46" a="1"/>
  <c r="U73" i="46" s="1"/>
  <c r="M73" i="46" a="1"/>
  <c r="M73" i="46" s="1"/>
  <c r="AP71" i="46" a="1"/>
  <c r="AP71" i="46" s="1"/>
  <c r="AF71" i="46" a="1"/>
  <c r="AF71" i="46" s="1"/>
  <c r="X71" i="46" a="1"/>
  <c r="X71" i="46" s="1"/>
  <c r="P71" i="46" a="1"/>
  <c r="P71" i="46" s="1"/>
  <c r="AS70" i="46" a="1"/>
  <c r="AS70" i="46" s="1"/>
  <c r="AI70" i="46" a="1"/>
  <c r="AI70" i="46" s="1"/>
  <c r="AA70" i="46" a="1"/>
  <c r="AA70" i="46" s="1"/>
  <c r="S70" i="46" a="1"/>
  <c r="S70" i="46" s="1"/>
  <c r="K70" i="46" a="1"/>
  <c r="K70" i="46" s="1"/>
  <c r="AL68" i="46" a="1"/>
  <c r="AL68" i="46" s="1"/>
  <c r="AD68" i="46" a="1"/>
  <c r="AD68" i="46" s="1"/>
  <c r="V68" i="46" a="1"/>
  <c r="V68" i="46" s="1"/>
  <c r="N68" i="46" a="1"/>
  <c r="N68" i="46" s="1"/>
  <c r="AQ67" i="46" a="1"/>
  <c r="AQ67" i="46" s="1"/>
  <c r="AG67" i="46" a="1"/>
  <c r="AG67" i="46" s="1"/>
  <c r="Y67" i="46" a="1"/>
  <c r="Y67" i="46" s="1"/>
  <c r="Q67" i="46" a="1"/>
  <c r="Q67" i="46" s="1"/>
  <c r="AT65" i="46" a="1"/>
  <c r="AT65" i="46" s="1"/>
  <c r="AJ65" i="46" a="1"/>
  <c r="AJ65" i="46" s="1"/>
  <c r="AB65" i="46" a="1"/>
  <c r="AB65" i="46" s="1"/>
  <c r="T65" i="46" a="1"/>
  <c r="T65" i="46" s="1"/>
  <c r="L65" i="46" a="1"/>
  <c r="L65" i="46" s="1"/>
  <c r="AM64" i="46" a="1"/>
  <c r="AM64" i="46" s="1"/>
  <c r="AE64" i="46" a="1"/>
  <c r="AE64" i="46" s="1"/>
  <c r="W64" i="46" a="1"/>
  <c r="W64" i="46" s="1"/>
  <c r="O64" i="46" a="1"/>
  <c r="O64" i="46" s="1"/>
  <c r="AR62" i="46" a="1"/>
  <c r="AR62" i="46" s="1"/>
  <c r="AH62" i="46" a="1"/>
  <c r="AH62" i="46" s="1"/>
  <c r="Z62" i="46" a="1"/>
  <c r="Z62" i="46" s="1"/>
  <c r="R62" i="46" a="1"/>
  <c r="R62" i="46" s="1"/>
  <c r="J62" i="46" a="1"/>
  <c r="J62" i="46" s="1"/>
  <c r="AK61" i="46" a="1"/>
  <c r="AK61" i="46" s="1"/>
  <c r="AC61" i="46" a="1"/>
  <c r="AC61" i="46" s="1"/>
  <c r="U61" i="46" a="1"/>
  <c r="U61" i="46" s="1"/>
  <c r="M61" i="46" a="1"/>
  <c r="M61" i="46" s="1"/>
  <c r="AP59" i="46" a="1"/>
  <c r="AP59" i="46" s="1"/>
  <c r="AF59" i="46" a="1"/>
  <c r="AF59" i="46" s="1"/>
  <c r="X59" i="46" a="1"/>
  <c r="X59" i="46" s="1"/>
  <c r="P59" i="46" a="1"/>
  <c r="P59" i="46" s="1"/>
  <c r="AS58" i="46" a="1"/>
  <c r="AS58" i="46" s="1"/>
  <c r="AI58" i="46" a="1"/>
  <c r="AI58" i="46" s="1"/>
  <c r="AA58" i="46" a="1"/>
  <c r="AA58" i="46" s="1"/>
  <c r="S58" i="46" a="1"/>
  <c r="S58" i="46" s="1"/>
  <c r="K58" i="46" a="1"/>
  <c r="K58" i="46" s="1"/>
  <c r="AL56" i="46" a="1"/>
  <c r="AL56" i="46" s="1"/>
  <c r="AD56" i="46" a="1"/>
  <c r="AD56" i="46" s="1"/>
  <c r="V56" i="46" a="1"/>
  <c r="V56" i="46" s="1"/>
  <c r="N56" i="46" a="1"/>
  <c r="N56" i="46" s="1"/>
  <c r="AQ55" i="46" a="1"/>
  <c r="AQ55" i="46" s="1"/>
  <c r="AG55" i="46" a="1"/>
  <c r="AG55" i="46" s="1"/>
  <c r="Y55" i="46" a="1"/>
  <c r="Y55" i="46" s="1"/>
  <c r="Q55" i="46" a="1"/>
  <c r="Q55" i="46" s="1"/>
  <c r="AT53" i="46" a="1"/>
  <c r="AT53" i="46" s="1"/>
  <c r="AJ53" i="46" a="1"/>
  <c r="AJ53" i="46" s="1"/>
  <c r="K19" i="47" a="1"/>
  <c r="K19" i="47" s="1"/>
  <c r="Z17" i="47" a="1"/>
  <c r="Z17" i="47" s="1"/>
  <c r="Q17" i="47" a="1"/>
  <c r="Q17" i="47" s="1"/>
  <c r="AT16" i="47" a="1"/>
  <c r="AT16" i="47" s="1"/>
  <c r="AJ16" i="47" a="1"/>
  <c r="AJ16" i="47" s="1"/>
  <c r="AB16" i="47" a="1"/>
  <c r="AB16" i="47" s="1"/>
  <c r="T16" i="47" a="1"/>
  <c r="T16" i="47" s="1"/>
  <c r="L16" i="47" a="1"/>
  <c r="L16" i="47" s="1"/>
  <c r="AM11" i="47" a="1"/>
  <c r="AM11" i="47" s="1"/>
  <c r="AE11" i="47" a="1"/>
  <c r="AE11" i="47" s="1"/>
  <c r="W11" i="47" a="1"/>
  <c r="W11" i="47" s="1"/>
  <c r="O11" i="47" a="1"/>
  <c r="O11" i="47" s="1"/>
  <c r="AR10" i="47" a="1"/>
  <c r="AR10" i="47" s="1"/>
  <c r="AH10" i="47" a="1"/>
  <c r="AH10" i="47" s="1"/>
  <c r="Z10" i="47" a="1"/>
  <c r="Z10" i="47" s="1"/>
  <c r="R10" i="47" a="1"/>
  <c r="R10" i="47" s="1"/>
  <c r="J10" i="47" a="1"/>
  <c r="J10" i="47" s="1"/>
  <c r="AK104" i="46" a="1"/>
  <c r="AK104" i="46" s="1"/>
  <c r="AC104" i="46" a="1"/>
  <c r="AC104" i="46" s="1"/>
  <c r="U104" i="46" a="1"/>
  <c r="U104" i="46" s="1"/>
  <c r="M104" i="46" a="1"/>
  <c r="M104" i="46" s="1"/>
  <c r="AP103" i="46" a="1"/>
  <c r="AP103" i="46" s="1"/>
  <c r="AF103" i="46" a="1"/>
  <c r="AF103" i="46" s="1"/>
  <c r="X103" i="46" a="1"/>
  <c r="X103" i="46" s="1"/>
  <c r="P103" i="46" a="1"/>
  <c r="P103" i="46" s="1"/>
  <c r="AS101" i="46" a="1"/>
  <c r="AS101" i="46" s="1"/>
  <c r="AI101" i="46" a="1"/>
  <c r="AI101" i="46" s="1"/>
  <c r="AA101" i="46" a="1"/>
  <c r="AA101" i="46" s="1"/>
  <c r="S101" i="46" a="1"/>
  <c r="S101" i="46" s="1"/>
  <c r="K101" i="46" a="1"/>
  <c r="K101" i="46" s="1"/>
  <c r="AL100" i="46" a="1"/>
  <c r="AL100" i="46" s="1"/>
  <c r="AD100" i="46" a="1"/>
  <c r="AD100" i="46" s="1"/>
  <c r="V100" i="46" a="1"/>
  <c r="V100" i="46" s="1"/>
  <c r="N100" i="46" a="1"/>
  <c r="N100" i="46" s="1"/>
  <c r="AQ98" i="46" a="1"/>
  <c r="AQ98" i="46" s="1"/>
  <c r="AG98" i="46" a="1"/>
  <c r="AG98" i="46" s="1"/>
  <c r="Y98" i="46" a="1"/>
  <c r="Y98" i="46" s="1"/>
  <c r="Q98" i="46" a="1"/>
  <c r="Q98" i="46" s="1"/>
  <c r="AT97" i="46" a="1"/>
  <c r="AT97" i="46" s="1"/>
  <c r="AJ97" i="46" a="1"/>
  <c r="AJ97" i="46" s="1"/>
  <c r="AB97" i="46" a="1"/>
  <c r="AB97" i="46" s="1"/>
  <c r="T97" i="46" a="1"/>
  <c r="T97" i="46" s="1"/>
  <c r="L97" i="46" a="1"/>
  <c r="L97" i="46" s="1"/>
  <c r="AM95" i="46" a="1"/>
  <c r="AM95" i="46" s="1"/>
  <c r="AE95" i="46" a="1"/>
  <c r="AE95" i="46" s="1"/>
  <c r="W95" i="46" a="1"/>
  <c r="W95" i="46" s="1"/>
  <c r="O95" i="46" a="1"/>
  <c r="O95" i="46" s="1"/>
  <c r="AR94" i="46" a="1"/>
  <c r="AR94" i="46" s="1"/>
  <c r="AH94" i="46" a="1"/>
  <c r="AH94" i="46" s="1"/>
  <c r="Z94" i="46" a="1"/>
  <c r="Z94" i="46" s="1"/>
  <c r="R94" i="46" a="1"/>
  <c r="R94" i="46" s="1"/>
  <c r="J94" i="46" a="1"/>
  <c r="J94" i="46" s="1"/>
  <c r="AK92" i="46" a="1"/>
  <c r="AK92" i="46" s="1"/>
  <c r="AC92" i="46" a="1"/>
  <c r="AC92" i="46" s="1"/>
  <c r="U92" i="46" a="1"/>
  <c r="U92" i="46" s="1"/>
  <c r="M92" i="46" a="1"/>
  <c r="M92" i="46" s="1"/>
  <c r="AP91" i="46" a="1"/>
  <c r="AP91" i="46" s="1"/>
  <c r="AF91" i="46" a="1"/>
  <c r="AF91" i="46" s="1"/>
  <c r="X91" i="46" a="1"/>
  <c r="X91" i="46" s="1"/>
  <c r="P91" i="46" a="1"/>
  <c r="P91" i="46" s="1"/>
  <c r="AS89" i="46" a="1"/>
  <c r="AS89" i="46" s="1"/>
  <c r="AI89" i="46" a="1"/>
  <c r="AI89" i="46" s="1"/>
  <c r="AA89" i="46" a="1"/>
  <c r="AA89" i="46" s="1"/>
  <c r="S89" i="46" a="1"/>
  <c r="S89" i="46" s="1"/>
  <c r="K89" i="46" a="1"/>
  <c r="K89" i="46" s="1"/>
  <c r="AL88" i="46" a="1"/>
  <c r="AL88" i="46" s="1"/>
  <c r="AD88" i="46" a="1"/>
  <c r="AD88" i="46" s="1"/>
  <c r="V88" i="46" a="1"/>
  <c r="V88" i="46" s="1"/>
  <c r="N88" i="46" a="1"/>
  <c r="N88" i="46" s="1"/>
  <c r="AQ86" i="46" a="1"/>
  <c r="AQ86" i="46" s="1"/>
  <c r="AG86" i="46" a="1"/>
  <c r="AG86" i="46" s="1"/>
  <c r="Y86" i="46" a="1"/>
  <c r="Y86" i="46" s="1"/>
  <c r="Q86" i="46" a="1"/>
  <c r="Q86" i="46" s="1"/>
  <c r="AT85" i="46" a="1"/>
  <c r="AT85" i="46" s="1"/>
  <c r="AJ85" i="46" a="1"/>
  <c r="AJ85" i="46" s="1"/>
  <c r="AB85" i="46" a="1"/>
  <c r="AB85" i="46" s="1"/>
  <c r="T85" i="46" a="1"/>
  <c r="T85" i="46" s="1"/>
  <c r="L85" i="46" a="1"/>
  <c r="L85" i="46" s="1"/>
  <c r="AM83" i="46" a="1"/>
  <c r="AM83" i="46" s="1"/>
  <c r="AE83" i="46" a="1"/>
  <c r="AE83" i="46" s="1"/>
  <c r="W83" i="46" a="1"/>
  <c r="W83" i="46" s="1"/>
  <c r="O83" i="46" a="1"/>
  <c r="O83" i="46" s="1"/>
  <c r="AR82" i="46" a="1"/>
  <c r="AR82" i="46" s="1"/>
  <c r="AH82" i="46" a="1"/>
  <c r="AH82" i="46" s="1"/>
  <c r="Z82" i="46" a="1"/>
  <c r="Z82" i="46" s="1"/>
  <c r="R82" i="46" a="1"/>
  <c r="R82" i="46" s="1"/>
  <c r="J82" i="46" a="1"/>
  <c r="J82" i="46" s="1"/>
  <c r="AK80" i="46" a="1"/>
  <c r="AK80" i="46" s="1"/>
  <c r="AC80" i="46" a="1"/>
  <c r="AC80" i="46" s="1"/>
  <c r="U80" i="46" a="1"/>
  <c r="U80" i="46" s="1"/>
  <c r="M80" i="46" a="1"/>
  <c r="M80" i="46" s="1"/>
  <c r="AP79" i="46" a="1"/>
  <c r="AP79" i="46" s="1"/>
  <c r="AF79" i="46" a="1"/>
  <c r="AF79" i="46" s="1"/>
  <c r="X79" i="46" a="1"/>
  <c r="X79" i="46" s="1"/>
  <c r="P79" i="46" a="1"/>
  <c r="P79" i="46" s="1"/>
  <c r="AS77" i="46" a="1"/>
  <c r="AS77" i="46" s="1"/>
  <c r="AI77" i="46" a="1"/>
  <c r="AI77" i="46" s="1"/>
  <c r="AA77" i="46" a="1"/>
  <c r="AA77" i="46" s="1"/>
  <c r="S77" i="46" a="1"/>
  <c r="S77" i="46" s="1"/>
  <c r="K77" i="46" a="1"/>
  <c r="K77" i="46" s="1"/>
  <c r="AL76" i="46" a="1"/>
  <c r="AL76" i="46" s="1"/>
  <c r="AD76" i="46" a="1"/>
  <c r="AD76" i="46" s="1"/>
  <c r="V76" i="46" a="1"/>
  <c r="V76" i="46" s="1"/>
  <c r="N76" i="46" a="1"/>
  <c r="N76" i="46" s="1"/>
  <c r="AQ74" i="46" a="1"/>
  <c r="AQ74" i="46" s="1"/>
  <c r="AG74" i="46" a="1"/>
  <c r="AG74" i="46" s="1"/>
  <c r="Y74" i="46" a="1"/>
  <c r="Y74" i="46" s="1"/>
  <c r="Q74" i="46" a="1"/>
  <c r="Q74" i="46" s="1"/>
  <c r="AT73" i="46" a="1"/>
  <c r="AT73" i="46" s="1"/>
  <c r="AJ73" i="46" a="1"/>
  <c r="AJ73" i="46" s="1"/>
  <c r="AB73" i="46" a="1"/>
  <c r="AB73" i="46" s="1"/>
  <c r="T73" i="46" a="1"/>
  <c r="T73" i="46" s="1"/>
  <c r="L73" i="46" a="1"/>
  <c r="L73" i="46" s="1"/>
  <c r="AM71" i="46" a="1"/>
  <c r="AM71" i="46" s="1"/>
  <c r="AE71" i="46" a="1"/>
  <c r="AE71" i="46" s="1"/>
  <c r="W71" i="46" a="1"/>
  <c r="W71" i="46" s="1"/>
  <c r="O71" i="46" a="1"/>
  <c r="O71" i="46" s="1"/>
  <c r="AR70" i="46" a="1"/>
  <c r="AR70" i="46" s="1"/>
  <c r="AH70" i="46" a="1"/>
  <c r="AH70" i="46" s="1"/>
  <c r="Z70" i="46" a="1"/>
  <c r="Z70" i="46" s="1"/>
  <c r="R70" i="46" a="1"/>
  <c r="R70" i="46" s="1"/>
  <c r="J70" i="46" a="1"/>
  <c r="J70" i="46" s="1"/>
  <c r="AK68" i="46" a="1"/>
  <c r="AK68" i="46" s="1"/>
  <c r="AC68" i="46" a="1"/>
  <c r="AC68" i="46" s="1"/>
  <c r="U68" i="46" a="1"/>
  <c r="U68" i="46" s="1"/>
  <c r="M68" i="46" a="1"/>
  <c r="M68" i="46" s="1"/>
  <c r="AP67" i="46" a="1"/>
  <c r="AP67" i="46" s="1"/>
  <c r="AF67" i="46" a="1"/>
  <c r="AF67" i="46" s="1"/>
  <c r="X67" i="46" a="1"/>
  <c r="X67" i="46" s="1"/>
  <c r="P67" i="46" a="1"/>
  <c r="P67" i="46" s="1"/>
  <c r="AS65" i="46" a="1"/>
  <c r="AS65" i="46" s="1"/>
  <c r="AI65" i="46" a="1"/>
  <c r="AI65" i="46" s="1"/>
  <c r="AA65" i="46" a="1"/>
  <c r="AA65" i="46" s="1"/>
  <c r="S65" i="46" a="1"/>
  <c r="S65" i="46" s="1"/>
  <c r="K65" i="46" a="1"/>
  <c r="K65" i="46" s="1"/>
  <c r="AL64" i="46" a="1"/>
  <c r="AL64" i="46" s="1"/>
  <c r="AD64" i="46" a="1"/>
  <c r="AD64" i="46" s="1"/>
  <c r="V64" i="46" a="1"/>
  <c r="V64" i="46" s="1"/>
  <c r="N64" i="46" a="1"/>
  <c r="N64" i="46" s="1"/>
  <c r="AQ62" i="46" a="1"/>
  <c r="AQ62" i="46" s="1"/>
  <c r="AG62" i="46" a="1"/>
  <c r="AG62" i="46" s="1"/>
  <c r="Y62" i="46" a="1"/>
  <c r="Y62" i="46" s="1"/>
  <c r="Q62" i="46" a="1"/>
  <c r="Q62" i="46" s="1"/>
  <c r="AT61" i="46" a="1"/>
  <c r="AT61" i="46" s="1"/>
  <c r="AJ61" i="46" a="1"/>
  <c r="AJ61" i="46" s="1"/>
  <c r="AB61" i="46" a="1"/>
  <c r="AB61" i="46" s="1"/>
  <c r="T61" i="46" a="1"/>
  <c r="T61" i="46" s="1"/>
  <c r="L61" i="46" a="1"/>
  <c r="L61" i="46" s="1"/>
  <c r="AM59" i="46" a="1"/>
  <c r="AM59" i="46" s="1"/>
  <c r="AE59" i="46" a="1"/>
  <c r="AE59" i="46" s="1"/>
  <c r="W59" i="46" a="1"/>
  <c r="W59" i="46" s="1"/>
  <c r="O59" i="46" a="1"/>
  <c r="O59" i="46" s="1"/>
  <c r="AR58" i="46" a="1"/>
  <c r="AR58" i="46" s="1"/>
  <c r="AH58" i="46" a="1"/>
  <c r="AH58" i="46" s="1"/>
  <c r="Z58" i="46" a="1"/>
  <c r="Z58" i="46" s="1"/>
  <c r="R58" i="46" a="1"/>
  <c r="R58" i="46" s="1"/>
  <c r="J58" i="46" a="1"/>
  <c r="J58" i="46" s="1"/>
  <c r="AK56" i="46" a="1"/>
  <c r="AK56" i="46" s="1"/>
  <c r="AC56" i="46" a="1"/>
  <c r="AC56" i="46" s="1"/>
  <c r="U56" i="46" a="1"/>
  <c r="U56" i="46" s="1"/>
  <c r="M56" i="46" a="1"/>
  <c r="M56" i="46" s="1"/>
  <c r="AP55" i="46" a="1"/>
  <c r="AP55" i="46" s="1"/>
  <c r="AF55" i="46" a="1"/>
  <c r="AF55" i="46" s="1"/>
  <c r="X55" i="46" a="1"/>
  <c r="X55" i="46" s="1"/>
  <c r="P55" i="46" a="1"/>
  <c r="P55" i="46" s="1"/>
  <c r="AS53" i="46" a="1"/>
  <c r="AS53" i="46" s="1"/>
  <c r="AI53" i="46" a="1"/>
  <c r="AI53" i="46" s="1"/>
  <c r="AA53" i="46" a="1"/>
  <c r="AA53" i="46" s="1"/>
  <c r="S53" i="46" a="1"/>
  <c r="S53" i="46" s="1"/>
  <c r="K53" i="46" a="1"/>
  <c r="K53" i="46" s="1"/>
  <c r="AR17" i="47" a="1"/>
  <c r="AR17" i="47" s="1"/>
  <c r="X17" i="47" a="1"/>
  <c r="X17" i="47" s="1"/>
  <c r="P17" i="47" a="1"/>
  <c r="P17" i="47" s="1"/>
  <c r="AS16" i="47" a="1"/>
  <c r="AS16" i="47" s="1"/>
  <c r="AI16" i="47" a="1"/>
  <c r="AI16" i="47" s="1"/>
  <c r="AA16" i="47" a="1"/>
  <c r="AA16" i="47" s="1"/>
  <c r="S16" i="47" a="1"/>
  <c r="S16" i="47" s="1"/>
  <c r="K16" i="47" a="1"/>
  <c r="K16" i="47" s="1"/>
  <c r="AL11" i="47" a="1"/>
  <c r="AL11" i="47" s="1"/>
  <c r="AD11" i="47" a="1"/>
  <c r="AD11" i="47" s="1"/>
  <c r="V11" i="47" a="1"/>
  <c r="V11" i="47" s="1"/>
  <c r="N11" i="47" a="1"/>
  <c r="N11" i="47" s="1"/>
  <c r="AQ10" i="47" a="1"/>
  <c r="AQ10" i="47" s="1"/>
  <c r="AG10" i="47" a="1"/>
  <c r="AG10" i="47" s="1"/>
  <c r="Y10" i="47" a="1"/>
  <c r="Y10" i="47" s="1"/>
  <c r="Q10" i="47" a="1"/>
  <c r="Q10" i="47" s="1"/>
  <c r="AT104" i="46" a="1"/>
  <c r="AT104" i="46" s="1"/>
  <c r="AJ104" i="46" a="1"/>
  <c r="AJ104" i="46" s="1"/>
  <c r="AB104" i="46" a="1"/>
  <c r="AB104" i="46" s="1"/>
  <c r="T104" i="46" a="1"/>
  <c r="T104" i="46" s="1"/>
  <c r="L104" i="46" a="1"/>
  <c r="L104" i="46" s="1"/>
  <c r="AM103" i="46" a="1"/>
  <c r="AM103" i="46" s="1"/>
  <c r="AE103" i="46" a="1"/>
  <c r="AE103" i="46" s="1"/>
  <c r="W103" i="46" a="1"/>
  <c r="W103" i="46" s="1"/>
  <c r="O103" i="46" a="1"/>
  <c r="O103" i="46" s="1"/>
  <c r="AR101" i="46" a="1"/>
  <c r="AR101" i="46" s="1"/>
  <c r="AH101" i="46" a="1"/>
  <c r="AH101" i="46" s="1"/>
  <c r="Z101" i="46" a="1"/>
  <c r="Z101" i="46" s="1"/>
  <c r="R101" i="46" a="1"/>
  <c r="R101" i="46" s="1"/>
  <c r="J101" i="46" a="1"/>
  <c r="J101" i="46" s="1"/>
  <c r="AK100" i="46" a="1"/>
  <c r="AK100" i="46" s="1"/>
  <c r="AC100" i="46" a="1"/>
  <c r="AC100" i="46" s="1"/>
  <c r="U100" i="46" a="1"/>
  <c r="U100" i="46" s="1"/>
  <c r="M100" i="46" a="1"/>
  <c r="M100" i="46" s="1"/>
  <c r="AP98" i="46" a="1"/>
  <c r="AP98" i="46" s="1"/>
  <c r="AF98" i="46" a="1"/>
  <c r="AF98" i="46" s="1"/>
  <c r="X98" i="46" a="1"/>
  <c r="X98" i="46" s="1"/>
  <c r="P98" i="46" a="1"/>
  <c r="P98" i="46" s="1"/>
  <c r="AS97" i="46" a="1"/>
  <c r="AS97" i="46" s="1"/>
  <c r="AI97" i="46" a="1"/>
  <c r="AI97" i="46" s="1"/>
  <c r="AA97" i="46" a="1"/>
  <c r="AA97" i="46" s="1"/>
  <c r="S97" i="46" a="1"/>
  <c r="S97" i="46" s="1"/>
  <c r="K97" i="46" a="1"/>
  <c r="K97" i="46" s="1"/>
  <c r="AL95" i="46" a="1"/>
  <c r="AL95" i="46" s="1"/>
  <c r="AD95" i="46" a="1"/>
  <c r="AD95" i="46" s="1"/>
  <c r="V95" i="46" a="1"/>
  <c r="V95" i="46" s="1"/>
  <c r="N95" i="46" a="1"/>
  <c r="N95" i="46" s="1"/>
  <c r="AQ94" i="46" a="1"/>
  <c r="AQ94" i="46" s="1"/>
  <c r="AG94" i="46" a="1"/>
  <c r="AG94" i="46" s="1"/>
  <c r="Y94" i="46" a="1"/>
  <c r="Y94" i="46" s="1"/>
  <c r="Q94" i="46" a="1"/>
  <c r="Q94" i="46" s="1"/>
  <c r="AT92" i="46" a="1"/>
  <c r="AT92" i="46" s="1"/>
  <c r="AJ92" i="46" a="1"/>
  <c r="AJ92" i="46" s="1"/>
  <c r="AB92" i="46" a="1"/>
  <c r="AB92" i="46" s="1"/>
  <c r="T92" i="46" a="1"/>
  <c r="T92" i="46" s="1"/>
  <c r="L92" i="46" a="1"/>
  <c r="L92" i="46" s="1"/>
  <c r="AM91" i="46" a="1"/>
  <c r="AM91" i="46" s="1"/>
  <c r="AE91" i="46" a="1"/>
  <c r="AE91" i="46" s="1"/>
  <c r="W91" i="46" a="1"/>
  <c r="W91" i="46" s="1"/>
  <c r="O91" i="46" a="1"/>
  <c r="O91" i="46" s="1"/>
  <c r="AR89" i="46" a="1"/>
  <c r="AR89" i="46" s="1"/>
  <c r="AH89" i="46" a="1"/>
  <c r="AH89" i="46" s="1"/>
  <c r="Z89" i="46" a="1"/>
  <c r="Z89" i="46" s="1"/>
  <c r="R89" i="46" a="1"/>
  <c r="R89" i="46" s="1"/>
  <c r="J89" i="46" a="1"/>
  <c r="J89" i="46" s="1"/>
  <c r="AK88" i="46" a="1"/>
  <c r="AK88" i="46" s="1"/>
  <c r="AC88" i="46" a="1"/>
  <c r="AC88" i="46" s="1"/>
  <c r="U88" i="46" a="1"/>
  <c r="U88" i="46" s="1"/>
  <c r="M88" i="46" a="1"/>
  <c r="M88" i="46" s="1"/>
  <c r="AP86" i="46" a="1"/>
  <c r="AP86" i="46" s="1"/>
  <c r="AF86" i="46" a="1"/>
  <c r="AF86" i="46" s="1"/>
  <c r="X86" i="46" a="1"/>
  <c r="X86" i="46" s="1"/>
  <c r="P86" i="46" a="1"/>
  <c r="P86" i="46" s="1"/>
  <c r="AS85" i="46" a="1"/>
  <c r="AS85" i="46" s="1"/>
  <c r="AI85" i="46" a="1"/>
  <c r="AI85" i="46" s="1"/>
  <c r="AA85" i="46" a="1"/>
  <c r="AA85" i="46" s="1"/>
  <c r="S85" i="46" a="1"/>
  <c r="S85" i="46" s="1"/>
  <c r="K85" i="46" a="1"/>
  <c r="K85" i="46" s="1"/>
  <c r="AL83" i="46" a="1"/>
  <c r="AL83" i="46" s="1"/>
  <c r="AD83" i="46" a="1"/>
  <c r="AD83" i="46" s="1"/>
  <c r="V83" i="46" a="1"/>
  <c r="V83" i="46" s="1"/>
  <c r="N83" i="46" a="1"/>
  <c r="N83" i="46" s="1"/>
  <c r="AQ82" i="46" a="1"/>
  <c r="AQ82" i="46" s="1"/>
  <c r="AG82" i="46" a="1"/>
  <c r="AG82" i="46" s="1"/>
  <c r="Y82" i="46" a="1"/>
  <c r="Y82" i="46" s="1"/>
  <c r="Q82" i="46" a="1"/>
  <c r="Q82" i="46" s="1"/>
  <c r="AT80" i="46" a="1"/>
  <c r="AT80" i="46" s="1"/>
  <c r="AJ80" i="46" a="1"/>
  <c r="AJ80" i="46" s="1"/>
  <c r="AB80" i="46" a="1"/>
  <c r="AB80" i="46" s="1"/>
  <c r="T80" i="46" a="1"/>
  <c r="T80" i="46" s="1"/>
  <c r="L80" i="46" a="1"/>
  <c r="L80" i="46" s="1"/>
  <c r="AM79" i="46" a="1"/>
  <c r="AM79" i="46" s="1"/>
  <c r="AE79" i="46" a="1"/>
  <c r="AE79" i="46" s="1"/>
  <c r="W79" i="46" a="1"/>
  <c r="W79" i="46" s="1"/>
  <c r="O79" i="46" a="1"/>
  <c r="O79" i="46" s="1"/>
  <c r="AR77" i="46" a="1"/>
  <c r="AR77" i="46" s="1"/>
  <c r="AH77" i="46" a="1"/>
  <c r="AH77" i="46" s="1"/>
  <c r="Z77" i="46" a="1"/>
  <c r="Z77" i="46" s="1"/>
  <c r="R77" i="46" a="1"/>
  <c r="R77" i="46" s="1"/>
  <c r="J77" i="46" a="1"/>
  <c r="J77" i="46" s="1"/>
  <c r="AK76" i="46" a="1"/>
  <c r="AK76" i="46" s="1"/>
  <c r="AC76" i="46" a="1"/>
  <c r="AC76" i="46" s="1"/>
  <c r="U76" i="46" a="1"/>
  <c r="U76" i="46" s="1"/>
  <c r="M76" i="46" a="1"/>
  <c r="M76" i="46" s="1"/>
  <c r="AP74" i="46" a="1"/>
  <c r="AP74" i="46" s="1"/>
  <c r="AF74" i="46" a="1"/>
  <c r="AF74" i="46" s="1"/>
  <c r="X74" i="46" a="1"/>
  <c r="X74" i="46" s="1"/>
  <c r="P74" i="46" a="1"/>
  <c r="P74" i="46" s="1"/>
  <c r="AS73" i="46" a="1"/>
  <c r="AS73" i="46" s="1"/>
  <c r="AI73" i="46" a="1"/>
  <c r="AI73" i="46" s="1"/>
  <c r="AA73" i="46" a="1"/>
  <c r="AA73" i="46" s="1"/>
  <c r="S73" i="46" a="1"/>
  <c r="S73" i="46" s="1"/>
  <c r="K73" i="46" a="1"/>
  <c r="K73" i="46" s="1"/>
  <c r="AL71" i="46" a="1"/>
  <c r="AL71" i="46" s="1"/>
  <c r="AD71" i="46" a="1"/>
  <c r="AD71" i="46" s="1"/>
  <c r="V71" i="46" a="1"/>
  <c r="V71" i="46" s="1"/>
  <c r="N71" i="46" a="1"/>
  <c r="N71" i="46" s="1"/>
  <c r="AQ70" i="46" a="1"/>
  <c r="AQ70" i="46" s="1"/>
  <c r="AG70" i="46" a="1"/>
  <c r="AG70" i="46" s="1"/>
  <c r="Y70" i="46" a="1"/>
  <c r="Y70" i="46" s="1"/>
  <c r="Q70" i="46" a="1"/>
  <c r="Q70" i="46" s="1"/>
  <c r="AT68" i="46" a="1"/>
  <c r="AT68" i="46" s="1"/>
  <c r="AJ68" i="46" a="1"/>
  <c r="AJ68" i="46" s="1"/>
  <c r="AB68" i="46" a="1"/>
  <c r="AB68" i="46" s="1"/>
  <c r="T68" i="46" a="1"/>
  <c r="T68" i="46" s="1"/>
  <c r="L68" i="46" a="1"/>
  <c r="L68" i="46" s="1"/>
  <c r="AM67" i="46" a="1"/>
  <c r="AM67" i="46" s="1"/>
  <c r="AE67" i="46" a="1"/>
  <c r="AE67" i="46" s="1"/>
  <c r="W67" i="46" a="1"/>
  <c r="W67" i="46" s="1"/>
  <c r="O67" i="46" a="1"/>
  <c r="O67" i="46" s="1"/>
  <c r="AR65" i="46" a="1"/>
  <c r="AR65" i="46" s="1"/>
  <c r="AH65" i="46" a="1"/>
  <c r="AH65" i="46" s="1"/>
  <c r="Z65" i="46" a="1"/>
  <c r="Z65" i="46" s="1"/>
  <c r="R65" i="46" a="1"/>
  <c r="R65" i="46" s="1"/>
  <c r="J65" i="46" a="1"/>
  <c r="J65" i="46" s="1"/>
  <c r="AK64" i="46" a="1"/>
  <c r="AK64" i="46" s="1"/>
  <c r="AC64" i="46" a="1"/>
  <c r="AC64" i="46" s="1"/>
  <c r="U64" i="46" a="1"/>
  <c r="U64" i="46" s="1"/>
  <c r="M64" i="46" a="1"/>
  <c r="M64" i="46" s="1"/>
  <c r="AP62" i="46" a="1"/>
  <c r="AP62" i="46" s="1"/>
  <c r="AF62" i="46" a="1"/>
  <c r="AF62" i="46" s="1"/>
  <c r="X62" i="46" a="1"/>
  <c r="X62" i="46" s="1"/>
  <c r="P62" i="46" a="1"/>
  <c r="P62" i="46" s="1"/>
  <c r="AS61" i="46" a="1"/>
  <c r="AS61" i="46" s="1"/>
  <c r="AI61" i="46" a="1"/>
  <c r="AI61" i="46" s="1"/>
  <c r="AA61" i="46" a="1"/>
  <c r="AA61" i="46" s="1"/>
  <c r="S61" i="46" a="1"/>
  <c r="S61" i="46" s="1"/>
  <c r="K61" i="46" a="1"/>
  <c r="K61" i="46" s="1"/>
  <c r="AL59" i="46" a="1"/>
  <c r="AL59" i="46" s="1"/>
  <c r="AD59" i="46" a="1"/>
  <c r="AD59" i="46" s="1"/>
  <c r="V59" i="46" a="1"/>
  <c r="V59" i="46" s="1"/>
  <c r="N59" i="46" a="1"/>
  <c r="N59" i="46" s="1"/>
  <c r="AQ58" i="46" a="1"/>
  <c r="AQ58" i="46" s="1"/>
  <c r="AG58" i="46" a="1"/>
  <c r="AG58" i="46" s="1"/>
  <c r="Y58" i="46" a="1"/>
  <c r="Y58" i="46" s="1"/>
  <c r="Q58" i="46" a="1"/>
  <c r="Q58" i="46" s="1"/>
  <c r="AT56" i="46" a="1"/>
  <c r="AT56" i="46" s="1"/>
  <c r="AJ56" i="46" a="1"/>
  <c r="AJ56" i="46" s="1"/>
  <c r="AB56" i="46" a="1"/>
  <c r="AB56" i="46" s="1"/>
  <c r="T56" i="46" a="1"/>
  <c r="T56" i="46" s="1"/>
  <c r="L56" i="46" a="1"/>
  <c r="L56" i="46" s="1"/>
  <c r="AM55" i="46" a="1"/>
  <c r="AM55" i="46" s="1"/>
  <c r="AE55" i="46" a="1"/>
  <c r="AE55" i="46" s="1"/>
  <c r="W55" i="46" a="1"/>
  <c r="W55" i="46" s="1"/>
  <c r="O55" i="46" a="1"/>
  <c r="O55" i="46" s="1"/>
  <c r="AR53" i="46" a="1"/>
  <c r="AR53" i="46" s="1"/>
  <c r="AH53" i="46" a="1"/>
  <c r="AH53" i="46" s="1"/>
  <c r="Z53" i="46" a="1"/>
  <c r="Z53" i="46" s="1"/>
  <c r="AL17" i="47" a="1"/>
  <c r="AL17" i="47" s="1"/>
  <c r="W17" i="47" a="1"/>
  <c r="W17" i="47" s="1"/>
  <c r="O17" i="47" a="1"/>
  <c r="O17" i="47" s="1"/>
  <c r="AR16" i="47" a="1"/>
  <c r="AR16" i="47" s="1"/>
  <c r="AH16" i="47" a="1"/>
  <c r="AH16" i="47" s="1"/>
  <c r="Z16" i="47" a="1"/>
  <c r="Z16" i="47" s="1"/>
  <c r="R16" i="47" a="1"/>
  <c r="R16" i="47" s="1"/>
  <c r="J16" i="47" a="1"/>
  <c r="J16" i="47" s="1"/>
  <c r="AK11" i="47" a="1"/>
  <c r="AK11" i="47" s="1"/>
  <c r="AC11" i="47" a="1"/>
  <c r="AC11" i="47" s="1"/>
  <c r="U11" i="47" a="1"/>
  <c r="U11" i="47" s="1"/>
  <c r="M11" i="47" a="1"/>
  <c r="M11" i="47" s="1"/>
  <c r="AP10" i="47" a="1"/>
  <c r="AP10" i="47" s="1"/>
  <c r="AF10" i="47" a="1"/>
  <c r="AF10" i="47" s="1"/>
  <c r="X10" i="47" a="1"/>
  <c r="X10" i="47" s="1"/>
  <c r="P10" i="47" a="1"/>
  <c r="P10" i="47" s="1"/>
  <c r="AS104" i="46" a="1"/>
  <c r="AS104" i="46" s="1"/>
  <c r="AI104" i="46" a="1"/>
  <c r="AI104" i="46" s="1"/>
  <c r="AA104" i="46" a="1"/>
  <c r="AA104" i="46" s="1"/>
  <c r="S104" i="46" a="1"/>
  <c r="S104" i="46" s="1"/>
  <c r="K104" i="46" a="1"/>
  <c r="K104" i="46" s="1"/>
  <c r="AL103" i="46" a="1"/>
  <c r="AL103" i="46" s="1"/>
  <c r="AD103" i="46" a="1"/>
  <c r="AD103" i="46" s="1"/>
  <c r="V103" i="46" a="1"/>
  <c r="V103" i="46" s="1"/>
  <c r="N103" i="46" a="1"/>
  <c r="N103" i="46" s="1"/>
  <c r="AQ101" i="46" a="1"/>
  <c r="AQ101" i="46" s="1"/>
  <c r="AG101" i="46" a="1"/>
  <c r="AG101" i="46" s="1"/>
  <c r="Y101" i="46" a="1"/>
  <c r="Y101" i="46" s="1"/>
  <c r="Q101" i="46" a="1"/>
  <c r="Q101" i="46" s="1"/>
  <c r="AT100" i="46" a="1"/>
  <c r="AT100" i="46" s="1"/>
  <c r="AJ100" i="46" a="1"/>
  <c r="AJ100" i="46" s="1"/>
  <c r="AB100" i="46" a="1"/>
  <c r="AB100" i="46" s="1"/>
  <c r="T100" i="46" a="1"/>
  <c r="T100" i="46" s="1"/>
  <c r="L100" i="46" a="1"/>
  <c r="L100" i="46" s="1"/>
  <c r="AM98" i="46" a="1"/>
  <c r="AM98" i="46" s="1"/>
  <c r="AE98" i="46" a="1"/>
  <c r="AE98" i="46" s="1"/>
  <c r="W98" i="46" a="1"/>
  <c r="W98" i="46" s="1"/>
  <c r="O98" i="46" a="1"/>
  <c r="O98" i="46" s="1"/>
  <c r="AR97" i="46" a="1"/>
  <c r="AR97" i="46" s="1"/>
  <c r="AH97" i="46" a="1"/>
  <c r="AH97" i="46" s="1"/>
  <c r="Z97" i="46" a="1"/>
  <c r="Z97" i="46" s="1"/>
  <c r="R97" i="46" a="1"/>
  <c r="R97" i="46" s="1"/>
  <c r="J97" i="46" a="1"/>
  <c r="J97" i="46" s="1"/>
  <c r="AK95" i="46" a="1"/>
  <c r="AK95" i="46" s="1"/>
  <c r="AC95" i="46" a="1"/>
  <c r="AC95" i="46" s="1"/>
  <c r="U95" i="46" a="1"/>
  <c r="U95" i="46" s="1"/>
  <c r="M95" i="46" a="1"/>
  <c r="M95" i="46" s="1"/>
  <c r="AP94" i="46" a="1"/>
  <c r="AP94" i="46" s="1"/>
  <c r="AF94" i="46" a="1"/>
  <c r="AF94" i="46" s="1"/>
  <c r="X94" i="46" a="1"/>
  <c r="X94" i="46" s="1"/>
  <c r="P94" i="46" a="1"/>
  <c r="P94" i="46" s="1"/>
  <c r="AS92" i="46" a="1"/>
  <c r="AS92" i="46" s="1"/>
  <c r="AI92" i="46" a="1"/>
  <c r="AI92" i="46" s="1"/>
  <c r="AA92" i="46" a="1"/>
  <c r="AA92" i="46" s="1"/>
  <c r="S92" i="46" a="1"/>
  <c r="S92" i="46" s="1"/>
  <c r="K92" i="46" a="1"/>
  <c r="K92" i="46" s="1"/>
  <c r="AL91" i="46" a="1"/>
  <c r="AL91" i="46" s="1"/>
  <c r="AD91" i="46" a="1"/>
  <c r="AD91" i="46" s="1"/>
  <c r="V91" i="46" a="1"/>
  <c r="V91" i="46" s="1"/>
  <c r="N91" i="46" a="1"/>
  <c r="N91" i="46" s="1"/>
  <c r="AQ89" i="46" a="1"/>
  <c r="AQ89" i="46" s="1"/>
  <c r="AG89" i="46" a="1"/>
  <c r="AG89" i="46" s="1"/>
  <c r="Y89" i="46" a="1"/>
  <c r="Y89" i="46" s="1"/>
  <c r="Q89" i="46" a="1"/>
  <c r="Q89" i="46" s="1"/>
  <c r="AT88" i="46" a="1"/>
  <c r="AT88" i="46" s="1"/>
  <c r="AJ88" i="46" a="1"/>
  <c r="AJ88" i="46" s="1"/>
  <c r="AB88" i="46" a="1"/>
  <c r="AB88" i="46" s="1"/>
  <c r="T88" i="46" a="1"/>
  <c r="T88" i="46" s="1"/>
  <c r="L88" i="46" a="1"/>
  <c r="L88" i="46" s="1"/>
  <c r="AM86" i="46" a="1"/>
  <c r="AM86" i="46" s="1"/>
  <c r="AE86" i="46" a="1"/>
  <c r="AE86" i="46" s="1"/>
  <c r="W86" i="46" a="1"/>
  <c r="W86" i="46" s="1"/>
  <c r="O86" i="46" a="1"/>
  <c r="O86" i="46" s="1"/>
  <c r="AR85" i="46" a="1"/>
  <c r="AR85" i="46" s="1"/>
  <c r="AH85" i="46" a="1"/>
  <c r="AH85" i="46" s="1"/>
  <c r="Z85" i="46" a="1"/>
  <c r="Z85" i="46" s="1"/>
  <c r="R85" i="46" a="1"/>
  <c r="R85" i="46" s="1"/>
  <c r="J85" i="46" a="1"/>
  <c r="J85" i="46" s="1"/>
  <c r="AK83" i="46" a="1"/>
  <c r="AK83" i="46" s="1"/>
  <c r="AC83" i="46" a="1"/>
  <c r="AC83" i="46" s="1"/>
  <c r="U83" i="46" a="1"/>
  <c r="U83" i="46" s="1"/>
  <c r="M83" i="46" a="1"/>
  <c r="M83" i="46" s="1"/>
  <c r="AP82" i="46" a="1"/>
  <c r="AP82" i="46" s="1"/>
  <c r="AF82" i="46" a="1"/>
  <c r="AF82" i="46" s="1"/>
  <c r="X82" i="46" a="1"/>
  <c r="X82" i="46" s="1"/>
  <c r="P82" i="46" a="1"/>
  <c r="P82" i="46" s="1"/>
  <c r="AS80" i="46" a="1"/>
  <c r="AS80" i="46" s="1"/>
  <c r="AI80" i="46" a="1"/>
  <c r="AI80" i="46" s="1"/>
  <c r="AA80" i="46" a="1"/>
  <c r="AA80" i="46" s="1"/>
  <c r="S80" i="46" a="1"/>
  <c r="S80" i="46" s="1"/>
  <c r="K80" i="46" a="1"/>
  <c r="K80" i="46" s="1"/>
  <c r="AL79" i="46" a="1"/>
  <c r="AL79" i="46" s="1"/>
  <c r="AD79" i="46" a="1"/>
  <c r="AD79" i="46" s="1"/>
  <c r="V79" i="46" a="1"/>
  <c r="V79" i="46" s="1"/>
  <c r="N79" i="46" a="1"/>
  <c r="N79" i="46" s="1"/>
  <c r="AQ77" i="46" a="1"/>
  <c r="AQ77" i="46" s="1"/>
  <c r="AG77" i="46" a="1"/>
  <c r="AG77" i="46" s="1"/>
  <c r="Y77" i="46" a="1"/>
  <c r="Y77" i="46" s="1"/>
  <c r="Q77" i="46" a="1"/>
  <c r="Q77" i="46" s="1"/>
  <c r="AT76" i="46" a="1"/>
  <c r="AT76" i="46" s="1"/>
  <c r="AJ76" i="46" a="1"/>
  <c r="AJ76" i="46" s="1"/>
  <c r="AB76" i="46" a="1"/>
  <c r="AB76" i="46" s="1"/>
  <c r="T76" i="46" a="1"/>
  <c r="T76" i="46" s="1"/>
  <c r="L76" i="46" a="1"/>
  <c r="L76" i="46" s="1"/>
  <c r="AM74" i="46" a="1"/>
  <c r="AM74" i="46" s="1"/>
  <c r="AE74" i="46" a="1"/>
  <c r="AE74" i="46" s="1"/>
  <c r="W74" i="46" a="1"/>
  <c r="W74" i="46" s="1"/>
  <c r="O74" i="46" a="1"/>
  <c r="O74" i="46" s="1"/>
  <c r="AR73" i="46" a="1"/>
  <c r="AR73" i="46" s="1"/>
  <c r="AH73" i="46" a="1"/>
  <c r="AH73" i="46" s="1"/>
  <c r="Z73" i="46" a="1"/>
  <c r="Z73" i="46" s="1"/>
  <c r="R73" i="46" a="1"/>
  <c r="R73" i="46" s="1"/>
  <c r="J73" i="46" a="1"/>
  <c r="J73" i="46" s="1"/>
  <c r="AK71" i="46" a="1"/>
  <c r="AK71" i="46" s="1"/>
  <c r="AC71" i="46" a="1"/>
  <c r="AC71" i="46" s="1"/>
  <c r="U71" i="46" a="1"/>
  <c r="U71" i="46" s="1"/>
  <c r="M71" i="46" a="1"/>
  <c r="M71" i="46" s="1"/>
  <c r="AP70" i="46" a="1"/>
  <c r="AP70" i="46" s="1"/>
  <c r="AF70" i="46" a="1"/>
  <c r="AF70" i="46" s="1"/>
  <c r="X70" i="46" a="1"/>
  <c r="X70" i="46" s="1"/>
  <c r="P70" i="46" a="1"/>
  <c r="P70" i="46" s="1"/>
  <c r="AS68" i="46" a="1"/>
  <c r="AS68" i="46" s="1"/>
  <c r="AI68" i="46" a="1"/>
  <c r="AI68" i="46" s="1"/>
  <c r="AA68" i="46" a="1"/>
  <c r="AA68" i="46" s="1"/>
  <c r="S68" i="46" a="1"/>
  <c r="S68" i="46" s="1"/>
  <c r="K68" i="46" a="1"/>
  <c r="K68" i="46" s="1"/>
  <c r="AL67" i="46" a="1"/>
  <c r="AL67" i="46" s="1"/>
  <c r="AD67" i="46" a="1"/>
  <c r="AD67" i="46" s="1"/>
  <c r="V67" i="46" a="1"/>
  <c r="V67" i="46" s="1"/>
  <c r="N67" i="46" a="1"/>
  <c r="N67" i="46" s="1"/>
  <c r="AQ65" i="46" a="1"/>
  <c r="AQ65" i="46" s="1"/>
  <c r="AG65" i="46" a="1"/>
  <c r="AG65" i="46" s="1"/>
  <c r="Y65" i="46" a="1"/>
  <c r="Y65" i="46" s="1"/>
  <c r="Q65" i="46" a="1"/>
  <c r="Q65" i="46" s="1"/>
  <c r="AT64" i="46" a="1"/>
  <c r="AT64" i="46" s="1"/>
  <c r="AJ64" i="46" a="1"/>
  <c r="AJ64" i="46" s="1"/>
  <c r="AB64" i="46" a="1"/>
  <c r="AB64" i="46" s="1"/>
  <c r="T64" i="46" a="1"/>
  <c r="T64" i="46" s="1"/>
  <c r="L64" i="46" a="1"/>
  <c r="L64" i="46" s="1"/>
  <c r="AM62" i="46" a="1"/>
  <c r="AM62" i="46" s="1"/>
  <c r="AE62" i="46" a="1"/>
  <c r="AE62" i="46" s="1"/>
  <c r="W62" i="46" a="1"/>
  <c r="W62" i="46" s="1"/>
  <c r="O62" i="46" a="1"/>
  <c r="O62" i="46" s="1"/>
  <c r="AR61" i="46" a="1"/>
  <c r="AR61" i="46" s="1"/>
  <c r="AH61" i="46" a="1"/>
  <c r="AH61" i="46" s="1"/>
  <c r="Z61" i="46" a="1"/>
  <c r="Z61" i="46" s="1"/>
  <c r="R61" i="46" a="1"/>
  <c r="R61" i="46" s="1"/>
  <c r="J61" i="46" a="1"/>
  <c r="J61" i="46" s="1"/>
  <c r="AK59" i="46" a="1"/>
  <c r="AK59" i="46" s="1"/>
  <c r="AC59" i="46" a="1"/>
  <c r="AC59" i="46" s="1"/>
  <c r="U59" i="46" a="1"/>
  <c r="U59" i="46" s="1"/>
  <c r="M59" i="46" a="1"/>
  <c r="M59" i="46" s="1"/>
  <c r="AP58" i="46" a="1"/>
  <c r="AP58" i="46" s="1"/>
  <c r="AF58" i="46" a="1"/>
  <c r="AF58" i="46" s="1"/>
  <c r="X58" i="46" a="1"/>
  <c r="X58" i="46" s="1"/>
  <c r="P58" i="46" a="1"/>
  <c r="P58" i="46" s="1"/>
  <c r="AS56" i="46" a="1"/>
  <c r="AS56" i="46" s="1"/>
  <c r="AI56" i="46" a="1"/>
  <c r="AI56" i="46" s="1"/>
  <c r="AA56" i="46" a="1"/>
  <c r="AA56" i="46" s="1"/>
  <c r="S56" i="46" a="1"/>
  <c r="S56" i="46" s="1"/>
  <c r="K56" i="46" a="1"/>
  <c r="K56" i="46" s="1"/>
  <c r="AL55" i="46" a="1"/>
  <c r="AL55" i="46" s="1"/>
  <c r="AD55" i="46" a="1"/>
  <c r="AD55" i="46" s="1"/>
  <c r="V55" i="46" a="1"/>
  <c r="V55" i="46" s="1"/>
  <c r="N55" i="46" a="1"/>
  <c r="N55" i="46" s="1"/>
  <c r="AQ53" i="46" a="1"/>
  <c r="AQ53" i="46" s="1"/>
  <c r="AG53" i="46" a="1"/>
  <c r="AG53" i="46" s="1"/>
  <c r="Y53" i="46" a="1"/>
  <c r="Y53" i="46" s="1"/>
  <c r="Q53" i="46" a="1"/>
  <c r="Q53" i="46" s="1"/>
  <c r="AH17" i="47" a="1"/>
  <c r="AH17" i="47" s="1"/>
  <c r="V17" i="47" a="1"/>
  <c r="V17" i="47" s="1"/>
  <c r="N17" i="47" a="1"/>
  <c r="N17" i="47" s="1"/>
  <c r="AQ16" i="47" a="1"/>
  <c r="AQ16" i="47" s="1"/>
  <c r="AG16" i="47" a="1"/>
  <c r="AG16" i="47" s="1"/>
  <c r="Y16" i="47" a="1"/>
  <c r="Y16" i="47" s="1"/>
  <c r="Q16" i="47" a="1"/>
  <c r="Q16" i="47" s="1"/>
  <c r="AT11" i="47" a="1"/>
  <c r="AT11" i="47" s="1"/>
  <c r="AJ11" i="47" a="1"/>
  <c r="AJ11" i="47" s="1"/>
  <c r="AB11" i="47" a="1"/>
  <c r="AB11" i="47" s="1"/>
  <c r="T11" i="47" a="1"/>
  <c r="T11" i="47" s="1"/>
  <c r="L11" i="47" a="1"/>
  <c r="L11" i="47" s="1"/>
  <c r="AM10" i="47" a="1"/>
  <c r="AM10" i="47" s="1"/>
  <c r="AE10" i="47" a="1"/>
  <c r="AE10" i="47" s="1"/>
  <c r="W10" i="47" a="1"/>
  <c r="W10" i="47" s="1"/>
  <c r="O10" i="47" a="1"/>
  <c r="O10" i="47" s="1"/>
  <c r="AR104" i="46" a="1"/>
  <c r="AR104" i="46" s="1"/>
  <c r="AH104" i="46" a="1"/>
  <c r="AH104" i="46" s="1"/>
  <c r="Z104" i="46" a="1"/>
  <c r="Z104" i="46" s="1"/>
  <c r="R104" i="46" a="1"/>
  <c r="R104" i="46" s="1"/>
  <c r="J104" i="46" a="1"/>
  <c r="J104" i="46" s="1"/>
  <c r="AK103" i="46" a="1"/>
  <c r="AK103" i="46" s="1"/>
  <c r="AC103" i="46" a="1"/>
  <c r="AC103" i="46" s="1"/>
  <c r="U103" i="46" a="1"/>
  <c r="U103" i="46" s="1"/>
  <c r="M103" i="46" a="1"/>
  <c r="M103" i="46" s="1"/>
  <c r="AP101" i="46" a="1"/>
  <c r="AP101" i="46" s="1"/>
  <c r="AF101" i="46" a="1"/>
  <c r="AF101" i="46" s="1"/>
  <c r="X101" i="46" a="1"/>
  <c r="X101" i="46" s="1"/>
  <c r="P101" i="46" a="1"/>
  <c r="P101" i="46" s="1"/>
  <c r="AS100" i="46" a="1"/>
  <c r="AS100" i="46" s="1"/>
  <c r="AI100" i="46" a="1"/>
  <c r="AI100" i="46" s="1"/>
  <c r="AA100" i="46" a="1"/>
  <c r="AA100" i="46" s="1"/>
  <c r="S100" i="46" a="1"/>
  <c r="S100" i="46" s="1"/>
  <c r="K100" i="46" a="1"/>
  <c r="K100" i="46" s="1"/>
  <c r="AL98" i="46" a="1"/>
  <c r="AL98" i="46" s="1"/>
  <c r="AD98" i="46" a="1"/>
  <c r="AD98" i="46" s="1"/>
  <c r="V98" i="46" a="1"/>
  <c r="V98" i="46" s="1"/>
  <c r="N98" i="46" a="1"/>
  <c r="N98" i="46" s="1"/>
  <c r="AQ97" i="46" a="1"/>
  <c r="AQ97" i="46" s="1"/>
  <c r="AG97" i="46" a="1"/>
  <c r="AG97" i="46" s="1"/>
  <c r="Y97" i="46" a="1"/>
  <c r="Y97" i="46" s="1"/>
  <c r="Q97" i="46" a="1"/>
  <c r="Q97" i="46" s="1"/>
  <c r="AT95" i="46" a="1"/>
  <c r="AT95" i="46" s="1"/>
  <c r="AJ95" i="46" a="1"/>
  <c r="AJ95" i="46" s="1"/>
  <c r="AB95" i="46" a="1"/>
  <c r="AB95" i="46" s="1"/>
  <c r="T95" i="46" a="1"/>
  <c r="T95" i="46" s="1"/>
  <c r="L95" i="46" a="1"/>
  <c r="L95" i="46" s="1"/>
  <c r="AM94" i="46" a="1"/>
  <c r="AM94" i="46" s="1"/>
  <c r="AE94" i="46" a="1"/>
  <c r="AE94" i="46" s="1"/>
  <c r="W94" i="46" a="1"/>
  <c r="W94" i="46" s="1"/>
  <c r="O94" i="46" a="1"/>
  <c r="O94" i="46" s="1"/>
  <c r="AR92" i="46" a="1"/>
  <c r="AR92" i="46" s="1"/>
  <c r="AH92" i="46" a="1"/>
  <c r="AH92" i="46" s="1"/>
  <c r="Z92" i="46" a="1"/>
  <c r="Z92" i="46" s="1"/>
  <c r="R92" i="46" a="1"/>
  <c r="R92" i="46" s="1"/>
  <c r="J92" i="46" a="1"/>
  <c r="J92" i="46" s="1"/>
  <c r="AK91" i="46" a="1"/>
  <c r="AK91" i="46" s="1"/>
  <c r="AC91" i="46" a="1"/>
  <c r="AC91" i="46" s="1"/>
  <c r="U91" i="46" a="1"/>
  <c r="U91" i="46" s="1"/>
  <c r="M91" i="46" a="1"/>
  <c r="M91" i="46" s="1"/>
  <c r="AP89" i="46" a="1"/>
  <c r="AP89" i="46" s="1"/>
  <c r="AF89" i="46" a="1"/>
  <c r="AF89" i="46" s="1"/>
  <c r="X89" i="46" a="1"/>
  <c r="X89" i="46" s="1"/>
  <c r="P89" i="46" a="1"/>
  <c r="P89" i="46" s="1"/>
  <c r="AS88" i="46" a="1"/>
  <c r="AS88" i="46" s="1"/>
  <c r="AI88" i="46" a="1"/>
  <c r="AI88" i="46" s="1"/>
  <c r="AA88" i="46" a="1"/>
  <c r="AA88" i="46" s="1"/>
  <c r="S88" i="46" a="1"/>
  <c r="S88" i="46" s="1"/>
  <c r="K88" i="46" a="1"/>
  <c r="K88" i="46" s="1"/>
  <c r="AL86" i="46" a="1"/>
  <c r="AL86" i="46" s="1"/>
  <c r="AD86" i="46" a="1"/>
  <c r="AD86" i="46" s="1"/>
  <c r="V86" i="46" a="1"/>
  <c r="V86" i="46" s="1"/>
  <c r="N86" i="46" a="1"/>
  <c r="N86" i="46" s="1"/>
  <c r="AQ85" i="46" a="1"/>
  <c r="AQ85" i="46" s="1"/>
  <c r="AG85" i="46" a="1"/>
  <c r="AG85" i="46" s="1"/>
  <c r="Y85" i="46" a="1"/>
  <c r="Y85" i="46" s="1"/>
  <c r="Q85" i="46" a="1"/>
  <c r="Q85" i="46" s="1"/>
  <c r="AT83" i="46" a="1"/>
  <c r="AT83" i="46" s="1"/>
  <c r="AJ83" i="46" a="1"/>
  <c r="AJ83" i="46" s="1"/>
  <c r="AB83" i="46" a="1"/>
  <c r="AB83" i="46" s="1"/>
  <c r="T83" i="46" a="1"/>
  <c r="T83" i="46" s="1"/>
  <c r="L83" i="46" a="1"/>
  <c r="L83" i="46" s="1"/>
  <c r="AM82" i="46" a="1"/>
  <c r="AM82" i="46" s="1"/>
  <c r="AE82" i="46" a="1"/>
  <c r="AE82" i="46" s="1"/>
  <c r="W82" i="46" a="1"/>
  <c r="W82" i="46" s="1"/>
  <c r="O82" i="46" a="1"/>
  <c r="O82" i="46" s="1"/>
  <c r="AR80" i="46" a="1"/>
  <c r="AR80" i="46" s="1"/>
  <c r="AH80" i="46" a="1"/>
  <c r="AH80" i="46" s="1"/>
  <c r="Z80" i="46" a="1"/>
  <c r="Z80" i="46" s="1"/>
  <c r="R80" i="46" a="1"/>
  <c r="R80" i="46" s="1"/>
  <c r="J80" i="46" a="1"/>
  <c r="J80" i="46" s="1"/>
  <c r="AK79" i="46" a="1"/>
  <c r="AK79" i="46" s="1"/>
  <c r="AC79" i="46" a="1"/>
  <c r="AC79" i="46" s="1"/>
  <c r="U79" i="46" a="1"/>
  <c r="U79" i="46" s="1"/>
  <c r="M79" i="46" a="1"/>
  <c r="M79" i="46" s="1"/>
  <c r="AP77" i="46" a="1"/>
  <c r="AP77" i="46" s="1"/>
  <c r="AF77" i="46" a="1"/>
  <c r="AF77" i="46" s="1"/>
  <c r="X77" i="46" a="1"/>
  <c r="X77" i="46" s="1"/>
  <c r="P77" i="46" a="1"/>
  <c r="P77" i="46" s="1"/>
  <c r="AS76" i="46" a="1"/>
  <c r="AS76" i="46" s="1"/>
  <c r="AI76" i="46" a="1"/>
  <c r="AI76" i="46" s="1"/>
  <c r="AA76" i="46" a="1"/>
  <c r="AA76" i="46" s="1"/>
  <c r="S76" i="46" a="1"/>
  <c r="S76" i="46" s="1"/>
  <c r="K76" i="46" a="1"/>
  <c r="K76" i="46" s="1"/>
  <c r="AL74" i="46" a="1"/>
  <c r="AL74" i="46" s="1"/>
  <c r="AD74" i="46" a="1"/>
  <c r="AD74" i="46" s="1"/>
  <c r="V74" i="46" a="1"/>
  <c r="V74" i="46" s="1"/>
  <c r="N74" i="46" a="1"/>
  <c r="N74" i="46" s="1"/>
  <c r="AQ73" i="46" a="1"/>
  <c r="AQ73" i="46" s="1"/>
  <c r="AG73" i="46" a="1"/>
  <c r="AG73" i="46" s="1"/>
  <c r="Y73" i="46" a="1"/>
  <c r="Y73" i="46" s="1"/>
  <c r="Q73" i="46" a="1"/>
  <c r="Q73" i="46" s="1"/>
  <c r="AT71" i="46" a="1"/>
  <c r="AT71" i="46" s="1"/>
  <c r="AJ71" i="46" a="1"/>
  <c r="AJ71" i="46" s="1"/>
  <c r="AB71" i="46" a="1"/>
  <c r="AB71" i="46" s="1"/>
  <c r="T71" i="46" a="1"/>
  <c r="T71" i="46" s="1"/>
  <c r="L71" i="46" a="1"/>
  <c r="L71" i="46" s="1"/>
  <c r="AM70" i="46" a="1"/>
  <c r="AM70" i="46" s="1"/>
  <c r="AE70" i="46" a="1"/>
  <c r="AE70" i="46" s="1"/>
  <c r="W70" i="46" a="1"/>
  <c r="W70" i="46" s="1"/>
  <c r="O70" i="46" a="1"/>
  <c r="O70" i="46" s="1"/>
  <c r="AR68" i="46" a="1"/>
  <c r="AR68" i="46" s="1"/>
  <c r="AH68" i="46" a="1"/>
  <c r="AH68" i="46" s="1"/>
  <c r="Z68" i="46" a="1"/>
  <c r="Z68" i="46" s="1"/>
  <c r="R68" i="46" a="1"/>
  <c r="R68" i="46" s="1"/>
  <c r="J68" i="46" a="1"/>
  <c r="J68" i="46" s="1"/>
  <c r="AK67" i="46" a="1"/>
  <c r="AK67" i="46" s="1"/>
  <c r="AC67" i="46" a="1"/>
  <c r="AC67" i="46" s="1"/>
  <c r="U67" i="46" a="1"/>
  <c r="U67" i="46" s="1"/>
  <c r="M67" i="46" a="1"/>
  <c r="M67" i="46" s="1"/>
  <c r="AP65" i="46" a="1"/>
  <c r="AP65" i="46" s="1"/>
  <c r="AF65" i="46" a="1"/>
  <c r="AF65" i="46" s="1"/>
  <c r="X65" i="46" a="1"/>
  <c r="X65" i="46" s="1"/>
  <c r="P65" i="46" a="1"/>
  <c r="P65" i="46" s="1"/>
  <c r="AS64" i="46" a="1"/>
  <c r="AS64" i="46" s="1"/>
  <c r="AI64" i="46" a="1"/>
  <c r="AI64" i="46" s="1"/>
  <c r="AA64" i="46" a="1"/>
  <c r="AA64" i="46" s="1"/>
  <c r="S64" i="46" a="1"/>
  <c r="S64" i="46" s="1"/>
  <c r="K64" i="46" a="1"/>
  <c r="K64" i="46" s="1"/>
  <c r="AL62" i="46" a="1"/>
  <c r="AL62" i="46" s="1"/>
  <c r="AD62" i="46" a="1"/>
  <c r="AD62" i="46" s="1"/>
  <c r="V62" i="46" a="1"/>
  <c r="V62" i="46" s="1"/>
  <c r="N62" i="46" a="1"/>
  <c r="N62" i="46" s="1"/>
  <c r="AQ61" i="46" a="1"/>
  <c r="AQ61" i="46" s="1"/>
  <c r="AG61" i="46" a="1"/>
  <c r="AG61" i="46" s="1"/>
  <c r="Y61" i="46" a="1"/>
  <c r="Y61" i="46" s="1"/>
  <c r="Q61" i="46" a="1"/>
  <c r="Q61" i="46" s="1"/>
  <c r="AT59" i="46" a="1"/>
  <c r="AT59" i="46" s="1"/>
  <c r="AJ59" i="46" a="1"/>
  <c r="AJ59" i="46" s="1"/>
  <c r="AB59" i="46" a="1"/>
  <c r="AB59" i="46" s="1"/>
  <c r="T59" i="46" a="1"/>
  <c r="T59" i="46" s="1"/>
  <c r="L59" i="46" a="1"/>
  <c r="L59" i="46" s="1"/>
  <c r="AM58" i="46" a="1"/>
  <c r="AM58" i="46" s="1"/>
  <c r="AE58" i="46" a="1"/>
  <c r="AE58" i="46" s="1"/>
  <c r="W58" i="46" a="1"/>
  <c r="W58" i="46" s="1"/>
  <c r="O58" i="46" a="1"/>
  <c r="O58" i="46" s="1"/>
  <c r="AR56" i="46" a="1"/>
  <c r="AR56" i="46" s="1"/>
  <c r="AH56" i="46" a="1"/>
  <c r="AH56" i="46" s="1"/>
  <c r="Z56" i="46" a="1"/>
  <c r="Z56" i="46" s="1"/>
  <c r="R56" i="46" a="1"/>
  <c r="R56" i="46" s="1"/>
  <c r="J56" i="46" a="1"/>
  <c r="J56" i="46" s="1"/>
  <c r="AK55" i="46" a="1"/>
  <c r="AK55" i="46" s="1"/>
  <c r="AC55" i="46" a="1"/>
  <c r="AC55" i="46" s="1"/>
  <c r="U55" i="46" a="1"/>
  <c r="U55" i="46" s="1"/>
  <c r="M55" i="46" a="1"/>
  <c r="M55" i="46" s="1"/>
  <c r="AP53" i="46" a="1"/>
  <c r="AP53" i="46" s="1"/>
  <c r="AF53" i="46" a="1"/>
  <c r="AF53" i="46" s="1"/>
  <c r="AF17" i="47" a="1"/>
  <c r="AF17" i="47" s="1"/>
  <c r="U17" i="47" a="1"/>
  <c r="U17" i="47" s="1"/>
  <c r="M17" i="47" a="1"/>
  <c r="M17" i="47" s="1"/>
  <c r="AP16" i="47" a="1"/>
  <c r="AP16" i="47" s="1"/>
  <c r="AF16" i="47" a="1"/>
  <c r="AF16" i="47" s="1"/>
  <c r="X16" i="47" a="1"/>
  <c r="X16" i="47" s="1"/>
  <c r="P16" i="47" a="1"/>
  <c r="P16" i="47" s="1"/>
  <c r="AS11" i="47" a="1"/>
  <c r="AS11" i="47" s="1"/>
  <c r="AI11" i="47" a="1"/>
  <c r="AI11" i="47" s="1"/>
  <c r="AA11" i="47" a="1"/>
  <c r="AA11" i="47" s="1"/>
  <c r="S11" i="47" a="1"/>
  <c r="S11" i="47" s="1"/>
  <c r="K11" i="47" a="1"/>
  <c r="K11" i="47" s="1"/>
  <c r="AL10" i="47" a="1"/>
  <c r="AL10" i="47" s="1"/>
  <c r="AD10" i="47" a="1"/>
  <c r="AD10" i="47" s="1"/>
  <c r="V10" i="47" a="1"/>
  <c r="V10" i="47" s="1"/>
  <c r="N10" i="47" a="1"/>
  <c r="N10" i="47" s="1"/>
  <c r="AQ104" i="46" a="1"/>
  <c r="AQ104" i="46" s="1"/>
  <c r="AG104" i="46" a="1"/>
  <c r="AG104" i="46" s="1"/>
  <c r="Y104" i="46" a="1"/>
  <c r="Y104" i="46" s="1"/>
  <c r="Q104" i="46" a="1"/>
  <c r="Q104" i="46" s="1"/>
  <c r="AT103" i="46" a="1"/>
  <c r="AT103" i="46" s="1"/>
  <c r="AJ103" i="46" a="1"/>
  <c r="AJ103" i="46" s="1"/>
  <c r="AB103" i="46" a="1"/>
  <c r="AB103" i="46" s="1"/>
  <c r="T103" i="46" a="1"/>
  <c r="T103" i="46" s="1"/>
  <c r="L103" i="46" a="1"/>
  <c r="L103" i="46" s="1"/>
  <c r="AM101" i="46" a="1"/>
  <c r="AM101" i="46" s="1"/>
  <c r="AE101" i="46" a="1"/>
  <c r="AE101" i="46" s="1"/>
  <c r="W101" i="46" a="1"/>
  <c r="W101" i="46" s="1"/>
  <c r="O101" i="46" a="1"/>
  <c r="O101" i="46" s="1"/>
  <c r="AR100" i="46" a="1"/>
  <c r="AR100" i="46" s="1"/>
  <c r="AH100" i="46" a="1"/>
  <c r="AH100" i="46" s="1"/>
  <c r="Z100" i="46" a="1"/>
  <c r="Z100" i="46" s="1"/>
  <c r="R100" i="46" a="1"/>
  <c r="R100" i="46" s="1"/>
  <c r="J100" i="46" a="1"/>
  <c r="J100" i="46" s="1"/>
  <c r="AK98" i="46" a="1"/>
  <c r="AK98" i="46" s="1"/>
  <c r="AC98" i="46" a="1"/>
  <c r="AC98" i="46" s="1"/>
  <c r="U98" i="46" a="1"/>
  <c r="U98" i="46" s="1"/>
  <c r="M98" i="46" a="1"/>
  <c r="M98" i="46" s="1"/>
  <c r="AP97" i="46" a="1"/>
  <c r="AP97" i="46" s="1"/>
  <c r="AF97" i="46" a="1"/>
  <c r="AF97" i="46" s="1"/>
  <c r="X97" i="46" a="1"/>
  <c r="X97" i="46" s="1"/>
  <c r="P97" i="46" a="1"/>
  <c r="P97" i="46" s="1"/>
  <c r="AS95" i="46" a="1"/>
  <c r="AS95" i="46" s="1"/>
  <c r="AI95" i="46" a="1"/>
  <c r="AI95" i="46" s="1"/>
  <c r="AA95" i="46" a="1"/>
  <c r="AA95" i="46" s="1"/>
  <c r="S95" i="46" a="1"/>
  <c r="S95" i="46" s="1"/>
  <c r="K95" i="46" a="1"/>
  <c r="K95" i="46" s="1"/>
  <c r="AL94" i="46" a="1"/>
  <c r="AL94" i="46" s="1"/>
  <c r="AD94" i="46" a="1"/>
  <c r="AD94" i="46" s="1"/>
  <c r="V94" i="46" a="1"/>
  <c r="V94" i="46" s="1"/>
  <c r="N94" i="46" a="1"/>
  <c r="N94" i="46" s="1"/>
  <c r="AQ92" i="46" a="1"/>
  <c r="AQ92" i="46" s="1"/>
  <c r="AG92" i="46" a="1"/>
  <c r="AG92" i="46" s="1"/>
  <c r="Y92" i="46" a="1"/>
  <c r="Y92" i="46" s="1"/>
  <c r="Q92" i="46" a="1"/>
  <c r="Q92" i="46" s="1"/>
  <c r="AT91" i="46" a="1"/>
  <c r="AT91" i="46" s="1"/>
  <c r="AJ91" i="46" a="1"/>
  <c r="AJ91" i="46" s="1"/>
  <c r="AB91" i="46" a="1"/>
  <c r="AB91" i="46" s="1"/>
  <c r="T91" i="46" a="1"/>
  <c r="T91" i="46" s="1"/>
  <c r="L91" i="46" a="1"/>
  <c r="L91" i="46" s="1"/>
  <c r="AM89" i="46" a="1"/>
  <c r="AM89" i="46" s="1"/>
  <c r="AE89" i="46" a="1"/>
  <c r="AE89" i="46" s="1"/>
  <c r="W89" i="46" a="1"/>
  <c r="W89" i="46" s="1"/>
  <c r="O89" i="46" a="1"/>
  <c r="O89" i="46" s="1"/>
  <c r="AR88" i="46" a="1"/>
  <c r="AR88" i="46" s="1"/>
  <c r="AH88" i="46" a="1"/>
  <c r="AH88" i="46" s="1"/>
  <c r="Z88" i="46" a="1"/>
  <c r="Z88" i="46" s="1"/>
  <c r="R88" i="46" a="1"/>
  <c r="R88" i="46" s="1"/>
  <c r="J88" i="46" a="1"/>
  <c r="J88" i="46" s="1"/>
  <c r="AK86" i="46" a="1"/>
  <c r="AK86" i="46" s="1"/>
  <c r="AC86" i="46" a="1"/>
  <c r="AC86" i="46" s="1"/>
  <c r="U86" i="46" a="1"/>
  <c r="U86" i="46" s="1"/>
  <c r="M86" i="46" a="1"/>
  <c r="M86" i="46" s="1"/>
  <c r="AP85" i="46" a="1"/>
  <c r="AP85" i="46" s="1"/>
  <c r="AF85" i="46" a="1"/>
  <c r="AF85" i="46" s="1"/>
  <c r="X85" i="46" a="1"/>
  <c r="X85" i="46" s="1"/>
  <c r="P85" i="46" a="1"/>
  <c r="P85" i="46" s="1"/>
  <c r="AS83" i="46" a="1"/>
  <c r="AS83" i="46" s="1"/>
  <c r="AI83" i="46" a="1"/>
  <c r="AI83" i="46" s="1"/>
  <c r="AA83" i="46" a="1"/>
  <c r="AA83" i="46" s="1"/>
  <c r="S83" i="46" a="1"/>
  <c r="S83" i="46" s="1"/>
  <c r="K83" i="46" a="1"/>
  <c r="K83" i="46" s="1"/>
  <c r="AL82" i="46" a="1"/>
  <c r="AL82" i="46" s="1"/>
  <c r="AD82" i="46" a="1"/>
  <c r="AD82" i="46" s="1"/>
  <c r="V82" i="46" a="1"/>
  <c r="V82" i="46" s="1"/>
  <c r="N82" i="46" a="1"/>
  <c r="N82" i="46" s="1"/>
  <c r="AQ80" i="46" a="1"/>
  <c r="AQ80" i="46" s="1"/>
  <c r="AG80" i="46" a="1"/>
  <c r="AG80" i="46" s="1"/>
  <c r="Y80" i="46" a="1"/>
  <c r="Y80" i="46" s="1"/>
  <c r="Q80" i="46" a="1"/>
  <c r="Q80" i="46" s="1"/>
  <c r="AT79" i="46" a="1"/>
  <c r="AT79" i="46" s="1"/>
  <c r="AJ79" i="46" a="1"/>
  <c r="AJ79" i="46" s="1"/>
  <c r="AB79" i="46" a="1"/>
  <c r="AB79" i="46" s="1"/>
  <c r="T79" i="46" a="1"/>
  <c r="T79" i="46" s="1"/>
  <c r="L79" i="46" a="1"/>
  <c r="L79" i="46" s="1"/>
  <c r="AM77" i="46" a="1"/>
  <c r="AM77" i="46" s="1"/>
  <c r="AE77" i="46" a="1"/>
  <c r="AE77" i="46" s="1"/>
  <c r="W77" i="46" a="1"/>
  <c r="W77" i="46" s="1"/>
  <c r="O77" i="46" a="1"/>
  <c r="O77" i="46" s="1"/>
  <c r="AR76" i="46" a="1"/>
  <c r="AR76" i="46" s="1"/>
  <c r="AH76" i="46" a="1"/>
  <c r="AH76" i="46" s="1"/>
  <c r="Z76" i="46" a="1"/>
  <c r="Z76" i="46" s="1"/>
  <c r="R76" i="46" a="1"/>
  <c r="R76" i="46" s="1"/>
  <c r="J76" i="46" a="1"/>
  <c r="J76" i="46" s="1"/>
  <c r="AK74" i="46" a="1"/>
  <c r="AK74" i="46" s="1"/>
  <c r="AC74" i="46" a="1"/>
  <c r="AC74" i="46" s="1"/>
  <c r="U74" i="46" a="1"/>
  <c r="U74" i="46" s="1"/>
  <c r="M74" i="46" a="1"/>
  <c r="M74" i="46" s="1"/>
  <c r="AP73" i="46" a="1"/>
  <c r="AP73" i="46" s="1"/>
  <c r="AF73" i="46" a="1"/>
  <c r="AF73" i="46" s="1"/>
  <c r="X73" i="46" a="1"/>
  <c r="X73" i="46" s="1"/>
  <c r="P73" i="46" a="1"/>
  <c r="P73" i="46" s="1"/>
  <c r="AS71" i="46" a="1"/>
  <c r="AS71" i="46" s="1"/>
  <c r="AI71" i="46" a="1"/>
  <c r="AI71" i="46" s="1"/>
  <c r="AA71" i="46" a="1"/>
  <c r="AA71" i="46" s="1"/>
  <c r="S71" i="46" a="1"/>
  <c r="S71" i="46" s="1"/>
  <c r="K71" i="46" a="1"/>
  <c r="K71" i="46" s="1"/>
  <c r="AL70" i="46" a="1"/>
  <c r="AL70" i="46" s="1"/>
  <c r="AD70" i="46" a="1"/>
  <c r="AD70" i="46" s="1"/>
  <c r="V70" i="46" a="1"/>
  <c r="V70" i="46" s="1"/>
  <c r="N70" i="46" a="1"/>
  <c r="N70" i="46" s="1"/>
  <c r="AQ68" i="46" a="1"/>
  <c r="AQ68" i="46" s="1"/>
  <c r="AG68" i="46" a="1"/>
  <c r="AG68" i="46" s="1"/>
  <c r="Y68" i="46" a="1"/>
  <c r="Y68" i="46" s="1"/>
  <c r="Q68" i="46" a="1"/>
  <c r="Q68" i="46" s="1"/>
  <c r="AT67" i="46" a="1"/>
  <c r="AT67" i="46" s="1"/>
  <c r="AJ67" i="46" a="1"/>
  <c r="AJ67" i="46" s="1"/>
  <c r="AB67" i="46" a="1"/>
  <c r="AB67" i="46" s="1"/>
  <c r="T67" i="46" a="1"/>
  <c r="T67" i="46" s="1"/>
  <c r="L67" i="46" a="1"/>
  <c r="L67" i="46" s="1"/>
  <c r="AM65" i="46" a="1"/>
  <c r="AM65" i="46" s="1"/>
  <c r="AE65" i="46" a="1"/>
  <c r="AE65" i="46" s="1"/>
  <c r="W65" i="46" a="1"/>
  <c r="W65" i="46" s="1"/>
  <c r="O65" i="46" a="1"/>
  <c r="O65" i="46" s="1"/>
  <c r="AR64" i="46" a="1"/>
  <c r="AR64" i="46" s="1"/>
  <c r="AH64" i="46" a="1"/>
  <c r="AH64" i="46" s="1"/>
  <c r="Z64" i="46" a="1"/>
  <c r="Z64" i="46" s="1"/>
  <c r="R64" i="46" a="1"/>
  <c r="R64" i="46" s="1"/>
  <c r="J64" i="46" a="1"/>
  <c r="J64" i="46" s="1"/>
  <c r="AK62" i="46" a="1"/>
  <c r="AK62" i="46" s="1"/>
  <c r="AC62" i="46" a="1"/>
  <c r="AC62" i="46" s="1"/>
  <c r="U62" i="46" a="1"/>
  <c r="U62" i="46" s="1"/>
  <c r="M62" i="46" a="1"/>
  <c r="M62" i="46" s="1"/>
  <c r="AP61" i="46" a="1"/>
  <c r="AP61" i="46" s="1"/>
  <c r="AF61" i="46" a="1"/>
  <c r="AF61" i="46" s="1"/>
  <c r="X61" i="46" a="1"/>
  <c r="X61" i="46" s="1"/>
  <c r="P61" i="46" a="1"/>
  <c r="P61" i="46" s="1"/>
  <c r="AS59" i="46" a="1"/>
  <c r="AS59" i="46" s="1"/>
  <c r="AI59" i="46" a="1"/>
  <c r="AI59" i="46" s="1"/>
  <c r="AA59" i="46" a="1"/>
  <c r="AA59" i="46" s="1"/>
  <c r="S59" i="46" a="1"/>
  <c r="S59" i="46" s="1"/>
  <c r="K59" i="46" a="1"/>
  <c r="K59" i="46" s="1"/>
  <c r="AL58" i="46" a="1"/>
  <c r="AL58" i="46" s="1"/>
  <c r="AD58" i="46" a="1"/>
  <c r="AD58" i="46" s="1"/>
  <c r="V58" i="46" a="1"/>
  <c r="V58" i="46" s="1"/>
  <c r="N58" i="46" a="1"/>
  <c r="N58" i="46" s="1"/>
  <c r="AQ56" i="46" a="1"/>
  <c r="AQ56" i="46" s="1"/>
  <c r="AG56" i="46" a="1"/>
  <c r="AG56" i="46" s="1"/>
  <c r="Y56" i="46" a="1"/>
  <c r="Y56" i="46" s="1"/>
  <c r="Q56" i="46" a="1"/>
  <c r="Q56" i="46" s="1"/>
  <c r="AT55" i="46" a="1"/>
  <c r="AT55" i="46" s="1"/>
  <c r="AJ55" i="46" a="1"/>
  <c r="AJ55" i="46" s="1"/>
  <c r="AB55" i="46" a="1"/>
  <c r="AB55" i="46" s="1"/>
  <c r="T55" i="46" a="1"/>
  <c r="T55" i="46" s="1"/>
  <c r="L55" i="46" a="1"/>
  <c r="L55" i="46" s="1"/>
  <c r="AM53" i="46" a="1"/>
  <c r="AM53" i="46" s="1"/>
  <c r="AE53" i="46" a="1"/>
  <c r="AE53" i="46" s="1"/>
  <c r="W53" i="46" a="1"/>
  <c r="W53" i="46" s="1"/>
  <c r="O53" i="46" a="1"/>
  <c r="O53" i="46" s="1"/>
  <c r="AR52" i="46" a="1"/>
  <c r="AR52" i="46" s="1"/>
  <c r="AE17" i="47" a="1"/>
  <c r="AE17" i="47" s="1"/>
  <c r="T17" i="47" a="1"/>
  <c r="T17" i="47" s="1"/>
  <c r="L17" i="47" a="1"/>
  <c r="L17" i="47" s="1"/>
  <c r="AM16" i="47" a="1"/>
  <c r="AM16" i="47" s="1"/>
  <c r="AE16" i="47" a="1"/>
  <c r="AE16" i="47" s="1"/>
  <c r="W16" i="47" a="1"/>
  <c r="W16" i="47" s="1"/>
  <c r="O16" i="47" a="1"/>
  <c r="O16" i="47" s="1"/>
  <c r="AR11" i="47" a="1"/>
  <c r="AR11" i="47" s="1"/>
  <c r="AH11" i="47" a="1"/>
  <c r="AH11" i="47" s="1"/>
  <c r="Z11" i="47" a="1"/>
  <c r="Z11" i="47" s="1"/>
  <c r="R11" i="47" a="1"/>
  <c r="R11" i="47" s="1"/>
  <c r="J11" i="47" a="1"/>
  <c r="J11" i="47" s="1"/>
  <c r="AK10" i="47" a="1"/>
  <c r="AK10" i="47" s="1"/>
  <c r="AC10" i="47" a="1"/>
  <c r="AC10" i="47" s="1"/>
  <c r="U10" i="47" a="1"/>
  <c r="U10" i="47" s="1"/>
  <c r="M10" i="47" a="1"/>
  <c r="M10" i="47" s="1"/>
  <c r="AP104" i="46" a="1"/>
  <c r="AP104" i="46" s="1"/>
  <c r="AF104" i="46" a="1"/>
  <c r="AF104" i="46" s="1"/>
  <c r="X104" i="46" a="1"/>
  <c r="X104" i="46" s="1"/>
  <c r="P104" i="46" a="1"/>
  <c r="P104" i="46" s="1"/>
  <c r="AS103" i="46" a="1"/>
  <c r="AS103" i="46" s="1"/>
  <c r="AI103" i="46" a="1"/>
  <c r="AI103" i="46" s="1"/>
  <c r="AA103" i="46" a="1"/>
  <c r="AA103" i="46" s="1"/>
  <c r="S103" i="46" a="1"/>
  <c r="S103" i="46" s="1"/>
  <c r="K103" i="46" a="1"/>
  <c r="K103" i="46" s="1"/>
  <c r="AL101" i="46" a="1"/>
  <c r="AL101" i="46" s="1"/>
  <c r="AD101" i="46" a="1"/>
  <c r="AD101" i="46" s="1"/>
  <c r="V101" i="46" a="1"/>
  <c r="V101" i="46" s="1"/>
  <c r="N101" i="46" a="1"/>
  <c r="N101" i="46" s="1"/>
  <c r="AQ100" i="46" a="1"/>
  <c r="AQ100" i="46" s="1"/>
  <c r="AG100" i="46" a="1"/>
  <c r="AG100" i="46" s="1"/>
  <c r="Y100" i="46" a="1"/>
  <c r="Y100" i="46" s="1"/>
  <c r="Q100" i="46" a="1"/>
  <c r="Q100" i="46" s="1"/>
  <c r="AT98" i="46" a="1"/>
  <c r="AT98" i="46" s="1"/>
  <c r="AJ98" i="46" a="1"/>
  <c r="AJ98" i="46" s="1"/>
  <c r="AB98" i="46" a="1"/>
  <c r="AB98" i="46" s="1"/>
  <c r="T98" i="46" a="1"/>
  <c r="T98" i="46" s="1"/>
  <c r="L98" i="46" a="1"/>
  <c r="L98" i="46" s="1"/>
  <c r="AM97" i="46" a="1"/>
  <c r="AM97" i="46" s="1"/>
  <c r="AE97" i="46" a="1"/>
  <c r="AE97" i="46" s="1"/>
  <c r="W97" i="46" a="1"/>
  <c r="W97" i="46" s="1"/>
  <c r="O97" i="46" a="1"/>
  <c r="O97" i="46" s="1"/>
  <c r="AR95" i="46" a="1"/>
  <c r="AR95" i="46" s="1"/>
  <c r="AH95" i="46" a="1"/>
  <c r="AH95" i="46" s="1"/>
  <c r="Z95" i="46" a="1"/>
  <c r="Z95" i="46" s="1"/>
  <c r="R95" i="46" a="1"/>
  <c r="R95" i="46" s="1"/>
  <c r="J95" i="46" a="1"/>
  <c r="J95" i="46" s="1"/>
  <c r="AK94" i="46" a="1"/>
  <c r="AK94" i="46" s="1"/>
  <c r="AC94" i="46" a="1"/>
  <c r="AC94" i="46" s="1"/>
  <c r="U94" i="46" a="1"/>
  <c r="U94" i="46" s="1"/>
  <c r="M94" i="46" a="1"/>
  <c r="M94" i="46" s="1"/>
  <c r="AP92" i="46" a="1"/>
  <c r="AP92" i="46" s="1"/>
  <c r="AF92" i="46" a="1"/>
  <c r="AF92" i="46" s="1"/>
  <c r="X92" i="46" a="1"/>
  <c r="X92" i="46" s="1"/>
  <c r="P92" i="46" a="1"/>
  <c r="P92" i="46" s="1"/>
  <c r="AS91" i="46" a="1"/>
  <c r="AS91" i="46" s="1"/>
  <c r="AI91" i="46" a="1"/>
  <c r="AI91" i="46" s="1"/>
  <c r="AA91" i="46" a="1"/>
  <c r="AA91" i="46" s="1"/>
  <c r="S91" i="46" a="1"/>
  <c r="S91" i="46" s="1"/>
  <c r="K91" i="46" a="1"/>
  <c r="K91" i="46" s="1"/>
  <c r="AL89" i="46" a="1"/>
  <c r="AL89" i="46" s="1"/>
  <c r="AD89" i="46" a="1"/>
  <c r="AD89" i="46" s="1"/>
  <c r="V89" i="46" a="1"/>
  <c r="V89" i="46" s="1"/>
  <c r="N89" i="46" a="1"/>
  <c r="N89" i="46" s="1"/>
  <c r="AQ88" i="46" a="1"/>
  <c r="AQ88" i="46" s="1"/>
  <c r="AG88" i="46" a="1"/>
  <c r="AG88" i="46" s="1"/>
  <c r="Y88" i="46" a="1"/>
  <c r="Y88" i="46" s="1"/>
  <c r="Q88" i="46" a="1"/>
  <c r="Q88" i="46" s="1"/>
  <c r="AT86" i="46" a="1"/>
  <c r="AT86" i="46" s="1"/>
  <c r="AJ86" i="46" a="1"/>
  <c r="AJ86" i="46" s="1"/>
  <c r="AB86" i="46" a="1"/>
  <c r="AB86" i="46" s="1"/>
  <c r="T86" i="46" a="1"/>
  <c r="T86" i="46" s="1"/>
  <c r="L86" i="46" a="1"/>
  <c r="L86" i="46" s="1"/>
  <c r="AM85" i="46" a="1"/>
  <c r="AM85" i="46" s="1"/>
  <c r="AE85" i="46" a="1"/>
  <c r="AE85" i="46" s="1"/>
  <c r="W85" i="46" a="1"/>
  <c r="W85" i="46" s="1"/>
  <c r="O85" i="46" a="1"/>
  <c r="O85" i="46" s="1"/>
  <c r="AR83" i="46" a="1"/>
  <c r="AR83" i="46" s="1"/>
  <c r="AH83" i="46" a="1"/>
  <c r="AH83" i="46" s="1"/>
  <c r="Z83" i="46" a="1"/>
  <c r="Z83" i="46" s="1"/>
  <c r="R83" i="46" a="1"/>
  <c r="R83" i="46" s="1"/>
  <c r="J83" i="46" a="1"/>
  <c r="J83" i="46" s="1"/>
  <c r="AK82" i="46" a="1"/>
  <c r="AK82" i="46" s="1"/>
  <c r="AC82" i="46" a="1"/>
  <c r="AC82" i="46" s="1"/>
  <c r="U82" i="46" a="1"/>
  <c r="U82" i="46" s="1"/>
  <c r="M82" i="46" a="1"/>
  <c r="M82" i="46" s="1"/>
  <c r="AP80" i="46" a="1"/>
  <c r="AP80" i="46" s="1"/>
  <c r="AF80" i="46" a="1"/>
  <c r="AF80" i="46" s="1"/>
  <c r="X80" i="46" a="1"/>
  <c r="X80" i="46" s="1"/>
  <c r="P80" i="46" a="1"/>
  <c r="P80" i="46" s="1"/>
  <c r="AS79" i="46" a="1"/>
  <c r="AS79" i="46" s="1"/>
  <c r="AI79" i="46" a="1"/>
  <c r="AI79" i="46" s="1"/>
  <c r="AA79" i="46" a="1"/>
  <c r="AA79" i="46" s="1"/>
  <c r="S79" i="46" a="1"/>
  <c r="S79" i="46" s="1"/>
  <c r="K79" i="46" a="1"/>
  <c r="K79" i="46" s="1"/>
  <c r="AL77" i="46" a="1"/>
  <c r="AL77" i="46" s="1"/>
  <c r="AD77" i="46" a="1"/>
  <c r="AD77" i="46" s="1"/>
  <c r="V77" i="46" a="1"/>
  <c r="V77" i="46" s="1"/>
  <c r="N77" i="46" a="1"/>
  <c r="N77" i="46" s="1"/>
  <c r="AQ76" i="46" a="1"/>
  <c r="AQ76" i="46" s="1"/>
  <c r="AG76" i="46" a="1"/>
  <c r="AG76" i="46" s="1"/>
  <c r="Y76" i="46" a="1"/>
  <c r="Y76" i="46" s="1"/>
  <c r="Q76" i="46" a="1"/>
  <c r="Q76" i="46" s="1"/>
  <c r="AT74" i="46" a="1"/>
  <c r="AT74" i="46" s="1"/>
  <c r="AJ74" i="46" a="1"/>
  <c r="AJ74" i="46" s="1"/>
  <c r="AB74" i="46" a="1"/>
  <c r="AB74" i="46" s="1"/>
  <c r="T74" i="46" a="1"/>
  <c r="T74" i="46" s="1"/>
  <c r="L74" i="46" a="1"/>
  <c r="L74" i="46" s="1"/>
  <c r="AM73" i="46" a="1"/>
  <c r="AM73" i="46" s="1"/>
  <c r="AE73" i="46" a="1"/>
  <c r="AE73" i="46" s="1"/>
  <c r="W73" i="46" a="1"/>
  <c r="W73" i="46" s="1"/>
  <c r="O73" i="46" a="1"/>
  <c r="O73" i="46" s="1"/>
  <c r="AR71" i="46" a="1"/>
  <c r="AR71" i="46" s="1"/>
  <c r="AH71" i="46" a="1"/>
  <c r="AH71" i="46" s="1"/>
  <c r="Z71" i="46" a="1"/>
  <c r="Z71" i="46" s="1"/>
  <c r="R71" i="46" a="1"/>
  <c r="R71" i="46" s="1"/>
  <c r="J71" i="46" a="1"/>
  <c r="J71" i="46" s="1"/>
  <c r="AK70" i="46" a="1"/>
  <c r="AK70" i="46" s="1"/>
  <c r="AC70" i="46" a="1"/>
  <c r="AC70" i="46" s="1"/>
  <c r="U70" i="46" a="1"/>
  <c r="U70" i="46" s="1"/>
  <c r="M70" i="46" a="1"/>
  <c r="M70" i="46" s="1"/>
  <c r="AP68" i="46" a="1"/>
  <c r="AP68" i="46" s="1"/>
  <c r="AF68" i="46" a="1"/>
  <c r="AF68" i="46" s="1"/>
  <c r="X68" i="46" a="1"/>
  <c r="X68" i="46" s="1"/>
  <c r="P68" i="46" a="1"/>
  <c r="P68" i="46" s="1"/>
  <c r="AS67" i="46" a="1"/>
  <c r="AS67" i="46" s="1"/>
  <c r="AI67" i="46" a="1"/>
  <c r="AI67" i="46" s="1"/>
  <c r="AA67" i="46" a="1"/>
  <c r="AA67" i="46" s="1"/>
  <c r="S67" i="46" a="1"/>
  <c r="S67" i="46" s="1"/>
  <c r="K67" i="46" a="1"/>
  <c r="K67" i="46" s="1"/>
  <c r="AL65" i="46" a="1"/>
  <c r="AL65" i="46" s="1"/>
  <c r="AD65" i="46" a="1"/>
  <c r="AD65" i="46" s="1"/>
  <c r="V65" i="46" a="1"/>
  <c r="V65" i="46" s="1"/>
  <c r="N65" i="46" a="1"/>
  <c r="N65" i="46" s="1"/>
  <c r="AQ64" i="46" a="1"/>
  <c r="AQ64" i="46" s="1"/>
  <c r="AG64" i="46" a="1"/>
  <c r="AG64" i="46" s="1"/>
  <c r="Y64" i="46" a="1"/>
  <c r="Y64" i="46" s="1"/>
  <c r="Q64" i="46" a="1"/>
  <c r="Q64" i="46" s="1"/>
  <c r="AT62" i="46" a="1"/>
  <c r="AT62" i="46" s="1"/>
  <c r="AJ62" i="46" a="1"/>
  <c r="AJ62" i="46" s="1"/>
  <c r="AB62" i="46" a="1"/>
  <c r="AB62" i="46" s="1"/>
  <c r="T62" i="46" a="1"/>
  <c r="T62" i="46" s="1"/>
  <c r="L62" i="46" a="1"/>
  <c r="L62" i="46" s="1"/>
  <c r="AM61" i="46" a="1"/>
  <c r="AM61" i="46" s="1"/>
  <c r="AE61" i="46" a="1"/>
  <c r="AE61" i="46" s="1"/>
  <c r="W61" i="46" a="1"/>
  <c r="W61" i="46" s="1"/>
  <c r="O61" i="46" a="1"/>
  <c r="O61" i="46" s="1"/>
  <c r="AR59" i="46" a="1"/>
  <c r="AR59" i="46" s="1"/>
  <c r="AH59" i="46" a="1"/>
  <c r="AH59" i="46" s="1"/>
  <c r="Z59" i="46" a="1"/>
  <c r="Z59" i="46" s="1"/>
  <c r="R59" i="46" a="1"/>
  <c r="R59" i="46" s="1"/>
  <c r="J59" i="46" a="1"/>
  <c r="J59" i="46" s="1"/>
  <c r="AK58" i="46" a="1"/>
  <c r="AK58" i="46" s="1"/>
  <c r="AC58" i="46" a="1"/>
  <c r="AC58" i="46" s="1"/>
  <c r="U58" i="46" a="1"/>
  <c r="U58" i="46" s="1"/>
  <c r="M58" i="46" a="1"/>
  <c r="M58" i="46" s="1"/>
  <c r="AP56" i="46" a="1"/>
  <c r="AP56" i="46" s="1"/>
  <c r="AF56" i="46" a="1"/>
  <c r="AF56" i="46" s="1"/>
  <c r="X56" i="46" a="1"/>
  <c r="X56" i="46" s="1"/>
  <c r="P56" i="46" a="1"/>
  <c r="P56" i="46" s="1"/>
  <c r="AS55" i="46" a="1"/>
  <c r="AS55" i="46" s="1"/>
  <c r="AI55" i="46" a="1"/>
  <c r="AI55" i="46" s="1"/>
  <c r="AA55" i="46" a="1"/>
  <c r="AA55" i="46" s="1"/>
  <c r="S55" i="46" a="1"/>
  <c r="S55" i="46" s="1"/>
  <c r="K55" i="46" a="1"/>
  <c r="K55" i="46" s="1"/>
  <c r="AL53" i="46" a="1"/>
  <c r="AL53" i="46" s="1"/>
  <c r="AD53" i="46" a="1"/>
  <c r="AD53" i="46" s="1"/>
  <c r="V53" i="46" a="1"/>
  <c r="V53" i="46" s="1"/>
  <c r="N53" i="46" a="1"/>
  <c r="N53" i="46" s="1"/>
  <c r="AQ52" i="46" a="1"/>
  <c r="AQ52" i="46" s="1"/>
  <c r="AD17" i="47" a="1"/>
  <c r="AD17" i="47" s="1"/>
  <c r="S17" i="47" a="1"/>
  <c r="S17" i="47" s="1"/>
  <c r="K17" i="47" a="1"/>
  <c r="K17" i="47" s="1"/>
  <c r="AL16" i="47" a="1"/>
  <c r="AL16" i="47" s="1"/>
  <c r="AD16" i="47" a="1"/>
  <c r="AD16" i="47" s="1"/>
  <c r="V16" i="47" a="1"/>
  <c r="V16" i="47" s="1"/>
  <c r="N16" i="47" a="1"/>
  <c r="N16" i="47" s="1"/>
  <c r="AQ11" i="47" a="1"/>
  <c r="AQ11" i="47" s="1"/>
  <c r="AG11" i="47" a="1"/>
  <c r="AG11" i="47" s="1"/>
  <c r="Y11" i="47" a="1"/>
  <c r="Y11" i="47" s="1"/>
  <c r="Q11" i="47" a="1"/>
  <c r="Q11" i="47" s="1"/>
  <c r="AT10" i="47" a="1"/>
  <c r="AT10" i="47" s="1"/>
  <c r="AJ10" i="47" a="1"/>
  <c r="AJ10" i="47" s="1"/>
  <c r="AB10" i="47" a="1"/>
  <c r="AB10" i="47" s="1"/>
  <c r="T10" i="47" a="1"/>
  <c r="T10" i="47" s="1"/>
  <c r="L10" i="47" a="1"/>
  <c r="L10" i="47" s="1"/>
  <c r="AM104" i="46" a="1"/>
  <c r="AM104" i="46" s="1"/>
  <c r="AE104" i="46" a="1"/>
  <c r="AE104" i="46" s="1"/>
  <c r="W104" i="46" a="1"/>
  <c r="W104" i="46" s="1"/>
  <c r="O104" i="46" a="1"/>
  <c r="O104" i="46" s="1"/>
  <c r="AR103" i="46" a="1"/>
  <c r="AR103" i="46" s="1"/>
  <c r="AH103" i="46" a="1"/>
  <c r="AH103" i="46" s="1"/>
  <c r="Z103" i="46" a="1"/>
  <c r="Z103" i="46" s="1"/>
  <c r="R103" i="46" a="1"/>
  <c r="R103" i="46" s="1"/>
  <c r="J103" i="46" a="1"/>
  <c r="J103" i="46" s="1"/>
  <c r="AK101" i="46" a="1"/>
  <c r="AK101" i="46" s="1"/>
  <c r="AC101" i="46" a="1"/>
  <c r="AC101" i="46" s="1"/>
  <c r="U101" i="46" a="1"/>
  <c r="U101" i="46" s="1"/>
  <c r="M101" i="46" a="1"/>
  <c r="M101" i="46" s="1"/>
  <c r="AP100" i="46" a="1"/>
  <c r="AP100" i="46" s="1"/>
  <c r="AF100" i="46" a="1"/>
  <c r="AF100" i="46" s="1"/>
  <c r="X100" i="46" a="1"/>
  <c r="X100" i="46" s="1"/>
  <c r="P100" i="46" a="1"/>
  <c r="P100" i="46" s="1"/>
  <c r="AS98" i="46" a="1"/>
  <c r="AS98" i="46" s="1"/>
  <c r="AI98" i="46" a="1"/>
  <c r="AI98" i="46" s="1"/>
  <c r="AA98" i="46" a="1"/>
  <c r="AA98" i="46" s="1"/>
  <c r="S98" i="46" a="1"/>
  <c r="S98" i="46" s="1"/>
  <c r="K98" i="46" a="1"/>
  <c r="K98" i="46" s="1"/>
  <c r="AL97" i="46" a="1"/>
  <c r="AL97" i="46" s="1"/>
  <c r="AD97" i="46" a="1"/>
  <c r="AD97" i="46" s="1"/>
  <c r="V97" i="46" a="1"/>
  <c r="V97" i="46" s="1"/>
  <c r="N97" i="46" a="1"/>
  <c r="N97" i="46" s="1"/>
  <c r="AQ95" i="46" a="1"/>
  <c r="AQ95" i="46" s="1"/>
  <c r="AG95" i="46" a="1"/>
  <c r="AG95" i="46" s="1"/>
  <c r="Y95" i="46" a="1"/>
  <c r="Y95" i="46" s="1"/>
  <c r="Q95" i="46" a="1"/>
  <c r="Q95" i="46" s="1"/>
  <c r="AT94" i="46" a="1"/>
  <c r="AT94" i="46" s="1"/>
  <c r="AJ94" i="46" a="1"/>
  <c r="AJ94" i="46" s="1"/>
  <c r="AB94" i="46" a="1"/>
  <c r="AB94" i="46" s="1"/>
  <c r="T94" i="46" a="1"/>
  <c r="T94" i="46" s="1"/>
  <c r="L94" i="46" a="1"/>
  <c r="L94" i="46" s="1"/>
  <c r="AM92" i="46" a="1"/>
  <c r="AM92" i="46" s="1"/>
  <c r="AE92" i="46" a="1"/>
  <c r="AE92" i="46" s="1"/>
  <c r="W92" i="46" a="1"/>
  <c r="W92" i="46" s="1"/>
  <c r="O92" i="46" a="1"/>
  <c r="O92" i="46" s="1"/>
  <c r="AR91" i="46" a="1"/>
  <c r="AR91" i="46" s="1"/>
  <c r="AH91" i="46" a="1"/>
  <c r="AH91" i="46" s="1"/>
  <c r="Z91" i="46" a="1"/>
  <c r="Z91" i="46" s="1"/>
  <c r="R91" i="46" a="1"/>
  <c r="R91" i="46" s="1"/>
  <c r="J91" i="46" a="1"/>
  <c r="J91" i="46" s="1"/>
  <c r="AK89" i="46" a="1"/>
  <c r="AK89" i="46" s="1"/>
  <c r="AC89" i="46" a="1"/>
  <c r="AC89" i="46" s="1"/>
  <c r="U89" i="46" a="1"/>
  <c r="U89" i="46" s="1"/>
  <c r="M89" i="46" a="1"/>
  <c r="M89" i="46" s="1"/>
  <c r="AP88" i="46" a="1"/>
  <c r="AP88" i="46" s="1"/>
  <c r="AF88" i="46" a="1"/>
  <c r="AF88" i="46" s="1"/>
  <c r="X88" i="46" a="1"/>
  <c r="X88" i="46" s="1"/>
  <c r="P88" i="46" a="1"/>
  <c r="P88" i="46" s="1"/>
  <c r="AS86" i="46" a="1"/>
  <c r="AS86" i="46" s="1"/>
  <c r="AI86" i="46" a="1"/>
  <c r="AI86" i="46" s="1"/>
  <c r="AA86" i="46" a="1"/>
  <c r="AA86" i="46" s="1"/>
  <c r="S86" i="46" a="1"/>
  <c r="S86" i="46" s="1"/>
  <c r="K86" i="46" a="1"/>
  <c r="K86" i="46" s="1"/>
  <c r="AL85" i="46" a="1"/>
  <c r="AL85" i="46" s="1"/>
  <c r="AD85" i="46" a="1"/>
  <c r="AD85" i="46" s="1"/>
  <c r="V85" i="46" a="1"/>
  <c r="V85" i="46" s="1"/>
  <c r="N85" i="46" a="1"/>
  <c r="N85" i="46" s="1"/>
  <c r="AQ83" i="46" a="1"/>
  <c r="AQ83" i="46" s="1"/>
  <c r="AG83" i="46" a="1"/>
  <c r="AG83" i="46" s="1"/>
  <c r="Y83" i="46" a="1"/>
  <c r="Y83" i="46" s="1"/>
  <c r="Q83" i="46" a="1"/>
  <c r="Q83" i="46" s="1"/>
  <c r="AT82" i="46" a="1"/>
  <c r="AT82" i="46" s="1"/>
  <c r="AJ82" i="46" a="1"/>
  <c r="AJ82" i="46" s="1"/>
  <c r="AB82" i="46" a="1"/>
  <c r="AB82" i="46" s="1"/>
  <c r="T82" i="46" a="1"/>
  <c r="T82" i="46" s="1"/>
  <c r="L82" i="46" a="1"/>
  <c r="L82" i="46" s="1"/>
  <c r="AM80" i="46" a="1"/>
  <c r="AM80" i="46" s="1"/>
  <c r="AE80" i="46" a="1"/>
  <c r="AE80" i="46" s="1"/>
  <c r="W80" i="46" a="1"/>
  <c r="W80" i="46" s="1"/>
  <c r="O80" i="46" a="1"/>
  <c r="O80" i="46" s="1"/>
  <c r="AR79" i="46" a="1"/>
  <c r="AR79" i="46" s="1"/>
  <c r="AH79" i="46" a="1"/>
  <c r="AH79" i="46" s="1"/>
  <c r="Z79" i="46" a="1"/>
  <c r="Z79" i="46" s="1"/>
  <c r="R79" i="46" a="1"/>
  <c r="R79" i="46" s="1"/>
  <c r="J79" i="46" a="1"/>
  <c r="J79" i="46" s="1"/>
  <c r="AK77" i="46" a="1"/>
  <c r="AK77" i="46" s="1"/>
  <c r="AC77" i="46" a="1"/>
  <c r="AC77" i="46" s="1"/>
  <c r="U77" i="46" a="1"/>
  <c r="U77" i="46" s="1"/>
  <c r="M77" i="46" a="1"/>
  <c r="M77" i="46" s="1"/>
  <c r="AP76" i="46" a="1"/>
  <c r="AP76" i="46" s="1"/>
  <c r="AF76" i="46" a="1"/>
  <c r="AF76" i="46" s="1"/>
  <c r="X76" i="46" a="1"/>
  <c r="X76" i="46" s="1"/>
  <c r="P76" i="46" a="1"/>
  <c r="P76" i="46" s="1"/>
  <c r="AS74" i="46" a="1"/>
  <c r="AS74" i="46" s="1"/>
  <c r="AI74" i="46" a="1"/>
  <c r="AI74" i="46" s="1"/>
  <c r="AA74" i="46" a="1"/>
  <c r="AA74" i="46" s="1"/>
  <c r="S74" i="46" a="1"/>
  <c r="S74" i="46" s="1"/>
  <c r="K74" i="46" a="1"/>
  <c r="K74" i="46" s="1"/>
  <c r="AL73" i="46" a="1"/>
  <c r="AL73" i="46" s="1"/>
  <c r="AD73" i="46" a="1"/>
  <c r="AD73" i="46" s="1"/>
  <c r="V73" i="46" a="1"/>
  <c r="V73" i="46" s="1"/>
  <c r="N73" i="46" a="1"/>
  <c r="N73" i="46" s="1"/>
  <c r="AQ71" i="46" a="1"/>
  <c r="AQ71" i="46" s="1"/>
  <c r="AG71" i="46" a="1"/>
  <c r="AG71" i="46" s="1"/>
  <c r="Y71" i="46" a="1"/>
  <c r="Y71" i="46" s="1"/>
  <c r="Q71" i="46" a="1"/>
  <c r="Q71" i="46" s="1"/>
  <c r="AT70" i="46" a="1"/>
  <c r="AT70" i="46" s="1"/>
  <c r="AJ70" i="46" a="1"/>
  <c r="AJ70" i="46" s="1"/>
  <c r="AB70" i="46" a="1"/>
  <c r="AB70" i="46" s="1"/>
  <c r="T70" i="46" a="1"/>
  <c r="T70" i="46" s="1"/>
  <c r="L70" i="46" a="1"/>
  <c r="L70" i="46" s="1"/>
  <c r="AM68" i="46" a="1"/>
  <c r="AM68" i="46" s="1"/>
  <c r="AE68" i="46" a="1"/>
  <c r="AE68" i="46" s="1"/>
  <c r="W68" i="46" a="1"/>
  <c r="W68" i="46" s="1"/>
  <c r="O68" i="46" a="1"/>
  <c r="O68" i="46" s="1"/>
  <c r="AR67" i="46" a="1"/>
  <c r="AR67" i="46" s="1"/>
  <c r="AH67" i="46" a="1"/>
  <c r="AH67" i="46" s="1"/>
  <c r="Z67" i="46" a="1"/>
  <c r="Z67" i="46" s="1"/>
  <c r="R67" i="46" a="1"/>
  <c r="R67" i="46" s="1"/>
  <c r="J67" i="46" a="1"/>
  <c r="J67" i="46" s="1"/>
  <c r="AK65" i="46" a="1"/>
  <c r="AK65" i="46" s="1"/>
  <c r="AC65" i="46" a="1"/>
  <c r="AC65" i="46" s="1"/>
  <c r="U65" i="46" a="1"/>
  <c r="U65" i="46" s="1"/>
  <c r="M65" i="46" a="1"/>
  <c r="M65" i="46" s="1"/>
  <c r="AP64" i="46" a="1"/>
  <c r="AP64" i="46" s="1"/>
  <c r="AF64" i="46" a="1"/>
  <c r="AF64" i="46" s="1"/>
  <c r="X64" i="46" a="1"/>
  <c r="X64" i="46" s="1"/>
  <c r="P64" i="46" a="1"/>
  <c r="P64" i="46" s="1"/>
  <c r="AS62" i="46" a="1"/>
  <c r="AS62" i="46" s="1"/>
  <c r="AI62" i="46" a="1"/>
  <c r="AI62" i="46" s="1"/>
  <c r="AA62" i="46" a="1"/>
  <c r="AA62" i="46" s="1"/>
  <c r="S62" i="46" a="1"/>
  <c r="S62" i="46" s="1"/>
  <c r="K62" i="46" a="1"/>
  <c r="K62" i="46" s="1"/>
  <c r="AL61" i="46" a="1"/>
  <c r="AL61" i="46" s="1"/>
  <c r="AD61" i="46" a="1"/>
  <c r="AD61" i="46" s="1"/>
  <c r="V61" i="46" a="1"/>
  <c r="V61" i="46" s="1"/>
  <c r="N61" i="46" a="1"/>
  <c r="N61" i="46" s="1"/>
  <c r="AQ59" i="46" a="1"/>
  <c r="AQ59" i="46" s="1"/>
  <c r="AG59" i="46" a="1"/>
  <c r="AG59" i="46" s="1"/>
  <c r="Y59" i="46" a="1"/>
  <c r="Y59" i="46" s="1"/>
  <c r="Q59" i="46" a="1"/>
  <c r="Q59" i="46" s="1"/>
  <c r="AT58" i="46" a="1"/>
  <c r="AT58" i="46" s="1"/>
  <c r="AJ58" i="46" a="1"/>
  <c r="AJ58" i="46" s="1"/>
  <c r="AB58" i="46" a="1"/>
  <c r="AB58" i="46" s="1"/>
  <c r="T58" i="46" a="1"/>
  <c r="T58" i="46" s="1"/>
  <c r="L58" i="46" a="1"/>
  <c r="L58" i="46" s="1"/>
  <c r="AM56" i="46" a="1"/>
  <c r="AM56" i="46" s="1"/>
  <c r="AE56" i="46" a="1"/>
  <c r="AE56" i="46" s="1"/>
  <c r="W56" i="46" a="1"/>
  <c r="W56" i="46" s="1"/>
  <c r="O56" i="46" a="1"/>
  <c r="O56" i="46" s="1"/>
  <c r="AR55" i="46" a="1"/>
  <c r="AR55" i="46" s="1"/>
  <c r="AH55" i="46" a="1"/>
  <c r="AH55" i="46" s="1"/>
  <c r="Z55" i="46" a="1"/>
  <c r="Z55" i="46" s="1"/>
  <c r="R55" i="46" a="1"/>
  <c r="R55" i="46" s="1"/>
  <c r="J55" i="46" a="1"/>
  <c r="J55" i="46" s="1"/>
  <c r="AK53" i="46" a="1"/>
  <c r="AK53" i="46" s="1"/>
  <c r="AC53" i="46" a="1"/>
  <c r="AC53" i="46" s="1"/>
  <c r="U53" i="46" a="1"/>
  <c r="U53" i="46" s="1"/>
  <c r="M53" i="46" a="1"/>
  <c r="M53" i="46" s="1"/>
  <c r="AB53" i="46" a="1"/>
  <c r="AB53" i="46" s="1"/>
  <c r="AS52" i="46" a="1"/>
  <c r="AS52" i="46" s="1"/>
  <c r="AG52" i="46" a="1"/>
  <c r="AG52" i="46" s="1"/>
  <c r="Y52" i="46" a="1"/>
  <c r="Y52" i="46" s="1"/>
  <c r="Q52" i="46" a="1"/>
  <c r="Q52" i="46" s="1"/>
  <c r="AT50" i="46" a="1"/>
  <c r="AT50" i="46" s="1"/>
  <c r="AJ50" i="46" a="1"/>
  <c r="AJ50" i="46" s="1"/>
  <c r="AB50" i="46" a="1"/>
  <c r="AB50" i="46" s="1"/>
  <c r="T50" i="46" a="1"/>
  <c r="T50" i="46" s="1"/>
  <c r="L50" i="46" a="1"/>
  <c r="L50" i="46" s="1"/>
  <c r="AM49" i="46" a="1"/>
  <c r="AM49" i="46" s="1"/>
  <c r="AE49" i="46" a="1"/>
  <c r="AE49" i="46" s="1"/>
  <c r="W49" i="46" a="1"/>
  <c r="W49" i="46" s="1"/>
  <c r="O49" i="46" a="1"/>
  <c r="O49" i="46" s="1"/>
  <c r="AR47" i="46" a="1"/>
  <c r="AR47" i="46" s="1"/>
  <c r="AH47" i="46" a="1"/>
  <c r="AH47" i="46" s="1"/>
  <c r="Z47" i="46" a="1"/>
  <c r="Z47" i="46" s="1"/>
  <c r="R47" i="46" a="1"/>
  <c r="R47" i="46" s="1"/>
  <c r="J47" i="46" a="1"/>
  <c r="J47" i="46" s="1"/>
  <c r="AK46" i="46" a="1"/>
  <c r="AK46" i="46" s="1"/>
  <c r="AC46" i="46" a="1"/>
  <c r="AC46" i="46" s="1"/>
  <c r="U46" i="46" a="1"/>
  <c r="U46" i="46" s="1"/>
  <c r="M46" i="46" a="1"/>
  <c r="M46" i="46" s="1"/>
  <c r="AP44" i="46" a="1"/>
  <c r="AP44" i="46" s="1"/>
  <c r="AF44" i="46" a="1"/>
  <c r="AF44" i="46" s="1"/>
  <c r="X44" i="46" a="1"/>
  <c r="X44" i="46" s="1"/>
  <c r="P44" i="46" a="1"/>
  <c r="P44" i="46" s="1"/>
  <c r="AS43" i="46" a="1"/>
  <c r="AS43" i="46" s="1"/>
  <c r="AI43" i="46" a="1"/>
  <c r="AI43" i="46" s="1"/>
  <c r="AA43" i="46" a="1"/>
  <c r="AA43" i="46" s="1"/>
  <c r="S43" i="46" a="1"/>
  <c r="S43" i="46" s="1"/>
  <c r="K43" i="46" a="1"/>
  <c r="K43" i="46" s="1"/>
  <c r="AL41" i="46" a="1"/>
  <c r="AL41" i="46" s="1"/>
  <c r="AD41" i="46" a="1"/>
  <c r="AD41" i="46" s="1"/>
  <c r="V41" i="46" a="1"/>
  <c r="V41" i="46" s="1"/>
  <c r="N41" i="46" a="1"/>
  <c r="N41" i="46" s="1"/>
  <c r="AQ40" i="46" a="1"/>
  <c r="AQ40" i="46" s="1"/>
  <c r="AG40" i="46" a="1"/>
  <c r="AG40" i="46" s="1"/>
  <c r="Y40" i="46" a="1"/>
  <c r="Y40" i="46" s="1"/>
  <c r="Q40" i="46" a="1"/>
  <c r="Q40" i="46" s="1"/>
  <c r="AT38" i="46" a="1"/>
  <c r="AT38" i="46" s="1"/>
  <c r="AJ38" i="46" a="1"/>
  <c r="AJ38" i="46" s="1"/>
  <c r="AB38" i="46" a="1"/>
  <c r="AB38" i="46" s="1"/>
  <c r="T38" i="46" a="1"/>
  <c r="T38" i="46" s="1"/>
  <c r="L38" i="46" a="1"/>
  <c r="L38" i="46" s="1"/>
  <c r="AM37" i="46" a="1"/>
  <c r="AM37" i="46" s="1"/>
  <c r="AE37" i="46" a="1"/>
  <c r="AE37" i="46" s="1"/>
  <c r="W37" i="46" a="1"/>
  <c r="W37" i="46" s="1"/>
  <c r="O37" i="46" a="1"/>
  <c r="O37" i="46" s="1"/>
  <c r="AR35" i="46" a="1"/>
  <c r="AR35" i="46" s="1"/>
  <c r="AH35" i="46" a="1"/>
  <c r="AH35" i="46" s="1"/>
  <c r="Z35" i="46" a="1"/>
  <c r="Z35" i="46" s="1"/>
  <c r="R35" i="46" a="1"/>
  <c r="R35" i="46" s="1"/>
  <c r="J35" i="46" a="1"/>
  <c r="J35" i="46" s="1"/>
  <c r="AK34" i="46" a="1"/>
  <c r="AK34" i="46" s="1"/>
  <c r="AC34" i="46" a="1"/>
  <c r="AC34" i="46" s="1"/>
  <c r="U34" i="46" a="1"/>
  <c r="U34" i="46" s="1"/>
  <c r="M34" i="46" a="1"/>
  <c r="M34" i="46" s="1"/>
  <c r="AP32" i="46" a="1"/>
  <c r="AP32" i="46" s="1"/>
  <c r="AF32" i="46" a="1"/>
  <c r="AF32" i="46" s="1"/>
  <c r="X32" i="46" a="1"/>
  <c r="X32" i="46" s="1"/>
  <c r="P32" i="46" a="1"/>
  <c r="P32" i="46" s="1"/>
  <c r="AS31" i="46" a="1"/>
  <c r="AS31" i="46" s="1"/>
  <c r="AI31" i="46" a="1"/>
  <c r="AI31" i="46" s="1"/>
  <c r="AA31" i="46" a="1"/>
  <c r="AA31" i="46" s="1"/>
  <c r="S31" i="46" a="1"/>
  <c r="S31" i="46" s="1"/>
  <c r="K31" i="46" a="1"/>
  <c r="K31" i="46" s="1"/>
  <c r="AL29" i="46" a="1"/>
  <c r="AL29" i="46" s="1"/>
  <c r="AD29" i="46" a="1"/>
  <c r="AD29" i="46" s="1"/>
  <c r="V29" i="46" a="1"/>
  <c r="V29" i="46" s="1"/>
  <c r="N29" i="46" a="1"/>
  <c r="N29" i="46" s="1"/>
  <c r="AQ28" i="46" a="1"/>
  <c r="AQ28" i="46" s="1"/>
  <c r="AG28" i="46" a="1"/>
  <c r="AG28" i="46" s="1"/>
  <c r="Y28" i="46" a="1"/>
  <c r="Y28" i="46" s="1"/>
  <c r="Q28" i="46" a="1"/>
  <c r="Q28" i="46" s="1"/>
  <c r="AT26" i="46" a="1"/>
  <c r="AT26" i="46" s="1"/>
  <c r="AJ26" i="46" a="1"/>
  <c r="AJ26" i="46" s="1"/>
  <c r="AB26" i="46" a="1"/>
  <c r="AB26" i="46" s="1"/>
  <c r="T26" i="46" a="1"/>
  <c r="T26" i="46" s="1"/>
  <c r="L26" i="46" a="1"/>
  <c r="L26" i="46" s="1"/>
  <c r="AM25" i="46" a="1"/>
  <c r="AM25" i="46" s="1"/>
  <c r="AE25" i="46" a="1"/>
  <c r="AE25" i="46" s="1"/>
  <c r="W25" i="46" a="1"/>
  <c r="W25" i="46" s="1"/>
  <c r="O25" i="46" a="1"/>
  <c r="O25" i="46" s="1"/>
  <c r="AR23" i="46" a="1"/>
  <c r="AR23" i="46" s="1"/>
  <c r="AH23" i="46" a="1"/>
  <c r="AH23" i="46" s="1"/>
  <c r="Z23" i="46" a="1"/>
  <c r="Z23" i="46" s="1"/>
  <c r="R23" i="46" a="1"/>
  <c r="R23" i="46" s="1"/>
  <c r="J23" i="46" a="1"/>
  <c r="J23" i="46" s="1"/>
  <c r="AK22" i="46" a="1"/>
  <c r="AK22" i="46" s="1"/>
  <c r="AC22" i="46" a="1"/>
  <c r="AC22" i="46" s="1"/>
  <c r="U22" i="46" a="1"/>
  <c r="U22" i="46" s="1"/>
  <c r="M22" i="46" a="1"/>
  <c r="M22" i="46" s="1"/>
  <c r="AP20" i="46" a="1"/>
  <c r="AP20" i="46" s="1"/>
  <c r="AF20" i="46" a="1"/>
  <c r="AF20" i="46" s="1"/>
  <c r="X20" i="46" a="1"/>
  <c r="X20" i="46" s="1"/>
  <c r="P20" i="46" a="1"/>
  <c r="P20" i="46" s="1"/>
  <c r="AS19" i="46" a="1"/>
  <c r="AS19" i="46" s="1"/>
  <c r="AI19" i="46" a="1"/>
  <c r="AI19" i="46" s="1"/>
  <c r="AA19" i="46" a="1"/>
  <c r="AA19" i="46" s="1"/>
  <c r="S19" i="46" a="1"/>
  <c r="S19" i="46" s="1"/>
  <c r="K19" i="46" a="1"/>
  <c r="K19" i="46" s="1"/>
  <c r="AL17" i="46" a="1"/>
  <c r="AL17" i="46" s="1"/>
  <c r="AD17" i="46" a="1"/>
  <c r="AD17" i="46" s="1"/>
  <c r="V17" i="46" a="1"/>
  <c r="V17" i="46" s="1"/>
  <c r="N17" i="46" a="1"/>
  <c r="N17" i="46" s="1"/>
  <c r="AQ16" i="46" a="1"/>
  <c r="AQ16" i="46" s="1"/>
  <c r="AG16" i="46" a="1"/>
  <c r="AG16" i="46" s="1"/>
  <c r="Y16" i="46" a="1"/>
  <c r="Y16" i="46" s="1"/>
  <c r="Q16" i="46" a="1"/>
  <c r="Q16" i="46" s="1"/>
  <c r="AT11" i="46" a="1"/>
  <c r="AT11" i="46" s="1"/>
  <c r="AJ11" i="46" a="1"/>
  <c r="AJ11" i="46" s="1"/>
  <c r="AB11" i="46" a="1"/>
  <c r="AB11" i="46" s="1"/>
  <c r="T11" i="46" a="1"/>
  <c r="T11" i="46" s="1"/>
  <c r="L11" i="46" a="1"/>
  <c r="L11" i="46" s="1"/>
  <c r="AM10" i="46" a="1"/>
  <c r="AM10" i="46" s="1"/>
  <c r="AE10" i="46" a="1"/>
  <c r="AE10" i="46" s="1"/>
  <c r="W10" i="46" a="1"/>
  <c r="W10" i="46" s="1"/>
  <c r="O10" i="46" a="1"/>
  <c r="O10" i="46" s="1"/>
  <c r="AR104" i="43" a="1"/>
  <c r="AR104" i="43" s="1"/>
  <c r="AH104" i="43" a="1"/>
  <c r="AH104" i="43" s="1"/>
  <c r="Z104" i="43" a="1"/>
  <c r="Z104" i="43" s="1"/>
  <c r="R104" i="43" a="1"/>
  <c r="R104" i="43" s="1"/>
  <c r="J104" i="43" a="1"/>
  <c r="J104" i="43" s="1"/>
  <c r="AK103" i="43" a="1"/>
  <c r="AK103" i="43" s="1"/>
  <c r="AC103" i="43" a="1"/>
  <c r="AC103" i="43" s="1"/>
  <c r="U103" i="43" a="1"/>
  <c r="U103" i="43" s="1"/>
  <c r="M103" i="43" a="1"/>
  <c r="M103" i="43" s="1"/>
  <c r="AP101" i="43" a="1"/>
  <c r="AP101" i="43" s="1"/>
  <c r="AF101" i="43" a="1"/>
  <c r="AF101" i="43" s="1"/>
  <c r="X101" i="43" a="1"/>
  <c r="X101" i="43" s="1"/>
  <c r="P101" i="43" a="1"/>
  <c r="P101" i="43" s="1"/>
  <c r="AS100" i="43" a="1"/>
  <c r="AS100" i="43" s="1"/>
  <c r="AI100" i="43" a="1"/>
  <c r="AI100" i="43" s="1"/>
  <c r="AA100" i="43" a="1"/>
  <c r="AA100" i="43" s="1"/>
  <c r="S100" i="43" a="1"/>
  <c r="S100" i="43" s="1"/>
  <c r="K100" i="43" a="1"/>
  <c r="K100" i="43" s="1"/>
  <c r="AL98" i="43" a="1"/>
  <c r="AL98" i="43" s="1"/>
  <c r="AD98" i="43" a="1"/>
  <c r="AD98" i="43" s="1"/>
  <c r="V98" i="43" a="1"/>
  <c r="V98" i="43" s="1"/>
  <c r="N98" i="43" a="1"/>
  <c r="N98" i="43" s="1"/>
  <c r="AQ97" i="43" a="1"/>
  <c r="AQ97" i="43" s="1"/>
  <c r="AG97" i="43" a="1"/>
  <c r="AG97" i="43" s="1"/>
  <c r="Y97" i="43" a="1"/>
  <c r="Y97" i="43" s="1"/>
  <c r="Q97" i="43" a="1"/>
  <c r="Q97" i="43" s="1"/>
  <c r="AT95" i="43" a="1"/>
  <c r="AT95" i="43" s="1"/>
  <c r="AJ95" i="43" a="1"/>
  <c r="AJ95" i="43" s="1"/>
  <c r="AB95" i="43" a="1"/>
  <c r="AB95" i="43" s="1"/>
  <c r="T95" i="43" a="1"/>
  <c r="T95" i="43" s="1"/>
  <c r="L95" i="43" a="1"/>
  <c r="L95" i="43" s="1"/>
  <c r="AM94" i="43" a="1"/>
  <c r="AM94" i="43" s="1"/>
  <c r="AE94" i="43" a="1"/>
  <c r="AE94" i="43" s="1"/>
  <c r="W94" i="43" a="1"/>
  <c r="W94" i="43" s="1"/>
  <c r="O94" i="43" a="1"/>
  <c r="O94" i="43" s="1"/>
  <c r="AR92" i="43" a="1"/>
  <c r="AR92" i="43" s="1"/>
  <c r="AH92" i="43" a="1"/>
  <c r="AH92" i="43" s="1"/>
  <c r="Z92" i="43" a="1"/>
  <c r="Z92" i="43" s="1"/>
  <c r="R92" i="43" a="1"/>
  <c r="R92" i="43" s="1"/>
  <c r="J92" i="43" a="1"/>
  <c r="J92" i="43" s="1"/>
  <c r="AK91" i="43" a="1"/>
  <c r="AK91" i="43" s="1"/>
  <c r="AC91" i="43" a="1"/>
  <c r="AC91" i="43" s="1"/>
  <c r="U91" i="43" a="1"/>
  <c r="U91" i="43" s="1"/>
  <c r="M91" i="43" a="1"/>
  <c r="M91" i="43" s="1"/>
  <c r="AP89" i="43" a="1"/>
  <c r="AP89" i="43" s="1"/>
  <c r="AF89" i="43" a="1"/>
  <c r="AF89" i="43" s="1"/>
  <c r="X89" i="43" a="1"/>
  <c r="X89" i="43" s="1"/>
  <c r="P89" i="43" a="1"/>
  <c r="P89" i="43" s="1"/>
  <c r="AS88" i="43" a="1"/>
  <c r="AS88" i="43" s="1"/>
  <c r="AI88" i="43" a="1"/>
  <c r="AI88" i="43" s="1"/>
  <c r="X53" i="46" a="1"/>
  <c r="X53" i="46" s="1"/>
  <c r="AP52" i="46" a="1"/>
  <c r="AP52" i="46" s="1"/>
  <c r="AF52" i="46" a="1"/>
  <c r="AF52" i="46" s="1"/>
  <c r="X52" i="46" a="1"/>
  <c r="X52" i="46" s="1"/>
  <c r="P52" i="46" a="1"/>
  <c r="P52" i="46" s="1"/>
  <c r="AS50" i="46" a="1"/>
  <c r="AS50" i="46" s="1"/>
  <c r="AI50" i="46" a="1"/>
  <c r="AI50" i="46" s="1"/>
  <c r="AA50" i="46" a="1"/>
  <c r="AA50" i="46" s="1"/>
  <c r="S50" i="46" a="1"/>
  <c r="S50" i="46" s="1"/>
  <c r="K50" i="46" a="1"/>
  <c r="K50" i="46" s="1"/>
  <c r="AL49" i="46" a="1"/>
  <c r="AL49" i="46" s="1"/>
  <c r="AD49" i="46" a="1"/>
  <c r="AD49" i="46" s="1"/>
  <c r="V49" i="46" a="1"/>
  <c r="V49" i="46" s="1"/>
  <c r="N49" i="46" a="1"/>
  <c r="N49" i="46" s="1"/>
  <c r="AQ47" i="46" a="1"/>
  <c r="AQ47" i="46" s="1"/>
  <c r="AG47" i="46" a="1"/>
  <c r="AG47" i="46" s="1"/>
  <c r="Y47" i="46" a="1"/>
  <c r="Y47" i="46" s="1"/>
  <c r="Q47" i="46" a="1"/>
  <c r="Q47" i="46" s="1"/>
  <c r="AT46" i="46" a="1"/>
  <c r="AT46" i="46" s="1"/>
  <c r="AJ46" i="46" a="1"/>
  <c r="AJ46" i="46" s="1"/>
  <c r="AB46" i="46" a="1"/>
  <c r="AB46" i="46" s="1"/>
  <c r="T46" i="46" a="1"/>
  <c r="T46" i="46" s="1"/>
  <c r="L46" i="46" a="1"/>
  <c r="L46" i="46" s="1"/>
  <c r="AM44" i="46" a="1"/>
  <c r="AM44" i="46" s="1"/>
  <c r="AE44" i="46" a="1"/>
  <c r="AE44" i="46" s="1"/>
  <c r="W44" i="46" a="1"/>
  <c r="W44" i="46" s="1"/>
  <c r="O44" i="46" a="1"/>
  <c r="O44" i="46" s="1"/>
  <c r="AR43" i="46" a="1"/>
  <c r="AR43" i="46" s="1"/>
  <c r="AH43" i="46" a="1"/>
  <c r="AH43" i="46" s="1"/>
  <c r="Z43" i="46" a="1"/>
  <c r="Z43" i="46" s="1"/>
  <c r="R43" i="46" a="1"/>
  <c r="R43" i="46" s="1"/>
  <c r="J43" i="46" a="1"/>
  <c r="J43" i="46" s="1"/>
  <c r="AK41" i="46" a="1"/>
  <c r="AK41" i="46" s="1"/>
  <c r="AC41" i="46" a="1"/>
  <c r="AC41" i="46" s="1"/>
  <c r="U41" i="46" a="1"/>
  <c r="U41" i="46" s="1"/>
  <c r="M41" i="46" a="1"/>
  <c r="M41" i="46" s="1"/>
  <c r="AP40" i="46" a="1"/>
  <c r="AP40" i="46" s="1"/>
  <c r="AF40" i="46" a="1"/>
  <c r="AF40" i="46" s="1"/>
  <c r="X40" i="46" a="1"/>
  <c r="X40" i="46" s="1"/>
  <c r="P40" i="46" a="1"/>
  <c r="P40" i="46" s="1"/>
  <c r="AS38" i="46" a="1"/>
  <c r="AS38" i="46" s="1"/>
  <c r="AI38" i="46" a="1"/>
  <c r="AI38" i="46" s="1"/>
  <c r="AA38" i="46" a="1"/>
  <c r="AA38" i="46" s="1"/>
  <c r="S38" i="46" a="1"/>
  <c r="S38" i="46" s="1"/>
  <c r="K38" i="46" a="1"/>
  <c r="K38" i="46" s="1"/>
  <c r="AL37" i="46" a="1"/>
  <c r="AL37" i="46" s="1"/>
  <c r="AD37" i="46" a="1"/>
  <c r="AD37" i="46" s="1"/>
  <c r="V37" i="46" a="1"/>
  <c r="V37" i="46" s="1"/>
  <c r="N37" i="46" a="1"/>
  <c r="N37" i="46" s="1"/>
  <c r="AQ35" i="46" a="1"/>
  <c r="AQ35" i="46" s="1"/>
  <c r="AG35" i="46" a="1"/>
  <c r="AG35" i="46" s="1"/>
  <c r="Y35" i="46" a="1"/>
  <c r="Y35" i="46" s="1"/>
  <c r="Q35" i="46" a="1"/>
  <c r="Q35" i="46" s="1"/>
  <c r="AT34" i="46" a="1"/>
  <c r="AT34" i="46" s="1"/>
  <c r="AJ34" i="46" a="1"/>
  <c r="AJ34" i="46" s="1"/>
  <c r="AB34" i="46" a="1"/>
  <c r="AB34" i="46" s="1"/>
  <c r="T34" i="46" a="1"/>
  <c r="T34" i="46" s="1"/>
  <c r="L34" i="46" a="1"/>
  <c r="L34" i="46" s="1"/>
  <c r="AM32" i="46" a="1"/>
  <c r="AM32" i="46" s="1"/>
  <c r="AE32" i="46" a="1"/>
  <c r="AE32" i="46" s="1"/>
  <c r="W32" i="46" a="1"/>
  <c r="W32" i="46" s="1"/>
  <c r="O32" i="46" a="1"/>
  <c r="O32" i="46" s="1"/>
  <c r="AR31" i="46" a="1"/>
  <c r="AR31" i="46" s="1"/>
  <c r="AH31" i="46" a="1"/>
  <c r="AH31" i="46" s="1"/>
  <c r="Z31" i="46" a="1"/>
  <c r="Z31" i="46" s="1"/>
  <c r="R31" i="46" a="1"/>
  <c r="R31" i="46" s="1"/>
  <c r="J31" i="46" a="1"/>
  <c r="J31" i="46" s="1"/>
  <c r="AK29" i="46" a="1"/>
  <c r="AK29" i="46" s="1"/>
  <c r="AC29" i="46" a="1"/>
  <c r="AC29" i="46" s="1"/>
  <c r="U29" i="46" a="1"/>
  <c r="U29" i="46" s="1"/>
  <c r="M29" i="46" a="1"/>
  <c r="M29" i="46" s="1"/>
  <c r="AP28" i="46" a="1"/>
  <c r="AP28" i="46" s="1"/>
  <c r="AF28" i="46" a="1"/>
  <c r="AF28" i="46" s="1"/>
  <c r="X28" i="46" a="1"/>
  <c r="X28" i="46" s="1"/>
  <c r="AS26" i="46" a="1"/>
  <c r="AS26" i="46" s="1"/>
  <c r="AI26" i="46" a="1"/>
  <c r="AI26" i="46" s="1"/>
  <c r="AA26" i="46" a="1"/>
  <c r="AA26" i="46" s="1"/>
  <c r="S26" i="46" a="1"/>
  <c r="S26" i="46" s="1"/>
  <c r="K26" i="46" a="1"/>
  <c r="K26" i="46" s="1"/>
  <c r="AL25" i="46" a="1"/>
  <c r="AL25" i="46" s="1"/>
  <c r="AD25" i="46" a="1"/>
  <c r="AD25" i="46" s="1"/>
  <c r="V25" i="46" a="1"/>
  <c r="V25" i="46" s="1"/>
  <c r="N25" i="46" a="1"/>
  <c r="N25" i="46" s="1"/>
  <c r="AQ23" i="46" a="1"/>
  <c r="AQ23" i="46" s="1"/>
  <c r="AG23" i="46" a="1"/>
  <c r="AG23" i="46" s="1"/>
  <c r="Y23" i="46" a="1"/>
  <c r="Y23" i="46" s="1"/>
  <c r="Q23" i="46" a="1"/>
  <c r="Q23" i="46" s="1"/>
  <c r="AT22" i="46" a="1"/>
  <c r="AT22" i="46" s="1"/>
  <c r="AJ22" i="46" a="1"/>
  <c r="AJ22" i="46" s="1"/>
  <c r="AB22" i="46" a="1"/>
  <c r="AB22" i="46" s="1"/>
  <c r="T22" i="46" a="1"/>
  <c r="T22" i="46" s="1"/>
  <c r="L22" i="46" a="1"/>
  <c r="L22" i="46" s="1"/>
  <c r="AM20" i="46" a="1"/>
  <c r="AM20" i="46" s="1"/>
  <c r="AE20" i="46" a="1"/>
  <c r="AE20" i="46" s="1"/>
  <c r="W20" i="46" a="1"/>
  <c r="W20" i="46" s="1"/>
  <c r="O20" i="46" a="1"/>
  <c r="O20" i="46" s="1"/>
  <c r="AR19" i="46" a="1"/>
  <c r="AR19" i="46" s="1"/>
  <c r="AH19" i="46" a="1"/>
  <c r="AH19" i="46" s="1"/>
  <c r="Z19" i="46" a="1"/>
  <c r="Z19" i="46" s="1"/>
  <c r="R19" i="46" a="1"/>
  <c r="R19" i="46" s="1"/>
  <c r="J19" i="46" a="1"/>
  <c r="J19" i="46" s="1"/>
  <c r="AK17" i="46" a="1"/>
  <c r="AK17" i="46" s="1"/>
  <c r="AC17" i="46" a="1"/>
  <c r="AC17" i="46" s="1"/>
  <c r="U17" i="46" a="1"/>
  <c r="U17" i="46" s="1"/>
  <c r="M17" i="46" a="1"/>
  <c r="M17" i="46" s="1"/>
  <c r="AP16" i="46" a="1"/>
  <c r="AP16" i="46" s="1"/>
  <c r="AF16" i="46" a="1"/>
  <c r="AF16" i="46" s="1"/>
  <c r="X16" i="46" a="1"/>
  <c r="X16" i="46" s="1"/>
  <c r="P16" i="46" a="1"/>
  <c r="P16" i="46" s="1"/>
  <c r="AS11" i="46" a="1"/>
  <c r="AS11" i="46" s="1"/>
  <c r="AI11" i="46" a="1"/>
  <c r="AI11" i="46" s="1"/>
  <c r="AA11" i="46" a="1"/>
  <c r="AA11" i="46" s="1"/>
  <c r="S11" i="46" a="1"/>
  <c r="S11" i="46" s="1"/>
  <c r="K11" i="46" a="1"/>
  <c r="K11" i="46" s="1"/>
  <c r="AL10" i="46" a="1"/>
  <c r="AL10" i="46" s="1"/>
  <c r="AD10" i="46" a="1"/>
  <c r="AD10" i="46" s="1"/>
  <c r="V10" i="46" a="1"/>
  <c r="V10" i="46" s="1"/>
  <c r="N10" i="46" a="1"/>
  <c r="N10" i="46" s="1"/>
  <c r="AQ104" i="43" a="1"/>
  <c r="AQ104" i="43" s="1"/>
  <c r="AG104" i="43" a="1"/>
  <c r="AG104" i="43" s="1"/>
  <c r="Y104" i="43" a="1"/>
  <c r="Y104" i="43" s="1"/>
  <c r="Q104" i="43" a="1"/>
  <c r="Q104" i="43" s="1"/>
  <c r="AT103" i="43" a="1"/>
  <c r="AT103" i="43" s="1"/>
  <c r="AJ103" i="43" a="1"/>
  <c r="AJ103" i="43" s="1"/>
  <c r="AB103" i="43" a="1"/>
  <c r="AB103" i="43" s="1"/>
  <c r="T103" i="43" a="1"/>
  <c r="T103" i="43" s="1"/>
  <c r="L103" i="43" a="1"/>
  <c r="L103" i="43" s="1"/>
  <c r="AM101" i="43" a="1"/>
  <c r="AM101" i="43" s="1"/>
  <c r="AE101" i="43" a="1"/>
  <c r="AE101" i="43" s="1"/>
  <c r="W101" i="43" a="1"/>
  <c r="W101" i="43" s="1"/>
  <c r="O101" i="43" a="1"/>
  <c r="O101" i="43" s="1"/>
  <c r="AR100" i="43" a="1"/>
  <c r="AR100" i="43" s="1"/>
  <c r="AH100" i="43" a="1"/>
  <c r="AH100" i="43" s="1"/>
  <c r="Z100" i="43" a="1"/>
  <c r="Z100" i="43" s="1"/>
  <c r="R100" i="43" a="1"/>
  <c r="R100" i="43" s="1"/>
  <c r="J100" i="43" a="1"/>
  <c r="J100" i="43" s="1"/>
  <c r="AK98" i="43" a="1"/>
  <c r="AK98" i="43" s="1"/>
  <c r="AC98" i="43" a="1"/>
  <c r="AC98" i="43" s="1"/>
  <c r="U98" i="43" a="1"/>
  <c r="U98" i="43" s="1"/>
  <c r="M98" i="43" a="1"/>
  <c r="M98" i="43" s="1"/>
  <c r="AP97" i="43" a="1"/>
  <c r="AP97" i="43" s="1"/>
  <c r="AF97" i="43" a="1"/>
  <c r="AF97" i="43" s="1"/>
  <c r="X97" i="43" a="1"/>
  <c r="X97" i="43" s="1"/>
  <c r="P97" i="43" a="1"/>
  <c r="P97" i="43" s="1"/>
  <c r="AS95" i="43" a="1"/>
  <c r="AS95" i="43" s="1"/>
  <c r="AI95" i="43" a="1"/>
  <c r="AI95" i="43" s="1"/>
  <c r="AA95" i="43" a="1"/>
  <c r="AA95" i="43" s="1"/>
  <c r="S95" i="43" a="1"/>
  <c r="S95" i="43" s="1"/>
  <c r="K95" i="43" a="1"/>
  <c r="K95" i="43" s="1"/>
  <c r="AL94" i="43" a="1"/>
  <c r="AL94" i="43" s="1"/>
  <c r="AD94" i="43" a="1"/>
  <c r="AD94" i="43" s="1"/>
  <c r="V94" i="43" a="1"/>
  <c r="V94" i="43" s="1"/>
  <c r="N94" i="43" a="1"/>
  <c r="N94" i="43" s="1"/>
  <c r="AQ92" i="43" a="1"/>
  <c r="AQ92" i="43" s="1"/>
  <c r="AG92" i="43" a="1"/>
  <c r="AG92" i="43" s="1"/>
  <c r="Y92" i="43" a="1"/>
  <c r="Y92" i="43" s="1"/>
  <c r="Q92" i="43" a="1"/>
  <c r="Q92" i="43" s="1"/>
  <c r="AT91" i="43" a="1"/>
  <c r="AT91" i="43" s="1"/>
  <c r="AJ91" i="43" a="1"/>
  <c r="AJ91" i="43" s="1"/>
  <c r="AB91" i="43" a="1"/>
  <c r="AB91" i="43" s="1"/>
  <c r="T91" i="43" a="1"/>
  <c r="T91" i="43" s="1"/>
  <c r="L91" i="43" a="1"/>
  <c r="L91" i="43" s="1"/>
  <c r="AM89" i="43" a="1"/>
  <c r="AM89" i="43" s="1"/>
  <c r="AE89" i="43" a="1"/>
  <c r="AE89" i="43" s="1"/>
  <c r="W89" i="43" a="1"/>
  <c r="W89" i="43" s="1"/>
  <c r="O89" i="43" a="1"/>
  <c r="O89" i="43" s="1"/>
  <c r="AR88" i="43" a="1"/>
  <c r="AR88" i="43" s="1"/>
  <c r="AH88" i="43" a="1"/>
  <c r="AH88" i="43" s="1"/>
  <c r="T53" i="46" a="1"/>
  <c r="T53" i="46" s="1"/>
  <c r="AM52" i="46" a="1"/>
  <c r="AM52" i="46" s="1"/>
  <c r="AE52" i="46" a="1"/>
  <c r="AE52" i="46" s="1"/>
  <c r="W52" i="46" a="1"/>
  <c r="W52" i="46" s="1"/>
  <c r="O52" i="46" a="1"/>
  <c r="O52" i="46" s="1"/>
  <c r="AR50" i="46" a="1"/>
  <c r="AR50" i="46" s="1"/>
  <c r="AH50" i="46" a="1"/>
  <c r="AH50" i="46" s="1"/>
  <c r="Z50" i="46" a="1"/>
  <c r="Z50" i="46" s="1"/>
  <c r="R50" i="46" a="1"/>
  <c r="R50" i="46" s="1"/>
  <c r="J50" i="46" a="1"/>
  <c r="J50" i="46" s="1"/>
  <c r="AK49" i="46" a="1"/>
  <c r="AK49" i="46" s="1"/>
  <c r="AC49" i="46" a="1"/>
  <c r="AC49" i="46" s="1"/>
  <c r="U49" i="46" a="1"/>
  <c r="U49" i="46" s="1"/>
  <c r="M49" i="46" a="1"/>
  <c r="M49" i="46" s="1"/>
  <c r="AP47" i="46" a="1"/>
  <c r="AP47" i="46" s="1"/>
  <c r="AF47" i="46" a="1"/>
  <c r="AF47" i="46" s="1"/>
  <c r="X47" i="46" a="1"/>
  <c r="X47" i="46" s="1"/>
  <c r="P47" i="46" a="1"/>
  <c r="P47" i="46" s="1"/>
  <c r="AS46" i="46" a="1"/>
  <c r="AS46" i="46" s="1"/>
  <c r="AI46" i="46" a="1"/>
  <c r="AI46" i="46" s="1"/>
  <c r="AA46" i="46" a="1"/>
  <c r="AA46" i="46" s="1"/>
  <c r="S46" i="46" a="1"/>
  <c r="S46" i="46" s="1"/>
  <c r="K46" i="46" a="1"/>
  <c r="K46" i="46" s="1"/>
  <c r="AL44" i="46" a="1"/>
  <c r="AL44" i="46" s="1"/>
  <c r="AD44" i="46" a="1"/>
  <c r="AD44" i="46" s="1"/>
  <c r="V44" i="46" a="1"/>
  <c r="V44" i="46" s="1"/>
  <c r="N44" i="46" a="1"/>
  <c r="N44" i="46" s="1"/>
  <c r="AQ43" i="46" a="1"/>
  <c r="AQ43" i="46" s="1"/>
  <c r="AG43" i="46" a="1"/>
  <c r="AG43" i="46" s="1"/>
  <c r="Y43" i="46" a="1"/>
  <c r="Y43" i="46" s="1"/>
  <c r="Q43" i="46" a="1"/>
  <c r="Q43" i="46" s="1"/>
  <c r="AT41" i="46" a="1"/>
  <c r="AT41" i="46" s="1"/>
  <c r="AJ41" i="46" a="1"/>
  <c r="AJ41" i="46" s="1"/>
  <c r="AB41" i="46" a="1"/>
  <c r="AB41" i="46" s="1"/>
  <c r="T41" i="46" a="1"/>
  <c r="T41" i="46" s="1"/>
  <c r="L41" i="46" a="1"/>
  <c r="L41" i="46" s="1"/>
  <c r="AM40" i="46" a="1"/>
  <c r="AM40" i="46" s="1"/>
  <c r="AE40" i="46" a="1"/>
  <c r="AE40" i="46" s="1"/>
  <c r="W40" i="46" a="1"/>
  <c r="W40" i="46" s="1"/>
  <c r="O40" i="46" a="1"/>
  <c r="O40" i="46" s="1"/>
  <c r="AR38" i="46" a="1"/>
  <c r="AR38" i="46" s="1"/>
  <c r="AH38" i="46" a="1"/>
  <c r="AH38" i="46" s="1"/>
  <c r="Z38" i="46" a="1"/>
  <c r="Z38" i="46" s="1"/>
  <c r="R38" i="46" a="1"/>
  <c r="R38" i="46" s="1"/>
  <c r="J38" i="46" a="1"/>
  <c r="J38" i="46" s="1"/>
  <c r="AK37" i="46" a="1"/>
  <c r="AK37" i="46" s="1"/>
  <c r="AC37" i="46" a="1"/>
  <c r="AC37" i="46" s="1"/>
  <c r="U37" i="46" a="1"/>
  <c r="U37" i="46" s="1"/>
  <c r="M37" i="46" a="1"/>
  <c r="M37" i="46" s="1"/>
  <c r="AP35" i="46" a="1"/>
  <c r="AP35" i="46" s="1"/>
  <c r="AF35" i="46" a="1"/>
  <c r="AF35" i="46" s="1"/>
  <c r="X35" i="46" a="1"/>
  <c r="X35" i="46" s="1"/>
  <c r="P35" i="46" a="1"/>
  <c r="P35" i="46" s="1"/>
  <c r="AS34" i="46" a="1"/>
  <c r="AS34" i="46" s="1"/>
  <c r="AI34" i="46" a="1"/>
  <c r="AI34" i="46" s="1"/>
  <c r="AA34" i="46" a="1"/>
  <c r="AA34" i="46" s="1"/>
  <c r="S34" i="46" a="1"/>
  <c r="S34" i="46" s="1"/>
  <c r="K34" i="46" a="1"/>
  <c r="K34" i="46" s="1"/>
  <c r="AL32" i="46" a="1"/>
  <c r="AL32" i="46" s="1"/>
  <c r="AD32" i="46" a="1"/>
  <c r="AD32" i="46" s="1"/>
  <c r="V32" i="46" a="1"/>
  <c r="V32" i="46" s="1"/>
  <c r="N32" i="46" a="1"/>
  <c r="N32" i="46" s="1"/>
  <c r="AQ31" i="46" a="1"/>
  <c r="AQ31" i="46" s="1"/>
  <c r="AG31" i="46" a="1"/>
  <c r="AG31" i="46" s="1"/>
  <c r="Y31" i="46" a="1"/>
  <c r="Y31" i="46" s="1"/>
  <c r="Q31" i="46" a="1"/>
  <c r="Q31" i="46" s="1"/>
  <c r="AT29" i="46" a="1"/>
  <c r="AT29" i="46" s="1"/>
  <c r="AJ29" i="46" a="1"/>
  <c r="AJ29" i="46" s="1"/>
  <c r="AB29" i="46" a="1"/>
  <c r="AB29" i="46" s="1"/>
  <c r="T29" i="46" a="1"/>
  <c r="T29" i="46" s="1"/>
  <c r="L29" i="46" a="1"/>
  <c r="L29" i="46" s="1"/>
  <c r="AM28" i="46" a="1"/>
  <c r="AM28" i="46" s="1"/>
  <c r="AE28" i="46" a="1"/>
  <c r="AE28" i="46" s="1"/>
  <c r="W28" i="46" a="1"/>
  <c r="W28" i="46" s="1"/>
  <c r="O28" i="46" a="1"/>
  <c r="O28" i="46" s="1"/>
  <c r="AR26" i="46" a="1"/>
  <c r="AR26" i="46" s="1"/>
  <c r="AH26" i="46" a="1"/>
  <c r="AH26" i="46" s="1"/>
  <c r="Z26" i="46" a="1"/>
  <c r="Z26" i="46" s="1"/>
  <c r="R26" i="46" a="1"/>
  <c r="R26" i="46" s="1"/>
  <c r="J26" i="46" a="1"/>
  <c r="J26" i="46" s="1"/>
  <c r="AK25" i="46" a="1"/>
  <c r="AK25" i="46" s="1"/>
  <c r="AC25" i="46" a="1"/>
  <c r="AC25" i="46" s="1"/>
  <c r="U25" i="46" a="1"/>
  <c r="U25" i="46" s="1"/>
  <c r="M25" i="46" a="1"/>
  <c r="M25" i="46" s="1"/>
  <c r="AP23" i="46" a="1"/>
  <c r="AP23" i="46" s="1"/>
  <c r="AF23" i="46" a="1"/>
  <c r="AF23" i="46" s="1"/>
  <c r="X23" i="46" a="1"/>
  <c r="X23" i="46" s="1"/>
  <c r="P23" i="46" a="1"/>
  <c r="P23" i="46" s="1"/>
  <c r="AS22" i="46" a="1"/>
  <c r="AS22" i="46" s="1"/>
  <c r="AI22" i="46" a="1"/>
  <c r="AI22" i="46" s="1"/>
  <c r="AA22" i="46" a="1"/>
  <c r="AA22" i="46" s="1"/>
  <c r="S22" i="46" a="1"/>
  <c r="S22" i="46" s="1"/>
  <c r="K22" i="46" a="1"/>
  <c r="K22" i="46" s="1"/>
  <c r="AL20" i="46" a="1"/>
  <c r="AL20" i="46" s="1"/>
  <c r="AD20" i="46" a="1"/>
  <c r="AD20" i="46" s="1"/>
  <c r="V20" i="46" a="1"/>
  <c r="V20" i="46" s="1"/>
  <c r="N20" i="46" a="1"/>
  <c r="N20" i="46" s="1"/>
  <c r="AQ19" i="46" a="1"/>
  <c r="AQ19" i="46" s="1"/>
  <c r="AG19" i="46" a="1"/>
  <c r="AG19" i="46" s="1"/>
  <c r="Y19" i="46" a="1"/>
  <c r="Y19" i="46" s="1"/>
  <c r="Q19" i="46" a="1"/>
  <c r="Q19" i="46" s="1"/>
  <c r="AT17" i="46" a="1"/>
  <c r="AT17" i="46" s="1"/>
  <c r="AJ17" i="46" a="1"/>
  <c r="AJ17" i="46" s="1"/>
  <c r="AB17" i="46" a="1"/>
  <c r="AB17" i="46" s="1"/>
  <c r="T17" i="46" a="1"/>
  <c r="T17" i="46" s="1"/>
  <c r="L17" i="46" a="1"/>
  <c r="L17" i="46" s="1"/>
  <c r="AM16" i="46" a="1"/>
  <c r="AM16" i="46" s="1"/>
  <c r="AE16" i="46" a="1"/>
  <c r="AE16" i="46" s="1"/>
  <c r="W16" i="46" a="1"/>
  <c r="W16" i="46" s="1"/>
  <c r="O16" i="46" a="1"/>
  <c r="O16" i="46" s="1"/>
  <c r="AR11" i="46" a="1"/>
  <c r="AR11" i="46" s="1"/>
  <c r="AH11" i="46" a="1"/>
  <c r="AH11" i="46" s="1"/>
  <c r="Z11" i="46" a="1"/>
  <c r="Z11" i="46" s="1"/>
  <c r="R11" i="46" a="1"/>
  <c r="R11" i="46" s="1"/>
  <c r="J11" i="46" a="1"/>
  <c r="J11" i="46" s="1"/>
  <c r="AK10" i="46" a="1"/>
  <c r="AK10" i="46" s="1"/>
  <c r="AC10" i="46" a="1"/>
  <c r="AC10" i="46" s="1"/>
  <c r="U10" i="46" a="1"/>
  <c r="U10" i="46" s="1"/>
  <c r="M10" i="46" a="1"/>
  <c r="M10" i="46" s="1"/>
  <c r="AP104" i="43" a="1"/>
  <c r="AP104" i="43" s="1"/>
  <c r="AF104" i="43" a="1"/>
  <c r="AF104" i="43" s="1"/>
  <c r="X104" i="43" a="1"/>
  <c r="X104" i="43" s="1"/>
  <c r="P104" i="43" a="1"/>
  <c r="P104" i="43" s="1"/>
  <c r="AS103" i="43" a="1"/>
  <c r="AS103" i="43" s="1"/>
  <c r="AI103" i="43" a="1"/>
  <c r="AI103" i="43" s="1"/>
  <c r="AA103" i="43" a="1"/>
  <c r="AA103" i="43" s="1"/>
  <c r="S103" i="43" a="1"/>
  <c r="S103" i="43" s="1"/>
  <c r="K103" i="43" a="1"/>
  <c r="K103" i="43" s="1"/>
  <c r="AL101" i="43" a="1"/>
  <c r="AL101" i="43" s="1"/>
  <c r="AD101" i="43" a="1"/>
  <c r="AD101" i="43" s="1"/>
  <c r="V101" i="43" a="1"/>
  <c r="V101" i="43" s="1"/>
  <c r="N101" i="43" a="1"/>
  <c r="N101" i="43" s="1"/>
  <c r="AQ100" i="43" a="1"/>
  <c r="AQ100" i="43" s="1"/>
  <c r="AG100" i="43" a="1"/>
  <c r="AG100" i="43" s="1"/>
  <c r="Y100" i="43" a="1"/>
  <c r="Y100" i="43" s="1"/>
  <c r="Q100" i="43" a="1"/>
  <c r="Q100" i="43" s="1"/>
  <c r="AT98" i="43" a="1"/>
  <c r="AT98" i="43" s="1"/>
  <c r="AJ98" i="43" a="1"/>
  <c r="AJ98" i="43" s="1"/>
  <c r="AB98" i="43" a="1"/>
  <c r="AB98" i="43" s="1"/>
  <c r="T98" i="43" a="1"/>
  <c r="T98" i="43" s="1"/>
  <c r="L98" i="43" a="1"/>
  <c r="L98" i="43" s="1"/>
  <c r="AM97" i="43" a="1"/>
  <c r="AM97" i="43" s="1"/>
  <c r="AE97" i="43" a="1"/>
  <c r="AE97" i="43" s="1"/>
  <c r="W97" i="43" a="1"/>
  <c r="W97" i="43" s="1"/>
  <c r="O97" i="43" a="1"/>
  <c r="O97" i="43" s="1"/>
  <c r="AR95" i="43" a="1"/>
  <c r="AR95" i="43" s="1"/>
  <c r="AH95" i="43" a="1"/>
  <c r="AH95" i="43" s="1"/>
  <c r="Z95" i="43" a="1"/>
  <c r="Z95" i="43" s="1"/>
  <c r="R95" i="43" a="1"/>
  <c r="R95" i="43" s="1"/>
  <c r="J95" i="43" a="1"/>
  <c r="J95" i="43" s="1"/>
  <c r="AK94" i="43" a="1"/>
  <c r="AK94" i="43" s="1"/>
  <c r="AC94" i="43" a="1"/>
  <c r="AC94" i="43" s="1"/>
  <c r="U94" i="43" a="1"/>
  <c r="U94" i="43" s="1"/>
  <c r="M94" i="43" a="1"/>
  <c r="M94" i="43" s="1"/>
  <c r="AP92" i="43" a="1"/>
  <c r="AP92" i="43" s="1"/>
  <c r="AF92" i="43" a="1"/>
  <c r="AF92" i="43" s="1"/>
  <c r="X92" i="43" a="1"/>
  <c r="X92" i="43" s="1"/>
  <c r="P92" i="43" a="1"/>
  <c r="P92" i="43" s="1"/>
  <c r="AS91" i="43" a="1"/>
  <c r="AS91" i="43" s="1"/>
  <c r="AI91" i="43" a="1"/>
  <c r="AI91" i="43" s="1"/>
  <c r="AA91" i="43" a="1"/>
  <c r="AA91" i="43" s="1"/>
  <c r="S91" i="43" a="1"/>
  <c r="S91" i="43" s="1"/>
  <c r="K91" i="43" a="1"/>
  <c r="K91" i="43" s="1"/>
  <c r="AL89" i="43" a="1"/>
  <c r="AL89" i="43" s="1"/>
  <c r="AD89" i="43" a="1"/>
  <c r="AD89" i="43" s="1"/>
  <c r="V89" i="43" a="1"/>
  <c r="V89" i="43" s="1"/>
  <c r="N89" i="43" a="1"/>
  <c r="N89" i="43" s="1"/>
  <c r="AQ88" i="43" a="1"/>
  <c r="AQ88" i="43" s="1"/>
  <c r="AG88" i="43" a="1"/>
  <c r="AG88" i="43" s="1"/>
  <c r="R53" i="46" a="1"/>
  <c r="R53" i="46" s="1"/>
  <c r="AL52" i="46" a="1"/>
  <c r="AL52" i="46" s="1"/>
  <c r="AD52" i="46" a="1"/>
  <c r="AD52" i="46" s="1"/>
  <c r="V52" i="46" a="1"/>
  <c r="V52" i="46" s="1"/>
  <c r="N52" i="46" a="1"/>
  <c r="N52" i="46" s="1"/>
  <c r="AQ50" i="46" a="1"/>
  <c r="AQ50" i="46" s="1"/>
  <c r="AG50" i="46" a="1"/>
  <c r="AG50" i="46" s="1"/>
  <c r="Y50" i="46" a="1"/>
  <c r="Y50" i="46" s="1"/>
  <c r="Q50" i="46" a="1"/>
  <c r="Q50" i="46" s="1"/>
  <c r="AT49" i="46" a="1"/>
  <c r="AT49" i="46" s="1"/>
  <c r="AJ49" i="46" a="1"/>
  <c r="AJ49" i="46" s="1"/>
  <c r="AB49" i="46" a="1"/>
  <c r="AB49" i="46" s="1"/>
  <c r="T49" i="46" a="1"/>
  <c r="T49" i="46" s="1"/>
  <c r="L49" i="46" a="1"/>
  <c r="L49" i="46" s="1"/>
  <c r="AM47" i="46" a="1"/>
  <c r="AM47" i="46" s="1"/>
  <c r="AE47" i="46" a="1"/>
  <c r="AE47" i="46" s="1"/>
  <c r="W47" i="46" a="1"/>
  <c r="W47" i="46" s="1"/>
  <c r="O47" i="46" a="1"/>
  <c r="O47" i="46" s="1"/>
  <c r="AR46" i="46" a="1"/>
  <c r="AR46" i="46" s="1"/>
  <c r="AH46" i="46" a="1"/>
  <c r="AH46" i="46" s="1"/>
  <c r="Z46" i="46" a="1"/>
  <c r="Z46" i="46" s="1"/>
  <c r="R46" i="46" a="1"/>
  <c r="R46" i="46" s="1"/>
  <c r="J46" i="46" a="1"/>
  <c r="J46" i="46" s="1"/>
  <c r="AK44" i="46" a="1"/>
  <c r="AK44" i="46" s="1"/>
  <c r="AC44" i="46" a="1"/>
  <c r="AC44" i="46" s="1"/>
  <c r="U44" i="46" a="1"/>
  <c r="U44" i="46" s="1"/>
  <c r="M44" i="46" a="1"/>
  <c r="M44" i="46" s="1"/>
  <c r="AP43" i="46" a="1"/>
  <c r="AP43" i="46" s="1"/>
  <c r="AF43" i="46" a="1"/>
  <c r="AF43" i="46" s="1"/>
  <c r="X43" i="46" a="1"/>
  <c r="X43" i="46" s="1"/>
  <c r="P43" i="46" a="1"/>
  <c r="P43" i="46" s="1"/>
  <c r="AS41" i="46" a="1"/>
  <c r="AS41" i="46" s="1"/>
  <c r="AI41" i="46" a="1"/>
  <c r="AI41" i="46" s="1"/>
  <c r="AA41" i="46" a="1"/>
  <c r="AA41" i="46" s="1"/>
  <c r="S41" i="46" a="1"/>
  <c r="S41" i="46" s="1"/>
  <c r="K41" i="46" a="1"/>
  <c r="K41" i="46" s="1"/>
  <c r="AL40" i="46" a="1"/>
  <c r="AL40" i="46" s="1"/>
  <c r="AD40" i="46" a="1"/>
  <c r="AD40" i="46" s="1"/>
  <c r="V40" i="46" a="1"/>
  <c r="V40" i="46" s="1"/>
  <c r="N40" i="46" a="1"/>
  <c r="N40" i="46" s="1"/>
  <c r="AQ38" i="46" a="1"/>
  <c r="AQ38" i="46" s="1"/>
  <c r="AG38" i="46" a="1"/>
  <c r="AG38" i="46" s="1"/>
  <c r="Y38" i="46" a="1"/>
  <c r="Y38" i="46" s="1"/>
  <c r="Q38" i="46" a="1"/>
  <c r="Q38" i="46" s="1"/>
  <c r="AT37" i="46" a="1"/>
  <c r="AT37" i="46" s="1"/>
  <c r="AJ37" i="46" a="1"/>
  <c r="AJ37" i="46" s="1"/>
  <c r="AB37" i="46" a="1"/>
  <c r="AB37" i="46" s="1"/>
  <c r="T37" i="46" a="1"/>
  <c r="T37" i="46" s="1"/>
  <c r="L37" i="46" a="1"/>
  <c r="L37" i="46" s="1"/>
  <c r="AM35" i="46" a="1"/>
  <c r="AM35" i="46" s="1"/>
  <c r="AE35" i="46" a="1"/>
  <c r="AE35" i="46" s="1"/>
  <c r="W35" i="46" a="1"/>
  <c r="W35" i="46" s="1"/>
  <c r="O35" i="46" a="1"/>
  <c r="O35" i="46" s="1"/>
  <c r="AR34" i="46" a="1"/>
  <c r="AR34" i="46" s="1"/>
  <c r="AH34" i="46" a="1"/>
  <c r="AH34" i="46" s="1"/>
  <c r="Z34" i="46" a="1"/>
  <c r="Z34" i="46" s="1"/>
  <c r="R34" i="46" a="1"/>
  <c r="R34" i="46" s="1"/>
  <c r="J34" i="46" a="1"/>
  <c r="J34" i="46" s="1"/>
  <c r="AK32" i="46" a="1"/>
  <c r="AK32" i="46" s="1"/>
  <c r="AC32" i="46" a="1"/>
  <c r="AC32" i="46" s="1"/>
  <c r="U32" i="46" a="1"/>
  <c r="U32" i="46" s="1"/>
  <c r="M32" i="46" a="1"/>
  <c r="M32" i="46" s="1"/>
  <c r="AP31" i="46" a="1"/>
  <c r="AP31" i="46" s="1"/>
  <c r="AF31" i="46" a="1"/>
  <c r="AF31" i="46" s="1"/>
  <c r="X31" i="46" a="1"/>
  <c r="X31" i="46" s="1"/>
  <c r="P31" i="46" a="1"/>
  <c r="P31" i="46" s="1"/>
  <c r="AS29" i="46" a="1"/>
  <c r="AS29" i="46" s="1"/>
  <c r="AI29" i="46" a="1"/>
  <c r="AI29" i="46" s="1"/>
  <c r="AA29" i="46" a="1"/>
  <c r="AA29" i="46" s="1"/>
  <c r="S29" i="46" a="1"/>
  <c r="S29" i="46" s="1"/>
  <c r="K29" i="46" a="1"/>
  <c r="K29" i="46" s="1"/>
  <c r="AL28" i="46" a="1"/>
  <c r="AL28" i="46" s="1"/>
  <c r="AD28" i="46" a="1"/>
  <c r="AD28" i="46" s="1"/>
  <c r="V28" i="46" a="1"/>
  <c r="V28" i="46" s="1"/>
  <c r="N28" i="46" a="1"/>
  <c r="N28" i="46" s="1"/>
  <c r="AQ26" i="46" a="1"/>
  <c r="AQ26" i="46" s="1"/>
  <c r="AG26" i="46" a="1"/>
  <c r="AG26" i="46" s="1"/>
  <c r="Y26" i="46" a="1"/>
  <c r="Y26" i="46" s="1"/>
  <c r="Q26" i="46" a="1"/>
  <c r="Q26" i="46" s="1"/>
  <c r="AT25" i="46" a="1"/>
  <c r="AT25" i="46" s="1"/>
  <c r="AJ25" i="46" a="1"/>
  <c r="AJ25" i="46" s="1"/>
  <c r="AB25" i="46" a="1"/>
  <c r="AB25" i="46" s="1"/>
  <c r="T25" i="46" a="1"/>
  <c r="T25" i="46" s="1"/>
  <c r="L25" i="46" a="1"/>
  <c r="L25" i="46" s="1"/>
  <c r="AM23" i="46" a="1"/>
  <c r="AM23" i="46" s="1"/>
  <c r="AE23" i="46" a="1"/>
  <c r="AE23" i="46" s="1"/>
  <c r="W23" i="46" a="1"/>
  <c r="W23" i="46" s="1"/>
  <c r="O23" i="46" a="1"/>
  <c r="O23" i="46" s="1"/>
  <c r="AR22" i="46" a="1"/>
  <c r="AR22" i="46" s="1"/>
  <c r="AH22" i="46" a="1"/>
  <c r="AH22" i="46" s="1"/>
  <c r="Z22" i="46" a="1"/>
  <c r="Z22" i="46" s="1"/>
  <c r="R22" i="46" a="1"/>
  <c r="R22" i="46" s="1"/>
  <c r="J22" i="46" a="1"/>
  <c r="J22" i="46" s="1"/>
  <c r="AK20" i="46" a="1"/>
  <c r="AK20" i="46" s="1"/>
  <c r="AC20" i="46" a="1"/>
  <c r="AC20" i="46" s="1"/>
  <c r="U20" i="46" a="1"/>
  <c r="U20" i="46" s="1"/>
  <c r="M20" i="46" a="1"/>
  <c r="M20" i="46" s="1"/>
  <c r="AP19" i="46" a="1"/>
  <c r="AP19" i="46" s="1"/>
  <c r="AF19" i="46" a="1"/>
  <c r="AF19" i="46" s="1"/>
  <c r="X19" i="46" a="1"/>
  <c r="X19" i="46" s="1"/>
  <c r="P19" i="46" a="1"/>
  <c r="P19" i="46" s="1"/>
  <c r="AS17" i="46" a="1"/>
  <c r="AS17" i="46" s="1"/>
  <c r="AI17" i="46" a="1"/>
  <c r="AI17" i="46" s="1"/>
  <c r="AA17" i="46" a="1"/>
  <c r="AA17" i="46" s="1"/>
  <c r="S17" i="46" a="1"/>
  <c r="S17" i="46" s="1"/>
  <c r="K17" i="46" a="1"/>
  <c r="K17" i="46" s="1"/>
  <c r="AL16" i="46" a="1"/>
  <c r="AL16" i="46" s="1"/>
  <c r="AD16" i="46" a="1"/>
  <c r="AD16" i="46" s="1"/>
  <c r="V16" i="46" a="1"/>
  <c r="V16" i="46" s="1"/>
  <c r="N16" i="46" a="1"/>
  <c r="N16" i="46" s="1"/>
  <c r="AQ11" i="46" a="1"/>
  <c r="AQ11" i="46" s="1"/>
  <c r="AG11" i="46" a="1"/>
  <c r="AG11" i="46" s="1"/>
  <c r="Y11" i="46" a="1"/>
  <c r="Y11" i="46" s="1"/>
  <c r="Q11" i="46" a="1"/>
  <c r="Q11" i="46" s="1"/>
  <c r="AT10" i="46" a="1"/>
  <c r="AT10" i="46" s="1"/>
  <c r="AJ10" i="46" a="1"/>
  <c r="AJ10" i="46" s="1"/>
  <c r="AB10" i="46" a="1"/>
  <c r="AB10" i="46" s="1"/>
  <c r="T10" i="46" a="1"/>
  <c r="T10" i="46" s="1"/>
  <c r="L10" i="46" a="1"/>
  <c r="L10" i="46" s="1"/>
  <c r="AM104" i="43" a="1"/>
  <c r="AM104" i="43" s="1"/>
  <c r="AE104" i="43" a="1"/>
  <c r="AE104" i="43" s="1"/>
  <c r="W104" i="43" a="1"/>
  <c r="W104" i="43" s="1"/>
  <c r="O104" i="43" a="1"/>
  <c r="O104" i="43" s="1"/>
  <c r="AR103" i="43" a="1"/>
  <c r="AR103" i="43" s="1"/>
  <c r="AH103" i="43" a="1"/>
  <c r="AH103" i="43" s="1"/>
  <c r="Z103" i="43" a="1"/>
  <c r="Z103" i="43" s="1"/>
  <c r="R103" i="43" a="1"/>
  <c r="R103" i="43" s="1"/>
  <c r="J103" i="43" a="1"/>
  <c r="J103" i="43" s="1"/>
  <c r="AK101" i="43" a="1"/>
  <c r="AK101" i="43" s="1"/>
  <c r="AC101" i="43" a="1"/>
  <c r="AC101" i="43" s="1"/>
  <c r="U101" i="43" a="1"/>
  <c r="U101" i="43" s="1"/>
  <c r="M101" i="43" a="1"/>
  <c r="M101" i="43" s="1"/>
  <c r="AP100" i="43" a="1"/>
  <c r="AP100" i="43" s="1"/>
  <c r="AF100" i="43" a="1"/>
  <c r="AF100" i="43" s="1"/>
  <c r="X100" i="43" a="1"/>
  <c r="X100" i="43" s="1"/>
  <c r="P100" i="43" a="1"/>
  <c r="P100" i="43" s="1"/>
  <c r="AS98" i="43" a="1"/>
  <c r="AS98" i="43" s="1"/>
  <c r="AI98" i="43" a="1"/>
  <c r="AI98" i="43" s="1"/>
  <c r="AA98" i="43" a="1"/>
  <c r="AA98" i="43" s="1"/>
  <c r="S98" i="43" a="1"/>
  <c r="S98" i="43" s="1"/>
  <c r="K98" i="43" a="1"/>
  <c r="K98" i="43" s="1"/>
  <c r="AL97" i="43" a="1"/>
  <c r="AL97" i="43" s="1"/>
  <c r="AD97" i="43" a="1"/>
  <c r="AD97" i="43" s="1"/>
  <c r="V97" i="43" a="1"/>
  <c r="V97" i="43" s="1"/>
  <c r="N97" i="43" a="1"/>
  <c r="N97" i="43" s="1"/>
  <c r="AQ95" i="43" a="1"/>
  <c r="AQ95" i="43" s="1"/>
  <c r="AG95" i="43" a="1"/>
  <c r="AG95" i="43" s="1"/>
  <c r="Y95" i="43" a="1"/>
  <c r="Y95" i="43" s="1"/>
  <c r="Q95" i="43" a="1"/>
  <c r="Q95" i="43" s="1"/>
  <c r="AT94" i="43" a="1"/>
  <c r="AT94" i="43" s="1"/>
  <c r="AJ94" i="43" a="1"/>
  <c r="AJ94" i="43" s="1"/>
  <c r="AB94" i="43" a="1"/>
  <c r="AB94" i="43" s="1"/>
  <c r="T94" i="43" a="1"/>
  <c r="T94" i="43" s="1"/>
  <c r="L94" i="43" a="1"/>
  <c r="L94" i="43" s="1"/>
  <c r="AM92" i="43" a="1"/>
  <c r="AM92" i="43" s="1"/>
  <c r="AE92" i="43" a="1"/>
  <c r="AE92" i="43" s="1"/>
  <c r="W92" i="43" a="1"/>
  <c r="W92" i="43" s="1"/>
  <c r="O92" i="43" a="1"/>
  <c r="O92" i="43" s="1"/>
  <c r="AR91" i="43" a="1"/>
  <c r="AR91" i="43" s="1"/>
  <c r="AH91" i="43" a="1"/>
  <c r="AH91" i="43" s="1"/>
  <c r="Z91" i="43" a="1"/>
  <c r="Z91" i="43" s="1"/>
  <c r="R91" i="43" a="1"/>
  <c r="R91" i="43" s="1"/>
  <c r="J91" i="43" a="1"/>
  <c r="J91" i="43" s="1"/>
  <c r="AK89" i="43" a="1"/>
  <c r="AK89" i="43" s="1"/>
  <c r="AC89" i="43" a="1"/>
  <c r="AC89" i="43" s="1"/>
  <c r="U89" i="43" a="1"/>
  <c r="U89" i="43" s="1"/>
  <c r="M89" i="43" a="1"/>
  <c r="M89" i="43" s="1"/>
  <c r="AP88" i="43" a="1"/>
  <c r="AP88" i="43" s="1"/>
  <c r="AF88" i="43" a="1"/>
  <c r="AF88" i="43" s="1"/>
  <c r="X88" i="43" a="1"/>
  <c r="X88" i="43" s="1"/>
  <c r="P53" i="46" a="1"/>
  <c r="P53" i="46" s="1"/>
  <c r="AK52" i="46" a="1"/>
  <c r="AK52" i="46" s="1"/>
  <c r="AC52" i="46" a="1"/>
  <c r="AC52" i="46" s="1"/>
  <c r="U52" i="46" a="1"/>
  <c r="U52" i="46" s="1"/>
  <c r="M52" i="46" a="1"/>
  <c r="M52" i="46" s="1"/>
  <c r="AP50" i="46" a="1"/>
  <c r="AP50" i="46" s="1"/>
  <c r="AF50" i="46" a="1"/>
  <c r="AF50" i="46" s="1"/>
  <c r="X50" i="46" a="1"/>
  <c r="X50" i="46" s="1"/>
  <c r="P50" i="46" a="1"/>
  <c r="P50" i="46" s="1"/>
  <c r="AS49" i="46" a="1"/>
  <c r="AS49" i="46" s="1"/>
  <c r="AI49" i="46" a="1"/>
  <c r="AI49" i="46" s="1"/>
  <c r="AA49" i="46" a="1"/>
  <c r="AA49" i="46" s="1"/>
  <c r="S49" i="46" a="1"/>
  <c r="S49" i="46" s="1"/>
  <c r="K49" i="46" a="1"/>
  <c r="K49" i="46" s="1"/>
  <c r="AL47" i="46" a="1"/>
  <c r="AL47" i="46" s="1"/>
  <c r="AD47" i="46" a="1"/>
  <c r="AD47" i="46" s="1"/>
  <c r="V47" i="46" a="1"/>
  <c r="V47" i="46" s="1"/>
  <c r="N47" i="46" a="1"/>
  <c r="N47" i="46" s="1"/>
  <c r="AQ46" i="46" a="1"/>
  <c r="AQ46" i="46" s="1"/>
  <c r="AG46" i="46" a="1"/>
  <c r="AG46" i="46" s="1"/>
  <c r="Y46" i="46" a="1"/>
  <c r="Y46" i="46" s="1"/>
  <c r="Q46" i="46" a="1"/>
  <c r="Q46" i="46" s="1"/>
  <c r="AT44" i="46" a="1"/>
  <c r="AT44" i="46" s="1"/>
  <c r="AJ44" i="46" a="1"/>
  <c r="AJ44" i="46" s="1"/>
  <c r="AB44" i="46" a="1"/>
  <c r="AB44" i="46" s="1"/>
  <c r="T44" i="46" a="1"/>
  <c r="T44" i="46" s="1"/>
  <c r="L44" i="46" a="1"/>
  <c r="L44" i="46" s="1"/>
  <c r="AM43" i="46" a="1"/>
  <c r="AM43" i="46" s="1"/>
  <c r="AE43" i="46" a="1"/>
  <c r="AE43" i="46" s="1"/>
  <c r="W43" i="46" a="1"/>
  <c r="W43" i="46" s="1"/>
  <c r="O43" i="46" a="1"/>
  <c r="O43" i="46" s="1"/>
  <c r="AR41" i="46" a="1"/>
  <c r="AR41" i="46" s="1"/>
  <c r="AH41" i="46" a="1"/>
  <c r="AH41" i="46" s="1"/>
  <c r="Z41" i="46" a="1"/>
  <c r="Z41" i="46" s="1"/>
  <c r="R41" i="46" a="1"/>
  <c r="R41" i="46" s="1"/>
  <c r="J41" i="46" a="1"/>
  <c r="J41" i="46" s="1"/>
  <c r="AK40" i="46" a="1"/>
  <c r="AK40" i="46" s="1"/>
  <c r="AC40" i="46" a="1"/>
  <c r="AC40" i="46" s="1"/>
  <c r="U40" i="46" a="1"/>
  <c r="U40" i="46" s="1"/>
  <c r="M40" i="46" a="1"/>
  <c r="M40" i="46" s="1"/>
  <c r="AP38" i="46" a="1"/>
  <c r="AP38" i="46" s="1"/>
  <c r="AF38" i="46" a="1"/>
  <c r="AF38" i="46" s="1"/>
  <c r="X38" i="46" a="1"/>
  <c r="X38" i="46" s="1"/>
  <c r="P38" i="46" a="1"/>
  <c r="P38" i="46" s="1"/>
  <c r="AS37" i="46" a="1"/>
  <c r="AS37" i="46" s="1"/>
  <c r="AI37" i="46" a="1"/>
  <c r="AI37" i="46" s="1"/>
  <c r="AA37" i="46" a="1"/>
  <c r="AA37" i="46" s="1"/>
  <c r="S37" i="46" a="1"/>
  <c r="S37" i="46" s="1"/>
  <c r="K37" i="46" a="1"/>
  <c r="K37" i="46" s="1"/>
  <c r="AL35" i="46" a="1"/>
  <c r="AL35" i="46" s="1"/>
  <c r="AD35" i="46" a="1"/>
  <c r="AD35" i="46" s="1"/>
  <c r="V35" i="46" a="1"/>
  <c r="V35" i="46" s="1"/>
  <c r="N35" i="46" a="1"/>
  <c r="N35" i="46" s="1"/>
  <c r="AQ34" i="46" a="1"/>
  <c r="AQ34" i="46" s="1"/>
  <c r="AG34" i="46" a="1"/>
  <c r="AG34" i="46" s="1"/>
  <c r="Y34" i="46" a="1"/>
  <c r="Y34" i="46" s="1"/>
  <c r="Q34" i="46" a="1"/>
  <c r="Q34" i="46" s="1"/>
  <c r="AT32" i="46" a="1"/>
  <c r="AT32" i="46" s="1"/>
  <c r="AJ32" i="46" a="1"/>
  <c r="AJ32" i="46" s="1"/>
  <c r="AB32" i="46" a="1"/>
  <c r="AB32" i="46" s="1"/>
  <c r="T32" i="46" a="1"/>
  <c r="T32" i="46" s="1"/>
  <c r="L32" i="46" a="1"/>
  <c r="L32" i="46" s="1"/>
  <c r="AM31" i="46" a="1"/>
  <c r="AM31" i="46" s="1"/>
  <c r="AE31" i="46" a="1"/>
  <c r="AE31" i="46" s="1"/>
  <c r="W31" i="46" a="1"/>
  <c r="W31" i="46" s="1"/>
  <c r="O31" i="46" a="1"/>
  <c r="O31" i="46" s="1"/>
  <c r="AR29" i="46" a="1"/>
  <c r="AR29" i="46" s="1"/>
  <c r="AH29" i="46" a="1"/>
  <c r="AH29" i="46" s="1"/>
  <c r="Z29" i="46" a="1"/>
  <c r="Z29" i="46" s="1"/>
  <c r="R29" i="46" a="1"/>
  <c r="R29" i="46" s="1"/>
  <c r="J29" i="46" a="1"/>
  <c r="J29" i="46" s="1"/>
  <c r="AK28" i="46" a="1"/>
  <c r="AK28" i="46" s="1"/>
  <c r="AC28" i="46" a="1"/>
  <c r="AC28" i="46" s="1"/>
  <c r="U28" i="46" a="1"/>
  <c r="U28" i="46" s="1"/>
  <c r="M28" i="46" a="1"/>
  <c r="M28" i="46" s="1"/>
  <c r="AP26" i="46" a="1"/>
  <c r="AP26" i="46" s="1"/>
  <c r="AF26" i="46" a="1"/>
  <c r="AF26" i="46" s="1"/>
  <c r="X26" i="46" a="1"/>
  <c r="X26" i="46" s="1"/>
  <c r="P26" i="46" a="1"/>
  <c r="P26" i="46" s="1"/>
  <c r="AS25" i="46" a="1"/>
  <c r="AS25" i="46" s="1"/>
  <c r="AI25" i="46" a="1"/>
  <c r="AI25" i="46" s="1"/>
  <c r="AA25" i="46" a="1"/>
  <c r="AA25" i="46" s="1"/>
  <c r="S25" i="46" a="1"/>
  <c r="S25" i="46" s="1"/>
  <c r="K25" i="46" a="1"/>
  <c r="K25" i="46" s="1"/>
  <c r="AL23" i="46" a="1"/>
  <c r="AL23" i="46" s="1"/>
  <c r="AD23" i="46" a="1"/>
  <c r="AD23" i="46" s="1"/>
  <c r="V23" i="46" a="1"/>
  <c r="V23" i="46" s="1"/>
  <c r="N23" i="46" a="1"/>
  <c r="N23" i="46" s="1"/>
  <c r="AQ22" i="46" a="1"/>
  <c r="AQ22" i="46" s="1"/>
  <c r="AG22" i="46" a="1"/>
  <c r="AG22" i="46" s="1"/>
  <c r="Y22" i="46" a="1"/>
  <c r="Y22" i="46" s="1"/>
  <c r="Q22" i="46" a="1"/>
  <c r="Q22" i="46" s="1"/>
  <c r="AT20" i="46" a="1"/>
  <c r="AT20" i="46" s="1"/>
  <c r="AJ20" i="46" a="1"/>
  <c r="AJ20" i="46" s="1"/>
  <c r="AB20" i="46" a="1"/>
  <c r="AB20" i="46" s="1"/>
  <c r="T20" i="46" a="1"/>
  <c r="T20" i="46" s="1"/>
  <c r="L20" i="46" a="1"/>
  <c r="L20" i="46" s="1"/>
  <c r="AM19" i="46" a="1"/>
  <c r="AM19" i="46" s="1"/>
  <c r="AE19" i="46" a="1"/>
  <c r="AE19" i="46" s="1"/>
  <c r="W19" i="46" a="1"/>
  <c r="W19" i="46" s="1"/>
  <c r="O19" i="46" a="1"/>
  <c r="O19" i="46" s="1"/>
  <c r="AR17" i="46" a="1"/>
  <c r="AR17" i="46" s="1"/>
  <c r="AH17" i="46" a="1"/>
  <c r="AH17" i="46" s="1"/>
  <c r="Z17" i="46" a="1"/>
  <c r="Z17" i="46" s="1"/>
  <c r="R17" i="46" a="1"/>
  <c r="R17" i="46" s="1"/>
  <c r="J17" i="46" a="1"/>
  <c r="J17" i="46" s="1"/>
  <c r="AK16" i="46" a="1"/>
  <c r="AK16" i="46" s="1"/>
  <c r="AC16" i="46" a="1"/>
  <c r="AC16" i="46" s="1"/>
  <c r="U16" i="46" a="1"/>
  <c r="U16" i="46" s="1"/>
  <c r="M16" i="46" a="1"/>
  <c r="M16" i="46" s="1"/>
  <c r="AP11" i="46" a="1"/>
  <c r="AP11" i="46" s="1"/>
  <c r="AF11" i="46" a="1"/>
  <c r="AF11" i="46" s="1"/>
  <c r="X11" i="46" a="1"/>
  <c r="X11" i="46" s="1"/>
  <c r="P11" i="46" a="1"/>
  <c r="P11" i="46" s="1"/>
  <c r="AS10" i="46" a="1"/>
  <c r="AS10" i="46" s="1"/>
  <c r="AI10" i="46" a="1"/>
  <c r="AI10" i="46" s="1"/>
  <c r="AA10" i="46" a="1"/>
  <c r="AA10" i="46" s="1"/>
  <c r="S10" i="46" a="1"/>
  <c r="S10" i="46" s="1"/>
  <c r="K10" i="46" a="1"/>
  <c r="K10" i="46" s="1"/>
  <c r="AL104" i="43" a="1"/>
  <c r="AL104" i="43" s="1"/>
  <c r="AD104" i="43" a="1"/>
  <c r="AD104" i="43" s="1"/>
  <c r="V104" i="43" a="1"/>
  <c r="V104" i="43" s="1"/>
  <c r="N104" i="43" a="1"/>
  <c r="N104" i="43" s="1"/>
  <c r="AQ103" i="43" a="1"/>
  <c r="AQ103" i="43" s="1"/>
  <c r="AG103" i="43" a="1"/>
  <c r="AG103" i="43" s="1"/>
  <c r="Y103" i="43" a="1"/>
  <c r="Y103" i="43" s="1"/>
  <c r="Q103" i="43" a="1"/>
  <c r="Q103" i="43" s="1"/>
  <c r="AT101" i="43" a="1"/>
  <c r="AT101" i="43" s="1"/>
  <c r="AJ101" i="43" a="1"/>
  <c r="AJ101" i="43" s="1"/>
  <c r="AB101" i="43" a="1"/>
  <c r="AB101" i="43" s="1"/>
  <c r="T101" i="43" a="1"/>
  <c r="T101" i="43" s="1"/>
  <c r="L101" i="43" a="1"/>
  <c r="L101" i="43" s="1"/>
  <c r="AM100" i="43" a="1"/>
  <c r="AM100" i="43" s="1"/>
  <c r="AE100" i="43" a="1"/>
  <c r="AE100" i="43" s="1"/>
  <c r="W100" i="43" a="1"/>
  <c r="W100" i="43" s="1"/>
  <c r="O100" i="43" a="1"/>
  <c r="O100" i="43" s="1"/>
  <c r="AR98" i="43" a="1"/>
  <c r="AR98" i="43" s="1"/>
  <c r="AH98" i="43" a="1"/>
  <c r="AH98" i="43" s="1"/>
  <c r="Z98" i="43" a="1"/>
  <c r="Z98" i="43" s="1"/>
  <c r="R98" i="43" a="1"/>
  <c r="R98" i="43" s="1"/>
  <c r="J98" i="43" a="1"/>
  <c r="J98" i="43" s="1"/>
  <c r="AK97" i="43" a="1"/>
  <c r="AK97" i="43" s="1"/>
  <c r="AC97" i="43" a="1"/>
  <c r="AC97" i="43" s="1"/>
  <c r="U97" i="43" a="1"/>
  <c r="U97" i="43" s="1"/>
  <c r="M97" i="43" a="1"/>
  <c r="M97" i="43" s="1"/>
  <c r="AP95" i="43" a="1"/>
  <c r="AP95" i="43" s="1"/>
  <c r="AF95" i="43" a="1"/>
  <c r="AF95" i="43" s="1"/>
  <c r="X95" i="43" a="1"/>
  <c r="X95" i="43" s="1"/>
  <c r="P95" i="43" a="1"/>
  <c r="P95" i="43" s="1"/>
  <c r="AS94" i="43" a="1"/>
  <c r="AS94" i="43" s="1"/>
  <c r="AI94" i="43" a="1"/>
  <c r="AI94" i="43" s="1"/>
  <c r="AA94" i="43" a="1"/>
  <c r="AA94" i="43" s="1"/>
  <c r="S94" i="43" a="1"/>
  <c r="S94" i="43" s="1"/>
  <c r="K94" i="43" a="1"/>
  <c r="K94" i="43" s="1"/>
  <c r="AL92" i="43" a="1"/>
  <c r="AL92" i="43" s="1"/>
  <c r="AD92" i="43" a="1"/>
  <c r="AD92" i="43" s="1"/>
  <c r="V92" i="43" a="1"/>
  <c r="V92" i="43" s="1"/>
  <c r="N92" i="43" a="1"/>
  <c r="N92" i="43" s="1"/>
  <c r="AQ91" i="43" a="1"/>
  <c r="AQ91" i="43" s="1"/>
  <c r="AG91" i="43" a="1"/>
  <c r="AG91" i="43" s="1"/>
  <c r="Y91" i="43" a="1"/>
  <c r="Y91" i="43" s="1"/>
  <c r="Q91" i="43" a="1"/>
  <c r="Q91" i="43" s="1"/>
  <c r="AT89" i="43" a="1"/>
  <c r="AT89" i="43" s="1"/>
  <c r="AJ89" i="43" a="1"/>
  <c r="AJ89" i="43" s="1"/>
  <c r="AB89" i="43" a="1"/>
  <c r="AB89" i="43" s="1"/>
  <c r="L53" i="46" a="1"/>
  <c r="L53" i="46" s="1"/>
  <c r="AJ52" i="46" a="1"/>
  <c r="AJ52" i="46" s="1"/>
  <c r="AB52" i="46" a="1"/>
  <c r="AB52" i="46" s="1"/>
  <c r="T52" i="46" a="1"/>
  <c r="T52" i="46" s="1"/>
  <c r="L52" i="46" a="1"/>
  <c r="L52" i="46" s="1"/>
  <c r="AM50" i="46" a="1"/>
  <c r="AM50" i="46" s="1"/>
  <c r="AE50" i="46" a="1"/>
  <c r="AE50" i="46" s="1"/>
  <c r="W50" i="46" a="1"/>
  <c r="W50" i="46" s="1"/>
  <c r="O50" i="46" a="1"/>
  <c r="O50" i="46" s="1"/>
  <c r="AR49" i="46" a="1"/>
  <c r="AR49" i="46" s="1"/>
  <c r="AH49" i="46" a="1"/>
  <c r="AH49" i="46" s="1"/>
  <c r="Z49" i="46" a="1"/>
  <c r="Z49" i="46" s="1"/>
  <c r="R49" i="46" a="1"/>
  <c r="R49" i="46" s="1"/>
  <c r="J49" i="46" a="1"/>
  <c r="J49" i="46" s="1"/>
  <c r="AK47" i="46" a="1"/>
  <c r="AK47" i="46" s="1"/>
  <c r="AC47" i="46" a="1"/>
  <c r="AC47" i="46" s="1"/>
  <c r="U47" i="46" a="1"/>
  <c r="U47" i="46" s="1"/>
  <c r="M47" i="46" a="1"/>
  <c r="M47" i="46" s="1"/>
  <c r="AP46" i="46" a="1"/>
  <c r="AP46" i="46" s="1"/>
  <c r="AF46" i="46" a="1"/>
  <c r="AF46" i="46" s="1"/>
  <c r="X46" i="46" a="1"/>
  <c r="X46" i="46" s="1"/>
  <c r="P46" i="46" a="1"/>
  <c r="P46" i="46" s="1"/>
  <c r="AS44" i="46" a="1"/>
  <c r="AS44" i="46" s="1"/>
  <c r="AI44" i="46" a="1"/>
  <c r="AI44" i="46" s="1"/>
  <c r="AA44" i="46" a="1"/>
  <c r="AA44" i="46" s="1"/>
  <c r="S44" i="46" a="1"/>
  <c r="S44" i="46" s="1"/>
  <c r="K44" i="46" a="1"/>
  <c r="K44" i="46" s="1"/>
  <c r="AL43" i="46" a="1"/>
  <c r="AL43" i="46" s="1"/>
  <c r="AD43" i="46" a="1"/>
  <c r="AD43" i="46" s="1"/>
  <c r="V43" i="46" a="1"/>
  <c r="V43" i="46" s="1"/>
  <c r="N43" i="46" a="1"/>
  <c r="N43" i="46" s="1"/>
  <c r="AQ41" i="46" a="1"/>
  <c r="AQ41" i="46" s="1"/>
  <c r="AG41" i="46" a="1"/>
  <c r="AG41" i="46" s="1"/>
  <c r="Y41" i="46" a="1"/>
  <c r="Y41" i="46" s="1"/>
  <c r="Q41" i="46" a="1"/>
  <c r="Q41" i="46" s="1"/>
  <c r="AT40" i="46" a="1"/>
  <c r="AT40" i="46" s="1"/>
  <c r="AJ40" i="46" a="1"/>
  <c r="AJ40" i="46" s="1"/>
  <c r="AB40" i="46" a="1"/>
  <c r="AB40" i="46" s="1"/>
  <c r="T40" i="46" a="1"/>
  <c r="T40" i="46" s="1"/>
  <c r="L40" i="46" a="1"/>
  <c r="L40" i="46" s="1"/>
  <c r="AM38" i="46" a="1"/>
  <c r="AM38" i="46" s="1"/>
  <c r="AE38" i="46" a="1"/>
  <c r="AE38" i="46" s="1"/>
  <c r="W38" i="46" a="1"/>
  <c r="W38" i="46" s="1"/>
  <c r="O38" i="46" a="1"/>
  <c r="O38" i="46" s="1"/>
  <c r="AR37" i="46" a="1"/>
  <c r="AR37" i="46" s="1"/>
  <c r="AH37" i="46" a="1"/>
  <c r="AH37" i="46" s="1"/>
  <c r="Z37" i="46" a="1"/>
  <c r="Z37" i="46" s="1"/>
  <c r="R37" i="46" a="1"/>
  <c r="R37" i="46" s="1"/>
  <c r="J37" i="46" a="1"/>
  <c r="J37" i="46" s="1"/>
  <c r="AK35" i="46" a="1"/>
  <c r="AK35" i="46" s="1"/>
  <c r="AC35" i="46" a="1"/>
  <c r="AC35" i="46" s="1"/>
  <c r="U35" i="46" a="1"/>
  <c r="U35" i="46" s="1"/>
  <c r="M35" i="46" a="1"/>
  <c r="M35" i="46" s="1"/>
  <c r="AP34" i="46" a="1"/>
  <c r="AP34" i="46" s="1"/>
  <c r="AF34" i="46" a="1"/>
  <c r="AF34" i="46" s="1"/>
  <c r="X34" i="46" a="1"/>
  <c r="X34" i="46" s="1"/>
  <c r="P34" i="46" a="1"/>
  <c r="P34" i="46" s="1"/>
  <c r="AS32" i="46" a="1"/>
  <c r="AS32" i="46" s="1"/>
  <c r="AI32" i="46" a="1"/>
  <c r="AI32" i="46" s="1"/>
  <c r="AA32" i="46" a="1"/>
  <c r="AA32" i="46" s="1"/>
  <c r="S32" i="46" a="1"/>
  <c r="S32" i="46" s="1"/>
  <c r="K32" i="46" a="1"/>
  <c r="K32" i="46" s="1"/>
  <c r="AL31" i="46" a="1"/>
  <c r="AL31" i="46" s="1"/>
  <c r="AD31" i="46" a="1"/>
  <c r="AD31" i="46" s="1"/>
  <c r="V31" i="46" a="1"/>
  <c r="V31" i="46" s="1"/>
  <c r="N31" i="46" a="1"/>
  <c r="N31" i="46" s="1"/>
  <c r="AQ29" i="46" a="1"/>
  <c r="AQ29" i="46" s="1"/>
  <c r="AG29" i="46" a="1"/>
  <c r="AG29" i="46" s="1"/>
  <c r="Y29" i="46" a="1"/>
  <c r="Y29" i="46" s="1"/>
  <c r="Q29" i="46" a="1"/>
  <c r="Q29" i="46" s="1"/>
  <c r="AT28" i="46" a="1"/>
  <c r="AT28" i="46" s="1"/>
  <c r="AJ28" i="46" a="1"/>
  <c r="AJ28" i="46" s="1"/>
  <c r="AB28" i="46" a="1"/>
  <c r="AB28" i="46" s="1"/>
  <c r="T28" i="46" a="1"/>
  <c r="T28" i="46" s="1"/>
  <c r="L28" i="46" a="1"/>
  <c r="L28" i="46" s="1"/>
  <c r="AM26" i="46" a="1"/>
  <c r="AM26" i="46" s="1"/>
  <c r="AE26" i="46" a="1"/>
  <c r="AE26" i="46" s="1"/>
  <c r="W26" i="46" a="1"/>
  <c r="W26" i="46" s="1"/>
  <c r="O26" i="46" a="1"/>
  <c r="O26" i="46" s="1"/>
  <c r="AR25" i="46" a="1"/>
  <c r="AR25" i="46" s="1"/>
  <c r="AH25" i="46" a="1"/>
  <c r="AH25" i="46" s="1"/>
  <c r="Z25" i="46" a="1"/>
  <c r="Z25" i="46" s="1"/>
  <c r="R25" i="46" a="1"/>
  <c r="R25" i="46" s="1"/>
  <c r="J25" i="46" a="1"/>
  <c r="J25" i="46" s="1"/>
  <c r="AK23" i="46" a="1"/>
  <c r="AK23" i="46" s="1"/>
  <c r="AC23" i="46" a="1"/>
  <c r="AC23" i="46" s="1"/>
  <c r="U23" i="46" a="1"/>
  <c r="U23" i="46" s="1"/>
  <c r="M23" i="46" a="1"/>
  <c r="M23" i="46" s="1"/>
  <c r="AP22" i="46" a="1"/>
  <c r="AP22" i="46" s="1"/>
  <c r="AF22" i="46" a="1"/>
  <c r="AF22" i="46" s="1"/>
  <c r="X22" i="46" a="1"/>
  <c r="X22" i="46" s="1"/>
  <c r="P22" i="46" a="1"/>
  <c r="P22" i="46" s="1"/>
  <c r="AS20" i="46" a="1"/>
  <c r="AS20" i="46" s="1"/>
  <c r="AI20" i="46" a="1"/>
  <c r="AI20" i="46" s="1"/>
  <c r="AA20" i="46" a="1"/>
  <c r="AA20" i="46" s="1"/>
  <c r="S20" i="46" a="1"/>
  <c r="S20" i="46" s="1"/>
  <c r="K20" i="46" a="1"/>
  <c r="K20" i="46" s="1"/>
  <c r="AL19" i="46" a="1"/>
  <c r="AL19" i="46" s="1"/>
  <c r="AD19" i="46" a="1"/>
  <c r="AD19" i="46" s="1"/>
  <c r="V19" i="46" a="1"/>
  <c r="V19" i="46" s="1"/>
  <c r="N19" i="46" a="1"/>
  <c r="N19" i="46" s="1"/>
  <c r="AQ17" i="46" a="1"/>
  <c r="AQ17" i="46" s="1"/>
  <c r="AG17" i="46" a="1"/>
  <c r="AG17" i="46" s="1"/>
  <c r="Y17" i="46" a="1"/>
  <c r="Y17" i="46" s="1"/>
  <c r="Q17" i="46" a="1"/>
  <c r="Q17" i="46" s="1"/>
  <c r="AT16" i="46" a="1"/>
  <c r="AT16" i="46" s="1"/>
  <c r="AJ16" i="46" a="1"/>
  <c r="AJ16" i="46" s="1"/>
  <c r="AB16" i="46" a="1"/>
  <c r="AB16" i="46" s="1"/>
  <c r="T16" i="46" a="1"/>
  <c r="T16" i="46" s="1"/>
  <c r="L16" i="46" a="1"/>
  <c r="L16" i="46" s="1"/>
  <c r="AM11" i="46" a="1"/>
  <c r="AM11" i="46" s="1"/>
  <c r="AE11" i="46" a="1"/>
  <c r="AE11" i="46" s="1"/>
  <c r="W11" i="46" a="1"/>
  <c r="W11" i="46" s="1"/>
  <c r="O11" i="46" a="1"/>
  <c r="O11" i="46" s="1"/>
  <c r="AR10" i="46" a="1"/>
  <c r="AR10" i="46" s="1"/>
  <c r="AH10" i="46" a="1"/>
  <c r="AH10" i="46" s="1"/>
  <c r="Z10" i="46" a="1"/>
  <c r="Z10" i="46" s="1"/>
  <c r="R10" i="46" a="1"/>
  <c r="R10" i="46" s="1"/>
  <c r="J10" i="46" a="1"/>
  <c r="J10" i="46" s="1"/>
  <c r="AK104" i="43" a="1"/>
  <c r="AK104" i="43" s="1"/>
  <c r="AC104" i="43" a="1"/>
  <c r="AC104" i="43" s="1"/>
  <c r="U104" i="43" a="1"/>
  <c r="U104" i="43" s="1"/>
  <c r="M104" i="43" a="1"/>
  <c r="M104" i="43" s="1"/>
  <c r="AP103" i="43" a="1"/>
  <c r="AP103" i="43" s="1"/>
  <c r="AF103" i="43" a="1"/>
  <c r="AF103" i="43" s="1"/>
  <c r="X103" i="43" a="1"/>
  <c r="X103" i="43" s="1"/>
  <c r="P103" i="43" a="1"/>
  <c r="P103" i="43" s="1"/>
  <c r="AS101" i="43" a="1"/>
  <c r="AS101" i="43" s="1"/>
  <c r="AI101" i="43" a="1"/>
  <c r="AI101" i="43" s="1"/>
  <c r="AA101" i="43" a="1"/>
  <c r="AA101" i="43" s="1"/>
  <c r="S101" i="43" a="1"/>
  <c r="S101" i="43" s="1"/>
  <c r="K101" i="43" a="1"/>
  <c r="K101" i="43" s="1"/>
  <c r="AL100" i="43" a="1"/>
  <c r="AL100" i="43" s="1"/>
  <c r="AD100" i="43" a="1"/>
  <c r="AD100" i="43" s="1"/>
  <c r="V100" i="43" a="1"/>
  <c r="V100" i="43" s="1"/>
  <c r="N100" i="43" a="1"/>
  <c r="N100" i="43" s="1"/>
  <c r="AQ98" i="43" a="1"/>
  <c r="AQ98" i="43" s="1"/>
  <c r="AG98" i="43" a="1"/>
  <c r="AG98" i="43" s="1"/>
  <c r="Y98" i="43" a="1"/>
  <c r="Y98" i="43" s="1"/>
  <c r="Q98" i="43" a="1"/>
  <c r="Q98" i="43" s="1"/>
  <c r="AT97" i="43" a="1"/>
  <c r="AT97" i="43" s="1"/>
  <c r="AJ97" i="43" a="1"/>
  <c r="AJ97" i="43" s="1"/>
  <c r="AB97" i="43" a="1"/>
  <c r="AB97" i="43" s="1"/>
  <c r="T97" i="43" a="1"/>
  <c r="T97" i="43" s="1"/>
  <c r="L97" i="43" a="1"/>
  <c r="L97" i="43" s="1"/>
  <c r="AM95" i="43" a="1"/>
  <c r="AM95" i="43" s="1"/>
  <c r="AE95" i="43" a="1"/>
  <c r="AE95" i="43" s="1"/>
  <c r="W95" i="43" a="1"/>
  <c r="W95" i="43" s="1"/>
  <c r="O95" i="43" a="1"/>
  <c r="O95" i="43" s="1"/>
  <c r="AR94" i="43" a="1"/>
  <c r="AR94" i="43" s="1"/>
  <c r="AH94" i="43" a="1"/>
  <c r="AH94" i="43" s="1"/>
  <c r="Z94" i="43" a="1"/>
  <c r="Z94" i="43" s="1"/>
  <c r="R94" i="43" a="1"/>
  <c r="R94" i="43" s="1"/>
  <c r="J94" i="43" a="1"/>
  <c r="J94" i="43" s="1"/>
  <c r="AK92" i="43" a="1"/>
  <c r="AK92" i="43" s="1"/>
  <c r="AC92" i="43" a="1"/>
  <c r="AC92" i="43" s="1"/>
  <c r="U92" i="43" a="1"/>
  <c r="U92" i="43" s="1"/>
  <c r="M92" i="43" a="1"/>
  <c r="M92" i="43" s="1"/>
  <c r="AP91" i="43" a="1"/>
  <c r="AP91" i="43" s="1"/>
  <c r="AF91" i="43" a="1"/>
  <c r="AF91" i="43" s="1"/>
  <c r="X91" i="43" a="1"/>
  <c r="X91" i="43" s="1"/>
  <c r="P91" i="43" a="1"/>
  <c r="P91" i="43" s="1"/>
  <c r="AS89" i="43" a="1"/>
  <c r="AS89" i="43" s="1"/>
  <c r="AI89" i="43" a="1"/>
  <c r="AI89" i="43" s="1"/>
  <c r="AA89" i="43" a="1"/>
  <c r="AA89" i="43" s="1"/>
  <c r="S89" i="43" a="1"/>
  <c r="S89" i="43" s="1"/>
  <c r="K89" i="43" a="1"/>
  <c r="K89" i="43" s="1"/>
  <c r="AL88" i="43" a="1"/>
  <c r="AL88" i="43" s="1"/>
  <c r="AD88" i="43" a="1"/>
  <c r="AD88" i="43" s="1"/>
  <c r="V88" i="43" a="1"/>
  <c r="V88" i="43" s="1"/>
  <c r="J53" i="46" a="1"/>
  <c r="J53" i="46" s="1"/>
  <c r="AI52" i="46" a="1"/>
  <c r="AI52" i="46" s="1"/>
  <c r="AA52" i="46" a="1"/>
  <c r="AA52" i="46" s="1"/>
  <c r="S52" i="46" a="1"/>
  <c r="S52" i="46" s="1"/>
  <c r="K52" i="46" a="1"/>
  <c r="K52" i="46" s="1"/>
  <c r="AL50" i="46" a="1"/>
  <c r="AL50" i="46" s="1"/>
  <c r="AD50" i="46" a="1"/>
  <c r="AD50" i="46" s="1"/>
  <c r="V50" i="46" a="1"/>
  <c r="V50" i="46" s="1"/>
  <c r="N50" i="46" a="1"/>
  <c r="N50" i="46" s="1"/>
  <c r="AQ49" i="46" a="1"/>
  <c r="AQ49" i="46" s="1"/>
  <c r="AG49" i="46" a="1"/>
  <c r="AG49" i="46" s="1"/>
  <c r="Y49" i="46" a="1"/>
  <c r="Y49" i="46" s="1"/>
  <c r="Q49" i="46" a="1"/>
  <c r="Q49" i="46" s="1"/>
  <c r="AT47" i="46" a="1"/>
  <c r="AT47" i="46" s="1"/>
  <c r="AJ47" i="46" a="1"/>
  <c r="AJ47" i="46" s="1"/>
  <c r="AB47" i="46" a="1"/>
  <c r="AB47" i="46" s="1"/>
  <c r="T47" i="46" a="1"/>
  <c r="T47" i="46" s="1"/>
  <c r="L47" i="46" a="1"/>
  <c r="L47" i="46" s="1"/>
  <c r="AM46" i="46" a="1"/>
  <c r="AM46" i="46" s="1"/>
  <c r="AE46" i="46" a="1"/>
  <c r="AE46" i="46" s="1"/>
  <c r="W46" i="46" a="1"/>
  <c r="W46" i="46" s="1"/>
  <c r="O46" i="46" a="1"/>
  <c r="O46" i="46" s="1"/>
  <c r="AR44" i="46" a="1"/>
  <c r="AR44" i="46" s="1"/>
  <c r="AH44" i="46" a="1"/>
  <c r="AH44" i="46" s="1"/>
  <c r="Z44" i="46" a="1"/>
  <c r="Z44" i="46" s="1"/>
  <c r="R44" i="46" a="1"/>
  <c r="R44" i="46" s="1"/>
  <c r="J44" i="46" a="1"/>
  <c r="J44" i="46" s="1"/>
  <c r="AK43" i="46" a="1"/>
  <c r="AK43" i="46" s="1"/>
  <c r="AC43" i="46" a="1"/>
  <c r="AC43" i="46" s="1"/>
  <c r="U43" i="46" a="1"/>
  <c r="U43" i="46" s="1"/>
  <c r="M43" i="46" a="1"/>
  <c r="M43" i="46" s="1"/>
  <c r="AP41" i="46" a="1"/>
  <c r="AP41" i="46" s="1"/>
  <c r="AF41" i="46" a="1"/>
  <c r="AF41" i="46" s="1"/>
  <c r="X41" i="46" a="1"/>
  <c r="X41" i="46" s="1"/>
  <c r="P41" i="46" a="1"/>
  <c r="P41" i="46" s="1"/>
  <c r="AS40" i="46" a="1"/>
  <c r="AS40" i="46" s="1"/>
  <c r="AI40" i="46" a="1"/>
  <c r="AI40" i="46" s="1"/>
  <c r="AA40" i="46" a="1"/>
  <c r="AA40" i="46" s="1"/>
  <c r="S40" i="46" a="1"/>
  <c r="S40" i="46" s="1"/>
  <c r="K40" i="46" a="1"/>
  <c r="K40" i="46" s="1"/>
  <c r="AL38" i="46" a="1"/>
  <c r="AL38" i="46" s="1"/>
  <c r="AD38" i="46" a="1"/>
  <c r="AD38" i="46" s="1"/>
  <c r="V38" i="46" a="1"/>
  <c r="V38" i="46" s="1"/>
  <c r="N38" i="46" a="1"/>
  <c r="N38" i="46" s="1"/>
  <c r="AQ37" i="46" a="1"/>
  <c r="AQ37" i="46" s="1"/>
  <c r="AG37" i="46" a="1"/>
  <c r="AG37" i="46" s="1"/>
  <c r="Y37" i="46" a="1"/>
  <c r="Y37" i="46" s="1"/>
  <c r="Q37" i="46" a="1"/>
  <c r="Q37" i="46" s="1"/>
  <c r="AT35" i="46" a="1"/>
  <c r="AT35" i="46" s="1"/>
  <c r="AJ35" i="46" a="1"/>
  <c r="AJ35" i="46" s="1"/>
  <c r="AB35" i="46" a="1"/>
  <c r="AB35" i="46" s="1"/>
  <c r="T35" i="46" a="1"/>
  <c r="T35" i="46" s="1"/>
  <c r="L35" i="46" a="1"/>
  <c r="L35" i="46" s="1"/>
  <c r="AM34" i="46" a="1"/>
  <c r="AM34" i="46" s="1"/>
  <c r="AE34" i="46" a="1"/>
  <c r="AE34" i="46" s="1"/>
  <c r="W34" i="46" a="1"/>
  <c r="W34" i="46" s="1"/>
  <c r="O34" i="46" a="1"/>
  <c r="O34" i="46" s="1"/>
  <c r="AR32" i="46" a="1"/>
  <c r="AR32" i="46" s="1"/>
  <c r="AH32" i="46" a="1"/>
  <c r="AH32" i="46" s="1"/>
  <c r="Z32" i="46" a="1"/>
  <c r="Z32" i="46" s="1"/>
  <c r="R32" i="46" a="1"/>
  <c r="R32" i="46" s="1"/>
  <c r="J32" i="46" a="1"/>
  <c r="J32" i="46" s="1"/>
  <c r="AK31" i="46" a="1"/>
  <c r="AK31" i="46" s="1"/>
  <c r="AC31" i="46" a="1"/>
  <c r="AC31" i="46" s="1"/>
  <c r="U31" i="46" a="1"/>
  <c r="U31" i="46" s="1"/>
  <c r="M31" i="46" a="1"/>
  <c r="M31" i="46" s="1"/>
  <c r="AP29" i="46" a="1"/>
  <c r="AP29" i="46" s="1"/>
  <c r="AF29" i="46" a="1"/>
  <c r="AF29" i="46" s="1"/>
  <c r="X29" i="46" a="1"/>
  <c r="X29" i="46" s="1"/>
  <c r="P29" i="46" a="1"/>
  <c r="P29" i="46" s="1"/>
  <c r="AS28" i="46" a="1"/>
  <c r="AS28" i="46" s="1"/>
  <c r="AI28" i="46" a="1"/>
  <c r="AI28" i="46" s="1"/>
  <c r="AA28" i="46" a="1"/>
  <c r="AA28" i="46" s="1"/>
  <c r="S28" i="46" a="1"/>
  <c r="S28" i="46" s="1"/>
  <c r="K28" i="46" a="1"/>
  <c r="K28" i="46" s="1"/>
  <c r="AL26" i="46" a="1"/>
  <c r="AL26" i="46" s="1"/>
  <c r="AD26" i="46" a="1"/>
  <c r="AD26" i="46" s="1"/>
  <c r="V26" i="46" a="1"/>
  <c r="V26" i="46" s="1"/>
  <c r="N26" i="46" a="1"/>
  <c r="N26" i="46" s="1"/>
  <c r="AQ25" i="46" a="1"/>
  <c r="AQ25" i="46" s="1"/>
  <c r="AG25" i="46" a="1"/>
  <c r="AG25" i="46" s="1"/>
  <c r="Y25" i="46" a="1"/>
  <c r="Y25" i="46" s="1"/>
  <c r="Q25" i="46" a="1"/>
  <c r="Q25" i="46" s="1"/>
  <c r="AT23" i="46" a="1"/>
  <c r="AT23" i="46" s="1"/>
  <c r="AJ23" i="46" a="1"/>
  <c r="AJ23" i="46" s="1"/>
  <c r="AB23" i="46" a="1"/>
  <c r="AB23" i="46" s="1"/>
  <c r="T23" i="46" a="1"/>
  <c r="T23" i="46" s="1"/>
  <c r="L23" i="46" a="1"/>
  <c r="L23" i="46" s="1"/>
  <c r="AM22" i="46" a="1"/>
  <c r="AM22" i="46" s="1"/>
  <c r="AE22" i="46" a="1"/>
  <c r="AE22" i="46" s="1"/>
  <c r="W22" i="46" a="1"/>
  <c r="W22" i="46" s="1"/>
  <c r="O22" i="46" a="1"/>
  <c r="O22" i="46" s="1"/>
  <c r="AR20" i="46" a="1"/>
  <c r="AR20" i="46" s="1"/>
  <c r="AH20" i="46" a="1"/>
  <c r="AH20" i="46" s="1"/>
  <c r="Z20" i="46" a="1"/>
  <c r="Z20" i="46" s="1"/>
  <c r="R20" i="46" a="1"/>
  <c r="R20" i="46" s="1"/>
  <c r="J20" i="46" a="1"/>
  <c r="J20" i="46" s="1"/>
  <c r="AK19" i="46" a="1"/>
  <c r="AK19" i="46" s="1"/>
  <c r="AC19" i="46" a="1"/>
  <c r="AC19" i="46" s="1"/>
  <c r="U19" i="46" a="1"/>
  <c r="U19" i="46" s="1"/>
  <c r="M19" i="46" a="1"/>
  <c r="M19" i="46" s="1"/>
  <c r="AP17" i="46" a="1"/>
  <c r="AP17" i="46" s="1"/>
  <c r="AF17" i="46" a="1"/>
  <c r="AF17" i="46" s="1"/>
  <c r="X17" i="46" a="1"/>
  <c r="X17" i="46" s="1"/>
  <c r="P17" i="46" a="1"/>
  <c r="P17" i="46" s="1"/>
  <c r="AS16" i="46" a="1"/>
  <c r="AS16" i="46" s="1"/>
  <c r="AI16" i="46" a="1"/>
  <c r="AI16" i="46" s="1"/>
  <c r="AA16" i="46" a="1"/>
  <c r="AA16" i="46" s="1"/>
  <c r="S16" i="46" a="1"/>
  <c r="S16" i="46" s="1"/>
  <c r="K16" i="46" a="1"/>
  <c r="K16" i="46" s="1"/>
  <c r="AL11" i="46" a="1"/>
  <c r="AL11" i="46" s="1"/>
  <c r="AD11" i="46" a="1"/>
  <c r="AD11" i="46" s="1"/>
  <c r="V11" i="46" a="1"/>
  <c r="V11" i="46" s="1"/>
  <c r="N11" i="46" a="1"/>
  <c r="N11" i="46" s="1"/>
  <c r="AQ10" i="46" a="1"/>
  <c r="AQ10" i="46" s="1"/>
  <c r="AG10" i="46" a="1"/>
  <c r="AG10" i="46" s="1"/>
  <c r="Y10" i="46" a="1"/>
  <c r="Y10" i="46" s="1"/>
  <c r="Q10" i="46" a="1"/>
  <c r="Q10" i="46" s="1"/>
  <c r="AT104" i="43" a="1"/>
  <c r="AT104" i="43" s="1"/>
  <c r="AJ104" i="43" a="1"/>
  <c r="AJ104" i="43" s="1"/>
  <c r="AB104" i="43" a="1"/>
  <c r="AB104" i="43" s="1"/>
  <c r="T104" i="43" a="1"/>
  <c r="T104" i="43" s="1"/>
  <c r="L104" i="43" a="1"/>
  <c r="L104" i="43" s="1"/>
  <c r="AM103" i="43" a="1"/>
  <c r="AM103" i="43" s="1"/>
  <c r="AE103" i="43" a="1"/>
  <c r="AE103" i="43" s="1"/>
  <c r="W103" i="43" a="1"/>
  <c r="W103" i="43" s="1"/>
  <c r="O103" i="43" a="1"/>
  <c r="O103" i="43" s="1"/>
  <c r="AR101" i="43" a="1"/>
  <c r="AR101" i="43" s="1"/>
  <c r="AH101" i="43" a="1"/>
  <c r="AH101" i="43" s="1"/>
  <c r="Z101" i="43" a="1"/>
  <c r="Z101" i="43" s="1"/>
  <c r="R101" i="43" a="1"/>
  <c r="R101" i="43" s="1"/>
  <c r="J101" i="43" a="1"/>
  <c r="J101" i="43" s="1"/>
  <c r="AK100" i="43" a="1"/>
  <c r="AK100" i="43" s="1"/>
  <c r="AC100" i="43" a="1"/>
  <c r="AC100" i="43" s="1"/>
  <c r="U100" i="43" a="1"/>
  <c r="U100" i="43" s="1"/>
  <c r="M100" i="43" a="1"/>
  <c r="M100" i="43" s="1"/>
  <c r="AP98" i="43" a="1"/>
  <c r="AP98" i="43" s="1"/>
  <c r="AF98" i="43" a="1"/>
  <c r="AF98" i="43" s="1"/>
  <c r="X98" i="43" a="1"/>
  <c r="X98" i="43" s="1"/>
  <c r="P98" i="43" a="1"/>
  <c r="P98" i="43" s="1"/>
  <c r="AS97" i="43" a="1"/>
  <c r="AS97" i="43" s="1"/>
  <c r="AI97" i="43" a="1"/>
  <c r="AI97" i="43" s="1"/>
  <c r="AA97" i="43" a="1"/>
  <c r="AA97" i="43" s="1"/>
  <c r="S97" i="43" a="1"/>
  <c r="S97" i="43" s="1"/>
  <c r="K97" i="43" a="1"/>
  <c r="K97" i="43" s="1"/>
  <c r="AL95" i="43" a="1"/>
  <c r="AL95" i="43" s="1"/>
  <c r="AD95" i="43" a="1"/>
  <c r="AD95" i="43" s="1"/>
  <c r="V95" i="43" a="1"/>
  <c r="V95" i="43" s="1"/>
  <c r="N95" i="43" a="1"/>
  <c r="N95" i="43" s="1"/>
  <c r="AQ94" i="43" a="1"/>
  <c r="AQ94" i="43" s="1"/>
  <c r="AG94" i="43" a="1"/>
  <c r="AG94" i="43" s="1"/>
  <c r="Y94" i="43" a="1"/>
  <c r="Y94" i="43" s="1"/>
  <c r="Q94" i="43" a="1"/>
  <c r="Q94" i="43" s="1"/>
  <c r="AT92" i="43" a="1"/>
  <c r="AT92" i="43" s="1"/>
  <c r="AT52" i="46" a="1"/>
  <c r="AT52" i="46" s="1"/>
  <c r="AH52" i="46" a="1"/>
  <c r="AH52" i="46" s="1"/>
  <c r="Z52" i="46" a="1"/>
  <c r="Z52" i="46" s="1"/>
  <c r="R52" i="46" a="1"/>
  <c r="R52" i="46" s="1"/>
  <c r="J52" i="46" a="1"/>
  <c r="J52" i="46" s="1"/>
  <c r="AK50" i="46" a="1"/>
  <c r="AK50" i="46" s="1"/>
  <c r="AC50" i="46" a="1"/>
  <c r="AC50" i="46" s="1"/>
  <c r="U50" i="46" a="1"/>
  <c r="U50" i="46" s="1"/>
  <c r="M50" i="46" a="1"/>
  <c r="M50" i="46" s="1"/>
  <c r="AP49" i="46" a="1"/>
  <c r="AP49" i="46" s="1"/>
  <c r="AF49" i="46" a="1"/>
  <c r="AF49" i="46" s="1"/>
  <c r="X49" i="46" a="1"/>
  <c r="X49" i="46" s="1"/>
  <c r="P49" i="46" a="1"/>
  <c r="P49" i="46" s="1"/>
  <c r="AS47" i="46" a="1"/>
  <c r="AS47" i="46" s="1"/>
  <c r="AI47" i="46" a="1"/>
  <c r="AI47" i="46" s="1"/>
  <c r="AA47" i="46" a="1"/>
  <c r="AA47" i="46" s="1"/>
  <c r="S47" i="46" a="1"/>
  <c r="S47" i="46" s="1"/>
  <c r="K47" i="46" a="1"/>
  <c r="K47" i="46" s="1"/>
  <c r="AL46" i="46" a="1"/>
  <c r="AL46" i="46" s="1"/>
  <c r="AD46" i="46" a="1"/>
  <c r="AD46" i="46" s="1"/>
  <c r="V46" i="46" a="1"/>
  <c r="V46" i="46" s="1"/>
  <c r="N46" i="46" a="1"/>
  <c r="N46" i="46" s="1"/>
  <c r="AQ44" i="46" a="1"/>
  <c r="AQ44" i="46" s="1"/>
  <c r="AG44" i="46" a="1"/>
  <c r="AG44" i="46" s="1"/>
  <c r="Y44" i="46" a="1"/>
  <c r="Y44" i="46" s="1"/>
  <c r="Q44" i="46" a="1"/>
  <c r="Q44" i="46" s="1"/>
  <c r="AT43" i="46" a="1"/>
  <c r="AT43" i="46" s="1"/>
  <c r="AJ43" i="46" a="1"/>
  <c r="AJ43" i="46" s="1"/>
  <c r="AB43" i="46" a="1"/>
  <c r="AB43" i="46" s="1"/>
  <c r="T43" i="46" a="1"/>
  <c r="T43" i="46" s="1"/>
  <c r="L43" i="46" a="1"/>
  <c r="L43" i="46" s="1"/>
  <c r="AM41" i="46" a="1"/>
  <c r="AM41" i="46" s="1"/>
  <c r="AE41" i="46" a="1"/>
  <c r="AE41" i="46" s="1"/>
  <c r="W41" i="46" a="1"/>
  <c r="W41" i="46" s="1"/>
  <c r="O41" i="46" a="1"/>
  <c r="O41" i="46" s="1"/>
  <c r="AR40" i="46" a="1"/>
  <c r="AR40" i="46" s="1"/>
  <c r="AH40" i="46" a="1"/>
  <c r="AH40" i="46" s="1"/>
  <c r="Z40" i="46" a="1"/>
  <c r="Z40" i="46" s="1"/>
  <c r="R40" i="46" a="1"/>
  <c r="R40" i="46" s="1"/>
  <c r="J40" i="46" a="1"/>
  <c r="J40" i="46" s="1"/>
  <c r="AK38" i="46" a="1"/>
  <c r="AK38" i="46" s="1"/>
  <c r="AC38" i="46" a="1"/>
  <c r="AC38" i="46" s="1"/>
  <c r="U38" i="46" a="1"/>
  <c r="U38" i="46" s="1"/>
  <c r="M38" i="46" a="1"/>
  <c r="M38" i="46" s="1"/>
  <c r="AP37" i="46" a="1"/>
  <c r="AP37" i="46" s="1"/>
  <c r="AF37" i="46" a="1"/>
  <c r="AF37" i="46" s="1"/>
  <c r="X37" i="46" a="1"/>
  <c r="X37" i="46" s="1"/>
  <c r="P37" i="46" a="1"/>
  <c r="P37" i="46" s="1"/>
  <c r="AS35" i="46" a="1"/>
  <c r="AS35" i="46" s="1"/>
  <c r="AI35" i="46" a="1"/>
  <c r="AI35" i="46" s="1"/>
  <c r="AA35" i="46" a="1"/>
  <c r="AA35" i="46" s="1"/>
  <c r="S35" i="46" a="1"/>
  <c r="S35" i="46" s="1"/>
  <c r="K35" i="46" a="1"/>
  <c r="K35" i="46" s="1"/>
  <c r="AL34" i="46" a="1"/>
  <c r="AL34" i="46" s="1"/>
  <c r="AD34" i="46" a="1"/>
  <c r="AD34" i="46" s="1"/>
  <c r="V34" i="46" a="1"/>
  <c r="V34" i="46" s="1"/>
  <c r="N34" i="46" a="1"/>
  <c r="N34" i="46" s="1"/>
  <c r="AQ32" i="46" a="1"/>
  <c r="AQ32" i="46" s="1"/>
  <c r="AG32" i="46" a="1"/>
  <c r="AG32" i="46" s="1"/>
  <c r="Y32" i="46" a="1"/>
  <c r="Y32" i="46" s="1"/>
  <c r="Q32" i="46" a="1"/>
  <c r="Q32" i="46" s="1"/>
  <c r="AT31" i="46" a="1"/>
  <c r="AT31" i="46" s="1"/>
  <c r="AJ31" i="46" a="1"/>
  <c r="AJ31" i="46" s="1"/>
  <c r="AB31" i="46" a="1"/>
  <c r="AB31" i="46" s="1"/>
  <c r="T31" i="46" a="1"/>
  <c r="T31" i="46" s="1"/>
  <c r="L31" i="46" a="1"/>
  <c r="L31" i="46" s="1"/>
  <c r="AM29" i="46" a="1"/>
  <c r="AM29" i="46" s="1"/>
  <c r="AE29" i="46" a="1"/>
  <c r="AE29" i="46" s="1"/>
  <c r="W29" i="46" a="1"/>
  <c r="W29" i="46" s="1"/>
  <c r="O29" i="46" a="1"/>
  <c r="O29" i="46" s="1"/>
  <c r="AR28" i="46" a="1"/>
  <c r="AR28" i="46" s="1"/>
  <c r="AH28" i="46" a="1"/>
  <c r="AH28" i="46" s="1"/>
  <c r="Z28" i="46" a="1"/>
  <c r="Z28" i="46" s="1"/>
  <c r="R28" i="46" a="1"/>
  <c r="R28" i="46" s="1"/>
  <c r="J28" i="46" a="1"/>
  <c r="J28" i="46" s="1"/>
  <c r="AK26" i="46" a="1"/>
  <c r="AK26" i="46" s="1"/>
  <c r="AC26" i="46" a="1"/>
  <c r="AC26" i="46" s="1"/>
  <c r="U26" i="46" a="1"/>
  <c r="U26" i="46" s="1"/>
  <c r="M26" i="46" a="1"/>
  <c r="M26" i="46" s="1"/>
  <c r="AP25" i="46" a="1"/>
  <c r="AP25" i="46" s="1"/>
  <c r="AF25" i="46" a="1"/>
  <c r="AF25" i="46" s="1"/>
  <c r="X25" i="46" a="1"/>
  <c r="X25" i="46" s="1"/>
  <c r="P25" i="46" a="1"/>
  <c r="P25" i="46" s="1"/>
  <c r="AS23" i="46" a="1"/>
  <c r="AS23" i="46" s="1"/>
  <c r="AI23" i="46" a="1"/>
  <c r="AI23" i="46" s="1"/>
  <c r="AA23" i="46" a="1"/>
  <c r="AA23" i="46" s="1"/>
  <c r="S23" i="46" a="1"/>
  <c r="S23" i="46" s="1"/>
  <c r="K23" i="46" a="1"/>
  <c r="K23" i="46" s="1"/>
  <c r="AL22" i="46" a="1"/>
  <c r="AL22" i="46" s="1"/>
  <c r="AD22" i="46" a="1"/>
  <c r="AD22" i="46" s="1"/>
  <c r="V22" i="46" a="1"/>
  <c r="V22" i="46" s="1"/>
  <c r="N22" i="46" a="1"/>
  <c r="N22" i="46" s="1"/>
  <c r="AQ20" i="46" a="1"/>
  <c r="AQ20" i="46" s="1"/>
  <c r="AG20" i="46" a="1"/>
  <c r="AG20" i="46" s="1"/>
  <c r="Y20" i="46" a="1"/>
  <c r="Y20" i="46" s="1"/>
  <c r="Q20" i="46" a="1"/>
  <c r="Q20" i="46" s="1"/>
  <c r="AT19" i="46" a="1"/>
  <c r="AT19" i="46" s="1"/>
  <c r="AJ19" i="46" a="1"/>
  <c r="AJ19" i="46" s="1"/>
  <c r="AB19" i="46" a="1"/>
  <c r="AB19" i="46" s="1"/>
  <c r="T19" i="46" a="1"/>
  <c r="T19" i="46" s="1"/>
  <c r="L19" i="46" a="1"/>
  <c r="L19" i="46" s="1"/>
  <c r="AM17" i="46" a="1"/>
  <c r="AM17" i="46" s="1"/>
  <c r="AE17" i="46" a="1"/>
  <c r="AE17" i="46" s="1"/>
  <c r="W17" i="46" a="1"/>
  <c r="W17" i="46" s="1"/>
  <c r="O17" i="46" a="1"/>
  <c r="O17" i="46" s="1"/>
  <c r="AR16" i="46" a="1"/>
  <c r="AR16" i="46" s="1"/>
  <c r="AH16" i="46" a="1"/>
  <c r="AH16" i="46" s="1"/>
  <c r="Z16" i="46" a="1"/>
  <c r="Z16" i="46" s="1"/>
  <c r="R16" i="46" a="1"/>
  <c r="R16" i="46" s="1"/>
  <c r="J16" i="46" a="1"/>
  <c r="J16" i="46" s="1"/>
  <c r="AK11" i="46" a="1"/>
  <c r="AK11" i="46" s="1"/>
  <c r="AC11" i="46" a="1"/>
  <c r="AC11" i="46" s="1"/>
  <c r="U11" i="46" a="1"/>
  <c r="U11" i="46" s="1"/>
  <c r="M11" i="46" a="1"/>
  <c r="M11" i="46" s="1"/>
  <c r="AP10" i="46" a="1"/>
  <c r="AP10" i="46" s="1"/>
  <c r="AF10" i="46" a="1"/>
  <c r="AF10" i="46" s="1"/>
  <c r="X10" i="46" a="1"/>
  <c r="X10" i="46" s="1"/>
  <c r="P10" i="46" a="1"/>
  <c r="P10" i="46" s="1"/>
  <c r="AS104" i="43" a="1"/>
  <c r="AS104" i="43" s="1"/>
  <c r="AI104" i="43" a="1"/>
  <c r="AI104" i="43" s="1"/>
  <c r="AA104" i="43" a="1"/>
  <c r="AA104" i="43" s="1"/>
  <c r="S104" i="43" a="1"/>
  <c r="S104" i="43" s="1"/>
  <c r="K104" i="43" a="1"/>
  <c r="K104" i="43" s="1"/>
  <c r="AL103" i="43" a="1"/>
  <c r="AL103" i="43" s="1"/>
  <c r="AD103" i="43" a="1"/>
  <c r="AD103" i="43" s="1"/>
  <c r="V103" i="43" a="1"/>
  <c r="V103" i="43" s="1"/>
  <c r="N103" i="43" a="1"/>
  <c r="N103" i="43" s="1"/>
  <c r="AQ101" i="43" a="1"/>
  <c r="AQ101" i="43" s="1"/>
  <c r="AG101" i="43" a="1"/>
  <c r="AG101" i="43" s="1"/>
  <c r="Y101" i="43" a="1"/>
  <c r="Y101" i="43" s="1"/>
  <c r="Q101" i="43" a="1"/>
  <c r="Q101" i="43" s="1"/>
  <c r="AT100" i="43" a="1"/>
  <c r="AT100" i="43" s="1"/>
  <c r="AJ100" i="43" a="1"/>
  <c r="AJ100" i="43" s="1"/>
  <c r="AB100" i="43" a="1"/>
  <c r="AB100" i="43" s="1"/>
  <c r="T100" i="43" a="1"/>
  <c r="T100" i="43" s="1"/>
  <c r="L100" i="43" a="1"/>
  <c r="L100" i="43" s="1"/>
  <c r="AM98" i="43" a="1"/>
  <c r="AM98" i="43" s="1"/>
  <c r="AE98" i="43" a="1"/>
  <c r="AE98" i="43" s="1"/>
  <c r="W98" i="43" a="1"/>
  <c r="W98" i="43" s="1"/>
  <c r="O98" i="43" a="1"/>
  <c r="O98" i="43" s="1"/>
  <c r="AR97" i="43" a="1"/>
  <c r="AR97" i="43" s="1"/>
  <c r="AH97" i="43" a="1"/>
  <c r="AH97" i="43" s="1"/>
  <c r="Z97" i="43" a="1"/>
  <c r="Z97" i="43" s="1"/>
  <c r="R97" i="43" a="1"/>
  <c r="R97" i="43" s="1"/>
  <c r="J97" i="43" a="1"/>
  <c r="J97" i="43" s="1"/>
  <c r="AK95" i="43" a="1"/>
  <c r="AK95" i="43" s="1"/>
  <c r="AC95" i="43" a="1"/>
  <c r="AC95" i="43" s="1"/>
  <c r="U95" i="43" a="1"/>
  <c r="U95" i="43" s="1"/>
  <c r="M95" i="43" a="1"/>
  <c r="M95" i="43" s="1"/>
  <c r="AP94" i="43" a="1"/>
  <c r="AP94" i="43" s="1"/>
  <c r="AF94" i="43" a="1"/>
  <c r="AF94" i="43" s="1"/>
  <c r="X94" i="43" a="1"/>
  <c r="X94" i="43" s="1"/>
  <c r="P94" i="43" a="1"/>
  <c r="P94" i="43" s="1"/>
  <c r="AS92" i="43" a="1"/>
  <c r="AS92" i="43" s="1"/>
  <c r="AI92" i="43" a="1"/>
  <c r="AI92" i="43" s="1"/>
  <c r="AA92" i="43" a="1"/>
  <c r="AA92" i="43" s="1"/>
  <c r="S92" i="43" a="1"/>
  <c r="S92" i="43" s="1"/>
  <c r="K92" i="43" a="1"/>
  <c r="K92" i="43" s="1"/>
  <c r="AL91" i="43" a="1"/>
  <c r="AL91" i="43" s="1"/>
  <c r="AD91" i="43" a="1"/>
  <c r="AD91" i="43" s="1"/>
  <c r="V91" i="43" a="1"/>
  <c r="V91" i="43" s="1"/>
  <c r="N91" i="43" a="1"/>
  <c r="N91" i="43" s="1"/>
  <c r="AQ89" i="43" a="1"/>
  <c r="AQ89" i="43" s="1"/>
  <c r="AG89" i="43" a="1"/>
  <c r="AG89" i="43" s="1"/>
  <c r="Y89" i="43" a="1"/>
  <c r="Y89" i="43" s="1"/>
  <c r="Q89" i="43" a="1"/>
  <c r="Q89" i="43" s="1"/>
  <c r="AT88" i="43" a="1"/>
  <c r="AT88" i="43" s="1"/>
  <c r="AJ92" i="43" a="1"/>
  <c r="AJ92" i="43" s="1"/>
  <c r="AR89" i="43" a="1"/>
  <c r="AR89" i="43" s="1"/>
  <c r="AK88" i="43" a="1"/>
  <c r="AK88" i="43" s="1"/>
  <c r="W88" i="43" a="1"/>
  <c r="W88" i="43" s="1"/>
  <c r="N88" i="43" a="1"/>
  <c r="N88" i="43" s="1"/>
  <c r="AQ86" i="43" a="1"/>
  <c r="AQ86" i="43" s="1"/>
  <c r="AG86" i="43" a="1"/>
  <c r="AG86" i="43" s="1"/>
  <c r="Y86" i="43" a="1"/>
  <c r="Y86" i="43" s="1"/>
  <c r="Q86" i="43" a="1"/>
  <c r="Q86" i="43" s="1"/>
  <c r="AT85" i="43" a="1"/>
  <c r="AT85" i="43" s="1"/>
  <c r="AJ85" i="43" a="1"/>
  <c r="AJ85" i="43" s="1"/>
  <c r="AB85" i="43" a="1"/>
  <c r="AB85" i="43" s="1"/>
  <c r="T85" i="43" a="1"/>
  <c r="T85" i="43" s="1"/>
  <c r="L85" i="43" a="1"/>
  <c r="L85" i="43" s="1"/>
  <c r="AM83" i="43" a="1"/>
  <c r="AM83" i="43" s="1"/>
  <c r="AE83" i="43" a="1"/>
  <c r="AE83" i="43" s="1"/>
  <c r="W83" i="43" a="1"/>
  <c r="W83" i="43" s="1"/>
  <c r="O83" i="43" a="1"/>
  <c r="O83" i="43" s="1"/>
  <c r="AR82" i="43" a="1"/>
  <c r="AR82" i="43" s="1"/>
  <c r="AH82" i="43" a="1"/>
  <c r="AH82" i="43" s="1"/>
  <c r="Z82" i="43" a="1"/>
  <c r="Z82" i="43" s="1"/>
  <c r="R82" i="43" a="1"/>
  <c r="R82" i="43" s="1"/>
  <c r="J82" i="43" a="1"/>
  <c r="J82" i="43" s="1"/>
  <c r="AK80" i="43" a="1"/>
  <c r="AK80" i="43" s="1"/>
  <c r="AC80" i="43" a="1"/>
  <c r="AC80" i="43" s="1"/>
  <c r="U80" i="43" a="1"/>
  <c r="U80" i="43" s="1"/>
  <c r="M80" i="43" a="1"/>
  <c r="M80" i="43" s="1"/>
  <c r="AP79" i="43" a="1"/>
  <c r="AP79" i="43" s="1"/>
  <c r="AF79" i="43" a="1"/>
  <c r="AF79" i="43" s="1"/>
  <c r="X79" i="43" a="1"/>
  <c r="X79" i="43" s="1"/>
  <c r="P79" i="43" a="1"/>
  <c r="P79" i="43" s="1"/>
  <c r="AS77" i="43" a="1"/>
  <c r="AS77" i="43" s="1"/>
  <c r="AI77" i="43" a="1"/>
  <c r="AI77" i="43" s="1"/>
  <c r="AA77" i="43" a="1"/>
  <c r="AA77" i="43" s="1"/>
  <c r="S77" i="43" a="1"/>
  <c r="S77" i="43" s="1"/>
  <c r="K77" i="43" a="1"/>
  <c r="K77" i="43" s="1"/>
  <c r="AL76" i="43" a="1"/>
  <c r="AL76" i="43" s="1"/>
  <c r="AD76" i="43" a="1"/>
  <c r="AD76" i="43" s="1"/>
  <c r="V76" i="43" a="1"/>
  <c r="V76" i="43" s="1"/>
  <c r="N76" i="43" a="1"/>
  <c r="N76" i="43" s="1"/>
  <c r="AQ74" i="43" a="1"/>
  <c r="AQ74" i="43" s="1"/>
  <c r="AG74" i="43" a="1"/>
  <c r="AG74" i="43" s="1"/>
  <c r="Y74" i="43" a="1"/>
  <c r="Y74" i="43" s="1"/>
  <c r="Q74" i="43" a="1"/>
  <c r="Q74" i="43" s="1"/>
  <c r="AT73" i="43" a="1"/>
  <c r="AT73" i="43" s="1"/>
  <c r="AJ73" i="43" a="1"/>
  <c r="AJ73" i="43" s="1"/>
  <c r="AB73" i="43" a="1"/>
  <c r="AB73" i="43" s="1"/>
  <c r="T73" i="43" a="1"/>
  <c r="T73" i="43" s="1"/>
  <c r="L73" i="43" a="1"/>
  <c r="L73" i="43" s="1"/>
  <c r="AM71" i="43" a="1"/>
  <c r="AM71" i="43" s="1"/>
  <c r="AE71" i="43" a="1"/>
  <c r="AE71" i="43" s="1"/>
  <c r="W71" i="43" a="1"/>
  <c r="W71" i="43" s="1"/>
  <c r="O71" i="43" a="1"/>
  <c r="O71" i="43" s="1"/>
  <c r="AR70" i="43" a="1"/>
  <c r="AR70" i="43" s="1"/>
  <c r="AH70" i="43" a="1"/>
  <c r="AH70" i="43" s="1"/>
  <c r="Z70" i="43" a="1"/>
  <c r="Z70" i="43" s="1"/>
  <c r="R70" i="43" a="1"/>
  <c r="R70" i="43" s="1"/>
  <c r="J70" i="43" a="1"/>
  <c r="J70" i="43" s="1"/>
  <c r="AK68" i="43" a="1"/>
  <c r="AK68" i="43" s="1"/>
  <c r="AC68" i="43" a="1"/>
  <c r="AC68" i="43" s="1"/>
  <c r="U68" i="43" a="1"/>
  <c r="U68" i="43" s="1"/>
  <c r="M68" i="43" a="1"/>
  <c r="M68" i="43" s="1"/>
  <c r="AP67" i="43" a="1"/>
  <c r="AP67" i="43" s="1"/>
  <c r="AF67" i="43" a="1"/>
  <c r="AF67" i="43" s="1"/>
  <c r="X67" i="43" a="1"/>
  <c r="X67" i="43" s="1"/>
  <c r="P67" i="43" a="1"/>
  <c r="P67" i="43" s="1"/>
  <c r="AS65" i="43" a="1"/>
  <c r="AS65" i="43" s="1"/>
  <c r="AI65" i="43" a="1"/>
  <c r="AI65" i="43" s="1"/>
  <c r="AA65" i="43" a="1"/>
  <c r="AA65" i="43" s="1"/>
  <c r="S65" i="43" a="1"/>
  <c r="S65" i="43" s="1"/>
  <c r="K65" i="43" a="1"/>
  <c r="K65" i="43" s="1"/>
  <c r="AL64" i="43" a="1"/>
  <c r="AL64" i="43" s="1"/>
  <c r="AD64" i="43" a="1"/>
  <c r="AD64" i="43" s="1"/>
  <c r="V64" i="43" a="1"/>
  <c r="V64" i="43" s="1"/>
  <c r="N64" i="43" a="1"/>
  <c r="N64" i="43" s="1"/>
  <c r="AQ62" i="43" a="1"/>
  <c r="AQ62" i="43" s="1"/>
  <c r="AG62" i="43" a="1"/>
  <c r="AG62" i="43" s="1"/>
  <c r="Y62" i="43" a="1"/>
  <c r="Y62" i="43" s="1"/>
  <c r="Q62" i="43" a="1"/>
  <c r="Q62" i="43" s="1"/>
  <c r="AT61" i="43" a="1"/>
  <c r="AT61" i="43" s="1"/>
  <c r="AJ61" i="43" a="1"/>
  <c r="AJ61" i="43" s="1"/>
  <c r="AB61" i="43" a="1"/>
  <c r="AB61" i="43" s="1"/>
  <c r="T61" i="43" a="1"/>
  <c r="T61" i="43" s="1"/>
  <c r="L61" i="43" a="1"/>
  <c r="L61" i="43" s="1"/>
  <c r="AM59" i="43" a="1"/>
  <c r="AM59" i="43" s="1"/>
  <c r="AE59" i="43" a="1"/>
  <c r="AE59" i="43" s="1"/>
  <c r="W59" i="43" a="1"/>
  <c r="W59" i="43" s="1"/>
  <c r="O59" i="43" a="1"/>
  <c r="O59" i="43" s="1"/>
  <c r="AR58" i="43" a="1"/>
  <c r="AR58" i="43" s="1"/>
  <c r="AH58" i="43" a="1"/>
  <c r="AH58" i="43" s="1"/>
  <c r="Z58" i="43" a="1"/>
  <c r="Z58" i="43" s="1"/>
  <c r="R58" i="43" a="1"/>
  <c r="R58" i="43" s="1"/>
  <c r="J58" i="43" a="1"/>
  <c r="J58" i="43" s="1"/>
  <c r="AK56" i="43" a="1"/>
  <c r="AK56" i="43" s="1"/>
  <c r="AC56" i="43" a="1"/>
  <c r="AC56" i="43" s="1"/>
  <c r="U56" i="43" a="1"/>
  <c r="U56" i="43" s="1"/>
  <c r="M56" i="43" a="1"/>
  <c r="M56" i="43" s="1"/>
  <c r="AP55" i="43" a="1"/>
  <c r="AP55" i="43" s="1"/>
  <c r="AF55" i="43" a="1"/>
  <c r="AF55" i="43" s="1"/>
  <c r="X55" i="43" a="1"/>
  <c r="X55" i="43" s="1"/>
  <c r="P55" i="43" a="1"/>
  <c r="P55" i="43" s="1"/>
  <c r="AS53" i="43" a="1"/>
  <c r="AS53" i="43" s="1"/>
  <c r="AI53" i="43" a="1"/>
  <c r="AI53" i="43" s="1"/>
  <c r="AA53" i="43" a="1"/>
  <c r="AA53" i="43" s="1"/>
  <c r="S53" i="43" a="1"/>
  <c r="S53" i="43" s="1"/>
  <c r="K53" i="43" a="1"/>
  <c r="K53" i="43" s="1"/>
  <c r="AL52" i="43" a="1"/>
  <c r="AL52" i="43" s="1"/>
  <c r="AD52" i="43" a="1"/>
  <c r="AD52" i="43" s="1"/>
  <c r="V52" i="43" a="1"/>
  <c r="V52" i="43" s="1"/>
  <c r="N52" i="43" a="1"/>
  <c r="N52" i="43" s="1"/>
  <c r="AQ50" i="43" a="1"/>
  <c r="AQ50" i="43" s="1"/>
  <c r="AG50" i="43" a="1"/>
  <c r="AG50" i="43" s="1"/>
  <c r="Y50" i="43" a="1"/>
  <c r="Y50" i="43" s="1"/>
  <c r="Q50" i="43" a="1"/>
  <c r="Q50" i="43" s="1"/>
  <c r="AT49" i="43" a="1"/>
  <c r="AT49" i="43" s="1"/>
  <c r="AJ49" i="43" a="1"/>
  <c r="AJ49" i="43" s="1"/>
  <c r="AB49" i="43" a="1"/>
  <c r="AB49" i="43" s="1"/>
  <c r="T49" i="43" a="1"/>
  <c r="T49" i="43" s="1"/>
  <c r="L49" i="43" a="1"/>
  <c r="L49" i="43" s="1"/>
  <c r="AM47" i="43" a="1"/>
  <c r="AM47" i="43" s="1"/>
  <c r="AE47" i="43" a="1"/>
  <c r="AE47" i="43" s="1"/>
  <c r="W47" i="43" a="1"/>
  <c r="W47" i="43" s="1"/>
  <c r="O47" i="43" a="1"/>
  <c r="O47" i="43" s="1"/>
  <c r="AR46" i="43" a="1"/>
  <c r="AR46" i="43" s="1"/>
  <c r="AH46" i="43" a="1"/>
  <c r="AH46" i="43" s="1"/>
  <c r="Z46" i="43" a="1"/>
  <c r="Z46" i="43" s="1"/>
  <c r="R46" i="43" a="1"/>
  <c r="R46" i="43" s="1"/>
  <c r="J46" i="43" a="1"/>
  <c r="J46" i="43" s="1"/>
  <c r="AK44" i="43" a="1"/>
  <c r="AK44" i="43" s="1"/>
  <c r="AC44" i="43" a="1"/>
  <c r="AC44" i="43" s="1"/>
  <c r="U44" i="43" a="1"/>
  <c r="U44" i="43" s="1"/>
  <c r="M44" i="43" a="1"/>
  <c r="M44" i="43" s="1"/>
  <c r="AP43" i="43" a="1"/>
  <c r="AP43" i="43" s="1"/>
  <c r="AF43" i="43" a="1"/>
  <c r="AF43" i="43" s="1"/>
  <c r="X43" i="43" a="1"/>
  <c r="X43" i="43" s="1"/>
  <c r="P43" i="43" a="1"/>
  <c r="P43" i="43" s="1"/>
  <c r="AS41" i="43" a="1"/>
  <c r="AS41" i="43" s="1"/>
  <c r="AI41" i="43" a="1"/>
  <c r="AI41" i="43" s="1"/>
  <c r="AA41" i="43" a="1"/>
  <c r="AA41" i="43" s="1"/>
  <c r="S41" i="43" a="1"/>
  <c r="S41" i="43" s="1"/>
  <c r="K41" i="43" a="1"/>
  <c r="K41" i="43" s="1"/>
  <c r="AL40" i="43" a="1"/>
  <c r="AL40" i="43" s="1"/>
  <c r="AD40" i="43" a="1"/>
  <c r="AD40" i="43" s="1"/>
  <c r="V40" i="43" a="1"/>
  <c r="V40" i="43" s="1"/>
  <c r="N40" i="43" a="1"/>
  <c r="N40" i="43" s="1"/>
  <c r="AQ38" i="43" a="1"/>
  <c r="AQ38" i="43" s="1"/>
  <c r="AG38" i="43" a="1"/>
  <c r="AG38" i="43" s="1"/>
  <c r="Y38" i="43" a="1"/>
  <c r="Y38" i="43" s="1"/>
  <c r="Q38" i="43" a="1"/>
  <c r="Q38" i="43" s="1"/>
  <c r="AT37" i="43" a="1"/>
  <c r="AT37" i="43" s="1"/>
  <c r="AJ37" i="43" a="1"/>
  <c r="AJ37" i="43" s="1"/>
  <c r="AB37" i="43" a="1"/>
  <c r="AB37" i="43" s="1"/>
  <c r="T37" i="43" a="1"/>
  <c r="T37" i="43" s="1"/>
  <c r="L37" i="43" a="1"/>
  <c r="L37" i="43" s="1"/>
  <c r="AM35" i="43" a="1"/>
  <c r="AM35" i="43" s="1"/>
  <c r="AE35" i="43" a="1"/>
  <c r="AE35" i="43" s="1"/>
  <c r="W35" i="43" a="1"/>
  <c r="W35" i="43" s="1"/>
  <c r="O35" i="43" a="1"/>
  <c r="O35" i="43" s="1"/>
  <c r="AR34" i="43" a="1"/>
  <c r="AR34" i="43" s="1"/>
  <c r="AH34" i="43" a="1"/>
  <c r="AH34" i="43" s="1"/>
  <c r="Z34" i="43" a="1"/>
  <c r="Z34" i="43" s="1"/>
  <c r="R34" i="43" a="1"/>
  <c r="R34" i="43" s="1"/>
  <c r="J34" i="43" a="1"/>
  <c r="J34" i="43" s="1"/>
  <c r="AK32" i="43" a="1"/>
  <c r="AK32" i="43" s="1"/>
  <c r="AC32" i="43" a="1"/>
  <c r="AC32" i="43" s="1"/>
  <c r="U32" i="43" a="1"/>
  <c r="U32" i="43" s="1"/>
  <c r="M32" i="43" a="1"/>
  <c r="M32" i="43" s="1"/>
  <c r="AP31" i="43" a="1"/>
  <c r="AP31" i="43" s="1"/>
  <c r="AB92" i="43" a="1"/>
  <c r="AB92" i="43" s="1"/>
  <c r="AH89" i="43" a="1"/>
  <c r="AH89" i="43" s="1"/>
  <c r="AJ88" i="43" a="1"/>
  <c r="AJ88" i="43" s="1"/>
  <c r="U88" i="43" a="1"/>
  <c r="U88" i="43" s="1"/>
  <c r="M88" i="43" a="1"/>
  <c r="M88" i="43" s="1"/>
  <c r="AP86" i="43" a="1"/>
  <c r="AP86" i="43" s="1"/>
  <c r="AF86" i="43" a="1"/>
  <c r="AF86" i="43" s="1"/>
  <c r="X86" i="43" a="1"/>
  <c r="X86" i="43" s="1"/>
  <c r="P86" i="43" a="1"/>
  <c r="P86" i="43" s="1"/>
  <c r="AS85" i="43" a="1"/>
  <c r="AS85" i="43" s="1"/>
  <c r="AI85" i="43" a="1"/>
  <c r="AI85" i="43" s="1"/>
  <c r="AA85" i="43" a="1"/>
  <c r="AA85" i="43" s="1"/>
  <c r="S85" i="43" a="1"/>
  <c r="S85" i="43" s="1"/>
  <c r="K85" i="43" a="1"/>
  <c r="K85" i="43" s="1"/>
  <c r="AL83" i="43" a="1"/>
  <c r="AL83" i="43" s="1"/>
  <c r="AD83" i="43" a="1"/>
  <c r="AD83" i="43" s="1"/>
  <c r="V83" i="43" a="1"/>
  <c r="V83" i="43" s="1"/>
  <c r="N83" i="43" a="1"/>
  <c r="N83" i="43" s="1"/>
  <c r="AQ82" i="43" a="1"/>
  <c r="AQ82" i="43" s="1"/>
  <c r="AG82" i="43" a="1"/>
  <c r="AG82" i="43" s="1"/>
  <c r="Y82" i="43" a="1"/>
  <c r="Y82" i="43" s="1"/>
  <c r="Q82" i="43" a="1"/>
  <c r="Q82" i="43" s="1"/>
  <c r="AT80" i="43" a="1"/>
  <c r="AT80" i="43" s="1"/>
  <c r="AJ80" i="43" a="1"/>
  <c r="AJ80" i="43" s="1"/>
  <c r="AB80" i="43" a="1"/>
  <c r="AB80" i="43" s="1"/>
  <c r="T80" i="43" a="1"/>
  <c r="T80" i="43" s="1"/>
  <c r="L80" i="43" a="1"/>
  <c r="L80" i="43" s="1"/>
  <c r="AM79" i="43" a="1"/>
  <c r="AM79" i="43" s="1"/>
  <c r="AE79" i="43" a="1"/>
  <c r="AE79" i="43" s="1"/>
  <c r="W79" i="43" a="1"/>
  <c r="W79" i="43" s="1"/>
  <c r="O79" i="43" a="1"/>
  <c r="O79" i="43" s="1"/>
  <c r="AR77" i="43" a="1"/>
  <c r="AR77" i="43" s="1"/>
  <c r="AH77" i="43" a="1"/>
  <c r="AH77" i="43" s="1"/>
  <c r="Z77" i="43" a="1"/>
  <c r="Z77" i="43" s="1"/>
  <c r="R77" i="43" a="1"/>
  <c r="R77" i="43" s="1"/>
  <c r="J77" i="43" a="1"/>
  <c r="J77" i="43" s="1"/>
  <c r="AK76" i="43" a="1"/>
  <c r="AK76" i="43" s="1"/>
  <c r="AC76" i="43" a="1"/>
  <c r="AC76" i="43" s="1"/>
  <c r="U76" i="43" a="1"/>
  <c r="U76" i="43" s="1"/>
  <c r="M76" i="43" a="1"/>
  <c r="M76" i="43" s="1"/>
  <c r="AP74" i="43" a="1"/>
  <c r="AP74" i="43" s="1"/>
  <c r="AF74" i="43" a="1"/>
  <c r="AF74" i="43" s="1"/>
  <c r="X74" i="43" a="1"/>
  <c r="X74" i="43" s="1"/>
  <c r="P74" i="43" a="1"/>
  <c r="P74" i="43" s="1"/>
  <c r="AS73" i="43" a="1"/>
  <c r="AS73" i="43" s="1"/>
  <c r="AI73" i="43" a="1"/>
  <c r="AI73" i="43" s="1"/>
  <c r="AA73" i="43" a="1"/>
  <c r="AA73" i="43" s="1"/>
  <c r="S73" i="43" a="1"/>
  <c r="S73" i="43" s="1"/>
  <c r="K73" i="43" a="1"/>
  <c r="K73" i="43" s="1"/>
  <c r="AL71" i="43" a="1"/>
  <c r="AL71" i="43" s="1"/>
  <c r="AD71" i="43" a="1"/>
  <c r="AD71" i="43" s="1"/>
  <c r="V71" i="43" a="1"/>
  <c r="V71" i="43" s="1"/>
  <c r="N71" i="43" a="1"/>
  <c r="N71" i="43" s="1"/>
  <c r="AQ70" i="43" a="1"/>
  <c r="AQ70" i="43" s="1"/>
  <c r="AG70" i="43" a="1"/>
  <c r="AG70" i="43" s="1"/>
  <c r="Y70" i="43" a="1"/>
  <c r="Y70" i="43" s="1"/>
  <c r="Q70" i="43" a="1"/>
  <c r="Q70" i="43" s="1"/>
  <c r="AT68" i="43" a="1"/>
  <c r="AT68" i="43" s="1"/>
  <c r="AJ68" i="43" a="1"/>
  <c r="AJ68" i="43" s="1"/>
  <c r="AB68" i="43" a="1"/>
  <c r="AB68" i="43" s="1"/>
  <c r="T68" i="43" a="1"/>
  <c r="T68" i="43" s="1"/>
  <c r="L68" i="43" a="1"/>
  <c r="L68" i="43" s="1"/>
  <c r="AM67" i="43" a="1"/>
  <c r="AM67" i="43" s="1"/>
  <c r="AE67" i="43" a="1"/>
  <c r="AE67" i="43" s="1"/>
  <c r="W67" i="43" a="1"/>
  <c r="W67" i="43" s="1"/>
  <c r="O67" i="43" a="1"/>
  <c r="O67" i="43" s="1"/>
  <c r="AR65" i="43" a="1"/>
  <c r="AR65" i="43" s="1"/>
  <c r="AH65" i="43" a="1"/>
  <c r="AH65" i="43" s="1"/>
  <c r="Z65" i="43" a="1"/>
  <c r="Z65" i="43" s="1"/>
  <c r="R65" i="43" a="1"/>
  <c r="R65" i="43" s="1"/>
  <c r="J65" i="43" a="1"/>
  <c r="J65" i="43" s="1"/>
  <c r="AK64" i="43" a="1"/>
  <c r="AK64" i="43" s="1"/>
  <c r="AC64" i="43" a="1"/>
  <c r="AC64" i="43" s="1"/>
  <c r="U64" i="43" a="1"/>
  <c r="U64" i="43" s="1"/>
  <c r="M64" i="43" a="1"/>
  <c r="M64" i="43" s="1"/>
  <c r="AP62" i="43" a="1"/>
  <c r="AP62" i="43" s="1"/>
  <c r="AF62" i="43" a="1"/>
  <c r="AF62" i="43" s="1"/>
  <c r="X62" i="43" a="1"/>
  <c r="X62" i="43" s="1"/>
  <c r="P62" i="43" a="1"/>
  <c r="P62" i="43" s="1"/>
  <c r="AS61" i="43" a="1"/>
  <c r="AS61" i="43" s="1"/>
  <c r="AI61" i="43" a="1"/>
  <c r="AI61" i="43" s="1"/>
  <c r="AA61" i="43" a="1"/>
  <c r="AA61" i="43" s="1"/>
  <c r="S61" i="43" a="1"/>
  <c r="S61" i="43" s="1"/>
  <c r="K61" i="43" a="1"/>
  <c r="K61" i="43" s="1"/>
  <c r="AL59" i="43" a="1"/>
  <c r="AL59" i="43" s="1"/>
  <c r="AD59" i="43" a="1"/>
  <c r="AD59" i="43" s="1"/>
  <c r="V59" i="43" a="1"/>
  <c r="V59" i="43" s="1"/>
  <c r="N59" i="43" a="1"/>
  <c r="N59" i="43" s="1"/>
  <c r="AQ58" i="43" a="1"/>
  <c r="AQ58" i="43" s="1"/>
  <c r="AG58" i="43" a="1"/>
  <c r="AG58" i="43" s="1"/>
  <c r="Y58" i="43" a="1"/>
  <c r="Y58" i="43" s="1"/>
  <c r="Q58" i="43" a="1"/>
  <c r="Q58" i="43" s="1"/>
  <c r="AT56" i="43" a="1"/>
  <c r="AT56" i="43" s="1"/>
  <c r="AJ56" i="43" a="1"/>
  <c r="AJ56" i="43" s="1"/>
  <c r="AB56" i="43" a="1"/>
  <c r="AB56" i="43" s="1"/>
  <c r="T56" i="43" a="1"/>
  <c r="T56" i="43" s="1"/>
  <c r="L56" i="43" a="1"/>
  <c r="L56" i="43" s="1"/>
  <c r="AM55" i="43" a="1"/>
  <c r="AM55" i="43" s="1"/>
  <c r="AE55" i="43" a="1"/>
  <c r="AE55" i="43" s="1"/>
  <c r="W55" i="43" a="1"/>
  <c r="W55" i="43" s="1"/>
  <c r="O55" i="43" a="1"/>
  <c r="O55" i="43" s="1"/>
  <c r="AR53" i="43" a="1"/>
  <c r="AR53" i="43" s="1"/>
  <c r="AH53" i="43" a="1"/>
  <c r="AH53" i="43" s="1"/>
  <c r="Z53" i="43" a="1"/>
  <c r="Z53" i="43" s="1"/>
  <c r="R53" i="43" a="1"/>
  <c r="R53" i="43" s="1"/>
  <c r="J53" i="43" a="1"/>
  <c r="J53" i="43" s="1"/>
  <c r="AK52" i="43" a="1"/>
  <c r="AK52" i="43" s="1"/>
  <c r="AC52" i="43" a="1"/>
  <c r="AC52" i="43" s="1"/>
  <c r="U52" i="43" a="1"/>
  <c r="U52" i="43" s="1"/>
  <c r="M52" i="43" a="1"/>
  <c r="M52" i="43" s="1"/>
  <c r="AP50" i="43" a="1"/>
  <c r="AP50" i="43" s="1"/>
  <c r="AF50" i="43" a="1"/>
  <c r="AF50" i="43" s="1"/>
  <c r="X50" i="43" a="1"/>
  <c r="X50" i="43" s="1"/>
  <c r="P50" i="43" a="1"/>
  <c r="P50" i="43" s="1"/>
  <c r="AS49" i="43" a="1"/>
  <c r="AS49" i="43" s="1"/>
  <c r="AI49" i="43" a="1"/>
  <c r="AI49" i="43" s="1"/>
  <c r="AA49" i="43" a="1"/>
  <c r="AA49" i="43" s="1"/>
  <c r="S49" i="43" a="1"/>
  <c r="S49" i="43" s="1"/>
  <c r="K49" i="43" a="1"/>
  <c r="K49" i="43" s="1"/>
  <c r="AL47" i="43" a="1"/>
  <c r="AL47" i="43" s="1"/>
  <c r="AD47" i="43" a="1"/>
  <c r="AD47" i="43" s="1"/>
  <c r="V47" i="43" a="1"/>
  <c r="V47" i="43" s="1"/>
  <c r="N47" i="43" a="1"/>
  <c r="N47" i="43" s="1"/>
  <c r="AQ46" i="43" a="1"/>
  <c r="AQ46" i="43" s="1"/>
  <c r="AG46" i="43" a="1"/>
  <c r="AG46" i="43" s="1"/>
  <c r="Y46" i="43" a="1"/>
  <c r="Y46" i="43" s="1"/>
  <c r="Q46" i="43" a="1"/>
  <c r="Q46" i="43" s="1"/>
  <c r="AT44" i="43" a="1"/>
  <c r="AT44" i="43" s="1"/>
  <c r="AJ44" i="43" a="1"/>
  <c r="AJ44" i="43" s="1"/>
  <c r="AB44" i="43" a="1"/>
  <c r="AB44" i="43" s="1"/>
  <c r="T44" i="43" a="1"/>
  <c r="T44" i="43" s="1"/>
  <c r="L44" i="43" a="1"/>
  <c r="L44" i="43" s="1"/>
  <c r="AM43" i="43" a="1"/>
  <c r="AM43" i="43" s="1"/>
  <c r="AE43" i="43" a="1"/>
  <c r="AE43" i="43" s="1"/>
  <c r="W43" i="43" a="1"/>
  <c r="W43" i="43" s="1"/>
  <c r="O43" i="43" a="1"/>
  <c r="O43" i="43" s="1"/>
  <c r="AR41" i="43" a="1"/>
  <c r="AR41" i="43" s="1"/>
  <c r="AH41" i="43" a="1"/>
  <c r="AH41" i="43" s="1"/>
  <c r="Z41" i="43" a="1"/>
  <c r="Z41" i="43" s="1"/>
  <c r="R41" i="43" a="1"/>
  <c r="R41" i="43" s="1"/>
  <c r="J41" i="43" a="1"/>
  <c r="J41" i="43" s="1"/>
  <c r="AK40" i="43" a="1"/>
  <c r="AK40" i="43" s="1"/>
  <c r="AC40" i="43" a="1"/>
  <c r="AC40" i="43" s="1"/>
  <c r="U40" i="43" a="1"/>
  <c r="U40" i="43" s="1"/>
  <c r="M40" i="43" a="1"/>
  <c r="M40" i="43" s="1"/>
  <c r="AP38" i="43" a="1"/>
  <c r="AP38" i="43" s="1"/>
  <c r="AF38" i="43" a="1"/>
  <c r="AF38" i="43" s="1"/>
  <c r="X38" i="43" a="1"/>
  <c r="X38" i="43" s="1"/>
  <c r="P38" i="43" a="1"/>
  <c r="P38" i="43" s="1"/>
  <c r="AS37" i="43" a="1"/>
  <c r="AS37" i="43" s="1"/>
  <c r="AI37" i="43" a="1"/>
  <c r="AI37" i="43" s="1"/>
  <c r="AA37" i="43" a="1"/>
  <c r="AA37" i="43" s="1"/>
  <c r="S37" i="43" a="1"/>
  <c r="S37" i="43" s="1"/>
  <c r="K37" i="43" a="1"/>
  <c r="K37" i="43" s="1"/>
  <c r="AL35" i="43" a="1"/>
  <c r="AL35" i="43" s="1"/>
  <c r="AD35" i="43" a="1"/>
  <c r="AD35" i="43" s="1"/>
  <c r="V35" i="43" a="1"/>
  <c r="V35" i="43" s="1"/>
  <c r="N35" i="43" a="1"/>
  <c r="N35" i="43" s="1"/>
  <c r="AQ34" i="43" a="1"/>
  <c r="AQ34" i="43" s="1"/>
  <c r="AG34" i="43" a="1"/>
  <c r="AG34" i="43" s="1"/>
  <c r="Y34" i="43" a="1"/>
  <c r="Y34" i="43" s="1"/>
  <c r="Q34" i="43" a="1"/>
  <c r="Q34" i="43" s="1"/>
  <c r="AT32" i="43" a="1"/>
  <c r="AT32" i="43" s="1"/>
  <c r="AJ32" i="43" a="1"/>
  <c r="AJ32" i="43" s="1"/>
  <c r="AB32" i="43" a="1"/>
  <c r="AB32" i="43" s="1"/>
  <c r="T32" i="43" a="1"/>
  <c r="T32" i="43" s="1"/>
  <c r="L32" i="43" a="1"/>
  <c r="L32" i="43" s="1"/>
  <c r="AM31" i="43" a="1"/>
  <c r="AM31" i="43" s="1"/>
  <c r="AE31" i="43" a="1"/>
  <c r="AE31" i="43" s="1"/>
  <c r="W31" i="43" a="1"/>
  <c r="W31" i="43" s="1"/>
  <c r="T92" i="43" a="1"/>
  <c r="T92" i="43" s="1"/>
  <c r="Z89" i="43" a="1"/>
  <c r="Z89" i="43" s="1"/>
  <c r="AE88" i="43" a="1"/>
  <c r="AE88" i="43" s="1"/>
  <c r="T88" i="43" a="1"/>
  <c r="T88" i="43" s="1"/>
  <c r="L88" i="43" a="1"/>
  <c r="L88" i="43" s="1"/>
  <c r="AM86" i="43" a="1"/>
  <c r="AM86" i="43" s="1"/>
  <c r="AE86" i="43" a="1"/>
  <c r="AE86" i="43" s="1"/>
  <c r="W86" i="43" a="1"/>
  <c r="W86" i="43" s="1"/>
  <c r="O86" i="43" a="1"/>
  <c r="O86" i="43" s="1"/>
  <c r="AR85" i="43" a="1"/>
  <c r="AR85" i="43" s="1"/>
  <c r="AH85" i="43" a="1"/>
  <c r="AH85" i="43" s="1"/>
  <c r="Z85" i="43" a="1"/>
  <c r="Z85" i="43" s="1"/>
  <c r="R85" i="43" a="1"/>
  <c r="R85" i="43" s="1"/>
  <c r="J85" i="43" a="1"/>
  <c r="J85" i="43" s="1"/>
  <c r="AK83" i="43" a="1"/>
  <c r="AK83" i="43" s="1"/>
  <c r="AC83" i="43" a="1"/>
  <c r="AC83" i="43" s="1"/>
  <c r="U83" i="43" a="1"/>
  <c r="U83" i="43" s="1"/>
  <c r="M83" i="43" a="1"/>
  <c r="M83" i="43" s="1"/>
  <c r="AP82" i="43" a="1"/>
  <c r="AP82" i="43" s="1"/>
  <c r="AF82" i="43" a="1"/>
  <c r="AF82" i="43" s="1"/>
  <c r="X82" i="43" a="1"/>
  <c r="X82" i="43" s="1"/>
  <c r="P82" i="43" a="1"/>
  <c r="P82" i="43" s="1"/>
  <c r="AS80" i="43" a="1"/>
  <c r="AS80" i="43" s="1"/>
  <c r="AI80" i="43" a="1"/>
  <c r="AI80" i="43" s="1"/>
  <c r="AA80" i="43" a="1"/>
  <c r="AA80" i="43" s="1"/>
  <c r="S80" i="43" a="1"/>
  <c r="S80" i="43" s="1"/>
  <c r="K80" i="43" a="1"/>
  <c r="K80" i="43" s="1"/>
  <c r="AL79" i="43" a="1"/>
  <c r="AL79" i="43" s="1"/>
  <c r="AD79" i="43" a="1"/>
  <c r="AD79" i="43" s="1"/>
  <c r="V79" i="43" a="1"/>
  <c r="V79" i="43" s="1"/>
  <c r="N79" i="43" a="1"/>
  <c r="N79" i="43" s="1"/>
  <c r="AQ77" i="43" a="1"/>
  <c r="AQ77" i="43" s="1"/>
  <c r="AG77" i="43" a="1"/>
  <c r="AG77" i="43" s="1"/>
  <c r="Y77" i="43" a="1"/>
  <c r="Y77" i="43" s="1"/>
  <c r="Q77" i="43" a="1"/>
  <c r="Q77" i="43" s="1"/>
  <c r="AT76" i="43" a="1"/>
  <c r="AT76" i="43" s="1"/>
  <c r="AJ76" i="43" a="1"/>
  <c r="AJ76" i="43" s="1"/>
  <c r="AB76" i="43" a="1"/>
  <c r="AB76" i="43" s="1"/>
  <c r="T76" i="43" a="1"/>
  <c r="T76" i="43" s="1"/>
  <c r="L76" i="43" a="1"/>
  <c r="L76" i="43" s="1"/>
  <c r="AM74" i="43" a="1"/>
  <c r="AM74" i="43" s="1"/>
  <c r="AE74" i="43" a="1"/>
  <c r="AE74" i="43" s="1"/>
  <c r="W74" i="43" a="1"/>
  <c r="W74" i="43" s="1"/>
  <c r="O74" i="43" a="1"/>
  <c r="O74" i="43" s="1"/>
  <c r="AR73" i="43" a="1"/>
  <c r="AR73" i="43" s="1"/>
  <c r="AH73" i="43" a="1"/>
  <c r="AH73" i="43" s="1"/>
  <c r="Z73" i="43" a="1"/>
  <c r="Z73" i="43" s="1"/>
  <c r="R73" i="43" a="1"/>
  <c r="R73" i="43" s="1"/>
  <c r="J73" i="43" a="1"/>
  <c r="J73" i="43" s="1"/>
  <c r="AK71" i="43" a="1"/>
  <c r="AK71" i="43" s="1"/>
  <c r="AC71" i="43" a="1"/>
  <c r="AC71" i="43" s="1"/>
  <c r="U71" i="43" a="1"/>
  <c r="U71" i="43" s="1"/>
  <c r="M71" i="43" a="1"/>
  <c r="M71" i="43" s="1"/>
  <c r="AP70" i="43" a="1"/>
  <c r="AP70" i="43" s="1"/>
  <c r="AF70" i="43" a="1"/>
  <c r="AF70" i="43" s="1"/>
  <c r="X70" i="43" a="1"/>
  <c r="X70" i="43" s="1"/>
  <c r="P70" i="43" a="1"/>
  <c r="P70" i="43" s="1"/>
  <c r="AS68" i="43" a="1"/>
  <c r="AS68" i="43" s="1"/>
  <c r="AI68" i="43" a="1"/>
  <c r="AI68" i="43" s="1"/>
  <c r="AA68" i="43" a="1"/>
  <c r="AA68" i="43" s="1"/>
  <c r="S68" i="43" a="1"/>
  <c r="S68" i="43" s="1"/>
  <c r="K68" i="43" a="1"/>
  <c r="K68" i="43" s="1"/>
  <c r="AL67" i="43" a="1"/>
  <c r="AL67" i="43" s="1"/>
  <c r="AD67" i="43" a="1"/>
  <c r="AD67" i="43" s="1"/>
  <c r="V67" i="43" a="1"/>
  <c r="V67" i="43" s="1"/>
  <c r="N67" i="43" a="1"/>
  <c r="N67" i="43" s="1"/>
  <c r="AQ65" i="43" a="1"/>
  <c r="AQ65" i="43" s="1"/>
  <c r="AG65" i="43" a="1"/>
  <c r="AG65" i="43" s="1"/>
  <c r="Y65" i="43" a="1"/>
  <c r="Y65" i="43" s="1"/>
  <c r="Q65" i="43" a="1"/>
  <c r="Q65" i="43" s="1"/>
  <c r="AT64" i="43" a="1"/>
  <c r="AT64" i="43" s="1"/>
  <c r="AJ64" i="43" a="1"/>
  <c r="AJ64" i="43" s="1"/>
  <c r="AB64" i="43" a="1"/>
  <c r="AB64" i="43" s="1"/>
  <c r="T64" i="43" a="1"/>
  <c r="T64" i="43" s="1"/>
  <c r="L64" i="43" a="1"/>
  <c r="L64" i="43" s="1"/>
  <c r="AM62" i="43" a="1"/>
  <c r="AM62" i="43" s="1"/>
  <c r="AE62" i="43" a="1"/>
  <c r="AE62" i="43" s="1"/>
  <c r="W62" i="43" a="1"/>
  <c r="W62" i="43" s="1"/>
  <c r="O62" i="43" a="1"/>
  <c r="O62" i="43" s="1"/>
  <c r="AR61" i="43" a="1"/>
  <c r="AR61" i="43" s="1"/>
  <c r="AH61" i="43" a="1"/>
  <c r="AH61" i="43" s="1"/>
  <c r="Z61" i="43" a="1"/>
  <c r="Z61" i="43" s="1"/>
  <c r="R61" i="43" a="1"/>
  <c r="R61" i="43" s="1"/>
  <c r="J61" i="43" a="1"/>
  <c r="J61" i="43" s="1"/>
  <c r="AK59" i="43" a="1"/>
  <c r="AK59" i="43" s="1"/>
  <c r="AC59" i="43" a="1"/>
  <c r="AC59" i="43" s="1"/>
  <c r="U59" i="43" a="1"/>
  <c r="U59" i="43" s="1"/>
  <c r="M59" i="43" a="1"/>
  <c r="M59" i="43" s="1"/>
  <c r="AP58" i="43" a="1"/>
  <c r="AP58" i="43" s="1"/>
  <c r="AF58" i="43" a="1"/>
  <c r="AF58" i="43" s="1"/>
  <c r="X58" i="43" a="1"/>
  <c r="X58" i="43" s="1"/>
  <c r="P58" i="43" a="1"/>
  <c r="P58" i="43" s="1"/>
  <c r="AS56" i="43" a="1"/>
  <c r="AS56" i="43" s="1"/>
  <c r="AI56" i="43" a="1"/>
  <c r="AI56" i="43" s="1"/>
  <c r="AA56" i="43" a="1"/>
  <c r="AA56" i="43" s="1"/>
  <c r="S56" i="43" a="1"/>
  <c r="S56" i="43" s="1"/>
  <c r="K56" i="43" a="1"/>
  <c r="K56" i="43" s="1"/>
  <c r="AL55" i="43" a="1"/>
  <c r="AL55" i="43" s="1"/>
  <c r="AD55" i="43" a="1"/>
  <c r="AD55" i="43" s="1"/>
  <c r="V55" i="43" a="1"/>
  <c r="V55" i="43" s="1"/>
  <c r="N55" i="43" a="1"/>
  <c r="N55" i="43" s="1"/>
  <c r="AQ53" i="43" a="1"/>
  <c r="AQ53" i="43" s="1"/>
  <c r="AG53" i="43" a="1"/>
  <c r="AG53" i="43" s="1"/>
  <c r="Y53" i="43" a="1"/>
  <c r="Y53" i="43" s="1"/>
  <c r="Q53" i="43" a="1"/>
  <c r="Q53" i="43" s="1"/>
  <c r="AT52" i="43" a="1"/>
  <c r="AT52" i="43" s="1"/>
  <c r="AJ52" i="43" a="1"/>
  <c r="AJ52" i="43" s="1"/>
  <c r="AB52" i="43" a="1"/>
  <c r="AB52" i="43" s="1"/>
  <c r="T52" i="43" a="1"/>
  <c r="T52" i="43" s="1"/>
  <c r="L52" i="43" a="1"/>
  <c r="L52" i="43" s="1"/>
  <c r="AM50" i="43" a="1"/>
  <c r="AM50" i="43" s="1"/>
  <c r="AE50" i="43" a="1"/>
  <c r="AE50" i="43" s="1"/>
  <c r="W50" i="43" a="1"/>
  <c r="W50" i="43" s="1"/>
  <c r="O50" i="43" a="1"/>
  <c r="O50" i="43" s="1"/>
  <c r="AR49" i="43" a="1"/>
  <c r="AR49" i="43" s="1"/>
  <c r="AH49" i="43" a="1"/>
  <c r="AH49" i="43" s="1"/>
  <c r="Z49" i="43" a="1"/>
  <c r="Z49" i="43" s="1"/>
  <c r="R49" i="43" a="1"/>
  <c r="R49" i="43" s="1"/>
  <c r="J49" i="43" a="1"/>
  <c r="J49" i="43" s="1"/>
  <c r="AK47" i="43" a="1"/>
  <c r="AK47" i="43" s="1"/>
  <c r="AC47" i="43" a="1"/>
  <c r="AC47" i="43" s="1"/>
  <c r="U47" i="43" a="1"/>
  <c r="U47" i="43" s="1"/>
  <c r="M47" i="43" a="1"/>
  <c r="M47" i="43" s="1"/>
  <c r="AP46" i="43" a="1"/>
  <c r="AP46" i="43" s="1"/>
  <c r="AF46" i="43" a="1"/>
  <c r="AF46" i="43" s="1"/>
  <c r="X46" i="43" a="1"/>
  <c r="X46" i="43" s="1"/>
  <c r="P46" i="43" a="1"/>
  <c r="P46" i="43" s="1"/>
  <c r="AS44" i="43" a="1"/>
  <c r="AS44" i="43" s="1"/>
  <c r="AI44" i="43" a="1"/>
  <c r="AI44" i="43" s="1"/>
  <c r="AA44" i="43" a="1"/>
  <c r="AA44" i="43" s="1"/>
  <c r="S44" i="43" a="1"/>
  <c r="S44" i="43" s="1"/>
  <c r="K44" i="43" a="1"/>
  <c r="K44" i="43" s="1"/>
  <c r="AL43" i="43" a="1"/>
  <c r="AL43" i="43" s="1"/>
  <c r="AD43" i="43" a="1"/>
  <c r="AD43" i="43" s="1"/>
  <c r="V43" i="43" a="1"/>
  <c r="V43" i="43" s="1"/>
  <c r="N43" i="43" a="1"/>
  <c r="N43" i="43" s="1"/>
  <c r="AQ41" i="43" a="1"/>
  <c r="AQ41" i="43" s="1"/>
  <c r="AG41" i="43" a="1"/>
  <c r="AG41" i="43" s="1"/>
  <c r="Y41" i="43" a="1"/>
  <c r="Y41" i="43" s="1"/>
  <c r="Q41" i="43" a="1"/>
  <c r="Q41" i="43" s="1"/>
  <c r="AT40" i="43" a="1"/>
  <c r="AT40" i="43" s="1"/>
  <c r="AJ40" i="43" a="1"/>
  <c r="AJ40" i="43" s="1"/>
  <c r="AB40" i="43" a="1"/>
  <c r="AB40" i="43" s="1"/>
  <c r="T40" i="43" a="1"/>
  <c r="T40" i="43" s="1"/>
  <c r="L40" i="43" a="1"/>
  <c r="L40" i="43" s="1"/>
  <c r="AM38" i="43" a="1"/>
  <c r="AM38" i="43" s="1"/>
  <c r="AE38" i="43" a="1"/>
  <c r="AE38" i="43" s="1"/>
  <c r="W38" i="43" a="1"/>
  <c r="W38" i="43" s="1"/>
  <c r="O38" i="43" a="1"/>
  <c r="O38" i="43" s="1"/>
  <c r="AR37" i="43" a="1"/>
  <c r="AR37" i="43" s="1"/>
  <c r="AH37" i="43" a="1"/>
  <c r="AH37" i="43" s="1"/>
  <c r="Z37" i="43" a="1"/>
  <c r="Z37" i="43" s="1"/>
  <c r="R37" i="43" a="1"/>
  <c r="R37" i="43" s="1"/>
  <c r="J37" i="43" a="1"/>
  <c r="J37" i="43" s="1"/>
  <c r="AK35" i="43" a="1"/>
  <c r="AK35" i="43" s="1"/>
  <c r="AC35" i="43" a="1"/>
  <c r="AC35" i="43" s="1"/>
  <c r="U35" i="43" a="1"/>
  <c r="U35" i="43" s="1"/>
  <c r="M35" i="43" a="1"/>
  <c r="M35" i="43" s="1"/>
  <c r="AP34" i="43" a="1"/>
  <c r="AP34" i="43" s="1"/>
  <c r="AF34" i="43" a="1"/>
  <c r="AF34" i="43" s="1"/>
  <c r="X34" i="43" a="1"/>
  <c r="X34" i="43" s="1"/>
  <c r="P34" i="43" a="1"/>
  <c r="P34" i="43" s="1"/>
  <c r="AS32" i="43" a="1"/>
  <c r="AS32" i="43" s="1"/>
  <c r="AI32" i="43" a="1"/>
  <c r="AI32" i="43" s="1"/>
  <c r="AA32" i="43" a="1"/>
  <c r="AA32" i="43" s="1"/>
  <c r="S32" i="43" a="1"/>
  <c r="S32" i="43" s="1"/>
  <c r="L92" i="43" a="1"/>
  <c r="L92" i="43" s="1"/>
  <c r="T89" i="43" a="1"/>
  <c r="T89" i="43" s="1"/>
  <c r="AC88" i="43" a="1"/>
  <c r="AC88" i="43" s="1"/>
  <c r="S88" i="43" a="1"/>
  <c r="S88" i="43" s="1"/>
  <c r="K88" i="43" a="1"/>
  <c r="K88" i="43" s="1"/>
  <c r="AL86" i="43" a="1"/>
  <c r="AL86" i="43" s="1"/>
  <c r="AD86" i="43" a="1"/>
  <c r="AD86" i="43" s="1"/>
  <c r="V86" i="43" a="1"/>
  <c r="V86" i="43" s="1"/>
  <c r="N86" i="43" a="1"/>
  <c r="N86" i="43" s="1"/>
  <c r="AQ85" i="43" a="1"/>
  <c r="AQ85" i="43" s="1"/>
  <c r="AG85" i="43" a="1"/>
  <c r="AG85" i="43" s="1"/>
  <c r="Y85" i="43" a="1"/>
  <c r="Y85" i="43" s="1"/>
  <c r="Q85" i="43" a="1"/>
  <c r="Q85" i="43" s="1"/>
  <c r="AT83" i="43" a="1"/>
  <c r="AT83" i="43" s="1"/>
  <c r="AJ83" i="43" a="1"/>
  <c r="AJ83" i="43" s="1"/>
  <c r="AB83" i="43" a="1"/>
  <c r="AB83" i="43" s="1"/>
  <c r="T83" i="43" a="1"/>
  <c r="T83" i="43" s="1"/>
  <c r="L83" i="43" a="1"/>
  <c r="L83" i="43" s="1"/>
  <c r="AM82" i="43" a="1"/>
  <c r="AM82" i="43" s="1"/>
  <c r="AE82" i="43" a="1"/>
  <c r="AE82" i="43" s="1"/>
  <c r="W82" i="43" a="1"/>
  <c r="W82" i="43" s="1"/>
  <c r="O82" i="43" a="1"/>
  <c r="O82" i="43" s="1"/>
  <c r="AR80" i="43" a="1"/>
  <c r="AR80" i="43" s="1"/>
  <c r="AH80" i="43" a="1"/>
  <c r="AH80" i="43" s="1"/>
  <c r="Z80" i="43" a="1"/>
  <c r="Z80" i="43" s="1"/>
  <c r="R80" i="43" a="1"/>
  <c r="R80" i="43" s="1"/>
  <c r="J80" i="43" a="1"/>
  <c r="J80" i="43" s="1"/>
  <c r="AK79" i="43" a="1"/>
  <c r="AK79" i="43" s="1"/>
  <c r="AC79" i="43" a="1"/>
  <c r="AC79" i="43" s="1"/>
  <c r="U79" i="43" a="1"/>
  <c r="U79" i="43" s="1"/>
  <c r="M79" i="43" a="1"/>
  <c r="M79" i="43" s="1"/>
  <c r="AP77" i="43" a="1"/>
  <c r="AP77" i="43" s="1"/>
  <c r="AF77" i="43" a="1"/>
  <c r="AF77" i="43" s="1"/>
  <c r="X77" i="43" a="1"/>
  <c r="X77" i="43" s="1"/>
  <c r="P77" i="43" a="1"/>
  <c r="P77" i="43" s="1"/>
  <c r="AS76" i="43" a="1"/>
  <c r="AS76" i="43" s="1"/>
  <c r="AI76" i="43" a="1"/>
  <c r="AI76" i="43" s="1"/>
  <c r="AA76" i="43" a="1"/>
  <c r="AA76" i="43" s="1"/>
  <c r="S76" i="43" a="1"/>
  <c r="S76" i="43" s="1"/>
  <c r="K76" i="43" a="1"/>
  <c r="K76" i="43" s="1"/>
  <c r="AL74" i="43" a="1"/>
  <c r="AL74" i="43" s="1"/>
  <c r="AD74" i="43" a="1"/>
  <c r="AD74" i="43" s="1"/>
  <c r="V74" i="43" a="1"/>
  <c r="V74" i="43" s="1"/>
  <c r="N74" i="43" a="1"/>
  <c r="N74" i="43" s="1"/>
  <c r="AQ73" i="43" a="1"/>
  <c r="AQ73" i="43" s="1"/>
  <c r="AG73" i="43" a="1"/>
  <c r="AG73" i="43" s="1"/>
  <c r="Y73" i="43" a="1"/>
  <c r="Y73" i="43" s="1"/>
  <c r="Q73" i="43" a="1"/>
  <c r="Q73" i="43" s="1"/>
  <c r="AT71" i="43" a="1"/>
  <c r="AT71" i="43" s="1"/>
  <c r="AJ71" i="43" a="1"/>
  <c r="AJ71" i="43" s="1"/>
  <c r="AB71" i="43" a="1"/>
  <c r="AB71" i="43" s="1"/>
  <c r="T71" i="43" a="1"/>
  <c r="T71" i="43" s="1"/>
  <c r="L71" i="43" a="1"/>
  <c r="L71" i="43" s="1"/>
  <c r="AM70" i="43" a="1"/>
  <c r="AM70" i="43" s="1"/>
  <c r="AE70" i="43" a="1"/>
  <c r="AE70" i="43" s="1"/>
  <c r="W70" i="43" a="1"/>
  <c r="W70" i="43" s="1"/>
  <c r="O70" i="43" a="1"/>
  <c r="O70" i="43" s="1"/>
  <c r="AR68" i="43" a="1"/>
  <c r="AR68" i="43" s="1"/>
  <c r="AH68" i="43" a="1"/>
  <c r="AH68" i="43" s="1"/>
  <c r="Z68" i="43" a="1"/>
  <c r="Z68" i="43" s="1"/>
  <c r="R68" i="43" a="1"/>
  <c r="R68" i="43" s="1"/>
  <c r="J68" i="43" a="1"/>
  <c r="J68" i="43" s="1"/>
  <c r="AK67" i="43" a="1"/>
  <c r="AK67" i="43" s="1"/>
  <c r="AC67" i="43" a="1"/>
  <c r="AC67" i="43" s="1"/>
  <c r="U67" i="43" a="1"/>
  <c r="U67" i="43" s="1"/>
  <c r="M67" i="43" a="1"/>
  <c r="M67" i="43" s="1"/>
  <c r="AP65" i="43" a="1"/>
  <c r="AP65" i="43" s="1"/>
  <c r="AF65" i="43" a="1"/>
  <c r="AF65" i="43" s="1"/>
  <c r="X65" i="43" a="1"/>
  <c r="X65" i="43" s="1"/>
  <c r="P65" i="43" a="1"/>
  <c r="P65" i="43" s="1"/>
  <c r="AS64" i="43" a="1"/>
  <c r="AS64" i="43" s="1"/>
  <c r="AI64" i="43" a="1"/>
  <c r="AI64" i="43" s="1"/>
  <c r="AA64" i="43" a="1"/>
  <c r="AA64" i="43" s="1"/>
  <c r="S64" i="43" a="1"/>
  <c r="S64" i="43" s="1"/>
  <c r="K64" i="43" a="1"/>
  <c r="K64" i="43" s="1"/>
  <c r="AL62" i="43" a="1"/>
  <c r="AL62" i="43" s="1"/>
  <c r="AD62" i="43" a="1"/>
  <c r="AD62" i="43" s="1"/>
  <c r="V62" i="43" a="1"/>
  <c r="V62" i="43" s="1"/>
  <c r="N62" i="43" a="1"/>
  <c r="N62" i="43" s="1"/>
  <c r="AQ61" i="43" a="1"/>
  <c r="AQ61" i="43" s="1"/>
  <c r="AG61" i="43" a="1"/>
  <c r="AG61" i="43" s="1"/>
  <c r="Y61" i="43" a="1"/>
  <c r="Y61" i="43" s="1"/>
  <c r="Q61" i="43" a="1"/>
  <c r="Q61" i="43" s="1"/>
  <c r="AT59" i="43" a="1"/>
  <c r="AT59" i="43" s="1"/>
  <c r="AJ59" i="43" a="1"/>
  <c r="AJ59" i="43" s="1"/>
  <c r="AB59" i="43" a="1"/>
  <c r="AB59" i="43" s="1"/>
  <c r="T59" i="43" a="1"/>
  <c r="T59" i="43" s="1"/>
  <c r="L59" i="43" a="1"/>
  <c r="L59" i="43" s="1"/>
  <c r="AM58" i="43" a="1"/>
  <c r="AM58" i="43" s="1"/>
  <c r="AE58" i="43" a="1"/>
  <c r="AE58" i="43" s="1"/>
  <c r="W58" i="43" a="1"/>
  <c r="W58" i="43" s="1"/>
  <c r="O58" i="43" a="1"/>
  <c r="O58" i="43" s="1"/>
  <c r="AR56" i="43" a="1"/>
  <c r="AR56" i="43" s="1"/>
  <c r="AH56" i="43" a="1"/>
  <c r="AH56" i="43" s="1"/>
  <c r="Z56" i="43" a="1"/>
  <c r="Z56" i="43" s="1"/>
  <c r="R56" i="43" a="1"/>
  <c r="R56" i="43" s="1"/>
  <c r="J56" i="43" a="1"/>
  <c r="J56" i="43" s="1"/>
  <c r="AK55" i="43" a="1"/>
  <c r="AK55" i="43" s="1"/>
  <c r="AC55" i="43" a="1"/>
  <c r="AC55" i="43" s="1"/>
  <c r="U55" i="43" a="1"/>
  <c r="U55" i="43" s="1"/>
  <c r="M55" i="43" a="1"/>
  <c r="M55" i="43" s="1"/>
  <c r="AP53" i="43" a="1"/>
  <c r="AP53" i="43" s="1"/>
  <c r="AF53" i="43" a="1"/>
  <c r="AF53" i="43" s="1"/>
  <c r="X53" i="43" a="1"/>
  <c r="X53" i="43" s="1"/>
  <c r="P53" i="43" a="1"/>
  <c r="P53" i="43" s="1"/>
  <c r="AS52" i="43" a="1"/>
  <c r="AS52" i="43" s="1"/>
  <c r="AI52" i="43" a="1"/>
  <c r="AI52" i="43" s="1"/>
  <c r="AA52" i="43" a="1"/>
  <c r="AA52" i="43" s="1"/>
  <c r="S52" i="43" a="1"/>
  <c r="S52" i="43" s="1"/>
  <c r="K52" i="43" a="1"/>
  <c r="K52" i="43" s="1"/>
  <c r="AL50" i="43" a="1"/>
  <c r="AL50" i="43" s="1"/>
  <c r="AD50" i="43" a="1"/>
  <c r="AD50" i="43" s="1"/>
  <c r="V50" i="43" a="1"/>
  <c r="V50" i="43" s="1"/>
  <c r="N50" i="43" a="1"/>
  <c r="N50" i="43" s="1"/>
  <c r="AQ49" i="43" a="1"/>
  <c r="AQ49" i="43" s="1"/>
  <c r="AG49" i="43" a="1"/>
  <c r="AG49" i="43" s="1"/>
  <c r="Y49" i="43" a="1"/>
  <c r="Y49" i="43" s="1"/>
  <c r="Q49" i="43" a="1"/>
  <c r="Q49" i="43" s="1"/>
  <c r="AT47" i="43" a="1"/>
  <c r="AT47" i="43" s="1"/>
  <c r="AJ47" i="43" a="1"/>
  <c r="AJ47" i="43" s="1"/>
  <c r="AB47" i="43" a="1"/>
  <c r="AB47" i="43" s="1"/>
  <c r="T47" i="43" a="1"/>
  <c r="T47" i="43" s="1"/>
  <c r="L47" i="43" a="1"/>
  <c r="L47" i="43" s="1"/>
  <c r="AM46" i="43" a="1"/>
  <c r="AM46" i="43" s="1"/>
  <c r="AE46" i="43" a="1"/>
  <c r="AE46" i="43" s="1"/>
  <c r="W46" i="43" a="1"/>
  <c r="W46" i="43" s="1"/>
  <c r="O46" i="43" a="1"/>
  <c r="O46" i="43" s="1"/>
  <c r="AR44" i="43" a="1"/>
  <c r="AR44" i="43" s="1"/>
  <c r="AH44" i="43" a="1"/>
  <c r="AH44" i="43" s="1"/>
  <c r="Z44" i="43" a="1"/>
  <c r="Z44" i="43" s="1"/>
  <c r="R44" i="43" a="1"/>
  <c r="R44" i="43" s="1"/>
  <c r="J44" i="43" a="1"/>
  <c r="J44" i="43" s="1"/>
  <c r="AK43" i="43" a="1"/>
  <c r="AK43" i="43" s="1"/>
  <c r="AC43" i="43" a="1"/>
  <c r="AC43" i="43" s="1"/>
  <c r="U43" i="43" a="1"/>
  <c r="U43" i="43" s="1"/>
  <c r="M43" i="43" a="1"/>
  <c r="M43" i="43" s="1"/>
  <c r="AP41" i="43" a="1"/>
  <c r="AP41" i="43" s="1"/>
  <c r="AF41" i="43" a="1"/>
  <c r="AF41" i="43" s="1"/>
  <c r="X41" i="43" a="1"/>
  <c r="X41" i="43" s="1"/>
  <c r="P41" i="43" a="1"/>
  <c r="P41" i="43" s="1"/>
  <c r="AS40" i="43" a="1"/>
  <c r="AS40" i="43" s="1"/>
  <c r="AI40" i="43" a="1"/>
  <c r="AI40" i="43" s="1"/>
  <c r="AA40" i="43" a="1"/>
  <c r="AA40" i="43" s="1"/>
  <c r="S40" i="43" a="1"/>
  <c r="S40" i="43" s="1"/>
  <c r="K40" i="43" a="1"/>
  <c r="K40" i="43" s="1"/>
  <c r="AL38" i="43" a="1"/>
  <c r="AL38" i="43" s="1"/>
  <c r="AD38" i="43" a="1"/>
  <c r="AD38" i="43" s="1"/>
  <c r="V38" i="43" a="1"/>
  <c r="V38" i="43" s="1"/>
  <c r="N38" i="43" a="1"/>
  <c r="N38" i="43" s="1"/>
  <c r="AQ37" i="43" a="1"/>
  <c r="AQ37" i="43" s="1"/>
  <c r="AG37" i="43" a="1"/>
  <c r="AG37" i="43" s="1"/>
  <c r="Y37" i="43" a="1"/>
  <c r="Y37" i="43" s="1"/>
  <c r="Q37" i="43" a="1"/>
  <c r="Q37" i="43" s="1"/>
  <c r="AT35" i="43" a="1"/>
  <c r="AT35" i="43" s="1"/>
  <c r="AJ35" i="43" a="1"/>
  <c r="AJ35" i="43" s="1"/>
  <c r="AB35" i="43" a="1"/>
  <c r="AB35" i="43" s="1"/>
  <c r="T35" i="43" a="1"/>
  <c r="T35" i="43" s="1"/>
  <c r="L35" i="43" a="1"/>
  <c r="L35" i="43" s="1"/>
  <c r="AM34" i="43" a="1"/>
  <c r="AM34" i="43" s="1"/>
  <c r="AE34" i="43" a="1"/>
  <c r="AE34" i="43" s="1"/>
  <c r="W34" i="43" a="1"/>
  <c r="W34" i="43" s="1"/>
  <c r="O34" i="43" a="1"/>
  <c r="O34" i="43" s="1"/>
  <c r="AR32" i="43" a="1"/>
  <c r="AR32" i="43" s="1"/>
  <c r="AH32" i="43" a="1"/>
  <c r="AH32" i="43" s="1"/>
  <c r="Z32" i="43" a="1"/>
  <c r="Z32" i="43" s="1"/>
  <c r="R32" i="43" a="1"/>
  <c r="R32" i="43" s="1"/>
  <c r="J32" i="43" a="1"/>
  <c r="J32" i="43" s="1"/>
  <c r="AK31" i="43" a="1"/>
  <c r="AK31" i="43" s="1"/>
  <c r="AM91" i="43" a="1"/>
  <c r="AM91" i="43" s="1"/>
  <c r="R89" i="43" a="1"/>
  <c r="R89" i="43" s="1"/>
  <c r="AB88" i="43" a="1"/>
  <c r="AB88" i="43" s="1"/>
  <c r="R88" i="43" a="1"/>
  <c r="R88" i="43" s="1"/>
  <c r="J88" i="43" a="1"/>
  <c r="J88" i="43" s="1"/>
  <c r="AK86" i="43" a="1"/>
  <c r="AK86" i="43" s="1"/>
  <c r="AC86" i="43" a="1"/>
  <c r="AC86" i="43" s="1"/>
  <c r="U86" i="43" a="1"/>
  <c r="U86" i="43" s="1"/>
  <c r="M86" i="43" a="1"/>
  <c r="M86" i="43" s="1"/>
  <c r="AP85" i="43" a="1"/>
  <c r="AP85" i="43" s="1"/>
  <c r="AF85" i="43" a="1"/>
  <c r="AF85" i="43" s="1"/>
  <c r="X85" i="43" a="1"/>
  <c r="X85" i="43" s="1"/>
  <c r="P85" i="43" a="1"/>
  <c r="P85" i="43" s="1"/>
  <c r="AS83" i="43" a="1"/>
  <c r="AS83" i="43" s="1"/>
  <c r="AI83" i="43" a="1"/>
  <c r="AI83" i="43" s="1"/>
  <c r="AA83" i="43" a="1"/>
  <c r="AA83" i="43" s="1"/>
  <c r="S83" i="43" a="1"/>
  <c r="S83" i="43" s="1"/>
  <c r="K83" i="43" a="1"/>
  <c r="K83" i="43" s="1"/>
  <c r="AL82" i="43" a="1"/>
  <c r="AL82" i="43" s="1"/>
  <c r="AD82" i="43" a="1"/>
  <c r="AD82" i="43" s="1"/>
  <c r="V82" i="43" a="1"/>
  <c r="V82" i="43" s="1"/>
  <c r="N82" i="43" a="1"/>
  <c r="N82" i="43" s="1"/>
  <c r="AQ80" i="43" a="1"/>
  <c r="AQ80" i="43" s="1"/>
  <c r="AG80" i="43" a="1"/>
  <c r="AG80" i="43" s="1"/>
  <c r="Y80" i="43" a="1"/>
  <c r="Y80" i="43" s="1"/>
  <c r="Q80" i="43" a="1"/>
  <c r="Q80" i="43" s="1"/>
  <c r="AT79" i="43" a="1"/>
  <c r="AT79" i="43" s="1"/>
  <c r="AJ79" i="43" a="1"/>
  <c r="AJ79" i="43" s="1"/>
  <c r="AB79" i="43" a="1"/>
  <c r="AB79" i="43" s="1"/>
  <c r="T79" i="43" a="1"/>
  <c r="T79" i="43" s="1"/>
  <c r="L79" i="43" a="1"/>
  <c r="L79" i="43" s="1"/>
  <c r="AM77" i="43" a="1"/>
  <c r="AM77" i="43" s="1"/>
  <c r="AE77" i="43" a="1"/>
  <c r="AE77" i="43" s="1"/>
  <c r="W77" i="43" a="1"/>
  <c r="W77" i="43" s="1"/>
  <c r="O77" i="43" a="1"/>
  <c r="O77" i="43" s="1"/>
  <c r="AR76" i="43" a="1"/>
  <c r="AR76" i="43" s="1"/>
  <c r="AH76" i="43" a="1"/>
  <c r="AH76" i="43" s="1"/>
  <c r="Z76" i="43" a="1"/>
  <c r="Z76" i="43" s="1"/>
  <c r="R76" i="43" a="1"/>
  <c r="R76" i="43" s="1"/>
  <c r="J76" i="43" a="1"/>
  <c r="J76" i="43" s="1"/>
  <c r="AK74" i="43" a="1"/>
  <c r="AK74" i="43" s="1"/>
  <c r="AC74" i="43" a="1"/>
  <c r="AC74" i="43" s="1"/>
  <c r="U74" i="43" a="1"/>
  <c r="U74" i="43" s="1"/>
  <c r="M74" i="43" a="1"/>
  <c r="M74" i="43" s="1"/>
  <c r="AP73" i="43" a="1"/>
  <c r="AP73" i="43" s="1"/>
  <c r="AF73" i="43" a="1"/>
  <c r="AF73" i="43" s="1"/>
  <c r="X73" i="43" a="1"/>
  <c r="X73" i="43" s="1"/>
  <c r="P73" i="43" a="1"/>
  <c r="P73" i="43" s="1"/>
  <c r="AS71" i="43" a="1"/>
  <c r="AS71" i="43" s="1"/>
  <c r="AI71" i="43" a="1"/>
  <c r="AI71" i="43" s="1"/>
  <c r="AA71" i="43" a="1"/>
  <c r="AA71" i="43" s="1"/>
  <c r="S71" i="43" a="1"/>
  <c r="S71" i="43" s="1"/>
  <c r="K71" i="43" a="1"/>
  <c r="K71" i="43" s="1"/>
  <c r="AL70" i="43" a="1"/>
  <c r="AL70" i="43" s="1"/>
  <c r="AD70" i="43" a="1"/>
  <c r="AD70" i="43" s="1"/>
  <c r="V70" i="43" a="1"/>
  <c r="V70" i="43" s="1"/>
  <c r="N70" i="43" a="1"/>
  <c r="N70" i="43" s="1"/>
  <c r="AQ68" i="43" a="1"/>
  <c r="AQ68" i="43" s="1"/>
  <c r="AG68" i="43" a="1"/>
  <c r="AG68" i="43" s="1"/>
  <c r="Y68" i="43" a="1"/>
  <c r="Y68" i="43" s="1"/>
  <c r="Q68" i="43" a="1"/>
  <c r="Q68" i="43" s="1"/>
  <c r="AT67" i="43" a="1"/>
  <c r="AT67" i="43" s="1"/>
  <c r="AJ67" i="43" a="1"/>
  <c r="AJ67" i="43" s="1"/>
  <c r="AB67" i="43" a="1"/>
  <c r="AB67" i="43" s="1"/>
  <c r="T67" i="43" a="1"/>
  <c r="T67" i="43" s="1"/>
  <c r="L67" i="43" a="1"/>
  <c r="L67" i="43" s="1"/>
  <c r="AM65" i="43" a="1"/>
  <c r="AM65" i="43" s="1"/>
  <c r="AE65" i="43" a="1"/>
  <c r="AE65" i="43" s="1"/>
  <c r="W65" i="43" a="1"/>
  <c r="W65" i="43" s="1"/>
  <c r="O65" i="43" a="1"/>
  <c r="O65" i="43" s="1"/>
  <c r="AR64" i="43" a="1"/>
  <c r="AR64" i="43" s="1"/>
  <c r="AH64" i="43" a="1"/>
  <c r="AH64" i="43" s="1"/>
  <c r="Z64" i="43" a="1"/>
  <c r="Z64" i="43" s="1"/>
  <c r="R64" i="43" a="1"/>
  <c r="R64" i="43" s="1"/>
  <c r="J64" i="43" a="1"/>
  <c r="J64" i="43" s="1"/>
  <c r="AK62" i="43" a="1"/>
  <c r="AK62" i="43" s="1"/>
  <c r="AC62" i="43" a="1"/>
  <c r="AC62" i="43" s="1"/>
  <c r="U62" i="43" a="1"/>
  <c r="U62" i="43" s="1"/>
  <c r="M62" i="43" a="1"/>
  <c r="M62" i="43" s="1"/>
  <c r="AP61" i="43" a="1"/>
  <c r="AP61" i="43" s="1"/>
  <c r="AF61" i="43" a="1"/>
  <c r="AF61" i="43" s="1"/>
  <c r="X61" i="43" a="1"/>
  <c r="X61" i="43" s="1"/>
  <c r="P61" i="43" a="1"/>
  <c r="P61" i="43" s="1"/>
  <c r="AS59" i="43" a="1"/>
  <c r="AS59" i="43" s="1"/>
  <c r="AI59" i="43" a="1"/>
  <c r="AI59" i="43" s="1"/>
  <c r="AA59" i="43" a="1"/>
  <c r="AA59" i="43" s="1"/>
  <c r="S59" i="43" a="1"/>
  <c r="S59" i="43" s="1"/>
  <c r="K59" i="43" a="1"/>
  <c r="K59" i="43" s="1"/>
  <c r="AL58" i="43" a="1"/>
  <c r="AL58" i="43" s="1"/>
  <c r="AD58" i="43" a="1"/>
  <c r="AD58" i="43" s="1"/>
  <c r="V58" i="43" a="1"/>
  <c r="V58" i="43" s="1"/>
  <c r="N58" i="43" a="1"/>
  <c r="N58" i="43" s="1"/>
  <c r="AQ56" i="43" a="1"/>
  <c r="AQ56" i="43" s="1"/>
  <c r="AG56" i="43" a="1"/>
  <c r="AG56" i="43" s="1"/>
  <c r="Y56" i="43" a="1"/>
  <c r="Y56" i="43" s="1"/>
  <c r="Q56" i="43" a="1"/>
  <c r="Q56" i="43" s="1"/>
  <c r="AT55" i="43" a="1"/>
  <c r="AT55" i="43" s="1"/>
  <c r="AJ55" i="43" a="1"/>
  <c r="AJ55" i="43" s="1"/>
  <c r="AB55" i="43" a="1"/>
  <c r="AB55" i="43" s="1"/>
  <c r="T55" i="43" a="1"/>
  <c r="T55" i="43" s="1"/>
  <c r="L55" i="43" a="1"/>
  <c r="L55" i="43" s="1"/>
  <c r="AM53" i="43" a="1"/>
  <c r="AM53" i="43" s="1"/>
  <c r="AE53" i="43" a="1"/>
  <c r="AE53" i="43" s="1"/>
  <c r="W53" i="43" a="1"/>
  <c r="W53" i="43" s="1"/>
  <c r="O53" i="43" a="1"/>
  <c r="O53" i="43" s="1"/>
  <c r="AR52" i="43" a="1"/>
  <c r="AR52" i="43" s="1"/>
  <c r="AH52" i="43" a="1"/>
  <c r="AH52" i="43" s="1"/>
  <c r="Z52" i="43" a="1"/>
  <c r="Z52" i="43" s="1"/>
  <c r="R52" i="43" a="1"/>
  <c r="R52" i="43" s="1"/>
  <c r="J52" i="43" a="1"/>
  <c r="J52" i="43" s="1"/>
  <c r="AK50" i="43" a="1"/>
  <c r="AK50" i="43" s="1"/>
  <c r="AC50" i="43" a="1"/>
  <c r="AC50" i="43" s="1"/>
  <c r="U50" i="43" a="1"/>
  <c r="U50" i="43" s="1"/>
  <c r="M50" i="43" a="1"/>
  <c r="M50" i="43" s="1"/>
  <c r="AP49" i="43" a="1"/>
  <c r="AP49" i="43" s="1"/>
  <c r="AF49" i="43" a="1"/>
  <c r="AF49" i="43" s="1"/>
  <c r="X49" i="43" a="1"/>
  <c r="X49" i="43" s="1"/>
  <c r="P49" i="43" a="1"/>
  <c r="P49" i="43" s="1"/>
  <c r="AS47" i="43" a="1"/>
  <c r="AS47" i="43" s="1"/>
  <c r="AI47" i="43" a="1"/>
  <c r="AI47" i="43" s="1"/>
  <c r="AA47" i="43" a="1"/>
  <c r="AA47" i="43" s="1"/>
  <c r="S47" i="43" a="1"/>
  <c r="S47" i="43" s="1"/>
  <c r="K47" i="43" a="1"/>
  <c r="K47" i="43" s="1"/>
  <c r="AL46" i="43" a="1"/>
  <c r="AL46" i="43" s="1"/>
  <c r="AD46" i="43" a="1"/>
  <c r="AD46" i="43" s="1"/>
  <c r="V46" i="43" a="1"/>
  <c r="V46" i="43" s="1"/>
  <c r="N46" i="43" a="1"/>
  <c r="N46" i="43" s="1"/>
  <c r="AQ44" i="43" a="1"/>
  <c r="AQ44" i="43" s="1"/>
  <c r="AG44" i="43" a="1"/>
  <c r="AG44" i="43" s="1"/>
  <c r="Y44" i="43" a="1"/>
  <c r="Y44" i="43" s="1"/>
  <c r="Q44" i="43" a="1"/>
  <c r="Q44" i="43" s="1"/>
  <c r="AT43" i="43" a="1"/>
  <c r="AT43" i="43" s="1"/>
  <c r="AJ43" i="43" a="1"/>
  <c r="AJ43" i="43" s="1"/>
  <c r="AB43" i="43" a="1"/>
  <c r="AB43" i="43" s="1"/>
  <c r="T43" i="43" a="1"/>
  <c r="T43" i="43" s="1"/>
  <c r="L43" i="43" a="1"/>
  <c r="L43" i="43" s="1"/>
  <c r="AM41" i="43" a="1"/>
  <c r="AM41" i="43" s="1"/>
  <c r="AE41" i="43" a="1"/>
  <c r="AE41" i="43" s="1"/>
  <c r="W41" i="43" a="1"/>
  <c r="W41" i="43" s="1"/>
  <c r="O41" i="43" a="1"/>
  <c r="O41" i="43" s="1"/>
  <c r="AR40" i="43" a="1"/>
  <c r="AR40" i="43" s="1"/>
  <c r="AH40" i="43" a="1"/>
  <c r="AH40" i="43" s="1"/>
  <c r="Z40" i="43" a="1"/>
  <c r="Z40" i="43" s="1"/>
  <c r="R40" i="43" a="1"/>
  <c r="R40" i="43" s="1"/>
  <c r="J40" i="43" a="1"/>
  <c r="J40" i="43" s="1"/>
  <c r="AK38" i="43" a="1"/>
  <c r="AK38" i="43" s="1"/>
  <c r="AC38" i="43" a="1"/>
  <c r="AC38" i="43" s="1"/>
  <c r="U38" i="43" a="1"/>
  <c r="U38" i="43" s="1"/>
  <c r="M38" i="43" a="1"/>
  <c r="M38" i="43" s="1"/>
  <c r="AP37" i="43" a="1"/>
  <c r="AP37" i="43" s="1"/>
  <c r="AF37" i="43" a="1"/>
  <c r="AF37" i="43" s="1"/>
  <c r="X37" i="43" a="1"/>
  <c r="X37" i="43" s="1"/>
  <c r="P37" i="43" a="1"/>
  <c r="P37" i="43" s="1"/>
  <c r="AS35" i="43" a="1"/>
  <c r="AS35" i="43" s="1"/>
  <c r="AI35" i="43" a="1"/>
  <c r="AI35" i="43" s="1"/>
  <c r="AA35" i="43" a="1"/>
  <c r="AA35" i="43" s="1"/>
  <c r="S35" i="43" a="1"/>
  <c r="S35" i="43" s="1"/>
  <c r="K35" i="43" a="1"/>
  <c r="K35" i="43" s="1"/>
  <c r="AL34" i="43" a="1"/>
  <c r="AL34" i="43" s="1"/>
  <c r="AD34" i="43" a="1"/>
  <c r="AD34" i="43" s="1"/>
  <c r="V34" i="43" a="1"/>
  <c r="V34" i="43" s="1"/>
  <c r="N34" i="43" a="1"/>
  <c r="N34" i="43" s="1"/>
  <c r="AQ32" i="43" a="1"/>
  <c r="AQ32" i="43" s="1"/>
  <c r="AG32" i="43" a="1"/>
  <c r="AG32" i="43" s="1"/>
  <c r="Y32" i="43" a="1"/>
  <c r="Y32" i="43" s="1"/>
  <c r="Q32" i="43" a="1"/>
  <c r="Q32" i="43" s="1"/>
  <c r="AT31" i="43" a="1"/>
  <c r="AT31" i="43" s="1"/>
  <c r="AJ31" i="43" a="1"/>
  <c r="AJ31" i="43" s="1"/>
  <c r="AB31" i="43" a="1"/>
  <c r="AB31" i="43" s="1"/>
  <c r="AE91" i="43" a="1"/>
  <c r="AE91" i="43" s="1"/>
  <c r="L89" i="43" a="1"/>
  <c r="L89" i="43" s="1"/>
  <c r="AA88" i="43" a="1"/>
  <c r="AA88" i="43" s="1"/>
  <c r="Q88" i="43" a="1"/>
  <c r="Q88" i="43" s="1"/>
  <c r="AT86" i="43" a="1"/>
  <c r="AT86" i="43" s="1"/>
  <c r="AJ86" i="43" a="1"/>
  <c r="AJ86" i="43" s="1"/>
  <c r="AB86" i="43" a="1"/>
  <c r="AB86" i="43" s="1"/>
  <c r="T86" i="43" a="1"/>
  <c r="T86" i="43" s="1"/>
  <c r="L86" i="43" a="1"/>
  <c r="L86" i="43" s="1"/>
  <c r="AM85" i="43" a="1"/>
  <c r="AM85" i="43" s="1"/>
  <c r="AE85" i="43" a="1"/>
  <c r="AE85" i="43" s="1"/>
  <c r="W85" i="43" a="1"/>
  <c r="W85" i="43" s="1"/>
  <c r="O85" i="43" a="1"/>
  <c r="O85" i="43" s="1"/>
  <c r="AR83" i="43" a="1"/>
  <c r="AR83" i="43" s="1"/>
  <c r="AH83" i="43" a="1"/>
  <c r="AH83" i="43" s="1"/>
  <c r="Z83" i="43" a="1"/>
  <c r="Z83" i="43" s="1"/>
  <c r="R83" i="43" a="1"/>
  <c r="R83" i="43" s="1"/>
  <c r="J83" i="43" a="1"/>
  <c r="J83" i="43" s="1"/>
  <c r="AK82" i="43" a="1"/>
  <c r="AK82" i="43" s="1"/>
  <c r="AC82" i="43" a="1"/>
  <c r="AC82" i="43" s="1"/>
  <c r="U82" i="43" a="1"/>
  <c r="U82" i="43" s="1"/>
  <c r="M82" i="43" a="1"/>
  <c r="M82" i="43" s="1"/>
  <c r="AP80" i="43" a="1"/>
  <c r="AP80" i="43" s="1"/>
  <c r="AF80" i="43" a="1"/>
  <c r="AF80" i="43" s="1"/>
  <c r="X80" i="43" a="1"/>
  <c r="X80" i="43" s="1"/>
  <c r="P80" i="43" a="1"/>
  <c r="P80" i="43" s="1"/>
  <c r="AS79" i="43" a="1"/>
  <c r="AS79" i="43" s="1"/>
  <c r="AI79" i="43" a="1"/>
  <c r="AI79" i="43" s="1"/>
  <c r="AA79" i="43" a="1"/>
  <c r="AA79" i="43" s="1"/>
  <c r="S79" i="43" a="1"/>
  <c r="S79" i="43" s="1"/>
  <c r="K79" i="43" a="1"/>
  <c r="K79" i="43" s="1"/>
  <c r="AL77" i="43" a="1"/>
  <c r="AL77" i="43" s="1"/>
  <c r="AD77" i="43" a="1"/>
  <c r="AD77" i="43" s="1"/>
  <c r="V77" i="43" a="1"/>
  <c r="V77" i="43" s="1"/>
  <c r="N77" i="43" a="1"/>
  <c r="N77" i="43" s="1"/>
  <c r="AQ76" i="43" a="1"/>
  <c r="AQ76" i="43" s="1"/>
  <c r="AG76" i="43" a="1"/>
  <c r="AG76" i="43" s="1"/>
  <c r="Y76" i="43" a="1"/>
  <c r="Y76" i="43" s="1"/>
  <c r="Q76" i="43" a="1"/>
  <c r="Q76" i="43" s="1"/>
  <c r="AT74" i="43" a="1"/>
  <c r="AT74" i="43" s="1"/>
  <c r="AJ74" i="43" a="1"/>
  <c r="AJ74" i="43" s="1"/>
  <c r="AB74" i="43" a="1"/>
  <c r="AB74" i="43" s="1"/>
  <c r="T74" i="43" a="1"/>
  <c r="T74" i="43" s="1"/>
  <c r="L74" i="43" a="1"/>
  <c r="L74" i="43" s="1"/>
  <c r="AM73" i="43" a="1"/>
  <c r="AM73" i="43" s="1"/>
  <c r="AE73" i="43" a="1"/>
  <c r="AE73" i="43" s="1"/>
  <c r="W73" i="43" a="1"/>
  <c r="W73" i="43" s="1"/>
  <c r="O73" i="43" a="1"/>
  <c r="O73" i="43" s="1"/>
  <c r="AR71" i="43" a="1"/>
  <c r="AR71" i="43" s="1"/>
  <c r="AH71" i="43" a="1"/>
  <c r="AH71" i="43" s="1"/>
  <c r="Z71" i="43" a="1"/>
  <c r="Z71" i="43" s="1"/>
  <c r="R71" i="43" a="1"/>
  <c r="R71" i="43" s="1"/>
  <c r="J71" i="43" a="1"/>
  <c r="J71" i="43" s="1"/>
  <c r="AK70" i="43" a="1"/>
  <c r="AK70" i="43" s="1"/>
  <c r="AC70" i="43" a="1"/>
  <c r="AC70" i="43" s="1"/>
  <c r="U70" i="43" a="1"/>
  <c r="U70" i="43" s="1"/>
  <c r="M70" i="43" a="1"/>
  <c r="M70" i="43" s="1"/>
  <c r="AP68" i="43" a="1"/>
  <c r="AP68" i="43" s="1"/>
  <c r="AF68" i="43" a="1"/>
  <c r="AF68" i="43" s="1"/>
  <c r="X68" i="43" a="1"/>
  <c r="X68" i="43" s="1"/>
  <c r="P68" i="43" a="1"/>
  <c r="P68" i="43" s="1"/>
  <c r="AS67" i="43" a="1"/>
  <c r="AS67" i="43" s="1"/>
  <c r="AI67" i="43" a="1"/>
  <c r="AI67" i="43" s="1"/>
  <c r="AA67" i="43" a="1"/>
  <c r="AA67" i="43" s="1"/>
  <c r="S67" i="43" a="1"/>
  <c r="S67" i="43" s="1"/>
  <c r="K67" i="43" a="1"/>
  <c r="K67" i="43" s="1"/>
  <c r="AL65" i="43" a="1"/>
  <c r="AL65" i="43" s="1"/>
  <c r="AD65" i="43" a="1"/>
  <c r="AD65" i="43" s="1"/>
  <c r="V65" i="43" a="1"/>
  <c r="V65" i="43" s="1"/>
  <c r="N65" i="43" a="1"/>
  <c r="N65" i="43" s="1"/>
  <c r="AQ64" i="43" a="1"/>
  <c r="AQ64" i="43" s="1"/>
  <c r="AG64" i="43" a="1"/>
  <c r="AG64" i="43" s="1"/>
  <c r="Y64" i="43" a="1"/>
  <c r="Y64" i="43" s="1"/>
  <c r="Q64" i="43" a="1"/>
  <c r="Q64" i="43" s="1"/>
  <c r="AT62" i="43" a="1"/>
  <c r="AT62" i="43" s="1"/>
  <c r="AJ62" i="43" a="1"/>
  <c r="AJ62" i="43" s="1"/>
  <c r="AB62" i="43" a="1"/>
  <c r="AB62" i="43" s="1"/>
  <c r="T62" i="43" a="1"/>
  <c r="T62" i="43" s="1"/>
  <c r="L62" i="43" a="1"/>
  <c r="L62" i="43" s="1"/>
  <c r="AM61" i="43" a="1"/>
  <c r="AM61" i="43" s="1"/>
  <c r="AE61" i="43" a="1"/>
  <c r="AE61" i="43" s="1"/>
  <c r="W61" i="43" a="1"/>
  <c r="W61" i="43" s="1"/>
  <c r="O61" i="43" a="1"/>
  <c r="O61" i="43" s="1"/>
  <c r="AR59" i="43" a="1"/>
  <c r="AR59" i="43" s="1"/>
  <c r="AH59" i="43" a="1"/>
  <c r="AH59" i="43" s="1"/>
  <c r="Z59" i="43" a="1"/>
  <c r="Z59" i="43" s="1"/>
  <c r="R59" i="43" a="1"/>
  <c r="R59" i="43" s="1"/>
  <c r="J59" i="43" a="1"/>
  <c r="J59" i="43" s="1"/>
  <c r="AK58" i="43" a="1"/>
  <c r="AK58" i="43" s="1"/>
  <c r="AC58" i="43" a="1"/>
  <c r="AC58" i="43" s="1"/>
  <c r="U58" i="43" a="1"/>
  <c r="U58" i="43" s="1"/>
  <c r="M58" i="43" a="1"/>
  <c r="M58" i="43" s="1"/>
  <c r="AP56" i="43" a="1"/>
  <c r="AP56" i="43" s="1"/>
  <c r="AF56" i="43" a="1"/>
  <c r="AF56" i="43" s="1"/>
  <c r="X56" i="43" a="1"/>
  <c r="X56" i="43" s="1"/>
  <c r="P56" i="43" a="1"/>
  <c r="P56" i="43" s="1"/>
  <c r="AS55" i="43" a="1"/>
  <c r="AS55" i="43" s="1"/>
  <c r="AI55" i="43" a="1"/>
  <c r="AI55" i="43" s="1"/>
  <c r="AA55" i="43" a="1"/>
  <c r="AA55" i="43" s="1"/>
  <c r="S55" i="43" a="1"/>
  <c r="S55" i="43" s="1"/>
  <c r="K55" i="43" a="1"/>
  <c r="K55" i="43" s="1"/>
  <c r="AL53" i="43" a="1"/>
  <c r="AL53" i="43" s="1"/>
  <c r="AD53" i="43" a="1"/>
  <c r="AD53" i="43" s="1"/>
  <c r="V53" i="43" a="1"/>
  <c r="V53" i="43" s="1"/>
  <c r="N53" i="43" a="1"/>
  <c r="N53" i="43" s="1"/>
  <c r="AQ52" i="43" a="1"/>
  <c r="AQ52" i="43" s="1"/>
  <c r="AG52" i="43" a="1"/>
  <c r="AG52" i="43" s="1"/>
  <c r="Y52" i="43" a="1"/>
  <c r="Y52" i="43" s="1"/>
  <c r="Q52" i="43" a="1"/>
  <c r="Q52" i="43" s="1"/>
  <c r="AT50" i="43" a="1"/>
  <c r="AT50" i="43" s="1"/>
  <c r="AJ50" i="43" a="1"/>
  <c r="AJ50" i="43" s="1"/>
  <c r="AB50" i="43" a="1"/>
  <c r="AB50" i="43" s="1"/>
  <c r="T50" i="43" a="1"/>
  <c r="T50" i="43" s="1"/>
  <c r="L50" i="43" a="1"/>
  <c r="L50" i="43" s="1"/>
  <c r="AM49" i="43" a="1"/>
  <c r="AM49" i="43" s="1"/>
  <c r="AE49" i="43" a="1"/>
  <c r="AE49" i="43" s="1"/>
  <c r="W49" i="43" a="1"/>
  <c r="W49" i="43" s="1"/>
  <c r="O49" i="43" a="1"/>
  <c r="O49" i="43" s="1"/>
  <c r="AR47" i="43" a="1"/>
  <c r="AR47" i="43" s="1"/>
  <c r="AH47" i="43" a="1"/>
  <c r="AH47" i="43" s="1"/>
  <c r="Z47" i="43" a="1"/>
  <c r="Z47" i="43" s="1"/>
  <c r="R47" i="43" a="1"/>
  <c r="R47" i="43" s="1"/>
  <c r="J47" i="43" a="1"/>
  <c r="J47" i="43" s="1"/>
  <c r="AK46" i="43" a="1"/>
  <c r="AK46" i="43" s="1"/>
  <c r="AC46" i="43" a="1"/>
  <c r="AC46" i="43" s="1"/>
  <c r="U46" i="43" a="1"/>
  <c r="U46" i="43" s="1"/>
  <c r="M46" i="43" a="1"/>
  <c r="M46" i="43" s="1"/>
  <c r="AP44" i="43" a="1"/>
  <c r="AP44" i="43" s="1"/>
  <c r="AF44" i="43" a="1"/>
  <c r="AF44" i="43" s="1"/>
  <c r="X44" i="43" a="1"/>
  <c r="X44" i="43" s="1"/>
  <c r="P44" i="43" a="1"/>
  <c r="P44" i="43" s="1"/>
  <c r="AS43" i="43" a="1"/>
  <c r="AS43" i="43" s="1"/>
  <c r="AI43" i="43" a="1"/>
  <c r="AI43" i="43" s="1"/>
  <c r="AA43" i="43" a="1"/>
  <c r="AA43" i="43" s="1"/>
  <c r="S43" i="43" a="1"/>
  <c r="S43" i="43" s="1"/>
  <c r="K43" i="43" a="1"/>
  <c r="K43" i="43" s="1"/>
  <c r="AL41" i="43" a="1"/>
  <c r="AL41" i="43" s="1"/>
  <c r="AD41" i="43" a="1"/>
  <c r="AD41" i="43" s="1"/>
  <c r="V41" i="43" a="1"/>
  <c r="V41" i="43" s="1"/>
  <c r="N41" i="43" a="1"/>
  <c r="N41" i="43" s="1"/>
  <c r="AQ40" i="43" a="1"/>
  <c r="AQ40" i="43" s="1"/>
  <c r="AG40" i="43" a="1"/>
  <c r="AG40" i="43" s="1"/>
  <c r="Y40" i="43" a="1"/>
  <c r="Y40" i="43" s="1"/>
  <c r="Q40" i="43" a="1"/>
  <c r="Q40" i="43" s="1"/>
  <c r="AT38" i="43" a="1"/>
  <c r="AT38" i="43" s="1"/>
  <c r="AJ38" i="43" a="1"/>
  <c r="AJ38" i="43" s="1"/>
  <c r="AB38" i="43" a="1"/>
  <c r="AB38" i="43" s="1"/>
  <c r="T38" i="43" a="1"/>
  <c r="T38" i="43" s="1"/>
  <c r="L38" i="43" a="1"/>
  <c r="L38" i="43" s="1"/>
  <c r="AM37" i="43" a="1"/>
  <c r="AM37" i="43" s="1"/>
  <c r="AE37" i="43" a="1"/>
  <c r="AE37" i="43" s="1"/>
  <c r="W37" i="43" a="1"/>
  <c r="W37" i="43" s="1"/>
  <c r="O37" i="43" a="1"/>
  <c r="O37" i="43" s="1"/>
  <c r="AR35" i="43" a="1"/>
  <c r="AR35" i="43" s="1"/>
  <c r="AH35" i="43" a="1"/>
  <c r="AH35" i="43" s="1"/>
  <c r="Z35" i="43" a="1"/>
  <c r="Z35" i="43" s="1"/>
  <c r="R35" i="43" a="1"/>
  <c r="R35" i="43" s="1"/>
  <c r="J35" i="43" a="1"/>
  <c r="J35" i="43" s="1"/>
  <c r="AK34" i="43" a="1"/>
  <c r="AK34" i="43" s="1"/>
  <c r="AC34" i="43" a="1"/>
  <c r="AC34" i="43" s="1"/>
  <c r="U34" i="43" a="1"/>
  <c r="U34" i="43" s="1"/>
  <c r="M34" i="43" a="1"/>
  <c r="M34" i="43" s="1"/>
  <c r="AP32" i="43" a="1"/>
  <c r="AP32" i="43" s="1"/>
  <c r="AF32" i="43" a="1"/>
  <c r="AF32" i="43" s="1"/>
  <c r="X32" i="43" a="1"/>
  <c r="X32" i="43" s="1"/>
  <c r="P32" i="43" a="1"/>
  <c r="P32" i="43" s="1"/>
  <c r="AS31" i="43" a="1"/>
  <c r="AS31" i="43" s="1"/>
  <c r="AI31" i="43" a="1"/>
  <c r="AI31" i="43" s="1"/>
  <c r="AA31" i="43" a="1"/>
  <c r="AA31" i="43" s="1"/>
  <c r="W91" i="43" a="1"/>
  <c r="W91" i="43" s="1"/>
  <c r="J89" i="43" a="1"/>
  <c r="J89" i="43" s="1"/>
  <c r="Z88" i="43" a="1"/>
  <c r="Z88" i="43" s="1"/>
  <c r="P88" i="43" a="1"/>
  <c r="P88" i="43" s="1"/>
  <c r="AS86" i="43" a="1"/>
  <c r="AS86" i="43" s="1"/>
  <c r="AI86" i="43" a="1"/>
  <c r="AI86" i="43" s="1"/>
  <c r="AA86" i="43" a="1"/>
  <c r="AA86" i="43" s="1"/>
  <c r="S86" i="43" a="1"/>
  <c r="S86" i="43" s="1"/>
  <c r="K86" i="43" a="1"/>
  <c r="K86" i="43" s="1"/>
  <c r="AL85" i="43" a="1"/>
  <c r="AL85" i="43" s="1"/>
  <c r="AD85" i="43" a="1"/>
  <c r="AD85" i="43" s="1"/>
  <c r="V85" i="43" a="1"/>
  <c r="V85" i="43" s="1"/>
  <c r="N85" i="43" a="1"/>
  <c r="N85" i="43" s="1"/>
  <c r="AQ83" i="43" a="1"/>
  <c r="AQ83" i="43" s="1"/>
  <c r="AG83" i="43" a="1"/>
  <c r="AG83" i="43" s="1"/>
  <c r="Y83" i="43" a="1"/>
  <c r="Y83" i="43" s="1"/>
  <c r="Q83" i="43" a="1"/>
  <c r="Q83" i="43" s="1"/>
  <c r="AT82" i="43" a="1"/>
  <c r="AT82" i="43" s="1"/>
  <c r="AJ82" i="43" a="1"/>
  <c r="AJ82" i="43" s="1"/>
  <c r="AB82" i="43" a="1"/>
  <c r="AB82" i="43" s="1"/>
  <c r="T82" i="43" a="1"/>
  <c r="T82" i="43" s="1"/>
  <c r="L82" i="43" a="1"/>
  <c r="L82" i="43" s="1"/>
  <c r="AM80" i="43" a="1"/>
  <c r="AM80" i="43" s="1"/>
  <c r="AE80" i="43" a="1"/>
  <c r="AE80" i="43" s="1"/>
  <c r="W80" i="43" a="1"/>
  <c r="W80" i="43" s="1"/>
  <c r="O80" i="43" a="1"/>
  <c r="O80" i="43" s="1"/>
  <c r="AR79" i="43" a="1"/>
  <c r="AR79" i="43" s="1"/>
  <c r="AH79" i="43" a="1"/>
  <c r="AH79" i="43" s="1"/>
  <c r="Z79" i="43" a="1"/>
  <c r="Z79" i="43" s="1"/>
  <c r="R79" i="43" a="1"/>
  <c r="R79" i="43" s="1"/>
  <c r="J79" i="43" a="1"/>
  <c r="J79" i="43" s="1"/>
  <c r="AK77" i="43" a="1"/>
  <c r="AK77" i="43" s="1"/>
  <c r="AC77" i="43" a="1"/>
  <c r="AC77" i="43" s="1"/>
  <c r="U77" i="43" a="1"/>
  <c r="U77" i="43" s="1"/>
  <c r="M77" i="43" a="1"/>
  <c r="M77" i="43" s="1"/>
  <c r="AP76" i="43" a="1"/>
  <c r="AP76" i="43" s="1"/>
  <c r="AF76" i="43" a="1"/>
  <c r="AF76" i="43" s="1"/>
  <c r="X76" i="43" a="1"/>
  <c r="X76" i="43" s="1"/>
  <c r="P76" i="43" a="1"/>
  <c r="P76" i="43" s="1"/>
  <c r="AS74" i="43" a="1"/>
  <c r="AS74" i="43" s="1"/>
  <c r="AI74" i="43" a="1"/>
  <c r="AI74" i="43" s="1"/>
  <c r="AA74" i="43" a="1"/>
  <c r="AA74" i="43" s="1"/>
  <c r="S74" i="43" a="1"/>
  <c r="S74" i="43" s="1"/>
  <c r="K74" i="43" a="1"/>
  <c r="K74" i="43" s="1"/>
  <c r="AL73" i="43" a="1"/>
  <c r="AL73" i="43" s="1"/>
  <c r="AD73" i="43" a="1"/>
  <c r="AD73" i="43" s="1"/>
  <c r="V73" i="43" a="1"/>
  <c r="V73" i="43" s="1"/>
  <c r="N73" i="43" a="1"/>
  <c r="N73" i="43" s="1"/>
  <c r="AQ71" i="43" a="1"/>
  <c r="AQ71" i="43" s="1"/>
  <c r="AG71" i="43" a="1"/>
  <c r="AG71" i="43" s="1"/>
  <c r="Y71" i="43" a="1"/>
  <c r="Y71" i="43" s="1"/>
  <c r="Q71" i="43" a="1"/>
  <c r="Q71" i="43" s="1"/>
  <c r="AT70" i="43" a="1"/>
  <c r="AT70" i="43" s="1"/>
  <c r="AJ70" i="43" a="1"/>
  <c r="AJ70" i="43" s="1"/>
  <c r="AB70" i="43" a="1"/>
  <c r="AB70" i="43" s="1"/>
  <c r="T70" i="43" a="1"/>
  <c r="T70" i="43" s="1"/>
  <c r="L70" i="43" a="1"/>
  <c r="L70" i="43" s="1"/>
  <c r="AM68" i="43" a="1"/>
  <c r="AM68" i="43" s="1"/>
  <c r="AE68" i="43" a="1"/>
  <c r="AE68" i="43" s="1"/>
  <c r="W68" i="43" a="1"/>
  <c r="W68" i="43" s="1"/>
  <c r="O68" i="43" a="1"/>
  <c r="O68" i="43" s="1"/>
  <c r="AR67" i="43" a="1"/>
  <c r="AR67" i="43" s="1"/>
  <c r="AH67" i="43" a="1"/>
  <c r="AH67" i="43" s="1"/>
  <c r="Z67" i="43" a="1"/>
  <c r="Z67" i="43" s="1"/>
  <c r="R67" i="43" a="1"/>
  <c r="R67" i="43" s="1"/>
  <c r="J67" i="43" a="1"/>
  <c r="J67" i="43" s="1"/>
  <c r="AK65" i="43" a="1"/>
  <c r="AK65" i="43" s="1"/>
  <c r="AC65" i="43" a="1"/>
  <c r="AC65" i="43" s="1"/>
  <c r="U65" i="43" a="1"/>
  <c r="U65" i="43" s="1"/>
  <c r="M65" i="43" a="1"/>
  <c r="M65" i="43" s="1"/>
  <c r="AP64" i="43" a="1"/>
  <c r="AP64" i="43" s="1"/>
  <c r="AF64" i="43" a="1"/>
  <c r="AF64" i="43" s="1"/>
  <c r="X64" i="43" a="1"/>
  <c r="X64" i="43" s="1"/>
  <c r="P64" i="43" a="1"/>
  <c r="P64" i="43" s="1"/>
  <c r="AS62" i="43" a="1"/>
  <c r="AS62" i="43" s="1"/>
  <c r="AI62" i="43" a="1"/>
  <c r="AI62" i="43" s="1"/>
  <c r="AA62" i="43" a="1"/>
  <c r="AA62" i="43" s="1"/>
  <c r="S62" i="43" a="1"/>
  <c r="S62" i="43" s="1"/>
  <c r="K62" i="43" a="1"/>
  <c r="K62" i="43" s="1"/>
  <c r="AL61" i="43" a="1"/>
  <c r="AL61" i="43" s="1"/>
  <c r="AD61" i="43" a="1"/>
  <c r="AD61" i="43" s="1"/>
  <c r="V61" i="43" a="1"/>
  <c r="V61" i="43" s="1"/>
  <c r="N61" i="43" a="1"/>
  <c r="N61" i="43" s="1"/>
  <c r="AQ59" i="43" a="1"/>
  <c r="AQ59" i="43" s="1"/>
  <c r="AG59" i="43" a="1"/>
  <c r="AG59" i="43" s="1"/>
  <c r="Y59" i="43" a="1"/>
  <c r="Y59" i="43" s="1"/>
  <c r="Q59" i="43" a="1"/>
  <c r="Q59" i="43" s="1"/>
  <c r="AT58" i="43" a="1"/>
  <c r="AT58" i="43" s="1"/>
  <c r="AJ58" i="43" a="1"/>
  <c r="AJ58" i="43" s="1"/>
  <c r="AB58" i="43" a="1"/>
  <c r="AB58" i="43" s="1"/>
  <c r="T58" i="43" a="1"/>
  <c r="T58" i="43" s="1"/>
  <c r="L58" i="43" a="1"/>
  <c r="L58" i="43" s="1"/>
  <c r="AM56" i="43" a="1"/>
  <c r="AM56" i="43" s="1"/>
  <c r="AE56" i="43" a="1"/>
  <c r="AE56" i="43" s="1"/>
  <c r="W56" i="43" a="1"/>
  <c r="W56" i="43" s="1"/>
  <c r="O56" i="43" a="1"/>
  <c r="O56" i="43" s="1"/>
  <c r="AR55" i="43" a="1"/>
  <c r="AR55" i="43" s="1"/>
  <c r="AH55" i="43" a="1"/>
  <c r="AH55" i="43" s="1"/>
  <c r="Z55" i="43" a="1"/>
  <c r="Z55" i="43" s="1"/>
  <c r="R55" i="43" a="1"/>
  <c r="R55" i="43" s="1"/>
  <c r="J55" i="43" a="1"/>
  <c r="J55" i="43" s="1"/>
  <c r="AK53" i="43" a="1"/>
  <c r="AK53" i="43" s="1"/>
  <c r="AC53" i="43" a="1"/>
  <c r="AC53" i="43" s="1"/>
  <c r="U53" i="43" a="1"/>
  <c r="U53" i="43" s="1"/>
  <c r="M53" i="43" a="1"/>
  <c r="M53" i="43" s="1"/>
  <c r="AP52" i="43" a="1"/>
  <c r="AP52" i="43" s="1"/>
  <c r="AF52" i="43" a="1"/>
  <c r="AF52" i="43" s="1"/>
  <c r="X52" i="43" a="1"/>
  <c r="X52" i="43" s="1"/>
  <c r="P52" i="43" a="1"/>
  <c r="P52" i="43" s="1"/>
  <c r="AS50" i="43" a="1"/>
  <c r="AS50" i="43" s="1"/>
  <c r="AI50" i="43" a="1"/>
  <c r="AI50" i="43" s="1"/>
  <c r="AA50" i="43" a="1"/>
  <c r="AA50" i="43" s="1"/>
  <c r="S50" i="43" a="1"/>
  <c r="S50" i="43" s="1"/>
  <c r="K50" i="43" a="1"/>
  <c r="K50" i="43" s="1"/>
  <c r="AL49" i="43" a="1"/>
  <c r="AL49" i="43" s="1"/>
  <c r="AD49" i="43" a="1"/>
  <c r="AD49" i="43" s="1"/>
  <c r="V49" i="43" a="1"/>
  <c r="V49" i="43" s="1"/>
  <c r="N49" i="43" a="1"/>
  <c r="N49" i="43" s="1"/>
  <c r="AQ47" i="43" a="1"/>
  <c r="AQ47" i="43" s="1"/>
  <c r="AG47" i="43" a="1"/>
  <c r="AG47" i="43" s="1"/>
  <c r="Y47" i="43" a="1"/>
  <c r="Y47" i="43" s="1"/>
  <c r="Q47" i="43" a="1"/>
  <c r="Q47" i="43" s="1"/>
  <c r="AT46" i="43" a="1"/>
  <c r="AT46" i="43" s="1"/>
  <c r="AJ46" i="43" a="1"/>
  <c r="AJ46" i="43" s="1"/>
  <c r="AB46" i="43" a="1"/>
  <c r="AB46" i="43" s="1"/>
  <c r="T46" i="43" a="1"/>
  <c r="T46" i="43" s="1"/>
  <c r="L46" i="43" a="1"/>
  <c r="L46" i="43" s="1"/>
  <c r="AM44" i="43" a="1"/>
  <c r="AM44" i="43" s="1"/>
  <c r="AE44" i="43" a="1"/>
  <c r="AE44" i="43" s="1"/>
  <c r="W44" i="43" a="1"/>
  <c r="W44" i="43" s="1"/>
  <c r="O44" i="43" a="1"/>
  <c r="O44" i="43" s="1"/>
  <c r="AR43" i="43" a="1"/>
  <c r="AR43" i="43" s="1"/>
  <c r="AH43" i="43" a="1"/>
  <c r="AH43" i="43" s="1"/>
  <c r="Z43" i="43" a="1"/>
  <c r="Z43" i="43" s="1"/>
  <c r="R43" i="43" a="1"/>
  <c r="R43" i="43" s="1"/>
  <c r="J43" i="43" a="1"/>
  <c r="J43" i="43" s="1"/>
  <c r="AK41" i="43" a="1"/>
  <c r="AK41" i="43" s="1"/>
  <c r="AC41" i="43" a="1"/>
  <c r="AC41" i="43" s="1"/>
  <c r="U41" i="43" a="1"/>
  <c r="U41" i="43" s="1"/>
  <c r="M41" i="43" a="1"/>
  <c r="M41" i="43" s="1"/>
  <c r="AP40" i="43" a="1"/>
  <c r="AP40" i="43" s="1"/>
  <c r="AF40" i="43" a="1"/>
  <c r="AF40" i="43" s="1"/>
  <c r="X40" i="43" a="1"/>
  <c r="X40" i="43" s="1"/>
  <c r="P40" i="43" a="1"/>
  <c r="P40" i="43" s="1"/>
  <c r="AS38" i="43" a="1"/>
  <c r="AS38" i="43" s="1"/>
  <c r="AI38" i="43" a="1"/>
  <c r="AI38" i="43" s="1"/>
  <c r="AA38" i="43" a="1"/>
  <c r="AA38" i="43" s="1"/>
  <c r="S38" i="43" a="1"/>
  <c r="S38" i="43" s="1"/>
  <c r="K38" i="43" a="1"/>
  <c r="K38" i="43" s="1"/>
  <c r="AL37" i="43" a="1"/>
  <c r="AL37" i="43" s="1"/>
  <c r="AD37" i="43" a="1"/>
  <c r="AD37" i="43" s="1"/>
  <c r="V37" i="43" a="1"/>
  <c r="V37" i="43" s="1"/>
  <c r="N37" i="43" a="1"/>
  <c r="N37" i="43" s="1"/>
  <c r="AQ35" i="43" a="1"/>
  <c r="AQ35" i="43" s="1"/>
  <c r="AG35" i="43" a="1"/>
  <c r="AG35" i="43" s="1"/>
  <c r="Y35" i="43" a="1"/>
  <c r="Y35" i="43" s="1"/>
  <c r="Q35" i="43" a="1"/>
  <c r="Q35" i="43" s="1"/>
  <c r="AT34" i="43" a="1"/>
  <c r="AT34" i="43" s="1"/>
  <c r="AJ34" i="43" a="1"/>
  <c r="AJ34" i="43" s="1"/>
  <c r="AB34" i="43" a="1"/>
  <c r="AB34" i="43" s="1"/>
  <c r="T34" i="43" a="1"/>
  <c r="T34" i="43" s="1"/>
  <c r="L34" i="43" a="1"/>
  <c r="L34" i="43" s="1"/>
  <c r="AM32" i="43" a="1"/>
  <c r="AM32" i="43" s="1"/>
  <c r="AE32" i="43" a="1"/>
  <c r="AE32" i="43" s="1"/>
  <c r="W32" i="43" a="1"/>
  <c r="W32" i="43" s="1"/>
  <c r="O32" i="43" a="1"/>
  <c r="O32" i="43" s="1"/>
  <c r="AR31" i="43" a="1"/>
  <c r="AR31" i="43" s="1"/>
  <c r="AH31" i="43" a="1"/>
  <c r="AH31" i="43" s="1"/>
  <c r="Z31" i="43" a="1"/>
  <c r="Z31" i="43" s="1"/>
  <c r="R31" i="43" a="1"/>
  <c r="R31" i="43" s="1"/>
  <c r="J31" i="43" a="1"/>
  <c r="J31" i="43" s="1"/>
  <c r="O91" i="43" a="1"/>
  <c r="O91" i="43" s="1"/>
  <c r="AM88" i="43" a="1"/>
  <c r="AM88" i="43" s="1"/>
  <c r="Y88" i="43" a="1"/>
  <c r="Y88" i="43" s="1"/>
  <c r="O88" i="43" a="1"/>
  <c r="O88" i="43" s="1"/>
  <c r="AR86" i="43" a="1"/>
  <c r="AR86" i="43" s="1"/>
  <c r="AH86" i="43" a="1"/>
  <c r="AH86" i="43" s="1"/>
  <c r="Z86" i="43" a="1"/>
  <c r="Z86" i="43" s="1"/>
  <c r="R86" i="43" a="1"/>
  <c r="R86" i="43" s="1"/>
  <c r="J86" i="43" a="1"/>
  <c r="J86" i="43" s="1"/>
  <c r="AK85" i="43" a="1"/>
  <c r="AK85" i="43" s="1"/>
  <c r="AC85" i="43" a="1"/>
  <c r="AC85" i="43" s="1"/>
  <c r="U85" i="43" a="1"/>
  <c r="U85" i="43" s="1"/>
  <c r="M85" i="43" a="1"/>
  <c r="M85" i="43" s="1"/>
  <c r="AP83" i="43" a="1"/>
  <c r="AP83" i="43" s="1"/>
  <c r="AF83" i="43" a="1"/>
  <c r="AF83" i="43" s="1"/>
  <c r="X83" i="43" a="1"/>
  <c r="X83" i="43" s="1"/>
  <c r="P83" i="43" a="1"/>
  <c r="P83" i="43" s="1"/>
  <c r="AS82" i="43" a="1"/>
  <c r="AS82" i="43" s="1"/>
  <c r="AI82" i="43" a="1"/>
  <c r="AI82" i="43" s="1"/>
  <c r="AA82" i="43" a="1"/>
  <c r="AA82" i="43" s="1"/>
  <c r="S82" i="43" a="1"/>
  <c r="S82" i="43" s="1"/>
  <c r="K82" i="43" a="1"/>
  <c r="K82" i="43" s="1"/>
  <c r="AL80" i="43" a="1"/>
  <c r="AL80" i="43" s="1"/>
  <c r="AD80" i="43" a="1"/>
  <c r="AD80" i="43" s="1"/>
  <c r="V80" i="43" a="1"/>
  <c r="V80" i="43" s="1"/>
  <c r="N80" i="43" a="1"/>
  <c r="N80" i="43" s="1"/>
  <c r="AQ79" i="43" a="1"/>
  <c r="AQ79" i="43" s="1"/>
  <c r="AG79" i="43" a="1"/>
  <c r="AG79" i="43" s="1"/>
  <c r="Y79" i="43" a="1"/>
  <c r="Y79" i="43" s="1"/>
  <c r="Q79" i="43" a="1"/>
  <c r="Q79" i="43" s="1"/>
  <c r="AT77" i="43" a="1"/>
  <c r="AT77" i="43" s="1"/>
  <c r="AJ77" i="43" a="1"/>
  <c r="AJ77" i="43" s="1"/>
  <c r="AB77" i="43" a="1"/>
  <c r="AB77" i="43" s="1"/>
  <c r="T77" i="43" a="1"/>
  <c r="T77" i="43" s="1"/>
  <c r="L77" i="43" a="1"/>
  <c r="L77" i="43" s="1"/>
  <c r="AM76" i="43" a="1"/>
  <c r="AM76" i="43" s="1"/>
  <c r="AE76" i="43" a="1"/>
  <c r="AE76" i="43" s="1"/>
  <c r="W76" i="43" a="1"/>
  <c r="W76" i="43" s="1"/>
  <c r="O76" i="43" a="1"/>
  <c r="O76" i="43" s="1"/>
  <c r="AR74" i="43" a="1"/>
  <c r="AR74" i="43" s="1"/>
  <c r="AH74" i="43" a="1"/>
  <c r="AH74" i="43" s="1"/>
  <c r="Z74" i="43" a="1"/>
  <c r="Z74" i="43" s="1"/>
  <c r="R74" i="43" a="1"/>
  <c r="R74" i="43" s="1"/>
  <c r="J74" i="43" a="1"/>
  <c r="J74" i="43" s="1"/>
  <c r="AK73" i="43" a="1"/>
  <c r="AK73" i="43" s="1"/>
  <c r="AC73" i="43" a="1"/>
  <c r="AC73" i="43" s="1"/>
  <c r="U73" i="43" a="1"/>
  <c r="U73" i="43" s="1"/>
  <c r="M73" i="43" a="1"/>
  <c r="M73" i="43" s="1"/>
  <c r="AP71" i="43" a="1"/>
  <c r="AP71" i="43" s="1"/>
  <c r="AF71" i="43" a="1"/>
  <c r="AF71" i="43" s="1"/>
  <c r="X71" i="43" a="1"/>
  <c r="X71" i="43" s="1"/>
  <c r="P71" i="43" a="1"/>
  <c r="P71" i="43" s="1"/>
  <c r="AS70" i="43" a="1"/>
  <c r="AS70" i="43" s="1"/>
  <c r="AI70" i="43" a="1"/>
  <c r="AI70" i="43" s="1"/>
  <c r="AA70" i="43" a="1"/>
  <c r="AA70" i="43" s="1"/>
  <c r="S70" i="43" a="1"/>
  <c r="S70" i="43" s="1"/>
  <c r="K70" i="43" a="1"/>
  <c r="K70" i="43" s="1"/>
  <c r="AL68" i="43" a="1"/>
  <c r="AL68" i="43" s="1"/>
  <c r="AD68" i="43" a="1"/>
  <c r="AD68" i="43" s="1"/>
  <c r="V68" i="43" a="1"/>
  <c r="V68" i="43" s="1"/>
  <c r="N68" i="43" a="1"/>
  <c r="N68" i="43" s="1"/>
  <c r="AQ67" i="43" a="1"/>
  <c r="AQ67" i="43" s="1"/>
  <c r="AG67" i="43" a="1"/>
  <c r="AG67" i="43" s="1"/>
  <c r="Y67" i="43" a="1"/>
  <c r="Y67" i="43" s="1"/>
  <c r="Q67" i="43" a="1"/>
  <c r="Q67" i="43" s="1"/>
  <c r="AT65" i="43" a="1"/>
  <c r="AT65" i="43" s="1"/>
  <c r="AJ65" i="43" a="1"/>
  <c r="AJ65" i="43" s="1"/>
  <c r="AB65" i="43" a="1"/>
  <c r="AB65" i="43" s="1"/>
  <c r="T65" i="43" a="1"/>
  <c r="T65" i="43" s="1"/>
  <c r="L65" i="43" a="1"/>
  <c r="L65" i="43" s="1"/>
  <c r="AM64" i="43" a="1"/>
  <c r="AM64" i="43" s="1"/>
  <c r="AE64" i="43" a="1"/>
  <c r="AE64" i="43" s="1"/>
  <c r="W64" i="43" a="1"/>
  <c r="W64" i="43" s="1"/>
  <c r="O64" i="43" a="1"/>
  <c r="O64" i="43" s="1"/>
  <c r="AR62" i="43" a="1"/>
  <c r="AR62" i="43" s="1"/>
  <c r="AH62" i="43" a="1"/>
  <c r="AH62" i="43" s="1"/>
  <c r="Z62" i="43" a="1"/>
  <c r="Z62" i="43" s="1"/>
  <c r="R62" i="43" a="1"/>
  <c r="R62" i="43" s="1"/>
  <c r="J62" i="43" a="1"/>
  <c r="J62" i="43" s="1"/>
  <c r="AK61" i="43" a="1"/>
  <c r="AK61" i="43" s="1"/>
  <c r="AC61" i="43" a="1"/>
  <c r="AC61" i="43" s="1"/>
  <c r="U61" i="43" a="1"/>
  <c r="U61" i="43" s="1"/>
  <c r="M61" i="43" a="1"/>
  <c r="M61" i="43" s="1"/>
  <c r="AP59" i="43" a="1"/>
  <c r="AP59" i="43" s="1"/>
  <c r="AF59" i="43" a="1"/>
  <c r="AF59" i="43" s="1"/>
  <c r="X59" i="43" a="1"/>
  <c r="X59" i="43" s="1"/>
  <c r="P59" i="43" a="1"/>
  <c r="P59" i="43" s="1"/>
  <c r="AS58" i="43" a="1"/>
  <c r="AS58" i="43" s="1"/>
  <c r="AI58" i="43" a="1"/>
  <c r="AI58" i="43" s="1"/>
  <c r="AA58" i="43" a="1"/>
  <c r="AA58" i="43" s="1"/>
  <c r="S58" i="43" a="1"/>
  <c r="S58" i="43" s="1"/>
  <c r="K58" i="43" a="1"/>
  <c r="K58" i="43" s="1"/>
  <c r="AL56" i="43" a="1"/>
  <c r="AL56" i="43" s="1"/>
  <c r="AD56" i="43" a="1"/>
  <c r="AD56" i="43" s="1"/>
  <c r="V56" i="43" a="1"/>
  <c r="V56" i="43" s="1"/>
  <c r="N56" i="43" a="1"/>
  <c r="N56" i="43" s="1"/>
  <c r="AQ55" i="43" a="1"/>
  <c r="AQ55" i="43" s="1"/>
  <c r="AG55" i="43" a="1"/>
  <c r="AG55" i="43" s="1"/>
  <c r="Y55" i="43" a="1"/>
  <c r="Y55" i="43" s="1"/>
  <c r="Q55" i="43" a="1"/>
  <c r="Q55" i="43" s="1"/>
  <c r="AT53" i="43" a="1"/>
  <c r="AT53" i="43" s="1"/>
  <c r="AJ53" i="43" a="1"/>
  <c r="AJ53" i="43" s="1"/>
  <c r="AB53" i="43" a="1"/>
  <c r="AB53" i="43" s="1"/>
  <c r="T53" i="43" a="1"/>
  <c r="T53" i="43" s="1"/>
  <c r="L53" i="43" a="1"/>
  <c r="L53" i="43" s="1"/>
  <c r="AM52" i="43" a="1"/>
  <c r="AM52" i="43" s="1"/>
  <c r="AE52" i="43" a="1"/>
  <c r="AE52" i="43" s="1"/>
  <c r="W52" i="43" a="1"/>
  <c r="W52" i="43" s="1"/>
  <c r="O52" i="43" a="1"/>
  <c r="O52" i="43" s="1"/>
  <c r="AR50" i="43" a="1"/>
  <c r="AR50" i="43" s="1"/>
  <c r="AH50" i="43" a="1"/>
  <c r="AH50" i="43" s="1"/>
  <c r="Z50" i="43" a="1"/>
  <c r="Z50" i="43" s="1"/>
  <c r="R50" i="43" a="1"/>
  <c r="R50" i="43" s="1"/>
  <c r="J50" i="43" a="1"/>
  <c r="J50" i="43" s="1"/>
  <c r="AK49" i="43" a="1"/>
  <c r="AK49" i="43" s="1"/>
  <c r="AC49" i="43" a="1"/>
  <c r="AC49" i="43" s="1"/>
  <c r="U49" i="43" a="1"/>
  <c r="U49" i="43" s="1"/>
  <c r="M49" i="43" a="1"/>
  <c r="M49" i="43" s="1"/>
  <c r="AP47" i="43" a="1"/>
  <c r="AP47" i="43" s="1"/>
  <c r="AF47" i="43" a="1"/>
  <c r="AF47" i="43" s="1"/>
  <c r="X47" i="43" a="1"/>
  <c r="X47" i="43" s="1"/>
  <c r="P47" i="43" a="1"/>
  <c r="P47" i="43" s="1"/>
  <c r="AS46" i="43" a="1"/>
  <c r="AS46" i="43" s="1"/>
  <c r="AI46" i="43" a="1"/>
  <c r="AI46" i="43" s="1"/>
  <c r="AA46" i="43" a="1"/>
  <c r="AA46" i="43" s="1"/>
  <c r="S46" i="43" a="1"/>
  <c r="S46" i="43" s="1"/>
  <c r="K46" i="43" a="1"/>
  <c r="K46" i="43" s="1"/>
  <c r="AL44" i="43" a="1"/>
  <c r="AL44" i="43" s="1"/>
  <c r="AD44" i="43" a="1"/>
  <c r="AD44" i="43" s="1"/>
  <c r="V44" i="43" a="1"/>
  <c r="V44" i="43" s="1"/>
  <c r="N44" i="43" a="1"/>
  <c r="N44" i="43" s="1"/>
  <c r="AQ43" i="43" a="1"/>
  <c r="AQ43" i="43" s="1"/>
  <c r="AG43" i="43" a="1"/>
  <c r="AG43" i="43" s="1"/>
  <c r="Y43" i="43" a="1"/>
  <c r="Y43" i="43" s="1"/>
  <c r="Q43" i="43" a="1"/>
  <c r="Q43" i="43" s="1"/>
  <c r="AT41" i="43" a="1"/>
  <c r="AT41" i="43" s="1"/>
  <c r="AJ41" i="43" a="1"/>
  <c r="AJ41" i="43" s="1"/>
  <c r="AB41" i="43" a="1"/>
  <c r="AB41" i="43" s="1"/>
  <c r="T41" i="43" a="1"/>
  <c r="T41" i="43" s="1"/>
  <c r="L41" i="43" a="1"/>
  <c r="L41" i="43" s="1"/>
  <c r="AM40" i="43" a="1"/>
  <c r="AM40" i="43" s="1"/>
  <c r="AE40" i="43" a="1"/>
  <c r="AE40" i="43" s="1"/>
  <c r="W40" i="43" a="1"/>
  <c r="W40" i="43" s="1"/>
  <c r="O40" i="43" a="1"/>
  <c r="O40" i="43" s="1"/>
  <c r="AR38" i="43" a="1"/>
  <c r="AR38" i="43" s="1"/>
  <c r="AH38" i="43" a="1"/>
  <c r="AH38" i="43" s="1"/>
  <c r="Z38" i="43" a="1"/>
  <c r="Z38" i="43" s="1"/>
  <c r="R38" i="43" a="1"/>
  <c r="R38" i="43" s="1"/>
  <c r="J38" i="43" a="1"/>
  <c r="J38" i="43" s="1"/>
  <c r="AK37" i="43" a="1"/>
  <c r="AK37" i="43" s="1"/>
  <c r="AC37" i="43" a="1"/>
  <c r="AC37" i="43" s="1"/>
  <c r="U37" i="43" a="1"/>
  <c r="U37" i="43" s="1"/>
  <c r="M37" i="43" a="1"/>
  <c r="M37" i="43" s="1"/>
  <c r="AP35" i="43" a="1"/>
  <c r="AP35" i="43" s="1"/>
  <c r="AF35" i="43" a="1"/>
  <c r="AF35" i="43" s="1"/>
  <c r="X35" i="43" a="1"/>
  <c r="X35" i="43" s="1"/>
  <c r="P35" i="43" a="1"/>
  <c r="P35" i="43" s="1"/>
  <c r="AS34" i="43" a="1"/>
  <c r="AS34" i="43" s="1"/>
  <c r="AI34" i="43" a="1"/>
  <c r="AI34" i="43" s="1"/>
  <c r="AA34" i="43" a="1"/>
  <c r="AA34" i="43" s="1"/>
  <c r="S34" i="43" a="1"/>
  <c r="S34" i="43" s="1"/>
  <c r="K34" i="43" a="1"/>
  <c r="K34" i="43" s="1"/>
  <c r="AL32" i="43" a="1"/>
  <c r="AL32" i="43" s="1"/>
  <c r="AD32" i="43" a="1"/>
  <c r="AD32" i="43" s="1"/>
  <c r="V32" i="43" a="1"/>
  <c r="V32" i="43" s="1"/>
  <c r="N32" i="43" a="1"/>
  <c r="N32" i="43" s="1"/>
  <c r="AQ31" i="43" a="1"/>
  <c r="AQ31" i="43" s="1"/>
  <c r="AG31" i="43" a="1"/>
  <c r="AG31" i="43" s="1"/>
  <c r="Y31" i="43" a="1"/>
  <c r="Y31" i="43" s="1"/>
  <c r="K32" i="43" a="1"/>
  <c r="K32" i="43" s="1"/>
  <c r="T31" i="43" a="1"/>
  <c r="T31" i="43" s="1"/>
  <c r="K31" i="43" a="1"/>
  <c r="K31" i="43" s="1"/>
  <c r="AK29" i="43" a="1"/>
  <c r="AK29" i="43" s="1"/>
  <c r="AC29" i="43" a="1"/>
  <c r="AC29" i="43" s="1"/>
  <c r="U29" i="43" a="1"/>
  <c r="U29" i="43" s="1"/>
  <c r="M29" i="43" a="1"/>
  <c r="M29" i="43" s="1"/>
  <c r="AP28" i="43" a="1"/>
  <c r="AP28" i="43" s="1"/>
  <c r="AF28" i="43" a="1"/>
  <c r="AF28" i="43" s="1"/>
  <c r="X28" i="43" a="1"/>
  <c r="X28" i="43" s="1"/>
  <c r="AS26" i="43" a="1"/>
  <c r="AS26" i="43" s="1"/>
  <c r="AI26" i="43" a="1"/>
  <c r="AI26" i="43" s="1"/>
  <c r="AA26" i="43" a="1"/>
  <c r="AA26" i="43" s="1"/>
  <c r="S26" i="43" a="1"/>
  <c r="S26" i="43" s="1"/>
  <c r="K26" i="43" a="1"/>
  <c r="K26" i="43" s="1"/>
  <c r="AL25" i="43" a="1"/>
  <c r="AL25" i="43" s="1"/>
  <c r="AD25" i="43" a="1"/>
  <c r="AD25" i="43" s="1"/>
  <c r="V25" i="43" a="1"/>
  <c r="V25" i="43" s="1"/>
  <c r="N25" i="43" a="1"/>
  <c r="N25" i="43" s="1"/>
  <c r="AQ23" i="43" a="1"/>
  <c r="AQ23" i="43" s="1"/>
  <c r="AG23" i="43" a="1"/>
  <c r="AG23" i="43" s="1"/>
  <c r="Y23" i="43" a="1"/>
  <c r="Y23" i="43" s="1"/>
  <c r="Q23" i="43" a="1"/>
  <c r="Q23" i="43" s="1"/>
  <c r="AT22" i="43" a="1"/>
  <c r="AT22" i="43" s="1"/>
  <c r="AJ22" i="43" a="1"/>
  <c r="AJ22" i="43" s="1"/>
  <c r="AB22" i="43" a="1"/>
  <c r="AB22" i="43" s="1"/>
  <c r="T22" i="43" a="1"/>
  <c r="T22" i="43" s="1"/>
  <c r="L22" i="43" a="1"/>
  <c r="L22" i="43" s="1"/>
  <c r="AM20" i="43" a="1"/>
  <c r="AM20" i="43" s="1"/>
  <c r="AE20" i="43" a="1"/>
  <c r="AE20" i="43" s="1"/>
  <c r="W20" i="43" a="1"/>
  <c r="W20" i="43" s="1"/>
  <c r="O20" i="43" a="1"/>
  <c r="O20" i="43" s="1"/>
  <c r="AR19" i="43" a="1"/>
  <c r="AR19" i="43" s="1"/>
  <c r="AH19" i="43" a="1"/>
  <c r="AH19" i="43" s="1"/>
  <c r="Z19" i="43" a="1"/>
  <c r="Z19" i="43" s="1"/>
  <c r="R19" i="43" a="1"/>
  <c r="R19" i="43" s="1"/>
  <c r="J19" i="43" a="1"/>
  <c r="J19" i="43" s="1"/>
  <c r="AK17" i="43" a="1"/>
  <c r="AK17" i="43" s="1"/>
  <c r="AC17" i="43" a="1"/>
  <c r="AC17" i="43" s="1"/>
  <c r="U17" i="43" a="1"/>
  <c r="U17" i="43" s="1"/>
  <c r="M17" i="43" a="1"/>
  <c r="M17" i="43" s="1"/>
  <c r="AP16" i="43" a="1"/>
  <c r="AP16" i="43" s="1"/>
  <c r="AF16" i="43" a="1"/>
  <c r="AF16" i="43" s="1"/>
  <c r="X16" i="43" a="1"/>
  <c r="X16" i="43" s="1"/>
  <c r="P16" i="43" a="1"/>
  <c r="P16" i="43" s="1"/>
  <c r="AS11" i="43" a="1"/>
  <c r="AS11" i="43" s="1"/>
  <c r="AI11" i="43" a="1"/>
  <c r="AI11" i="43" s="1"/>
  <c r="AA11" i="43" a="1"/>
  <c r="AA11" i="43" s="1"/>
  <c r="S11" i="43" a="1"/>
  <c r="S11" i="43" s="1"/>
  <c r="K11" i="43" a="1"/>
  <c r="K11" i="43" s="1"/>
  <c r="AL10" i="43" a="1"/>
  <c r="AL10" i="43" s="1"/>
  <c r="AD10" i="43" a="1"/>
  <c r="AD10" i="43" s="1"/>
  <c r="V10" i="43" a="1"/>
  <c r="V10" i="43" s="1"/>
  <c r="N10" i="43" a="1"/>
  <c r="N10" i="43" s="1"/>
  <c r="AQ104" i="41" a="1"/>
  <c r="AQ104" i="41" s="1"/>
  <c r="AG104" i="41" a="1"/>
  <c r="AG104" i="41" s="1"/>
  <c r="Y104" i="41" a="1"/>
  <c r="Y104" i="41" s="1"/>
  <c r="Q104" i="41" a="1"/>
  <c r="Q104" i="41" s="1"/>
  <c r="AT103" i="41" a="1"/>
  <c r="AT103" i="41" s="1"/>
  <c r="AJ103" i="41" a="1"/>
  <c r="AJ103" i="41" s="1"/>
  <c r="AB103" i="41" a="1"/>
  <c r="AB103" i="41" s="1"/>
  <c r="T103" i="41" a="1"/>
  <c r="T103" i="41" s="1"/>
  <c r="L103" i="41" a="1"/>
  <c r="L103" i="41" s="1"/>
  <c r="AM101" i="41" a="1"/>
  <c r="AM101" i="41" s="1"/>
  <c r="AE101" i="41" a="1"/>
  <c r="AE101" i="41" s="1"/>
  <c r="W101" i="41" a="1"/>
  <c r="W101" i="41" s="1"/>
  <c r="O101" i="41" a="1"/>
  <c r="O101" i="41" s="1"/>
  <c r="AR100" i="41" a="1"/>
  <c r="AR100" i="41" s="1"/>
  <c r="AH100" i="41" a="1"/>
  <c r="AH100" i="41" s="1"/>
  <c r="Z100" i="41" a="1"/>
  <c r="Z100" i="41" s="1"/>
  <c r="R100" i="41" a="1"/>
  <c r="R100" i="41" s="1"/>
  <c r="J100" i="41" a="1"/>
  <c r="J100" i="41" s="1"/>
  <c r="AK98" i="41" a="1"/>
  <c r="AK98" i="41" s="1"/>
  <c r="AC98" i="41" a="1"/>
  <c r="AC98" i="41" s="1"/>
  <c r="U98" i="41" a="1"/>
  <c r="U98" i="41" s="1"/>
  <c r="M98" i="41" a="1"/>
  <c r="M98" i="41" s="1"/>
  <c r="AP97" i="41" a="1"/>
  <c r="AP97" i="41" s="1"/>
  <c r="AF97" i="41" a="1"/>
  <c r="AF97" i="41" s="1"/>
  <c r="X97" i="41" a="1"/>
  <c r="X97" i="41" s="1"/>
  <c r="P97" i="41" a="1"/>
  <c r="P97" i="41" s="1"/>
  <c r="AS95" i="41" a="1"/>
  <c r="AS95" i="41" s="1"/>
  <c r="AI95" i="41" a="1"/>
  <c r="AI95" i="41" s="1"/>
  <c r="AA95" i="41" a="1"/>
  <c r="AA95" i="41" s="1"/>
  <c r="S95" i="41" a="1"/>
  <c r="S95" i="41" s="1"/>
  <c r="K95" i="41" a="1"/>
  <c r="K95" i="41" s="1"/>
  <c r="AL94" i="41" a="1"/>
  <c r="AL94" i="41" s="1"/>
  <c r="AD94" i="41" a="1"/>
  <c r="AD94" i="41" s="1"/>
  <c r="V94" i="41" a="1"/>
  <c r="V94" i="41" s="1"/>
  <c r="N94" i="41" a="1"/>
  <c r="N94" i="41" s="1"/>
  <c r="AQ92" i="41" a="1"/>
  <c r="AQ92" i="41" s="1"/>
  <c r="AG92" i="41" a="1"/>
  <c r="AG92" i="41" s="1"/>
  <c r="Y92" i="41" a="1"/>
  <c r="Y92" i="41" s="1"/>
  <c r="Q92" i="41" a="1"/>
  <c r="Q92" i="41" s="1"/>
  <c r="AT91" i="41" a="1"/>
  <c r="AT91" i="41" s="1"/>
  <c r="AJ91" i="41" a="1"/>
  <c r="AJ91" i="41" s="1"/>
  <c r="AB91" i="41" a="1"/>
  <c r="AB91" i="41" s="1"/>
  <c r="T91" i="41" a="1"/>
  <c r="T91" i="41" s="1"/>
  <c r="L91" i="41" a="1"/>
  <c r="L91" i="41" s="1"/>
  <c r="AM89" i="41" a="1"/>
  <c r="AM89" i="41" s="1"/>
  <c r="AE89" i="41" a="1"/>
  <c r="AE89" i="41" s="1"/>
  <c r="W89" i="41" a="1"/>
  <c r="W89" i="41" s="1"/>
  <c r="O89" i="41" a="1"/>
  <c r="O89" i="41" s="1"/>
  <c r="AR88" i="41" a="1"/>
  <c r="AR88" i="41" s="1"/>
  <c r="AH88" i="41" a="1"/>
  <c r="AH88" i="41" s="1"/>
  <c r="Z88" i="41" a="1"/>
  <c r="Z88" i="41" s="1"/>
  <c r="R88" i="41" a="1"/>
  <c r="R88" i="41" s="1"/>
  <c r="J88" i="41" a="1"/>
  <c r="J88" i="41" s="1"/>
  <c r="AK86" i="41" a="1"/>
  <c r="AK86" i="41" s="1"/>
  <c r="AC86" i="41" a="1"/>
  <c r="AC86" i="41" s="1"/>
  <c r="U86" i="41" a="1"/>
  <c r="U86" i="41" s="1"/>
  <c r="M86" i="41" a="1"/>
  <c r="M86" i="41" s="1"/>
  <c r="AP85" i="41" a="1"/>
  <c r="AP85" i="41" s="1"/>
  <c r="AF85" i="41" a="1"/>
  <c r="AF85" i="41" s="1"/>
  <c r="X85" i="41" a="1"/>
  <c r="X85" i="41" s="1"/>
  <c r="P85" i="41" a="1"/>
  <c r="P85" i="41" s="1"/>
  <c r="AS83" i="41" a="1"/>
  <c r="AS83" i="41" s="1"/>
  <c r="AI83" i="41" a="1"/>
  <c r="AI83" i="41" s="1"/>
  <c r="AA83" i="41" a="1"/>
  <c r="AA83" i="41" s="1"/>
  <c r="S83" i="41" a="1"/>
  <c r="S83" i="41" s="1"/>
  <c r="K83" i="41" a="1"/>
  <c r="K83" i="41" s="1"/>
  <c r="AL82" i="41" a="1"/>
  <c r="AL82" i="41" s="1"/>
  <c r="AD82" i="41" a="1"/>
  <c r="AD82" i="41" s="1"/>
  <c r="V82" i="41" a="1"/>
  <c r="V82" i="41" s="1"/>
  <c r="N82" i="41" a="1"/>
  <c r="N82" i="41" s="1"/>
  <c r="AQ80" i="41" a="1"/>
  <c r="AQ80" i="41" s="1"/>
  <c r="AG80" i="41" a="1"/>
  <c r="AG80" i="41" s="1"/>
  <c r="Y80" i="41" a="1"/>
  <c r="Y80" i="41" s="1"/>
  <c r="Q80" i="41" a="1"/>
  <c r="Q80" i="41" s="1"/>
  <c r="AT79" i="41" a="1"/>
  <c r="AT79" i="41" s="1"/>
  <c r="AJ79" i="41" a="1"/>
  <c r="AJ79" i="41" s="1"/>
  <c r="AB79" i="41" a="1"/>
  <c r="AB79" i="41" s="1"/>
  <c r="T79" i="41" a="1"/>
  <c r="T79" i="41" s="1"/>
  <c r="L79" i="41" a="1"/>
  <c r="L79" i="41" s="1"/>
  <c r="AM77" i="41" a="1"/>
  <c r="AM77" i="41" s="1"/>
  <c r="AE77" i="41" a="1"/>
  <c r="AE77" i="41" s="1"/>
  <c r="W77" i="41" a="1"/>
  <c r="W77" i="41" s="1"/>
  <c r="O77" i="41" a="1"/>
  <c r="O77" i="41" s="1"/>
  <c r="AR76" i="41" a="1"/>
  <c r="AR76" i="41" s="1"/>
  <c r="AH76" i="41" a="1"/>
  <c r="AH76" i="41" s="1"/>
  <c r="Z76" i="41" a="1"/>
  <c r="Z76" i="41" s="1"/>
  <c r="R76" i="41" a="1"/>
  <c r="R76" i="41" s="1"/>
  <c r="J76" i="41" a="1"/>
  <c r="J76" i="41" s="1"/>
  <c r="AK74" i="41" a="1"/>
  <c r="AK74" i="41" s="1"/>
  <c r="AC74" i="41" a="1"/>
  <c r="AC74" i="41" s="1"/>
  <c r="U74" i="41" a="1"/>
  <c r="U74" i="41" s="1"/>
  <c r="M74" i="41" a="1"/>
  <c r="M74" i="41" s="1"/>
  <c r="AP73" i="41" a="1"/>
  <c r="AP73" i="41" s="1"/>
  <c r="AF73" i="41" a="1"/>
  <c r="AF73" i="41" s="1"/>
  <c r="X73" i="41" a="1"/>
  <c r="X73" i="41" s="1"/>
  <c r="P73" i="41" a="1"/>
  <c r="P73" i="41" s="1"/>
  <c r="AS71" i="41" a="1"/>
  <c r="AS71" i="41" s="1"/>
  <c r="AI71" i="41" a="1"/>
  <c r="AI71" i="41" s="1"/>
  <c r="AA71" i="41" a="1"/>
  <c r="AA71" i="41" s="1"/>
  <c r="S71" i="41" a="1"/>
  <c r="S71" i="41" s="1"/>
  <c r="K71" i="41" a="1"/>
  <c r="K71" i="41" s="1"/>
  <c r="AL70" i="41" a="1"/>
  <c r="AL70" i="41" s="1"/>
  <c r="AD70" i="41" a="1"/>
  <c r="AD70" i="41" s="1"/>
  <c r="V70" i="41" a="1"/>
  <c r="V70" i="41" s="1"/>
  <c r="N70" i="41" a="1"/>
  <c r="N70" i="41" s="1"/>
  <c r="AQ68" i="41" a="1"/>
  <c r="AQ68" i="41" s="1"/>
  <c r="AG68" i="41" a="1"/>
  <c r="AG68" i="41" s="1"/>
  <c r="Y68" i="41" a="1"/>
  <c r="Y68" i="41" s="1"/>
  <c r="Q68" i="41" a="1"/>
  <c r="Q68" i="41" s="1"/>
  <c r="AT67" i="41" a="1"/>
  <c r="AT67" i="41" s="1"/>
  <c r="AJ67" i="41" a="1"/>
  <c r="AJ67" i="41" s="1"/>
  <c r="AB67" i="41" a="1"/>
  <c r="AB67" i="41" s="1"/>
  <c r="T67" i="41" a="1"/>
  <c r="T67" i="41" s="1"/>
  <c r="L67" i="41" a="1"/>
  <c r="L67" i="41" s="1"/>
  <c r="AM65" i="41" a="1"/>
  <c r="AM65" i="41" s="1"/>
  <c r="AL31" i="43" a="1"/>
  <c r="AL31" i="43" s="1"/>
  <c r="S31" i="43" a="1"/>
  <c r="S31" i="43" s="1"/>
  <c r="AT29" i="43" a="1"/>
  <c r="AT29" i="43" s="1"/>
  <c r="AJ29" i="43" a="1"/>
  <c r="AJ29" i="43" s="1"/>
  <c r="AB29" i="43" a="1"/>
  <c r="AB29" i="43" s="1"/>
  <c r="T29" i="43" a="1"/>
  <c r="T29" i="43" s="1"/>
  <c r="L29" i="43" a="1"/>
  <c r="L29" i="43" s="1"/>
  <c r="AM28" i="43" a="1"/>
  <c r="AM28" i="43" s="1"/>
  <c r="AE28" i="43" a="1"/>
  <c r="AE28" i="43" s="1"/>
  <c r="W28" i="43" a="1"/>
  <c r="W28" i="43" s="1"/>
  <c r="O28" i="43" a="1"/>
  <c r="O28" i="43" s="1"/>
  <c r="AR26" i="43" a="1"/>
  <c r="AR26" i="43" s="1"/>
  <c r="AH26" i="43" a="1"/>
  <c r="AH26" i="43" s="1"/>
  <c r="Z26" i="43" a="1"/>
  <c r="Z26" i="43" s="1"/>
  <c r="R26" i="43" a="1"/>
  <c r="R26" i="43" s="1"/>
  <c r="J26" i="43" a="1"/>
  <c r="J26" i="43" s="1"/>
  <c r="AK25" i="43" a="1"/>
  <c r="AK25" i="43" s="1"/>
  <c r="AC25" i="43" a="1"/>
  <c r="AC25" i="43" s="1"/>
  <c r="U25" i="43" a="1"/>
  <c r="U25" i="43" s="1"/>
  <c r="M25" i="43" a="1"/>
  <c r="M25" i="43" s="1"/>
  <c r="AP23" i="43" a="1"/>
  <c r="AP23" i="43" s="1"/>
  <c r="AF23" i="43" a="1"/>
  <c r="AF23" i="43" s="1"/>
  <c r="X23" i="43" a="1"/>
  <c r="X23" i="43" s="1"/>
  <c r="P23" i="43" a="1"/>
  <c r="P23" i="43" s="1"/>
  <c r="AS22" i="43" a="1"/>
  <c r="AS22" i="43" s="1"/>
  <c r="AI22" i="43" a="1"/>
  <c r="AI22" i="43" s="1"/>
  <c r="AA22" i="43" a="1"/>
  <c r="AA22" i="43" s="1"/>
  <c r="S22" i="43" a="1"/>
  <c r="S22" i="43" s="1"/>
  <c r="K22" i="43" a="1"/>
  <c r="K22" i="43" s="1"/>
  <c r="AL20" i="43" a="1"/>
  <c r="AL20" i="43" s="1"/>
  <c r="AD20" i="43" a="1"/>
  <c r="AD20" i="43" s="1"/>
  <c r="V20" i="43" a="1"/>
  <c r="V20" i="43" s="1"/>
  <c r="N20" i="43" a="1"/>
  <c r="N20" i="43" s="1"/>
  <c r="AQ19" i="43" a="1"/>
  <c r="AQ19" i="43" s="1"/>
  <c r="AG19" i="43" a="1"/>
  <c r="AG19" i="43" s="1"/>
  <c r="Y19" i="43" a="1"/>
  <c r="Y19" i="43" s="1"/>
  <c r="Q19" i="43" a="1"/>
  <c r="Q19" i="43" s="1"/>
  <c r="AT17" i="43" a="1"/>
  <c r="AT17" i="43" s="1"/>
  <c r="AJ17" i="43" a="1"/>
  <c r="AJ17" i="43" s="1"/>
  <c r="AB17" i="43" a="1"/>
  <c r="AB17" i="43" s="1"/>
  <c r="T17" i="43" a="1"/>
  <c r="T17" i="43" s="1"/>
  <c r="L17" i="43" a="1"/>
  <c r="L17" i="43" s="1"/>
  <c r="AM16" i="43" a="1"/>
  <c r="AM16" i="43" s="1"/>
  <c r="AE16" i="43" a="1"/>
  <c r="AE16" i="43" s="1"/>
  <c r="W16" i="43" a="1"/>
  <c r="W16" i="43" s="1"/>
  <c r="O16" i="43" a="1"/>
  <c r="O16" i="43" s="1"/>
  <c r="AR11" i="43" a="1"/>
  <c r="AR11" i="43" s="1"/>
  <c r="AH11" i="43" a="1"/>
  <c r="AH11" i="43" s="1"/>
  <c r="Z11" i="43" a="1"/>
  <c r="Z11" i="43" s="1"/>
  <c r="R11" i="43" a="1"/>
  <c r="R11" i="43" s="1"/>
  <c r="J11" i="43" a="1"/>
  <c r="J11" i="43" s="1"/>
  <c r="AK10" i="43" a="1"/>
  <c r="AK10" i="43" s="1"/>
  <c r="AC10" i="43" a="1"/>
  <c r="AC10" i="43" s="1"/>
  <c r="U10" i="43" a="1"/>
  <c r="U10" i="43" s="1"/>
  <c r="M10" i="43" a="1"/>
  <c r="M10" i="43" s="1"/>
  <c r="AP104" i="41" a="1"/>
  <c r="AP104" i="41" s="1"/>
  <c r="AF104" i="41" a="1"/>
  <c r="AF104" i="41" s="1"/>
  <c r="X104" i="41" a="1"/>
  <c r="X104" i="41" s="1"/>
  <c r="P104" i="41" a="1"/>
  <c r="P104" i="41" s="1"/>
  <c r="AS103" i="41" a="1"/>
  <c r="AS103" i="41" s="1"/>
  <c r="AI103" i="41" a="1"/>
  <c r="AI103" i="41" s="1"/>
  <c r="AA103" i="41" a="1"/>
  <c r="AA103" i="41" s="1"/>
  <c r="S103" i="41" a="1"/>
  <c r="S103" i="41" s="1"/>
  <c r="K103" i="41" a="1"/>
  <c r="K103" i="41" s="1"/>
  <c r="AL101" i="41" a="1"/>
  <c r="AL101" i="41" s="1"/>
  <c r="AD101" i="41" a="1"/>
  <c r="AD101" i="41" s="1"/>
  <c r="V101" i="41" a="1"/>
  <c r="V101" i="41" s="1"/>
  <c r="N101" i="41" a="1"/>
  <c r="N101" i="41" s="1"/>
  <c r="AQ100" i="41" a="1"/>
  <c r="AQ100" i="41" s="1"/>
  <c r="AG100" i="41" a="1"/>
  <c r="AG100" i="41" s="1"/>
  <c r="Y100" i="41" a="1"/>
  <c r="Y100" i="41" s="1"/>
  <c r="Q100" i="41" a="1"/>
  <c r="Q100" i="41" s="1"/>
  <c r="AT98" i="41" a="1"/>
  <c r="AT98" i="41" s="1"/>
  <c r="AJ98" i="41" a="1"/>
  <c r="AJ98" i="41" s="1"/>
  <c r="AB98" i="41" a="1"/>
  <c r="AB98" i="41" s="1"/>
  <c r="T98" i="41" a="1"/>
  <c r="T98" i="41" s="1"/>
  <c r="L98" i="41" a="1"/>
  <c r="L98" i="41" s="1"/>
  <c r="AM97" i="41" a="1"/>
  <c r="AM97" i="41" s="1"/>
  <c r="AE97" i="41" a="1"/>
  <c r="AE97" i="41" s="1"/>
  <c r="W97" i="41" a="1"/>
  <c r="W97" i="41" s="1"/>
  <c r="O97" i="41" a="1"/>
  <c r="O97" i="41" s="1"/>
  <c r="AR95" i="41" a="1"/>
  <c r="AR95" i="41" s="1"/>
  <c r="AH95" i="41" a="1"/>
  <c r="AH95" i="41" s="1"/>
  <c r="Z95" i="41" a="1"/>
  <c r="Z95" i="41" s="1"/>
  <c r="R95" i="41" a="1"/>
  <c r="R95" i="41" s="1"/>
  <c r="J95" i="41" a="1"/>
  <c r="J95" i="41" s="1"/>
  <c r="AK94" i="41" a="1"/>
  <c r="AK94" i="41" s="1"/>
  <c r="AC94" i="41" a="1"/>
  <c r="AC94" i="41" s="1"/>
  <c r="U94" i="41" a="1"/>
  <c r="U94" i="41" s="1"/>
  <c r="M94" i="41" a="1"/>
  <c r="M94" i="41" s="1"/>
  <c r="AP92" i="41" a="1"/>
  <c r="AP92" i="41" s="1"/>
  <c r="AF92" i="41" a="1"/>
  <c r="AF92" i="41" s="1"/>
  <c r="X92" i="41" a="1"/>
  <c r="X92" i="41" s="1"/>
  <c r="P92" i="41" a="1"/>
  <c r="P92" i="41" s="1"/>
  <c r="AS91" i="41" a="1"/>
  <c r="AS91" i="41" s="1"/>
  <c r="AI91" i="41" a="1"/>
  <c r="AI91" i="41" s="1"/>
  <c r="AA91" i="41" a="1"/>
  <c r="AA91" i="41" s="1"/>
  <c r="S91" i="41" a="1"/>
  <c r="S91" i="41" s="1"/>
  <c r="K91" i="41" a="1"/>
  <c r="K91" i="41" s="1"/>
  <c r="AL89" i="41" a="1"/>
  <c r="AL89" i="41" s="1"/>
  <c r="AD89" i="41" a="1"/>
  <c r="AD89" i="41" s="1"/>
  <c r="V89" i="41" a="1"/>
  <c r="V89" i="41" s="1"/>
  <c r="N89" i="41" a="1"/>
  <c r="N89" i="41" s="1"/>
  <c r="AQ88" i="41" a="1"/>
  <c r="AQ88" i="41" s="1"/>
  <c r="AG88" i="41" a="1"/>
  <c r="AG88" i="41" s="1"/>
  <c r="Y88" i="41" a="1"/>
  <c r="Y88" i="41" s="1"/>
  <c r="Q88" i="41" a="1"/>
  <c r="Q88" i="41" s="1"/>
  <c r="AT86" i="41" a="1"/>
  <c r="AT86" i="41" s="1"/>
  <c r="AJ86" i="41" a="1"/>
  <c r="AJ86" i="41" s="1"/>
  <c r="AB86" i="41" a="1"/>
  <c r="AB86" i="41" s="1"/>
  <c r="T86" i="41" a="1"/>
  <c r="T86" i="41" s="1"/>
  <c r="L86" i="41" a="1"/>
  <c r="L86" i="41" s="1"/>
  <c r="AM85" i="41" a="1"/>
  <c r="AM85" i="41" s="1"/>
  <c r="AE85" i="41" a="1"/>
  <c r="AE85" i="41" s="1"/>
  <c r="W85" i="41" a="1"/>
  <c r="W85" i="41" s="1"/>
  <c r="O85" i="41" a="1"/>
  <c r="O85" i="41" s="1"/>
  <c r="AR83" i="41" a="1"/>
  <c r="AR83" i="41" s="1"/>
  <c r="AH83" i="41" a="1"/>
  <c r="AH83" i="41" s="1"/>
  <c r="Z83" i="41" a="1"/>
  <c r="Z83" i="41" s="1"/>
  <c r="R83" i="41" a="1"/>
  <c r="R83" i="41" s="1"/>
  <c r="J83" i="41" a="1"/>
  <c r="J83" i="41" s="1"/>
  <c r="AK82" i="41" a="1"/>
  <c r="AK82" i="41" s="1"/>
  <c r="AC82" i="41" a="1"/>
  <c r="AC82" i="41" s="1"/>
  <c r="U82" i="41" a="1"/>
  <c r="U82" i="41" s="1"/>
  <c r="M82" i="41" a="1"/>
  <c r="M82" i="41" s="1"/>
  <c r="AP80" i="41" a="1"/>
  <c r="AP80" i="41" s="1"/>
  <c r="AF80" i="41" a="1"/>
  <c r="AF80" i="41" s="1"/>
  <c r="X80" i="41" a="1"/>
  <c r="X80" i="41" s="1"/>
  <c r="P80" i="41" a="1"/>
  <c r="P80" i="41" s="1"/>
  <c r="AS79" i="41" a="1"/>
  <c r="AS79" i="41" s="1"/>
  <c r="AI79" i="41" a="1"/>
  <c r="AI79" i="41" s="1"/>
  <c r="AA79" i="41" a="1"/>
  <c r="AA79" i="41" s="1"/>
  <c r="S79" i="41" a="1"/>
  <c r="S79" i="41" s="1"/>
  <c r="K79" i="41" a="1"/>
  <c r="K79" i="41" s="1"/>
  <c r="AL77" i="41" a="1"/>
  <c r="AL77" i="41" s="1"/>
  <c r="AD77" i="41" a="1"/>
  <c r="AD77" i="41" s="1"/>
  <c r="V77" i="41" a="1"/>
  <c r="V77" i="41" s="1"/>
  <c r="N77" i="41" a="1"/>
  <c r="N77" i="41" s="1"/>
  <c r="AQ76" i="41" a="1"/>
  <c r="AQ76" i="41" s="1"/>
  <c r="AG76" i="41" a="1"/>
  <c r="AG76" i="41" s="1"/>
  <c r="Y76" i="41" a="1"/>
  <c r="Y76" i="41" s="1"/>
  <c r="Q76" i="41" a="1"/>
  <c r="Q76" i="41" s="1"/>
  <c r="AT74" i="41" a="1"/>
  <c r="AT74" i="41" s="1"/>
  <c r="AJ74" i="41" a="1"/>
  <c r="AJ74" i="41" s="1"/>
  <c r="AB74" i="41" a="1"/>
  <c r="AB74" i="41" s="1"/>
  <c r="T74" i="41" a="1"/>
  <c r="T74" i="41" s="1"/>
  <c r="L74" i="41" a="1"/>
  <c r="L74" i="41" s="1"/>
  <c r="AM73" i="41" a="1"/>
  <c r="AM73" i="41" s="1"/>
  <c r="AE73" i="41" a="1"/>
  <c r="AE73" i="41" s="1"/>
  <c r="W73" i="41" a="1"/>
  <c r="W73" i="41" s="1"/>
  <c r="O73" i="41" a="1"/>
  <c r="O73" i="41" s="1"/>
  <c r="AR71" i="41" a="1"/>
  <c r="AR71" i="41" s="1"/>
  <c r="AH71" i="41" a="1"/>
  <c r="AH71" i="41" s="1"/>
  <c r="Z71" i="41" a="1"/>
  <c r="Z71" i="41" s="1"/>
  <c r="R71" i="41" a="1"/>
  <c r="R71" i="41" s="1"/>
  <c r="J71" i="41" a="1"/>
  <c r="J71" i="41" s="1"/>
  <c r="AK70" i="41" a="1"/>
  <c r="AK70" i="41" s="1"/>
  <c r="AC70" i="41" a="1"/>
  <c r="AC70" i="41" s="1"/>
  <c r="U70" i="41" a="1"/>
  <c r="U70" i="41" s="1"/>
  <c r="M70" i="41" a="1"/>
  <c r="M70" i="41" s="1"/>
  <c r="AP68" i="41" a="1"/>
  <c r="AP68" i="41" s="1"/>
  <c r="AF68" i="41" a="1"/>
  <c r="AF68" i="41" s="1"/>
  <c r="X68" i="41" a="1"/>
  <c r="X68" i="41" s="1"/>
  <c r="P68" i="41" a="1"/>
  <c r="P68" i="41" s="1"/>
  <c r="AS67" i="41" a="1"/>
  <c r="AS67" i="41" s="1"/>
  <c r="AI67" i="41" a="1"/>
  <c r="AI67" i="41" s="1"/>
  <c r="AA67" i="41" a="1"/>
  <c r="AA67" i="41" s="1"/>
  <c r="S67" i="41" a="1"/>
  <c r="S67" i="41" s="1"/>
  <c r="K67" i="41" a="1"/>
  <c r="K67" i="41" s="1"/>
  <c r="AL65" i="41" a="1"/>
  <c r="AL65" i="41" s="1"/>
  <c r="AD65" i="41" a="1"/>
  <c r="AD65" i="41" s="1"/>
  <c r="V65" i="41" a="1"/>
  <c r="V65" i="41" s="1"/>
  <c r="AF31" i="43" a="1"/>
  <c r="AF31" i="43" s="1"/>
  <c r="Q31" i="43" a="1"/>
  <c r="Q31" i="43" s="1"/>
  <c r="AS29" i="43" a="1"/>
  <c r="AS29" i="43" s="1"/>
  <c r="AI29" i="43" a="1"/>
  <c r="AI29" i="43" s="1"/>
  <c r="AA29" i="43" a="1"/>
  <c r="AA29" i="43" s="1"/>
  <c r="S29" i="43" a="1"/>
  <c r="S29" i="43" s="1"/>
  <c r="K29" i="43" a="1"/>
  <c r="K29" i="43" s="1"/>
  <c r="AL28" i="43" a="1"/>
  <c r="AL28" i="43" s="1"/>
  <c r="AD28" i="43" a="1"/>
  <c r="AD28" i="43" s="1"/>
  <c r="V28" i="43" a="1"/>
  <c r="V28" i="43" s="1"/>
  <c r="N28" i="43" a="1"/>
  <c r="N28" i="43" s="1"/>
  <c r="AQ26" i="43" a="1"/>
  <c r="AQ26" i="43" s="1"/>
  <c r="AG26" i="43" a="1"/>
  <c r="AG26" i="43" s="1"/>
  <c r="Y26" i="43" a="1"/>
  <c r="Y26" i="43" s="1"/>
  <c r="Q26" i="43" a="1"/>
  <c r="Q26" i="43" s="1"/>
  <c r="AT25" i="43" a="1"/>
  <c r="AT25" i="43" s="1"/>
  <c r="AJ25" i="43" a="1"/>
  <c r="AJ25" i="43" s="1"/>
  <c r="AB25" i="43" a="1"/>
  <c r="AB25" i="43" s="1"/>
  <c r="T25" i="43" a="1"/>
  <c r="T25" i="43" s="1"/>
  <c r="L25" i="43" a="1"/>
  <c r="L25" i="43" s="1"/>
  <c r="AM23" i="43" a="1"/>
  <c r="AM23" i="43" s="1"/>
  <c r="AE23" i="43" a="1"/>
  <c r="AE23" i="43" s="1"/>
  <c r="W23" i="43" a="1"/>
  <c r="W23" i="43" s="1"/>
  <c r="O23" i="43" a="1"/>
  <c r="O23" i="43" s="1"/>
  <c r="AR22" i="43" a="1"/>
  <c r="AR22" i="43" s="1"/>
  <c r="AH22" i="43" a="1"/>
  <c r="AH22" i="43" s="1"/>
  <c r="Z22" i="43" a="1"/>
  <c r="Z22" i="43" s="1"/>
  <c r="R22" i="43" a="1"/>
  <c r="R22" i="43" s="1"/>
  <c r="J22" i="43" a="1"/>
  <c r="J22" i="43" s="1"/>
  <c r="AK20" i="43" a="1"/>
  <c r="AK20" i="43" s="1"/>
  <c r="AC20" i="43" a="1"/>
  <c r="AC20" i="43" s="1"/>
  <c r="U20" i="43" a="1"/>
  <c r="U20" i="43" s="1"/>
  <c r="M20" i="43" a="1"/>
  <c r="M20" i="43" s="1"/>
  <c r="AP19" i="43" a="1"/>
  <c r="AP19" i="43" s="1"/>
  <c r="AF19" i="43" a="1"/>
  <c r="AF19" i="43" s="1"/>
  <c r="X19" i="43" a="1"/>
  <c r="X19" i="43" s="1"/>
  <c r="P19" i="43" a="1"/>
  <c r="P19" i="43" s="1"/>
  <c r="AS17" i="43" a="1"/>
  <c r="AS17" i="43" s="1"/>
  <c r="AI17" i="43" a="1"/>
  <c r="AI17" i="43" s="1"/>
  <c r="AA17" i="43" a="1"/>
  <c r="AA17" i="43" s="1"/>
  <c r="S17" i="43" a="1"/>
  <c r="S17" i="43" s="1"/>
  <c r="K17" i="43" a="1"/>
  <c r="K17" i="43" s="1"/>
  <c r="AL16" i="43" a="1"/>
  <c r="AL16" i="43" s="1"/>
  <c r="AD16" i="43" a="1"/>
  <c r="AD16" i="43" s="1"/>
  <c r="V16" i="43" a="1"/>
  <c r="V16" i="43" s="1"/>
  <c r="N16" i="43" a="1"/>
  <c r="N16" i="43" s="1"/>
  <c r="AQ11" i="43" a="1"/>
  <c r="AQ11" i="43" s="1"/>
  <c r="AG11" i="43" a="1"/>
  <c r="AG11" i="43" s="1"/>
  <c r="Y11" i="43" a="1"/>
  <c r="Y11" i="43" s="1"/>
  <c r="Q11" i="43" a="1"/>
  <c r="Q11" i="43" s="1"/>
  <c r="AT10" i="43" a="1"/>
  <c r="AT10" i="43" s="1"/>
  <c r="AJ10" i="43" a="1"/>
  <c r="AJ10" i="43" s="1"/>
  <c r="AB10" i="43" a="1"/>
  <c r="AB10" i="43" s="1"/>
  <c r="T10" i="43" a="1"/>
  <c r="T10" i="43" s="1"/>
  <c r="L10" i="43" a="1"/>
  <c r="L10" i="43" s="1"/>
  <c r="AM104" i="41" a="1"/>
  <c r="AM104" i="41" s="1"/>
  <c r="AE104" i="41" a="1"/>
  <c r="AE104" i="41" s="1"/>
  <c r="W104" i="41" a="1"/>
  <c r="W104" i="41" s="1"/>
  <c r="O104" i="41" a="1"/>
  <c r="O104" i="41" s="1"/>
  <c r="AR103" i="41" a="1"/>
  <c r="AR103" i="41" s="1"/>
  <c r="AH103" i="41" a="1"/>
  <c r="AH103" i="41" s="1"/>
  <c r="Z103" i="41" a="1"/>
  <c r="Z103" i="41" s="1"/>
  <c r="R103" i="41" a="1"/>
  <c r="R103" i="41" s="1"/>
  <c r="J103" i="41" a="1"/>
  <c r="J103" i="41" s="1"/>
  <c r="AK101" i="41" a="1"/>
  <c r="AK101" i="41" s="1"/>
  <c r="AC101" i="41" a="1"/>
  <c r="AC101" i="41" s="1"/>
  <c r="U101" i="41" a="1"/>
  <c r="U101" i="41" s="1"/>
  <c r="M101" i="41" a="1"/>
  <c r="M101" i="41" s="1"/>
  <c r="AP100" i="41" a="1"/>
  <c r="AP100" i="41" s="1"/>
  <c r="AF100" i="41" a="1"/>
  <c r="AF100" i="41" s="1"/>
  <c r="X100" i="41" a="1"/>
  <c r="X100" i="41" s="1"/>
  <c r="P100" i="41" a="1"/>
  <c r="P100" i="41" s="1"/>
  <c r="AS98" i="41" a="1"/>
  <c r="AS98" i="41" s="1"/>
  <c r="AI98" i="41" a="1"/>
  <c r="AI98" i="41" s="1"/>
  <c r="AA98" i="41" a="1"/>
  <c r="AA98" i="41" s="1"/>
  <c r="S98" i="41" a="1"/>
  <c r="S98" i="41" s="1"/>
  <c r="K98" i="41" a="1"/>
  <c r="K98" i="41" s="1"/>
  <c r="AL97" i="41" a="1"/>
  <c r="AL97" i="41" s="1"/>
  <c r="AD97" i="41" a="1"/>
  <c r="AD97" i="41" s="1"/>
  <c r="V97" i="41" a="1"/>
  <c r="V97" i="41" s="1"/>
  <c r="N97" i="41" a="1"/>
  <c r="N97" i="41" s="1"/>
  <c r="AQ95" i="41" a="1"/>
  <c r="AQ95" i="41" s="1"/>
  <c r="AG95" i="41" a="1"/>
  <c r="AG95" i="41" s="1"/>
  <c r="Y95" i="41" a="1"/>
  <c r="Y95" i="41" s="1"/>
  <c r="Q95" i="41" a="1"/>
  <c r="Q95" i="41" s="1"/>
  <c r="AT94" i="41" a="1"/>
  <c r="AT94" i="41" s="1"/>
  <c r="AJ94" i="41" a="1"/>
  <c r="AJ94" i="41" s="1"/>
  <c r="AB94" i="41" a="1"/>
  <c r="AB94" i="41" s="1"/>
  <c r="T94" i="41" a="1"/>
  <c r="T94" i="41" s="1"/>
  <c r="L94" i="41" a="1"/>
  <c r="L94" i="41" s="1"/>
  <c r="AM92" i="41" a="1"/>
  <c r="AM92" i="41" s="1"/>
  <c r="AE92" i="41" a="1"/>
  <c r="AE92" i="41" s="1"/>
  <c r="W92" i="41" a="1"/>
  <c r="W92" i="41" s="1"/>
  <c r="O92" i="41" a="1"/>
  <c r="O92" i="41" s="1"/>
  <c r="AR91" i="41" a="1"/>
  <c r="AR91" i="41" s="1"/>
  <c r="AH91" i="41" a="1"/>
  <c r="AH91" i="41" s="1"/>
  <c r="Z91" i="41" a="1"/>
  <c r="Z91" i="41" s="1"/>
  <c r="R91" i="41" a="1"/>
  <c r="R91" i="41" s="1"/>
  <c r="J91" i="41" a="1"/>
  <c r="J91" i="41" s="1"/>
  <c r="AK89" i="41" a="1"/>
  <c r="AK89" i="41" s="1"/>
  <c r="AC89" i="41" a="1"/>
  <c r="AC89" i="41" s="1"/>
  <c r="U89" i="41" a="1"/>
  <c r="U89" i="41" s="1"/>
  <c r="M89" i="41" a="1"/>
  <c r="M89" i="41" s="1"/>
  <c r="AP88" i="41" a="1"/>
  <c r="AP88" i="41" s="1"/>
  <c r="AF88" i="41" a="1"/>
  <c r="AF88" i="41" s="1"/>
  <c r="X88" i="41" a="1"/>
  <c r="X88" i="41" s="1"/>
  <c r="P88" i="41" a="1"/>
  <c r="P88" i="41" s="1"/>
  <c r="AS86" i="41" a="1"/>
  <c r="AS86" i="41" s="1"/>
  <c r="AI86" i="41" a="1"/>
  <c r="AI86" i="41" s="1"/>
  <c r="AA86" i="41" a="1"/>
  <c r="AA86" i="41" s="1"/>
  <c r="S86" i="41" a="1"/>
  <c r="S86" i="41" s="1"/>
  <c r="K86" i="41" a="1"/>
  <c r="K86" i="41" s="1"/>
  <c r="AL85" i="41" a="1"/>
  <c r="AL85" i="41" s="1"/>
  <c r="AD85" i="41" a="1"/>
  <c r="AD85" i="41" s="1"/>
  <c r="V85" i="41" a="1"/>
  <c r="V85" i="41" s="1"/>
  <c r="N85" i="41" a="1"/>
  <c r="N85" i="41" s="1"/>
  <c r="AQ83" i="41" a="1"/>
  <c r="AQ83" i="41" s="1"/>
  <c r="AG83" i="41" a="1"/>
  <c r="AG83" i="41" s="1"/>
  <c r="Y83" i="41" a="1"/>
  <c r="Y83" i="41" s="1"/>
  <c r="Q83" i="41" a="1"/>
  <c r="Q83" i="41" s="1"/>
  <c r="AT82" i="41" a="1"/>
  <c r="AT82" i="41" s="1"/>
  <c r="AJ82" i="41" a="1"/>
  <c r="AJ82" i="41" s="1"/>
  <c r="AB82" i="41" a="1"/>
  <c r="AB82" i="41" s="1"/>
  <c r="T82" i="41" a="1"/>
  <c r="T82" i="41" s="1"/>
  <c r="L82" i="41" a="1"/>
  <c r="L82" i="41" s="1"/>
  <c r="AM80" i="41" a="1"/>
  <c r="AM80" i="41" s="1"/>
  <c r="AE80" i="41" a="1"/>
  <c r="AE80" i="41" s="1"/>
  <c r="W80" i="41" a="1"/>
  <c r="W80" i="41" s="1"/>
  <c r="O80" i="41" a="1"/>
  <c r="O80" i="41" s="1"/>
  <c r="AR79" i="41" a="1"/>
  <c r="AR79" i="41" s="1"/>
  <c r="AH79" i="41" a="1"/>
  <c r="AH79" i="41" s="1"/>
  <c r="Z79" i="41" a="1"/>
  <c r="Z79" i="41" s="1"/>
  <c r="R79" i="41" a="1"/>
  <c r="R79" i="41" s="1"/>
  <c r="J79" i="41" a="1"/>
  <c r="J79" i="41" s="1"/>
  <c r="AK77" i="41" a="1"/>
  <c r="AK77" i="41" s="1"/>
  <c r="AC77" i="41" a="1"/>
  <c r="AC77" i="41" s="1"/>
  <c r="U77" i="41" a="1"/>
  <c r="U77" i="41" s="1"/>
  <c r="M77" i="41" a="1"/>
  <c r="M77" i="41" s="1"/>
  <c r="AP76" i="41" a="1"/>
  <c r="AP76" i="41" s="1"/>
  <c r="AF76" i="41" a="1"/>
  <c r="AF76" i="41" s="1"/>
  <c r="X76" i="41" a="1"/>
  <c r="X76" i="41" s="1"/>
  <c r="P76" i="41" a="1"/>
  <c r="P76" i="41" s="1"/>
  <c r="AS74" i="41" a="1"/>
  <c r="AS74" i="41" s="1"/>
  <c r="AI74" i="41" a="1"/>
  <c r="AI74" i="41" s="1"/>
  <c r="AA74" i="41" a="1"/>
  <c r="AA74" i="41" s="1"/>
  <c r="S74" i="41" a="1"/>
  <c r="S74" i="41" s="1"/>
  <c r="K74" i="41" a="1"/>
  <c r="K74" i="41" s="1"/>
  <c r="AL73" i="41" a="1"/>
  <c r="AL73" i="41" s="1"/>
  <c r="AD73" i="41" a="1"/>
  <c r="AD73" i="41" s="1"/>
  <c r="V73" i="41" a="1"/>
  <c r="V73" i="41" s="1"/>
  <c r="N73" i="41" a="1"/>
  <c r="N73" i="41" s="1"/>
  <c r="AQ71" i="41" a="1"/>
  <c r="AQ71" i="41" s="1"/>
  <c r="AG71" i="41" a="1"/>
  <c r="AG71" i="41" s="1"/>
  <c r="Y71" i="41" a="1"/>
  <c r="Y71" i="41" s="1"/>
  <c r="Q71" i="41" a="1"/>
  <c r="Q71" i="41" s="1"/>
  <c r="AT70" i="41" a="1"/>
  <c r="AT70" i="41" s="1"/>
  <c r="AJ70" i="41" a="1"/>
  <c r="AJ70" i="41" s="1"/>
  <c r="AB70" i="41" a="1"/>
  <c r="AB70" i="41" s="1"/>
  <c r="T70" i="41" a="1"/>
  <c r="T70" i="41" s="1"/>
  <c r="L70" i="41" a="1"/>
  <c r="L70" i="41" s="1"/>
  <c r="AM68" i="41" a="1"/>
  <c r="AM68" i="41" s="1"/>
  <c r="AE68" i="41" a="1"/>
  <c r="AE68" i="41" s="1"/>
  <c r="W68" i="41" a="1"/>
  <c r="W68" i="41" s="1"/>
  <c r="O68" i="41" a="1"/>
  <c r="O68" i="41" s="1"/>
  <c r="AR67" i="41" a="1"/>
  <c r="AR67" i="41" s="1"/>
  <c r="AH67" i="41" a="1"/>
  <c r="AH67" i="41" s="1"/>
  <c r="Z67" i="41" a="1"/>
  <c r="Z67" i="41" s="1"/>
  <c r="R67" i="41" a="1"/>
  <c r="R67" i="41" s="1"/>
  <c r="AD31" i="43" a="1"/>
  <c r="AD31" i="43" s="1"/>
  <c r="P31" i="43" a="1"/>
  <c r="P31" i="43" s="1"/>
  <c r="AR29" i="43" a="1"/>
  <c r="AR29" i="43" s="1"/>
  <c r="AH29" i="43" a="1"/>
  <c r="AH29" i="43" s="1"/>
  <c r="Z29" i="43" a="1"/>
  <c r="Z29" i="43" s="1"/>
  <c r="R29" i="43" a="1"/>
  <c r="R29" i="43" s="1"/>
  <c r="J29" i="43" a="1"/>
  <c r="J29" i="43" s="1"/>
  <c r="AK28" i="43" a="1"/>
  <c r="AK28" i="43" s="1"/>
  <c r="AC28" i="43" a="1"/>
  <c r="AC28" i="43" s="1"/>
  <c r="U28" i="43" a="1"/>
  <c r="U28" i="43" s="1"/>
  <c r="M28" i="43" a="1"/>
  <c r="M28" i="43" s="1"/>
  <c r="AP26" i="43" a="1"/>
  <c r="AP26" i="43" s="1"/>
  <c r="AF26" i="43" a="1"/>
  <c r="AF26" i="43" s="1"/>
  <c r="X26" i="43" a="1"/>
  <c r="X26" i="43" s="1"/>
  <c r="P26" i="43" a="1"/>
  <c r="P26" i="43" s="1"/>
  <c r="AS25" i="43" a="1"/>
  <c r="AS25" i="43" s="1"/>
  <c r="AI25" i="43" a="1"/>
  <c r="AI25" i="43" s="1"/>
  <c r="AA25" i="43" a="1"/>
  <c r="AA25" i="43" s="1"/>
  <c r="S25" i="43" a="1"/>
  <c r="S25" i="43" s="1"/>
  <c r="K25" i="43" a="1"/>
  <c r="K25" i="43" s="1"/>
  <c r="AL23" i="43" a="1"/>
  <c r="AL23" i="43" s="1"/>
  <c r="AD23" i="43" a="1"/>
  <c r="AD23" i="43" s="1"/>
  <c r="V23" i="43" a="1"/>
  <c r="V23" i="43" s="1"/>
  <c r="N23" i="43" a="1"/>
  <c r="N23" i="43" s="1"/>
  <c r="AQ22" i="43" a="1"/>
  <c r="AQ22" i="43" s="1"/>
  <c r="AG22" i="43" a="1"/>
  <c r="AG22" i="43" s="1"/>
  <c r="Y22" i="43" a="1"/>
  <c r="Y22" i="43" s="1"/>
  <c r="Q22" i="43" a="1"/>
  <c r="Q22" i="43" s="1"/>
  <c r="AT20" i="43" a="1"/>
  <c r="AT20" i="43" s="1"/>
  <c r="AJ20" i="43" a="1"/>
  <c r="AJ20" i="43" s="1"/>
  <c r="AB20" i="43" a="1"/>
  <c r="AB20" i="43" s="1"/>
  <c r="T20" i="43" a="1"/>
  <c r="T20" i="43" s="1"/>
  <c r="L20" i="43" a="1"/>
  <c r="L20" i="43" s="1"/>
  <c r="AM19" i="43" a="1"/>
  <c r="AM19" i="43" s="1"/>
  <c r="AE19" i="43" a="1"/>
  <c r="AE19" i="43" s="1"/>
  <c r="W19" i="43" a="1"/>
  <c r="W19" i="43" s="1"/>
  <c r="O19" i="43" a="1"/>
  <c r="O19" i="43" s="1"/>
  <c r="AR17" i="43" a="1"/>
  <c r="AR17" i="43" s="1"/>
  <c r="AH17" i="43" a="1"/>
  <c r="AH17" i="43" s="1"/>
  <c r="Z17" i="43" a="1"/>
  <c r="Z17" i="43" s="1"/>
  <c r="R17" i="43" a="1"/>
  <c r="R17" i="43" s="1"/>
  <c r="J17" i="43" a="1"/>
  <c r="J17" i="43" s="1"/>
  <c r="AK16" i="43" a="1"/>
  <c r="AK16" i="43" s="1"/>
  <c r="AC16" i="43" a="1"/>
  <c r="AC16" i="43" s="1"/>
  <c r="U16" i="43" a="1"/>
  <c r="U16" i="43" s="1"/>
  <c r="M16" i="43" a="1"/>
  <c r="M16" i="43" s="1"/>
  <c r="AP11" i="43" a="1"/>
  <c r="AP11" i="43" s="1"/>
  <c r="AF11" i="43" a="1"/>
  <c r="AF11" i="43" s="1"/>
  <c r="X11" i="43" a="1"/>
  <c r="X11" i="43" s="1"/>
  <c r="P11" i="43" a="1"/>
  <c r="P11" i="43" s="1"/>
  <c r="AS10" i="43" a="1"/>
  <c r="AS10" i="43" s="1"/>
  <c r="AI10" i="43" a="1"/>
  <c r="AI10" i="43" s="1"/>
  <c r="AA10" i="43" a="1"/>
  <c r="AA10" i="43" s="1"/>
  <c r="S10" i="43" a="1"/>
  <c r="S10" i="43" s="1"/>
  <c r="K10" i="43" a="1"/>
  <c r="K10" i="43" s="1"/>
  <c r="AL104" i="41" a="1"/>
  <c r="AL104" i="41" s="1"/>
  <c r="AD104" i="41" a="1"/>
  <c r="AD104" i="41" s="1"/>
  <c r="V104" i="41" a="1"/>
  <c r="V104" i="41" s="1"/>
  <c r="N104" i="41" a="1"/>
  <c r="N104" i="41" s="1"/>
  <c r="AQ103" i="41" a="1"/>
  <c r="AQ103" i="41" s="1"/>
  <c r="AG103" i="41" a="1"/>
  <c r="AG103" i="41" s="1"/>
  <c r="Y103" i="41" a="1"/>
  <c r="Y103" i="41" s="1"/>
  <c r="Q103" i="41" a="1"/>
  <c r="Q103" i="41" s="1"/>
  <c r="AT101" i="41" a="1"/>
  <c r="AT101" i="41" s="1"/>
  <c r="AJ101" i="41" a="1"/>
  <c r="AJ101" i="41" s="1"/>
  <c r="AB101" i="41" a="1"/>
  <c r="AB101" i="41" s="1"/>
  <c r="T101" i="41" a="1"/>
  <c r="T101" i="41" s="1"/>
  <c r="L101" i="41" a="1"/>
  <c r="L101" i="41" s="1"/>
  <c r="AM100" i="41" a="1"/>
  <c r="AM100" i="41" s="1"/>
  <c r="AE100" i="41" a="1"/>
  <c r="AE100" i="41" s="1"/>
  <c r="W100" i="41" a="1"/>
  <c r="W100" i="41" s="1"/>
  <c r="O100" i="41" a="1"/>
  <c r="O100" i="41" s="1"/>
  <c r="AR98" i="41" a="1"/>
  <c r="AR98" i="41" s="1"/>
  <c r="AH98" i="41" a="1"/>
  <c r="AH98" i="41" s="1"/>
  <c r="Z98" i="41" a="1"/>
  <c r="Z98" i="41" s="1"/>
  <c r="R98" i="41" a="1"/>
  <c r="R98" i="41" s="1"/>
  <c r="J98" i="41" a="1"/>
  <c r="J98" i="41" s="1"/>
  <c r="AK97" i="41" a="1"/>
  <c r="AK97" i="41" s="1"/>
  <c r="AC97" i="41" a="1"/>
  <c r="AC97" i="41" s="1"/>
  <c r="U97" i="41" a="1"/>
  <c r="U97" i="41" s="1"/>
  <c r="M97" i="41" a="1"/>
  <c r="M97" i="41" s="1"/>
  <c r="AP95" i="41" a="1"/>
  <c r="AP95" i="41" s="1"/>
  <c r="AF95" i="41" a="1"/>
  <c r="AF95" i="41" s="1"/>
  <c r="X95" i="41" a="1"/>
  <c r="X95" i="41" s="1"/>
  <c r="P95" i="41" a="1"/>
  <c r="P95" i="41" s="1"/>
  <c r="AS94" i="41" a="1"/>
  <c r="AS94" i="41" s="1"/>
  <c r="AI94" i="41" a="1"/>
  <c r="AI94" i="41" s="1"/>
  <c r="AA94" i="41" a="1"/>
  <c r="AA94" i="41" s="1"/>
  <c r="S94" i="41" a="1"/>
  <c r="S94" i="41" s="1"/>
  <c r="K94" i="41" a="1"/>
  <c r="K94" i="41" s="1"/>
  <c r="AL92" i="41" a="1"/>
  <c r="AL92" i="41" s="1"/>
  <c r="AD92" i="41" a="1"/>
  <c r="AD92" i="41" s="1"/>
  <c r="V92" i="41" a="1"/>
  <c r="V92" i="41" s="1"/>
  <c r="N92" i="41" a="1"/>
  <c r="N92" i="41" s="1"/>
  <c r="AQ91" i="41" a="1"/>
  <c r="AQ91" i="41" s="1"/>
  <c r="AG91" i="41" a="1"/>
  <c r="AG91" i="41" s="1"/>
  <c r="Y91" i="41" a="1"/>
  <c r="Y91" i="41" s="1"/>
  <c r="Q91" i="41" a="1"/>
  <c r="Q91" i="41" s="1"/>
  <c r="AT89" i="41" a="1"/>
  <c r="AT89" i="41" s="1"/>
  <c r="AJ89" i="41" a="1"/>
  <c r="AJ89" i="41" s="1"/>
  <c r="AB89" i="41" a="1"/>
  <c r="AB89" i="41" s="1"/>
  <c r="T89" i="41" a="1"/>
  <c r="T89" i="41" s="1"/>
  <c r="L89" i="41" a="1"/>
  <c r="L89" i="41" s="1"/>
  <c r="AM88" i="41" a="1"/>
  <c r="AM88" i="41" s="1"/>
  <c r="AE88" i="41" a="1"/>
  <c r="AE88" i="41" s="1"/>
  <c r="W88" i="41" a="1"/>
  <c r="W88" i="41" s="1"/>
  <c r="O88" i="41" a="1"/>
  <c r="O88" i="41" s="1"/>
  <c r="AR86" i="41" a="1"/>
  <c r="AR86" i="41" s="1"/>
  <c r="AH86" i="41" a="1"/>
  <c r="AH86" i="41" s="1"/>
  <c r="Z86" i="41" a="1"/>
  <c r="Z86" i="41" s="1"/>
  <c r="R86" i="41" a="1"/>
  <c r="R86" i="41" s="1"/>
  <c r="J86" i="41" a="1"/>
  <c r="J86" i="41" s="1"/>
  <c r="AK85" i="41" a="1"/>
  <c r="AK85" i="41" s="1"/>
  <c r="AC85" i="41" a="1"/>
  <c r="AC85" i="41" s="1"/>
  <c r="U85" i="41" a="1"/>
  <c r="U85" i="41" s="1"/>
  <c r="M85" i="41" a="1"/>
  <c r="M85" i="41" s="1"/>
  <c r="AP83" i="41" a="1"/>
  <c r="AP83" i="41" s="1"/>
  <c r="AF83" i="41" a="1"/>
  <c r="AF83" i="41" s="1"/>
  <c r="X83" i="41" a="1"/>
  <c r="X83" i="41" s="1"/>
  <c r="P83" i="41" a="1"/>
  <c r="P83" i="41" s="1"/>
  <c r="AS82" i="41" a="1"/>
  <c r="AS82" i="41" s="1"/>
  <c r="AI82" i="41" a="1"/>
  <c r="AI82" i="41" s="1"/>
  <c r="AA82" i="41" a="1"/>
  <c r="AA82" i="41" s="1"/>
  <c r="S82" i="41" a="1"/>
  <c r="S82" i="41" s="1"/>
  <c r="K82" i="41" a="1"/>
  <c r="K82" i="41" s="1"/>
  <c r="AL80" i="41" a="1"/>
  <c r="AL80" i="41" s="1"/>
  <c r="AD80" i="41" a="1"/>
  <c r="AD80" i="41" s="1"/>
  <c r="V80" i="41" a="1"/>
  <c r="V80" i="41" s="1"/>
  <c r="N80" i="41" a="1"/>
  <c r="N80" i="41" s="1"/>
  <c r="AQ79" i="41" a="1"/>
  <c r="AQ79" i="41" s="1"/>
  <c r="AG79" i="41" a="1"/>
  <c r="AG79" i="41" s="1"/>
  <c r="Y79" i="41" a="1"/>
  <c r="Y79" i="41" s="1"/>
  <c r="Q79" i="41" a="1"/>
  <c r="Q79" i="41" s="1"/>
  <c r="AT77" i="41" a="1"/>
  <c r="AT77" i="41" s="1"/>
  <c r="AJ77" i="41" a="1"/>
  <c r="AJ77" i="41" s="1"/>
  <c r="AB77" i="41" a="1"/>
  <c r="AB77" i="41" s="1"/>
  <c r="T77" i="41" a="1"/>
  <c r="T77" i="41" s="1"/>
  <c r="L77" i="41" a="1"/>
  <c r="L77" i="41" s="1"/>
  <c r="AM76" i="41" a="1"/>
  <c r="AM76" i="41" s="1"/>
  <c r="AE76" i="41" a="1"/>
  <c r="AE76" i="41" s="1"/>
  <c r="W76" i="41" a="1"/>
  <c r="W76" i="41" s="1"/>
  <c r="O76" i="41" a="1"/>
  <c r="O76" i="41" s="1"/>
  <c r="AR74" i="41" a="1"/>
  <c r="AR74" i="41" s="1"/>
  <c r="AH74" i="41" a="1"/>
  <c r="AH74" i="41" s="1"/>
  <c r="Z74" i="41" a="1"/>
  <c r="Z74" i="41" s="1"/>
  <c r="R74" i="41" a="1"/>
  <c r="R74" i="41" s="1"/>
  <c r="J74" i="41" a="1"/>
  <c r="J74" i="41" s="1"/>
  <c r="AK73" i="41" a="1"/>
  <c r="AK73" i="41" s="1"/>
  <c r="AC73" i="41" a="1"/>
  <c r="AC73" i="41" s="1"/>
  <c r="U73" i="41" a="1"/>
  <c r="U73" i="41" s="1"/>
  <c r="M73" i="41" a="1"/>
  <c r="M73" i="41" s="1"/>
  <c r="AP71" i="41" a="1"/>
  <c r="AP71" i="41" s="1"/>
  <c r="AF71" i="41" a="1"/>
  <c r="AF71" i="41" s="1"/>
  <c r="X71" i="41" a="1"/>
  <c r="X71" i="41" s="1"/>
  <c r="P71" i="41" a="1"/>
  <c r="P71" i="41" s="1"/>
  <c r="AS70" i="41" a="1"/>
  <c r="AS70" i="41" s="1"/>
  <c r="AI70" i="41" a="1"/>
  <c r="AI70" i="41" s="1"/>
  <c r="AA70" i="41" a="1"/>
  <c r="AA70" i="41" s="1"/>
  <c r="S70" i="41" a="1"/>
  <c r="S70" i="41" s="1"/>
  <c r="K70" i="41" a="1"/>
  <c r="K70" i="41" s="1"/>
  <c r="AL68" i="41" a="1"/>
  <c r="AL68" i="41" s="1"/>
  <c r="AD68" i="41" a="1"/>
  <c r="AD68" i="41" s="1"/>
  <c r="V68" i="41" a="1"/>
  <c r="V68" i="41" s="1"/>
  <c r="N68" i="41" a="1"/>
  <c r="N68" i="41" s="1"/>
  <c r="AQ67" i="41" a="1"/>
  <c r="AQ67" i="41" s="1"/>
  <c r="AG67" i="41" a="1"/>
  <c r="AG67" i="41" s="1"/>
  <c r="Y67" i="41" a="1"/>
  <c r="Y67" i="41" s="1"/>
  <c r="Q67" i="41" a="1"/>
  <c r="Q67" i="41" s="1"/>
  <c r="AT65" i="41" a="1"/>
  <c r="AT65" i="41" s="1"/>
  <c r="AJ65" i="41" a="1"/>
  <c r="AJ65" i="41" s="1"/>
  <c r="AC31" i="43" a="1"/>
  <c r="AC31" i="43" s="1"/>
  <c r="O31" i="43" a="1"/>
  <c r="O31" i="43" s="1"/>
  <c r="AQ29" i="43" a="1"/>
  <c r="AQ29" i="43" s="1"/>
  <c r="AG29" i="43" a="1"/>
  <c r="AG29" i="43" s="1"/>
  <c r="Y29" i="43" a="1"/>
  <c r="Y29" i="43" s="1"/>
  <c r="Q29" i="43" a="1"/>
  <c r="Q29" i="43" s="1"/>
  <c r="AT28" i="43" a="1"/>
  <c r="AT28" i="43" s="1"/>
  <c r="AJ28" i="43" a="1"/>
  <c r="AJ28" i="43" s="1"/>
  <c r="AB28" i="43" a="1"/>
  <c r="AB28" i="43" s="1"/>
  <c r="T28" i="43" a="1"/>
  <c r="T28" i="43" s="1"/>
  <c r="L28" i="43" a="1"/>
  <c r="L28" i="43" s="1"/>
  <c r="AM26" i="43" a="1"/>
  <c r="AM26" i="43" s="1"/>
  <c r="AE26" i="43" a="1"/>
  <c r="AE26" i="43" s="1"/>
  <c r="W26" i="43" a="1"/>
  <c r="W26" i="43" s="1"/>
  <c r="O26" i="43" a="1"/>
  <c r="O26" i="43" s="1"/>
  <c r="AR25" i="43" a="1"/>
  <c r="AR25" i="43" s="1"/>
  <c r="AH25" i="43" a="1"/>
  <c r="AH25" i="43" s="1"/>
  <c r="Z25" i="43" a="1"/>
  <c r="Z25" i="43" s="1"/>
  <c r="R25" i="43" a="1"/>
  <c r="R25" i="43" s="1"/>
  <c r="J25" i="43" a="1"/>
  <c r="J25" i="43" s="1"/>
  <c r="AK23" i="43" a="1"/>
  <c r="AK23" i="43" s="1"/>
  <c r="AC23" i="43" a="1"/>
  <c r="AC23" i="43" s="1"/>
  <c r="U23" i="43" a="1"/>
  <c r="U23" i="43" s="1"/>
  <c r="M23" i="43" a="1"/>
  <c r="M23" i="43" s="1"/>
  <c r="AP22" i="43" a="1"/>
  <c r="AP22" i="43" s="1"/>
  <c r="AF22" i="43" a="1"/>
  <c r="AF22" i="43" s="1"/>
  <c r="X22" i="43" a="1"/>
  <c r="X22" i="43" s="1"/>
  <c r="P22" i="43" a="1"/>
  <c r="P22" i="43" s="1"/>
  <c r="AS20" i="43" a="1"/>
  <c r="AS20" i="43" s="1"/>
  <c r="AI20" i="43" a="1"/>
  <c r="AI20" i="43" s="1"/>
  <c r="AA20" i="43" a="1"/>
  <c r="AA20" i="43" s="1"/>
  <c r="S20" i="43" a="1"/>
  <c r="S20" i="43" s="1"/>
  <c r="K20" i="43" a="1"/>
  <c r="K20" i="43" s="1"/>
  <c r="AL19" i="43" a="1"/>
  <c r="AL19" i="43" s="1"/>
  <c r="AD19" i="43" a="1"/>
  <c r="AD19" i="43" s="1"/>
  <c r="V19" i="43" a="1"/>
  <c r="V19" i="43" s="1"/>
  <c r="N19" i="43" a="1"/>
  <c r="N19" i="43" s="1"/>
  <c r="AQ17" i="43" a="1"/>
  <c r="AQ17" i="43" s="1"/>
  <c r="AG17" i="43" a="1"/>
  <c r="AG17" i="43" s="1"/>
  <c r="Y17" i="43" a="1"/>
  <c r="Y17" i="43" s="1"/>
  <c r="Q17" i="43" a="1"/>
  <c r="Q17" i="43" s="1"/>
  <c r="AT16" i="43" a="1"/>
  <c r="AT16" i="43" s="1"/>
  <c r="AJ16" i="43" a="1"/>
  <c r="AJ16" i="43" s="1"/>
  <c r="AB16" i="43" a="1"/>
  <c r="AB16" i="43" s="1"/>
  <c r="T16" i="43" a="1"/>
  <c r="T16" i="43" s="1"/>
  <c r="L16" i="43" a="1"/>
  <c r="L16" i="43" s="1"/>
  <c r="AM11" i="43" a="1"/>
  <c r="AM11" i="43" s="1"/>
  <c r="AE11" i="43" a="1"/>
  <c r="AE11" i="43" s="1"/>
  <c r="W11" i="43" a="1"/>
  <c r="W11" i="43" s="1"/>
  <c r="O11" i="43" a="1"/>
  <c r="O11" i="43" s="1"/>
  <c r="AR10" i="43" a="1"/>
  <c r="AR10" i="43" s="1"/>
  <c r="AH10" i="43" a="1"/>
  <c r="AH10" i="43" s="1"/>
  <c r="Z10" i="43" a="1"/>
  <c r="Z10" i="43" s="1"/>
  <c r="R10" i="43" a="1"/>
  <c r="R10" i="43" s="1"/>
  <c r="J10" i="43" a="1"/>
  <c r="J10" i="43" s="1"/>
  <c r="AK104" i="41" a="1"/>
  <c r="AK104" i="41" s="1"/>
  <c r="AC104" i="41" a="1"/>
  <c r="AC104" i="41" s="1"/>
  <c r="U104" i="41" a="1"/>
  <c r="U104" i="41" s="1"/>
  <c r="M104" i="41" a="1"/>
  <c r="M104" i="41" s="1"/>
  <c r="AP103" i="41" a="1"/>
  <c r="AP103" i="41" s="1"/>
  <c r="AF103" i="41" a="1"/>
  <c r="AF103" i="41" s="1"/>
  <c r="X103" i="41" a="1"/>
  <c r="X103" i="41" s="1"/>
  <c r="P103" i="41" a="1"/>
  <c r="P103" i="41" s="1"/>
  <c r="AS101" i="41" a="1"/>
  <c r="AS101" i="41" s="1"/>
  <c r="AI101" i="41" a="1"/>
  <c r="AI101" i="41" s="1"/>
  <c r="AA101" i="41" a="1"/>
  <c r="AA101" i="41" s="1"/>
  <c r="S101" i="41" a="1"/>
  <c r="S101" i="41" s="1"/>
  <c r="K101" i="41" a="1"/>
  <c r="K101" i="41" s="1"/>
  <c r="AL100" i="41" a="1"/>
  <c r="AL100" i="41" s="1"/>
  <c r="AD100" i="41" a="1"/>
  <c r="AD100" i="41" s="1"/>
  <c r="V100" i="41" a="1"/>
  <c r="V100" i="41" s="1"/>
  <c r="N100" i="41" a="1"/>
  <c r="N100" i="41" s="1"/>
  <c r="AQ98" i="41" a="1"/>
  <c r="AQ98" i="41" s="1"/>
  <c r="AG98" i="41" a="1"/>
  <c r="AG98" i="41" s="1"/>
  <c r="Y98" i="41" a="1"/>
  <c r="Y98" i="41" s="1"/>
  <c r="Q98" i="41" a="1"/>
  <c r="Q98" i="41" s="1"/>
  <c r="AT97" i="41" a="1"/>
  <c r="AT97" i="41" s="1"/>
  <c r="AJ97" i="41" a="1"/>
  <c r="AJ97" i="41" s="1"/>
  <c r="AB97" i="41" a="1"/>
  <c r="AB97" i="41" s="1"/>
  <c r="T97" i="41" a="1"/>
  <c r="T97" i="41" s="1"/>
  <c r="L97" i="41" a="1"/>
  <c r="L97" i="41" s="1"/>
  <c r="AM95" i="41" a="1"/>
  <c r="AM95" i="41" s="1"/>
  <c r="AE95" i="41" a="1"/>
  <c r="AE95" i="41" s="1"/>
  <c r="W95" i="41" a="1"/>
  <c r="W95" i="41" s="1"/>
  <c r="O95" i="41" a="1"/>
  <c r="O95" i="41" s="1"/>
  <c r="AR94" i="41" a="1"/>
  <c r="AR94" i="41" s="1"/>
  <c r="AH94" i="41" a="1"/>
  <c r="AH94" i="41" s="1"/>
  <c r="Z94" i="41" a="1"/>
  <c r="Z94" i="41" s="1"/>
  <c r="R94" i="41" a="1"/>
  <c r="R94" i="41" s="1"/>
  <c r="J94" i="41" a="1"/>
  <c r="J94" i="41" s="1"/>
  <c r="AK92" i="41" a="1"/>
  <c r="AK92" i="41" s="1"/>
  <c r="AC92" i="41" a="1"/>
  <c r="AC92" i="41" s="1"/>
  <c r="U92" i="41" a="1"/>
  <c r="U92" i="41" s="1"/>
  <c r="M92" i="41" a="1"/>
  <c r="M92" i="41" s="1"/>
  <c r="AP91" i="41" a="1"/>
  <c r="AP91" i="41" s="1"/>
  <c r="AF91" i="41" a="1"/>
  <c r="AF91" i="41" s="1"/>
  <c r="X91" i="41" a="1"/>
  <c r="X91" i="41" s="1"/>
  <c r="P91" i="41" a="1"/>
  <c r="P91" i="41" s="1"/>
  <c r="AS89" i="41" a="1"/>
  <c r="AS89" i="41" s="1"/>
  <c r="AI89" i="41" a="1"/>
  <c r="AI89" i="41" s="1"/>
  <c r="AA89" i="41" a="1"/>
  <c r="AA89" i="41" s="1"/>
  <c r="S89" i="41" a="1"/>
  <c r="S89" i="41" s="1"/>
  <c r="K89" i="41" a="1"/>
  <c r="K89" i="41" s="1"/>
  <c r="AL88" i="41" a="1"/>
  <c r="AL88" i="41" s="1"/>
  <c r="AD88" i="41" a="1"/>
  <c r="AD88" i="41" s="1"/>
  <c r="V88" i="41" a="1"/>
  <c r="V88" i="41" s="1"/>
  <c r="N88" i="41" a="1"/>
  <c r="N88" i="41" s="1"/>
  <c r="AQ86" i="41" a="1"/>
  <c r="AQ86" i="41" s="1"/>
  <c r="AG86" i="41" a="1"/>
  <c r="AG86" i="41" s="1"/>
  <c r="Y86" i="41" a="1"/>
  <c r="Y86" i="41" s="1"/>
  <c r="Q86" i="41" a="1"/>
  <c r="Q86" i="41" s="1"/>
  <c r="AT85" i="41" a="1"/>
  <c r="AT85" i="41" s="1"/>
  <c r="AJ85" i="41" a="1"/>
  <c r="AJ85" i="41" s="1"/>
  <c r="AB85" i="41" a="1"/>
  <c r="AB85" i="41" s="1"/>
  <c r="T85" i="41" a="1"/>
  <c r="T85" i="41" s="1"/>
  <c r="L85" i="41" a="1"/>
  <c r="L85" i="41" s="1"/>
  <c r="AM83" i="41" a="1"/>
  <c r="AM83" i="41" s="1"/>
  <c r="AE83" i="41" a="1"/>
  <c r="AE83" i="41" s="1"/>
  <c r="W83" i="41" a="1"/>
  <c r="W83" i="41" s="1"/>
  <c r="O83" i="41" a="1"/>
  <c r="O83" i="41" s="1"/>
  <c r="AR82" i="41" a="1"/>
  <c r="AR82" i="41" s="1"/>
  <c r="AH82" i="41" a="1"/>
  <c r="AH82" i="41" s="1"/>
  <c r="Z82" i="41" a="1"/>
  <c r="Z82" i="41" s="1"/>
  <c r="R82" i="41" a="1"/>
  <c r="R82" i="41" s="1"/>
  <c r="J82" i="41" a="1"/>
  <c r="J82" i="41" s="1"/>
  <c r="AK80" i="41" a="1"/>
  <c r="AK80" i="41" s="1"/>
  <c r="AC80" i="41" a="1"/>
  <c r="AC80" i="41" s="1"/>
  <c r="U80" i="41" a="1"/>
  <c r="U80" i="41" s="1"/>
  <c r="M80" i="41" a="1"/>
  <c r="M80" i="41" s="1"/>
  <c r="AP79" i="41" a="1"/>
  <c r="AP79" i="41" s="1"/>
  <c r="AF79" i="41" a="1"/>
  <c r="AF79" i="41" s="1"/>
  <c r="X79" i="41" a="1"/>
  <c r="X79" i="41" s="1"/>
  <c r="P79" i="41" a="1"/>
  <c r="P79" i="41" s="1"/>
  <c r="AS77" i="41" a="1"/>
  <c r="AS77" i="41" s="1"/>
  <c r="AI77" i="41" a="1"/>
  <c r="AI77" i="41" s="1"/>
  <c r="AA77" i="41" a="1"/>
  <c r="AA77" i="41" s="1"/>
  <c r="S77" i="41" a="1"/>
  <c r="S77" i="41" s="1"/>
  <c r="K77" i="41" a="1"/>
  <c r="K77" i="41" s="1"/>
  <c r="AL76" i="41" a="1"/>
  <c r="AL76" i="41" s="1"/>
  <c r="AD76" i="41" a="1"/>
  <c r="AD76" i="41" s="1"/>
  <c r="V76" i="41" a="1"/>
  <c r="V76" i="41" s="1"/>
  <c r="N76" i="41" a="1"/>
  <c r="N76" i="41" s="1"/>
  <c r="AQ74" i="41" a="1"/>
  <c r="AQ74" i="41" s="1"/>
  <c r="AG74" i="41" a="1"/>
  <c r="AG74" i="41" s="1"/>
  <c r="Y74" i="41" a="1"/>
  <c r="Y74" i="41" s="1"/>
  <c r="Q74" i="41" a="1"/>
  <c r="Q74" i="41" s="1"/>
  <c r="AT73" i="41" a="1"/>
  <c r="AT73" i="41" s="1"/>
  <c r="AJ73" i="41" a="1"/>
  <c r="AJ73" i="41" s="1"/>
  <c r="AB73" i="41" a="1"/>
  <c r="AB73" i="41" s="1"/>
  <c r="T73" i="41" a="1"/>
  <c r="T73" i="41" s="1"/>
  <c r="L73" i="41" a="1"/>
  <c r="L73" i="41" s="1"/>
  <c r="AM71" i="41" a="1"/>
  <c r="AM71" i="41" s="1"/>
  <c r="AE71" i="41" a="1"/>
  <c r="AE71" i="41" s="1"/>
  <c r="W71" i="41" a="1"/>
  <c r="W71" i="41" s="1"/>
  <c r="O71" i="41" a="1"/>
  <c r="O71" i="41" s="1"/>
  <c r="AR70" i="41" a="1"/>
  <c r="AR70" i="41" s="1"/>
  <c r="AH70" i="41" a="1"/>
  <c r="AH70" i="41" s="1"/>
  <c r="Z70" i="41" a="1"/>
  <c r="Z70" i="41" s="1"/>
  <c r="R70" i="41" a="1"/>
  <c r="R70" i="41" s="1"/>
  <c r="J70" i="41" a="1"/>
  <c r="J70" i="41" s="1"/>
  <c r="AK68" i="41" a="1"/>
  <c r="AK68" i="41" s="1"/>
  <c r="AC68" i="41" a="1"/>
  <c r="AC68" i="41" s="1"/>
  <c r="U68" i="41" a="1"/>
  <c r="U68" i="41" s="1"/>
  <c r="M68" i="41" a="1"/>
  <c r="M68" i="41" s="1"/>
  <c r="AP67" i="41" a="1"/>
  <c r="AP67" i="41" s="1"/>
  <c r="AF67" i="41" a="1"/>
  <c r="AF67" i="41" s="1"/>
  <c r="X67" i="41" a="1"/>
  <c r="X67" i="41" s="1"/>
  <c r="P67" i="41" a="1"/>
  <c r="P67" i="41" s="1"/>
  <c r="AS65" i="41" a="1"/>
  <c r="AS65" i="41" s="1"/>
  <c r="AI65" i="41" a="1"/>
  <c r="AI65" i="41" s="1"/>
  <c r="X31" i="43" a="1"/>
  <c r="X31" i="43" s="1"/>
  <c r="N31" i="43" a="1"/>
  <c r="N31" i="43" s="1"/>
  <c r="AP29" i="43" a="1"/>
  <c r="AP29" i="43" s="1"/>
  <c r="AF29" i="43" a="1"/>
  <c r="AF29" i="43" s="1"/>
  <c r="X29" i="43" a="1"/>
  <c r="X29" i="43" s="1"/>
  <c r="P29" i="43" a="1"/>
  <c r="P29" i="43" s="1"/>
  <c r="AS28" i="43" a="1"/>
  <c r="AS28" i="43" s="1"/>
  <c r="AI28" i="43" a="1"/>
  <c r="AI28" i="43" s="1"/>
  <c r="AA28" i="43" a="1"/>
  <c r="AA28" i="43" s="1"/>
  <c r="S28" i="43" a="1"/>
  <c r="S28" i="43" s="1"/>
  <c r="K28" i="43" a="1"/>
  <c r="K28" i="43" s="1"/>
  <c r="AL26" i="43" a="1"/>
  <c r="AL26" i="43" s="1"/>
  <c r="AD26" i="43" a="1"/>
  <c r="AD26" i="43" s="1"/>
  <c r="V26" i="43" a="1"/>
  <c r="V26" i="43" s="1"/>
  <c r="N26" i="43" a="1"/>
  <c r="N26" i="43" s="1"/>
  <c r="AQ25" i="43" a="1"/>
  <c r="AQ25" i="43" s="1"/>
  <c r="AG25" i="43" a="1"/>
  <c r="AG25" i="43" s="1"/>
  <c r="Y25" i="43" a="1"/>
  <c r="Y25" i="43" s="1"/>
  <c r="Q25" i="43" a="1"/>
  <c r="Q25" i="43" s="1"/>
  <c r="AT23" i="43" a="1"/>
  <c r="AT23" i="43" s="1"/>
  <c r="AJ23" i="43" a="1"/>
  <c r="AJ23" i="43" s="1"/>
  <c r="AB23" i="43" a="1"/>
  <c r="AB23" i="43" s="1"/>
  <c r="T23" i="43" a="1"/>
  <c r="T23" i="43" s="1"/>
  <c r="L23" i="43" a="1"/>
  <c r="L23" i="43" s="1"/>
  <c r="AM22" i="43" a="1"/>
  <c r="AM22" i="43" s="1"/>
  <c r="AE22" i="43" a="1"/>
  <c r="AE22" i="43" s="1"/>
  <c r="W22" i="43" a="1"/>
  <c r="W22" i="43" s="1"/>
  <c r="O22" i="43" a="1"/>
  <c r="O22" i="43" s="1"/>
  <c r="AR20" i="43" a="1"/>
  <c r="AR20" i="43" s="1"/>
  <c r="AH20" i="43" a="1"/>
  <c r="AH20" i="43" s="1"/>
  <c r="Z20" i="43" a="1"/>
  <c r="Z20" i="43" s="1"/>
  <c r="R20" i="43" a="1"/>
  <c r="R20" i="43" s="1"/>
  <c r="J20" i="43" a="1"/>
  <c r="J20" i="43" s="1"/>
  <c r="AK19" i="43" a="1"/>
  <c r="AK19" i="43" s="1"/>
  <c r="AC19" i="43" a="1"/>
  <c r="AC19" i="43" s="1"/>
  <c r="U19" i="43" a="1"/>
  <c r="U19" i="43" s="1"/>
  <c r="M19" i="43" a="1"/>
  <c r="M19" i="43" s="1"/>
  <c r="AP17" i="43" a="1"/>
  <c r="AP17" i="43" s="1"/>
  <c r="AF17" i="43" a="1"/>
  <c r="AF17" i="43" s="1"/>
  <c r="X17" i="43" a="1"/>
  <c r="X17" i="43" s="1"/>
  <c r="P17" i="43" a="1"/>
  <c r="P17" i="43" s="1"/>
  <c r="AS16" i="43" a="1"/>
  <c r="AS16" i="43" s="1"/>
  <c r="AI16" i="43" a="1"/>
  <c r="AI16" i="43" s="1"/>
  <c r="AA16" i="43" a="1"/>
  <c r="AA16" i="43" s="1"/>
  <c r="S16" i="43" a="1"/>
  <c r="S16" i="43" s="1"/>
  <c r="K16" i="43" a="1"/>
  <c r="K16" i="43" s="1"/>
  <c r="AL11" i="43" a="1"/>
  <c r="AL11" i="43" s="1"/>
  <c r="AD11" i="43" a="1"/>
  <c r="AD11" i="43" s="1"/>
  <c r="V11" i="43" a="1"/>
  <c r="V11" i="43" s="1"/>
  <c r="N11" i="43" a="1"/>
  <c r="N11" i="43" s="1"/>
  <c r="AQ10" i="43" a="1"/>
  <c r="AQ10" i="43" s="1"/>
  <c r="AG10" i="43" a="1"/>
  <c r="AG10" i="43" s="1"/>
  <c r="Y10" i="43" a="1"/>
  <c r="Y10" i="43" s="1"/>
  <c r="Q10" i="43" a="1"/>
  <c r="Q10" i="43" s="1"/>
  <c r="AT104" i="41" a="1"/>
  <c r="AT104" i="41" s="1"/>
  <c r="AJ104" i="41" a="1"/>
  <c r="AJ104" i="41" s="1"/>
  <c r="AB104" i="41" a="1"/>
  <c r="AB104" i="41" s="1"/>
  <c r="T104" i="41" a="1"/>
  <c r="T104" i="41" s="1"/>
  <c r="L104" i="41" a="1"/>
  <c r="L104" i="41" s="1"/>
  <c r="AM103" i="41" a="1"/>
  <c r="AM103" i="41" s="1"/>
  <c r="AE103" i="41" a="1"/>
  <c r="AE103" i="41" s="1"/>
  <c r="W103" i="41" a="1"/>
  <c r="W103" i="41" s="1"/>
  <c r="O103" i="41" a="1"/>
  <c r="O103" i="41" s="1"/>
  <c r="AR101" i="41" a="1"/>
  <c r="AR101" i="41" s="1"/>
  <c r="AH101" i="41" a="1"/>
  <c r="AH101" i="41" s="1"/>
  <c r="Z101" i="41" a="1"/>
  <c r="Z101" i="41" s="1"/>
  <c r="R101" i="41" a="1"/>
  <c r="R101" i="41" s="1"/>
  <c r="J101" i="41" a="1"/>
  <c r="J101" i="41" s="1"/>
  <c r="AK100" i="41" a="1"/>
  <c r="AK100" i="41" s="1"/>
  <c r="AC100" i="41" a="1"/>
  <c r="AC100" i="41" s="1"/>
  <c r="U100" i="41" a="1"/>
  <c r="U100" i="41" s="1"/>
  <c r="M100" i="41" a="1"/>
  <c r="M100" i="41" s="1"/>
  <c r="AP98" i="41" a="1"/>
  <c r="AP98" i="41" s="1"/>
  <c r="AF98" i="41" a="1"/>
  <c r="AF98" i="41" s="1"/>
  <c r="X98" i="41" a="1"/>
  <c r="X98" i="41" s="1"/>
  <c r="P98" i="41" a="1"/>
  <c r="P98" i="41" s="1"/>
  <c r="AS97" i="41" a="1"/>
  <c r="AS97" i="41" s="1"/>
  <c r="AI97" i="41" a="1"/>
  <c r="AI97" i="41" s="1"/>
  <c r="AA97" i="41" a="1"/>
  <c r="AA97" i="41" s="1"/>
  <c r="S97" i="41" a="1"/>
  <c r="S97" i="41" s="1"/>
  <c r="K97" i="41" a="1"/>
  <c r="K97" i="41" s="1"/>
  <c r="AL95" i="41" a="1"/>
  <c r="AL95" i="41" s="1"/>
  <c r="AD95" i="41" a="1"/>
  <c r="AD95" i="41" s="1"/>
  <c r="V95" i="41" a="1"/>
  <c r="V95" i="41" s="1"/>
  <c r="N95" i="41" a="1"/>
  <c r="N95" i="41" s="1"/>
  <c r="AQ94" i="41" a="1"/>
  <c r="AQ94" i="41" s="1"/>
  <c r="AG94" i="41" a="1"/>
  <c r="AG94" i="41" s="1"/>
  <c r="Y94" i="41" a="1"/>
  <c r="Y94" i="41" s="1"/>
  <c r="Q94" i="41" a="1"/>
  <c r="Q94" i="41" s="1"/>
  <c r="AT92" i="41" a="1"/>
  <c r="AT92" i="41" s="1"/>
  <c r="AJ92" i="41" a="1"/>
  <c r="AJ92" i="41" s="1"/>
  <c r="AB92" i="41" a="1"/>
  <c r="AB92" i="41" s="1"/>
  <c r="T92" i="41" a="1"/>
  <c r="T92" i="41" s="1"/>
  <c r="L92" i="41" a="1"/>
  <c r="L92" i="41" s="1"/>
  <c r="AM91" i="41" a="1"/>
  <c r="AM91" i="41" s="1"/>
  <c r="AE91" i="41" a="1"/>
  <c r="AE91" i="41" s="1"/>
  <c r="W91" i="41" a="1"/>
  <c r="W91" i="41" s="1"/>
  <c r="O91" i="41" a="1"/>
  <c r="O91" i="41" s="1"/>
  <c r="AR89" i="41" a="1"/>
  <c r="AR89" i="41" s="1"/>
  <c r="AH89" i="41" a="1"/>
  <c r="AH89" i="41" s="1"/>
  <c r="Z89" i="41" a="1"/>
  <c r="Z89" i="41" s="1"/>
  <c r="R89" i="41" a="1"/>
  <c r="R89" i="41" s="1"/>
  <c r="J89" i="41" a="1"/>
  <c r="J89" i="41" s="1"/>
  <c r="AK88" i="41" a="1"/>
  <c r="AK88" i="41" s="1"/>
  <c r="AC88" i="41" a="1"/>
  <c r="AC88" i="41" s="1"/>
  <c r="U88" i="41" a="1"/>
  <c r="U88" i="41" s="1"/>
  <c r="M88" i="41" a="1"/>
  <c r="M88" i="41" s="1"/>
  <c r="AP86" i="41" a="1"/>
  <c r="AP86" i="41" s="1"/>
  <c r="AF86" i="41" a="1"/>
  <c r="AF86" i="41" s="1"/>
  <c r="X86" i="41" a="1"/>
  <c r="X86" i="41" s="1"/>
  <c r="P86" i="41" a="1"/>
  <c r="P86" i="41" s="1"/>
  <c r="AS85" i="41" a="1"/>
  <c r="AS85" i="41" s="1"/>
  <c r="AI85" i="41" a="1"/>
  <c r="AI85" i="41" s="1"/>
  <c r="AA85" i="41" a="1"/>
  <c r="AA85" i="41" s="1"/>
  <c r="S85" i="41" a="1"/>
  <c r="S85" i="41" s="1"/>
  <c r="K85" i="41" a="1"/>
  <c r="K85" i="41" s="1"/>
  <c r="AL83" i="41" a="1"/>
  <c r="AL83" i="41" s="1"/>
  <c r="AD83" i="41" a="1"/>
  <c r="AD83" i="41" s="1"/>
  <c r="V83" i="41" a="1"/>
  <c r="V83" i="41" s="1"/>
  <c r="N83" i="41" a="1"/>
  <c r="N83" i="41" s="1"/>
  <c r="AQ82" i="41" a="1"/>
  <c r="AQ82" i="41" s="1"/>
  <c r="AG82" i="41" a="1"/>
  <c r="AG82" i="41" s="1"/>
  <c r="Y82" i="41" a="1"/>
  <c r="Y82" i="41" s="1"/>
  <c r="Q82" i="41" a="1"/>
  <c r="Q82" i="41" s="1"/>
  <c r="AT80" i="41" a="1"/>
  <c r="AT80" i="41" s="1"/>
  <c r="AJ80" i="41" a="1"/>
  <c r="AJ80" i="41" s="1"/>
  <c r="AB80" i="41" a="1"/>
  <c r="AB80" i="41" s="1"/>
  <c r="T80" i="41" a="1"/>
  <c r="T80" i="41" s="1"/>
  <c r="L80" i="41" a="1"/>
  <c r="L80" i="41" s="1"/>
  <c r="AM79" i="41" a="1"/>
  <c r="AM79" i="41" s="1"/>
  <c r="AE79" i="41" a="1"/>
  <c r="AE79" i="41" s="1"/>
  <c r="W79" i="41" a="1"/>
  <c r="W79" i="41" s="1"/>
  <c r="O79" i="41" a="1"/>
  <c r="O79" i="41" s="1"/>
  <c r="AR77" i="41" a="1"/>
  <c r="AR77" i="41" s="1"/>
  <c r="AH77" i="41" a="1"/>
  <c r="AH77" i="41" s="1"/>
  <c r="Z77" i="41" a="1"/>
  <c r="Z77" i="41" s="1"/>
  <c r="R77" i="41" a="1"/>
  <c r="R77" i="41" s="1"/>
  <c r="J77" i="41" a="1"/>
  <c r="J77" i="41" s="1"/>
  <c r="AK76" i="41" a="1"/>
  <c r="AK76" i="41" s="1"/>
  <c r="AC76" i="41" a="1"/>
  <c r="AC76" i="41" s="1"/>
  <c r="U76" i="41" a="1"/>
  <c r="U76" i="41" s="1"/>
  <c r="M76" i="41" a="1"/>
  <c r="M76" i="41" s="1"/>
  <c r="AP74" i="41" a="1"/>
  <c r="AP74" i="41" s="1"/>
  <c r="AF74" i="41" a="1"/>
  <c r="AF74" i="41" s="1"/>
  <c r="X74" i="41" a="1"/>
  <c r="X74" i="41" s="1"/>
  <c r="P74" i="41" a="1"/>
  <c r="P74" i="41" s="1"/>
  <c r="AS73" i="41" a="1"/>
  <c r="AS73" i="41" s="1"/>
  <c r="AI73" i="41" a="1"/>
  <c r="AI73" i="41" s="1"/>
  <c r="AA73" i="41" a="1"/>
  <c r="AA73" i="41" s="1"/>
  <c r="S73" i="41" a="1"/>
  <c r="S73" i="41" s="1"/>
  <c r="K73" i="41" a="1"/>
  <c r="K73" i="41" s="1"/>
  <c r="AL71" i="41" a="1"/>
  <c r="AL71" i="41" s="1"/>
  <c r="AD71" i="41" a="1"/>
  <c r="AD71" i="41" s="1"/>
  <c r="V71" i="41" a="1"/>
  <c r="V71" i="41" s="1"/>
  <c r="N71" i="41" a="1"/>
  <c r="N71" i="41" s="1"/>
  <c r="AQ70" i="41" a="1"/>
  <c r="AQ70" i="41" s="1"/>
  <c r="AG70" i="41" a="1"/>
  <c r="AG70" i="41" s="1"/>
  <c r="Y70" i="41" a="1"/>
  <c r="Y70" i="41" s="1"/>
  <c r="Q70" i="41" a="1"/>
  <c r="Q70" i="41" s="1"/>
  <c r="AT68" i="41" a="1"/>
  <c r="AT68" i="41" s="1"/>
  <c r="AJ68" i="41" a="1"/>
  <c r="AJ68" i="41" s="1"/>
  <c r="AB68" i="41" a="1"/>
  <c r="AB68" i="41" s="1"/>
  <c r="T68" i="41" a="1"/>
  <c r="T68" i="41" s="1"/>
  <c r="L68" i="41" a="1"/>
  <c r="L68" i="41" s="1"/>
  <c r="AM67" i="41" a="1"/>
  <c r="AM67" i="41" s="1"/>
  <c r="AE67" i="41" a="1"/>
  <c r="AE67" i="41" s="1"/>
  <c r="W67" i="41" a="1"/>
  <c r="W67" i="41" s="1"/>
  <c r="O67" i="41" a="1"/>
  <c r="O67" i="41" s="1"/>
  <c r="AR65" i="41" a="1"/>
  <c r="AR65" i="41" s="1"/>
  <c r="AH65" i="41" a="1"/>
  <c r="AH65" i="41" s="1"/>
  <c r="Z65" i="41" a="1"/>
  <c r="Z65" i="41" s="1"/>
  <c r="R65" i="41" a="1"/>
  <c r="R65" i="41" s="1"/>
  <c r="V31" i="43" a="1"/>
  <c r="V31" i="43" s="1"/>
  <c r="M31" i="43" a="1"/>
  <c r="M31" i="43" s="1"/>
  <c r="AM29" i="43" a="1"/>
  <c r="AM29" i="43" s="1"/>
  <c r="AE29" i="43" a="1"/>
  <c r="AE29" i="43" s="1"/>
  <c r="W29" i="43" a="1"/>
  <c r="W29" i="43" s="1"/>
  <c r="O29" i="43" a="1"/>
  <c r="O29" i="43" s="1"/>
  <c r="AR28" i="43" a="1"/>
  <c r="AR28" i="43" s="1"/>
  <c r="AH28" i="43" a="1"/>
  <c r="AH28" i="43" s="1"/>
  <c r="Z28" i="43" a="1"/>
  <c r="Z28" i="43" s="1"/>
  <c r="R28" i="43" a="1"/>
  <c r="R28" i="43" s="1"/>
  <c r="J28" i="43" a="1"/>
  <c r="J28" i="43" s="1"/>
  <c r="AK26" i="43" a="1"/>
  <c r="AK26" i="43" s="1"/>
  <c r="AC26" i="43" a="1"/>
  <c r="AC26" i="43" s="1"/>
  <c r="U26" i="43" a="1"/>
  <c r="U26" i="43" s="1"/>
  <c r="M26" i="43" a="1"/>
  <c r="M26" i="43" s="1"/>
  <c r="AP25" i="43" a="1"/>
  <c r="AP25" i="43" s="1"/>
  <c r="AF25" i="43" a="1"/>
  <c r="AF25" i="43" s="1"/>
  <c r="X25" i="43" a="1"/>
  <c r="X25" i="43" s="1"/>
  <c r="P25" i="43" a="1"/>
  <c r="P25" i="43" s="1"/>
  <c r="AS23" i="43" a="1"/>
  <c r="AS23" i="43" s="1"/>
  <c r="AI23" i="43" a="1"/>
  <c r="AI23" i="43" s="1"/>
  <c r="AA23" i="43" a="1"/>
  <c r="AA23" i="43" s="1"/>
  <c r="S23" i="43" a="1"/>
  <c r="S23" i="43" s="1"/>
  <c r="K23" i="43" a="1"/>
  <c r="K23" i="43" s="1"/>
  <c r="AL22" i="43" a="1"/>
  <c r="AL22" i="43" s="1"/>
  <c r="AD22" i="43" a="1"/>
  <c r="AD22" i="43" s="1"/>
  <c r="V22" i="43" a="1"/>
  <c r="V22" i="43" s="1"/>
  <c r="N22" i="43" a="1"/>
  <c r="N22" i="43" s="1"/>
  <c r="AQ20" i="43" a="1"/>
  <c r="AQ20" i="43" s="1"/>
  <c r="AG20" i="43" a="1"/>
  <c r="AG20" i="43" s="1"/>
  <c r="Y20" i="43" a="1"/>
  <c r="Y20" i="43" s="1"/>
  <c r="Q20" i="43" a="1"/>
  <c r="Q20" i="43" s="1"/>
  <c r="AT19" i="43" a="1"/>
  <c r="AT19" i="43" s="1"/>
  <c r="AJ19" i="43" a="1"/>
  <c r="AJ19" i="43" s="1"/>
  <c r="AB19" i="43" a="1"/>
  <c r="AB19" i="43" s="1"/>
  <c r="T19" i="43" a="1"/>
  <c r="T19" i="43" s="1"/>
  <c r="L19" i="43" a="1"/>
  <c r="L19" i="43" s="1"/>
  <c r="AM17" i="43" a="1"/>
  <c r="AM17" i="43" s="1"/>
  <c r="AE17" i="43" a="1"/>
  <c r="AE17" i="43" s="1"/>
  <c r="W17" i="43" a="1"/>
  <c r="W17" i="43" s="1"/>
  <c r="O17" i="43" a="1"/>
  <c r="O17" i="43" s="1"/>
  <c r="AR16" i="43" a="1"/>
  <c r="AR16" i="43" s="1"/>
  <c r="AH16" i="43" a="1"/>
  <c r="AH16" i="43" s="1"/>
  <c r="Z16" i="43" a="1"/>
  <c r="Z16" i="43" s="1"/>
  <c r="R16" i="43" a="1"/>
  <c r="R16" i="43" s="1"/>
  <c r="J16" i="43" a="1"/>
  <c r="J16" i="43" s="1"/>
  <c r="AK11" i="43" a="1"/>
  <c r="AK11" i="43" s="1"/>
  <c r="AC11" i="43" a="1"/>
  <c r="AC11" i="43" s="1"/>
  <c r="U11" i="43" a="1"/>
  <c r="U11" i="43" s="1"/>
  <c r="M11" i="43" a="1"/>
  <c r="M11" i="43" s="1"/>
  <c r="AP10" i="43" a="1"/>
  <c r="AP10" i="43" s="1"/>
  <c r="AF10" i="43" a="1"/>
  <c r="AF10" i="43" s="1"/>
  <c r="X10" i="43" a="1"/>
  <c r="X10" i="43" s="1"/>
  <c r="P10" i="43" a="1"/>
  <c r="P10" i="43" s="1"/>
  <c r="AS104" i="41" a="1"/>
  <c r="AS104" i="41" s="1"/>
  <c r="AI104" i="41" a="1"/>
  <c r="AI104" i="41" s="1"/>
  <c r="AA104" i="41" a="1"/>
  <c r="AA104" i="41" s="1"/>
  <c r="S104" i="41" a="1"/>
  <c r="S104" i="41" s="1"/>
  <c r="K104" i="41" a="1"/>
  <c r="K104" i="41" s="1"/>
  <c r="AL103" i="41" a="1"/>
  <c r="AL103" i="41" s="1"/>
  <c r="AD103" i="41" a="1"/>
  <c r="AD103" i="41" s="1"/>
  <c r="V103" i="41" a="1"/>
  <c r="V103" i="41" s="1"/>
  <c r="N103" i="41" a="1"/>
  <c r="N103" i="41" s="1"/>
  <c r="AQ101" i="41" a="1"/>
  <c r="AQ101" i="41" s="1"/>
  <c r="AG101" i="41" a="1"/>
  <c r="AG101" i="41" s="1"/>
  <c r="Y101" i="41" a="1"/>
  <c r="Y101" i="41" s="1"/>
  <c r="Q101" i="41" a="1"/>
  <c r="Q101" i="41" s="1"/>
  <c r="AT100" i="41" a="1"/>
  <c r="AT100" i="41" s="1"/>
  <c r="AJ100" i="41" a="1"/>
  <c r="AJ100" i="41" s="1"/>
  <c r="AB100" i="41" a="1"/>
  <c r="AB100" i="41" s="1"/>
  <c r="T100" i="41" a="1"/>
  <c r="T100" i="41" s="1"/>
  <c r="L100" i="41" a="1"/>
  <c r="L100" i="41" s="1"/>
  <c r="AM98" i="41" a="1"/>
  <c r="AM98" i="41" s="1"/>
  <c r="AE98" i="41" a="1"/>
  <c r="AE98" i="41" s="1"/>
  <c r="W98" i="41" a="1"/>
  <c r="W98" i="41" s="1"/>
  <c r="O98" i="41" a="1"/>
  <c r="O98" i="41" s="1"/>
  <c r="AR97" i="41" a="1"/>
  <c r="AR97" i="41" s="1"/>
  <c r="AH97" i="41" a="1"/>
  <c r="AH97" i="41" s="1"/>
  <c r="Z97" i="41" a="1"/>
  <c r="Z97" i="41" s="1"/>
  <c r="R97" i="41" a="1"/>
  <c r="R97" i="41" s="1"/>
  <c r="J97" i="41" a="1"/>
  <c r="J97" i="41" s="1"/>
  <c r="AK95" i="41" a="1"/>
  <c r="AK95" i="41" s="1"/>
  <c r="AC95" i="41" a="1"/>
  <c r="AC95" i="41" s="1"/>
  <c r="U95" i="41" a="1"/>
  <c r="U95" i="41" s="1"/>
  <c r="M95" i="41" a="1"/>
  <c r="M95" i="41" s="1"/>
  <c r="AP94" i="41" a="1"/>
  <c r="AP94" i="41" s="1"/>
  <c r="AF94" i="41" a="1"/>
  <c r="AF94" i="41" s="1"/>
  <c r="X94" i="41" a="1"/>
  <c r="X94" i="41" s="1"/>
  <c r="P94" i="41" a="1"/>
  <c r="P94" i="41" s="1"/>
  <c r="AS92" i="41" a="1"/>
  <c r="AS92" i="41" s="1"/>
  <c r="AI92" i="41" a="1"/>
  <c r="AI92" i="41" s="1"/>
  <c r="AA92" i="41" a="1"/>
  <c r="AA92" i="41" s="1"/>
  <c r="S92" i="41" a="1"/>
  <c r="S92" i="41" s="1"/>
  <c r="K92" i="41" a="1"/>
  <c r="K92" i="41" s="1"/>
  <c r="AL91" i="41" a="1"/>
  <c r="AL91" i="41" s="1"/>
  <c r="AD91" i="41" a="1"/>
  <c r="AD91" i="41" s="1"/>
  <c r="V91" i="41" a="1"/>
  <c r="V91" i="41" s="1"/>
  <c r="N91" i="41" a="1"/>
  <c r="N91" i="41" s="1"/>
  <c r="AQ89" i="41" a="1"/>
  <c r="AQ89" i="41" s="1"/>
  <c r="AG89" i="41" a="1"/>
  <c r="AG89" i="41" s="1"/>
  <c r="Y89" i="41" a="1"/>
  <c r="Y89" i="41" s="1"/>
  <c r="Q89" i="41" a="1"/>
  <c r="Q89" i="41" s="1"/>
  <c r="AT88" i="41" a="1"/>
  <c r="AT88" i="41" s="1"/>
  <c r="AJ88" i="41" a="1"/>
  <c r="AJ88" i="41" s="1"/>
  <c r="AB88" i="41" a="1"/>
  <c r="AB88" i="41" s="1"/>
  <c r="T88" i="41" a="1"/>
  <c r="T88" i="41" s="1"/>
  <c r="L88" i="41" a="1"/>
  <c r="L88" i="41" s="1"/>
  <c r="AM86" i="41" a="1"/>
  <c r="AM86" i="41" s="1"/>
  <c r="AE86" i="41" a="1"/>
  <c r="AE86" i="41" s="1"/>
  <c r="W86" i="41" a="1"/>
  <c r="W86" i="41" s="1"/>
  <c r="O86" i="41" a="1"/>
  <c r="O86" i="41" s="1"/>
  <c r="AR85" i="41" a="1"/>
  <c r="AR85" i="41" s="1"/>
  <c r="AH85" i="41" a="1"/>
  <c r="AH85" i="41" s="1"/>
  <c r="Z85" i="41" a="1"/>
  <c r="Z85" i="41" s="1"/>
  <c r="R85" i="41" a="1"/>
  <c r="R85" i="41" s="1"/>
  <c r="J85" i="41" a="1"/>
  <c r="J85" i="41" s="1"/>
  <c r="AK83" i="41" a="1"/>
  <c r="AK83" i="41" s="1"/>
  <c r="AC83" i="41" a="1"/>
  <c r="AC83" i="41" s="1"/>
  <c r="U83" i="41" a="1"/>
  <c r="U83" i="41" s="1"/>
  <c r="M83" i="41" a="1"/>
  <c r="M83" i="41" s="1"/>
  <c r="AP82" i="41" a="1"/>
  <c r="AP82" i="41" s="1"/>
  <c r="AF82" i="41" a="1"/>
  <c r="AF82" i="41" s="1"/>
  <c r="X82" i="41" a="1"/>
  <c r="X82" i="41" s="1"/>
  <c r="P82" i="41" a="1"/>
  <c r="P82" i="41" s="1"/>
  <c r="AS80" i="41" a="1"/>
  <c r="AS80" i="41" s="1"/>
  <c r="AI80" i="41" a="1"/>
  <c r="AI80" i="41" s="1"/>
  <c r="AA80" i="41" a="1"/>
  <c r="AA80" i="41" s="1"/>
  <c r="S80" i="41" a="1"/>
  <c r="S80" i="41" s="1"/>
  <c r="K80" i="41" a="1"/>
  <c r="K80" i="41" s="1"/>
  <c r="AL79" i="41" a="1"/>
  <c r="AL79" i="41" s="1"/>
  <c r="AD79" i="41" a="1"/>
  <c r="AD79" i="41" s="1"/>
  <c r="V79" i="41" a="1"/>
  <c r="V79" i="41" s="1"/>
  <c r="N79" i="41" a="1"/>
  <c r="N79" i="41" s="1"/>
  <c r="AQ77" i="41" a="1"/>
  <c r="AQ77" i="41" s="1"/>
  <c r="AG77" i="41" a="1"/>
  <c r="AG77" i="41" s="1"/>
  <c r="Y77" i="41" a="1"/>
  <c r="Y77" i="41" s="1"/>
  <c r="Q77" i="41" a="1"/>
  <c r="Q77" i="41" s="1"/>
  <c r="AT76" i="41" a="1"/>
  <c r="AT76" i="41" s="1"/>
  <c r="AJ76" i="41" a="1"/>
  <c r="AJ76" i="41" s="1"/>
  <c r="AB76" i="41" a="1"/>
  <c r="AB76" i="41" s="1"/>
  <c r="T76" i="41" a="1"/>
  <c r="T76" i="41" s="1"/>
  <c r="L76" i="41" a="1"/>
  <c r="L76" i="41" s="1"/>
  <c r="AM74" i="41" a="1"/>
  <c r="AM74" i="41" s="1"/>
  <c r="AE74" i="41" a="1"/>
  <c r="AE74" i="41" s="1"/>
  <c r="W74" i="41" a="1"/>
  <c r="W74" i="41" s="1"/>
  <c r="O74" i="41" a="1"/>
  <c r="O74" i="41" s="1"/>
  <c r="AR73" i="41" a="1"/>
  <c r="AR73" i="41" s="1"/>
  <c r="AH73" i="41" a="1"/>
  <c r="AH73" i="41" s="1"/>
  <c r="Z73" i="41" a="1"/>
  <c r="Z73" i="41" s="1"/>
  <c r="R73" i="41" a="1"/>
  <c r="R73" i="41" s="1"/>
  <c r="J73" i="41" a="1"/>
  <c r="J73" i="41" s="1"/>
  <c r="AK71" i="41" a="1"/>
  <c r="AK71" i="41" s="1"/>
  <c r="AC71" i="41" a="1"/>
  <c r="AC71" i="41" s="1"/>
  <c r="U71" i="41" a="1"/>
  <c r="U71" i="41" s="1"/>
  <c r="M71" i="41" a="1"/>
  <c r="M71" i="41" s="1"/>
  <c r="AP70" i="41" a="1"/>
  <c r="AP70" i="41" s="1"/>
  <c r="AF70" i="41" a="1"/>
  <c r="AF70" i="41" s="1"/>
  <c r="X70" i="41" a="1"/>
  <c r="X70" i="41" s="1"/>
  <c r="P70" i="41" a="1"/>
  <c r="P70" i="41" s="1"/>
  <c r="AS68" i="41" a="1"/>
  <c r="AS68" i="41" s="1"/>
  <c r="AI68" i="41" a="1"/>
  <c r="AI68" i="41" s="1"/>
  <c r="AA68" i="41" a="1"/>
  <c r="AA68" i="41" s="1"/>
  <c r="S68" i="41" a="1"/>
  <c r="S68" i="41" s="1"/>
  <c r="K68" i="41" a="1"/>
  <c r="K68" i="41" s="1"/>
  <c r="AL67" i="41" a="1"/>
  <c r="AL67" i="41" s="1"/>
  <c r="AD67" i="41" a="1"/>
  <c r="AD67" i="41" s="1"/>
  <c r="V67" i="41" a="1"/>
  <c r="V67" i="41" s="1"/>
  <c r="N67" i="41" a="1"/>
  <c r="N67" i="41" s="1"/>
  <c r="U31" i="43" a="1"/>
  <c r="U31" i="43" s="1"/>
  <c r="L31" i="43" a="1"/>
  <c r="L31" i="43" s="1"/>
  <c r="AL29" i="43" a="1"/>
  <c r="AL29" i="43" s="1"/>
  <c r="AD29" i="43" a="1"/>
  <c r="AD29" i="43" s="1"/>
  <c r="V29" i="43" a="1"/>
  <c r="V29" i="43" s="1"/>
  <c r="N29" i="43" a="1"/>
  <c r="N29" i="43" s="1"/>
  <c r="AQ28" i="43" a="1"/>
  <c r="AQ28" i="43" s="1"/>
  <c r="AG28" i="43" a="1"/>
  <c r="AG28" i="43" s="1"/>
  <c r="Y28" i="43" a="1"/>
  <c r="Y28" i="43" s="1"/>
  <c r="Q28" i="43" a="1"/>
  <c r="Q28" i="43" s="1"/>
  <c r="AT26" i="43" a="1"/>
  <c r="AT26" i="43" s="1"/>
  <c r="AJ26" i="43" a="1"/>
  <c r="AJ26" i="43" s="1"/>
  <c r="AB26" i="43" a="1"/>
  <c r="AB26" i="43" s="1"/>
  <c r="T26" i="43" a="1"/>
  <c r="T26" i="43" s="1"/>
  <c r="L26" i="43" a="1"/>
  <c r="L26" i="43" s="1"/>
  <c r="AM25" i="43" a="1"/>
  <c r="AM25" i="43" s="1"/>
  <c r="AE25" i="43" a="1"/>
  <c r="AE25" i="43" s="1"/>
  <c r="W25" i="43" a="1"/>
  <c r="W25" i="43" s="1"/>
  <c r="O25" i="43" a="1"/>
  <c r="O25" i="43" s="1"/>
  <c r="AR23" i="43" a="1"/>
  <c r="AR23" i="43" s="1"/>
  <c r="AH23" i="43" a="1"/>
  <c r="AH23" i="43" s="1"/>
  <c r="Z23" i="43" a="1"/>
  <c r="Z23" i="43" s="1"/>
  <c r="R23" i="43" a="1"/>
  <c r="R23" i="43" s="1"/>
  <c r="J23" i="43" a="1"/>
  <c r="J23" i="43" s="1"/>
  <c r="AK22" i="43" a="1"/>
  <c r="AK22" i="43" s="1"/>
  <c r="AC22" i="43" a="1"/>
  <c r="AC22" i="43" s="1"/>
  <c r="U22" i="43" a="1"/>
  <c r="U22" i="43" s="1"/>
  <c r="M22" i="43" a="1"/>
  <c r="M22" i="43" s="1"/>
  <c r="AP20" i="43" a="1"/>
  <c r="AP20" i="43" s="1"/>
  <c r="AF20" i="43" a="1"/>
  <c r="AF20" i="43" s="1"/>
  <c r="X20" i="43" a="1"/>
  <c r="X20" i="43" s="1"/>
  <c r="P20" i="43" a="1"/>
  <c r="P20" i="43" s="1"/>
  <c r="AS19" i="43" a="1"/>
  <c r="AS19" i="43" s="1"/>
  <c r="AI19" i="43" a="1"/>
  <c r="AI19" i="43" s="1"/>
  <c r="AA19" i="43" a="1"/>
  <c r="AA19" i="43" s="1"/>
  <c r="S19" i="43" a="1"/>
  <c r="S19" i="43" s="1"/>
  <c r="K19" i="43" a="1"/>
  <c r="K19" i="43" s="1"/>
  <c r="AL17" i="43" a="1"/>
  <c r="AL17" i="43" s="1"/>
  <c r="AD17" i="43" a="1"/>
  <c r="AD17" i="43" s="1"/>
  <c r="V17" i="43" a="1"/>
  <c r="V17" i="43" s="1"/>
  <c r="N17" i="43" a="1"/>
  <c r="N17" i="43" s="1"/>
  <c r="AQ16" i="43" a="1"/>
  <c r="AQ16" i="43" s="1"/>
  <c r="AG16" i="43" a="1"/>
  <c r="AG16" i="43" s="1"/>
  <c r="Y16" i="43" a="1"/>
  <c r="Y16" i="43" s="1"/>
  <c r="Q16" i="43" a="1"/>
  <c r="Q16" i="43" s="1"/>
  <c r="AT11" i="43" a="1"/>
  <c r="AT11" i="43" s="1"/>
  <c r="AJ11" i="43" a="1"/>
  <c r="AJ11" i="43" s="1"/>
  <c r="AB11" i="43" a="1"/>
  <c r="AB11" i="43" s="1"/>
  <c r="T11" i="43" a="1"/>
  <c r="T11" i="43" s="1"/>
  <c r="L11" i="43" a="1"/>
  <c r="L11" i="43" s="1"/>
  <c r="AM10" i="43" a="1"/>
  <c r="AM10" i="43" s="1"/>
  <c r="AE10" i="43" a="1"/>
  <c r="AE10" i="43" s="1"/>
  <c r="W10" i="43" a="1"/>
  <c r="W10" i="43" s="1"/>
  <c r="O10" i="43" a="1"/>
  <c r="O10" i="43" s="1"/>
  <c r="AR104" i="41" a="1"/>
  <c r="AR104" i="41" s="1"/>
  <c r="AH104" i="41" a="1"/>
  <c r="AH104" i="41" s="1"/>
  <c r="Z104" i="41" a="1"/>
  <c r="Z104" i="41" s="1"/>
  <c r="R104" i="41" a="1"/>
  <c r="R104" i="41" s="1"/>
  <c r="J104" i="41" a="1"/>
  <c r="J104" i="41" s="1"/>
  <c r="AK103" i="41" a="1"/>
  <c r="AK103" i="41" s="1"/>
  <c r="AC103" i="41" a="1"/>
  <c r="AC103" i="41" s="1"/>
  <c r="U103" i="41" a="1"/>
  <c r="U103" i="41" s="1"/>
  <c r="M103" i="41" a="1"/>
  <c r="M103" i="41" s="1"/>
  <c r="AP101" i="41" a="1"/>
  <c r="AP101" i="41" s="1"/>
  <c r="AF101" i="41" a="1"/>
  <c r="AF101" i="41" s="1"/>
  <c r="X101" i="41" a="1"/>
  <c r="X101" i="41" s="1"/>
  <c r="P101" i="41" a="1"/>
  <c r="P101" i="41" s="1"/>
  <c r="AS100" i="41" a="1"/>
  <c r="AS100" i="41" s="1"/>
  <c r="AI100" i="41" a="1"/>
  <c r="AI100" i="41" s="1"/>
  <c r="AA100" i="41" a="1"/>
  <c r="AA100" i="41" s="1"/>
  <c r="S100" i="41" a="1"/>
  <c r="S100" i="41" s="1"/>
  <c r="K100" i="41" a="1"/>
  <c r="K100" i="41" s="1"/>
  <c r="AL98" i="41" a="1"/>
  <c r="AL98" i="41" s="1"/>
  <c r="AD98" i="41" a="1"/>
  <c r="AD98" i="41" s="1"/>
  <c r="V98" i="41" a="1"/>
  <c r="V98" i="41" s="1"/>
  <c r="N98" i="41" a="1"/>
  <c r="N98" i="41" s="1"/>
  <c r="AQ97" i="41" a="1"/>
  <c r="AQ97" i="41" s="1"/>
  <c r="AG97" i="41" a="1"/>
  <c r="AG97" i="41" s="1"/>
  <c r="Y97" i="41" a="1"/>
  <c r="Y97" i="41" s="1"/>
  <c r="Q97" i="41" a="1"/>
  <c r="Q97" i="41" s="1"/>
  <c r="AT95" i="41" a="1"/>
  <c r="AT95" i="41" s="1"/>
  <c r="AJ95" i="41" a="1"/>
  <c r="AJ95" i="41" s="1"/>
  <c r="AB95" i="41" a="1"/>
  <c r="AB95" i="41" s="1"/>
  <c r="T95" i="41" a="1"/>
  <c r="T95" i="41" s="1"/>
  <c r="L95" i="41" a="1"/>
  <c r="L95" i="41" s="1"/>
  <c r="AM94" i="41" a="1"/>
  <c r="AM94" i="41" s="1"/>
  <c r="AE94" i="41" a="1"/>
  <c r="AE94" i="41" s="1"/>
  <c r="W94" i="41" a="1"/>
  <c r="W94" i="41" s="1"/>
  <c r="O94" i="41" a="1"/>
  <c r="O94" i="41" s="1"/>
  <c r="AR92" i="41" a="1"/>
  <c r="AR92" i="41" s="1"/>
  <c r="AH92" i="41" a="1"/>
  <c r="AH92" i="41" s="1"/>
  <c r="Z92" i="41" a="1"/>
  <c r="Z92" i="41" s="1"/>
  <c r="R92" i="41" a="1"/>
  <c r="R92" i="41" s="1"/>
  <c r="J92" i="41" a="1"/>
  <c r="J92" i="41" s="1"/>
  <c r="AK91" i="41" a="1"/>
  <c r="AK91" i="41" s="1"/>
  <c r="AC91" i="41" a="1"/>
  <c r="AC91" i="41" s="1"/>
  <c r="U91" i="41" a="1"/>
  <c r="U91" i="41" s="1"/>
  <c r="M91" i="41" a="1"/>
  <c r="M91" i="41" s="1"/>
  <c r="AP89" i="41" a="1"/>
  <c r="AP89" i="41" s="1"/>
  <c r="AF89" i="41" a="1"/>
  <c r="AF89" i="41" s="1"/>
  <c r="X89" i="41" a="1"/>
  <c r="X89" i="41" s="1"/>
  <c r="P89" i="41" a="1"/>
  <c r="P89" i="41" s="1"/>
  <c r="AS88" i="41" a="1"/>
  <c r="AS88" i="41" s="1"/>
  <c r="AI88" i="41" a="1"/>
  <c r="AI88" i="41" s="1"/>
  <c r="AA88" i="41" a="1"/>
  <c r="AA88" i="41" s="1"/>
  <c r="S88" i="41" a="1"/>
  <c r="S88" i="41" s="1"/>
  <c r="K88" i="41" a="1"/>
  <c r="K88" i="41" s="1"/>
  <c r="AL86" i="41" a="1"/>
  <c r="AL86" i="41" s="1"/>
  <c r="AD86" i="41" a="1"/>
  <c r="AD86" i="41" s="1"/>
  <c r="V86" i="41" a="1"/>
  <c r="V86" i="41" s="1"/>
  <c r="N86" i="41" a="1"/>
  <c r="N86" i="41" s="1"/>
  <c r="AQ85" i="41" a="1"/>
  <c r="AQ85" i="41" s="1"/>
  <c r="AG85" i="41" a="1"/>
  <c r="AG85" i="41" s="1"/>
  <c r="Y85" i="41" a="1"/>
  <c r="Y85" i="41" s="1"/>
  <c r="Q85" i="41" a="1"/>
  <c r="Q85" i="41" s="1"/>
  <c r="AT83" i="41" a="1"/>
  <c r="AT83" i="41" s="1"/>
  <c r="AJ83" i="41" a="1"/>
  <c r="AJ83" i="41" s="1"/>
  <c r="AB83" i="41" a="1"/>
  <c r="AB83" i="41" s="1"/>
  <c r="T83" i="41" a="1"/>
  <c r="T83" i="41" s="1"/>
  <c r="L83" i="41" a="1"/>
  <c r="L83" i="41" s="1"/>
  <c r="AM82" i="41" a="1"/>
  <c r="AM82" i="41" s="1"/>
  <c r="AE82" i="41" a="1"/>
  <c r="AE82" i="41" s="1"/>
  <c r="W82" i="41" a="1"/>
  <c r="W82" i="41" s="1"/>
  <c r="O82" i="41" a="1"/>
  <c r="O82" i="41" s="1"/>
  <c r="AR80" i="41" a="1"/>
  <c r="AR80" i="41" s="1"/>
  <c r="AH80" i="41" a="1"/>
  <c r="AH80" i="41" s="1"/>
  <c r="Z80" i="41" a="1"/>
  <c r="Z80" i="41" s="1"/>
  <c r="R80" i="41" a="1"/>
  <c r="R80" i="41" s="1"/>
  <c r="J80" i="41" a="1"/>
  <c r="J80" i="41" s="1"/>
  <c r="AK79" i="41" a="1"/>
  <c r="AK79" i="41" s="1"/>
  <c r="AC79" i="41" a="1"/>
  <c r="AC79" i="41" s="1"/>
  <c r="U79" i="41" a="1"/>
  <c r="U79" i="41" s="1"/>
  <c r="M79" i="41" a="1"/>
  <c r="M79" i="41" s="1"/>
  <c r="AP77" i="41" a="1"/>
  <c r="AP77" i="41" s="1"/>
  <c r="AF77" i="41" a="1"/>
  <c r="AF77" i="41" s="1"/>
  <c r="X77" i="41" a="1"/>
  <c r="X77" i="41" s="1"/>
  <c r="P77" i="41" a="1"/>
  <c r="P77" i="41" s="1"/>
  <c r="AS76" i="41" a="1"/>
  <c r="AS76" i="41" s="1"/>
  <c r="AI76" i="41" a="1"/>
  <c r="AI76" i="41" s="1"/>
  <c r="AA76" i="41" a="1"/>
  <c r="AA76" i="41" s="1"/>
  <c r="S76" i="41" a="1"/>
  <c r="S76" i="41" s="1"/>
  <c r="K76" i="41" a="1"/>
  <c r="K76" i="41" s="1"/>
  <c r="AL74" i="41" a="1"/>
  <c r="AL74" i="41" s="1"/>
  <c r="AD74" i="41" a="1"/>
  <c r="AD74" i="41" s="1"/>
  <c r="V74" i="41" a="1"/>
  <c r="V74" i="41" s="1"/>
  <c r="N74" i="41" a="1"/>
  <c r="N74" i="41" s="1"/>
  <c r="AQ73" i="41" a="1"/>
  <c r="AQ73" i="41" s="1"/>
  <c r="AG73" i="41" a="1"/>
  <c r="AG73" i="41" s="1"/>
  <c r="Y73" i="41" a="1"/>
  <c r="Y73" i="41" s="1"/>
  <c r="Q73" i="41" a="1"/>
  <c r="Q73" i="41" s="1"/>
  <c r="AT71" i="41" a="1"/>
  <c r="AT71" i="41" s="1"/>
  <c r="AJ71" i="41" a="1"/>
  <c r="AJ71" i="41" s="1"/>
  <c r="AB71" i="41" a="1"/>
  <c r="AB71" i="41" s="1"/>
  <c r="T71" i="41" a="1"/>
  <c r="T71" i="41" s="1"/>
  <c r="L71" i="41" a="1"/>
  <c r="L71" i="41" s="1"/>
  <c r="AM70" i="41" a="1"/>
  <c r="AM70" i="41" s="1"/>
  <c r="AE70" i="41" a="1"/>
  <c r="AE70" i="41" s="1"/>
  <c r="W70" i="41" a="1"/>
  <c r="W70" i="41" s="1"/>
  <c r="O70" i="41" a="1"/>
  <c r="O70" i="41" s="1"/>
  <c r="AR68" i="41" a="1"/>
  <c r="AR68" i="41" s="1"/>
  <c r="AH68" i="41" a="1"/>
  <c r="AH68" i="41" s="1"/>
  <c r="Z68" i="41" a="1"/>
  <c r="Z68" i="41" s="1"/>
  <c r="R68" i="41" a="1"/>
  <c r="R68" i="41" s="1"/>
  <c r="J68" i="41" a="1"/>
  <c r="J68" i="41" s="1"/>
  <c r="AK67" i="41" a="1"/>
  <c r="AK67" i="41" s="1"/>
  <c r="AC67" i="41" a="1"/>
  <c r="AC67" i="41" s="1"/>
  <c r="U67" i="41" a="1"/>
  <c r="U67" i="41" s="1"/>
  <c r="M67" i="41" a="1"/>
  <c r="M67" i="41" s="1"/>
  <c r="AP65" i="41" a="1"/>
  <c r="AP65" i="41" s="1"/>
  <c r="AF65" i="41" a="1"/>
  <c r="AF65" i="41" s="1"/>
  <c r="J67" i="41" a="1"/>
  <c r="J67" i="41" s="1"/>
  <c r="Y65" i="41" a="1"/>
  <c r="Y65" i="41" s="1"/>
  <c r="O65" i="41" a="1"/>
  <c r="O65" i="41" s="1"/>
  <c r="AR64" i="41" a="1"/>
  <c r="AR64" i="41" s="1"/>
  <c r="AH64" i="41" a="1"/>
  <c r="AH64" i="41" s="1"/>
  <c r="Z64" i="41" a="1"/>
  <c r="Z64" i="41" s="1"/>
  <c r="R64" i="41" a="1"/>
  <c r="R64" i="41" s="1"/>
  <c r="J64" i="41" a="1"/>
  <c r="J64" i="41" s="1"/>
  <c r="AK62" i="41" a="1"/>
  <c r="AK62" i="41" s="1"/>
  <c r="AC62" i="41" a="1"/>
  <c r="AC62" i="41" s="1"/>
  <c r="U62" i="41" a="1"/>
  <c r="U62" i="41" s="1"/>
  <c r="M62" i="41" a="1"/>
  <c r="M62" i="41" s="1"/>
  <c r="AP61" i="41" a="1"/>
  <c r="AP61" i="41" s="1"/>
  <c r="AF61" i="41" a="1"/>
  <c r="AF61" i="41" s="1"/>
  <c r="X61" i="41" a="1"/>
  <c r="X61" i="41" s="1"/>
  <c r="P61" i="41" a="1"/>
  <c r="P61" i="41" s="1"/>
  <c r="AS59" i="41" a="1"/>
  <c r="AS59" i="41" s="1"/>
  <c r="AI59" i="41" a="1"/>
  <c r="AI59" i="41" s="1"/>
  <c r="AA59" i="41" a="1"/>
  <c r="AA59" i="41" s="1"/>
  <c r="S59" i="41" a="1"/>
  <c r="S59" i="41" s="1"/>
  <c r="K59" i="41" a="1"/>
  <c r="K59" i="41" s="1"/>
  <c r="AL58" i="41" a="1"/>
  <c r="AL58" i="41" s="1"/>
  <c r="AD58" i="41" a="1"/>
  <c r="AD58" i="41" s="1"/>
  <c r="V58" i="41" a="1"/>
  <c r="V58" i="41" s="1"/>
  <c r="N58" i="41" a="1"/>
  <c r="N58" i="41" s="1"/>
  <c r="AQ56" i="41" a="1"/>
  <c r="AQ56" i="41" s="1"/>
  <c r="AG56" i="41" a="1"/>
  <c r="AG56" i="41" s="1"/>
  <c r="Y56" i="41" a="1"/>
  <c r="Y56" i="41" s="1"/>
  <c r="Q56" i="41" a="1"/>
  <c r="Q56" i="41" s="1"/>
  <c r="AT55" i="41" a="1"/>
  <c r="AT55" i="41" s="1"/>
  <c r="AJ55" i="41" a="1"/>
  <c r="AJ55" i="41" s="1"/>
  <c r="AB55" i="41" a="1"/>
  <c r="AB55" i="41" s="1"/>
  <c r="T55" i="41" a="1"/>
  <c r="T55" i="41" s="1"/>
  <c r="L55" i="41" a="1"/>
  <c r="L55" i="41" s="1"/>
  <c r="AM53" i="41" a="1"/>
  <c r="AM53" i="41" s="1"/>
  <c r="AE53" i="41" a="1"/>
  <c r="AE53" i="41" s="1"/>
  <c r="W53" i="41" a="1"/>
  <c r="W53" i="41" s="1"/>
  <c r="O53" i="41" a="1"/>
  <c r="O53" i="41" s="1"/>
  <c r="AR52" i="41" a="1"/>
  <c r="AR52" i="41" s="1"/>
  <c r="AH52" i="41" a="1"/>
  <c r="AH52" i="41" s="1"/>
  <c r="Z52" i="41" a="1"/>
  <c r="Z52" i="41" s="1"/>
  <c r="R52" i="41" a="1"/>
  <c r="R52" i="41" s="1"/>
  <c r="J52" i="41" a="1"/>
  <c r="J52" i="41" s="1"/>
  <c r="AK50" i="41" a="1"/>
  <c r="AK50" i="41" s="1"/>
  <c r="AC50" i="41" a="1"/>
  <c r="AC50" i="41" s="1"/>
  <c r="U50" i="41" a="1"/>
  <c r="U50" i="41" s="1"/>
  <c r="M50" i="41" a="1"/>
  <c r="M50" i="41" s="1"/>
  <c r="AP49" i="41" a="1"/>
  <c r="AP49" i="41" s="1"/>
  <c r="AF49" i="41" a="1"/>
  <c r="AF49" i="41" s="1"/>
  <c r="X49" i="41" a="1"/>
  <c r="X49" i="41" s="1"/>
  <c r="P49" i="41" a="1"/>
  <c r="P49" i="41" s="1"/>
  <c r="AS47" i="41" a="1"/>
  <c r="AS47" i="41" s="1"/>
  <c r="AI47" i="41" a="1"/>
  <c r="AI47" i="41" s="1"/>
  <c r="AA47" i="41" a="1"/>
  <c r="AA47" i="41" s="1"/>
  <c r="S47" i="41" a="1"/>
  <c r="S47" i="41" s="1"/>
  <c r="K47" i="41" a="1"/>
  <c r="K47" i="41" s="1"/>
  <c r="AL46" i="41" a="1"/>
  <c r="AL46" i="41" s="1"/>
  <c r="AD46" i="41" a="1"/>
  <c r="AD46" i="41" s="1"/>
  <c r="V46" i="41" a="1"/>
  <c r="V46" i="41" s="1"/>
  <c r="N46" i="41" a="1"/>
  <c r="N46" i="41" s="1"/>
  <c r="AQ44" i="41" a="1"/>
  <c r="AQ44" i="41" s="1"/>
  <c r="AG44" i="41" a="1"/>
  <c r="AG44" i="41" s="1"/>
  <c r="Y44" i="41" a="1"/>
  <c r="Y44" i="41" s="1"/>
  <c r="Q44" i="41" a="1"/>
  <c r="Q44" i="41" s="1"/>
  <c r="AT43" i="41" a="1"/>
  <c r="AT43" i="41" s="1"/>
  <c r="AJ43" i="41" a="1"/>
  <c r="AJ43" i="41" s="1"/>
  <c r="AB43" i="41" a="1"/>
  <c r="AB43" i="41" s="1"/>
  <c r="T43" i="41" a="1"/>
  <c r="T43" i="41" s="1"/>
  <c r="L43" i="41" a="1"/>
  <c r="L43" i="41" s="1"/>
  <c r="AM41" i="41" a="1"/>
  <c r="AM41" i="41" s="1"/>
  <c r="AE41" i="41" a="1"/>
  <c r="AE41" i="41" s="1"/>
  <c r="W41" i="41" a="1"/>
  <c r="W41" i="41" s="1"/>
  <c r="O41" i="41" a="1"/>
  <c r="O41" i="41" s="1"/>
  <c r="AR40" i="41" a="1"/>
  <c r="AR40" i="41" s="1"/>
  <c r="AH40" i="41" a="1"/>
  <c r="AH40" i="41" s="1"/>
  <c r="Z40" i="41" a="1"/>
  <c r="Z40" i="41" s="1"/>
  <c r="R40" i="41" a="1"/>
  <c r="R40" i="41" s="1"/>
  <c r="J40" i="41" a="1"/>
  <c r="J40" i="41" s="1"/>
  <c r="AK38" i="41" a="1"/>
  <c r="AK38" i="41" s="1"/>
  <c r="AC38" i="41" a="1"/>
  <c r="AC38" i="41" s="1"/>
  <c r="U38" i="41" a="1"/>
  <c r="U38" i="41" s="1"/>
  <c r="M38" i="41" a="1"/>
  <c r="M38" i="41" s="1"/>
  <c r="AP37" i="41" a="1"/>
  <c r="AP37" i="41" s="1"/>
  <c r="AF37" i="41" a="1"/>
  <c r="AF37" i="41" s="1"/>
  <c r="X37" i="41" a="1"/>
  <c r="X37" i="41" s="1"/>
  <c r="P37" i="41" a="1"/>
  <c r="P37" i="41" s="1"/>
  <c r="AS35" i="41" a="1"/>
  <c r="AS35" i="41" s="1"/>
  <c r="AI35" i="41" a="1"/>
  <c r="AI35" i="41" s="1"/>
  <c r="AA35" i="41" a="1"/>
  <c r="AA35" i="41" s="1"/>
  <c r="S35" i="41" a="1"/>
  <c r="S35" i="41" s="1"/>
  <c r="K35" i="41" a="1"/>
  <c r="K35" i="41" s="1"/>
  <c r="AL34" i="41" a="1"/>
  <c r="AL34" i="41" s="1"/>
  <c r="AD34" i="41" a="1"/>
  <c r="AD34" i="41" s="1"/>
  <c r="V34" i="41" a="1"/>
  <c r="V34" i="41" s="1"/>
  <c r="N34" i="41" a="1"/>
  <c r="N34" i="41" s="1"/>
  <c r="AQ32" i="41" a="1"/>
  <c r="AQ32" i="41" s="1"/>
  <c r="AG32" i="41" a="1"/>
  <c r="AG32" i="41" s="1"/>
  <c r="Y32" i="41" a="1"/>
  <c r="Y32" i="41" s="1"/>
  <c r="Q32" i="41" a="1"/>
  <c r="Q32" i="41" s="1"/>
  <c r="AT31" i="41" a="1"/>
  <c r="AT31" i="41" s="1"/>
  <c r="AJ31" i="41" a="1"/>
  <c r="AJ31" i="41" s="1"/>
  <c r="AB31" i="41" a="1"/>
  <c r="AB31" i="41" s="1"/>
  <c r="T31" i="41" a="1"/>
  <c r="T31" i="41" s="1"/>
  <c r="L31" i="41" a="1"/>
  <c r="L31" i="41" s="1"/>
  <c r="AM29" i="41" a="1"/>
  <c r="AM29" i="41" s="1"/>
  <c r="AE29" i="41" a="1"/>
  <c r="AE29" i="41" s="1"/>
  <c r="W29" i="41" a="1"/>
  <c r="W29" i="41" s="1"/>
  <c r="O29" i="41" a="1"/>
  <c r="O29" i="41" s="1"/>
  <c r="AR28" i="41" a="1"/>
  <c r="AR28" i="41" s="1"/>
  <c r="AH28" i="41" a="1"/>
  <c r="AH28" i="41" s="1"/>
  <c r="Z28" i="41" a="1"/>
  <c r="Z28" i="41" s="1"/>
  <c r="R28" i="41" a="1"/>
  <c r="R28" i="41" s="1"/>
  <c r="J28" i="41" a="1"/>
  <c r="J28" i="41" s="1"/>
  <c r="AK26" i="41" a="1"/>
  <c r="AK26" i="41" s="1"/>
  <c r="AC26" i="41" a="1"/>
  <c r="AC26" i="41" s="1"/>
  <c r="U26" i="41" a="1"/>
  <c r="U26" i="41" s="1"/>
  <c r="M26" i="41" a="1"/>
  <c r="M26" i="41" s="1"/>
  <c r="AP25" i="41" a="1"/>
  <c r="AP25" i="41" s="1"/>
  <c r="AF25" i="41" a="1"/>
  <c r="AF25" i="41" s="1"/>
  <c r="X25" i="41" a="1"/>
  <c r="X25" i="41" s="1"/>
  <c r="P25" i="41" a="1"/>
  <c r="P25" i="41" s="1"/>
  <c r="AS23" i="41" a="1"/>
  <c r="AS23" i="41" s="1"/>
  <c r="AI23" i="41" a="1"/>
  <c r="AI23" i="41" s="1"/>
  <c r="AA23" i="41" a="1"/>
  <c r="AA23" i="41" s="1"/>
  <c r="S23" i="41" a="1"/>
  <c r="S23" i="41" s="1"/>
  <c r="K23" i="41" a="1"/>
  <c r="K23" i="41" s="1"/>
  <c r="AL22" i="41" a="1"/>
  <c r="AL22" i="41" s="1"/>
  <c r="AD22" i="41" a="1"/>
  <c r="AD22" i="41" s="1"/>
  <c r="V22" i="41" a="1"/>
  <c r="V22" i="41" s="1"/>
  <c r="N22" i="41" a="1"/>
  <c r="N22" i="41" s="1"/>
  <c r="AQ20" i="41" a="1"/>
  <c r="AQ20" i="41" s="1"/>
  <c r="AG20" i="41" a="1"/>
  <c r="AG20" i="41" s="1"/>
  <c r="Y20" i="41" a="1"/>
  <c r="Y20" i="41" s="1"/>
  <c r="Q20" i="41" a="1"/>
  <c r="Q20" i="41" s="1"/>
  <c r="AT19" i="41" a="1"/>
  <c r="AT19" i="41" s="1"/>
  <c r="AJ19" i="41" a="1"/>
  <c r="AJ19" i="41" s="1"/>
  <c r="AB19" i="41" a="1"/>
  <c r="AB19" i="41" s="1"/>
  <c r="T19" i="41" a="1"/>
  <c r="T19" i="41" s="1"/>
  <c r="L19" i="41" a="1"/>
  <c r="L19" i="41" s="1"/>
  <c r="AM17" i="41" a="1"/>
  <c r="AM17" i="41" s="1"/>
  <c r="AE17" i="41" a="1"/>
  <c r="AE17" i="41" s="1"/>
  <c r="W17" i="41" a="1"/>
  <c r="W17" i="41" s="1"/>
  <c r="O17" i="41" a="1"/>
  <c r="O17" i="41" s="1"/>
  <c r="AR16" i="41" a="1"/>
  <c r="AR16" i="41" s="1"/>
  <c r="AH16" i="41" a="1"/>
  <c r="AH16" i="41" s="1"/>
  <c r="Z16" i="41" a="1"/>
  <c r="Z16" i="41" s="1"/>
  <c r="R16" i="41" a="1"/>
  <c r="R16" i="41" s="1"/>
  <c r="J16" i="41" a="1"/>
  <c r="J16" i="41" s="1"/>
  <c r="AK11" i="41" a="1"/>
  <c r="AK11" i="41" s="1"/>
  <c r="AC11" i="41" a="1"/>
  <c r="AC11" i="41" s="1"/>
  <c r="U11" i="41" a="1"/>
  <c r="U11" i="41" s="1"/>
  <c r="M11" i="41" a="1"/>
  <c r="M11" i="41" s="1"/>
  <c r="AP10" i="41" a="1"/>
  <c r="AP10" i="41" s="1"/>
  <c r="AF10" i="41" a="1"/>
  <c r="AF10" i="41" s="1"/>
  <c r="P10" i="41" a="1"/>
  <c r="P10" i="41" s="1"/>
  <c r="K10" i="41" a="1"/>
  <c r="K10" i="41" s="1"/>
  <c r="AQ65" i="41" a="1"/>
  <c r="AQ65" i="41" s="1"/>
  <c r="X65" i="41" a="1"/>
  <c r="X65" i="41" s="1"/>
  <c r="N65" i="41" a="1"/>
  <c r="N65" i="41" s="1"/>
  <c r="AQ64" i="41" a="1"/>
  <c r="AQ64" i="41" s="1"/>
  <c r="AG64" i="41" a="1"/>
  <c r="AG64" i="41" s="1"/>
  <c r="Y64" i="41" a="1"/>
  <c r="Y64" i="41" s="1"/>
  <c r="Q64" i="41" a="1"/>
  <c r="Q64" i="41" s="1"/>
  <c r="AT62" i="41" a="1"/>
  <c r="AT62" i="41" s="1"/>
  <c r="AJ62" i="41" a="1"/>
  <c r="AJ62" i="41" s="1"/>
  <c r="AB62" i="41" a="1"/>
  <c r="AB62" i="41" s="1"/>
  <c r="T62" i="41" a="1"/>
  <c r="T62" i="41" s="1"/>
  <c r="L62" i="41" a="1"/>
  <c r="L62" i="41" s="1"/>
  <c r="AM61" i="41" a="1"/>
  <c r="AM61" i="41" s="1"/>
  <c r="AE61" i="41" a="1"/>
  <c r="AE61" i="41" s="1"/>
  <c r="W61" i="41" a="1"/>
  <c r="W61" i="41" s="1"/>
  <c r="O61" i="41" a="1"/>
  <c r="O61" i="41" s="1"/>
  <c r="AR59" i="41" a="1"/>
  <c r="AR59" i="41" s="1"/>
  <c r="AH59" i="41" a="1"/>
  <c r="AH59" i="41" s="1"/>
  <c r="Z59" i="41" a="1"/>
  <c r="Z59" i="41" s="1"/>
  <c r="R59" i="41" a="1"/>
  <c r="R59" i="41" s="1"/>
  <c r="J59" i="41" a="1"/>
  <c r="J59" i="41" s="1"/>
  <c r="AK58" i="41" a="1"/>
  <c r="AK58" i="41" s="1"/>
  <c r="AC58" i="41" a="1"/>
  <c r="AC58" i="41" s="1"/>
  <c r="U58" i="41" a="1"/>
  <c r="U58" i="41" s="1"/>
  <c r="M58" i="41" a="1"/>
  <c r="M58" i="41" s="1"/>
  <c r="AP56" i="41" a="1"/>
  <c r="AP56" i="41" s="1"/>
  <c r="AF56" i="41" a="1"/>
  <c r="AF56" i="41" s="1"/>
  <c r="X56" i="41" a="1"/>
  <c r="X56" i="41" s="1"/>
  <c r="P56" i="41" a="1"/>
  <c r="P56" i="41" s="1"/>
  <c r="AS55" i="41" a="1"/>
  <c r="AS55" i="41" s="1"/>
  <c r="AI55" i="41" a="1"/>
  <c r="AI55" i="41" s="1"/>
  <c r="AA55" i="41" a="1"/>
  <c r="AA55" i="41" s="1"/>
  <c r="S55" i="41" a="1"/>
  <c r="S55" i="41" s="1"/>
  <c r="K55" i="41" a="1"/>
  <c r="K55" i="41" s="1"/>
  <c r="AL53" i="41" a="1"/>
  <c r="AL53" i="41" s="1"/>
  <c r="AD53" i="41" a="1"/>
  <c r="AD53" i="41" s="1"/>
  <c r="V53" i="41" a="1"/>
  <c r="V53" i="41" s="1"/>
  <c r="N53" i="41" a="1"/>
  <c r="N53" i="41" s="1"/>
  <c r="AQ52" i="41" a="1"/>
  <c r="AQ52" i="41" s="1"/>
  <c r="AG52" i="41" a="1"/>
  <c r="AG52" i="41" s="1"/>
  <c r="Y52" i="41" a="1"/>
  <c r="Y52" i="41" s="1"/>
  <c r="Q52" i="41" a="1"/>
  <c r="Q52" i="41" s="1"/>
  <c r="AT50" i="41" a="1"/>
  <c r="AT50" i="41" s="1"/>
  <c r="AJ50" i="41" a="1"/>
  <c r="AJ50" i="41" s="1"/>
  <c r="AB50" i="41" a="1"/>
  <c r="AB50" i="41" s="1"/>
  <c r="T50" i="41" a="1"/>
  <c r="T50" i="41" s="1"/>
  <c r="L50" i="41" a="1"/>
  <c r="L50" i="41" s="1"/>
  <c r="AM49" i="41" a="1"/>
  <c r="AM49" i="41" s="1"/>
  <c r="AE49" i="41" a="1"/>
  <c r="AE49" i="41" s="1"/>
  <c r="W49" i="41" a="1"/>
  <c r="W49" i="41" s="1"/>
  <c r="O49" i="41" a="1"/>
  <c r="O49" i="41" s="1"/>
  <c r="AR47" i="41" a="1"/>
  <c r="AR47" i="41" s="1"/>
  <c r="AH47" i="41" a="1"/>
  <c r="AH47" i="41" s="1"/>
  <c r="Z47" i="41" a="1"/>
  <c r="Z47" i="41" s="1"/>
  <c r="R47" i="41" a="1"/>
  <c r="R47" i="41" s="1"/>
  <c r="J47" i="41" a="1"/>
  <c r="J47" i="41" s="1"/>
  <c r="AK46" i="41" a="1"/>
  <c r="AK46" i="41" s="1"/>
  <c r="AC46" i="41" a="1"/>
  <c r="AC46" i="41" s="1"/>
  <c r="U46" i="41" a="1"/>
  <c r="U46" i="41" s="1"/>
  <c r="M46" i="41" a="1"/>
  <c r="M46" i="41" s="1"/>
  <c r="AP44" i="41" a="1"/>
  <c r="AP44" i="41" s="1"/>
  <c r="AF44" i="41" a="1"/>
  <c r="AF44" i="41" s="1"/>
  <c r="X44" i="41" a="1"/>
  <c r="X44" i="41" s="1"/>
  <c r="P44" i="41" a="1"/>
  <c r="P44" i="41" s="1"/>
  <c r="AS43" i="41" a="1"/>
  <c r="AS43" i="41" s="1"/>
  <c r="AI43" i="41" a="1"/>
  <c r="AI43" i="41" s="1"/>
  <c r="AA43" i="41" a="1"/>
  <c r="AA43" i="41" s="1"/>
  <c r="S43" i="41" a="1"/>
  <c r="S43" i="41" s="1"/>
  <c r="K43" i="41" a="1"/>
  <c r="K43" i="41" s="1"/>
  <c r="AL41" i="41" a="1"/>
  <c r="AL41" i="41" s="1"/>
  <c r="AD41" i="41" a="1"/>
  <c r="AD41" i="41" s="1"/>
  <c r="V41" i="41" a="1"/>
  <c r="V41" i="41" s="1"/>
  <c r="N41" i="41" a="1"/>
  <c r="N41" i="41" s="1"/>
  <c r="AQ40" i="41" a="1"/>
  <c r="AQ40" i="41" s="1"/>
  <c r="AG40" i="41" a="1"/>
  <c r="AG40" i="41" s="1"/>
  <c r="Y40" i="41" a="1"/>
  <c r="Y40" i="41" s="1"/>
  <c r="Q40" i="41" a="1"/>
  <c r="Q40" i="41" s="1"/>
  <c r="AT38" i="41" a="1"/>
  <c r="AT38" i="41" s="1"/>
  <c r="AJ38" i="41" a="1"/>
  <c r="AJ38" i="41" s="1"/>
  <c r="AB38" i="41" a="1"/>
  <c r="AB38" i="41" s="1"/>
  <c r="T38" i="41" a="1"/>
  <c r="T38" i="41" s="1"/>
  <c r="L38" i="41" a="1"/>
  <c r="L38" i="41" s="1"/>
  <c r="AM37" i="41" a="1"/>
  <c r="AM37" i="41" s="1"/>
  <c r="AE37" i="41" a="1"/>
  <c r="AE37" i="41" s="1"/>
  <c r="W37" i="41" a="1"/>
  <c r="W37" i="41" s="1"/>
  <c r="O37" i="41" a="1"/>
  <c r="O37" i="41" s="1"/>
  <c r="AR35" i="41" a="1"/>
  <c r="AR35" i="41" s="1"/>
  <c r="AH35" i="41" a="1"/>
  <c r="AH35" i="41" s="1"/>
  <c r="Z35" i="41" a="1"/>
  <c r="Z35" i="41" s="1"/>
  <c r="R35" i="41" a="1"/>
  <c r="R35" i="41" s="1"/>
  <c r="J35" i="41" a="1"/>
  <c r="J35" i="41" s="1"/>
  <c r="AK34" i="41" a="1"/>
  <c r="AK34" i="41" s="1"/>
  <c r="AC34" i="41" a="1"/>
  <c r="AC34" i="41" s="1"/>
  <c r="U34" i="41" a="1"/>
  <c r="U34" i="41" s="1"/>
  <c r="M34" i="41" a="1"/>
  <c r="M34" i="41" s="1"/>
  <c r="AP32" i="41" a="1"/>
  <c r="AP32" i="41" s="1"/>
  <c r="AF32" i="41" a="1"/>
  <c r="AF32" i="41" s="1"/>
  <c r="X32" i="41" a="1"/>
  <c r="X32" i="41" s="1"/>
  <c r="P32" i="41" a="1"/>
  <c r="P32" i="41" s="1"/>
  <c r="AS31" i="41" a="1"/>
  <c r="AS31" i="41" s="1"/>
  <c r="AI31" i="41" a="1"/>
  <c r="AI31" i="41" s="1"/>
  <c r="AA31" i="41" a="1"/>
  <c r="AA31" i="41" s="1"/>
  <c r="S31" i="41" a="1"/>
  <c r="S31" i="41" s="1"/>
  <c r="K31" i="41" a="1"/>
  <c r="K31" i="41" s="1"/>
  <c r="AL29" i="41" a="1"/>
  <c r="AL29" i="41" s="1"/>
  <c r="AD29" i="41" a="1"/>
  <c r="AD29" i="41" s="1"/>
  <c r="V29" i="41" a="1"/>
  <c r="V29" i="41" s="1"/>
  <c r="N29" i="41" a="1"/>
  <c r="N29" i="41" s="1"/>
  <c r="AQ28" i="41" a="1"/>
  <c r="AQ28" i="41" s="1"/>
  <c r="AG28" i="41" a="1"/>
  <c r="AG28" i="41" s="1"/>
  <c r="Y28" i="41" a="1"/>
  <c r="Y28" i="41" s="1"/>
  <c r="Q28" i="41" a="1"/>
  <c r="Q28" i="41" s="1"/>
  <c r="AT26" i="41" a="1"/>
  <c r="AT26" i="41" s="1"/>
  <c r="AJ26" i="41" a="1"/>
  <c r="AJ26" i="41" s="1"/>
  <c r="AB26" i="41" a="1"/>
  <c r="AB26" i="41" s="1"/>
  <c r="T26" i="41" a="1"/>
  <c r="T26" i="41" s="1"/>
  <c r="L26" i="41" a="1"/>
  <c r="L26" i="41" s="1"/>
  <c r="AM25" i="41" a="1"/>
  <c r="AM25" i="41" s="1"/>
  <c r="AE25" i="41" a="1"/>
  <c r="AE25" i="41" s="1"/>
  <c r="W25" i="41" a="1"/>
  <c r="W25" i="41" s="1"/>
  <c r="O25" i="41" a="1"/>
  <c r="O25" i="41" s="1"/>
  <c r="AR23" i="41" a="1"/>
  <c r="AR23" i="41" s="1"/>
  <c r="AH23" i="41" a="1"/>
  <c r="AH23" i="41" s="1"/>
  <c r="Z23" i="41" a="1"/>
  <c r="Z23" i="41" s="1"/>
  <c r="R23" i="41" a="1"/>
  <c r="R23" i="41" s="1"/>
  <c r="J23" i="41" a="1"/>
  <c r="J23" i="41" s="1"/>
  <c r="AK22" i="41" a="1"/>
  <c r="AK22" i="41" s="1"/>
  <c r="AC22" i="41" a="1"/>
  <c r="AC22" i="41" s="1"/>
  <c r="U22" i="41" a="1"/>
  <c r="U22" i="41" s="1"/>
  <c r="M22" i="41" a="1"/>
  <c r="M22" i="41" s="1"/>
  <c r="AP20" i="41" a="1"/>
  <c r="AP20" i="41" s="1"/>
  <c r="AF20" i="41" a="1"/>
  <c r="AF20" i="41" s="1"/>
  <c r="X20" i="41" a="1"/>
  <c r="X20" i="41" s="1"/>
  <c r="P20" i="41" a="1"/>
  <c r="P20" i="41" s="1"/>
  <c r="AS19" i="41" a="1"/>
  <c r="AS19" i="41" s="1"/>
  <c r="AI19" i="41" a="1"/>
  <c r="AI19" i="41" s="1"/>
  <c r="AA19" i="41" a="1"/>
  <c r="AA19" i="41" s="1"/>
  <c r="S19" i="41" a="1"/>
  <c r="S19" i="41" s="1"/>
  <c r="K19" i="41" a="1"/>
  <c r="K19" i="41" s="1"/>
  <c r="AL17" i="41" a="1"/>
  <c r="AL17" i="41" s="1"/>
  <c r="AD17" i="41" a="1"/>
  <c r="AD17" i="41" s="1"/>
  <c r="V17" i="41" a="1"/>
  <c r="V17" i="41" s="1"/>
  <c r="N17" i="41" a="1"/>
  <c r="N17" i="41" s="1"/>
  <c r="AQ16" i="41" a="1"/>
  <c r="AQ16" i="41" s="1"/>
  <c r="AG16" i="41" a="1"/>
  <c r="AG16" i="41" s="1"/>
  <c r="Y16" i="41" a="1"/>
  <c r="Y16" i="41" s="1"/>
  <c r="Q16" i="41" a="1"/>
  <c r="Q16" i="41" s="1"/>
  <c r="AT11" i="41" a="1"/>
  <c r="AT11" i="41" s="1"/>
  <c r="AJ11" i="41" a="1"/>
  <c r="AJ11" i="41" s="1"/>
  <c r="AB11" i="41" a="1"/>
  <c r="AB11" i="41" s="1"/>
  <c r="T11" i="41" a="1"/>
  <c r="T11" i="41" s="1"/>
  <c r="L11" i="41" a="1"/>
  <c r="L11" i="41" s="1"/>
  <c r="AM10" i="41" a="1"/>
  <c r="AM10" i="41" s="1"/>
  <c r="AE10" i="41" a="1"/>
  <c r="AE10" i="41" s="1"/>
  <c r="W10" i="41" a="1"/>
  <c r="W10" i="41" s="1"/>
  <c r="O10" i="41" a="1"/>
  <c r="O10" i="41" s="1"/>
  <c r="K11" i="41" a="1"/>
  <c r="K11" i="41" s="1"/>
  <c r="AD10" i="41" a="1"/>
  <c r="AD10" i="41" s="1"/>
  <c r="T10" i="41" a="1"/>
  <c r="T10" i="41" s="1"/>
  <c r="AK65" i="41" a="1"/>
  <c r="AK65" i="41" s="1"/>
  <c r="W65" i="41" a="1"/>
  <c r="W65" i="41" s="1"/>
  <c r="M65" i="41" a="1"/>
  <c r="M65" i="41" s="1"/>
  <c r="AP64" i="41" a="1"/>
  <c r="AP64" i="41" s="1"/>
  <c r="AF64" i="41" a="1"/>
  <c r="AF64" i="41" s="1"/>
  <c r="X64" i="41" a="1"/>
  <c r="X64" i="41" s="1"/>
  <c r="P64" i="41" a="1"/>
  <c r="P64" i="41" s="1"/>
  <c r="AS62" i="41" a="1"/>
  <c r="AS62" i="41" s="1"/>
  <c r="AI62" i="41" a="1"/>
  <c r="AI62" i="41" s="1"/>
  <c r="AA62" i="41" a="1"/>
  <c r="AA62" i="41" s="1"/>
  <c r="S62" i="41" a="1"/>
  <c r="S62" i="41" s="1"/>
  <c r="K62" i="41" a="1"/>
  <c r="K62" i="41" s="1"/>
  <c r="AL61" i="41" a="1"/>
  <c r="AL61" i="41" s="1"/>
  <c r="AD61" i="41" a="1"/>
  <c r="AD61" i="41" s="1"/>
  <c r="V61" i="41" a="1"/>
  <c r="V61" i="41" s="1"/>
  <c r="N61" i="41" a="1"/>
  <c r="N61" i="41" s="1"/>
  <c r="AQ59" i="41" a="1"/>
  <c r="AQ59" i="41" s="1"/>
  <c r="AG59" i="41" a="1"/>
  <c r="AG59" i="41" s="1"/>
  <c r="Y59" i="41" a="1"/>
  <c r="Y59" i="41" s="1"/>
  <c r="Q59" i="41" a="1"/>
  <c r="Q59" i="41" s="1"/>
  <c r="AT58" i="41" a="1"/>
  <c r="AT58" i="41" s="1"/>
  <c r="AJ58" i="41" a="1"/>
  <c r="AJ58" i="41" s="1"/>
  <c r="AB58" i="41" a="1"/>
  <c r="AB58" i="41" s="1"/>
  <c r="T58" i="41" a="1"/>
  <c r="T58" i="41" s="1"/>
  <c r="L58" i="41" a="1"/>
  <c r="L58" i="41" s="1"/>
  <c r="AM56" i="41" a="1"/>
  <c r="AM56" i="41" s="1"/>
  <c r="AE56" i="41" a="1"/>
  <c r="AE56" i="41" s="1"/>
  <c r="W56" i="41" a="1"/>
  <c r="W56" i="41" s="1"/>
  <c r="O56" i="41" a="1"/>
  <c r="O56" i="41" s="1"/>
  <c r="AR55" i="41" a="1"/>
  <c r="AR55" i="41" s="1"/>
  <c r="AH55" i="41" a="1"/>
  <c r="AH55" i="41" s="1"/>
  <c r="Z55" i="41" a="1"/>
  <c r="Z55" i="41" s="1"/>
  <c r="R55" i="41" a="1"/>
  <c r="R55" i="41" s="1"/>
  <c r="J55" i="41" a="1"/>
  <c r="J55" i="41" s="1"/>
  <c r="AK53" i="41" a="1"/>
  <c r="AK53" i="41" s="1"/>
  <c r="AC53" i="41" a="1"/>
  <c r="AC53" i="41" s="1"/>
  <c r="U53" i="41" a="1"/>
  <c r="U53" i="41" s="1"/>
  <c r="M53" i="41" a="1"/>
  <c r="M53" i="41" s="1"/>
  <c r="AP52" i="41" a="1"/>
  <c r="AP52" i="41" s="1"/>
  <c r="AF52" i="41" a="1"/>
  <c r="AF52" i="41" s="1"/>
  <c r="X52" i="41" a="1"/>
  <c r="X52" i="41" s="1"/>
  <c r="P52" i="41" a="1"/>
  <c r="P52" i="41" s="1"/>
  <c r="AS50" i="41" a="1"/>
  <c r="AS50" i="41" s="1"/>
  <c r="AI50" i="41" a="1"/>
  <c r="AI50" i="41" s="1"/>
  <c r="AA50" i="41" a="1"/>
  <c r="AA50" i="41" s="1"/>
  <c r="S50" i="41" a="1"/>
  <c r="S50" i="41" s="1"/>
  <c r="K50" i="41" a="1"/>
  <c r="K50" i="41" s="1"/>
  <c r="AL49" i="41" a="1"/>
  <c r="AL49" i="41" s="1"/>
  <c r="AD49" i="41" a="1"/>
  <c r="AD49" i="41" s="1"/>
  <c r="V49" i="41" a="1"/>
  <c r="V49" i="41" s="1"/>
  <c r="N49" i="41" a="1"/>
  <c r="N49" i="41" s="1"/>
  <c r="AQ47" i="41" a="1"/>
  <c r="AQ47" i="41" s="1"/>
  <c r="AG47" i="41" a="1"/>
  <c r="AG47" i="41" s="1"/>
  <c r="Y47" i="41" a="1"/>
  <c r="Y47" i="41" s="1"/>
  <c r="Q47" i="41" a="1"/>
  <c r="Q47" i="41" s="1"/>
  <c r="AT46" i="41" a="1"/>
  <c r="AT46" i="41" s="1"/>
  <c r="AJ46" i="41" a="1"/>
  <c r="AJ46" i="41" s="1"/>
  <c r="AB46" i="41" a="1"/>
  <c r="AB46" i="41" s="1"/>
  <c r="T46" i="41" a="1"/>
  <c r="T46" i="41" s="1"/>
  <c r="L46" i="41" a="1"/>
  <c r="L46" i="41" s="1"/>
  <c r="AM44" i="41" a="1"/>
  <c r="AM44" i="41" s="1"/>
  <c r="AE44" i="41" a="1"/>
  <c r="AE44" i="41" s="1"/>
  <c r="W44" i="41" a="1"/>
  <c r="W44" i="41" s="1"/>
  <c r="O44" i="41" a="1"/>
  <c r="O44" i="41" s="1"/>
  <c r="AR43" i="41" a="1"/>
  <c r="AR43" i="41" s="1"/>
  <c r="AH43" i="41" a="1"/>
  <c r="AH43" i="41" s="1"/>
  <c r="Z43" i="41" a="1"/>
  <c r="Z43" i="41" s="1"/>
  <c r="R43" i="41" a="1"/>
  <c r="R43" i="41" s="1"/>
  <c r="J43" i="41" a="1"/>
  <c r="J43" i="41" s="1"/>
  <c r="AK41" i="41" a="1"/>
  <c r="AK41" i="41" s="1"/>
  <c r="AC41" i="41" a="1"/>
  <c r="AC41" i="41" s="1"/>
  <c r="U41" i="41" a="1"/>
  <c r="U41" i="41" s="1"/>
  <c r="M41" i="41" a="1"/>
  <c r="M41" i="41" s="1"/>
  <c r="AP40" i="41" a="1"/>
  <c r="AP40" i="41" s="1"/>
  <c r="AF40" i="41" a="1"/>
  <c r="AF40" i="41" s="1"/>
  <c r="X40" i="41" a="1"/>
  <c r="X40" i="41" s="1"/>
  <c r="P40" i="41" a="1"/>
  <c r="P40" i="41" s="1"/>
  <c r="AS38" i="41" a="1"/>
  <c r="AS38" i="41" s="1"/>
  <c r="AI38" i="41" a="1"/>
  <c r="AI38" i="41" s="1"/>
  <c r="AA38" i="41" a="1"/>
  <c r="AA38" i="41" s="1"/>
  <c r="S38" i="41" a="1"/>
  <c r="S38" i="41" s="1"/>
  <c r="K38" i="41" a="1"/>
  <c r="K38" i="41" s="1"/>
  <c r="AL37" i="41" a="1"/>
  <c r="AL37" i="41" s="1"/>
  <c r="AD37" i="41" a="1"/>
  <c r="AD37" i="41" s="1"/>
  <c r="V37" i="41" a="1"/>
  <c r="V37" i="41" s="1"/>
  <c r="N37" i="41" a="1"/>
  <c r="N37" i="41" s="1"/>
  <c r="AQ35" i="41" a="1"/>
  <c r="AQ35" i="41" s="1"/>
  <c r="AG35" i="41" a="1"/>
  <c r="AG35" i="41" s="1"/>
  <c r="Y35" i="41" a="1"/>
  <c r="Y35" i="41" s="1"/>
  <c r="Q35" i="41" a="1"/>
  <c r="Q35" i="41" s="1"/>
  <c r="AT34" i="41" a="1"/>
  <c r="AT34" i="41" s="1"/>
  <c r="AJ34" i="41" a="1"/>
  <c r="AJ34" i="41" s="1"/>
  <c r="AB34" i="41" a="1"/>
  <c r="AB34" i="41" s="1"/>
  <c r="T34" i="41" a="1"/>
  <c r="T34" i="41" s="1"/>
  <c r="L34" i="41" a="1"/>
  <c r="L34" i="41" s="1"/>
  <c r="AM32" i="41" a="1"/>
  <c r="AM32" i="41" s="1"/>
  <c r="AE32" i="41" a="1"/>
  <c r="AE32" i="41" s="1"/>
  <c r="W32" i="41" a="1"/>
  <c r="W32" i="41" s="1"/>
  <c r="O32" i="41" a="1"/>
  <c r="O32" i="41" s="1"/>
  <c r="AR31" i="41" a="1"/>
  <c r="AR31" i="41" s="1"/>
  <c r="AH31" i="41" a="1"/>
  <c r="AH31" i="41" s="1"/>
  <c r="Z31" i="41" a="1"/>
  <c r="Z31" i="41" s="1"/>
  <c r="R31" i="41" a="1"/>
  <c r="R31" i="41" s="1"/>
  <c r="J31" i="41" a="1"/>
  <c r="J31" i="41" s="1"/>
  <c r="AK29" i="41" a="1"/>
  <c r="AK29" i="41" s="1"/>
  <c r="AC29" i="41" a="1"/>
  <c r="AC29" i="41" s="1"/>
  <c r="U29" i="41" a="1"/>
  <c r="U29" i="41" s="1"/>
  <c r="M29" i="41" a="1"/>
  <c r="M29" i="41" s="1"/>
  <c r="AP28" i="41" a="1"/>
  <c r="AP28" i="41" s="1"/>
  <c r="AF28" i="41" a="1"/>
  <c r="AF28" i="41" s="1"/>
  <c r="X28" i="41" a="1"/>
  <c r="X28" i="41" s="1"/>
  <c r="AS26" i="41" a="1"/>
  <c r="AS26" i="41" s="1"/>
  <c r="AI26" i="41" a="1"/>
  <c r="AI26" i="41" s="1"/>
  <c r="AA26" i="41" a="1"/>
  <c r="AA26" i="41" s="1"/>
  <c r="S26" i="41" a="1"/>
  <c r="S26" i="41" s="1"/>
  <c r="K26" i="41" a="1"/>
  <c r="K26" i="41" s="1"/>
  <c r="AL25" i="41" a="1"/>
  <c r="AL25" i="41" s="1"/>
  <c r="AD25" i="41" a="1"/>
  <c r="AD25" i="41" s="1"/>
  <c r="V25" i="41" a="1"/>
  <c r="V25" i="41" s="1"/>
  <c r="N25" i="41" a="1"/>
  <c r="N25" i="41" s="1"/>
  <c r="AQ23" i="41" a="1"/>
  <c r="AQ23" i="41" s="1"/>
  <c r="AG23" i="41" a="1"/>
  <c r="AG23" i="41" s="1"/>
  <c r="Y23" i="41" a="1"/>
  <c r="Y23" i="41" s="1"/>
  <c r="Q23" i="41" a="1"/>
  <c r="Q23" i="41" s="1"/>
  <c r="AT22" i="41" a="1"/>
  <c r="AT22" i="41" s="1"/>
  <c r="AJ22" i="41" a="1"/>
  <c r="AJ22" i="41" s="1"/>
  <c r="AB22" i="41" a="1"/>
  <c r="AB22" i="41" s="1"/>
  <c r="T22" i="41" a="1"/>
  <c r="T22" i="41" s="1"/>
  <c r="L22" i="41" a="1"/>
  <c r="L22" i="41" s="1"/>
  <c r="AM20" i="41" a="1"/>
  <c r="AM20" i="41" s="1"/>
  <c r="AE20" i="41" a="1"/>
  <c r="AE20" i="41" s="1"/>
  <c r="W20" i="41" a="1"/>
  <c r="W20" i="41" s="1"/>
  <c r="O20" i="41" a="1"/>
  <c r="O20" i="41" s="1"/>
  <c r="AR19" i="41" a="1"/>
  <c r="AR19" i="41" s="1"/>
  <c r="AH19" i="41" a="1"/>
  <c r="AH19" i="41" s="1"/>
  <c r="Z19" i="41" a="1"/>
  <c r="Z19" i="41" s="1"/>
  <c r="R19" i="41" a="1"/>
  <c r="R19" i="41" s="1"/>
  <c r="J19" i="41" a="1"/>
  <c r="J19" i="41" s="1"/>
  <c r="AK17" i="41" a="1"/>
  <c r="AK17" i="41" s="1"/>
  <c r="AC17" i="41" a="1"/>
  <c r="AC17" i="41" s="1"/>
  <c r="U17" i="41" a="1"/>
  <c r="U17" i="41" s="1"/>
  <c r="M17" i="41" a="1"/>
  <c r="M17" i="41" s="1"/>
  <c r="AP16" i="41" a="1"/>
  <c r="AP16" i="41" s="1"/>
  <c r="AF16" i="41" a="1"/>
  <c r="AF16" i="41" s="1"/>
  <c r="X16" i="41" a="1"/>
  <c r="X16" i="41" s="1"/>
  <c r="P16" i="41" a="1"/>
  <c r="P16" i="41" s="1"/>
  <c r="AS11" i="41" a="1"/>
  <c r="AS11" i="41" s="1"/>
  <c r="AI11" i="41" a="1"/>
  <c r="AI11" i="41" s="1"/>
  <c r="AA11" i="41" a="1"/>
  <c r="AA11" i="41" s="1"/>
  <c r="S11" i="41" a="1"/>
  <c r="S11" i="41" s="1"/>
  <c r="AL10" i="41" a="1"/>
  <c r="AL10" i="41" s="1"/>
  <c r="V10" i="41" a="1"/>
  <c r="V10" i="41" s="1"/>
  <c r="S10" i="41" a="1"/>
  <c r="S10" i="41" s="1"/>
  <c r="AG65" i="41" a="1"/>
  <c r="AG65" i="41" s="1"/>
  <c r="U65" i="41" a="1"/>
  <c r="U65" i="41" s="1"/>
  <c r="L65" i="41" a="1"/>
  <c r="L65" i="41" s="1"/>
  <c r="AM64" i="41" a="1"/>
  <c r="AM64" i="41" s="1"/>
  <c r="AE64" i="41" a="1"/>
  <c r="AE64" i="41" s="1"/>
  <c r="W64" i="41" a="1"/>
  <c r="W64" i="41" s="1"/>
  <c r="O64" i="41" a="1"/>
  <c r="O64" i="41" s="1"/>
  <c r="AR62" i="41" a="1"/>
  <c r="AR62" i="41" s="1"/>
  <c r="AH62" i="41" a="1"/>
  <c r="AH62" i="41" s="1"/>
  <c r="Z62" i="41" a="1"/>
  <c r="Z62" i="41" s="1"/>
  <c r="R62" i="41" a="1"/>
  <c r="R62" i="41" s="1"/>
  <c r="J62" i="41" a="1"/>
  <c r="J62" i="41" s="1"/>
  <c r="AK61" i="41" a="1"/>
  <c r="AK61" i="41" s="1"/>
  <c r="AC61" i="41" a="1"/>
  <c r="AC61" i="41" s="1"/>
  <c r="U61" i="41" a="1"/>
  <c r="U61" i="41" s="1"/>
  <c r="M61" i="41" a="1"/>
  <c r="M61" i="41" s="1"/>
  <c r="AP59" i="41" a="1"/>
  <c r="AP59" i="41" s="1"/>
  <c r="AF59" i="41" a="1"/>
  <c r="AF59" i="41" s="1"/>
  <c r="X59" i="41" a="1"/>
  <c r="X59" i="41" s="1"/>
  <c r="P59" i="41" a="1"/>
  <c r="P59" i="41" s="1"/>
  <c r="AS58" i="41" a="1"/>
  <c r="AS58" i="41" s="1"/>
  <c r="AI58" i="41" a="1"/>
  <c r="AI58" i="41" s="1"/>
  <c r="AA58" i="41" a="1"/>
  <c r="AA58" i="41" s="1"/>
  <c r="S58" i="41" a="1"/>
  <c r="S58" i="41" s="1"/>
  <c r="K58" i="41" a="1"/>
  <c r="K58" i="41" s="1"/>
  <c r="AL56" i="41" a="1"/>
  <c r="AL56" i="41" s="1"/>
  <c r="AD56" i="41" a="1"/>
  <c r="AD56" i="41" s="1"/>
  <c r="V56" i="41" a="1"/>
  <c r="V56" i="41" s="1"/>
  <c r="N56" i="41" a="1"/>
  <c r="N56" i="41" s="1"/>
  <c r="AQ55" i="41" a="1"/>
  <c r="AQ55" i="41" s="1"/>
  <c r="AG55" i="41" a="1"/>
  <c r="AG55" i="41" s="1"/>
  <c r="Y55" i="41" a="1"/>
  <c r="Y55" i="41" s="1"/>
  <c r="Q55" i="41" a="1"/>
  <c r="Q55" i="41" s="1"/>
  <c r="AT53" i="41" a="1"/>
  <c r="AT53" i="41" s="1"/>
  <c r="AJ53" i="41" a="1"/>
  <c r="AJ53" i="41" s="1"/>
  <c r="AB53" i="41" a="1"/>
  <c r="AB53" i="41" s="1"/>
  <c r="T53" i="41" a="1"/>
  <c r="T53" i="41" s="1"/>
  <c r="L53" i="41" a="1"/>
  <c r="L53" i="41" s="1"/>
  <c r="AM52" i="41" a="1"/>
  <c r="AM52" i="41" s="1"/>
  <c r="AE52" i="41" a="1"/>
  <c r="AE52" i="41" s="1"/>
  <c r="W52" i="41" a="1"/>
  <c r="W52" i="41" s="1"/>
  <c r="O52" i="41" a="1"/>
  <c r="O52" i="41" s="1"/>
  <c r="AR50" i="41" a="1"/>
  <c r="AR50" i="41" s="1"/>
  <c r="AH50" i="41" a="1"/>
  <c r="AH50" i="41" s="1"/>
  <c r="Z50" i="41" a="1"/>
  <c r="Z50" i="41" s="1"/>
  <c r="R50" i="41" a="1"/>
  <c r="R50" i="41" s="1"/>
  <c r="J50" i="41" a="1"/>
  <c r="J50" i="41" s="1"/>
  <c r="AK49" i="41" a="1"/>
  <c r="AK49" i="41" s="1"/>
  <c r="AC49" i="41" a="1"/>
  <c r="AC49" i="41" s="1"/>
  <c r="U49" i="41" a="1"/>
  <c r="U49" i="41" s="1"/>
  <c r="M49" i="41" a="1"/>
  <c r="M49" i="41" s="1"/>
  <c r="AP47" i="41" a="1"/>
  <c r="AP47" i="41" s="1"/>
  <c r="AF47" i="41" a="1"/>
  <c r="AF47" i="41" s="1"/>
  <c r="X47" i="41" a="1"/>
  <c r="X47" i="41" s="1"/>
  <c r="P47" i="41" a="1"/>
  <c r="P47" i="41" s="1"/>
  <c r="AS46" i="41" a="1"/>
  <c r="AS46" i="41" s="1"/>
  <c r="AI46" i="41" a="1"/>
  <c r="AI46" i="41" s="1"/>
  <c r="AA46" i="41" a="1"/>
  <c r="AA46" i="41" s="1"/>
  <c r="S46" i="41" a="1"/>
  <c r="S46" i="41" s="1"/>
  <c r="K46" i="41" a="1"/>
  <c r="K46" i="41" s="1"/>
  <c r="AL44" i="41" a="1"/>
  <c r="AL44" i="41" s="1"/>
  <c r="AD44" i="41" a="1"/>
  <c r="AD44" i="41" s="1"/>
  <c r="V44" i="41" a="1"/>
  <c r="V44" i="41" s="1"/>
  <c r="N44" i="41" a="1"/>
  <c r="N44" i="41" s="1"/>
  <c r="AQ43" i="41" a="1"/>
  <c r="AQ43" i="41" s="1"/>
  <c r="AG43" i="41" a="1"/>
  <c r="AG43" i="41" s="1"/>
  <c r="Y43" i="41" a="1"/>
  <c r="Y43" i="41" s="1"/>
  <c r="Q43" i="41" a="1"/>
  <c r="Q43" i="41" s="1"/>
  <c r="AT41" i="41" a="1"/>
  <c r="AT41" i="41" s="1"/>
  <c r="AJ41" i="41" a="1"/>
  <c r="AJ41" i="41" s="1"/>
  <c r="AB41" i="41" a="1"/>
  <c r="AB41" i="41" s="1"/>
  <c r="T41" i="41" a="1"/>
  <c r="T41" i="41" s="1"/>
  <c r="L41" i="41" a="1"/>
  <c r="L41" i="41" s="1"/>
  <c r="AM40" i="41" a="1"/>
  <c r="AM40" i="41" s="1"/>
  <c r="AE40" i="41" a="1"/>
  <c r="AE40" i="41" s="1"/>
  <c r="W40" i="41" a="1"/>
  <c r="W40" i="41" s="1"/>
  <c r="O40" i="41" a="1"/>
  <c r="O40" i="41" s="1"/>
  <c r="AR38" i="41" a="1"/>
  <c r="AR38" i="41" s="1"/>
  <c r="AH38" i="41" a="1"/>
  <c r="AH38" i="41" s="1"/>
  <c r="Z38" i="41" a="1"/>
  <c r="Z38" i="41" s="1"/>
  <c r="R38" i="41" a="1"/>
  <c r="R38" i="41" s="1"/>
  <c r="J38" i="41" a="1"/>
  <c r="J38" i="41" s="1"/>
  <c r="AK37" i="41" a="1"/>
  <c r="AK37" i="41" s="1"/>
  <c r="AC37" i="41" a="1"/>
  <c r="AC37" i="41" s="1"/>
  <c r="U37" i="41" a="1"/>
  <c r="U37" i="41" s="1"/>
  <c r="M37" i="41" a="1"/>
  <c r="M37" i="41" s="1"/>
  <c r="AP35" i="41" a="1"/>
  <c r="AP35" i="41" s="1"/>
  <c r="AF35" i="41" a="1"/>
  <c r="AF35" i="41" s="1"/>
  <c r="X35" i="41" a="1"/>
  <c r="X35" i="41" s="1"/>
  <c r="P35" i="41" a="1"/>
  <c r="P35" i="41" s="1"/>
  <c r="AS34" i="41" a="1"/>
  <c r="AS34" i="41" s="1"/>
  <c r="AI34" i="41" a="1"/>
  <c r="AI34" i="41" s="1"/>
  <c r="AA34" i="41" a="1"/>
  <c r="AA34" i="41" s="1"/>
  <c r="S34" i="41" a="1"/>
  <c r="S34" i="41" s="1"/>
  <c r="K34" i="41" a="1"/>
  <c r="K34" i="41" s="1"/>
  <c r="AL32" i="41" a="1"/>
  <c r="AL32" i="41" s="1"/>
  <c r="AD32" i="41" a="1"/>
  <c r="AD32" i="41" s="1"/>
  <c r="V32" i="41" a="1"/>
  <c r="V32" i="41" s="1"/>
  <c r="N32" i="41" a="1"/>
  <c r="N32" i="41" s="1"/>
  <c r="AQ31" i="41" a="1"/>
  <c r="AQ31" i="41" s="1"/>
  <c r="AG31" i="41" a="1"/>
  <c r="AG31" i="41" s="1"/>
  <c r="Y31" i="41" a="1"/>
  <c r="Y31" i="41" s="1"/>
  <c r="Q31" i="41" a="1"/>
  <c r="Q31" i="41" s="1"/>
  <c r="AT29" i="41" a="1"/>
  <c r="AT29" i="41" s="1"/>
  <c r="AJ29" i="41" a="1"/>
  <c r="AJ29" i="41" s="1"/>
  <c r="AB29" i="41" a="1"/>
  <c r="AB29" i="41" s="1"/>
  <c r="T29" i="41" a="1"/>
  <c r="T29" i="41" s="1"/>
  <c r="L29" i="41" a="1"/>
  <c r="L29" i="41" s="1"/>
  <c r="AM28" i="41" a="1"/>
  <c r="AM28" i="41" s="1"/>
  <c r="AE28" i="41" a="1"/>
  <c r="AE28" i="41" s="1"/>
  <c r="W28" i="41" a="1"/>
  <c r="W28" i="41" s="1"/>
  <c r="O28" i="41" a="1"/>
  <c r="O28" i="41" s="1"/>
  <c r="AR26" i="41" a="1"/>
  <c r="AR26" i="41" s="1"/>
  <c r="AH26" i="41" a="1"/>
  <c r="AH26" i="41" s="1"/>
  <c r="Z26" i="41" a="1"/>
  <c r="Z26" i="41" s="1"/>
  <c r="R26" i="41" a="1"/>
  <c r="R26" i="41" s="1"/>
  <c r="J26" i="41" a="1"/>
  <c r="J26" i="41" s="1"/>
  <c r="AK25" i="41" a="1"/>
  <c r="AK25" i="41" s="1"/>
  <c r="AC25" i="41" a="1"/>
  <c r="AC25" i="41" s="1"/>
  <c r="U25" i="41" a="1"/>
  <c r="U25" i="41" s="1"/>
  <c r="M25" i="41" a="1"/>
  <c r="M25" i="41" s="1"/>
  <c r="AP23" i="41" a="1"/>
  <c r="AP23" i="41" s="1"/>
  <c r="AF23" i="41" a="1"/>
  <c r="AF23" i="41" s="1"/>
  <c r="X23" i="41" a="1"/>
  <c r="X23" i="41" s="1"/>
  <c r="P23" i="41" a="1"/>
  <c r="P23" i="41" s="1"/>
  <c r="AS22" i="41" a="1"/>
  <c r="AS22" i="41" s="1"/>
  <c r="AI22" i="41" a="1"/>
  <c r="AI22" i="41" s="1"/>
  <c r="AA22" i="41" a="1"/>
  <c r="AA22" i="41" s="1"/>
  <c r="S22" i="41" a="1"/>
  <c r="S22" i="41" s="1"/>
  <c r="K22" i="41" a="1"/>
  <c r="K22" i="41" s="1"/>
  <c r="AL20" i="41" a="1"/>
  <c r="AL20" i="41" s="1"/>
  <c r="AD20" i="41" a="1"/>
  <c r="AD20" i="41" s="1"/>
  <c r="V20" i="41" a="1"/>
  <c r="V20" i="41" s="1"/>
  <c r="N20" i="41" a="1"/>
  <c r="N20" i="41" s="1"/>
  <c r="AQ19" i="41" a="1"/>
  <c r="AQ19" i="41" s="1"/>
  <c r="AG19" i="41" a="1"/>
  <c r="AG19" i="41" s="1"/>
  <c r="Y19" i="41" a="1"/>
  <c r="Y19" i="41" s="1"/>
  <c r="Q19" i="41" a="1"/>
  <c r="Q19" i="41" s="1"/>
  <c r="AT17" i="41" a="1"/>
  <c r="AT17" i="41" s="1"/>
  <c r="AJ17" i="41" a="1"/>
  <c r="AJ17" i="41" s="1"/>
  <c r="AB17" i="41" a="1"/>
  <c r="AB17" i="41" s="1"/>
  <c r="T17" i="41" a="1"/>
  <c r="T17" i="41" s="1"/>
  <c r="L17" i="41" a="1"/>
  <c r="L17" i="41" s="1"/>
  <c r="AM16" i="41" a="1"/>
  <c r="AM16" i="41" s="1"/>
  <c r="AE16" i="41" a="1"/>
  <c r="AE16" i="41" s="1"/>
  <c r="W16" i="41" a="1"/>
  <c r="W16" i="41" s="1"/>
  <c r="O16" i="41" a="1"/>
  <c r="O16" i="41" s="1"/>
  <c r="AR11" i="41" a="1"/>
  <c r="AR11" i="41" s="1"/>
  <c r="AH11" i="41" a="1"/>
  <c r="AH11" i="41" s="1"/>
  <c r="Z11" i="41" a="1"/>
  <c r="Z11" i="41" s="1"/>
  <c r="R11" i="41" a="1"/>
  <c r="R11" i="41" s="1"/>
  <c r="J11" i="41" a="1"/>
  <c r="J11" i="41" s="1"/>
  <c r="AK10" i="41" a="1"/>
  <c r="AK10" i="41" s="1"/>
  <c r="AC10" i="41" a="1"/>
  <c r="AC10" i="41" s="1"/>
  <c r="U10" i="41" a="1"/>
  <c r="U10" i="41" s="1"/>
  <c r="M10" i="41" a="1"/>
  <c r="M10" i="41" s="1"/>
  <c r="AE65" i="41" a="1"/>
  <c r="AE65" i="41" s="1"/>
  <c r="T65" i="41" a="1"/>
  <c r="T65" i="41" s="1"/>
  <c r="K65" i="41" a="1"/>
  <c r="K65" i="41" s="1"/>
  <c r="AL64" i="41" a="1"/>
  <c r="AL64" i="41" s="1"/>
  <c r="AD64" i="41" a="1"/>
  <c r="AD64" i="41" s="1"/>
  <c r="V64" i="41" a="1"/>
  <c r="V64" i="41" s="1"/>
  <c r="N64" i="41" a="1"/>
  <c r="N64" i="41" s="1"/>
  <c r="AQ62" i="41" a="1"/>
  <c r="AQ62" i="41" s="1"/>
  <c r="AG62" i="41" a="1"/>
  <c r="AG62" i="41" s="1"/>
  <c r="Y62" i="41" a="1"/>
  <c r="Y62" i="41" s="1"/>
  <c r="Q62" i="41" a="1"/>
  <c r="Q62" i="41" s="1"/>
  <c r="AT61" i="41" a="1"/>
  <c r="AT61" i="41" s="1"/>
  <c r="AJ61" i="41" a="1"/>
  <c r="AJ61" i="41" s="1"/>
  <c r="AB61" i="41" a="1"/>
  <c r="AB61" i="41" s="1"/>
  <c r="T61" i="41" a="1"/>
  <c r="T61" i="41" s="1"/>
  <c r="L61" i="41" a="1"/>
  <c r="L61" i="41" s="1"/>
  <c r="AM59" i="41" a="1"/>
  <c r="AM59" i="41" s="1"/>
  <c r="AE59" i="41" a="1"/>
  <c r="AE59" i="41" s="1"/>
  <c r="W59" i="41" a="1"/>
  <c r="W59" i="41" s="1"/>
  <c r="O59" i="41" a="1"/>
  <c r="O59" i="41" s="1"/>
  <c r="AR58" i="41" a="1"/>
  <c r="AR58" i="41" s="1"/>
  <c r="AH58" i="41" a="1"/>
  <c r="AH58" i="41" s="1"/>
  <c r="Z58" i="41" a="1"/>
  <c r="Z58" i="41" s="1"/>
  <c r="R58" i="41" a="1"/>
  <c r="R58" i="41" s="1"/>
  <c r="J58" i="41" a="1"/>
  <c r="J58" i="41" s="1"/>
  <c r="AK56" i="41" a="1"/>
  <c r="AK56" i="41" s="1"/>
  <c r="AC56" i="41" a="1"/>
  <c r="AC56" i="41" s="1"/>
  <c r="U56" i="41" a="1"/>
  <c r="U56" i="41" s="1"/>
  <c r="M56" i="41" a="1"/>
  <c r="M56" i="41" s="1"/>
  <c r="AP55" i="41" a="1"/>
  <c r="AP55" i="41" s="1"/>
  <c r="AF55" i="41" a="1"/>
  <c r="AF55" i="41" s="1"/>
  <c r="X55" i="41" a="1"/>
  <c r="X55" i="41" s="1"/>
  <c r="P55" i="41" a="1"/>
  <c r="P55" i="41" s="1"/>
  <c r="AS53" i="41" a="1"/>
  <c r="AS53" i="41" s="1"/>
  <c r="AI53" i="41" a="1"/>
  <c r="AI53" i="41" s="1"/>
  <c r="AA53" i="41" a="1"/>
  <c r="AA53" i="41" s="1"/>
  <c r="S53" i="41" a="1"/>
  <c r="S53" i="41" s="1"/>
  <c r="K53" i="41" a="1"/>
  <c r="K53" i="41" s="1"/>
  <c r="AL52" i="41" a="1"/>
  <c r="AL52" i="41" s="1"/>
  <c r="AD52" i="41" a="1"/>
  <c r="AD52" i="41" s="1"/>
  <c r="V52" i="41" a="1"/>
  <c r="V52" i="41" s="1"/>
  <c r="N52" i="41" a="1"/>
  <c r="N52" i="41" s="1"/>
  <c r="AQ50" i="41" a="1"/>
  <c r="AQ50" i="41" s="1"/>
  <c r="AG50" i="41" a="1"/>
  <c r="AG50" i="41" s="1"/>
  <c r="Y50" i="41" a="1"/>
  <c r="Y50" i="41" s="1"/>
  <c r="Q50" i="41" a="1"/>
  <c r="Q50" i="41" s="1"/>
  <c r="AT49" i="41" a="1"/>
  <c r="AT49" i="41" s="1"/>
  <c r="AJ49" i="41" a="1"/>
  <c r="AJ49" i="41" s="1"/>
  <c r="AB49" i="41" a="1"/>
  <c r="AB49" i="41" s="1"/>
  <c r="T49" i="41" a="1"/>
  <c r="T49" i="41" s="1"/>
  <c r="L49" i="41" a="1"/>
  <c r="L49" i="41" s="1"/>
  <c r="AM47" i="41" a="1"/>
  <c r="AM47" i="41" s="1"/>
  <c r="AE47" i="41" a="1"/>
  <c r="AE47" i="41" s="1"/>
  <c r="W47" i="41" a="1"/>
  <c r="W47" i="41" s="1"/>
  <c r="O47" i="41" a="1"/>
  <c r="O47" i="41" s="1"/>
  <c r="AR46" i="41" a="1"/>
  <c r="AR46" i="41" s="1"/>
  <c r="AH46" i="41" a="1"/>
  <c r="AH46" i="41" s="1"/>
  <c r="Z46" i="41" a="1"/>
  <c r="Z46" i="41" s="1"/>
  <c r="R46" i="41" a="1"/>
  <c r="R46" i="41" s="1"/>
  <c r="J46" i="41" a="1"/>
  <c r="J46" i="41" s="1"/>
  <c r="AK44" i="41" a="1"/>
  <c r="AK44" i="41" s="1"/>
  <c r="AC44" i="41" a="1"/>
  <c r="AC44" i="41" s="1"/>
  <c r="U44" i="41" a="1"/>
  <c r="U44" i="41" s="1"/>
  <c r="M44" i="41" a="1"/>
  <c r="M44" i="41" s="1"/>
  <c r="AP43" i="41" a="1"/>
  <c r="AP43" i="41" s="1"/>
  <c r="AF43" i="41" a="1"/>
  <c r="AF43" i="41" s="1"/>
  <c r="X43" i="41" a="1"/>
  <c r="X43" i="41" s="1"/>
  <c r="P43" i="41" a="1"/>
  <c r="P43" i="41" s="1"/>
  <c r="AS41" i="41" a="1"/>
  <c r="AS41" i="41" s="1"/>
  <c r="AI41" i="41" a="1"/>
  <c r="AI41" i="41" s="1"/>
  <c r="AA41" i="41" a="1"/>
  <c r="AA41" i="41" s="1"/>
  <c r="S41" i="41" a="1"/>
  <c r="S41" i="41" s="1"/>
  <c r="K41" i="41" a="1"/>
  <c r="K41" i="41" s="1"/>
  <c r="AL40" i="41" a="1"/>
  <c r="AL40" i="41" s="1"/>
  <c r="AD40" i="41" a="1"/>
  <c r="AD40" i="41" s="1"/>
  <c r="V40" i="41" a="1"/>
  <c r="V40" i="41" s="1"/>
  <c r="N40" i="41" a="1"/>
  <c r="N40" i="41" s="1"/>
  <c r="AQ38" i="41" a="1"/>
  <c r="AQ38" i="41" s="1"/>
  <c r="AG38" i="41" a="1"/>
  <c r="AG38" i="41" s="1"/>
  <c r="Y38" i="41" a="1"/>
  <c r="Y38" i="41" s="1"/>
  <c r="Q38" i="41" a="1"/>
  <c r="Q38" i="41" s="1"/>
  <c r="AT37" i="41" a="1"/>
  <c r="AT37" i="41" s="1"/>
  <c r="AJ37" i="41" a="1"/>
  <c r="AJ37" i="41" s="1"/>
  <c r="AB37" i="41" a="1"/>
  <c r="AB37" i="41" s="1"/>
  <c r="T37" i="41" a="1"/>
  <c r="T37" i="41" s="1"/>
  <c r="L37" i="41" a="1"/>
  <c r="L37" i="41" s="1"/>
  <c r="AM35" i="41" a="1"/>
  <c r="AM35" i="41" s="1"/>
  <c r="AE35" i="41" a="1"/>
  <c r="AE35" i="41" s="1"/>
  <c r="W35" i="41" a="1"/>
  <c r="W35" i="41" s="1"/>
  <c r="O35" i="41" a="1"/>
  <c r="O35" i="41" s="1"/>
  <c r="AR34" i="41" a="1"/>
  <c r="AR34" i="41" s="1"/>
  <c r="AH34" i="41" a="1"/>
  <c r="AH34" i="41" s="1"/>
  <c r="Z34" i="41" a="1"/>
  <c r="Z34" i="41" s="1"/>
  <c r="R34" i="41" a="1"/>
  <c r="R34" i="41" s="1"/>
  <c r="J34" i="41" a="1"/>
  <c r="J34" i="41" s="1"/>
  <c r="AK32" i="41" a="1"/>
  <c r="AK32" i="41" s="1"/>
  <c r="AC32" i="41" a="1"/>
  <c r="AC32" i="41" s="1"/>
  <c r="U32" i="41" a="1"/>
  <c r="U32" i="41" s="1"/>
  <c r="M32" i="41" a="1"/>
  <c r="M32" i="41" s="1"/>
  <c r="AP31" i="41" a="1"/>
  <c r="AP31" i="41" s="1"/>
  <c r="AF31" i="41" a="1"/>
  <c r="AF31" i="41" s="1"/>
  <c r="X31" i="41" a="1"/>
  <c r="X31" i="41" s="1"/>
  <c r="P31" i="41" a="1"/>
  <c r="P31" i="41" s="1"/>
  <c r="AS29" i="41" a="1"/>
  <c r="AS29" i="41" s="1"/>
  <c r="AI29" i="41" a="1"/>
  <c r="AI29" i="41" s="1"/>
  <c r="AA29" i="41" a="1"/>
  <c r="AA29" i="41" s="1"/>
  <c r="S29" i="41" a="1"/>
  <c r="S29" i="41" s="1"/>
  <c r="K29" i="41" a="1"/>
  <c r="K29" i="41" s="1"/>
  <c r="AL28" i="41" a="1"/>
  <c r="AL28" i="41" s="1"/>
  <c r="AD28" i="41" a="1"/>
  <c r="AD28" i="41" s="1"/>
  <c r="V28" i="41" a="1"/>
  <c r="V28" i="41" s="1"/>
  <c r="N28" i="41" a="1"/>
  <c r="N28" i="41" s="1"/>
  <c r="AQ26" i="41" a="1"/>
  <c r="AQ26" i="41" s="1"/>
  <c r="AG26" i="41" a="1"/>
  <c r="AG26" i="41" s="1"/>
  <c r="Y26" i="41" a="1"/>
  <c r="Y26" i="41" s="1"/>
  <c r="Q26" i="41" a="1"/>
  <c r="Q26" i="41" s="1"/>
  <c r="AT25" i="41" a="1"/>
  <c r="AT25" i="41" s="1"/>
  <c r="AJ25" i="41" a="1"/>
  <c r="AJ25" i="41" s="1"/>
  <c r="AB25" i="41" a="1"/>
  <c r="AB25" i="41" s="1"/>
  <c r="T25" i="41" a="1"/>
  <c r="T25" i="41" s="1"/>
  <c r="L25" i="41" a="1"/>
  <c r="L25" i="41" s="1"/>
  <c r="AM23" i="41" a="1"/>
  <c r="AM23" i="41" s="1"/>
  <c r="AE23" i="41" a="1"/>
  <c r="AE23" i="41" s="1"/>
  <c r="W23" i="41" a="1"/>
  <c r="W23" i="41" s="1"/>
  <c r="O23" i="41" a="1"/>
  <c r="O23" i="41" s="1"/>
  <c r="AR22" i="41" a="1"/>
  <c r="AR22" i="41" s="1"/>
  <c r="AH22" i="41" a="1"/>
  <c r="AH22" i="41" s="1"/>
  <c r="Z22" i="41" a="1"/>
  <c r="Z22" i="41" s="1"/>
  <c r="R22" i="41" a="1"/>
  <c r="R22" i="41" s="1"/>
  <c r="J22" i="41" a="1"/>
  <c r="J22" i="41" s="1"/>
  <c r="AK20" i="41" a="1"/>
  <c r="AK20" i="41" s="1"/>
  <c r="AC20" i="41" a="1"/>
  <c r="AC20" i="41" s="1"/>
  <c r="U20" i="41" a="1"/>
  <c r="U20" i="41" s="1"/>
  <c r="M20" i="41" a="1"/>
  <c r="M20" i="41" s="1"/>
  <c r="AP19" i="41" a="1"/>
  <c r="AP19" i="41" s="1"/>
  <c r="AF19" i="41" a="1"/>
  <c r="AF19" i="41" s="1"/>
  <c r="X19" i="41" a="1"/>
  <c r="X19" i="41" s="1"/>
  <c r="P19" i="41" a="1"/>
  <c r="P19" i="41" s="1"/>
  <c r="AS17" i="41" a="1"/>
  <c r="AS17" i="41" s="1"/>
  <c r="AI17" i="41" a="1"/>
  <c r="AI17" i="41" s="1"/>
  <c r="AA17" i="41" a="1"/>
  <c r="AA17" i="41" s="1"/>
  <c r="S17" i="41" a="1"/>
  <c r="S17" i="41" s="1"/>
  <c r="K17" i="41" a="1"/>
  <c r="K17" i="41" s="1"/>
  <c r="AL16" i="41" a="1"/>
  <c r="AL16" i="41" s="1"/>
  <c r="AD16" i="41" a="1"/>
  <c r="AD16" i="41" s="1"/>
  <c r="V16" i="41" a="1"/>
  <c r="V16" i="41" s="1"/>
  <c r="N16" i="41" a="1"/>
  <c r="N16" i="41" s="1"/>
  <c r="AQ11" i="41" a="1"/>
  <c r="AQ11" i="41" s="1"/>
  <c r="AG11" i="41" a="1"/>
  <c r="AG11" i="41" s="1"/>
  <c r="Y11" i="41" a="1"/>
  <c r="Y11" i="41" s="1"/>
  <c r="Q11" i="41" a="1"/>
  <c r="Q11" i="41" s="1"/>
  <c r="AT10" i="41" a="1"/>
  <c r="AT10" i="41" s="1"/>
  <c r="AJ10" i="41" a="1"/>
  <c r="AJ10" i="41" s="1"/>
  <c r="L10" i="41" a="1"/>
  <c r="L10" i="41" s="1"/>
  <c r="AC65" i="41" a="1"/>
  <c r="AC65" i="41" s="1"/>
  <c r="S65" i="41" a="1"/>
  <c r="S65" i="41" s="1"/>
  <c r="J65" i="41" a="1"/>
  <c r="J65" i="41" s="1"/>
  <c r="AK64" i="41" a="1"/>
  <c r="AK64" i="41" s="1"/>
  <c r="AC64" i="41" a="1"/>
  <c r="AC64" i="41" s="1"/>
  <c r="U64" i="41" a="1"/>
  <c r="U64" i="41" s="1"/>
  <c r="M64" i="41" a="1"/>
  <c r="M64" i="41" s="1"/>
  <c r="AP62" i="41" a="1"/>
  <c r="AP62" i="41" s="1"/>
  <c r="AF62" i="41" a="1"/>
  <c r="AF62" i="41" s="1"/>
  <c r="X62" i="41" a="1"/>
  <c r="X62" i="41" s="1"/>
  <c r="P62" i="41" a="1"/>
  <c r="P62" i="41" s="1"/>
  <c r="AS61" i="41" a="1"/>
  <c r="AS61" i="41" s="1"/>
  <c r="AI61" i="41" a="1"/>
  <c r="AI61" i="41" s="1"/>
  <c r="AA61" i="41" a="1"/>
  <c r="AA61" i="41" s="1"/>
  <c r="S61" i="41" a="1"/>
  <c r="S61" i="41" s="1"/>
  <c r="K61" i="41" a="1"/>
  <c r="K61" i="41" s="1"/>
  <c r="AL59" i="41" a="1"/>
  <c r="AL59" i="41" s="1"/>
  <c r="AD59" i="41" a="1"/>
  <c r="AD59" i="41" s="1"/>
  <c r="V59" i="41" a="1"/>
  <c r="V59" i="41" s="1"/>
  <c r="N59" i="41" a="1"/>
  <c r="N59" i="41" s="1"/>
  <c r="AQ58" i="41" a="1"/>
  <c r="AQ58" i="41" s="1"/>
  <c r="AG58" i="41" a="1"/>
  <c r="AG58" i="41" s="1"/>
  <c r="Y58" i="41" a="1"/>
  <c r="Y58" i="41" s="1"/>
  <c r="Q58" i="41" a="1"/>
  <c r="Q58" i="41" s="1"/>
  <c r="AT56" i="41" a="1"/>
  <c r="AT56" i="41" s="1"/>
  <c r="AJ56" i="41" a="1"/>
  <c r="AJ56" i="41" s="1"/>
  <c r="AB56" i="41" a="1"/>
  <c r="AB56" i="41" s="1"/>
  <c r="T56" i="41" a="1"/>
  <c r="T56" i="41" s="1"/>
  <c r="L56" i="41" a="1"/>
  <c r="L56" i="41" s="1"/>
  <c r="AM55" i="41" a="1"/>
  <c r="AM55" i="41" s="1"/>
  <c r="AE55" i="41" a="1"/>
  <c r="AE55" i="41" s="1"/>
  <c r="W55" i="41" a="1"/>
  <c r="W55" i="41" s="1"/>
  <c r="O55" i="41" a="1"/>
  <c r="O55" i="41" s="1"/>
  <c r="AR53" i="41" a="1"/>
  <c r="AR53" i="41" s="1"/>
  <c r="AH53" i="41" a="1"/>
  <c r="AH53" i="41" s="1"/>
  <c r="Z53" i="41" a="1"/>
  <c r="Z53" i="41" s="1"/>
  <c r="R53" i="41" a="1"/>
  <c r="R53" i="41" s="1"/>
  <c r="J53" i="41" a="1"/>
  <c r="J53" i="41" s="1"/>
  <c r="AK52" i="41" a="1"/>
  <c r="AK52" i="41" s="1"/>
  <c r="AC52" i="41" a="1"/>
  <c r="AC52" i="41" s="1"/>
  <c r="U52" i="41" a="1"/>
  <c r="U52" i="41" s="1"/>
  <c r="M52" i="41" a="1"/>
  <c r="M52" i="41" s="1"/>
  <c r="AP50" i="41" a="1"/>
  <c r="AP50" i="41" s="1"/>
  <c r="AF50" i="41" a="1"/>
  <c r="AF50" i="41" s="1"/>
  <c r="X50" i="41" a="1"/>
  <c r="X50" i="41" s="1"/>
  <c r="P50" i="41" a="1"/>
  <c r="P50" i="41" s="1"/>
  <c r="AS49" i="41" a="1"/>
  <c r="AS49" i="41" s="1"/>
  <c r="AI49" i="41" a="1"/>
  <c r="AI49" i="41" s="1"/>
  <c r="AA49" i="41" a="1"/>
  <c r="AA49" i="41" s="1"/>
  <c r="S49" i="41" a="1"/>
  <c r="S49" i="41" s="1"/>
  <c r="K49" i="41" a="1"/>
  <c r="K49" i="41" s="1"/>
  <c r="AL47" i="41" a="1"/>
  <c r="AL47" i="41" s="1"/>
  <c r="AD47" i="41" a="1"/>
  <c r="AD47" i="41" s="1"/>
  <c r="V47" i="41" a="1"/>
  <c r="V47" i="41" s="1"/>
  <c r="N47" i="41" a="1"/>
  <c r="N47" i="41" s="1"/>
  <c r="AQ46" i="41" a="1"/>
  <c r="AQ46" i="41" s="1"/>
  <c r="AG46" i="41" a="1"/>
  <c r="AG46" i="41" s="1"/>
  <c r="Y46" i="41" a="1"/>
  <c r="Y46" i="41" s="1"/>
  <c r="Q46" i="41" a="1"/>
  <c r="Q46" i="41" s="1"/>
  <c r="AT44" i="41" a="1"/>
  <c r="AT44" i="41" s="1"/>
  <c r="AJ44" i="41" a="1"/>
  <c r="AJ44" i="41" s="1"/>
  <c r="AB44" i="41" a="1"/>
  <c r="AB44" i="41" s="1"/>
  <c r="T44" i="41" a="1"/>
  <c r="T44" i="41" s="1"/>
  <c r="L44" i="41" a="1"/>
  <c r="L44" i="41" s="1"/>
  <c r="AM43" i="41" a="1"/>
  <c r="AM43" i="41" s="1"/>
  <c r="AE43" i="41" a="1"/>
  <c r="AE43" i="41" s="1"/>
  <c r="W43" i="41" a="1"/>
  <c r="W43" i="41" s="1"/>
  <c r="O43" i="41" a="1"/>
  <c r="O43" i="41" s="1"/>
  <c r="AR41" i="41" a="1"/>
  <c r="AR41" i="41" s="1"/>
  <c r="AH41" i="41" a="1"/>
  <c r="AH41" i="41" s="1"/>
  <c r="Z41" i="41" a="1"/>
  <c r="Z41" i="41" s="1"/>
  <c r="R41" i="41" a="1"/>
  <c r="R41" i="41" s="1"/>
  <c r="J41" i="41" a="1"/>
  <c r="J41" i="41" s="1"/>
  <c r="AK40" i="41" a="1"/>
  <c r="AK40" i="41" s="1"/>
  <c r="AC40" i="41" a="1"/>
  <c r="AC40" i="41" s="1"/>
  <c r="U40" i="41" a="1"/>
  <c r="U40" i="41" s="1"/>
  <c r="M40" i="41" a="1"/>
  <c r="M40" i="41" s="1"/>
  <c r="AP38" i="41" a="1"/>
  <c r="AP38" i="41" s="1"/>
  <c r="AF38" i="41" a="1"/>
  <c r="AF38" i="41" s="1"/>
  <c r="X38" i="41" a="1"/>
  <c r="X38" i="41" s="1"/>
  <c r="P38" i="41" a="1"/>
  <c r="P38" i="41" s="1"/>
  <c r="AS37" i="41" a="1"/>
  <c r="AS37" i="41" s="1"/>
  <c r="AI37" i="41" a="1"/>
  <c r="AI37" i="41" s="1"/>
  <c r="AA37" i="41" a="1"/>
  <c r="AA37" i="41" s="1"/>
  <c r="S37" i="41" a="1"/>
  <c r="S37" i="41" s="1"/>
  <c r="K37" i="41" a="1"/>
  <c r="K37" i="41" s="1"/>
  <c r="AL35" i="41" a="1"/>
  <c r="AL35" i="41" s="1"/>
  <c r="AD35" i="41" a="1"/>
  <c r="AD35" i="41" s="1"/>
  <c r="V35" i="41" a="1"/>
  <c r="V35" i="41" s="1"/>
  <c r="N35" i="41" a="1"/>
  <c r="N35" i="41" s="1"/>
  <c r="AQ34" i="41" a="1"/>
  <c r="AQ34" i="41" s="1"/>
  <c r="AG34" i="41" a="1"/>
  <c r="AG34" i="41" s="1"/>
  <c r="Y34" i="41" a="1"/>
  <c r="Y34" i="41" s="1"/>
  <c r="Q34" i="41" a="1"/>
  <c r="Q34" i="41" s="1"/>
  <c r="AT32" i="41" a="1"/>
  <c r="AT32" i="41" s="1"/>
  <c r="AJ32" i="41" a="1"/>
  <c r="AJ32" i="41" s="1"/>
  <c r="AB32" i="41" a="1"/>
  <c r="AB32" i="41" s="1"/>
  <c r="T32" i="41" a="1"/>
  <c r="T32" i="41" s="1"/>
  <c r="L32" i="41" a="1"/>
  <c r="L32" i="41" s="1"/>
  <c r="AM31" i="41" a="1"/>
  <c r="AM31" i="41" s="1"/>
  <c r="AE31" i="41" a="1"/>
  <c r="AE31" i="41" s="1"/>
  <c r="W31" i="41" a="1"/>
  <c r="W31" i="41" s="1"/>
  <c r="O31" i="41" a="1"/>
  <c r="O31" i="41" s="1"/>
  <c r="AR29" i="41" a="1"/>
  <c r="AR29" i="41" s="1"/>
  <c r="AH29" i="41" a="1"/>
  <c r="AH29" i="41" s="1"/>
  <c r="Z29" i="41" a="1"/>
  <c r="Z29" i="41" s="1"/>
  <c r="R29" i="41" a="1"/>
  <c r="R29" i="41" s="1"/>
  <c r="J29" i="41" a="1"/>
  <c r="J29" i="41" s="1"/>
  <c r="AK28" i="41" a="1"/>
  <c r="AK28" i="41" s="1"/>
  <c r="AC28" i="41" a="1"/>
  <c r="AC28" i="41" s="1"/>
  <c r="U28" i="41" a="1"/>
  <c r="U28" i="41" s="1"/>
  <c r="M28" i="41" a="1"/>
  <c r="M28" i="41" s="1"/>
  <c r="AP26" i="41" a="1"/>
  <c r="AP26" i="41" s="1"/>
  <c r="AF26" i="41" a="1"/>
  <c r="AF26" i="41" s="1"/>
  <c r="X26" i="41" a="1"/>
  <c r="X26" i="41" s="1"/>
  <c r="P26" i="41" a="1"/>
  <c r="P26" i="41" s="1"/>
  <c r="AS25" i="41" a="1"/>
  <c r="AS25" i="41" s="1"/>
  <c r="AI25" i="41" a="1"/>
  <c r="AI25" i="41" s="1"/>
  <c r="AA25" i="41" a="1"/>
  <c r="AA25" i="41" s="1"/>
  <c r="S25" i="41" a="1"/>
  <c r="S25" i="41" s="1"/>
  <c r="K25" i="41" a="1"/>
  <c r="K25" i="41" s="1"/>
  <c r="AL23" i="41" a="1"/>
  <c r="AL23" i="41" s="1"/>
  <c r="AD23" i="41" a="1"/>
  <c r="AD23" i="41" s="1"/>
  <c r="V23" i="41" a="1"/>
  <c r="V23" i="41" s="1"/>
  <c r="N23" i="41" a="1"/>
  <c r="N23" i="41" s="1"/>
  <c r="AQ22" i="41" a="1"/>
  <c r="AQ22" i="41" s="1"/>
  <c r="AG22" i="41" a="1"/>
  <c r="AG22" i="41" s="1"/>
  <c r="Y22" i="41" a="1"/>
  <c r="Y22" i="41" s="1"/>
  <c r="Q22" i="41" a="1"/>
  <c r="Q22" i="41" s="1"/>
  <c r="AT20" i="41" a="1"/>
  <c r="AT20" i="41" s="1"/>
  <c r="AJ20" i="41" a="1"/>
  <c r="AJ20" i="41" s="1"/>
  <c r="AB20" i="41" a="1"/>
  <c r="AB20" i="41" s="1"/>
  <c r="T20" i="41" a="1"/>
  <c r="T20" i="41" s="1"/>
  <c r="L20" i="41" a="1"/>
  <c r="L20" i="41" s="1"/>
  <c r="AM19" i="41" a="1"/>
  <c r="AM19" i="41" s="1"/>
  <c r="AE19" i="41" a="1"/>
  <c r="AE19" i="41" s="1"/>
  <c r="W19" i="41" a="1"/>
  <c r="W19" i="41" s="1"/>
  <c r="O19" i="41" a="1"/>
  <c r="O19" i="41" s="1"/>
  <c r="AR17" i="41" a="1"/>
  <c r="AR17" i="41" s="1"/>
  <c r="AH17" i="41" a="1"/>
  <c r="AH17" i="41" s="1"/>
  <c r="Z17" i="41" a="1"/>
  <c r="Z17" i="41" s="1"/>
  <c r="R17" i="41" a="1"/>
  <c r="R17" i="41" s="1"/>
  <c r="J17" i="41" a="1"/>
  <c r="J17" i="41" s="1"/>
  <c r="AK16" i="41" a="1"/>
  <c r="AK16" i="41" s="1"/>
  <c r="AC16" i="41" a="1"/>
  <c r="AC16" i="41" s="1"/>
  <c r="U16" i="41" a="1"/>
  <c r="U16" i="41" s="1"/>
  <c r="M16" i="41" a="1"/>
  <c r="M16" i="41" s="1"/>
  <c r="AP11" i="41" a="1"/>
  <c r="AP11" i="41" s="1"/>
  <c r="AF11" i="41" a="1"/>
  <c r="AF11" i="41" s="1"/>
  <c r="X11" i="41" a="1"/>
  <c r="X11" i="41" s="1"/>
  <c r="P11" i="41" a="1"/>
  <c r="P11" i="41" s="1"/>
  <c r="AS10" i="41" a="1"/>
  <c r="AS10" i="41" s="1"/>
  <c r="AI10" i="41" a="1"/>
  <c r="AI10" i="41" s="1"/>
  <c r="AA10" i="41" a="1"/>
  <c r="AA10" i="41" s="1"/>
  <c r="AB65" i="41" a="1"/>
  <c r="AB65" i="41" s="1"/>
  <c r="Q65" i="41" a="1"/>
  <c r="Q65" i="41" s="1"/>
  <c r="AT64" i="41" a="1"/>
  <c r="AT64" i="41" s="1"/>
  <c r="AJ64" i="41" a="1"/>
  <c r="AJ64" i="41" s="1"/>
  <c r="AB64" i="41" a="1"/>
  <c r="AB64" i="41" s="1"/>
  <c r="T64" i="41" a="1"/>
  <c r="T64" i="41" s="1"/>
  <c r="L64" i="41" a="1"/>
  <c r="L64" i="41" s="1"/>
  <c r="AM62" i="41" a="1"/>
  <c r="AM62" i="41" s="1"/>
  <c r="AE62" i="41" a="1"/>
  <c r="AE62" i="41" s="1"/>
  <c r="W62" i="41" a="1"/>
  <c r="W62" i="41" s="1"/>
  <c r="O62" i="41" a="1"/>
  <c r="O62" i="41" s="1"/>
  <c r="AR61" i="41" a="1"/>
  <c r="AR61" i="41" s="1"/>
  <c r="AH61" i="41" a="1"/>
  <c r="AH61" i="41" s="1"/>
  <c r="Z61" i="41" a="1"/>
  <c r="Z61" i="41" s="1"/>
  <c r="R61" i="41" a="1"/>
  <c r="R61" i="41" s="1"/>
  <c r="J61" i="41" a="1"/>
  <c r="J61" i="41" s="1"/>
  <c r="AK59" i="41" a="1"/>
  <c r="AK59" i="41" s="1"/>
  <c r="AC59" i="41" a="1"/>
  <c r="AC59" i="41" s="1"/>
  <c r="U59" i="41" a="1"/>
  <c r="U59" i="41" s="1"/>
  <c r="M59" i="41" a="1"/>
  <c r="M59" i="41" s="1"/>
  <c r="AP58" i="41" a="1"/>
  <c r="AP58" i="41" s="1"/>
  <c r="AF58" i="41" a="1"/>
  <c r="AF58" i="41" s="1"/>
  <c r="X58" i="41" a="1"/>
  <c r="X58" i="41" s="1"/>
  <c r="P58" i="41" a="1"/>
  <c r="P58" i="41" s="1"/>
  <c r="AS56" i="41" a="1"/>
  <c r="AS56" i="41" s="1"/>
  <c r="AI56" i="41" a="1"/>
  <c r="AI56" i="41" s="1"/>
  <c r="AA56" i="41" a="1"/>
  <c r="AA56" i="41" s="1"/>
  <c r="S56" i="41" a="1"/>
  <c r="S56" i="41" s="1"/>
  <c r="K56" i="41" a="1"/>
  <c r="K56" i="41" s="1"/>
  <c r="AL55" i="41" a="1"/>
  <c r="AL55" i="41" s="1"/>
  <c r="AD55" i="41" a="1"/>
  <c r="AD55" i="41" s="1"/>
  <c r="V55" i="41" a="1"/>
  <c r="V55" i="41" s="1"/>
  <c r="N55" i="41" a="1"/>
  <c r="N55" i="41" s="1"/>
  <c r="AQ53" i="41" a="1"/>
  <c r="AQ53" i="41" s="1"/>
  <c r="AG53" i="41" a="1"/>
  <c r="AG53" i="41" s="1"/>
  <c r="Y53" i="41" a="1"/>
  <c r="Y53" i="41" s="1"/>
  <c r="Q53" i="41" a="1"/>
  <c r="Q53" i="41" s="1"/>
  <c r="AT52" i="41" a="1"/>
  <c r="AT52" i="41" s="1"/>
  <c r="AJ52" i="41" a="1"/>
  <c r="AJ52" i="41" s="1"/>
  <c r="AB52" i="41" a="1"/>
  <c r="AB52" i="41" s="1"/>
  <c r="T52" i="41" a="1"/>
  <c r="T52" i="41" s="1"/>
  <c r="L52" i="41" a="1"/>
  <c r="L52" i="41" s="1"/>
  <c r="AM50" i="41" a="1"/>
  <c r="AM50" i="41" s="1"/>
  <c r="AE50" i="41" a="1"/>
  <c r="AE50" i="41" s="1"/>
  <c r="W50" i="41" a="1"/>
  <c r="W50" i="41" s="1"/>
  <c r="O50" i="41" a="1"/>
  <c r="O50" i="41" s="1"/>
  <c r="AR49" i="41" a="1"/>
  <c r="AR49" i="41" s="1"/>
  <c r="AH49" i="41" a="1"/>
  <c r="AH49" i="41" s="1"/>
  <c r="Z49" i="41" a="1"/>
  <c r="Z49" i="41" s="1"/>
  <c r="R49" i="41" a="1"/>
  <c r="R49" i="41" s="1"/>
  <c r="J49" i="41" a="1"/>
  <c r="J49" i="41" s="1"/>
  <c r="AK47" i="41" a="1"/>
  <c r="AK47" i="41" s="1"/>
  <c r="AC47" i="41" a="1"/>
  <c r="AC47" i="41" s="1"/>
  <c r="U47" i="41" a="1"/>
  <c r="U47" i="41" s="1"/>
  <c r="M47" i="41" a="1"/>
  <c r="M47" i="41" s="1"/>
  <c r="AP46" i="41" a="1"/>
  <c r="AP46" i="41" s="1"/>
  <c r="AF46" i="41" a="1"/>
  <c r="AF46" i="41" s="1"/>
  <c r="X46" i="41" a="1"/>
  <c r="X46" i="41" s="1"/>
  <c r="P46" i="41" a="1"/>
  <c r="P46" i="41" s="1"/>
  <c r="AS44" i="41" a="1"/>
  <c r="AS44" i="41" s="1"/>
  <c r="AI44" i="41" a="1"/>
  <c r="AI44" i="41" s="1"/>
  <c r="AA44" i="41" a="1"/>
  <c r="AA44" i="41" s="1"/>
  <c r="S44" i="41" a="1"/>
  <c r="S44" i="41" s="1"/>
  <c r="K44" i="41" a="1"/>
  <c r="K44" i="41" s="1"/>
  <c r="AL43" i="41" a="1"/>
  <c r="AL43" i="41" s="1"/>
  <c r="AD43" i="41" a="1"/>
  <c r="AD43" i="41" s="1"/>
  <c r="V43" i="41" a="1"/>
  <c r="V43" i="41" s="1"/>
  <c r="N43" i="41" a="1"/>
  <c r="N43" i="41" s="1"/>
  <c r="AQ41" i="41" a="1"/>
  <c r="AQ41" i="41" s="1"/>
  <c r="AG41" i="41" a="1"/>
  <c r="AG41" i="41" s="1"/>
  <c r="Y41" i="41" a="1"/>
  <c r="Y41" i="41" s="1"/>
  <c r="Q41" i="41" a="1"/>
  <c r="Q41" i="41" s="1"/>
  <c r="AT40" i="41" a="1"/>
  <c r="AT40" i="41" s="1"/>
  <c r="AJ40" i="41" a="1"/>
  <c r="AJ40" i="41" s="1"/>
  <c r="AB40" i="41" a="1"/>
  <c r="AB40" i="41" s="1"/>
  <c r="T40" i="41" a="1"/>
  <c r="T40" i="41" s="1"/>
  <c r="L40" i="41" a="1"/>
  <c r="L40" i="41" s="1"/>
  <c r="AM38" i="41" a="1"/>
  <c r="AM38" i="41" s="1"/>
  <c r="AE38" i="41" a="1"/>
  <c r="AE38" i="41" s="1"/>
  <c r="W38" i="41" a="1"/>
  <c r="W38" i="41" s="1"/>
  <c r="O38" i="41" a="1"/>
  <c r="O38" i="41" s="1"/>
  <c r="AR37" i="41" a="1"/>
  <c r="AR37" i="41" s="1"/>
  <c r="AH37" i="41" a="1"/>
  <c r="AH37" i="41" s="1"/>
  <c r="Z37" i="41" a="1"/>
  <c r="Z37" i="41" s="1"/>
  <c r="R37" i="41" a="1"/>
  <c r="R37" i="41" s="1"/>
  <c r="J37" i="41" a="1"/>
  <c r="J37" i="41" s="1"/>
  <c r="AK35" i="41" a="1"/>
  <c r="AK35" i="41" s="1"/>
  <c r="AC35" i="41" a="1"/>
  <c r="AC35" i="41" s="1"/>
  <c r="U35" i="41" a="1"/>
  <c r="U35" i="41" s="1"/>
  <c r="M35" i="41" a="1"/>
  <c r="M35" i="41" s="1"/>
  <c r="AP34" i="41" a="1"/>
  <c r="AP34" i="41" s="1"/>
  <c r="AF34" i="41" a="1"/>
  <c r="AF34" i="41" s="1"/>
  <c r="X34" i="41" a="1"/>
  <c r="X34" i="41" s="1"/>
  <c r="P34" i="41" a="1"/>
  <c r="P34" i="41" s="1"/>
  <c r="AS32" i="41" a="1"/>
  <c r="AS32" i="41" s="1"/>
  <c r="AI32" i="41" a="1"/>
  <c r="AI32" i="41" s="1"/>
  <c r="AA32" i="41" a="1"/>
  <c r="AA32" i="41" s="1"/>
  <c r="S32" i="41" a="1"/>
  <c r="S32" i="41" s="1"/>
  <c r="K32" i="41" a="1"/>
  <c r="K32" i="41" s="1"/>
  <c r="AL31" i="41" a="1"/>
  <c r="AL31" i="41" s="1"/>
  <c r="AD31" i="41" a="1"/>
  <c r="AD31" i="41" s="1"/>
  <c r="V31" i="41" a="1"/>
  <c r="V31" i="41" s="1"/>
  <c r="N31" i="41" a="1"/>
  <c r="N31" i="41" s="1"/>
  <c r="AQ29" i="41" a="1"/>
  <c r="AQ29" i="41" s="1"/>
  <c r="AG29" i="41" a="1"/>
  <c r="AG29" i="41" s="1"/>
  <c r="Y29" i="41" a="1"/>
  <c r="Y29" i="41" s="1"/>
  <c r="Q29" i="41" a="1"/>
  <c r="Q29" i="41" s="1"/>
  <c r="AT28" i="41" a="1"/>
  <c r="AT28" i="41" s="1"/>
  <c r="AJ28" i="41" a="1"/>
  <c r="AJ28" i="41" s="1"/>
  <c r="AB28" i="41" a="1"/>
  <c r="AB28" i="41" s="1"/>
  <c r="T28" i="41" a="1"/>
  <c r="T28" i="41" s="1"/>
  <c r="L28" i="41" a="1"/>
  <c r="L28" i="41" s="1"/>
  <c r="AM26" i="41" a="1"/>
  <c r="AM26" i="41" s="1"/>
  <c r="AE26" i="41" a="1"/>
  <c r="AE26" i="41" s="1"/>
  <c r="W26" i="41" a="1"/>
  <c r="W26" i="41" s="1"/>
  <c r="O26" i="41" a="1"/>
  <c r="O26" i="41" s="1"/>
  <c r="AR25" i="41" a="1"/>
  <c r="AR25" i="41" s="1"/>
  <c r="AH25" i="41" a="1"/>
  <c r="AH25" i="41" s="1"/>
  <c r="Z25" i="41" a="1"/>
  <c r="Z25" i="41" s="1"/>
  <c r="R25" i="41" a="1"/>
  <c r="R25" i="41" s="1"/>
  <c r="J25" i="41" a="1"/>
  <c r="J25" i="41" s="1"/>
  <c r="AK23" i="41" a="1"/>
  <c r="AK23" i="41" s="1"/>
  <c r="AC23" i="41" a="1"/>
  <c r="AC23" i="41" s="1"/>
  <c r="U23" i="41" a="1"/>
  <c r="U23" i="41" s="1"/>
  <c r="M23" i="41" a="1"/>
  <c r="M23" i="41" s="1"/>
  <c r="AP22" i="41" a="1"/>
  <c r="AP22" i="41" s="1"/>
  <c r="AF22" i="41" a="1"/>
  <c r="AF22" i="41" s="1"/>
  <c r="X22" i="41" a="1"/>
  <c r="X22" i="41" s="1"/>
  <c r="P22" i="41" a="1"/>
  <c r="P22" i="41" s="1"/>
  <c r="AS20" i="41" a="1"/>
  <c r="AS20" i="41" s="1"/>
  <c r="AI20" i="41" a="1"/>
  <c r="AI20" i="41" s="1"/>
  <c r="AA20" i="41" a="1"/>
  <c r="AA20" i="41" s="1"/>
  <c r="S20" i="41" a="1"/>
  <c r="S20" i="41" s="1"/>
  <c r="K20" i="41" a="1"/>
  <c r="K20" i="41" s="1"/>
  <c r="AL19" i="41" a="1"/>
  <c r="AL19" i="41" s="1"/>
  <c r="AD19" i="41" a="1"/>
  <c r="AD19" i="41" s="1"/>
  <c r="V19" i="41" a="1"/>
  <c r="V19" i="41" s="1"/>
  <c r="N19" i="41" a="1"/>
  <c r="N19" i="41" s="1"/>
  <c r="AQ17" i="41" a="1"/>
  <c r="AQ17" i="41" s="1"/>
  <c r="AG17" i="41" a="1"/>
  <c r="AG17" i="41" s="1"/>
  <c r="Y17" i="41" a="1"/>
  <c r="Y17" i="41" s="1"/>
  <c r="Q17" i="41" a="1"/>
  <c r="Q17" i="41" s="1"/>
  <c r="AT16" i="41" a="1"/>
  <c r="AT16" i="41" s="1"/>
  <c r="AJ16" i="41" a="1"/>
  <c r="AJ16" i="41" s="1"/>
  <c r="AB16" i="41" a="1"/>
  <c r="AB16" i="41" s="1"/>
  <c r="T16" i="41" a="1"/>
  <c r="T16" i="41" s="1"/>
  <c r="L16" i="41" a="1"/>
  <c r="L16" i="41" s="1"/>
  <c r="AM11" i="41" a="1"/>
  <c r="AM11" i="41" s="1"/>
  <c r="AE11" i="41" a="1"/>
  <c r="AE11" i="41" s="1"/>
  <c r="W11" i="41" a="1"/>
  <c r="W11" i="41" s="1"/>
  <c r="O11" i="41" a="1"/>
  <c r="O11" i="41" s="1"/>
  <c r="AR10" i="41" a="1"/>
  <c r="AR10" i="41" s="1"/>
  <c r="AH10" i="41" a="1"/>
  <c r="AH10" i="41" s="1"/>
  <c r="Z10" i="41" a="1"/>
  <c r="Z10" i="41" s="1"/>
  <c r="R10" i="41" a="1"/>
  <c r="R10" i="41" s="1"/>
  <c r="J10" i="41" a="1"/>
  <c r="J10" i="41" s="1"/>
  <c r="AB10" i="41" a="1"/>
  <c r="AB10" i="41" s="1"/>
  <c r="AA65" i="41" a="1"/>
  <c r="AA65" i="41" s="1"/>
  <c r="P65" i="41" a="1"/>
  <c r="P65" i="41" s="1"/>
  <c r="AS64" i="41" a="1"/>
  <c r="AS64" i="41" s="1"/>
  <c r="AI64" i="41" a="1"/>
  <c r="AI64" i="41" s="1"/>
  <c r="AA64" i="41" a="1"/>
  <c r="AA64" i="41" s="1"/>
  <c r="S64" i="41" a="1"/>
  <c r="S64" i="41" s="1"/>
  <c r="K64" i="41" a="1"/>
  <c r="K64" i="41" s="1"/>
  <c r="AL62" i="41" a="1"/>
  <c r="AL62" i="41" s="1"/>
  <c r="AD62" i="41" a="1"/>
  <c r="AD62" i="41" s="1"/>
  <c r="V62" i="41" a="1"/>
  <c r="V62" i="41" s="1"/>
  <c r="N62" i="41" a="1"/>
  <c r="N62" i="41" s="1"/>
  <c r="AQ61" i="41" a="1"/>
  <c r="AQ61" i="41" s="1"/>
  <c r="AG61" i="41" a="1"/>
  <c r="AG61" i="41" s="1"/>
  <c r="Y61" i="41" a="1"/>
  <c r="Y61" i="41" s="1"/>
  <c r="Q61" i="41" a="1"/>
  <c r="Q61" i="41" s="1"/>
  <c r="AT59" i="41" a="1"/>
  <c r="AT59" i="41" s="1"/>
  <c r="AJ59" i="41" a="1"/>
  <c r="AJ59" i="41" s="1"/>
  <c r="AB59" i="41" a="1"/>
  <c r="AB59" i="41" s="1"/>
  <c r="T59" i="41" a="1"/>
  <c r="T59" i="41" s="1"/>
  <c r="L59" i="41" a="1"/>
  <c r="L59" i="41" s="1"/>
  <c r="AM58" i="41" a="1"/>
  <c r="AM58" i="41" s="1"/>
  <c r="AE58" i="41" a="1"/>
  <c r="AE58" i="41" s="1"/>
  <c r="W58" i="41" a="1"/>
  <c r="W58" i="41" s="1"/>
  <c r="O58" i="41" a="1"/>
  <c r="O58" i="41" s="1"/>
  <c r="AR56" i="41" a="1"/>
  <c r="AR56" i="41" s="1"/>
  <c r="AH56" i="41" a="1"/>
  <c r="AH56" i="41" s="1"/>
  <c r="Z56" i="41" a="1"/>
  <c r="Z56" i="41" s="1"/>
  <c r="R56" i="41" a="1"/>
  <c r="R56" i="41" s="1"/>
  <c r="J56" i="41" a="1"/>
  <c r="J56" i="41" s="1"/>
  <c r="AK55" i="41" a="1"/>
  <c r="AK55" i="41" s="1"/>
  <c r="AC55" i="41" a="1"/>
  <c r="AC55" i="41" s="1"/>
  <c r="U55" i="41" a="1"/>
  <c r="U55" i="41" s="1"/>
  <c r="M55" i="41" a="1"/>
  <c r="M55" i="41" s="1"/>
  <c r="AP53" i="41" a="1"/>
  <c r="AP53" i="41" s="1"/>
  <c r="AF53" i="41" a="1"/>
  <c r="AF53" i="41" s="1"/>
  <c r="X53" i="41" a="1"/>
  <c r="X53" i="41" s="1"/>
  <c r="P53" i="41" a="1"/>
  <c r="P53" i="41" s="1"/>
  <c r="AS52" i="41" a="1"/>
  <c r="AS52" i="41" s="1"/>
  <c r="AI52" i="41" a="1"/>
  <c r="AI52" i="41" s="1"/>
  <c r="AA52" i="41" a="1"/>
  <c r="AA52" i="41" s="1"/>
  <c r="S52" i="41" a="1"/>
  <c r="S52" i="41" s="1"/>
  <c r="K52" i="41" a="1"/>
  <c r="K52" i="41" s="1"/>
  <c r="AL50" i="41" a="1"/>
  <c r="AL50" i="41" s="1"/>
  <c r="AD50" i="41" a="1"/>
  <c r="AD50" i="41" s="1"/>
  <c r="V50" i="41" a="1"/>
  <c r="V50" i="41" s="1"/>
  <c r="N50" i="41" a="1"/>
  <c r="N50" i="41" s="1"/>
  <c r="AQ49" i="41" a="1"/>
  <c r="AQ49" i="41" s="1"/>
  <c r="AG49" i="41" a="1"/>
  <c r="AG49" i="41" s="1"/>
  <c r="Y49" i="41" a="1"/>
  <c r="Y49" i="41" s="1"/>
  <c r="Q49" i="41" a="1"/>
  <c r="Q49" i="41" s="1"/>
  <c r="AT47" i="41" a="1"/>
  <c r="AT47" i="41" s="1"/>
  <c r="AJ47" i="41" a="1"/>
  <c r="AJ47" i="41" s="1"/>
  <c r="AB47" i="41" a="1"/>
  <c r="AB47" i="41" s="1"/>
  <c r="T47" i="41" a="1"/>
  <c r="T47" i="41" s="1"/>
  <c r="L47" i="41" a="1"/>
  <c r="L47" i="41" s="1"/>
  <c r="AM46" i="41" a="1"/>
  <c r="AM46" i="41" s="1"/>
  <c r="AE46" i="41" a="1"/>
  <c r="AE46" i="41" s="1"/>
  <c r="W46" i="41" a="1"/>
  <c r="W46" i="41" s="1"/>
  <c r="O46" i="41" a="1"/>
  <c r="O46" i="41" s="1"/>
  <c r="AR44" i="41" a="1"/>
  <c r="AR44" i="41" s="1"/>
  <c r="AH44" i="41" a="1"/>
  <c r="AH44" i="41" s="1"/>
  <c r="Z44" i="41" a="1"/>
  <c r="Z44" i="41" s="1"/>
  <c r="R44" i="41" a="1"/>
  <c r="R44" i="41" s="1"/>
  <c r="J44" i="41" a="1"/>
  <c r="J44" i="41" s="1"/>
  <c r="AK43" i="41" a="1"/>
  <c r="AK43" i="41" s="1"/>
  <c r="AC43" i="41" a="1"/>
  <c r="AC43" i="41" s="1"/>
  <c r="U43" i="41" a="1"/>
  <c r="U43" i="41" s="1"/>
  <c r="M43" i="41" a="1"/>
  <c r="M43" i="41" s="1"/>
  <c r="AP41" i="41" a="1"/>
  <c r="AP41" i="41" s="1"/>
  <c r="AF41" i="41" a="1"/>
  <c r="AF41" i="41" s="1"/>
  <c r="X41" i="41" a="1"/>
  <c r="X41" i="41" s="1"/>
  <c r="P41" i="41" a="1"/>
  <c r="P41" i="41" s="1"/>
  <c r="AS40" i="41" a="1"/>
  <c r="AS40" i="41" s="1"/>
  <c r="AI40" i="41" a="1"/>
  <c r="AI40" i="41" s="1"/>
  <c r="AA40" i="41" a="1"/>
  <c r="AA40" i="41" s="1"/>
  <c r="S40" i="41" a="1"/>
  <c r="S40" i="41" s="1"/>
  <c r="K40" i="41" a="1"/>
  <c r="K40" i="41" s="1"/>
  <c r="AL38" i="41" a="1"/>
  <c r="AL38" i="41" s="1"/>
  <c r="AD38" i="41" a="1"/>
  <c r="AD38" i="41" s="1"/>
  <c r="V38" i="41" a="1"/>
  <c r="V38" i="41" s="1"/>
  <c r="N38" i="41" a="1"/>
  <c r="N38" i="41" s="1"/>
  <c r="AQ37" i="41" a="1"/>
  <c r="AQ37" i="41" s="1"/>
  <c r="AG37" i="41" a="1"/>
  <c r="AG37" i="41" s="1"/>
  <c r="Y37" i="41" a="1"/>
  <c r="Y37" i="41" s="1"/>
  <c r="Q37" i="41" a="1"/>
  <c r="Q37" i="41" s="1"/>
  <c r="AT35" i="41" a="1"/>
  <c r="AT35" i="41" s="1"/>
  <c r="AJ35" i="41" a="1"/>
  <c r="AJ35" i="41" s="1"/>
  <c r="AB35" i="41" a="1"/>
  <c r="AB35" i="41" s="1"/>
  <c r="T35" i="41" a="1"/>
  <c r="T35" i="41" s="1"/>
  <c r="L35" i="41" a="1"/>
  <c r="L35" i="41" s="1"/>
  <c r="AM34" i="41" a="1"/>
  <c r="AM34" i="41" s="1"/>
  <c r="AE34" i="41" a="1"/>
  <c r="AE34" i="41" s="1"/>
  <c r="W34" i="41" a="1"/>
  <c r="W34" i="41" s="1"/>
  <c r="O34" i="41" a="1"/>
  <c r="O34" i="41" s="1"/>
  <c r="AR32" i="41" a="1"/>
  <c r="AR32" i="41" s="1"/>
  <c r="AH32" i="41" a="1"/>
  <c r="AH32" i="41" s="1"/>
  <c r="Z32" i="41" a="1"/>
  <c r="Z32" i="41" s="1"/>
  <c r="R32" i="41" a="1"/>
  <c r="R32" i="41" s="1"/>
  <c r="J32" i="41" a="1"/>
  <c r="J32" i="41" s="1"/>
  <c r="AK31" i="41" a="1"/>
  <c r="AK31" i="41" s="1"/>
  <c r="AC31" i="41" a="1"/>
  <c r="AC31" i="41" s="1"/>
  <c r="U31" i="41" a="1"/>
  <c r="U31" i="41" s="1"/>
  <c r="M31" i="41" a="1"/>
  <c r="M31" i="41" s="1"/>
  <c r="AP29" i="41" a="1"/>
  <c r="AP29" i="41" s="1"/>
  <c r="AF29" i="41" a="1"/>
  <c r="AF29" i="41" s="1"/>
  <c r="X29" i="41" a="1"/>
  <c r="X29" i="41" s="1"/>
  <c r="P29" i="41" a="1"/>
  <c r="P29" i="41" s="1"/>
  <c r="AS28" i="41" a="1"/>
  <c r="AS28" i="41" s="1"/>
  <c r="AI28" i="41" a="1"/>
  <c r="AI28" i="41" s="1"/>
  <c r="AA28" i="41" a="1"/>
  <c r="AA28" i="41" s="1"/>
  <c r="S28" i="41" a="1"/>
  <c r="S28" i="41" s="1"/>
  <c r="K28" i="41" a="1"/>
  <c r="K28" i="41" s="1"/>
  <c r="AL26" i="41" a="1"/>
  <c r="AL26" i="41" s="1"/>
  <c r="AD26" i="41" a="1"/>
  <c r="AD26" i="41" s="1"/>
  <c r="V26" i="41" a="1"/>
  <c r="V26" i="41" s="1"/>
  <c r="N26" i="41" a="1"/>
  <c r="N26" i="41" s="1"/>
  <c r="AQ25" i="41" a="1"/>
  <c r="AQ25" i="41" s="1"/>
  <c r="AG25" i="41" a="1"/>
  <c r="AG25" i="41" s="1"/>
  <c r="Y25" i="41" a="1"/>
  <c r="Y25" i="41" s="1"/>
  <c r="Q25" i="41" a="1"/>
  <c r="Q25" i="41" s="1"/>
  <c r="AT23" i="41" a="1"/>
  <c r="AT23" i="41" s="1"/>
  <c r="AJ23" i="41" a="1"/>
  <c r="AJ23" i="41" s="1"/>
  <c r="AB23" i="41" a="1"/>
  <c r="AB23" i="41" s="1"/>
  <c r="T23" i="41" a="1"/>
  <c r="T23" i="41" s="1"/>
  <c r="L23" i="41" a="1"/>
  <c r="L23" i="41" s="1"/>
  <c r="AM22" i="41" a="1"/>
  <c r="AM22" i="41" s="1"/>
  <c r="AE22" i="41" a="1"/>
  <c r="AE22" i="41" s="1"/>
  <c r="W22" i="41" a="1"/>
  <c r="W22" i="41" s="1"/>
  <c r="O22" i="41" a="1"/>
  <c r="O22" i="41" s="1"/>
  <c r="AR20" i="41" a="1"/>
  <c r="AR20" i="41" s="1"/>
  <c r="AH20" i="41" a="1"/>
  <c r="AH20" i="41" s="1"/>
  <c r="Z20" i="41" a="1"/>
  <c r="Z20" i="41" s="1"/>
  <c r="R20" i="41" a="1"/>
  <c r="R20" i="41" s="1"/>
  <c r="J20" i="41" a="1"/>
  <c r="J20" i="41" s="1"/>
  <c r="AK19" i="41" a="1"/>
  <c r="AK19" i="41" s="1"/>
  <c r="AC19" i="41" a="1"/>
  <c r="AC19" i="41" s="1"/>
  <c r="U19" i="41" a="1"/>
  <c r="U19" i="41" s="1"/>
  <c r="M19" i="41" a="1"/>
  <c r="M19" i="41" s="1"/>
  <c r="AP17" i="41" a="1"/>
  <c r="AP17" i="41" s="1"/>
  <c r="AF17" i="41" a="1"/>
  <c r="AF17" i="41" s="1"/>
  <c r="X17" i="41" a="1"/>
  <c r="X17" i="41" s="1"/>
  <c r="P17" i="41" a="1"/>
  <c r="P17" i="41" s="1"/>
  <c r="AS16" i="41" a="1"/>
  <c r="AS16" i="41" s="1"/>
  <c r="AI16" i="41" a="1"/>
  <c r="AI16" i="41" s="1"/>
  <c r="AA16" i="41" a="1"/>
  <c r="AA16" i="41" s="1"/>
  <c r="S16" i="41" a="1"/>
  <c r="S16" i="41" s="1"/>
  <c r="K16" i="41" a="1"/>
  <c r="K16" i="41" s="1"/>
  <c r="AL11" i="41" a="1"/>
  <c r="AL11" i="41" s="1"/>
  <c r="AD11" i="41" a="1"/>
  <c r="AD11" i="41" s="1"/>
  <c r="V11" i="41" a="1"/>
  <c r="V11" i="41" s="1"/>
  <c r="N11" i="41" a="1"/>
  <c r="N11" i="41" s="1"/>
  <c r="AQ10" i="41" a="1"/>
  <c r="AQ10" i="41" s="1"/>
  <c r="AG10" i="41" a="1"/>
  <c r="AG10" i="41" s="1"/>
  <c r="Y10" i="41" a="1"/>
  <c r="Y10" i="41" s="1"/>
  <c r="Q10" i="41" a="1"/>
  <c r="Q10" i="41" s="1"/>
  <c r="X10" i="41" a="1"/>
  <c r="X10" i="41" s="1"/>
  <c r="N10" i="41" a="1"/>
  <c r="N10" i="41" s="1"/>
  <c r="R9" i="42"/>
  <c r="AH21" i="42"/>
  <c r="R24" i="42"/>
  <c r="AH33" i="42"/>
  <c r="R36" i="42"/>
  <c r="AH45" i="42"/>
  <c r="R48" i="42"/>
  <c r="AQ15" i="42"/>
  <c r="AA18" i="42"/>
  <c r="K21" i="42"/>
  <c r="AQ27" i="42"/>
  <c r="AA30" i="42"/>
  <c r="K33" i="42"/>
  <c r="AQ39" i="42"/>
  <c r="AA42" i="42"/>
  <c r="K45" i="42"/>
  <c r="T9" i="42"/>
  <c r="AJ21" i="42"/>
  <c r="T24" i="42"/>
  <c r="AJ33" i="42"/>
  <c r="T36" i="42"/>
  <c r="AJ45" i="42"/>
  <c r="T48" i="42"/>
  <c r="AC18" i="42"/>
  <c r="M21" i="42"/>
  <c r="AC30" i="42"/>
  <c r="M33" i="42"/>
  <c r="AC42" i="42"/>
  <c r="M45" i="42"/>
  <c r="AD9" i="42"/>
  <c r="N15" i="42"/>
  <c r="AD24" i="42"/>
  <c r="N27" i="42"/>
  <c r="AD36" i="42"/>
  <c r="N39" i="42"/>
  <c r="AD48" i="42"/>
  <c r="N51" i="42"/>
  <c r="AM18" i="42"/>
  <c r="W21" i="42"/>
  <c r="G24" i="42"/>
  <c r="AM30" i="42"/>
  <c r="W33" i="42"/>
  <c r="G36" i="42"/>
  <c r="AM42" i="42"/>
  <c r="W45" i="42"/>
  <c r="G48" i="42"/>
  <c r="AN9" i="42"/>
  <c r="X15" i="42"/>
  <c r="H18" i="42"/>
  <c r="AN24" i="42"/>
  <c r="X27" i="42"/>
  <c r="H30" i="42"/>
  <c r="AN36" i="42"/>
  <c r="X39" i="42"/>
  <c r="H42" i="42"/>
  <c r="AN48" i="42"/>
  <c r="X51" i="42"/>
  <c r="Q9" i="42"/>
  <c r="AG21" i="42"/>
  <c r="Q24" i="42"/>
  <c r="AG33" i="42"/>
  <c r="Q36" i="42"/>
  <c r="AG45" i="42"/>
  <c r="Q48" i="42"/>
  <c r="AE57" i="42"/>
  <c r="O60" i="42"/>
  <c r="N72" i="42"/>
  <c r="AD81" i="42"/>
  <c r="N84" i="42"/>
  <c r="AC93" i="42"/>
  <c r="M96" i="42"/>
  <c r="AN54" i="42"/>
  <c r="X57" i="42"/>
  <c r="H60" i="42"/>
  <c r="AN66" i="42"/>
  <c r="G72" i="42"/>
  <c r="AM78" i="42"/>
  <c r="W81" i="42"/>
  <c r="G84" i="42"/>
  <c r="AM90" i="42"/>
  <c r="V93" i="42"/>
  <c r="F96" i="42"/>
  <c r="AL102" i="42"/>
  <c r="Q54" i="42"/>
  <c r="AG63" i="42"/>
  <c r="Q66" i="42"/>
  <c r="AF75" i="42"/>
  <c r="P78" i="42"/>
  <c r="AF87" i="42"/>
  <c r="P90" i="42"/>
  <c r="AE99" i="42"/>
  <c r="O102" i="42"/>
  <c r="AH60" i="42"/>
  <c r="R63" i="42"/>
  <c r="AG72" i="42"/>
  <c r="Q75" i="42"/>
  <c r="AG84" i="42"/>
  <c r="Q87" i="42"/>
  <c r="AF96" i="42"/>
  <c r="P99" i="42"/>
  <c r="AQ54" i="42"/>
  <c r="AA57" i="42"/>
  <c r="K60" i="42"/>
  <c r="AQ66" i="42"/>
  <c r="J72" i="42"/>
  <c r="AP78" i="42"/>
  <c r="Z81" i="42"/>
  <c r="J84" i="42"/>
  <c r="AP90" i="42"/>
  <c r="Y93" i="42"/>
  <c r="I96" i="42"/>
  <c r="AO102" i="42"/>
  <c r="AB54" i="42"/>
  <c r="V69" i="42"/>
  <c r="BX261" i="4"/>
  <c r="BY261" i="4"/>
  <c r="CA261" i="4" a="1"/>
  <c r="CA261" i="4" s="1"/>
  <c r="BX24" i="4"/>
  <c r="BY24" i="4"/>
  <c r="CA24" i="4" a="1"/>
  <c r="CA24" i="4" s="1"/>
  <c r="BX184" i="4"/>
  <c r="BY184" i="4"/>
  <c r="CA184" i="4" a="1"/>
  <c r="CA184" i="4" s="1"/>
  <c r="BX265" i="4"/>
  <c r="BY265" i="4"/>
  <c r="CA265" i="4" a="1"/>
  <c r="CA265" i="4" s="1"/>
  <c r="BY111" i="4"/>
  <c r="BX111" i="4"/>
  <c r="CA111" i="4" a="1"/>
  <c r="CA111" i="4" s="1"/>
  <c r="BX193" i="4"/>
  <c r="BY193" i="4"/>
  <c r="CA193" i="4" a="1"/>
  <c r="CA193" i="4" s="1"/>
  <c r="BX252" i="4"/>
  <c r="BY252" i="4"/>
  <c r="CA252" i="4" a="1"/>
  <c r="CA252" i="4" s="1"/>
  <c r="BX33" i="4"/>
  <c r="BY33" i="4"/>
  <c r="CA33" i="4" a="1"/>
  <c r="CA33" i="4" s="1"/>
  <c r="BX142" i="4"/>
  <c r="BY142" i="4"/>
  <c r="CA142" i="4" a="1"/>
  <c r="CA142" i="4" s="1"/>
  <c r="BX225" i="4"/>
  <c r="BY225" i="4"/>
  <c r="CA225" i="4" a="1"/>
  <c r="CA225" i="4" s="1"/>
  <c r="BX10" i="4"/>
  <c r="BY10" i="4"/>
  <c r="CA10" i="4" a="1"/>
  <c r="CA10" i="4" s="1"/>
  <c r="BX175" i="4"/>
  <c r="BY175" i="4"/>
  <c r="CA175" i="4" a="1"/>
  <c r="CA175" i="4" s="1"/>
  <c r="BX228" i="4"/>
  <c r="BY228" i="4"/>
  <c r="CA228" i="4" a="1"/>
  <c r="CA228" i="4" s="1"/>
  <c r="BX164" i="4"/>
  <c r="BY164" i="4"/>
  <c r="CA164" i="4" a="1"/>
  <c r="CA164" i="4" s="1"/>
  <c r="BX100" i="4"/>
  <c r="BY100" i="4"/>
  <c r="CA100" i="4" a="1"/>
  <c r="CA100" i="4" s="1"/>
  <c r="BX36" i="4"/>
  <c r="BY36" i="4"/>
  <c r="CA36" i="4" a="1"/>
  <c r="CA36" i="4" s="1"/>
  <c r="BX214" i="4"/>
  <c r="BY214" i="4"/>
  <c r="CA214" i="4" a="1"/>
  <c r="CA214" i="4" s="1"/>
  <c r="BX150" i="4"/>
  <c r="BY150" i="4"/>
  <c r="CA150" i="4" a="1"/>
  <c r="CA150" i="4" s="1"/>
  <c r="BX86" i="4"/>
  <c r="BY86" i="4"/>
  <c r="CA86" i="4" a="1"/>
  <c r="CA86" i="4" s="1"/>
  <c r="BX22" i="4"/>
  <c r="BY22" i="4"/>
  <c r="CA22" i="4" a="1"/>
  <c r="CA22" i="4" s="1"/>
  <c r="BX213" i="4"/>
  <c r="BY213" i="4"/>
  <c r="CA213" i="4" a="1"/>
  <c r="CA213" i="4" s="1"/>
  <c r="BX149" i="4"/>
  <c r="BY149" i="4"/>
  <c r="CA149" i="4" a="1"/>
  <c r="CA149" i="4" s="1"/>
  <c r="BX85" i="4"/>
  <c r="BY85" i="4"/>
  <c r="CA85" i="4" a="1"/>
  <c r="CA85" i="4" s="1"/>
  <c r="BX21" i="4"/>
  <c r="BY21" i="4"/>
  <c r="CA21" i="4" a="1"/>
  <c r="CA21" i="4" s="1"/>
  <c r="BX190" i="4"/>
  <c r="BY190" i="4"/>
  <c r="CA190" i="4" a="1"/>
  <c r="CA190" i="4" s="1"/>
  <c r="BX126" i="4"/>
  <c r="BY126" i="4"/>
  <c r="CA126" i="4" a="1"/>
  <c r="CA126" i="4" s="1"/>
  <c r="BX62" i="4"/>
  <c r="BY62" i="4"/>
  <c r="CA62" i="4" a="1"/>
  <c r="CA62" i="4" s="1"/>
  <c r="BX276" i="4"/>
  <c r="BY276" i="4"/>
  <c r="CA276" i="4" a="1"/>
  <c r="CA276" i="4" s="1"/>
  <c r="BX212" i="4"/>
  <c r="BY212" i="4"/>
  <c r="CA212" i="4" a="1"/>
  <c r="CA212" i="4" s="1"/>
  <c r="BX148" i="4"/>
  <c r="BY148" i="4"/>
  <c r="CA148" i="4" a="1"/>
  <c r="CA148" i="4" s="1"/>
  <c r="BX84" i="4"/>
  <c r="BY84" i="4"/>
  <c r="CA84" i="4" a="1"/>
  <c r="CA84" i="4" s="1"/>
  <c r="BX20" i="4"/>
  <c r="BY20" i="4"/>
  <c r="CA20" i="4" a="1"/>
  <c r="CA20" i="4" s="1"/>
  <c r="BX124" i="4"/>
  <c r="BY124" i="4"/>
  <c r="CA124" i="4" a="1"/>
  <c r="CA124" i="4" s="1"/>
  <c r="BX60" i="4"/>
  <c r="BY60" i="4"/>
  <c r="CA60" i="4" a="1"/>
  <c r="CA60" i="4" s="1"/>
  <c r="Z9" i="42"/>
  <c r="J15" i="42"/>
  <c r="AP21" i="42"/>
  <c r="Z24" i="42"/>
  <c r="J27" i="42"/>
  <c r="AP33" i="42"/>
  <c r="Z36" i="42"/>
  <c r="J39" i="42"/>
  <c r="AP45" i="42"/>
  <c r="Z48" i="42"/>
  <c r="J51" i="42"/>
  <c r="AI18" i="42"/>
  <c r="S21" i="42"/>
  <c r="AI30" i="42"/>
  <c r="S33" i="42"/>
  <c r="AI42" i="42"/>
  <c r="S45" i="42"/>
  <c r="AB9" i="42"/>
  <c r="L15" i="42"/>
  <c r="AR21" i="42"/>
  <c r="AB24" i="42"/>
  <c r="L27" i="42"/>
  <c r="AR33" i="42"/>
  <c r="AB36" i="42"/>
  <c r="L39" i="42"/>
  <c r="AR45" i="42"/>
  <c r="AB48" i="42"/>
  <c r="L51" i="42"/>
  <c r="AK18" i="42"/>
  <c r="U21" i="42"/>
  <c r="E24" i="42"/>
  <c r="AK30" i="42"/>
  <c r="U33" i="42"/>
  <c r="E36" i="42"/>
  <c r="AK42" i="42"/>
  <c r="U45" i="42"/>
  <c r="E48" i="42"/>
  <c r="AL9" i="42"/>
  <c r="V15" i="42"/>
  <c r="F18" i="42"/>
  <c r="AL24" i="42"/>
  <c r="V27" i="42"/>
  <c r="F30" i="42"/>
  <c r="AL36" i="42"/>
  <c r="V39" i="42"/>
  <c r="F42" i="42"/>
  <c r="AL48" i="42"/>
  <c r="V51" i="42"/>
  <c r="E9" i="42"/>
  <c r="AE21" i="42"/>
  <c r="O24" i="42"/>
  <c r="AE33" i="42"/>
  <c r="O36" i="42"/>
  <c r="AE45" i="42"/>
  <c r="O48" i="42"/>
  <c r="AF15" i="42"/>
  <c r="P18" i="42"/>
  <c r="AF27" i="42"/>
  <c r="P30" i="42"/>
  <c r="AF39" i="42"/>
  <c r="P42" i="42"/>
  <c r="AF51" i="42"/>
  <c r="Y9" i="42"/>
  <c r="I15" i="42"/>
  <c r="AO21" i="42"/>
  <c r="Y24" i="42"/>
  <c r="I27" i="42"/>
  <c r="AO33" i="42"/>
  <c r="Y36" i="42"/>
  <c r="I39" i="42"/>
  <c r="AO45" i="42"/>
  <c r="Y48" i="42"/>
  <c r="I51" i="42"/>
  <c r="AM57" i="42"/>
  <c r="W60" i="42"/>
  <c r="G63" i="42"/>
  <c r="V72" i="42"/>
  <c r="F75" i="42"/>
  <c r="AL81" i="42"/>
  <c r="V84" i="42"/>
  <c r="F87" i="42"/>
  <c r="AK93" i="42"/>
  <c r="U96" i="42"/>
  <c r="E99" i="42"/>
  <c r="AF57" i="42"/>
  <c r="P60" i="42"/>
  <c r="O72" i="42"/>
  <c r="AE81" i="42"/>
  <c r="O84" i="42"/>
  <c r="AD93" i="42"/>
  <c r="N96" i="42"/>
  <c r="Y54" i="42"/>
  <c r="I57" i="42"/>
  <c r="AO63" i="42"/>
  <c r="Y66" i="42"/>
  <c r="AN75" i="42"/>
  <c r="X78" i="42"/>
  <c r="H81" i="42"/>
  <c r="AN87" i="42"/>
  <c r="X90" i="42"/>
  <c r="G93" i="42"/>
  <c r="AM99" i="42"/>
  <c r="W102" i="42"/>
  <c r="J54" i="42"/>
  <c r="AP60" i="42"/>
  <c r="Z63" i="42"/>
  <c r="J66" i="42"/>
  <c r="AO72" i="42"/>
  <c r="Y75" i="42"/>
  <c r="I78" i="42"/>
  <c r="AO84" i="42"/>
  <c r="Y87" i="42"/>
  <c r="I90" i="42"/>
  <c r="AN96" i="42"/>
  <c r="X99" i="42"/>
  <c r="H102" i="42"/>
  <c r="AI57" i="42"/>
  <c r="S60" i="42"/>
  <c r="R72" i="42"/>
  <c r="AH81" i="42"/>
  <c r="R84" i="42"/>
  <c r="AG93" i="42"/>
  <c r="Q96" i="42"/>
  <c r="AJ54" i="42"/>
  <c r="T57" i="42"/>
  <c r="AJ66" i="42"/>
  <c r="AI78" i="42"/>
  <c r="S81" i="42"/>
  <c r="AI90" i="42"/>
  <c r="R93" i="42"/>
  <c r="AH102" i="42"/>
  <c r="E54" i="42"/>
  <c r="AK60" i="42"/>
  <c r="U63" i="42"/>
  <c r="E66" i="42"/>
  <c r="AR72" i="42"/>
  <c r="AB75" i="42"/>
  <c r="L78" i="42"/>
  <c r="AR84" i="42"/>
  <c r="AB87" i="42"/>
  <c r="L90" i="42"/>
  <c r="AQ96" i="42"/>
  <c r="AA99" i="42"/>
  <c r="K102" i="42"/>
  <c r="AD57" i="42"/>
  <c r="N60" i="42"/>
  <c r="AD69" i="42"/>
  <c r="BX224" i="4"/>
  <c r="BY224" i="4"/>
  <c r="CA224" i="4" a="1"/>
  <c r="CA224" i="4" s="1"/>
  <c r="BX282" i="4"/>
  <c r="BY282" i="4"/>
  <c r="CA282" i="4" a="1"/>
  <c r="CA282" i="4" s="1"/>
  <c r="BX169" i="4"/>
  <c r="BY169" i="4"/>
  <c r="CA169" i="4" a="1"/>
  <c r="CA169" i="4" s="1"/>
  <c r="BX260" i="4"/>
  <c r="BY260" i="4"/>
  <c r="CA260" i="4" a="1"/>
  <c r="CA260" i="4" s="1"/>
  <c r="BX56" i="4"/>
  <c r="BY56" i="4"/>
  <c r="CA56" i="4" a="1"/>
  <c r="CA56" i="4" s="1"/>
  <c r="BY183" i="4"/>
  <c r="BX183" i="4"/>
  <c r="CA183" i="4" a="1"/>
  <c r="CA183" i="4" s="1"/>
  <c r="BX229" i="4"/>
  <c r="BY229" i="4"/>
  <c r="CA229" i="4" a="1"/>
  <c r="CA229" i="4" s="1"/>
  <c r="BY15" i="4"/>
  <c r="BX15" i="4"/>
  <c r="CA15" i="4" a="1"/>
  <c r="CA15" i="4" s="1"/>
  <c r="BX105" i="4"/>
  <c r="BY105" i="4"/>
  <c r="CA105" i="4" a="1"/>
  <c r="CA105" i="4" s="1"/>
  <c r="BY215" i="4"/>
  <c r="BX215" i="4"/>
  <c r="CA215" i="4" a="1"/>
  <c r="CA215" i="4" s="1"/>
  <c r="BX278" i="4"/>
  <c r="BY278" i="4"/>
  <c r="CA278" i="4" a="1"/>
  <c r="CA278" i="4" s="1"/>
  <c r="BX137" i="4"/>
  <c r="BY137" i="4"/>
  <c r="CA137" i="4" a="1"/>
  <c r="CA137" i="4" s="1"/>
  <c r="BX219" i="4"/>
  <c r="BY219" i="4"/>
  <c r="CA219" i="4" a="1"/>
  <c r="CA219" i="4" s="1"/>
  <c r="BX155" i="4"/>
  <c r="BY155" i="4"/>
  <c r="CA155" i="4" a="1"/>
  <c r="CA155" i="4" s="1"/>
  <c r="BX91" i="4"/>
  <c r="BY91" i="4"/>
  <c r="CA91" i="4" a="1"/>
  <c r="CA91" i="4" s="1"/>
  <c r="BX27" i="4"/>
  <c r="BY27" i="4"/>
  <c r="CA27" i="4" a="1"/>
  <c r="CA27" i="4" s="1"/>
  <c r="BX209" i="4"/>
  <c r="BY209" i="4"/>
  <c r="CA209" i="4" a="1"/>
  <c r="CA209" i="4" s="1"/>
  <c r="BX145" i="4"/>
  <c r="BY145" i="4"/>
  <c r="CA145" i="4" a="1"/>
  <c r="CA145" i="4" s="1"/>
  <c r="BX81" i="4"/>
  <c r="BY81" i="4"/>
  <c r="CA81" i="4" a="1"/>
  <c r="CA81" i="4" s="1"/>
  <c r="BX17" i="4"/>
  <c r="BY17" i="4"/>
  <c r="CA17" i="4" a="1"/>
  <c r="CA17" i="4" s="1"/>
  <c r="BX204" i="4"/>
  <c r="BY204" i="4"/>
  <c r="CA204" i="4" a="1"/>
  <c r="CA204" i="4" s="1"/>
  <c r="BX140" i="4"/>
  <c r="BY140" i="4"/>
  <c r="CA140" i="4" a="1"/>
  <c r="CA140" i="4" s="1"/>
  <c r="BX76" i="4"/>
  <c r="BY76" i="4"/>
  <c r="CA76" i="4" a="1"/>
  <c r="CA76" i="4" s="1"/>
  <c r="BX249" i="4"/>
  <c r="BY249" i="4"/>
  <c r="CA249" i="4" a="1"/>
  <c r="CA249" i="4" s="1"/>
  <c r="BX185" i="4"/>
  <c r="BY185" i="4"/>
  <c r="CA185" i="4" a="1"/>
  <c r="CA185" i="4" s="1"/>
  <c r="BX121" i="4"/>
  <c r="BY121" i="4"/>
  <c r="CA121" i="4" a="1"/>
  <c r="CA121" i="4" s="1"/>
  <c r="BX57" i="4"/>
  <c r="BY57" i="4"/>
  <c r="CA57" i="4" a="1"/>
  <c r="CA57" i="4" s="1"/>
  <c r="BX267" i="4"/>
  <c r="BY267" i="4"/>
  <c r="CA267" i="4" a="1"/>
  <c r="CA267" i="4" s="1"/>
  <c r="BX203" i="4"/>
  <c r="BY203" i="4"/>
  <c r="CA203" i="4" a="1"/>
  <c r="CA203" i="4" s="1"/>
  <c r="BX139" i="4"/>
  <c r="BY139" i="4"/>
  <c r="CA139" i="4" a="1"/>
  <c r="CA139" i="4" s="1"/>
  <c r="BX75" i="4"/>
  <c r="BY75" i="4"/>
  <c r="CA75" i="4" a="1"/>
  <c r="CA75" i="4" s="1"/>
  <c r="BX178" i="4"/>
  <c r="BY178" i="4"/>
  <c r="CA178" i="4" a="1"/>
  <c r="CA178" i="4" s="1"/>
  <c r="BX115" i="4"/>
  <c r="BY115" i="4"/>
  <c r="CA115" i="4" a="1"/>
  <c r="CA115" i="4" s="1"/>
  <c r="BX51" i="4"/>
  <c r="BY51" i="4"/>
  <c r="CA51" i="4" a="1"/>
  <c r="CA51" i="4" s="1"/>
  <c r="AN51" i="42"/>
  <c r="AL69" i="42"/>
  <c r="BX211" i="4"/>
  <c r="BY211" i="4"/>
  <c r="CA211" i="4" a="1"/>
  <c r="CA211" i="4" s="1"/>
  <c r="BX271" i="4"/>
  <c r="BY271" i="4"/>
  <c r="CA271" i="4" a="1"/>
  <c r="CA271" i="4" s="1"/>
  <c r="BY151" i="4"/>
  <c r="BX151" i="4"/>
  <c r="CA151" i="4" a="1"/>
  <c r="CA151" i="4" s="1"/>
  <c r="BX254" i="4"/>
  <c r="BY254" i="4"/>
  <c r="CA254" i="4" a="1"/>
  <c r="CA254" i="4" s="1"/>
  <c r="BX38" i="4"/>
  <c r="BY38" i="4"/>
  <c r="CA38" i="4" a="1"/>
  <c r="CA38" i="4" s="1"/>
  <c r="BX128" i="4"/>
  <c r="BY128" i="4"/>
  <c r="CA128" i="4" a="1"/>
  <c r="CA128" i="4" s="1"/>
  <c r="BX216" i="4"/>
  <c r="BY216" i="4"/>
  <c r="CA216" i="4" a="1"/>
  <c r="CA216" i="4" s="1"/>
  <c r="BX279" i="4"/>
  <c r="BY279" i="4"/>
  <c r="CA279" i="4" a="1"/>
  <c r="CA279" i="4" s="1"/>
  <c r="BY87" i="4"/>
  <c r="BX87" i="4"/>
  <c r="CA87" i="4" a="1"/>
  <c r="CA87" i="4" s="1"/>
  <c r="BX202" i="4"/>
  <c r="BY202" i="4"/>
  <c r="CA202" i="4" a="1"/>
  <c r="CA202" i="4" s="1"/>
  <c r="BX262" i="4"/>
  <c r="BY262" i="4"/>
  <c r="CA262" i="4" a="1"/>
  <c r="CA262" i="4" s="1"/>
  <c r="BY119" i="4"/>
  <c r="BX119" i="4"/>
  <c r="CA119" i="4" a="1"/>
  <c r="CA119" i="4" s="1"/>
  <c r="BX210" i="4"/>
  <c r="BY210" i="4"/>
  <c r="CA210" i="4" a="1"/>
  <c r="CA210" i="4" s="1"/>
  <c r="BX146" i="4"/>
  <c r="BY146" i="4"/>
  <c r="CA146" i="4" a="1"/>
  <c r="CA146" i="4" s="1"/>
  <c r="BX82" i="4"/>
  <c r="BY82" i="4"/>
  <c r="CA82" i="4" a="1"/>
  <c r="CA82" i="4" s="1"/>
  <c r="BX19" i="4"/>
  <c r="BY19" i="4"/>
  <c r="CA19" i="4" a="1"/>
  <c r="CA19" i="4" s="1"/>
  <c r="BX200" i="4"/>
  <c r="BY200" i="4"/>
  <c r="CA200" i="4" a="1"/>
  <c r="CA200" i="4" s="1"/>
  <c r="BX136" i="4"/>
  <c r="BY136" i="4"/>
  <c r="CA136" i="4" a="1"/>
  <c r="CA136" i="4" s="1"/>
  <c r="BX72" i="4"/>
  <c r="BY72" i="4"/>
  <c r="CA72" i="4" a="1"/>
  <c r="CA72" i="4" s="1"/>
  <c r="BX259" i="4"/>
  <c r="BY259" i="4"/>
  <c r="CA259" i="4" a="1"/>
  <c r="CA259" i="4" s="1"/>
  <c r="BX195" i="4"/>
  <c r="BY195" i="4"/>
  <c r="CA195" i="4" a="1"/>
  <c r="CA195" i="4" s="1"/>
  <c r="BX131" i="4"/>
  <c r="BY131" i="4"/>
  <c r="CA131" i="4" a="1"/>
  <c r="CA131" i="4" s="1"/>
  <c r="BX67" i="4"/>
  <c r="BY67" i="4"/>
  <c r="CA67" i="4" a="1"/>
  <c r="CA67" i="4" s="1"/>
  <c r="BX240" i="4"/>
  <c r="BY240" i="4"/>
  <c r="CA240" i="4" a="1"/>
  <c r="CA240" i="4" s="1"/>
  <c r="BX177" i="4"/>
  <c r="BY177" i="4"/>
  <c r="CA177" i="4" a="1"/>
  <c r="CA177" i="4" s="1"/>
  <c r="BX112" i="4"/>
  <c r="BY112" i="4"/>
  <c r="CA112" i="4" a="1"/>
  <c r="CA112" i="4" s="1"/>
  <c r="BX48" i="4"/>
  <c r="BY48" i="4"/>
  <c r="CA48" i="4" a="1"/>
  <c r="CA48" i="4" s="1"/>
  <c r="BX258" i="4"/>
  <c r="BY258" i="4"/>
  <c r="CA258" i="4" a="1"/>
  <c r="CA258" i="4" s="1"/>
  <c r="BX194" i="4"/>
  <c r="BY194" i="4"/>
  <c r="CA194" i="4" a="1"/>
  <c r="CA194" i="4" s="1"/>
  <c r="BX130" i="4"/>
  <c r="BY130" i="4"/>
  <c r="CA130" i="4" a="1"/>
  <c r="CA130" i="4" s="1"/>
  <c r="BX66" i="4"/>
  <c r="BY66" i="4"/>
  <c r="CA66" i="4" a="1"/>
  <c r="CA66" i="4" s="1"/>
  <c r="BX170" i="4"/>
  <c r="BY170" i="4"/>
  <c r="CA170" i="4" a="1"/>
  <c r="CA170" i="4" s="1"/>
  <c r="BX106" i="4"/>
  <c r="BY106" i="4"/>
  <c r="CA106" i="4" a="1"/>
  <c r="CA106" i="4" s="1"/>
  <c r="BX42" i="4"/>
  <c r="BY42" i="4"/>
  <c r="CA42" i="4" a="1"/>
  <c r="CA42" i="4" s="1"/>
  <c r="BX198" i="4"/>
  <c r="BY198" i="4"/>
  <c r="CA198" i="4" a="1"/>
  <c r="CA198" i="4" s="1"/>
  <c r="BX266" i="4"/>
  <c r="BY266" i="4"/>
  <c r="CA266" i="4" a="1"/>
  <c r="CA266" i="4" s="1"/>
  <c r="BX96" i="4"/>
  <c r="BY96" i="4"/>
  <c r="CA96" i="4" a="1"/>
  <c r="CA96" i="4" s="1"/>
  <c r="BX233" i="4"/>
  <c r="BY233" i="4"/>
  <c r="CA233" i="4" a="1"/>
  <c r="CA233" i="4" s="1"/>
  <c r="BX280" i="4"/>
  <c r="BY280" i="4"/>
  <c r="CA280" i="4" a="1"/>
  <c r="CA280" i="4" s="1"/>
  <c r="BX110" i="4"/>
  <c r="BY110" i="4"/>
  <c r="CA110" i="4" a="1"/>
  <c r="CA110" i="4" s="1"/>
  <c r="BX206" i="4"/>
  <c r="BY206" i="4"/>
  <c r="CA206" i="4" a="1"/>
  <c r="CA206" i="4" s="1"/>
  <c r="BX274" i="4"/>
  <c r="BY274" i="4"/>
  <c r="CA274" i="4" a="1"/>
  <c r="CA274" i="4" s="1"/>
  <c r="BX32" i="4"/>
  <c r="BY32" i="4"/>
  <c r="CA32" i="4" a="1"/>
  <c r="CA32" i="4" s="1"/>
  <c r="BY174" i="4"/>
  <c r="BX174" i="4"/>
  <c r="CA174" i="4" a="1"/>
  <c r="CA174" i="4" s="1"/>
  <c r="BX256" i="4"/>
  <c r="BY256" i="4"/>
  <c r="CA256" i="4" a="1"/>
  <c r="CA256" i="4" s="1"/>
  <c r="BX64" i="4"/>
  <c r="BY64" i="4"/>
  <c r="CA64" i="4" a="1"/>
  <c r="CA64" i="4" s="1"/>
  <c r="BX205" i="4"/>
  <c r="BY205" i="4"/>
  <c r="CA205" i="4" a="1"/>
  <c r="CA205" i="4" s="1"/>
  <c r="BX141" i="4"/>
  <c r="BY141" i="4"/>
  <c r="CA141" i="4" a="1"/>
  <c r="CA141" i="4" s="1"/>
  <c r="BX77" i="4"/>
  <c r="BY77" i="4"/>
  <c r="CA77" i="4" a="1"/>
  <c r="CA77" i="4" s="1"/>
  <c r="BX13" i="4"/>
  <c r="BY13" i="4"/>
  <c r="CA13" i="4" a="1"/>
  <c r="CA13" i="4" s="1"/>
  <c r="BY191" i="4"/>
  <c r="BX191" i="4"/>
  <c r="CA191" i="4" a="1"/>
  <c r="CA191" i="4" s="1"/>
  <c r="BY127" i="4"/>
  <c r="BX127" i="4"/>
  <c r="CA127" i="4" a="1"/>
  <c r="CA127" i="4" s="1"/>
  <c r="BY63" i="4"/>
  <c r="BX63" i="4"/>
  <c r="CA63" i="4" a="1"/>
  <c r="CA63" i="4" s="1"/>
  <c r="BX250" i="4"/>
  <c r="BY250" i="4"/>
  <c r="CA250" i="4" a="1"/>
  <c r="CA250" i="4" s="1"/>
  <c r="BX186" i="4"/>
  <c r="BY186" i="4"/>
  <c r="CA186" i="4" a="1"/>
  <c r="CA186" i="4" s="1"/>
  <c r="BX122" i="4"/>
  <c r="BY122" i="4"/>
  <c r="CA122" i="4" a="1"/>
  <c r="CA122" i="4" s="1"/>
  <c r="BX58" i="4"/>
  <c r="BY58" i="4"/>
  <c r="CA58" i="4" a="1"/>
  <c r="CA58" i="4" s="1"/>
  <c r="BY231" i="4"/>
  <c r="BX231" i="4"/>
  <c r="CA231" i="4" a="1"/>
  <c r="CA231" i="4" s="1"/>
  <c r="BY167" i="4"/>
  <c r="BX167" i="4"/>
  <c r="CA167" i="4" a="1"/>
  <c r="CA167" i="4" s="1"/>
  <c r="BY103" i="4"/>
  <c r="BX103" i="4"/>
  <c r="CA103" i="4" a="1"/>
  <c r="CA103" i="4" s="1"/>
  <c r="BY39" i="4"/>
  <c r="BX39" i="4"/>
  <c r="CA39" i="4" a="1"/>
  <c r="CA39" i="4" s="1"/>
  <c r="BX253" i="4"/>
  <c r="BY253" i="4"/>
  <c r="CA253" i="4" a="1"/>
  <c r="CA253" i="4" s="1"/>
  <c r="BX189" i="4"/>
  <c r="BY189" i="4"/>
  <c r="CA189" i="4" a="1"/>
  <c r="CA189" i="4" s="1"/>
  <c r="BX125" i="4"/>
  <c r="BY125" i="4"/>
  <c r="CA125" i="4" a="1"/>
  <c r="CA125" i="4" s="1"/>
  <c r="BX61" i="4"/>
  <c r="BY61" i="4"/>
  <c r="CA61" i="4" a="1"/>
  <c r="CA61" i="4" s="1"/>
  <c r="BX165" i="4"/>
  <c r="BY165" i="4"/>
  <c r="CA165" i="4" a="1"/>
  <c r="CA165" i="4" s="1"/>
  <c r="BX101" i="4"/>
  <c r="BY101" i="4"/>
  <c r="CA101" i="4" a="1"/>
  <c r="CA101" i="4" s="1"/>
  <c r="BX37" i="4"/>
  <c r="BY37" i="4"/>
  <c r="CA37" i="4" a="1"/>
  <c r="CA37" i="4" s="1"/>
  <c r="BX152" i="4"/>
  <c r="BY152" i="4"/>
  <c r="CA152" i="4" a="1"/>
  <c r="CA152" i="4" s="1"/>
  <c r="BX255" i="4"/>
  <c r="BY255" i="4"/>
  <c r="CA255" i="4" a="1"/>
  <c r="CA255" i="4" s="1"/>
  <c r="BX78" i="4"/>
  <c r="BY78" i="4"/>
  <c r="CA78" i="4" a="1"/>
  <c r="CA78" i="4" s="1"/>
  <c r="BX220" i="4"/>
  <c r="BY220" i="4"/>
  <c r="CA220" i="4" a="1"/>
  <c r="CA220" i="4" s="1"/>
  <c r="BX275" i="4"/>
  <c r="BY275" i="4"/>
  <c r="CA275" i="4" a="1"/>
  <c r="CA275" i="4" s="1"/>
  <c r="BX73" i="4"/>
  <c r="BY73" i="4"/>
  <c r="CA73" i="4" a="1"/>
  <c r="CA73" i="4" s="1"/>
  <c r="BX161" i="4"/>
  <c r="BY161" i="4"/>
  <c r="CA161" i="4" a="1"/>
  <c r="CA161" i="4" s="1"/>
  <c r="BX257" i="4"/>
  <c r="BY257" i="4"/>
  <c r="CA257" i="4" a="1"/>
  <c r="CA257" i="4" s="1"/>
  <c r="BX14" i="4"/>
  <c r="BY14" i="4"/>
  <c r="CA14" i="4" a="1"/>
  <c r="CA14" i="4" s="1"/>
  <c r="BX120" i="4"/>
  <c r="BY120" i="4"/>
  <c r="CA120" i="4" a="1"/>
  <c r="CA120" i="4" s="1"/>
  <c r="BX248" i="4"/>
  <c r="BY248" i="4"/>
  <c r="CA248" i="4" a="1"/>
  <c r="CA248" i="4" s="1"/>
  <c r="BX46" i="4"/>
  <c r="BY46" i="4"/>
  <c r="CA46" i="4" a="1"/>
  <c r="CA46" i="4" s="1"/>
  <c r="BX196" i="4"/>
  <c r="BY196" i="4"/>
  <c r="CA196" i="4" a="1"/>
  <c r="CA196" i="4" s="1"/>
  <c r="BX132" i="4"/>
  <c r="BY132" i="4"/>
  <c r="CA132" i="4" a="1"/>
  <c r="CA132" i="4" s="1"/>
  <c r="BX68" i="4"/>
  <c r="BY68" i="4"/>
  <c r="CA68" i="4" a="1"/>
  <c r="CA68" i="4" s="1"/>
  <c r="BX246" i="4"/>
  <c r="BY246" i="4"/>
  <c r="CA246" i="4" a="1"/>
  <c r="CA246" i="4" s="1"/>
  <c r="BX182" i="4"/>
  <c r="BY182" i="4"/>
  <c r="CA182" i="4" a="1"/>
  <c r="CA182" i="4" s="1"/>
  <c r="BX118" i="4"/>
  <c r="BY118" i="4"/>
  <c r="CA118" i="4" a="1"/>
  <c r="CA118" i="4" s="1"/>
  <c r="BX54" i="4"/>
  <c r="BY54" i="4"/>
  <c r="CA54" i="4" a="1"/>
  <c r="CA54" i="4" s="1"/>
  <c r="BX245" i="4"/>
  <c r="BY245" i="4"/>
  <c r="CA245" i="4" a="1"/>
  <c r="CA245" i="4" s="1"/>
  <c r="BX181" i="4"/>
  <c r="BY181" i="4"/>
  <c r="CA181" i="4" a="1"/>
  <c r="CA181" i="4" s="1"/>
  <c r="BX117" i="4"/>
  <c r="BY117" i="4"/>
  <c r="CA117" i="4" a="1"/>
  <c r="CA117" i="4" s="1"/>
  <c r="BX53" i="4"/>
  <c r="BY53" i="4"/>
  <c r="CA53" i="4" a="1"/>
  <c r="CA53" i="4" s="1"/>
  <c r="BX222" i="4"/>
  <c r="BY222" i="4"/>
  <c r="CA222" i="4" a="1"/>
  <c r="CA222" i="4" s="1"/>
  <c r="BX158" i="4"/>
  <c r="BY158" i="4"/>
  <c r="CA158" i="4" a="1"/>
  <c r="CA158" i="4" s="1"/>
  <c r="BX94" i="4"/>
  <c r="BY94" i="4"/>
  <c r="CA94" i="4" a="1"/>
  <c r="CA94" i="4" s="1"/>
  <c r="BX30" i="4"/>
  <c r="BY30" i="4"/>
  <c r="CA30" i="4" a="1"/>
  <c r="CA30" i="4" s="1"/>
  <c r="BX244" i="4"/>
  <c r="BY244" i="4"/>
  <c r="CA244" i="4" a="1"/>
  <c r="CA244" i="4" s="1"/>
  <c r="BX180" i="4"/>
  <c r="BY180" i="4"/>
  <c r="CA180" i="4" a="1"/>
  <c r="CA180" i="4" s="1"/>
  <c r="BX116" i="4"/>
  <c r="BY116" i="4"/>
  <c r="CA116" i="4" a="1"/>
  <c r="CA116" i="4" s="1"/>
  <c r="BX52" i="4"/>
  <c r="BY52" i="4"/>
  <c r="CA52" i="4" a="1"/>
  <c r="CA52" i="4" s="1"/>
  <c r="BX156" i="4"/>
  <c r="BY156" i="4"/>
  <c r="CA156" i="4" a="1"/>
  <c r="CA156" i="4" s="1"/>
  <c r="BX92" i="4"/>
  <c r="BY92" i="4"/>
  <c r="CA92" i="4" a="1"/>
  <c r="CA92" i="4" s="1"/>
  <c r="BX28" i="4"/>
  <c r="BY28" i="4"/>
  <c r="CA28" i="4" a="1"/>
  <c r="CA28" i="4" s="1"/>
  <c r="AP15" i="42"/>
  <c r="Z18" i="42"/>
  <c r="J21" i="42"/>
  <c r="AP27" i="42"/>
  <c r="Z30" i="42"/>
  <c r="J33" i="42"/>
  <c r="AP39" i="42"/>
  <c r="Z42" i="42"/>
  <c r="J45" i="42"/>
  <c r="AI9" i="42"/>
  <c r="S15" i="42"/>
  <c r="AI24" i="42"/>
  <c r="S27" i="42"/>
  <c r="AI36" i="42"/>
  <c r="S39" i="42"/>
  <c r="AI48" i="42"/>
  <c r="S51" i="42"/>
  <c r="AR15" i="42"/>
  <c r="AB18" i="42"/>
  <c r="L21" i="42"/>
  <c r="AR27" i="42"/>
  <c r="AB30" i="42"/>
  <c r="L33" i="42"/>
  <c r="AR39" i="42"/>
  <c r="AB42" i="42"/>
  <c r="L45" i="42"/>
  <c r="AK9" i="42"/>
  <c r="U15" i="42"/>
  <c r="E18" i="42"/>
  <c r="AK24" i="42"/>
  <c r="U27" i="42"/>
  <c r="E30" i="42"/>
  <c r="AK36" i="42"/>
  <c r="U39" i="42"/>
  <c r="E42" i="42"/>
  <c r="AK48" i="42"/>
  <c r="U51" i="42"/>
  <c r="F9" i="42"/>
  <c r="AL18" i="42"/>
  <c r="V21" i="42"/>
  <c r="F24" i="42"/>
  <c r="AL30" i="42"/>
  <c r="V33" i="42"/>
  <c r="F36" i="42"/>
  <c r="AL42" i="42"/>
  <c r="V45" i="42"/>
  <c r="F48" i="42"/>
  <c r="AE15" i="42"/>
  <c r="O18" i="42"/>
  <c r="AE27" i="42"/>
  <c r="O30" i="42"/>
  <c r="AE39" i="42"/>
  <c r="O42" i="42"/>
  <c r="AE51" i="42"/>
  <c r="P9" i="42"/>
  <c r="AF21" i="42"/>
  <c r="P24" i="42"/>
  <c r="AF33" i="42"/>
  <c r="P36" i="42"/>
  <c r="AF45" i="42"/>
  <c r="P48" i="42"/>
  <c r="AO15" i="42"/>
  <c r="Y18" i="42"/>
  <c r="I21" i="42"/>
  <c r="AO27" i="42"/>
  <c r="Y30" i="42"/>
  <c r="I33" i="42"/>
  <c r="AO39" i="42"/>
  <c r="Y42" i="42"/>
  <c r="I45" i="42"/>
  <c r="W54" i="42"/>
  <c r="G57" i="42"/>
  <c r="AM63" i="42"/>
  <c r="W66" i="42"/>
  <c r="AL75" i="42"/>
  <c r="V78" i="42"/>
  <c r="F81" i="42"/>
  <c r="AL87" i="42"/>
  <c r="V90" i="42"/>
  <c r="E93" i="42"/>
  <c r="AK99" i="42"/>
  <c r="U102" i="42"/>
  <c r="P54" i="42"/>
  <c r="AF63" i="42"/>
  <c r="P66" i="42"/>
  <c r="AE75" i="42"/>
  <c r="O78" i="42"/>
  <c r="AE87" i="42"/>
  <c r="O90" i="42"/>
  <c r="AD99" i="42"/>
  <c r="N102" i="42"/>
  <c r="AO57" i="42"/>
  <c r="Y60" i="42"/>
  <c r="I63" i="42"/>
  <c r="X72" i="42"/>
  <c r="H75" i="42"/>
  <c r="AN81" i="42"/>
  <c r="X84" i="42"/>
  <c r="H87" i="42"/>
  <c r="AM93" i="42"/>
  <c r="W96" i="42"/>
  <c r="G99" i="42"/>
  <c r="AP54" i="42"/>
  <c r="Z57" i="42"/>
  <c r="J60" i="42"/>
  <c r="AP66" i="42"/>
  <c r="I72" i="42"/>
  <c r="AO78" i="42"/>
  <c r="Y81" i="42"/>
  <c r="I84" i="42"/>
  <c r="AO90" i="42"/>
  <c r="X93" i="42"/>
  <c r="H96" i="42"/>
  <c r="AN102" i="42"/>
  <c r="S54" i="42"/>
  <c r="AI63" i="42"/>
  <c r="S66" i="42"/>
  <c r="AH75" i="42"/>
  <c r="R78" i="42"/>
  <c r="AH87" i="42"/>
  <c r="R90" i="42"/>
  <c r="AG99" i="42"/>
  <c r="Q102" i="42"/>
  <c r="AJ60" i="42"/>
  <c r="T63" i="42"/>
  <c r="AI72" i="42"/>
  <c r="S75" i="42"/>
  <c r="AI84" i="42"/>
  <c r="S87" i="42"/>
  <c r="AH96" i="42"/>
  <c r="R99" i="42"/>
  <c r="AK54" i="42"/>
  <c r="U57" i="42"/>
  <c r="E60" i="42"/>
  <c r="AK66" i="42"/>
  <c r="L72" i="42"/>
  <c r="AR78" i="42"/>
  <c r="AB81" i="42"/>
  <c r="L84" i="42"/>
  <c r="AR90" i="42"/>
  <c r="AA93" i="42"/>
  <c r="BX134" i="4"/>
  <c r="BY134" i="4"/>
  <c r="CA134" i="4" a="1"/>
  <c r="CA134" i="4" s="1"/>
  <c r="BY247" i="4"/>
  <c r="BX247" i="4"/>
  <c r="CA247" i="4" a="1"/>
  <c r="CA247" i="4" s="1"/>
  <c r="BX41" i="4"/>
  <c r="BY41" i="4"/>
  <c r="CA41" i="4" a="1"/>
  <c r="CA41" i="4" s="1"/>
  <c r="BY207" i="4"/>
  <c r="BX207" i="4"/>
  <c r="CA207" i="4" a="1"/>
  <c r="CA207" i="4" s="1"/>
  <c r="BX270" i="4"/>
  <c r="BY270" i="4"/>
  <c r="CA270" i="4" a="1"/>
  <c r="CA270" i="4" s="1"/>
  <c r="BY55" i="4"/>
  <c r="BX55" i="4"/>
  <c r="CA55" i="4" a="1"/>
  <c r="CA55" i="4" s="1"/>
  <c r="BY143" i="4"/>
  <c r="BX143" i="4"/>
  <c r="CA143" i="4" a="1"/>
  <c r="CA143" i="4" s="1"/>
  <c r="BY239" i="4"/>
  <c r="BX239" i="4"/>
  <c r="CA239" i="4" a="1"/>
  <c r="CA239" i="4" s="1"/>
  <c r="BX273" i="4"/>
  <c r="BY273" i="4"/>
  <c r="CA273" i="4" a="1"/>
  <c r="CA273" i="4" s="1"/>
  <c r="BX102" i="4"/>
  <c r="BY102" i="4"/>
  <c r="CA102" i="4" a="1"/>
  <c r="CA102" i="4" s="1"/>
  <c r="BX238" i="4"/>
  <c r="BY238" i="4"/>
  <c r="CA238" i="4" a="1"/>
  <c r="CA238" i="4" s="1"/>
  <c r="BX251" i="4"/>
  <c r="BY251" i="4"/>
  <c r="CA251" i="4" a="1"/>
  <c r="CA251" i="4" s="1"/>
  <c r="BX187" i="4"/>
  <c r="BY187" i="4"/>
  <c r="CA187" i="4" a="1"/>
  <c r="CA187" i="4" s="1"/>
  <c r="BX123" i="4"/>
  <c r="BY123" i="4"/>
  <c r="CA123" i="4" a="1"/>
  <c r="CA123" i="4" s="1"/>
  <c r="BX59" i="4"/>
  <c r="BY59" i="4"/>
  <c r="CA59" i="4" a="1"/>
  <c r="CA59" i="4" s="1"/>
  <c r="BX241" i="4"/>
  <c r="BY241" i="4"/>
  <c r="CA241" i="4" a="1"/>
  <c r="CA241" i="4" s="1"/>
  <c r="BX176" i="4"/>
  <c r="BY176" i="4"/>
  <c r="CA176" i="4" a="1"/>
  <c r="CA176" i="4" s="1"/>
  <c r="BX113" i="4"/>
  <c r="BY113" i="4"/>
  <c r="CA113" i="4" a="1"/>
  <c r="CA113" i="4" s="1"/>
  <c r="BX49" i="4"/>
  <c r="BY49" i="4"/>
  <c r="CA49" i="4" a="1"/>
  <c r="CA49" i="4" s="1"/>
  <c r="BX236" i="4"/>
  <c r="BY236" i="4"/>
  <c r="CA236" i="4" a="1"/>
  <c r="CA236" i="4" s="1"/>
  <c r="BX173" i="4"/>
  <c r="BY173" i="4"/>
  <c r="CA173" i="4" a="1"/>
  <c r="CA173" i="4" s="1"/>
  <c r="BX108" i="4"/>
  <c r="BY108" i="4"/>
  <c r="CA108" i="4" a="1"/>
  <c r="CA108" i="4" s="1"/>
  <c r="BX44" i="4"/>
  <c r="BY44" i="4"/>
  <c r="CA44" i="4" a="1"/>
  <c r="CA44" i="4" s="1"/>
  <c r="BX217" i="4"/>
  <c r="BY217" i="4"/>
  <c r="CA217" i="4" a="1"/>
  <c r="CA217" i="4" s="1"/>
  <c r="BX153" i="4"/>
  <c r="BY153" i="4"/>
  <c r="CA153" i="4" a="1"/>
  <c r="CA153" i="4" s="1"/>
  <c r="BX89" i="4"/>
  <c r="BY89" i="4"/>
  <c r="CA89" i="4" a="1"/>
  <c r="CA89" i="4" s="1"/>
  <c r="BX25" i="4"/>
  <c r="BY25" i="4"/>
  <c r="CA25" i="4" a="1"/>
  <c r="CA25" i="4" s="1"/>
  <c r="BX235" i="4"/>
  <c r="BY235" i="4"/>
  <c r="CA235" i="4" a="1"/>
  <c r="CA235" i="4" s="1"/>
  <c r="BX171" i="4"/>
  <c r="BY171" i="4"/>
  <c r="CA171" i="4" a="1"/>
  <c r="CA171" i="4" s="1"/>
  <c r="BX107" i="4"/>
  <c r="BY107" i="4"/>
  <c r="CA107" i="4" a="1"/>
  <c r="CA107" i="4" s="1"/>
  <c r="BX43" i="4"/>
  <c r="BY43" i="4"/>
  <c r="CA43" i="4" a="1"/>
  <c r="CA43" i="4" s="1"/>
  <c r="BX147" i="4"/>
  <c r="BY147" i="4"/>
  <c r="CA147" i="4" a="1"/>
  <c r="CA147" i="4" s="1"/>
  <c r="BX83" i="4"/>
  <c r="BY83" i="4"/>
  <c r="CA83" i="4" a="1"/>
  <c r="CA83" i="4" s="1"/>
  <c r="BX18" i="4"/>
  <c r="BY18" i="4"/>
  <c r="CA18" i="4" a="1"/>
  <c r="CA18" i="4" s="1"/>
  <c r="AH18" i="42"/>
  <c r="R21" i="42"/>
  <c r="AH30" i="42"/>
  <c r="R33" i="42"/>
  <c r="AH42" i="42"/>
  <c r="R45" i="42"/>
  <c r="AQ9" i="42"/>
  <c r="AA15" i="42"/>
  <c r="K18" i="42"/>
  <c r="AQ24" i="42"/>
  <c r="AA27" i="42"/>
  <c r="K30" i="42"/>
  <c r="AQ36" i="42"/>
  <c r="AA39" i="42"/>
  <c r="K42" i="42"/>
  <c r="AQ48" i="42"/>
  <c r="AA51" i="42"/>
  <c r="K9" i="42"/>
  <c r="AJ18" i="42"/>
  <c r="T21" i="42"/>
  <c r="AJ30" i="42"/>
  <c r="T33" i="42"/>
  <c r="AJ42" i="42"/>
  <c r="T45" i="42"/>
  <c r="AC15" i="42"/>
  <c r="M18" i="42"/>
  <c r="AC27" i="42"/>
  <c r="M30" i="42"/>
  <c r="AC39" i="42"/>
  <c r="M42" i="42"/>
  <c r="AC51" i="42"/>
  <c r="N9" i="42"/>
  <c r="AD21" i="42"/>
  <c r="N24" i="42"/>
  <c r="AD33" i="42"/>
  <c r="N36" i="42"/>
  <c r="AD45" i="42"/>
  <c r="N48" i="42"/>
  <c r="AM15" i="42"/>
  <c r="W18" i="42"/>
  <c r="G21" i="42"/>
  <c r="AM27" i="42"/>
  <c r="W30" i="42"/>
  <c r="G33" i="42"/>
  <c r="AM39" i="42"/>
  <c r="W42" i="42"/>
  <c r="G45" i="42"/>
  <c r="AM51" i="42"/>
  <c r="X9" i="42"/>
  <c r="H15" i="42"/>
  <c r="AN21" i="42"/>
  <c r="X24" i="42"/>
  <c r="H27" i="42"/>
  <c r="AN33" i="42"/>
  <c r="X36" i="42"/>
  <c r="H39" i="42"/>
  <c r="AN45" i="42"/>
  <c r="X48" i="42"/>
  <c r="H51" i="42"/>
  <c r="AG18" i="42"/>
  <c r="Q21" i="42"/>
  <c r="AG30" i="42"/>
  <c r="Q33" i="42"/>
  <c r="AG42" i="42"/>
  <c r="Q45" i="42"/>
  <c r="AE54" i="42"/>
  <c r="O57" i="42"/>
  <c r="AE66" i="42"/>
  <c r="AD78" i="42"/>
  <c r="N81" i="42"/>
  <c r="AD90" i="42"/>
  <c r="M93" i="42"/>
  <c r="AC102" i="42"/>
  <c r="X54" i="42"/>
  <c r="H57" i="42"/>
  <c r="AN63" i="42"/>
  <c r="X66" i="42"/>
  <c r="AM75" i="42"/>
  <c r="W78" i="42"/>
  <c r="G81" i="42"/>
  <c r="AM87" i="42"/>
  <c r="W90" i="42"/>
  <c r="F93" i="42"/>
  <c r="AL99" i="42"/>
  <c r="V102" i="42"/>
  <c r="AG60" i="42"/>
  <c r="Q63" i="42"/>
  <c r="AF72" i="42"/>
  <c r="P75" i="42"/>
  <c r="AF84" i="42"/>
  <c r="P87" i="42"/>
  <c r="AE96" i="42"/>
  <c r="O99" i="42"/>
  <c r="AH57" i="42"/>
  <c r="R60" i="42"/>
  <c r="Q72" i="42"/>
  <c r="AG81" i="42"/>
  <c r="Q84" i="42"/>
  <c r="AF93" i="42"/>
  <c r="P96" i="42"/>
  <c r="AA54" i="42"/>
  <c r="K57" i="42"/>
  <c r="AQ63" i="42"/>
  <c r="AA66" i="42"/>
  <c r="AP75" i="42"/>
  <c r="Z78" i="42"/>
  <c r="J81" i="42"/>
  <c r="AP87" i="42"/>
  <c r="Z90" i="42"/>
  <c r="I93" i="42"/>
  <c r="AO99" i="42"/>
  <c r="Y102" i="42"/>
  <c r="L54" i="42"/>
  <c r="AR60" i="42"/>
  <c r="AB63" i="42"/>
  <c r="L66" i="42"/>
  <c r="AQ72" i="42"/>
  <c r="AA75" i="42"/>
  <c r="K78" i="42"/>
  <c r="AQ84" i="42"/>
  <c r="AA87" i="42"/>
  <c r="K90" i="42"/>
  <c r="AP96" i="42"/>
  <c r="Z99" i="42"/>
  <c r="J102" i="42"/>
  <c r="AC57" i="42"/>
  <c r="M60" i="42"/>
  <c r="T72" i="42"/>
  <c r="AJ81" i="42"/>
  <c r="T84" i="42"/>
  <c r="AI93" i="42"/>
  <c r="S96" i="42"/>
  <c r="V54" i="42"/>
  <c r="F57" i="42"/>
  <c r="AL63" i="42"/>
  <c r="V66" i="42"/>
  <c r="F69" i="42"/>
  <c r="AK75" i="42"/>
  <c r="U78" i="42"/>
  <c r="E81" i="42"/>
  <c r="AK87" i="42"/>
  <c r="U90" i="42"/>
  <c r="L93" i="42"/>
  <c r="AR99" i="42"/>
  <c r="AB102" i="42"/>
  <c r="BX277" i="4"/>
  <c r="BY277" i="4"/>
  <c r="CA277" i="4" a="1"/>
  <c r="CA277" i="4" s="1"/>
  <c r="BX97" i="4"/>
  <c r="BY97" i="4"/>
  <c r="CA97" i="4" a="1"/>
  <c r="CA97" i="4" s="1"/>
  <c r="BX234" i="4"/>
  <c r="BY234" i="4"/>
  <c r="CA234" i="4" a="1"/>
  <c r="CA234" i="4" s="1"/>
  <c r="BY23" i="4"/>
  <c r="BX23" i="4"/>
  <c r="CA23" i="4" a="1"/>
  <c r="CA23" i="4" s="1"/>
  <c r="BX166" i="4"/>
  <c r="BY166" i="4"/>
  <c r="CA166" i="4" a="1"/>
  <c r="CA166" i="4" s="1"/>
  <c r="BX243" i="4"/>
  <c r="BY243" i="4"/>
  <c r="CA243" i="4" a="1"/>
  <c r="CA243" i="4" s="1"/>
  <c r="BX269" i="4"/>
  <c r="BY269" i="4"/>
  <c r="CA269" i="4" a="1"/>
  <c r="CA269" i="4" s="1"/>
  <c r="BX88" i="4"/>
  <c r="BY88" i="4"/>
  <c r="CA88" i="4" a="1"/>
  <c r="CA88" i="4" s="1"/>
  <c r="BX192" i="4"/>
  <c r="BY192" i="4"/>
  <c r="CA192" i="4" a="1"/>
  <c r="CA192" i="4" s="1"/>
  <c r="BX268" i="4"/>
  <c r="BY268" i="4"/>
  <c r="CA268" i="4" a="1"/>
  <c r="CA268" i="4" s="1"/>
  <c r="BX65" i="4"/>
  <c r="BY65" i="4"/>
  <c r="CA65" i="4" a="1"/>
  <c r="CA65" i="4" s="1"/>
  <c r="BX201" i="4"/>
  <c r="BY201" i="4"/>
  <c r="CA201" i="4" a="1"/>
  <c r="CA201" i="4" s="1"/>
  <c r="BX242" i="4"/>
  <c r="BY242" i="4"/>
  <c r="CA242" i="4" a="1"/>
  <c r="CA242" i="4" s="1"/>
  <c r="BX179" i="4"/>
  <c r="BY179" i="4"/>
  <c r="CA179" i="4" a="1"/>
  <c r="CA179" i="4" s="1"/>
  <c r="BX114" i="4"/>
  <c r="BY114" i="4"/>
  <c r="CA114" i="4" a="1"/>
  <c r="CA114" i="4" s="1"/>
  <c r="BX50" i="4"/>
  <c r="BY50" i="4"/>
  <c r="CA50" i="4" a="1"/>
  <c r="CA50" i="4" s="1"/>
  <c r="BX232" i="4"/>
  <c r="BY232" i="4"/>
  <c r="CA232" i="4" a="1"/>
  <c r="CA232" i="4" s="1"/>
  <c r="BX168" i="4"/>
  <c r="BY168" i="4"/>
  <c r="CA168" i="4" a="1"/>
  <c r="CA168" i="4" s="1"/>
  <c r="BX104" i="4"/>
  <c r="BY104" i="4"/>
  <c r="CA104" i="4" a="1"/>
  <c r="CA104" i="4" s="1"/>
  <c r="BX40" i="4"/>
  <c r="BY40" i="4"/>
  <c r="CA40" i="4" a="1"/>
  <c r="CA40" i="4" s="1"/>
  <c r="BX227" i="4"/>
  <c r="BY227" i="4"/>
  <c r="CA227" i="4" a="1"/>
  <c r="CA227" i="4" s="1"/>
  <c r="BX163" i="4"/>
  <c r="BY163" i="4"/>
  <c r="CA163" i="4" a="1"/>
  <c r="CA163" i="4" s="1"/>
  <c r="BX99" i="4"/>
  <c r="BY99" i="4"/>
  <c r="CA99" i="4" a="1"/>
  <c r="CA99" i="4" s="1"/>
  <c r="BX35" i="4"/>
  <c r="BY35" i="4"/>
  <c r="CA35" i="4" a="1"/>
  <c r="CA35" i="4" s="1"/>
  <c r="BX208" i="4"/>
  <c r="BY208" i="4"/>
  <c r="CA208" i="4" a="1"/>
  <c r="CA208" i="4" s="1"/>
  <c r="BX144" i="4"/>
  <c r="BY144" i="4"/>
  <c r="CA144" i="4" a="1"/>
  <c r="CA144" i="4" s="1"/>
  <c r="BX80" i="4"/>
  <c r="BY80" i="4"/>
  <c r="CA80" i="4" a="1"/>
  <c r="CA80" i="4" s="1"/>
  <c r="BX16" i="4"/>
  <c r="BY16" i="4"/>
  <c r="CA16" i="4" a="1"/>
  <c r="CA16" i="4" s="1"/>
  <c r="BX226" i="4"/>
  <c r="BY226" i="4"/>
  <c r="CA226" i="4" a="1"/>
  <c r="CA226" i="4" s="1"/>
  <c r="BX162" i="4"/>
  <c r="BY162" i="4"/>
  <c r="CA162" i="4" a="1"/>
  <c r="CA162" i="4" s="1"/>
  <c r="BX98" i="4"/>
  <c r="BY98" i="4"/>
  <c r="CA98" i="4" a="1"/>
  <c r="CA98" i="4" s="1"/>
  <c r="BX34" i="4"/>
  <c r="BY34" i="4"/>
  <c r="CA34" i="4" a="1"/>
  <c r="CA34" i="4" s="1"/>
  <c r="BX138" i="4"/>
  <c r="BY138" i="4"/>
  <c r="CA138" i="4" a="1"/>
  <c r="CA138" i="4" s="1"/>
  <c r="BX74" i="4"/>
  <c r="BY74" i="4"/>
  <c r="CA74" i="4" a="1"/>
  <c r="CA74" i="4" s="1"/>
  <c r="BX12" i="4"/>
  <c r="BY12" i="4"/>
  <c r="CA12" i="4" a="1"/>
  <c r="CA12" i="4" s="1"/>
  <c r="G26" i="46"/>
  <c r="BT9" i="4"/>
  <c r="BV9" i="4"/>
  <c r="BU9" i="4"/>
  <c r="BY9" i="4"/>
  <c r="BW9" i="4"/>
  <c r="CA9" i="4" a="1"/>
  <c r="CA9" i="4" s="1"/>
  <c r="BX9" i="4"/>
  <c r="H26" i="43"/>
  <c r="F103" i="46" l="1"/>
  <c r="F104" i="46"/>
  <c r="F103" i="43"/>
  <c r="H104" i="47"/>
  <c r="E103" i="47"/>
  <c r="E104" i="43"/>
  <c r="G104" i="47"/>
  <c r="E103" i="43"/>
  <c r="E104" i="41"/>
  <c r="F103" i="41"/>
  <c r="F104" i="43"/>
  <c r="G103" i="47"/>
  <c r="F104" i="47"/>
  <c r="G103" i="46"/>
  <c r="G103" i="43"/>
  <c r="H104" i="41"/>
  <c r="E104" i="46"/>
  <c r="E103" i="41"/>
  <c r="H104" i="46"/>
  <c r="H103" i="41"/>
  <c r="H103" i="46"/>
  <c r="H103" i="47"/>
  <c r="H103" i="43"/>
  <c r="G104" i="41"/>
  <c r="G104" i="46"/>
  <c r="BZ133" i="4"/>
  <c r="CB133" i="4" s="1"/>
  <c r="BZ239" i="4"/>
  <c r="CB239" i="4" s="1"/>
  <c r="BZ70" i="4"/>
  <c r="CB70" i="4" s="1"/>
  <c r="BZ263" i="4"/>
  <c r="CB263" i="4" s="1"/>
  <c r="BZ16" i="4"/>
  <c r="CB16" i="4" s="1"/>
  <c r="BZ40" i="4"/>
  <c r="CB40" i="4" s="1"/>
  <c r="BZ201" i="4"/>
  <c r="CB201" i="4" s="1"/>
  <c r="BZ83" i="4"/>
  <c r="CB83" i="4" s="1"/>
  <c r="BZ153" i="4"/>
  <c r="CB153" i="4" s="1"/>
  <c r="BZ176" i="4"/>
  <c r="CB176" i="4" s="1"/>
  <c r="BZ273" i="4"/>
  <c r="CB273" i="4" s="1"/>
  <c r="BZ134" i="4"/>
  <c r="CB134" i="4" s="1"/>
  <c r="BZ28" i="4"/>
  <c r="CB28" i="4" s="1"/>
  <c r="BZ94" i="4"/>
  <c r="CB94" i="4" s="1"/>
  <c r="BZ118" i="4"/>
  <c r="CB118" i="4" s="1"/>
  <c r="BZ120" i="4"/>
  <c r="CB120" i="4" s="1"/>
  <c r="BZ255" i="4"/>
  <c r="CB255" i="4" s="1"/>
  <c r="BZ253" i="4"/>
  <c r="CB253" i="4" s="1"/>
  <c r="BZ250" i="4"/>
  <c r="CB250" i="4" s="1"/>
  <c r="BZ64" i="4"/>
  <c r="CB64" i="4" s="1"/>
  <c r="BZ233" i="4"/>
  <c r="CB233" i="4" s="1"/>
  <c r="BZ130" i="4"/>
  <c r="CB130" i="4" s="1"/>
  <c r="BZ131" i="4"/>
  <c r="CB131" i="4" s="1"/>
  <c r="BZ146" i="4"/>
  <c r="CB146" i="4" s="1"/>
  <c r="BZ128" i="4"/>
  <c r="CB128" i="4" s="1"/>
  <c r="BZ139" i="4"/>
  <c r="CB139" i="4" s="1"/>
  <c r="BZ140" i="4"/>
  <c r="CB140" i="4" s="1"/>
  <c r="BZ155" i="4"/>
  <c r="CB155" i="4" s="1"/>
  <c r="BZ124" i="4"/>
  <c r="CB124" i="4" s="1"/>
  <c r="BZ190" i="4"/>
  <c r="CB190" i="4" s="1"/>
  <c r="BZ214" i="4"/>
  <c r="CB214" i="4" s="1"/>
  <c r="BZ142" i="4"/>
  <c r="CB142" i="4" s="1"/>
  <c r="BZ261" i="4"/>
  <c r="CB261" i="4" s="1"/>
  <c r="BZ238" i="4"/>
  <c r="CB238" i="4" s="1"/>
  <c r="BZ41" i="4"/>
  <c r="CB41" i="4" s="1"/>
  <c r="BZ244" i="4"/>
  <c r="CB244" i="4" s="1"/>
  <c r="BZ245" i="4"/>
  <c r="CB245" i="4" s="1"/>
  <c r="BZ46" i="4"/>
  <c r="CB46" i="4" s="1"/>
  <c r="BZ220" i="4"/>
  <c r="CB220" i="4" s="1"/>
  <c r="BZ125" i="4"/>
  <c r="CB125" i="4" s="1"/>
  <c r="BZ122" i="4"/>
  <c r="CB122" i="4" s="1"/>
  <c r="BZ141" i="4"/>
  <c r="CB141" i="4" s="1"/>
  <c r="BZ110" i="4"/>
  <c r="CB110" i="4" s="1"/>
  <c r="BZ170" i="4"/>
  <c r="CB170" i="4" s="1"/>
  <c r="BZ240" i="4"/>
  <c r="CB240" i="4" s="1"/>
  <c r="BZ19" i="4"/>
  <c r="CB19" i="4" s="1"/>
  <c r="BZ279" i="4"/>
  <c r="CB279" i="4" s="1"/>
  <c r="BZ178" i="4"/>
  <c r="CB178" i="4" s="1"/>
  <c r="BZ249" i="4"/>
  <c r="CB249" i="4" s="1"/>
  <c r="BZ27" i="4"/>
  <c r="CB27" i="4" s="1"/>
  <c r="BZ62" i="4"/>
  <c r="CB62" i="4" s="1"/>
  <c r="BZ86" i="4"/>
  <c r="CB86" i="4" s="1"/>
  <c r="BZ10" i="4"/>
  <c r="CB10" i="4" s="1"/>
  <c r="BZ184" i="4"/>
  <c r="CB184" i="4" s="1"/>
  <c r="BZ231" i="4"/>
  <c r="CB231" i="4" s="1"/>
  <c r="BZ215" i="4"/>
  <c r="CB215" i="4" s="1"/>
  <c r="BZ111" i="4"/>
  <c r="CB111" i="4" s="1"/>
  <c r="BZ242" i="4"/>
  <c r="CB242" i="4" s="1"/>
  <c r="BZ166" i="4"/>
  <c r="CB166" i="4" s="1"/>
  <c r="BZ18" i="4"/>
  <c r="CB18" i="4" s="1"/>
  <c r="BZ89" i="4"/>
  <c r="CB89" i="4" s="1"/>
  <c r="BZ113" i="4"/>
  <c r="CB113" i="4" s="1"/>
  <c r="BZ102" i="4"/>
  <c r="CB102" i="4" s="1"/>
  <c r="BZ143" i="4"/>
  <c r="CB143" i="4" s="1"/>
  <c r="BZ30" i="4"/>
  <c r="CB30" i="4" s="1"/>
  <c r="BZ54" i="4"/>
  <c r="CB54" i="4" s="1"/>
  <c r="BZ248" i="4"/>
  <c r="CB248" i="4" s="1"/>
  <c r="BZ78" i="4"/>
  <c r="CB78" i="4" s="1"/>
  <c r="BZ189" i="4"/>
  <c r="CB189" i="4" s="1"/>
  <c r="BZ103" i="4"/>
  <c r="CB103" i="4" s="1"/>
  <c r="BZ186" i="4"/>
  <c r="CB186" i="4" s="1"/>
  <c r="BZ127" i="4"/>
  <c r="CB127" i="4" s="1"/>
  <c r="BZ205" i="4"/>
  <c r="CB205" i="4" s="1"/>
  <c r="BZ174" i="4"/>
  <c r="CB174" i="4" s="1"/>
  <c r="BZ280" i="4"/>
  <c r="CB280" i="4" s="1"/>
  <c r="BZ66" i="4"/>
  <c r="CB66" i="4" s="1"/>
  <c r="BZ67" i="4"/>
  <c r="CB67" i="4" s="1"/>
  <c r="BZ82" i="4"/>
  <c r="CB82" i="4" s="1"/>
  <c r="BZ119" i="4"/>
  <c r="CB119" i="4" s="1"/>
  <c r="BZ216" i="4"/>
  <c r="CB216" i="4" s="1"/>
  <c r="BZ75" i="4"/>
  <c r="CB75" i="4" s="1"/>
  <c r="BZ76" i="4"/>
  <c r="CB76" i="4" s="1"/>
  <c r="BZ91" i="4"/>
  <c r="CB91" i="4" s="1"/>
  <c r="BZ229" i="4"/>
  <c r="CB229" i="4" s="1"/>
  <c r="BZ60" i="4"/>
  <c r="CB60" i="4" s="1"/>
  <c r="BZ126" i="4"/>
  <c r="CB126" i="4" s="1"/>
  <c r="BZ150" i="4"/>
  <c r="CB150" i="4" s="1"/>
  <c r="BZ225" i="4"/>
  <c r="CB225" i="4" s="1"/>
  <c r="BZ24" i="4"/>
  <c r="CB24" i="4" s="1"/>
  <c r="BZ179" i="4"/>
  <c r="CB179" i="4" s="1"/>
  <c r="BZ49" i="4"/>
  <c r="CB49" i="4" s="1"/>
  <c r="BZ243" i="4"/>
  <c r="CB243" i="4" s="1"/>
  <c r="BZ226" i="4"/>
  <c r="CB226" i="4" s="1"/>
  <c r="BZ98" i="4"/>
  <c r="CB98" i="4" s="1"/>
  <c r="BZ99" i="4"/>
  <c r="CB99" i="4" s="1"/>
  <c r="BZ114" i="4"/>
  <c r="CB114" i="4" s="1"/>
  <c r="BZ269" i="4"/>
  <c r="CB269" i="4" s="1"/>
  <c r="BZ235" i="4"/>
  <c r="CB235" i="4" s="1"/>
  <c r="BZ236" i="4"/>
  <c r="CB236" i="4" s="1"/>
  <c r="BZ251" i="4"/>
  <c r="CB251" i="4" s="1"/>
  <c r="BZ180" i="4"/>
  <c r="CB180" i="4" s="1"/>
  <c r="BZ181" i="4"/>
  <c r="CB181" i="4" s="1"/>
  <c r="BZ196" i="4"/>
  <c r="CB196" i="4" s="1"/>
  <c r="BZ275" i="4"/>
  <c r="CB275" i="4" s="1"/>
  <c r="BZ61" i="4"/>
  <c r="CB61" i="4" s="1"/>
  <c r="BZ58" i="4"/>
  <c r="CB58" i="4" s="1"/>
  <c r="BZ77" i="4"/>
  <c r="CB77" i="4" s="1"/>
  <c r="BZ206" i="4"/>
  <c r="CB206" i="4" s="1"/>
  <c r="BZ106" i="4"/>
  <c r="CB106" i="4" s="1"/>
  <c r="BZ177" i="4"/>
  <c r="CB177" i="4" s="1"/>
  <c r="BZ200" i="4"/>
  <c r="CB200" i="4" s="1"/>
  <c r="BZ211" i="4"/>
  <c r="CB211" i="4" s="1"/>
  <c r="BZ115" i="4"/>
  <c r="CB115" i="4" s="1"/>
  <c r="BZ185" i="4"/>
  <c r="CB185" i="4" s="1"/>
  <c r="BZ209" i="4"/>
  <c r="CB209" i="4" s="1"/>
  <c r="BZ105" i="4"/>
  <c r="CB105" i="4" s="1"/>
  <c r="BZ224" i="4"/>
  <c r="CB224" i="4" s="1"/>
  <c r="BZ276" i="4"/>
  <c r="CB276" i="4" s="1"/>
  <c r="BZ22" i="4"/>
  <c r="CB22" i="4" s="1"/>
  <c r="BZ175" i="4"/>
  <c r="CB175" i="4" s="1"/>
  <c r="BZ265" i="4"/>
  <c r="CB265" i="4" s="1"/>
  <c r="BZ162" i="4"/>
  <c r="CB162" i="4" s="1"/>
  <c r="BZ227" i="4"/>
  <c r="CB227" i="4" s="1"/>
  <c r="BZ55" i="4"/>
  <c r="CB55" i="4" s="1"/>
  <c r="BZ167" i="4"/>
  <c r="CB167" i="4" s="1"/>
  <c r="BZ191" i="4"/>
  <c r="CB191" i="4" s="1"/>
  <c r="BZ151" i="4"/>
  <c r="CB151" i="4" s="1"/>
  <c r="BZ25" i="4"/>
  <c r="CB25" i="4" s="1"/>
  <c r="BZ39" i="4"/>
  <c r="CB39" i="4" s="1"/>
  <c r="BZ63" i="4"/>
  <c r="CB63" i="4" s="1"/>
  <c r="BZ163" i="4"/>
  <c r="CB163" i="4" s="1"/>
  <c r="BZ160" i="4"/>
  <c r="CB160" i="4" s="1"/>
  <c r="BZ272" i="4"/>
  <c r="CB272" i="4" s="1"/>
  <c r="BZ138" i="4"/>
  <c r="CB138" i="4" s="1"/>
  <c r="BZ208" i="4"/>
  <c r="CB208" i="4" s="1"/>
  <c r="BZ232" i="4"/>
  <c r="CB232" i="4" s="1"/>
  <c r="BZ192" i="4"/>
  <c r="CB192" i="4" s="1"/>
  <c r="BZ277" i="4"/>
  <c r="CB277" i="4" s="1"/>
  <c r="BZ107" i="4"/>
  <c r="CB107" i="4" s="1"/>
  <c r="BZ108" i="4"/>
  <c r="CB108" i="4" s="1"/>
  <c r="BZ123" i="4"/>
  <c r="CB123" i="4" s="1"/>
  <c r="BZ52" i="4"/>
  <c r="CB52" i="4" s="1"/>
  <c r="BZ53" i="4"/>
  <c r="CB53" i="4" s="1"/>
  <c r="BZ68" i="4"/>
  <c r="CB68" i="4" s="1"/>
  <c r="BZ161" i="4"/>
  <c r="CB161" i="4" s="1"/>
  <c r="BZ101" i="4"/>
  <c r="CB101" i="4" s="1"/>
  <c r="BZ32" i="4"/>
  <c r="CB32" i="4" s="1"/>
  <c r="BZ198" i="4"/>
  <c r="CB198" i="4" s="1"/>
  <c r="BZ48" i="4"/>
  <c r="CB48" i="4" s="1"/>
  <c r="BZ72" i="4"/>
  <c r="CB72" i="4" s="1"/>
  <c r="BZ262" i="4"/>
  <c r="CB262" i="4" s="1"/>
  <c r="BZ57" i="4"/>
  <c r="CB57" i="4" s="1"/>
  <c r="BZ81" i="4"/>
  <c r="CB81" i="4" s="1"/>
  <c r="BZ278" i="4"/>
  <c r="CB278" i="4" s="1"/>
  <c r="BZ15" i="4"/>
  <c r="CB15" i="4" s="1"/>
  <c r="BZ169" i="4"/>
  <c r="CB169" i="4" s="1"/>
  <c r="BZ148" i="4"/>
  <c r="CB148" i="4" s="1"/>
  <c r="BZ149" i="4"/>
  <c r="CB149" i="4" s="1"/>
  <c r="BZ164" i="4"/>
  <c r="CB164" i="4" s="1"/>
  <c r="BZ193" i="4"/>
  <c r="CB193" i="4" s="1"/>
  <c r="BZ157" i="4"/>
  <c r="CB157" i="4" s="1"/>
  <c r="BZ71" i="4"/>
  <c r="CB71" i="4" s="1"/>
  <c r="BZ154" i="4"/>
  <c r="CB154" i="4" s="1"/>
  <c r="BZ95" i="4"/>
  <c r="CB95" i="4" s="1"/>
  <c r="BZ172" i="4"/>
  <c r="CB172" i="4" s="1"/>
  <c r="BZ47" i="4"/>
  <c r="CB47" i="4" s="1"/>
  <c r="BZ230" i="4"/>
  <c r="CB230" i="4" s="1"/>
  <c r="BZ197" i="4"/>
  <c r="CB197" i="4" s="1"/>
  <c r="BZ234" i="4"/>
  <c r="CB234" i="4" s="1"/>
  <c r="BZ147" i="4"/>
  <c r="CB147" i="4" s="1"/>
  <c r="BZ217" i="4"/>
  <c r="CB217" i="4" s="1"/>
  <c r="BZ241" i="4"/>
  <c r="CB241" i="4" s="1"/>
  <c r="BZ158" i="4"/>
  <c r="CB158" i="4" s="1"/>
  <c r="BZ14" i="4"/>
  <c r="CB14" i="4" s="1"/>
  <c r="BZ152" i="4"/>
  <c r="CB152" i="4" s="1"/>
  <c r="BZ96" i="4"/>
  <c r="CB96" i="4" s="1"/>
  <c r="BZ195" i="4"/>
  <c r="CB195" i="4" s="1"/>
  <c r="BZ210" i="4"/>
  <c r="CB210" i="4" s="1"/>
  <c r="BZ38" i="4"/>
  <c r="CB38" i="4" s="1"/>
  <c r="BZ20" i="4"/>
  <c r="CB20" i="4" s="1"/>
  <c r="BZ21" i="4"/>
  <c r="CB21" i="4" s="1"/>
  <c r="BZ36" i="4"/>
  <c r="CB36" i="4" s="1"/>
  <c r="BZ29" i="4"/>
  <c r="CB29" i="4" s="1"/>
  <c r="BZ26" i="4"/>
  <c r="CB26" i="4" s="1"/>
  <c r="BZ45" i="4"/>
  <c r="CB45" i="4" s="1"/>
  <c r="BZ69" i="4"/>
  <c r="CB69" i="4" s="1"/>
  <c r="BZ12" i="4"/>
  <c r="CB12" i="4" s="1"/>
  <c r="BZ80" i="4"/>
  <c r="CB80" i="4" s="1"/>
  <c r="BZ104" i="4"/>
  <c r="CB104" i="4" s="1"/>
  <c r="BZ65" i="4"/>
  <c r="CB65" i="4" s="1"/>
  <c r="BZ92" i="4"/>
  <c r="CB92" i="4" s="1"/>
  <c r="BZ182" i="4"/>
  <c r="CB182" i="4" s="1"/>
  <c r="BZ256" i="4"/>
  <c r="CB256" i="4" s="1"/>
  <c r="BZ194" i="4"/>
  <c r="CB194" i="4" s="1"/>
  <c r="BZ203" i="4"/>
  <c r="CB203" i="4" s="1"/>
  <c r="BZ204" i="4"/>
  <c r="CB204" i="4" s="1"/>
  <c r="BZ219" i="4"/>
  <c r="CB219" i="4" s="1"/>
  <c r="BZ56" i="4"/>
  <c r="CB56" i="4" s="1"/>
  <c r="BZ33" i="4"/>
  <c r="CB33" i="4" s="1"/>
  <c r="BZ34" i="4"/>
  <c r="CB34" i="4" s="1"/>
  <c r="BZ35" i="4"/>
  <c r="CB35" i="4" s="1"/>
  <c r="BZ50" i="4"/>
  <c r="CB50" i="4" s="1"/>
  <c r="BZ88" i="4"/>
  <c r="CB88" i="4" s="1"/>
  <c r="BZ171" i="4"/>
  <c r="CB171" i="4" s="1"/>
  <c r="BZ173" i="4"/>
  <c r="CB173" i="4" s="1"/>
  <c r="BZ187" i="4"/>
  <c r="CB187" i="4" s="1"/>
  <c r="BZ270" i="4"/>
  <c r="CB270" i="4" s="1"/>
  <c r="BZ247" i="4"/>
  <c r="CB247" i="4" s="1"/>
  <c r="BZ116" i="4"/>
  <c r="CB116" i="4" s="1"/>
  <c r="BZ117" i="4"/>
  <c r="CB117" i="4" s="1"/>
  <c r="BZ132" i="4"/>
  <c r="CB132" i="4" s="1"/>
  <c r="BZ73" i="4"/>
  <c r="CB73" i="4" s="1"/>
  <c r="BZ165" i="4"/>
  <c r="CB165" i="4" s="1"/>
  <c r="BZ13" i="4"/>
  <c r="CB13" i="4" s="1"/>
  <c r="BZ274" i="4"/>
  <c r="CB274" i="4" s="1"/>
  <c r="BZ42" i="4"/>
  <c r="CB42" i="4" s="1"/>
  <c r="BZ112" i="4"/>
  <c r="CB112" i="4" s="1"/>
  <c r="BZ136" i="4"/>
  <c r="CB136" i="4" s="1"/>
  <c r="BZ202" i="4"/>
  <c r="CB202" i="4" s="1"/>
  <c r="BZ271" i="4"/>
  <c r="CB271" i="4" s="1"/>
  <c r="BZ51" i="4"/>
  <c r="CB51" i="4" s="1"/>
  <c r="BZ121" i="4"/>
  <c r="CB121" i="4" s="1"/>
  <c r="BZ145" i="4"/>
  <c r="CB145" i="4" s="1"/>
  <c r="BZ282" i="4"/>
  <c r="CB282" i="4" s="1"/>
  <c r="BZ212" i="4"/>
  <c r="CB212" i="4" s="1"/>
  <c r="BZ213" i="4"/>
  <c r="CB213" i="4" s="1"/>
  <c r="BZ228" i="4"/>
  <c r="CB228" i="4" s="1"/>
  <c r="BZ221" i="4"/>
  <c r="CB221" i="4" s="1"/>
  <c r="BZ135" i="4"/>
  <c r="CB135" i="4" s="1"/>
  <c r="BZ218" i="4"/>
  <c r="CB218" i="4" s="1"/>
  <c r="BZ159" i="4"/>
  <c r="CB159" i="4" s="1"/>
  <c r="BZ237" i="4"/>
  <c r="CB237" i="4" s="1"/>
  <c r="BZ129" i="4"/>
  <c r="CB129" i="4" s="1"/>
  <c r="BZ79" i="4"/>
  <c r="CB79" i="4" s="1"/>
  <c r="BZ74" i="4"/>
  <c r="CB74" i="4" s="1"/>
  <c r="BZ144" i="4"/>
  <c r="CB144" i="4" s="1"/>
  <c r="BZ168" i="4"/>
  <c r="CB168" i="4" s="1"/>
  <c r="BZ268" i="4"/>
  <c r="CB268" i="4" s="1"/>
  <c r="BZ97" i="4"/>
  <c r="CB97" i="4" s="1"/>
  <c r="BZ43" i="4"/>
  <c r="CB43" i="4" s="1"/>
  <c r="BZ44" i="4"/>
  <c r="CB44" i="4" s="1"/>
  <c r="BZ59" i="4"/>
  <c r="CB59" i="4" s="1"/>
  <c r="BZ207" i="4"/>
  <c r="CB207" i="4" s="1"/>
  <c r="BZ156" i="4"/>
  <c r="CB156" i="4" s="1"/>
  <c r="BZ222" i="4"/>
  <c r="CB222" i="4" s="1"/>
  <c r="BZ246" i="4"/>
  <c r="CB246" i="4" s="1"/>
  <c r="BZ257" i="4"/>
  <c r="CB257" i="4" s="1"/>
  <c r="BZ37" i="4"/>
  <c r="CB37" i="4" s="1"/>
  <c r="BZ266" i="4"/>
  <c r="CB266" i="4" s="1"/>
  <c r="BZ258" i="4"/>
  <c r="CB258" i="4" s="1"/>
  <c r="BZ259" i="4"/>
  <c r="CB259" i="4" s="1"/>
  <c r="BZ87" i="4"/>
  <c r="CB87" i="4" s="1"/>
  <c r="BZ254" i="4"/>
  <c r="CB254" i="4" s="1"/>
  <c r="BZ267" i="4"/>
  <c r="CB267" i="4" s="1"/>
  <c r="BZ17" i="4"/>
  <c r="CB17" i="4" s="1"/>
  <c r="BZ137" i="4"/>
  <c r="CB137" i="4" s="1"/>
  <c r="BZ260" i="4"/>
  <c r="CB260" i="4" s="1"/>
  <c r="BZ84" i="4"/>
  <c r="CB84" i="4" s="1"/>
  <c r="BZ85" i="4"/>
  <c r="CB85" i="4" s="1"/>
  <c r="BZ100" i="4"/>
  <c r="CB100" i="4" s="1"/>
  <c r="BZ252" i="4"/>
  <c r="CB252" i="4" s="1"/>
  <c r="BZ93" i="4"/>
  <c r="CB93" i="4" s="1"/>
  <c r="BZ90" i="4"/>
  <c r="CB90" i="4" s="1"/>
  <c r="BZ31" i="4"/>
  <c r="CB31" i="4" s="1"/>
  <c r="BZ109" i="4"/>
  <c r="CB109" i="4" s="1"/>
  <c r="BZ264" i="4"/>
  <c r="CB264" i="4" s="1"/>
  <c r="BZ23" i="4"/>
  <c r="CB23" i="4" s="1"/>
  <c r="BZ183" i="4"/>
  <c r="CB183" i="4" s="1"/>
  <c r="BZ11" i="4"/>
  <c r="CB11" i="4" s="1"/>
  <c r="BZ199" i="4"/>
  <c r="CB199" i="4" s="1"/>
  <c r="BZ223" i="4"/>
  <c r="CB223" i="4" s="1"/>
  <c r="BZ188" i="4"/>
  <c r="CB188" i="4" s="1"/>
  <c r="BZ281" i="4"/>
  <c r="CB281" i="4" s="1"/>
  <c r="E25" i="46"/>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V34" i="44" a="1"/>
  <c r="V34" i="44" s="1"/>
  <c r="P40" i="44" a="1"/>
  <c r="P40" i="44" s="1"/>
  <c r="X10" i="44" a="1"/>
  <c r="X10" i="44" s="1"/>
  <c r="P49" i="33" a="1"/>
  <c r="P49" i="33" s="1"/>
  <c r="I11" i="44" a="1"/>
  <c r="I11" i="44" s="1"/>
  <c r="AV56" i="47" a="1"/>
  <c r="AV56" i="47" s="1"/>
  <c r="Y74" i="33" a="1"/>
  <c r="Y74" i="33" s="1"/>
  <c r="AV67" i="46" a="1"/>
  <c r="AV67" i="46" s="1"/>
  <c r="C79" i="45" a="1"/>
  <c r="C79" i="45" s="1"/>
  <c r="G82" i="44" a="1"/>
  <c r="G82" i="44" s="1"/>
  <c r="P47" i="44" a="1"/>
  <c r="P47" i="44" s="1"/>
  <c r="AU19" i="47" a="1"/>
  <c r="AU19" i="47" s="1"/>
  <c r="C104" i="45" a="1"/>
  <c r="C104" i="45" s="1"/>
  <c r="AL28" i="33" a="1"/>
  <c r="AL28" i="33" s="1"/>
  <c r="T97" i="45" a="1"/>
  <c r="T97" i="45" s="1"/>
  <c r="N47" i="44" l="1" a="1"/>
  <c r="N47" i="44" s="1"/>
  <c r="AL32" i="45" a="1"/>
  <c r="AL32" i="45" s="1"/>
  <c r="F40" i="33" a="1"/>
  <c r="F40" i="33" s="1"/>
  <c r="Y94" i="33" a="1"/>
  <c r="Y94" i="33" s="1"/>
  <c r="AN28" i="43" a="1"/>
  <c r="AN28" i="43" s="1"/>
  <c r="U49" i="44" a="1"/>
  <c r="U49" i="44" s="1"/>
  <c r="AV25" i="46" a="1"/>
  <c r="AV25" i="46" s="1"/>
  <c r="AI23" i="44" a="1"/>
  <c r="AI23" i="44" s="1"/>
  <c r="L62" i="33" a="1"/>
  <c r="L62" i="33" s="1"/>
  <c r="AO44" i="33" a="1"/>
  <c r="AO44" i="33" s="1"/>
  <c r="AN29" i="33" a="1"/>
  <c r="AN29" i="33" s="1"/>
  <c r="N29" i="45" a="1"/>
  <c r="N29" i="45" s="1"/>
  <c r="M92" i="33" a="1"/>
  <c r="M92" i="33" s="1"/>
  <c r="H23" i="33" a="1"/>
  <c r="H23" i="33" s="1"/>
  <c r="X29" i="44" a="1"/>
  <c r="X29" i="44" s="1"/>
  <c r="AE49" i="45" a="1"/>
  <c r="AE49" i="45" s="1"/>
  <c r="AL59" i="45" a="1"/>
  <c r="AL59" i="45" s="1"/>
  <c r="W29" i="33" a="1"/>
  <c r="W29" i="33" s="1"/>
  <c r="Z56" i="44" a="1"/>
  <c r="Z56" i="44" s="1"/>
  <c r="G100" i="33" a="1"/>
  <c r="G100" i="33" s="1"/>
  <c r="H100" i="33" a="1"/>
  <c r="H100" i="33" s="1"/>
  <c r="AN26" i="46" a="1"/>
  <c r="AN26" i="46" s="1"/>
  <c r="S67" i="45" a="1"/>
  <c r="S67" i="45" s="1"/>
  <c r="T67" i="33" a="1"/>
  <c r="T67" i="33" s="1"/>
  <c r="C16" i="33" a="1"/>
  <c r="C16" i="33" s="1"/>
  <c r="AQ33" i="47"/>
  <c r="O19" i="45" a="1"/>
  <c r="O19" i="45" s="1"/>
  <c r="C49" i="45" a="1"/>
  <c r="C49" i="45" s="1"/>
  <c r="AL22" i="33" a="1"/>
  <c r="AL22" i="33" s="1"/>
  <c r="T40" i="44" a="1"/>
  <c r="T40" i="44" s="1"/>
  <c r="AP21" i="41"/>
  <c r="AK46" i="33" a="1"/>
  <c r="AK46" i="33" s="1"/>
  <c r="AV89" i="46" a="1"/>
  <c r="AV89" i="46" s="1"/>
  <c r="AF44" i="33" a="1"/>
  <c r="AF44" i="33" s="1"/>
  <c r="AO101" i="33" a="1"/>
  <c r="AO101" i="33" s="1"/>
  <c r="Z67" i="44" a="1"/>
  <c r="Z67" i="44" s="1"/>
  <c r="Q49" i="45" a="1"/>
  <c r="Q49" i="45" s="1"/>
  <c r="AV47" i="43" a="1"/>
  <c r="AV47" i="43" s="1"/>
  <c r="AK100" i="44" a="1"/>
  <c r="AK100" i="44" s="1"/>
  <c r="AN22" i="47" a="1"/>
  <c r="AN22" i="47" s="1"/>
  <c r="AK61" i="44" a="1"/>
  <c r="AK61" i="44" s="1"/>
  <c r="AC101" i="33" a="1"/>
  <c r="AC101" i="33" s="1"/>
  <c r="G46" i="33" a="1"/>
  <c r="G46" i="33" s="1"/>
  <c r="AG35" i="44" a="1"/>
  <c r="AG35" i="44" s="1"/>
  <c r="W50" i="44" a="1"/>
  <c r="W50" i="44" s="1"/>
  <c r="AU95" i="46" a="1"/>
  <c r="AU95" i="46" s="1"/>
  <c r="S19" i="33" a="1"/>
  <c r="S19" i="33" s="1"/>
  <c r="C61" i="47" a="1"/>
  <c r="C61" i="47" s="1"/>
  <c r="AM34" i="45" a="1"/>
  <c r="AM34" i="45" s="1"/>
  <c r="Q55" i="44" a="1"/>
  <c r="Q55" i="44" s="1"/>
  <c r="AF28" i="33" a="1"/>
  <c r="AF28" i="33" s="1"/>
  <c r="AE64" i="33" a="1"/>
  <c r="AE64" i="33" s="1"/>
  <c r="V92" i="33" a="1"/>
  <c r="V92" i="33" s="1"/>
  <c r="AF56" i="44" a="1"/>
  <c r="AF56" i="44" s="1"/>
  <c r="Y61" i="33" a="1"/>
  <c r="Y61" i="33" s="1"/>
  <c r="AU52" i="43" a="1"/>
  <c r="AU52" i="43" s="1"/>
  <c r="AU19" i="41" a="1"/>
  <c r="AU19" i="41" s="1"/>
  <c r="AF20" i="44" a="1"/>
  <c r="AF20" i="44" s="1"/>
  <c r="I25" i="41" a="1"/>
  <c r="I25" i="41" s="1"/>
  <c r="AL95" i="45" a="1"/>
  <c r="AL95" i="45" s="1"/>
  <c r="AF64" i="33" a="1"/>
  <c r="AF64" i="33" s="1"/>
  <c r="C70" i="33" a="1"/>
  <c r="C70" i="33" s="1"/>
  <c r="AF41" i="44" a="1"/>
  <c r="AF41" i="44" s="1"/>
  <c r="V95" i="45" a="1"/>
  <c r="V95" i="45" s="1"/>
  <c r="N11" i="45" a="1"/>
  <c r="N11" i="45" s="1"/>
  <c r="N20" i="44" a="1"/>
  <c r="N20" i="44" s="1"/>
  <c r="AH80" i="44" a="1"/>
  <c r="AH80" i="44" s="1"/>
  <c r="U83" i="33" a="1"/>
  <c r="U83" i="33" s="1"/>
  <c r="H37" i="44" a="1"/>
  <c r="H37" i="44" s="1"/>
  <c r="AM43" i="45" a="1"/>
  <c r="AM43" i="45" s="1"/>
  <c r="I82" i="44" a="1"/>
  <c r="I82" i="44" s="1"/>
  <c r="Y101" i="45" a="1"/>
  <c r="Y101" i="45" s="1"/>
  <c r="I71" i="43" a="1"/>
  <c r="I71" i="43" s="1"/>
  <c r="L83" i="44" a="1"/>
  <c r="L83" i="44" s="1"/>
  <c r="R64" i="45" a="1"/>
  <c r="R64" i="45" s="1"/>
  <c r="Z95" i="45" a="1"/>
  <c r="Z95" i="45" s="1"/>
  <c r="X25" i="44" a="1"/>
  <c r="X25" i="44" s="1"/>
  <c r="L16" i="45" a="1"/>
  <c r="L16" i="45" s="1"/>
  <c r="AR19" i="44" a="1"/>
  <c r="AR19" i="44" s="1"/>
  <c r="R28" i="44" a="1"/>
  <c r="R28" i="44" s="1"/>
  <c r="F29" i="45" a="1"/>
  <c r="F29" i="45" s="1"/>
  <c r="F89" i="44" a="1"/>
  <c r="F89" i="44" s="1"/>
  <c r="N104" i="33" a="1"/>
  <c r="N104" i="33" s="1"/>
  <c r="AD38" i="33" a="1"/>
  <c r="AD38" i="33" s="1"/>
  <c r="L85" i="33" a="1"/>
  <c r="L85" i="33" s="1"/>
  <c r="T34" i="44" a="1"/>
  <c r="T34" i="44" s="1"/>
  <c r="I20" i="41" a="1"/>
  <c r="I20" i="41" s="1"/>
  <c r="W68" i="44" a="1"/>
  <c r="W68" i="44" s="1"/>
  <c r="R103" i="45" a="1"/>
  <c r="R103" i="45" s="1"/>
  <c r="AH28" i="44" a="1"/>
  <c r="AH28" i="44" s="1"/>
  <c r="AG92" i="44" a="1"/>
  <c r="AG92" i="44" s="1"/>
  <c r="AI38" i="44" a="1"/>
  <c r="AI38" i="44" s="1"/>
  <c r="Y61" i="44" a="1"/>
  <c r="Y61" i="44" s="1"/>
  <c r="AO101" i="47" a="1"/>
  <c r="AO101" i="47" s="1"/>
  <c r="AK70" i="44" a="1"/>
  <c r="AK70" i="44" s="1"/>
  <c r="AI73" i="33" a="1"/>
  <c r="AI73" i="33" s="1"/>
  <c r="H53" i="44" a="1"/>
  <c r="H53" i="44" s="1"/>
  <c r="G10" i="44" a="1"/>
  <c r="G10" i="44" s="1"/>
  <c r="W88" i="33" a="1"/>
  <c r="W88" i="33" s="1"/>
  <c r="W38" i="44" a="1"/>
  <c r="W38" i="44" s="1"/>
  <c r="C19" i="41" a="1"/>
  <c r="C19" i="41" s="1"/>
  <c r="AV20" i="43" a="1"/>
  <c r="AV20" i="43" s="1"/>
  <c r="R35" i="33" a="1"/>
  <c r="R35" i="33" s="1"/>
  <c r="M64" i="45" a="1"/>
  <c r="M64" i="45" s="1"/>
  <c r="W53" i="45" a="1"/>
  <c r="W53" i="45" s="1"/>
  <c r="Y10" i="45" a="1"/>
  <c r="Y10" i="45" s="1"/>
  <c r="AK74" i="44" a="1"/>
  <c r="AK74" i="44" s="1"/>
  <c r="I74" i="33" a="1"/>
  <c r="I74" i="33" s="1"/>
  <c r="V56" i="45" a="1"/>
  <c r="V56" i="45" s="1"/>
  <c r="AO77" i="41" a="1"/>
  <c r="AO77" i="41" s="1"/>
  <c r="AG28" i="45" a="1"/>
  <c r="AG28" i="45" s="1"/>
  <c r="AP37" i="44" a="1"/>
  <c r="AP37" i="44" s="1"/>
  <c r="AO98" i="46" a="1"/>
  <c r="AO98" i="46" s="1"/>
  <c r="Y77" i="45" a="1"/>
  <c r="Y77" i="45" s="1"/>
  <c r="AC10" i="45" a="1"/>
  <c r="AC10" i="45" s="1"/>
  <c r="AR77" i="45" a="1"/>
  <c r="AR77" i="45" s="1"/>
  <c r="AQ16" i="44" a="1"/>
  <c r="AQ16" i="44" s="1"/>
  <c r="AN17" i="41" a="1"/>
  <c r="AN17" i="41" s="1"/>
  <c r="V19" i="45" a="1"/>
  <c r="V19" i="45" s="1"/>
  <c r="AM83" i="44" a="1"/>
  <c r="AM83" i="44" s="1"/>
  <c r="G40" i="33" a="1"/>
  <c r="G40" i="33" s="1"/>
  <c r="H92" i="33" a="1"/>
  <c r="H92" i="33" s="1"/>
  <c r="J29" i="33" a="1"/>
  <c r="J29" i="33" s="1"/>
  <c r="S88" i="45" a="1"/>
  <c r="S88" i="45" s="1"/>
  <c r="AN92" i="47" a="1"/>
  <c r="AN92" i="47" s="1"/>
  <c r="E22" i="45" a="1"/>
  <c r="E22" i="45" s="1"/>
  <c r="Y59" i="44" a="1"/>
  <c r="Y59" i="44" s="1"/>
  <c r="AE34" i="44" a="1"/>
  <c r="AE34" i="44" s="1"/>
  <c r="R31" i="45" a="1"/>
  <c r="R31" i="45" s="1"/>
  <c r="M35" i="44" a="1"/>
  <c r="M35" i="44" s="1"/>
  <c r="AR19" i="45" a="1"/>
  <c r="AR19" i="45" s="1"/>
  <c r="W79" i="33" a="1"/>
  <c r="W79" i="33" s="1"/>
  <c r="M17" i="44" a="1"/>
  <c r="M17" i="44" s="1"/>
  <c r="AJ34" i="44" a="1"/>
  <c r="AJ34" i="44" s="1"/>
  <c r="C49" i="44" a="1"/>
  <c r="C49" i="44" s="1"/>
  <c r="AQ20" i="45" a="1"/>
  <c r="AQ20" i="45" s="1"/>
  <c r="G83" i="33" a="1"/>
  <c r="G83" i="33" s="1"/>
  <c r="W62" i="44" a="1"/>
  <c r="W62" i="44" s="1"/>
  <c r="AH89" i="45" a="1"/>
  <c r="AH89" i="45" s="1"/>
  <c r="O16" i="45" a="1"/>
  <c r="O16" i="45" s="1"/>
  <c r="AF95" i="33" a="1"/>
  <c r="AF95" i="33" s="1"/>
  <c r="AO62" i="33" a="1"/>
  <c r="AO62" i="33" s="1"/>
  <c r="AG82" i="33" a="1"/>
  <c r="AG82" i="33" s="1"/>
  <c r="AB68" i="33" a="1"/>
  <c r="AB68" i="33" s="1"/>
  <c r="U46" i="33" a="1"/>
  <c r="U46" i="33" s="1"/>
  <c r="M19" i="44" a="1"/>
  <c r="M19" i="44" s="1"/>
  <c r="Q25" i="44" a="1"/>
  <c r="Q25" i="44" s="1"/>
  <c r="AE40" i="33" a="1"/>
  <c r="AE40" i="33" s="1"/>
  <c r="AU58" i="47" a="1"/>
  <c r="AU58" i="47" s="1"/>
  <c r="AI28" i="45" a="1"/>
  <c r="AI28" i="45" s="1"/>
  <c r="AH61" i="44" a="1"/>
  <c r="AH61" i="44" s="1"/>
  <c r="I47" i="46" a="1"/>
  <c r="I47" i="46" s="1"/>
  <c r="AL82" i="45" a="1"/>
  <c r="AL82" i="45" s="1"/>
  <c r="AJ98" i="44" a="1"/>
  <c r="AJ98" i="44" s="1"/>
  <c r="AA86" i="33" a="1"/>
  <c r="AA86" i="33" s="1"/>
  <c r="L53" i="44" a="1"/>
  <c r="L53" i="44" s="1"/>
  <c r="AN29" i="41" a="1"/>
  <c r="AN29" i="41" s="1"/>
  <c r="R41" i="45" a="1"/>
  <c r="R41" i="45" s="1"/>
  <c r="G46" i="44" a="1"/>
  <c r="G46" i="44" s="1"/>
  <c r="K89" i="44" a="1"/>
  <c r="K89" i="44" s="1"/>
  <c r="I38" i="44" a="1"/>
  <c r="I38" i="44" s="1"/>
  <c r="AI71" i="44" a="1"/>
  <c r="AI71" i="44" s="1"/>
  <c r="O64" i="44" a="1"/>
  <c r="O64" i="44" s="1"/>
  <c r="AG44" i="44" a="1"/>
  <c r="AG44" i="44" s="1"/>
  <c r="AV41" i="46" a="1"/>
  <c r="AV41" i="46" s="1"/>
  <c r="AC34" i="44" a="1"/>
  <c r="AC34" i="44" s="1"/>
  <c r="AV11" i="47" a="1"/>
  <c r="AV11" i="47" s="1"/>
  <c r="I82" i="33" a="1"/>
  <c r="I82" i="33" s="1"/>
  <c r="I19" i="46" a="1"/>
  <c r="I19" i="46" s="1"/>
  <c r="AM40" i="44" a="1"/>
  <c r="AM40" i="44" s="1"/>
  <c r="AG41" i="44" a="1"/>
  <c r="AG41" i="44" s="1"/>
  <c r="W67" i="33" a="1"/>
  <c r="W67" i="33" s="1"/>
  <c r="O46" i="45" a="1"/>
  <c r="O46" i="45" s="1"/>
  <c r="AJ56" i="45" a="1"/>
  <c r="AJ56" i="45" s="1"/>
  <c r="AG68" i="33" a="1"/>
  <c r="AG68" i="33" s="1"/>
  <c r="AD55" i="44" a="1"/>
  <c r="AD55" i="44" s="1"/>
  <c r="I26" i="47" a="1"/>
  <c r="I26" i="47" s="1"/>
  <c r="J40" i="33" a="1"/>
  <c r="J40" i="33" s="1"/>
  <c r="AM23" i="44" a="1"/>
  <c r="AM23" i="44" s="1"/>
  <c r="AD35" i="45" a="1"/>
  <c r="AD35" i="45" s="1"/>
  <c r="AO98" i="45" a="1"/>
  <c r="AO98" i="45" s="1"/>
  <c r="AC22" i="44" a="1"/>
  <c r="AC22" i="44" s="1"/>
  <c r="X74" i="33" a="1"/>
  <c r="X74" i="33" s="1"/>
  <c r="Q98" i="45" a="1"/>
  <c r="Q98" i="45" s="1"/>
  <c r="W80" i="45" a="1"/>
  <c r="W80" i="45" s="1"/>
  <c r="X82" i="44" a="1"/>
  <c r="X82" i="44" s="1"/>
  <c r="AH31" i="45" a="1"/>
  <c r="AH31" i="45" s="1"/>
  <c r="T25" i="45" a="1"/>
  <c r="T25" i="45" s="1"/>
  <c r="AB59" i="33" a="1"/>
  <c r="AB59" i="33" s="1"/>
  <c r="U10" i="33" a="1"/>
  <c r="U10" i="33" s="1"/>
  <c r="I10" i="44" a="1"/>
  <c r="I10" i="44" s="1"/>
  <c r="AU10" i="43" a="1"/>
  <c r="AU10" i="43" s="1"/>
  <c r="AN68" i="41" a="1"/>
  <c r="AN68" i="41" s="1"/>
  <c r="L86" i="44" a="1"/>
  <c r="L86" i="44" s="1"/>
  <c r="AN77" i="43" a="1"/>
  <c r="AN77" i="43" s="1"/>
  <c r="AG80" i="44" a="1"/>
  <c r="AG80" i="44" s="1"/>
  <c r="Z28" i="33" a="1"/>
  <c r="Z28" i="33" s="1"/>
  <c r="G17" i="33" a="1"/>
  <c r="G17" i="33" s="1"/>
  <c r="J98" i="45" a="1"/>
  <c r="J98" i="45" s="1"/>
  <c r="AN86" i="44" a="1"/>
  <c r="AN86" i="44" s="1"/>
  <c r="O100" i="44" a="1"/>
  <c r="O100" i="44" s="1"/>
  <c r="O53" i="44" a="1"/>
  <c r="O53" i="44" s="1"/>
  <c r="Y100" i="45" a="1"/>
  <c r="Y100" i="45" s="1"/>
  <c r="AV85" i="43" a="1"/>
  <c r="AV85" i="43" s="1"/>
  <c r="I70" i="46" a="1"/>
  <c r="I70" i="46" s="1"/>
  <c r="I58" i="41" a="1"/>
  <c r="I58" i="41" s="1"/>
  <c r="S70" i="33" a="1"/>
  <c r="S70" i="33" s="1"/>
  <c r="AH65" i="44" a="1"/>
  <c r="AH65" i="44" s="1"/>
  <c r="J46" i="33" a="1"/>
  <c r="J46" i="33" s="1"/>
  <c r="AL56" i="33" a="1"/>
  <c r="AL56" i="33" s="1"/>
  <c r="I58" i="44" a="1"/>
  <c r="I58" i="44" s="1"/>
  <c r="H71" i="44" a="1"/>
  <c r="H71" i="44" s="1"/>
  <c r="N61" i="33" a="1"/>
  <c r="N61" i="33" s="1"/>
  <c r="AQ86" i="44" a="1"/>
  <c r="AQ86" i="44" s="1"/>
  <c r="AP43" i="44" a="1"/>
  <c r="AP43" i="44" s="1"/>
  <c r="AN34" i="41" a="1"/>
  <c r="AN34" i="41" s="1"/>
  <c r="L43" i="45" a="1"/>
  <c r="L43" i="45" s="1"/>
  <c r="AP77" i="45" a="1"/>
  <c r="AP77" i="45" s="1"/>
  <c r="I79" i="33" a="1"/>
  <c r="I79" i="33" s="1"/>
  <c r="C86" i="42" a="1"/>
  <c r="C86" i="42" s="1"/>
  <c r="AN19" i="45" a="1"/>
  <c r="AN19" i="45" s="1"/>
  <c r="AF76" i="44" a="1"/>
  <c r="AF76" i="44" s="1"/>
  <c r="O71" i="33" a="1"/>
  <c r="O71" i="33" s="1"/>
  <c r="AL80" i="44" a="1"/>
  <c r="AL80" i="44" s="1"/>
  <c r="T46" i="45" a="1"/>
  <c r="T46" i="45" s="1"/>
  <c r="V35" i="44" a="1"/>
  <c r="V35" i="44" s="1"/>
  <c r="V33" i="44" s="1"/>
  <c r="J23" i="44" a="1"/>
  <c r="J23" i="44" s="1"/>
  <c r="S79" i="44" a="1"/>
  <c r="S79" i="44" s="1"/>
  <c r="Q88" i="45" a="1"/>
  <c r="Q88" i="45" s="1"/>
  <c r="AE56" i="45" a="1"/>
  <c r="AE56" i="45" s="1"/>
  <c r="X97" i="44" a="1"/>
  <c r="X97" i="44" s="1"/>
  <c r="AK46" i="44" a="1"/>
  <c r="AK46" i="44" s="1"/>
  <c r="AD92" i="44" a="1"/>
  <c r="AD92" i="44" s="1"/>
  <c r="AU77" i="46" a="1"/>
  <c r="AU77" i="46" s="1"/>
  <c r="V70" i="33" a="1"/>
  <c r="V70" i="33" s="1"/>
  <c r="I79" i="44" a="1"/>
  <c r="I79" i="44" s="1"/>
  <c r="N62" i="44" a="1"/>
  <c r="N62" i="44" s="1"/>
  <c r="P104" i="45" a="1"/>
  <c r="P104" i="45" s="1"/>
  <c r="AO104" i="47" a="1"/>
  <c r="AO104" i="47" s="1"/>
  <c r="X95" i="33" a="1"/>
  <c r="X95" i="33" s="1"/>
  <c r="K74" i="45" a="1"/>
  <c r="K74" i="45" s="1"/>
  <c r="Q53" i="44" a="1"/>
  <c r="Q53" i="44" s="1"/>
  <c r="AK16" i="45" a="1"/>
  <c r="AK16" i="45" s="1"/>
  <c r="I47" i="44" a="1"/>
  <c r="I47" i="44" s="1"/>
  <c r="K22" i="33" a="1"/>
  <c r="K22" i="33" s="1"/>
  <c r="AV26" i="46" a="1"/>
  <c r="AV26" i="46" s="1"/>
  <c r="AN73" i="33" a="1"/>
  <c r="AN73" i="33" s="1"/>
  <c r="AI16" i="33" a="1"/>
  <c r="AI16" i="33" s="1"/>
  <c r="AO71" i="45" a="1"/>
  <c r="AO71" i="45" s="1"/>
  <c r="AP68" i="45" a="1"/>
  <c r="AP68" i="45" s="1"/>
  <c r="V80" i="44" a="1"/>
  <c r="V80" i="44" s="1"/>
  <c r="I56" i="46" a="1"/>
  <c r="I56" i="46" s="1"/>
  <c r="C71" i="43" a="1"/>
  <c r="C71" i="43" s="1"/>
  <c r="AI62" i="45" a="1"/>
  <c r="AI62" i="45" s="1"/>
  <c r="AU91" i="46" a="1"/>
  <c r="AU91" i="46" s="1"/>
  <c r="AA38" i="33" a="1"/>
  <c r="AA38" i="33" s="1"/>
  <c r="C98" i="47" a="1"/>
  <c r="C98" i="47" s="1"/>
  <c r="M22" i="45" a="1"/>
  <c r="M22" i="45" s="1"/>
  <c r="AP19" i="45" a="1"/>
  <c r="AP19" i="45" s="1"/>
  <c r="T34" i="33" a="1"/>
  <c r="T34" i="33" s="1"/>
  <c r="F16" i="33" a="1"/>
  <c r="F16" i="33" s="1"/>
  <c r="AU44" i="46" a="1"/>
  <c r="AU44" i="46" s="1"/>
  <c r="U47" i="44" a="1"/>
  <c r="U47" i="44" s="1"/>
  <c r="AB80" i="33" a="1"/>
  <c r="AB80" i="33" s="1"/>
  <c r="I41" i="33" a="1"/>
  <c r="I41" i="33" s="1"/>
  <c r="AO56" i="43" a="1"/>
  <c r="AO56" i="43" s="1"/>
  <c r="AV32" i="47" a="1"/>
  <c r="AV32" i="47" s="1"/>
  <c r="AN88" i="33" a="1"/>
  <c r="AN88" i="33" s="1"/>
  <c r="AF79" i="44" a="1"/>
  <c r="AF79" i="44" s="1"/>
  <c r="AQ43" i="33" a="1"/>
  <c r="AQ43" i="33" s="1"/>
  <c r="AN31" i="45" a="1"/>
  <c r="AN31" i="45" s="1"/>
  <c r="AU97" i="46" a="1"/>
  <c r="AU97" i="46" s="1"/>
  <c r="AI43" i="44" a="1"/>
  <c r="AI43" i="44" s="1"/>
  <c r="W98" i="45" a="1"/>
  <c r="W98" i="45" s="1"/>
  <c r="AO50" i="44" a="1"/>
  <c r="AO50" i="44" s="1"/>
  <c r="F98" i="45" a="1"/>
  <c r="F98" i="45" s="1"/>
  <c r="AD28" i="45" a="1"/>
  <c r="AD28" i="45" s="1"/>
  <c r="G104" i="33" a="1"/>
  <c r="G104" i="33" s="1"/>
  <c r="AM101" i="44" a="1"/>
  <c r="AM101" i="44" s="1"/>
  <c r="F22" i="33" a="1"/>
  <c r="F22" i="33" s="1"/>
  <c r="I103" i="43" a="1"/>
  <c r="I103" i="43" s="1"/>
  <c r="AR94" i="44" a="1"/>
  <c r="AR94" i="44" s="1"/>
  <c r="L23" i="33" a="1"/>
  <c r="L23" i="33" s="1"/>
  <c r="AK95" i="44" a="1"/>
  <c r="AK95" i="44" s="1"/>
  <c r="AM92" i="44" a="1"/>
  <c r="AM92" i="44" s="1"/>
  <c r="C80" i="44" a="1"/>
  <c r="C80" i="44" s="1"/>
  <c r="AG11" i="33" a="1"/>
  <c r="AG11" i="33" s="1"/>
  <c r="AG17" i="33" a="1"/>
  <c r="AG17" i="33" s="1"/>
  <c r="C53" i="41" a="1"/>
  <c r="C53" i="41" s="1"/>
  <c r="AI95" i="44" a="1"/>
  <c r="AI95" i="44" s="1"/>
  <c r="AD64" i="45" a="1"/>
  <c r="AD64" i="45" s="1"/>
  <c r="R98" i="45" a="1"/>
  <c r="R98" i="45" s="1"/>
  <c r="AR35" i="45" a="1"/>
  <c r="AR35" i="45" s="1"/>
  <c r="AK38" i="33" a="1"/>
  <c r="AK38" i="33" s="1"/>
  <c r="K32" i="33" a="1"/>
  <c r="K32" i="33" s="1"/>
  <c r="AT45" i="46"/>
  <c r="I41" i="45" a="1"/>
  <c r="I41" i="45" s="1"/>
  <c r="AE82" i="45" a="1"/>
  <c r="AE82" i="45" s="1"/>
  <c r="AH80" i="45" a="1"/>
  <c r="AH80" i="45" s="1"/>
  <c r="AK61" i="45" a="1"/>
  <c r="AK61" i="45" s="1"/>
  <c r="E65" i="45" a="1"/>
  <c r="E65" i="45" s="1"/>
  <c r="R52" i="33" a="1"/>
  <c r="R52" i="33" s="1"/>
  <c r="I67" i="33" a="1"/>
  <c r="I67" i="33" s="1"/>
  <c r="L31" i="45" a="1"/>
  <c r="L31" i="45" s="1"/>
  <c r="AU40" i="41" a="1"/>
  <c r="AU40" i="41" s="1"/>
  <c r="AD49" i="44" a="1"/>
  <c r="AD49" i="44" s="1"/>
  <c r="V37" i="44" a="1"/>
  <c r="V37" i="44" s="1"/>
  <c r="P82" i="44" a="1"/>
  <c r="P82" i="44" s="1"/>
  <c r="P19" i="45" a="1"/>
  <c r="P19" i="45" s="1"/>
  <c r="L92" i="44" a="1"/>
  <c r="L92" i="44" s="1"/>
  <c r="C65" i="42" a="1"/>
  <c r="C65" i="42" s="1"/>
  <c r="I94" i="43" a="1"/>
  <c r="I94" i="43" s="1"/>
  <c r="AH19" i="44" a="1"/>
  <c r="AH19" i="44" s="1"/>
  <c r="AF74" i="45" a="1"/>
  <c r="AF74" i="45" s="1"/>
  <c r="AP71" i="45" a="1"/>
  <c r="AP71" i="45" s="1"/>
  <c r="AV25" i="41" a="1"/>
  <c r="AV25" i="41" s="1"/>
  <c r="W73" i="33" a="1"/>
  <c r="W73" i="33" s="1"/>
  <c r="AG67" i="44" a="1"/>
  <c r="AG67" i="44" s="1"/>
  <c r="AV91" i="47" a="1"/>
  <c r="AV91" i="47" s="1"/>
  <c r="AB22" i="33" a="1"/>
  <c r="AB22" i="33" s="1"/>
  <c r="AE104" i="33" a="1"/>
  <c r="AE104" i="33" s="1"/>
  <c r="M47" i="33" a="1"/>
  <c r="M47" i="33" s="1"/>
  <c r="AK58" i="44" a="1"/>
  <c r="AK58" i="44" s="1"/>
  <c r="AA16" i="45" a="1"/>
  <c r="AA16" i="45" s="1"/>
  <c r="C76" i="47" a="1"/>
  <c r="C76" i="47" s="1"/>
  <c r="P77" i="45" a="1"/>
  <c r="P77" i="45" s="1"/>
  <c r="AF49" i="33" a="1"/>
  <c r="AF49" i="33" s="1"/>
  <c r="Z64" i="33" a="1"/>
  <c r="Z64" i="33" s="1"/>
  <c r="AD100" i="33" a="1"/>
  <c r="AD100" i="33" s="1"/>
  <c r="U55" i="44" a="1"/>
  <c r="U55" i="44" s="1"/>
  <c r="AS81" i="46"/>
  <c r="U82" i="44" a="1"/>
  <c r="U82" i="44" s="1"/>
  <c r="T94" i="44" a="1"/>
  <c r="T94" i="44" s="1"/>
  <c r="AA53" i="44" a="1"/>
  <c r="AA53" i="44" s="1"/>
  <c r="H50" i="33" a="1"/>
  <c r="H50" i="33" s="1"/>
  <c r="C35" i="33" a="1"/>
  <c r="C35" i="33" s="1"/>
  <c r="P67" i="45" a="1"/>
  <c r="P67" i="45" s="1"/>
  <c r="M97" i="44" a="1"/>
  <c r="M97" i="44" s="1"/>
  <c r="G64" i="44" a="1"/>
  <c r="G64" i="44" s="1"/>
  <c r="AU56" i="47" a="1"/>
  <c r="AU56" i="47" s="1"/>
  <c r="AN103" i="46" a="1"/>
  <c r="AN103" i="46" s="1"/>
  <c r="AE43" i="33" a="1"/>
  <c r="AE43" i="33" s="1"/>
  <c r="AK29" i="33" a="1"/>
  <c r="AK29" i="33" s="1"/>
  <c r="N82" i="44" a="1"/>
  <c r="N82" i="44" s="1"/>
  <c r="AI103" i="33" a="1"/>
  <c r="AI103" i="33" s="1"/>
  <c r="AM25" i="33" a="1"/>
  <c r="AM25" i="33" s="1"/>
  <c r="AO37" i="41" a="1"/>
  <c r="AO37" i="41" s="1"/>
  <c r="AH41" i="33" a="1"/>
  <c r="AH41" i="33" s="1"/>
  <c r="AU92" i="41" a="1"/>
  <c r="AU92" i="41" s="1"/>
  <c r="G43" i="45" a="1"/>
  <c r="G43" i="45" s="1"/>
  <c r="AF67" i="33" a="1"/>
  <c r="AF67" i="33" s="1"/>
  <c r="AO59" i="47" a="1"/>
  <c r="AO59" i="47" s="1"/>
  <c r="N16" i="33" a="1"/>
  <c r="N16" i="33" s="1"/>
  <c r="AU49" i="47" a="1"/>
  <c r="AU49" i="47" s="1"/>
  <c r="AR92" i="33" a="1"/>
  <c r="AR92" i="33" s="1"/>
  <c r="X19" i="44" a="1"/>
  <c r="X19" i="44" s="1"/>
  <c r="AJ68" i="45" a="1"/>
  <c r="AJ68" i="45" s="1"/>
  <c r="AU70" i="43" a="1"/>
  <c r="AU70" i="43" s="1"/>
  <c r="AB100" i="45" a="1"/>
  <c r="AB100" i="45" s="1"/>
  <c r="AM61" i="44" a="1"/>
  <c r="AM61" i="44" s="1"/>
  <c r="S47" i="44" a="1"/>
  <c r="S47" i="44" s="1"/>
  <c r="I73" i="44" a="1"/>
  <c r="I73" i="44" s="1"/>
  <c r="O92" i="45" a="1"/>
  <c r="O92" i="45" s="1"/>
  <c r="AB28" i="33" a="1"/>
  <c r="AB28" i="33" s="1"/>
  <c r="AJ23" i="45" a="1"/>
  <c r="AJ23" i="45" s="1"/>
  <c r="X80" i="33" a="1"/>
  <c r="X80" i="33" s="1"/>
  <c r="AO91" i="43" a="1"/>
  <c r="AO91" i="43" s="1"/>
  <c r="Y40" i="33" a="1"/>
  <c r="Y40" i="33" s="1"/>
  <c r="P104" i="44" a="1"/>
  <c r="P104" i="44" s="1"/>
  <c r="AO40" i="46" a="1"/>
  <c r="AO40" i="46" s="1"/>
  <c r="N101" i="44" a="1"/>
  <c r="N101" i="44" s="1"/>
  <c r="AO53" i="47" a="1"/>
  <c r="AO53" i="47" s="1"/>
  <c r="AA20" i="44" a="1"/>
  <c r="AA20" i="44" s="1"/>
  <c r="V19" i="44" a="1"/>
  <c r="V19" i="44" s="1"/>
  <c r="W11" i="44" a="1"/>
  <c r="W11" i="44" s="1"/>
  <c r="T28" i="33" a="1"/>
  <c r="T28" i="33" s="1"/>
  <c r="J80" i="33" a="1"/>
  <c r="J80" i="33" s="1"/>
  <c r="AI74" i="44" a="1"/>
  <c r="AI74" i="44" s="1"/>
  <c r="H76" i="33" a="1"/>
  <c r="H76" i="33" s="1"/>
  <c r="AP101" i="33" a="1"/>
  <c r="AP101" i="33" s="1"/>
  <c r="Q49" i="33" a="1"/>
  <c r="Q49" i="33" s="1"/>
  <c r="S91" i="33" a="1"/>
  <c r="S91" i="33" s="1"/>
  <c r="H74" i="44" a="1"/>
  <c r="H74" i="44" s="1"/>
  <c r="AI34" i="45" a="1"/>
  <c r="AI34" i="45" s="1"/>
  <c r="E31" i="44" a="1"/>
  <c r="E31" i="44" s="1"/>
  <c r="AE16" i="44" a="1"/>
  <c r="AE16" i="44" s="1"/>
  <c r="K10" i="33" a="1"/>
  <c r="K10" i="33" s="1"/>
  <c r="W23" i="44" a="1"/>
  <c r="W23" i="44" s="1"/>
  <c r="I73" i="45" a="1"/>
  <c r="I73" i="45" s="1"/>
  <c r="AL80" i="33" a="1"/>
  <c r="AL80" i="33" s="1"/>
  <c r="AC32" i="45" a="1"/>
  <c r="AC32" i="45" s="1"/>
  <c r="Z11" i="45" a="1"/>
  <c r="Z11" i="45" s="1"/>
  <c r="O43" i="33" a="1"/>
  <c r="O43" i="33" s="1"/>
  <c r="AI82" i="45" a="1"/>
  <c r="AI82" i="45" s="1"/>
  <c r="T104" i="44" a="1"/>
  <c r="T104" i="44" s="1"/>
  <c r="I95" i="45" a="1"/>
  <c r="I95" i="45" s="1"/>
  <c r="AV76" i="47" a="1"/>
  <c r="AV76" i="47" s="1"/>
  <c r="C85" i="46" a="1"/>
  <c r="C85" i="46" s="1"/>
  <c r="C32" i="33" a="1"/>
  <c r="C32" i="33" s="1"/>
  <c r="I31" i="46" a="1"/>
  <c r="I31" i="46" s="1"/>
  <c r="F25" i="33" a="1"/>
  <c r="F25" i="33" s="1"/>
  <c r="AN79" i="33" a="1"/>
  <c r="AN79" i="33" s="1"/>
  <c r="AQ34" i="44" a="1"/>
  <c r="AQ34" i="44" s="1"/>
  <c r="AI58" i="33" a="1"/>
  <c r="AI58" i="33" s="1"/>
  <c r="AV67" i="43" a="1"/>
  <c r="AV67" i="43" s="1"/>
  <c r="AV44" i="41" a="1"/>
  <c r="AV44" i="41" s="1"/>
  <c r="AN71" i="41" a="1"/>
  <c r="AN71" i="41" s="1"/>
  <c r="AP59" i="45" a="1"/>
  <c r="AP59" i="45" s="1"/>
  <c r="AU41" i="43" a="1"/>
  <c r="AU41" i="43" s="1"/>
  <c r="C37" i="43" a="1"/>
  <c r="C37" i="43" s="1"/>
  <c r="I77" i="45" a="1"/>
  <c r="I77" i="45" s="1"/>
  <c r="AU20" i="41" a="1"/>
  <c r="AU20" i="41" s="1"/>
  <c r="K17" i="45" a="1"/>
  <c r="K17" i="45" s="1"/>
  <c r="C94" i="43" a="1"/>
  <c r="C94" i="43" s="1"/>
  <c r="T62" i="45" a="1"/>
  <c r="T62" i="45" s="1"/>
  <c r="AM28" i="33" a="1"/>
  <c r="AM28" i="33" s="1"/>
  <c r="I23" i="43" a="1"/>
  <c r="I23" i="43" s="1"/>
  <c r="AI53" i="45" a="1"/>
  <c r="AI53" i="45" s="1"/>
  <c r="AN68" i="43" a="1"/>
  <c r="AN68" i="43" s="1"/>
  <c r="I43" i="43" a="1"/>
  <c r="I43" i="43" s="1"/>
  <c r="AL29" i="45" a="1"/>
  <c r="AL29" i="45" s="1"/>
  <c r="AU23" i="41" a="1"/>
  <c r="AU23" i="41" s="1"/>
  <c r="G32" i="33" a="1"/>
  <c r="G32" i="33" s="1"/>
  <c r="C74" i="44" a="1"/>
  <c r="C74" i="44" s="1"/>
  <c r="F82" i="45" a="1"/>
  <c r="F82" i="45" s="1"/>
  <c r="I59" i="41" a="1"/>
  <c r="I59" i="41" s="1"/>
  <c r="N80" i="44" a="1"/>
  <c r="N80" i="44" s="1"/>
  <c r="C58" i="44" a="1"/>
  <c r="C58" i="44" s="1"/>
  <c r="AN65" i="41" a="1"/>
  <c r="AN65" i="41" s="1"/>
  <c r="AB20" i="33" a="1"/>
  <c r="AB20" i="33" s="1"/>
  <c r="E98" i="45" a="1"/>
  <c r="E98" i="45" s="1"/>
  <c r="AE86" i="44" a="1"/>
  <c r="AE86" i="44" s="1"/>
  <c r="T83" i="33" a="1"/>
  <c r="T83" i="33" s="1"/>
  <c r="AO34" i="43" a="1"/>
  <c r="AO34" i="43" s="1"/>
  <c r="AN56" i="46" a="1"/>
  <c r="AN56" i="46" s="1"/>
  <c r="J44" i="45" a="1"/>
  <c r="J44" i="45" s="1"/>
  <c r="X83" i="45" a="1"/>
  <c r="X83" i="45" s="1"/>
  <c r="O26" i="33" a="1"/>
  <c r="O26" i="33" s="1"/>
  <c r="G59" i="33" a="1"/>
  <c r="G59" i="33" s="1"/>
  <c r="Y64" i="45" a="1"/>
  <c r="Y64" i="45" s="1"/>
  <c r="T104" i="45" a="1"/>
  <c r="T104" i="45" s="1"/>
  <c r="AV59" i="43" a="1"/>
  <c r="AV59" i="43" s="1"/>
  <c r="AU92" i="47" a="1"/>
  <c r="AU92" i="47" s="1"/>
  <c r="AD88" i="33" a="1"/>
  <c r="AD88" i="33" s="1"/>
  <c r="AU43" i="46" a="1"/>
  <c r="AU43" i="46" s="1"/>
  <c r="AI35" i="44" a="1"/>
  <c r="AI35" i="44" s="1"/>
  <c r="AA103" i="44" a="1"/>
  <c r="AA103" i="44" s="1"/>
  <c r="X70" i="33" a="1"/>
  <c r="X70" i="33" s="1"/>
  <c r="AL68" i="44" a="1"/>
  <c r="AL68" i="44" s="1"/>
  <c r="AR20" i="45" a="1"/>
  <c r="AR20" i="45" s="1"/>
  <c r="Z86" i="45" a="1"/>
  <c r="Z86" i="45" s="1"/>
  <c r="G58" i="44" a="1"/>
  <c r="G58" i="44" s="1"/>
  <c r="R92" i="44" a="1"/>
  <c r="R92" i="44" s="1"/>
  <c r="AJ74" i="44" a="1"/>
  <c r="AJ74" i="44" s="1"/>
  <c r="AQ37" i="45" a="1"/>
  <c r="AQ37" i="45" s="1"/>
  <c r="U38" i="44" a="1"/>
  <c r="U38" i="44" s="1"/>
  <c r="H85" i="33" a="1"/>
  <c r="H85" i="33" s="1"/>
  <c r="E25" i="44" a="1"/>
  <c r="E25" i="44" s="1"/>
  <c r="AM55" i="33" a="1"/>
  <c r="AM55" i="33" s="1"/>
  <c r="AK47" i="44" a="1"/>
  <c r="AK47" i="44" s="1"/>
  <c r="AA80" i="44" a="1"/>
  <c r="AA80" i="44" s="1"/>
  <c r="Q16" i="33" a="1"/>
  <c r="Q16" i="33" s="1"/>
  <c r="AG76" i="44" a="1"/>
  <c r="AG76" i="44" s="1"/>
  <c r="G34" i="44" a="1"/>
  <c r="G34" i="44" s="1"/>
  <c r="AR51" i="43"/>
  <c r="AV71" i="47" a="1"/>
  <c r="AV71" i="47" s="1"/>
  <c r="AU46" i="41" a="1"/>
  <c r="AU46" i="41" s="1"/>
  <c r="AL64" i="44" a="1"/>
  <c r="AL64" i="44" s="1"/>
  <c r="AN91" i="44" a="1"/>
  <c r="AN91" i="44" s="1"/>
  <c r="AJ11" i="44" a="1"/>
  <c r="AJ11" i="44" s="1"/>
  <c r="E92" i="45" a="1"/>
  <c r="E92" i="45" s="1"/>
  <c r="AI64" i="33" a="1"/>
  <c r="AI64" i="33" s="1"/>
  <c r="AU62" i="41" a="1"/>
  <c r="AU62" i="41" s="1"/>
  <c r="X11" i="45" a="1"/>
  <c r="X11" i="45" s="1"/>
  <c r="AF98" i="33" a="1"/>
  <c r="AF98" i="33" s="1"/>
  <c r="Y73" i="45" a="1"/>
  <c r="Y73" i="45" s="1"/>
  <c r="P85" i="45" a="1"/>
  <c r="P85" i="45" s="1"/>
  <c r="H77" i="45" a="1"/>
  <c r="H77" i="45" s="1"/>
  <c r="J70" i="44" a="1"/>
  <c r="J70" i="44" s="1"/>
  <c r="N25" i="45" a="1"/>
  <c r="N25" i="45" s="1"/>
  <c r="AH40" i="33" a="1"/>
  <c r="AH40" i="33" s="1"/>
  <c r="AJ47" i="44" a="1"/>
  <c r="AJ47" i="44" s="1"/>
  <c r="AV32" i="43" a="1"/>
  <c r="AV32" i="43" s="1"/>
  <c r="AM95" i="33" a="1"/>
  <c r="AM95" i="33" s="1"/>
  <c r="AA62" i="44" a="1"/>
  <c r="AA62" i="44" s="1"/>
  <c r="L85" i="45" a="1"/>
  <c r="L85" i="45" s="1"/>
  <c r="W70" i="45" a="1"/>
  <c r="W70" i="45" s="1"/>
  <c r="E68" i="45" a="1"/>
  <c r="E68" i="45" s="1"/>
  <c r="AP76" i="33" a="1"/>
  <c r="AP76" i="33" s="1"/>
  <c r="AA55" i="44" a="1"/>
  <c r="AA55" i="44" s="1"/>
  <c r="J104" i="33" a="1"/>
  <c r="J104" i="33" s="1"/>
  <c r="AL41" i="33" a="1"/>
  <c r="AL41" i="33" s="1"/>
  <c r="W77" i="33" a="1"/>
  <c r="W77" i="33" s="1"/>
  <c r="V50" i="33" a="1"/>
  <c r="V50" i="33" s="1"/>
  <c r="P53" i="45" a="1"/>
  <c r="P53" i="45" s="1"/>
  <c r="F20" i="33" a="1"/>
  <c r="F20" i="33" s="1"/>
  <c r="P94" i="44" a="1"/>
  <c r="P94" i="44" s="1"/>
  <c r="AJ83" i="33" a="1"/>
  <c r="AJ83" i="33" s="1"/>
  <c r="AE46" i="33" a="1"/>
  <c r="AE46" i="33" s="1"/>
  <c r="E98" i="44" a="1"/>
  <c r="E98" i="44" s="1"/>
  <c r="AQ44" i="44" a="1"/>
  <c r="AQ44" i="44" s="1"/>
  <c r="AQ28" i="45" a="1"/>
  <c r="AQ28" i="45" s="1"/>
  <c r="AQ46" i="45" a="1"/>
  <c r="AQ46" i="45" s="1"/>
  <c r="AK73" i="44" a="1"/>
  <c r="AK73" i="44" s="1"/>
  <c r="AO92" i="33" a="1"/>
  <c r="AO92" i="33" s="1"/>
  <c r="AD82" i="44" a="1"/>
  <c r="AD82" i="44" s="1"/>
  <c r="C67" i="46" a="1"/>
  <c r="C67" i="46" s="1"/>
  <c r="AN104" i="45" a="1"/>
  <c r="AN104" i="45" s="1"/>
  <c r="AM40" i="45" a="1"/>
  <c r="AM40" i="45" s="1"/>
  <c r="AV77" i="41" a="1"/>
  <c r="AV77" i="41" s="1"/>
  <c r="AF56" i="45" a="1"/>
  <c r="AF56" i="45" s="1"/>
  <c r="AE50" i="44" a="1"/>
  <c r="AE50" i="44" s="1"/>
  <c r="AO50" i="41" a="1"/>
  <c r="AO50" i="41" s="1"/>
  <c r="AV73" i="41" a="1"/>
  <c r="AV73" i="41" s="1"/>
  <c r="AG46" i="33" a="1"/>
  <c r="AG46" i="33" s="1"/>
  <c r="AK53" i="33" a="1"/>
  <c r="AK53" i="33" s="1"/>
  <c r="AO100" i="47" a="1"/>
  <c r="AO100" i="47" s="1"/>
  <c r="AV86" i="47" a="1"/>
  <c r="AV86" i="47" s="1"/>
  <c r="AO53" i="44" a="1"/>
  <c r="AO53" i="44" s="1"/>
  <c r="AD69" i="43"/>
  <c r="N47" i="45" a="1"/>
  <c r="N47" i="45" s="1"/>
  <c r="Y50" i="45" a="1"/>
  <c r="Y50" i="45" s="1"/>
  <c r="AV94" i="43" a="1"/>
  <c r="AV94" i="43" s="1"/>
  <c r="AF31" i="33" a="1"/>
  <c r="AF31" i="33" s="1"/>
  <c r="U29" i="45" a="1"/>
  <c r="U29" i="45" s="1"/>
  <c r="G49" i="45" a="1"/>
  <c r="G49" i="45" s="1"/>
  <c r="AK100" i="33" a="1"/>
  <c r="AK100" i="33" s="1"/>
  <c r="C83" i="45" a="1"/>
  <c r="C83" i="45" s="1"/>
  <c r="AQ17" i="44" a="1"/>
  <c r="AQ17" i="44" s="1"/>
  <c r="N25" i="33" a="1"/>
  <c r="N25" i="33" s="1"/>
  <c r="H94" i="45" a="1"/>
  <c r="H94" i="45" s="1"/>
  <c r="E83" i="45" a="1"/>
  <c r="E83" i="45" s="1"/>
  <c r="C34" i="44" a="1"/>
  <c r="C34" i="44" s="1"/>
  <c r="O52" i="44" a="1"/>
  <c r="O52" i="44" s="1"/>
  <c r="I91" i="47" a="1"/>
  <c r="I91" i="47" s="1"/>
  <c r="AA59" i="44" a="1"/>
  <c r="AA59" i="44" s="1"/>
  <c r="AQ103" i="45" a="1"/>
  <c r="AQ103" i="45" s="1"/>
  <c r="L52" i="45" a="1"/>
  <c r="L52" i="45" s="1"/>
  <c r="P46" i="45" a="1"/>
  <c r="P46" i="45" s="1"/>
  <c r="Q65" i="45" a="1"/>
  <c r="Q65" i="45" s="1"/>
  <c r="AK19" i="33" a="1"/>
  <c r="AK19" i="33" s="1"/>
  <c r="V11" i="44" a="1"/>
  <c r="V11" i="44" s="1"/>
  <c r="AF80" i="33" a="1"/>
  <c r="AF80" i="33" s="1"/>
  <c r="AO94" i="45" a="1"/>
  <c r="AO94" i="45" s="1"/>
  <c r="G103" i="44" a="1"/>
  <c r="G103" i="44" s="1"/>
  <c r="F101" i="44" a="1"/>
  <c r="F101" i="44" s="1"/>
  <c r="AO34" i="44" a="1"/>
  <c r="AO34" i="44" s="1"/>
  <c r="AN49" i="47" a="1"/>
  <c r="AN49" i="47" s="1"/>
  <c r="I34" i="47" a="1"/>
  <c r="I34" i="47" s="1"/>
  <c r="AP104" i="33" a="1"/>
  <c r="AP104" i="33" s="1"/>
  <c r="N98" i="44" a="1"/>
  <c r="N98" i="44" s="1"/>
  <c r="C65" i="41" a="1"/>
  <c r="C65" i="41" s="1"/>
  <c r="K20" i="45" a="1"/>
  <c r="K20" i="45" s="1"/>
  <c r="M28" i="44" a="1"/>
  <c r="M28" i="44" s="1"/>
  <c r="AQ92" i="45" a="1"/>
  <c r="AQ92" i="45" s="1"/>
  <c r="C41" i="44" a="1"/>
  <c r="C41" i="44" s="1"/>
  <c r="AH55" i="45" a="1"/>
  <c r="AH55" i="45" s="1"/>
  <c r="Y86" i="44" a="1"/>
  <c r="Y86" i="44" s="1"/>
  <c r="AR71" i="33" a="1"/>
  <c r="AR71" i="33" s="1"/>
  <c r="AC50" i="33" a="1"/>
  <c r="AC50" i="33" s="1"/>
  <c r="AL98" i="45" a="1"/>
  <c r="AL98" i="45" s="1"/>
  <c r="AU11" i="43" a="1"/>
  <c r="AU11" i="43" s="1"/>
  <c r="AQ86" i="45" a="1"/>
  <c r="AQ86" i="45" s="1"/>
  <c r="C73" i="47" a="1"/>
  <c r="C73" i="47" s="1"/>
  <c r="AH11" i="45" a="1"/>
  <c r="AH11" i="45" s="1"/>
  <c r="AH64" i="44" a="1"/>
  <c r="AH64" i="44" s="1"/>
  <c r="P41" i="45" a="1"/>
  <c r="P41" i="45" s="1"/>
  <c r="C40" i="46" a="1"/>
  <c r="C40" i="46" s="1"/>
  <c r="T103" i="33" a="1"/>
  <c r="T103" i="33" s="1"/>
  <c r="H73" i="45" a="1"/>
  <c r="H73" i="45" s="1"/>
  <c r="AH94" i="33" a="1"/>
  <c r="AH94" i="33" s="1"/>
  <c r="K22" i="45" a="1"/>
  <c r="K22" i="45" s="1"/>
  <c r="AU95" i="43" a="1"/>
  <c r="AU95" i="43" s="1"/>
  <c r="E41" i="44" a="1"/>
  <c r="E41" i="44" s="1"/>
  <c r="AN43" i="47" a="1"/>
  <c r="AN43" i="47" s="1"/>
  <c r="AO73" i="45" a="1"/>
  <c r="AO73" i="45" s="1"/>
  <c r="O83" i="45" a="1"/>
  <c r="O83" i="45" s="1"/>
  <c r="L46" i="44" a="1"/>
  <c r="L46" i="44" s="1"/>
  <c r="AU64" i="41" a="1"/>
  <c r="AU64" i="41" s="1"/>
  <c r="Q44" i="45" a="1"/>
  <c r="Q44" i="45" s="1"/>
  <c r="AI85" i="44" a="1"/>
  <c r="AI85" i="44" s="1"/>
  <c r="X47" i="44" a="1"/>
  <c r="X47" i="44" s="1"/>
  <c r="AG77" i="45" a="1"/>
  <c r="AG77" i="45" s="1"/>
  <c r="AQ51" i="41"/>
  <c r="J34" i="45" a="1"/>
  <c r="J34" i="45" s="1"/>
  <c r="Z29" i="33" a="1"/>
  <c r="Z29" i="33" s="1"/>
  <c r="V31" i="44" a="1"/>
  <c r="V31" i="44" s="1"/>
  <c r="H62" i="33" a="1"/>
  <c r="H62" i="33" s="1"/>
  <c r="C80" i="42" a="1"/>
  <c r="C80" i="42" s="1"/>
  <c r="AK76" i="33" a="1"/>
  <c r="AK76" i="33" s="1"/>
  <c r="AK22" i="44" a="1"/>
  <c r="AK22" i="44" s="1"/>
  <c r="X56" i="44" a="1"/>
  <c r="X56" i="44" s="1"/>
  <c r="W61" i="45" a="1"/>
  <c r="W61" i="45" s="1"/>
  <c r="AQ19" i="44" a="1"/>
  <c r="AQ19" i="44" s="1"/>
  <c r="U77" i="45" a="1"/>
  <c r="U77" i="45" s="1"/>
  <c r="AA35" i="33" a="1"/>
  <c r="AA35" i="33" s="1"/>
  <c r="AI95" i="45" a="1"/>
  <c r="AI95" i="45" s="1"/>
  <c r="Q80" i="33" a="1"/>
  <c r="Q80" i="33" s="1"/>
  <c r="L40" i="44" a="1"/>
  <c r="L40" i="44" s="1"/>
  <c r="X73" i="33" a="1"/>
  <c r="X73" i="33" s="1"/>
  <c r="AA25" i="45" a="1"/>
  <c r="AA25" i="45" s="1"/>
  <c r="AO56" i="41" a="1"/>
  <c r="AO56" i="41" s="1"/>
  <c r="I100" i="33" a="1"/>
  <c r="I100" i="33" s="1"/>
  <c r="S98" i="45" a="1"/>
  <c r="S98" i="45" s="1"/>
  <c r="AF43" i="33" a="1"/>
  <c r="AF43" i="33" s="1"/>
  <c r="AF42" i="33" s="1"/>
  <c r="AO82" i="41" a="1"/>
  <c r="AO82" i="41" s="1"/>
  <c r="I10" i="33" a="1"/>
  <c r="I10" i="33" s="1"/>
  <c r="Y53" i="44" a="1"/>
  <c r="Y53" i="44" s="1"/>
  <c r="G89" i="44" a="1"/>
  <c r="G89" i="44" s="1"/>
  <c r="C34" i="46" a="1"/>
  <c r="C34" i="46" s="1"/>
  <c r="T34" i="45" a="1"/>
  <c r="T34" i="45" s="1"/>
  <c r="AL100" i="44" a="1"/>
  <c r="AL100" i="44" s="1"/>
  <c r="C86" i="47" a="1"/>
  <c r="C86" i="47" s="1"/>
  <c r="I47" i="41" a="1"/>
  <c r="I47" i="41" s="1"/>
  <c r="AD17" i="45" a="1"/>
  <c r="AD17" i="45" s="1"/>
  <c r="M32" i="45" a="1"/>
  <c r="M32" i="45" s="1"/>
  <c r="AI94" i="33" a="1"/>
  <c r="AI94" i="33" s="1"/>
  <c r="AQ38" i="45" a="1"/>
  <c r="AQ38" i="45" s="1"/>
  <c r="C40" i="42" a="1"/>
  <c r="C40" i="42" s="1"/>
  <c r="AG103" i="44" a="1"/>
  <c r="AG103" i="44" s="1"/>
  <c r="T71" i="44" a="1"/>
  <c r="T71" i="44" s="1"/>
  <c r="AB104" i="44" a="1"/>
  <c r="AB104" i="44" s="1"/>
  <c r="AP23" i="33" a="1"/>
  <c r="AP23" i="33" s="1"/>
  <c r="S53" i="33" a="1"/>
  <c r="S53" i="33" s="1"/>
  <c r="AF49" i="45" a="1"/>
  <c r="AF49" i="45" s="1"/>
  <c r="AA89" i="44" a="1"/>
  <c r="AA89" i="44" s="1"/>
  <c r="AV101" i="46" a="1"/>
  <c r="AV101" i="46" s="1"/>
  <c r="AG89" i="33" a="1"/>
  <c r="AG89" i="33" s="1"/>
  <c r="P56" i="45" a="1"/>
  <c r="P56" i="45" s="1"/>
  <c r="AD80" i="33" a="1"/>
  <c r="AD80" i="33" s="1"/>
  <c r="AP25" i="33" a="1"/>
  <c r="AP25" i="33" s="1"/>
  <c r="G71" i="33" a="1"/>
  <c r="G71" i="33" s="1"/>
  <c r="Z94" i="44" a="1"/>
  <c r="Z94" i="44" s="1"/>
  <c r="T19" i="44" a="1"/>
  <c r="T19" i="44" s="1"/>
  <c r="AG70" i="33" a="1"/>
  <c r="AG70" i="33" s="1"/>
  <c r="AA97" i="45" a="1"/>
  <c r="AA97" i="45" s="1"/>
  <c r="F35" i="44" a="1"/>
  <c r="F35" i="44" s="1"/>
  <c r="M95" i="45" a="1"/>
  <c r="M95" i="45"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Q23" i="45" a="1"/>
  <c r="AQ23" i="45" s="1"/>
  <c r="G19" i="33" a="1"/>
  <c r="G19" i="33" s="1"/>
  <c r="AR47" i="33" a="1"/>
  <c r="AR47" i="33" s="1"/>
  <c r="T70" i="33" a="1"/>
  <c r="T70" i="33" s="1"/>
  <c r="AM27" i="46"/>
  <c r="U59" i="44" a="1"/>
  <c r="U59" i="44" s="1"/>
  <c r="AI91" i="45" a="1"/>
  <c r="AI91" i="45" s="1"/>
  <c r="Y89" i="45" a="1"/>
  <c r="Y89" i="45" s="1"/>
  <c r="V35" i="45" a="1"/>
  <c r="V35" i="45" s="1"/>
  <c r="V65" i="45" a="1"/>
  <c r="V65" i="45" s="1"/>
  <c r="AI19" i="45" a="1"/>
  <c r="AI19" i="45" s="1"/>
  <c r="AU43" i="41" a="1"/>
  <c r="AU43" i="41" s="1"/>
  <c r="K25" i="33" a="1"/>
  <c r="K25" i="33" s="1"/>
  <c r="T76" i="33" a="1"/>
  <c r="T76" i="33" s="1"/>
  <c r="U101" i="33" a="1"/>
  <c r="U101" i="33" s="1"/>
  <c r="AD29" i="45" a="1"/>
  <c r="AD29" i="45" s="1"/>
  <c r="J10" i="44" a="1"/>
  <c r="J10" i="44" s="1"/>
  <c r="AJ62" i="33" a="1"/>
  <c r="AJ62" i="33" s="1"/>
  <c r="I70" i="45" a="1"/>
  <c r="I70" i="45" s="1"/>
  <c r="AE28" i="45" a="1"/>
  <c r="AE28" i="45" s="1"/>
  <c r="K59" i="44" a="1"/>
  <c r="K59" i="44" s="1"/>
  <c r="AK86" i="44" a="1"/>
  <c r="AK86" i="44" s="1"/>
  <c r="Q56" i="45" a="1"/>
  <c r="Q56" i="45" s="1"/>
  <c r="Y55" i="33" a="1"/>
  <c r="Y55" i="33" s="1"/>
  <c r="AU104" i="43" a="1"/>
  <c r="AU104" i="43" s="1"/>
  <c r="X28" i="33" a="1"/>
  <c r="X28" i="33" s="1"/>
  <c r="AL28" i="44" a="1"/>
  <c r="AL28" i="44" s="1"/>
  <c r="AA44" i="44" a="1"/>
  <c r="AA44" i="44" s="1"/>
  <c r="U71" i="45" a="1"/>
  <c r="U71" i="45" s="1"/>
  <c r="C79" i="42" a="1"/>
  <c r="C79" i="42" s="1"/>
  <c r="Z16" i="45" a="1"/>
  <c r="Z16" i="45" s="1"/>
  <c r="AP16" i="45" a="1"/>
  <c r="AP16" i="45" s="1"/>
  <c r="AV94" i="46" a="1"/>
  <c r="AV94" i="46" s="1"/>
  <c r="I44" i="45" a="1"/>
  <c r="I44" i="45" s="1"/>
  <c r="AE73" i="44" a="1"/>
  <c r="AE73" i="44" s="1"/>
  <c r="AQ61" i="33" a="1"/>
  <c r="AQ61" i="33" s="1"/>
  <c r="AC28" i="33" a="1"/>
  <c r="AC28" i="33" s="1"/>
  <c r="AG34" i="44" a="1"/>
  <c r="AG34" i="44" s="1"/>
  <c r="AG33" i="44" s="1"/>
  <c r="U70" i="45" a="1"/>
  <c r="U70" i="45" s="1"/>
  <c r="O58" i="33" a="1"/>
  <c r="O58" i="33" s="1"/>
  <c r="F56" i="44" a="1"/>
  <c r="F56" i="44" s="1"/>
  <c r="AL94" i="44" a="1"/>
  <c r="AL94" i="44" s="1"/>
  <c r="AL71" i="44" a="1"/>
  <c r="AL71" i="44" s="1"/>
  <c r="M44" i="44" a="1"/>
  <c r="M44" i="44" s="1"/>
  <c r="C52" i="43" a="1"/>
  <c r="C52" i="43" s="1"/>
  <c r="S85" i="45" a="1"/>
  <c r="S85" i="45" s="1"/>
  <c r="J31" i="44" a="1"/>
  <c r="J31" i="44" s="1"/>
  <c r="AO32" i="44" a="1"/>
  <c r="AO32" i="44" s="1"/>
  <c r="AV80" i="46" a="1"/>
  <c r="AV80" i="46" s="1"/>
  <c r="P52" i="33" a="1"/>
  <c r="P52" i="33" s="1"/>
  <c r="AB31" i="33" a="1"/>
  <c r="AB31" i="33" s="1"/>
  <c r="AQ34" i="33" a="1"/>
  <c r="AQ34" i="33" s="1"/>
  <c r="AR79" i="33" a="1"/>
  <c r="AR79" i="33" s="1"/>
  <c r="AO16" i="44" a="1"/>
  <c r="AO16" i="44" s="1"/>
  <c r="W17" i="33" a="1"/>
  <c r="W17" i="33" s="1"/>
  <c r="AE73" i="45" a="1"/>
  <c r="AE73" i="45" s="1"/>
  <c r="AV95" i="47" a="1"/>
  <c r="AV95" i="47" s="1"/>
  <c r="AP46" i="45" a="1"/>
  <c r="AP46" i="45" s="1"/>
  <c r="U94" i="45" a="1"/>
  <c r="U94" i="45" s="1"/>
  <c r="AF68" i="33" a="1"/>
  <c r="AF68" i="33" s="1"/>
  <c r="AF66" i="33" s="1"/>
  <c r="AE76" i="44" a="1"/>
  <c r="AE76" i="44" s="1"/>
  <c r="L97" i="45" a="1"/>
  <c r="L97" i="45" s="1"/>
  <c r="G104" i="44" a="1"/>
  <c r="G104" i="44" s="1"/>
  <c r="Q44" i="44" a="1"/>
  <c r="Q44" i="44" s="1"/>
  <c r="AO67" i="46" a="1"/>
  <c r="AO67" i="46" s="1"/>
  <c r="AU74" i="47" a="1"/>
  <c r="AU74" i="47" s="1"/>
  <c r="AV85" i="41" a="1"/>
  <c r="AV85" i="41" s="1"/>
  <c r="H77" i="33" a="1"/>
  <c r="H77" i="33" s="1"/>
  <c r="AO55" i="44" a="1"/>
  <c r="AO55" i="44" s="1"/>
  <c r="U68" i="44" a="1"/>
  <c r="U68" i="44" s="1"/>
  <c r="AF98" i="45" a="1"/>
  <c r="AF98" i="45" s="1"/>
  <c r="P58" i="44" a="1"/>
  <c r="P58" i="44" s="1"/>
  <c r="AA40" i="44" a="1"/>
  <c r="AA40" i="44" s="1"/>
  <c r="X64" i="45" a="1"/>
  <c r="X64" i="45" s="1"/>
  <c r="E56" i="33" a="1"/>
  <c r="E56" i="33" s="1"/>
  <c r="AH20" i="44" a="1"/>
  <c r="AH20" i="44" s="1"/>
  <c r="AO65" i="41" a="1"/>
  <c r="AO65" i="41" s="1"/>
  <c r="J38" i="33" a="1"/>
  <c r="J38" i="33" s="1"/>
  <c r="AC49" i="33" a="1"/>
  <c r="AC49" i="33" s="1"/>
  <c r="T20" i="45" a="1"/>
  <c r="T20" i="45" s="1"/>
  <c r="M85" i="33" a="1"/>
  <c r="M85" i="33" s="1"/>
  <c r="I50" i="33" a="1"/>
  <c r="I50" i="33" s="1"/>
  <c r="AJ94" i="45" a="1"/>
  <c r="AJ94" i="45" s="1"/>
  <c r="S17" i="45" a="1"/>
  <c r="S17" i="45" s="1"/>
  <c r="N29" i="44" a="1"/>
  <c r="N29" i="44" s="1"/>
  <c r="U65" i="45" a="1"/>
  <c r="U65" i="45" s="1"/>
  <c r="AN52" i="41" a="1"/>
  <c r="AN52" i="41" s="1"/>
  <c r="N53" i="44" a="1"/>
  <c r="N53" i="44" s="1"/>
  <c r="AV100" i="41" a="1"/>
  <c r="AV100" i="41" s="1"/>
  <c r="K79" i="45" a="1"/>
  <c r="K79" i="45" s="1"/>
  <c r="C61" i="45" a="1"/>
  <c r="C61" i="45" s="1"/>
  <c r="U103" i="45" a="1"/>
  <c r="U103" i="45" s="1"/>
  <c r="S101" i="45" a="1"/>
  <c r="S101" i="45" s="1"/>
  <c r="AB68" i="45" a="1"/>
  <c r="AB68" i="45" s="1"/>
  <c r="AE16" i="45" a="1"/>
  <c r="AE16" i="45" s="1"/>
  <c r="AR31" i="45" a="1"/>
  <c r="AR31" i="45" s="1"/>
  <c r="Y84" i="46"/>
  <c r="AU95" i="41" a="1"/>
  <c r="AU95" i="41" s="1"/>
  <c r="AV80" i="47" a="1"/>
  <c r="AV80" i="47" s="1"/>
  <c r="AR26" i="33" a="1"/>
  <c r="AR26" i="33" s="1"/>
  <c r="AN10" i="44" a="1"/>
  <c r="AN10" i="44" s="1"/>
  <c r="AK77" i="33" a="1"/>
  <c r="AK77" i="33" s="1"/>
  <c r="I46" i="46" a="1"/>
  <c r="I46" i="46" s="1"/>
  <c r="AR58" i="33" a="1"/>
  <c r="AR58" i="33" s="1"/>
  <c r="M73" i="33" a="1"/>
  <c r="M73" i="33" s="1"/>
  <c r="I80" i="46" a="1"/>
  <c r="I80" i="46" s="1"/>
  <c r="AS42" i="46"/>
  <c r="S85" i="33" a="1"/>
  <c r="S85" i="33" s="1"/>
  <c r="AU88" i="41" a="1"/>
  <c r="AU88" i="41" s="1"/>
  <c r="J38" i="45" a="1"/>
  <c r="J38" i="45" s="1"/>
  <c r="AC82" i="33" a="1"/>
  <c r="AC82" i="33" s="1"/>
  <c r="AG16" i="33" a="1"/>
  <c r="AG16" i="33" s="1"/>
  <c r="M56" i="33" a="1"/>
  <c r="M56" i="33" s="1"/>
  <c r="AO19" i="41" a="1"/>
  <c r="AO19" i="41" s="1"/>
  <c r="AN41" i="43" a="1"/>
  <c r="AN41" i="43" s="1"/>
  <c r="AJ98" i="45" a="1"/>
  <c r="AJ98" i="45" s="1"/>
  <c r="AU76" i="47" a="1"/>
  <c r="AU76" i="47" s="1"/>
  <c r="J26" i="44" a="1"/>
  <c r="J26" i="44" s="1"/>
  <c r="I34" i="43" a="1"/>
  <c r="I34" i="43" s="1"/>
  <c r="Y62" i="44" a="1"/>
  <c r="Y62" i="44" s="1"/>
  <c r="Y60" i="44" s="1"/>
  <c r="J86" i="33" a="1"/>
  <c r="J86" i="33" s="1"/>
  <c r="C71" i="46" a="1"/>
  <c r="C71" i="46" s="1"/>
  <c r="F40" i="44" a="1"/>
  <c r="F40" i="44" s="1"/>
  <c r="AD38" i="44" a="1"/>
  <c r="AD38" i="44" s="1"/>
  <c r="K100" i="44" a="1"/>
  <c r="K100" i="44" s="1"/>
  <c r="AO92" i="44" a="1"/>
  <c r="AO92" i="44" s="1"/>
  <c r="I64" i="45" a="1"/>
  <c r="I64" i="45" s="1"/>
  <c r="Q52" i="33" a="1"/>
  <c r="Q52" i="33" s="1"/>
  <c r="X26" i="33" a="1"/>
  <c r="X26" i="33" s="1"/>
  <c r="AO37" i="44" a="1"/>
  <c r="AO37" i="44" s="1"/>
  <c r="AO23" i="47" a="1"/>
  <c r="AO23" i="47" s="1"/>
  <c r="Q31" i="33" a="1"/>
  <c r="Q31" i="33" s="1"/>
  <c r="AL40" i="33" a="1"/>
  <c r="AL40" i="33" s="1"/>
  <c r="H20" i="44" a="1"/>
  <c r="H20" i="44" s="1"/>
  <c r="H59" i="44" a="1"/>
  <c r="H59" i="44" s="1"/>
  <c r="L34" i="33" a="1"/>
  <c r="L34" i="33" s="1"/>
  <c r="G68" i="33" a="1"/>
  <c r="G68" i="33" s="1"/>
  <c r="AK25" i="44" a="1"/>
  <c r="AK25" i="44" s="1"/>
  <c r="C82" i="43" a="1"/>
  <c r="C82" i="43" s="1"/>
  <c r="F97" i="45" a="1"/>
  <c r="F97" i="45" s="1"/>
  <c r="X82" i="33" a="1"/>
  <c r="X82" i="33" s="1"/>
  <c r="AP75" i="43"/>
  <c r="I101" i="47" a="1"/>
  <c r="I101" i="47" s="1"/>
  <c r="AO40" i="33" a="1"/>
  <c r="AO40" i="33" s="1"/>
  <c r="AA43" i="45" a="1"/>
  <c r="AA43" i="45" s="1"/>
  <c r="S19" i="45" a="1"/>
  <c r="S19" i="45" s="1"/>
  <c r="AP11" i="44" a="1"/>
  <c r="AP11" i="44" s="1"/>
  <c r="AE58" i="33" a="1"/>
  <c r="AE58" i="33" s="1"/>
  <c r="C98" i="43" a="1"/>
  <c r="C98" i="43" s="1"/>
  <c r="AE91" i="33" a="1"/>
  <c r="AE91" i="33" s="1"/>
  <c r="G22" i="44" a="1"/>
  <c r="G22" i="44" s="1"/>
  <c r="AV19" i="41" a="1"/>
  <c r="AV19" i="41" s="1"/>
  <c r="AG50" i="44" a="1"/>
  <c r="AG50" i="44" s="1"/>
  <c r="AD26" i="44" a="1"/>
  <c r="AD26" i="44" s="1"/>
  <c r="W37" i="45" a="1"/>
  <c r="W37" i="45" s="1"/>
  <c r="AB91" i="33" a="1"/>
  <c r="AB91" i="33" s="1"/>
  <c r="O52" i="45" a="1"/>
  <c r="O52" i="45" s="1"/>
  <c r="AG62" i="33" a="1"/>
  <c r="AG62" i="33" s="1"/>
  <c r="E25" i="45" a="1"/>
  <c r="E25" i="45" s="1"/>
  <c r="C34" i="45" a="1"/>
  <c r="C34" i="45" s="1"/>
  <c r="S77" i="44" a="1"/>
  <c r="S77" i="44" s="1"/>
  <c r="AB52" i="33" a="1"/>
  <c r="AB52" i="33" s="1"/>
  <c r="H91" i="33" a="1"/>
  <c r="H91" i="33" s="1"/>
  <c r="H25" i="45" a="1"/>
  <c r="H25" i="45" s="1"/>
  <c r="AK94" i="33" a="1"/>
  <c r="AK94" i="33" s="1"/>
  <c r="F34" i="44" a="1"/>
  <c r="F34" i="44" s="1"/>
  <c r="AF64" i="45" a="1"/>
  <c r="AF64" i="45" s="1"/>
  <c r="T16" i="33" a="1"/>
  <c r="T16" i="33" s="1"/>
  <c r="AP39" i="41"/>
  <c r="AV97" i="46" a="1"/>
  <c r="AV97" i="46" s="1"/>
  <c r="Q23" i="44" a="1"/>
  <c r="Q23" i="44" s="1"/>
  <c r="AP53" i="44" a="1"/>
  <c r="AP53" i="44" s="1"/>
  <c r="O19" i="44" a="1"/>
  <c r="O19" i="44" s="1"/>
  <c r="AR97" i="44" a="1"/>
  <c r="AR97" i="44" s="1"/>
  <c r="V25" i="33" a="1"/>
  <c r="V25" i="33" s="1"/>
  <c r="F50" i="45" a="1"/>
  <c r="F50" i="45" s="1"/>
  <c r="J86" i="45" a="1"/>
  <c r="J86" i="45" s="1"/>
  <c r="H50" i="45" a="1"/>
  <c r="H50" i="45" s="1"/>
  <c r="N58" i="45" a="1"/>
  <c r="N58" i="45" s="1"/>
  <c r="Z43" i="33" a="1"/>
  <c r="Z43" i="33" s="1"/>
  <c r="J43" i="45" a="1"/>
  <c r="J43" i="45" s="1"/>
  <c r="AR97" i="45" a="1"/>
  <c r="AR97" i="45" s="1"/>
  <c r="AQ97" i="44" a="1"/>
  <c r="AQ97" i="44" s="1"/>
  <c r="X94" i="45" a="1"/>
  <c r="X94" i="45" s="1"/>
  <c r="L95" i="33" a="1"/>
  <c r="L95" i="33" s="1"/>
  <c r="AM47" i="44" a="1"/>
  <c r="AM47" i="44" s="1"/>
  <c r="N35" i="44" a="1"/>
  <c r="N35" i="44" s="1"/>
  <c r="H61" i="44" a="1"/>
  <c r="H61" i="44" s="1"/>
  <c r="H73" i="33" a="1"/>
  <c r="H73" i="33" s="1"/>
  <c r="AJ85" i="33" a="1"/>
  <c r="AJ85" i="33" s="1"/>
  <c r="Q80" i="45" a="1"/>
  <c r="Q80" i="45" s="1"/>
  <c r="Q104" i="44" a="1"/>
  <c r="Q104" i="44" s="1"/>
  <c r="AA10" i="33" a="1"/>
  <c r="AA10" i="33" s="1"/>
  <c r="AU32" i="47" a="1"/>
  <c r="AU32" i="47" s="1"/>
  <c r="C85" i="43" a="1"/>
  <c r="C85" i="43" s="1"/>
  <c r="AB41" i="33" a="1"/>
  <c r="AB41" i="33" s="1"/>
  <c r="AU50" i="47" a="1"/>
  <c r="AU50" i="47" s="1"/>
  <c r="AU48" i="47" s="1"/>
  <c r="Z71" i="44" a="1"/>
  <c r="Z71" i="44" s="1"/>
  <c r="T103" i="44" a="1"/>
  <c r="T103" i="44" s="1"/>
  <c r="AP82" i="44" a="1"/>
  <c r="AP82" i="44" s="1"/>
  <c r="E65" i="33" a="1"/>
  <c r="E65" i="33" s="1"/>
  <c r="AL26" i="33" a="1"/>
  <c r="AL26" i="33" s="1"/>
  <c r="AC20" i="33" a="1"/>
  <c r="AC20" i="33" s="1"/>
  <c r="AV59" i="46" a="1"/>
  <c r="AV59" i="46" s="1"/>
  <c r="AN22" i="43" a="1"/>
  <c r="AN22" i="43" s="1"/>
  <c r="U97" i="45" a="1"/>
  <c r="U97" i="45" s="1"/>
  <c r="AF91" i="33" a="1"/>
  <c r="AF91" i="33" s="1"/>
  <c r="V10" i="45" a="1"/>
  <c r="V10" i="45" s="1"/>
  <c r="V34" i="33" a="1"/>
  <c r="V34" i="33" s="1"/>
  <c r="K11" i="44" a="1"/>
  <c r="K11" i="44" s="1"/>
  <c r="AP23" i="45" a="1"/>
  <c r="AP23" i="45" s="1"/>
  <c r="K23" i="33" a="1"/>
  <c r="K23" i="33" s="1"/>
  <c r="AC56" i="45" a="1"/>
  <c r="AC56" i="45" s="1"/>
  <c r="AK95" i="45" a="1"/>
  <c r="AK95" i="45" s="1"/>
  <c r="AC100" i="33" a="1"/>
  <c r="AC100" i="33" s="1"/>
  <c r="AC99" i="33" s="1"/>
  <c r="AI29" i="33" a="1"/>
  <c r="AI29" i="33" s="1"/>
  <c r="AV41" i="47" a="1"/>
  <c r="AV41" i="47" s="1"/>
  <c r="C16" i="47" a="1"/>
  <c r="C16" i="47" s="1"/>
  <c r="AB65" i="45" a="1"/>
  <c r="AB65" i="45" s="1"/>
  <c r="H91" i="45" a="1"/>
  <c r="H91" i="45" s="1"/>
  <c r="AJ31" i="33" a="1"/>
  <c r="AJ31" i="33" s="1"/>
  <c r="U22" i="33" a="1"/>
  <c r="U22" i="33" s="1"/>
  <c r="V67" i="44" a="1"/>
  <c r="V67" i="44" s="1"/>
  <c r="AB85" i="45" a="1"/>
  <c r="AB85" i="45" s="1"/>
  <c r="I82" i="46" a="1"/>
  <c r="I82" i="46" s="1"/>
  <c r="AN46" i="44" a="1"/>
  <c r="AN46" i="44" s="1"/>
  <c r="I88" i="41" a="1"/>
  <c r="I88" i="41" s="1"/>
  <c r="Z59" i="45" a="1"/>
  <c r="Z59" i="45" s="1"/>
  <c r="AV44" i="43" a="1"/>
  <c r="AV44" i="43" s="1"/>
  <c r="C71" i="45" a="1"/>
  <c r="C71" i="45" s="1"/>
  <c r="AC19" i="44" a="1"/>
  <c r="AC19" i="44" s="1"/>
  <c r="AC46" i="33" a="1"/>
  <c r="AC46" i="33" s="1"/>
  <c r="C41" i="43" a="1"/>
  <c r="C41" i="43" s="1"/>
  <c r="J46" i="45" a="1"/>
  <c r="J46" i="45" s="1"/>
  <c r="R10" i="33" a="1"/>
  <c r="R10" i="33" s="1"/>
  <c r="Z103" i="45" a="1"/>
  <c r="Z103" i="45" s="1"/>
  <c r="AC34" i="33" a="1"/>
  <c r="AC34" i="33" s="1"/>
  <c r="Z95" i="44" a="1"/>
  <c r="Z95" i="44" s="1"/>
  <c r="AI58" i="45" a="1"/>
  <c r="AI58" i="45" s="1"/>
  <c r="Z85" i="33" a="1"/>
  <c r="Z85" i="33" s="1"/>
  <c r="W25" i="44" a="1"/>
  <c r="W25" i="44" s="1"/>
  <c r="I91" i="41" a="1"/>
  <c r="I91" i="41" s="1"/>
  <c r="AP79" i="33" a="1"/>
  <c r="AP79" i="33" s="1"/>
  <c r="C61" i="33" a="1"/>
  <c r="C61" i="33" s="1"/>
  <c r="Y34" i="33" a="1"/>
  <c r="Y34" i="33" s="1"/>
  <c r="N104" i="45" a="1"/>
  <c r="N104" i="45" s="1"/>
  <c r="I80" i="43" a="1"/>
  <c r="I80" i="43" s="1"/>
  <c r="T35" i="33" a="1"/>
  <c r="T35" i="33" s="1"/>
  <c r="AV49" i="47" a="1"/>
  <c r="AV49" i="47" s="1"/>
  <c r="AU82" i="41" a="1"/>
  <c r="AU82" i="41" s="1"/>
  <c r="Z56" i="45" a="1"/>
  <c r="Z56" i="45" s="1"/>
  <c r="Q95" i="44" a="1"/>
  <c r="Q95" i="44" s="1"/>
  <c r="AC30" i="46"/>
  <c r="G71" i="44" a="1"/>
  <c r="G71" i="44" s="1"/>
  <c r="P29" i="45" a="1"/>
  <c r="P29" i="45" s="1"/>
  <c r="AN59" i="46" a="1"/>
  <c r="AN59" i="46" s="1"/>
  <c r="C92" i="45" a="1"/>
  <c r="C92" i="45" s="1"/>
  <c r="M16" i="45" a="1"/>
  <c r="M16" i="45" s="1"/>
  <c r="W76" i="44" a="1"/>
  <c r="W76" i="44" s="1"/>
  <c r="O34" i="44" a="1"/>
  <c r="O34" i="44" s="1"/>
  <c r="AN61" i="43" a="1"/>
  <c r="AN61" i="43" s="1"/>
  <c r="L65" i="33" a="1"/>
  <c r="L65" i="33" s="1"/>
  <c r="AQ68" i="44" a="1"/>
  <c r="AQ68" i="44" s="1"/>
  <c r="AV86" i="43" a="1"/>
  <c r="AV86" i="43" s="1"/>
  <c r="AV84" i="43" s="1"/>
  <c r="J89" i="45" a="1"/>
  <c r="J89" i="45" s="1"/>
  <c r="R29" i="45" a="1"/>
  <c r="R29" i="45" s="1"/>
  <c r="N82" i="45" a="1"/>
  <c r="N82" i="45" s="1"/>
  <c r="Y98" i="33" a="1"/>
  <c r="Y98" i="33" s="1"/>
  <c r="AM49" i="44" a="1"/>
  <c r="AM49" i="44" s="1"/>
  <c r="R47" i="33" a="1"/>
  <c r="R47" i="33" s="1"/>
  <c r="L55" i="33" a="1"/>
  <c r="L55" i="33" s="1"/>
  <c r="E58" i="45" a="1"/>
  <c r="E58" i="45" s="1"/>
  <c r="X82" i="45" a="1"/>
  <c r="X82" i="45" s="1"/>
  <c r="AL95" i="44" a="1"/>
  <c r="AL95" i="44" s="1"/>
  <c r="AN76" i="41" a="1"/>
  <c r="AN76" i="41" s="1"/>
  <c r="T80" i="44" a="1"/>
  <c r="T80" i="44" s="1"/>
  <c r="R71" i="45" a="1"/>
  <c r="R71" i="45" s="1"/>
  <c r="AP21" i="47"/>
  <c r="K38" i="45" a="1"/>
  <c r="K38" i="45" s="1"/>
  <c r="AC61" i="45" a="1"/>
  <c r="AC61" i="45" s="1"/>
  <c r="AI41" i="44" a="1"/>
  <c r="AI41" i="44" s="1"/>
  <c r="C58" i="46" a="1"/>
  <c r="C58" i="46" s="1"/>
  <c r="R95" i="44" a="1"/>
  <c r="R95" i="44" s="1"/>
  <c r="L60" i="46"/>
  <c r="AA34" i="33" a="1"/>
  <c r="AA34" i="33" s="1"/>
  <c r="AA33" i="33" s="1"/>
  <c r="AK77" i="44" a="1"/>
  <c r="AK77" i="44" s="1"/>
  <c r="AD76" i="44" a="1"/>
  <c r="AD76" i="44" s="1"/>
  <c r="AM29" i="45" a="1"/>
  <c r="AM29" i="45" s="1"/>
  <c r="I37" i="44" a="1"/>
  <c r="I37" i="44" s="1"/>
  <c r="O35" i="33" a="1"/>
  <c r="O35" i="33" s="1"/>
  <c r="W103" i="45" a="1"/>
  <c r="W103" i="45" s="1"/>
  <c r="I70" i="41" a="1"/>
  <c r="I70" i="41" s="1"/>
  <c r="AN56" i="33" a="1"/>
  <c r="AN56" i="33" s="1"/>
  <c r="AK101" i="44" a="1"/>
  <c r="AK101" i="44" s="1"/>
  <c r="AK99" i="44" s="1"/>
  <c r="AK22" i="33" a="1"/>
  <c r="AK22" i="33" s="1"/>
  <c r="AM102" i="43"/>
  <c r="L100" i="44" a="1"/>
  <c r="L100" i="44" s="1"/>
  <c r="P22" i="44" a="1"/>
  <c r="P22" i="44" s="1"/>
  <c r="F37" i="45" a="1"/>
  <c r="F37" i="45" s="1"/>
  <c r="I64" i="41" a="1"/>
  <c r="I64" i="41" s="1"/>
  <c r="O29" i="33" a="1"/>
  <c r="O29" i="33" s="1"/>
  <c r="Y28" i="33" a="1"/>
  <c r="Y28" i="33" s="1"/>
  <c r="Z82" i="33" a="1"/>
  <c r="Z82" i="33" s="1"/>
  <c r="O92" i="44" a="1"/>
  <c r="O92" i="44" s="1"/>
  <c r="AE53" i="45" a="1"/>
  <c r="AE53" i="45" s="1"/>
  <c r="AL37" i="33" a="1"/>
  <c r="AL37" i="33" s="1"/>
  <c r="I86" i="47" a="1"/>
  <c r="I86" i="47" s="1"/>
  <c r="T19" i="33" a="1"/>
  <c r="T19" i="33" s="1"/>
  <c r="W17" i="44" a="1"/>
  <c r="W17" i="44" s="1"/>
  <c r="AI61" i="45" a="1"/>
  <c r="AI61" i="45" s="1"/>
  <c r="AN25" i="33" a="1"/>
  <c r="AN25" i="33" s="1"/>
  <c r="AC58" i="44" a="1"/>
  <c r="AC58" i="44" s="1"/>
  <c r="AO11" i="44" a="1"/>
  <c r="AO11" i="44" s="1"/>
  <c r="AG44" i="33" a="1"/>
  <c r="AG44" i="33" s="1"/>
  <c r="AI39" i="46"/>
  <c r="T101" i="45" a="1"/>
  <c r="T101" i="45" s="1"/>
  <c r="K40" i="44" a="1"/>
  <c r="K40" i="44" s="1"/>
  <c r="E34" i="33" a="1"/>
  <c r="E34" i="33" s="1"/>
  <c r="AL85" i="45" a="1"/>
  <c r="AL85" i="45" s="1"/>
  <c r="AU91" i="41" a="1"/>
  <c r="AU91" i="41" s="1"/>
  <c r="W40" i="33" a="1"/>
  <c r="W40" i="33" s="1"/>
  <c r="W73" i="44" a="1"/>
  <c r="W73" i="44" s="1"/>
  <c r="R85" i="44" a="1"/>
  <c r="R85" i="44" s="1"/>
  <c r="V82" i="33" a="1"/>
  <c r="V82" i="33" s="1"/>
  <c r="AO64" i="44" a="1"/>
  <c r="AO64" i="44" s="1"/>
  <c r="AE79" i="33" a="1"/>
  <c r="AE79" i="33" s="1"/>
  <c r="X44" i="45" a="1"/>
  <c r="X44" i="45" s="1"/>
  <c r="X58" i="44" a="1"/>
  <c r="X58" i="44" s="1"/>
  <c r="AE86" i="45" a="1"/>
  <c r="AE86" i="45" s="1"/>
  <c r="Y19" i="45" a="1"/>
  <c r="Y19" i="45" s="1"/>
  <c r="N26" i="44" a="1"/>
  <c r="N26" i="44" s="1"/>
  <c r="AV92" i="47" a="1"/>
  <c r="AV92" i="47" s="1"/>
  <c r="AV90" i="47" s="1"/>
  <c r="W52" i="45" a="1"/>
  <c r="W52" i="45" s="1"/>
  <c r="W51" i="45" s="1"/>
  <c r="Y58" i="33" a="1"/>
  <c r="Y58" i="33" s="1"/>
  <c r="AD79" i="44" a="1"/>
  <c r="AD79" i="44" s="1"/>
  <c r="W58" i="33" a="1"/>
  <c r="W58" i="33" s="1"/>
  <c r="AL68" i="45" a="1"/>
  <c r="AL68" i="45" s="1"/>
  <c r="AU91" i="47" a="1"/>
  <c r="AU91"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AP38" i="45" a="1"/>
  <c r="AP38" i="45" s="1"/>
  <c r="AM91" i="44" a="1"/>
  <c r="AM91" i="44" s="1"/>
  <c r="T40" i="33" a="1"/>
  <c r="T40" i="33" s="1"/>
  <c r="AR82" i="45" a="1"/>
  <c r="AR82" i="45" s="1"/>
  <c r="AH62" i="44" a="1"/>
  <c r="AH62" i="44" s="1"/>
  <c r="AH60" i="44" s="1"/>
  <c r="AP34" i="44" a="1"/>
  <c r="AP34" i="44" s="1"/>
  <c r="AG73" i="44" a="1"/>
  <c r="AG73" i="44" s="1"/>
  <c r="Q17" i="33" a="1"/>
  <c r="Q17" i="33" s="1"/>
  <c r="K77" i="44" a="1"/>
  <c r="K77" i="44" s="1"/>
  <c r="AR32" i="44" a="1"/>
  <c r="AR32" i="44" s="1"/>
  <c r="X50" i="44" a="1"/>
  <c r="X50" i="44" s="1"/>
  <c r="AA46" i="45" a="1"/>
  <c r="AA46" i="45" s="1"/>
  <c r="AK50" i="45" a="1"/>
  <c r="AK50" i="45" s="1"/>
  <c r="H16" i="44" a="1"/>
  <c r="H16" i="44" s="1"/>
  <c r="Z20" i="33" a="1"/>
  <c r="Z20" i="33" s="1"/>
  <c r="X92" i="45" a="1"/>
  <c r="X92" i="45" s="1"/>
  <c r="AR85" i="45" a="1"/>
  <c r="AR85" i="45" s="1"/>
  <c r="E79" i="33" a="1"/>
  <c r="E79" i="33" s="1"/>
  <c r="AR77" i="44" a="1"/>
  <c r="AR77" i="44" s="1"/>
  <c r="H103" i="33" a="1"/>
  <c r="H103" i="33" s="1"/>
  <c r="AI73" i="45" a="1"/>
  <c r="AI73" i="45" s="1"/>
  <c r="AF61" i="45" a="1"/>
  <c r="AF61" i="45" s="1"/>
  <c r="C35" i="42" a="1"/>
  <c r="C35" i="42" s="1"/>
  <c r="O98" i="44" a="1"/>
  <c r="O98" i="44" s="1"/>
  <c r="P67" i="44" a="1"/>
  <c r="P67" i="44" s="1"/>
  <c r="AO19" i="43" a="1"/>
  <c r="AO19" i="43" s="1"/>
  <c r="F22" i="45" a="1"/>
  <c r="F22" i="45" s="1"/>
  <c r="AJ74" i="45" a="1"/>
  <c r="AJ74" i="45" s="1"/>
  <c r="S55" i="44" a="1"/>
  <c r="S55" i="44" s="1"/>
  <c r="AA60" i="43"/>
  <c r="AA76" i="45" a="1"/>
  <c r="AA76" i="45" s="1"/>
  <c r="F29" i="44" a="1"/>
  <c r="F29" i="44" s="1"/>
  <c r="J50" i="45" a="1"/>
  <c r="J50" i="45" s="1"/>
  <c r="M87" i="41"/>
  <c r="C37" i="47" a="1"/>
  <c r="C37" i="47" s="1"/>
  <c r="H40" i="33" a="1"/>
  <c r="H40" i="33" s="1"/>
  <c r="AO46" i="47" a="1"/>
  <c r="AO46" i="47" s="1"/>
  <c r="AJ61" i="45" a="1"/>
  <c r="AJ61" i="45" s="1"/>
  <c r="AF58" i="45" a="1"/>
  <c r="AF58" i="45" s="1"/>
  <c r="AN70" i="47" a="1"/>
  <c r="AN70" i="47" s="1"/>
  <c r="AG28" i="33" a="1"/>
  <c r="AG28" i="33" s="1"/>
  <c r="H92" i="45" a="1"/>
  <c r="H92" i="45" s="1"/>
  <c r="G65" i="44" a="1"/>
  <c r="G65" i="44" s="1"/>
  <c r="I92" i="45" a="1"/>
  <c r="I92" i="45" s="1"/>
  <c r="AB53" i="33" a="1"/>
  <c r="AB53" i="33" s="1"/>
  <c r="AB32" i="33" a="1"/>
  <c r="AB32" i="33" s="1"/>
  <c r="AB74" i="45" a="1"/>
  <c r="AB74" i="45" s="1"/>
  <c r="AB23" i="44" a="1"/>
  <c r="AB23" i="44" s="1"/>
  <c r="Z89" i="45" a="1"/>
  <c r="Z89" i="45" s="1"/>
  <c r="S38" i="44" a="1"/>
  <c r="S38" i="44" s="1"/>
  <c r="AV58" i="43" a="1"/>
  <c r="AV58" i="43" s="1"/>
  <c r="AV57" i="43" s="1"/>
  <c r="AC74" i="45" a="1"/>
  <c r="AC74" i="45" s="1"/>
  <c r="AM46" i="45" a="1"/>
  <c r="AM46" i="45" s="1"/>
  <c r="C82" i="41" a="1"/>
  <c r="C82" i="41" s="1"/>
  <c r="AN94" i="33" a="1"/>
  <c r="AN94" i="33" s="1"/>
  <c r="AM104" i="44" a="1"/>
  <c r="AM104" i="44" s="1"/>
  <c r="C91" i="46" a="1"/>
  <c r="C91" i="46" s="1"/>
  <c r="R34" i="33" a="1"/>
  <c r="R34" i="33" s="1"/>
  <c r="AN22" i="33" a="1"/>
  <c r="AN22" i="33" s="1"/>
  <c r="E17" i="33" a="1"/>
  <c r="E17" i="33" s="1"/>
  <c r="AI11" i="44" a="1"/>
  <c r="AI11" i="44" s="1"/>
  <c r="O67" i="45" a="1"/>
  <c r="O67" i="45" s="1"/>
  <c r="AD67" i="44" a="1"/>
  <c r="AD67" i="44" s="1"/>
  <c r="AC68" i="33" a="1"/>
  <c r="AC68" i="33" s="1"/>
  <c r="AV65" i="43" a="1"/>
  <c r="AV65" i="43" s="1"/>
  <c r="K27" i="46"/>
  <c r="Y16" i="45" a="1"/>
  <c r="Y16" i="45" s="1"/>
  <c r="J82" i="45" a="1"/>
  <c r="J82" i="45" s="1"/>
  <c r="AP88" i="44" a="1"/>
  <c r="AP88" i="44" s="1"/>
  <c r="N77" i="33" a="1"/>
  <c r="N77" i="33" s="1"/>
  <c r="AU94" i="41" a="1"/>
  <c r="AU94" i="41" s="1"/>
  <c r="AN11" i="47" a="1"/>
  <c r="AN11" i="47" s="1"/>
  <c r="AM98" i="45" a="1"/>
  <c r="AM98" i="45" s="1"/>
  <c r="AD23" i="44" a="1"/>
  <c r="AD23" i="44" s="1"/>
  <c r="N71" i="33" a="1"/>
  <c r="N71" i="33" s="1"/>
  <c r="M61" i="45" a="1"/>
  <c r="M61" i="45" s="1"/>
  <c r="T23" i="45" a="1"/>
  <c r="T23" i="45" s="1"/>
  <c r="AV38" i="43" a="1"/>
  <c r="AV38" i="43" s="1"/>
  <c r="Q94" i="44" a="1"/>
  <c r="Q94" i="44" s="1"/>
  <c r="S61" i="44" a="1"/>
  <c r="S61" i="44" s="1"/>
  <c r="H59" i="33" a="1"/>
  <c r="H59" i="33" s="1"/>
  <c r="K76" i="44" a="1"/>
  <c r="K76" i="44" s="1"/>
  <c r="AG89" i="44" a="1"/>
  <c r="AG89" i="44" s="1"/>
  <c r="L67" i="44" a="1"/>
  <c r="L67" i="44" s="1"/>
  <c r="I97" i="47" a="1"/>
  <c r="I97" i="47" s="1"/>
  <c r="AJ77" i="44" a="1"/>
  <c r="AJ77" i="44" s="1"/>
  <c r="V65" i="44" a="1"/>
  <c r="V65" i="44" s="1"/>
  <c r="K11" i="33" a="1"/>
  <c r="K11" i="33" s="1"/>
  <c r="AN43" i="41" a="1"/>
  <c r="AN43" i="41" s="1"/>
  <c r="I53" i="43" a="1"/>
  <c r="I53" i="43" s="1"/>
  <c r="E26" i="45" a="1"/>
  <c r="E26" i="45" s="1"/>
  <c r="AJ91" i="44" a="1"/>
  <c r="AJ91" i="44" s="1"/>
  <c r="AO28" i="33" a="1"/>
  <c r="AO28" i="33" s="1"/>
  <c r="AI89" i="45" a="1"/>
  <c r="AI89" i="45" s="1"/>
  <c r="Q73" i="44" a="1"/>
  <c r="Q73" i="44" s="1"/>
  <c r="I89" i="47" a="1"/>
  <c r="I89" i="47" s="1"/>
  <c r="Z53" i="44" a="1"/>
  <c r="Z53" i="44" s="1"/>
  <c r="AG22" i="45" a="1"/>
  <c r="AG22" i="45" s="1"/>
  <c r="T11" i="33" a="1"/>
  <c r="T11" i="33" s="1"/>
  <c r="AG17" i="44" a="1"/>
  <c r="AG17" i="44" s="1"/>
  <c r="AE55" i="44" a="1"/>
  <c r="AE55" i="44" s="1"/>
  <c r="AL50" i="44" a="1"/>
  <c r="AL50" i="44" s="1"/>
  <c r="AA73" i="44" a="1"/>
  <c r="AA73" i="44" s="1"/>
  <c r="W74" i="44" a="1"/>
  <c r="W74" i="44" s="1"/>
  <c r="W97" i="44" a="1"/>
  <c r="W97" i="44" s="1"/>
  <c r="H85" i="45" a="1"/>
  <c r="H85" i="45" s="1"/>
  <c r="N51" i="47"/>
  <c r="S67" i="33" a="1"/>
  <c r="S67" i="33" s="1"/>
  <c r="O31" i="45" a="1"/>
  <c r="O31" i="45" s="1"/>
  <c r="I40" i="43" a="1"/>
  <c r="I40" i="43" s="1"/>
  <c r="AK97" i="44" a="1"/>
  <c r="AK97" i="44" s="1"/>
  <c r="AH50" i="33" a="1"/>
  <c r="AH50" i="33" s="1"/>
  <c r="I20" i="45" a="1"/>
  <c r="I20" i="45" s="1"/>
  <c r="AQ67" i="45" a="1"/>
  <c r="AQ67" i="45" s="1"/>
  <c r="AK56" i="44" a="1"/>
  <c r="AK56" i="44" s="1"/>
  <c r="AE11" i="44" a="1"/>
  <c r="AE11" i="44" s="1"/>
  <c r="W100" i="33" a="1"/>
  <c r="W100" i="33" s="1"/>
  <c r="AD11" i="45" a="1"/>
  <c r="AD11" i="45" s="1"/>
  <c r="C37" i="41" a="1"/>
  <c r="C37" i="41" s="1"/>
  <c r="AB26" i="33" a="1"/>
  <c r="AB26" i="33" s="1"/>
  <c r="H28" i="33" a="1"/>
  <c r="H28" i="33" s="1"/>
  <c r="AC62" i="33" a="1"/>
  <c r="AC62" i="33" s="1"/>
  <c r="AA103" i="45" a="1"/>
  <c r="AA103" i="45" s="1"/>
  <c r="C82" i="47" a="1"/>
  <c r="C82" i="47" s="1"/>
  <c r="AI20" i="45" a="1"/>
  <c r="AI20" i="45" s="1"/>
  <c r="M62" i="44" a="1"/>
  <c r="M62" i="44" s="1"/>
  <c r="AF33" i="47"/>
  <c r="C34" i="41" a="1"/>
  <c r="C34" i="41" s="1"/>
  <c r="AO76" i="47" a="1"/>
  <c r="AO76" i="47" s="1"/>
  <c r="V86" i="33" a="1"/>
  <c r="V86" i="33" s="1"/>
  <c r="U56" i="33" a="1"/>
  <c r="U56" i="33" s="1"/>
  <c r="AN80" i="41" a="1"/>
  <c r="AN80" i="41" s="1"/>
  <c r="K97" i="45" a="1"/>
  <c r="K97" i="45" s="1"/>
  <c r="M83" i="33" a="1"/>
  <c r="M83" i="33" s="1"/>
  <c r="M23" i="45" a="1"/>
  <c r="M23" i="45" s="1"/>
  <c r="X28" i="45" a="1"/>
  <c r="X28" i="45" s="1"/>
  <c r="C83" i="44" a="1"/>
  <c r="C83" i="44" s="1"/>
  <c r="W83" i="45" a="1"/>
  <c r="W83" i="45" s="1"/>
  <c r="AI71" i="45" a="1"/>
  <c r="AI71" i="45" s="1"/>
  <c r="AN58" i="44" a="1"/>
  <c r="AN58" i="44" s="1"/>
  <c r="AQ44" i="45" a="1"/>
  <c r="AQ44" i="45" s="1"/>
  <c r="H28" i="44" a="1"/>
  <c r="H28" i="44" s="1"/>
  <c r="AB67" i="44" a="1"/>
  <c r="AB67" i="44" s="1"/>
  <c r="C73" i="46" a="1"/>
  <c r="C73" i="46" s="1"/>
  <c r="AC61" i="33" a="1"/>
  <c r="AC61" i="33" s="1"/>
  <c r="AI76" i="45" a="1"/>
  <c r="AI76" i="45" s="1"/>
  <c r="R104" i="45" a="1"/>
  <c r="R104" i="45" s="1"/>
  <c r="J28" i="44" a="1"/>
  <c r="J28" i="44" s="1"/>
  <c r="S47" i="33" a="1"/>
  <c r="S47" i="33" s="1"/>
  <c r="K35" i="33" a="1"/>
  <c r="K35" i="33" s="1"/>
  <c r="AP55" i="44" a="1"/>
  <c r="AP55" i="44" s="1"/>
  <c r="R56" i="45" a="1"/>
  <c r="R56" i="45" s="1"/>
  <c r="L32" i="33" a="1"/>
  <c r="L32" i="33" s="1"/>
  <c r="L11" i="45" a="1"/>
  <c r="L11" i="45" s="1"/>
  <c r="Q82" i="44" a="1"/>
  <c r="Q82" i="44" s="1"/>
  <c r="AC67" i="44" a="1"/>
  <c r="AC67" i="44" s="1"/>
  <c r="AC55" i="45" a="1"/>
  <c r="AC55" i="45" s="1"/>
  <c r="AB64" i="45" a="1"/>
  <c r="AB64" i="45" s="1"/>
  <c r="F26" i="33" a="1"/>
  <c r="F26" i="33" s="1"/>
  <c r="F24" i="33" s="1"/>
  <c r="AP53" i="45" a="1"/>
  <c r="AP53" i="45" s="1"/>
  <c r="AM70" i="33" a="1"/>
  <c r="AM70" i="33" s="1"/>
  <c r="S95" i="45" a="1"/>
  <c r="S95" i="45" s="1"/>
  <c r="AB79" i="45" a="1"/>
  <c r="AB79" i="45" s="1"/>
  <c r="AA34" i="44" a="1"/>
  <c r="AA34" i="44" s="1"/>
  <c r="E20" i="33" a="1"/>
  <c r="E20" i="33" s="1"/>
  <c r="AI22" i="44" a="1"/>
  <c r="AI22" i="44" s="1"/>
  <c r="AQ79" i="45" a="1"/>
  <c r="AQ79" i="45" s="1"/>
  <c r="AQ58" i="45" a="1"/>
  <c r="AQ58" i="45" s="1"/>
  <c r="C58" i="43" a="1"/>
  <c r="C58" i="43" s="1"/>
  <c r="AO100" i="45" a="1"/>
  <c r="AO100" i="45" s="1"/>
  <c r="Y16" i="33" a="1"/>
  <c r="Y16" i="33" s="1"/>
  <c r="G73" i="44" a="1"/>
  <c r="G73" i="44" s="1"/>
  <c r="R74" i="33" a="1"/>
  <c r="R74" i="33" s="1"/>
  <c r="AB29" i="44" a="1"/>
  <c r="AB29" i="44" s="1"/>
  <c r="AB43" i="33" a="1"/>
  <c r="AB43" i="33" s="1"/>
  <c r="C89" i="33" a="1"/>
  <c r="C89" i="33" s="1"/>
  <c r="Q74" i="45" a="1"/>
  <c r="Q74" i="45" s="1"/>
  <c r="AP92" i="44" a="1"/>
  <c r="AP92" i="44" s="1"/>
  <c r="AG77" i="33" a="1"/>
  <c r="AG77" i="33" s="1"/>
  <c r="L70" i="45" a="1"/>
  <c r="L70" i="45" s="1"/>
  <c r="AQ31" i="45" a="1"/>
  <c r="AQ31" i="45" s="1"/>
  <c r="E61" i="33" a="1"/>
  <c r="E61" i="33" s="1"/>
  <c r="O61" i="45" a="1"/>
  <c r="O61" i="45" s="1"/>
  <c r="O89" i="45" a="1"/>
  <c r="O89" i="45" s="1"/>
  <c r="N23" i="33" a="1"/>
  <c r="N23" i="33" s="1"/>
  <c r="AO44" i="41" a="1"/>
  <c r="AO44" i="41" s="1"/>
  <c r="X49" i="44" a="1"/>
  <c r="X49" i="44" s="1"/>
  <c r="Z80" i="44" a="1"/>
  <c r="Z80" i="44" s="1"/>
  <c r="AA56" i="33" a="1"/>
  <c r="AA56" i="33" s="1"/>
  <c r="F53" i="33" a="1"/>
  <c r="F53" i="33" s="1"/>
  <c r="S70" i="45" a="1"/>
  <c r="S70" i="45" s="1"/>
  <c r="AV34" i="47" a="1"/>
  <c r="AV34" i="47" s="1"/>
  <c r="AB44" i="45" a="1"/>
  <c r="AB44" i="45" s="1"/>
  <c r="U50" i="44" a="1"/>
  <c r="U50" i="44" s="1"/>
  <c r="E35" i="45" a="1"/>
  <c r="E35" i="45" s="1"/>
  <c r="I52" i="45" a="1"/>
  <c r="I52" i="45" s="1"/>
  <c r="N101" i="33" a="1"/>
  <c r="N101" i="33" s="1"/>
  <c r="Q74" i="44" a="1"/>
  <c r="Q74" i="44" s="1"/>
  <c r="AM80" i="33" a="1"/>
  <c r="AM80" i="33" s="1"/>
  <c r="AV82" i="47" a="1"/>
  <c r="AV82" i="47" s="1"/>
  <c r="P70" i="44" a="1"/>
  <c r="P70" i="44" s="1"/>
  <c r="X101" i="44" a="1"/>
  <c r="X101" i="44" s="1"/>
  <c r="M88" i="45" a="1"/>
  <c r="M88" i="45" s="1"/>
  <c r="J52" i="45" a="1"/>
  <c r="J52" i="45" s="1"/>
  <c r="I20" i="44" a="1"/>
  <c r="I20" i="44" s="1"/>
  <c r="R11" i="44" a="1"/>
  <c r="R11" i="44" s="1"/>
  <c r="AN64" i="41" a="1"/>
  <c r="AN64" i="41" s="1"/>
  <c r="AK31" i="33" a="1"/>
  <c r="AK31" i="33" s="1"/>
  <c r="Q40" i="45" a="1"/>
  <c r="Q40" i="45" s="1"/>
  <c r="AR65" i="33" a="1"/>
  <c r="AR65" i="33" s="1"/>
  <c r="Z94" i="45" a="1"/>
  <c r="Z94" i="45" s="1"/>
  <c r="C43" i="46" a="1"/>
  <c r="C43" i="46" s="1"/>
  <c r="J11" i="33" a="1"/>
  <c r="J11" i="33" s="1"/>
  <c r="S37" i="33" a="1"/>
  <c r="S37" i="33" s="1"/>
  <c r="R34" i="45" a="1"/>
  <c r="R34" i="45" s="1"/>
  <c r="N36" i="43"/>
  <c r="AN40" i="33" a="1"/>
  <c r="AN40" i="33" s="1"/>
  <c r="AQ26" i="45" a="1"/>
  <c r="AQ26" i="45" s="1"/>
  <c r="AO74" i="44" a="1"/>
  <c r="AO74" i="44" s="1"/>
  <c r="AE44" i="45" a="1"/>
  <c r="AE44" i="45" s="1"/>
  <c r="I17" i="45" a="1"/>
  <c r="I17" i="45" s="1"/>
  <c r="Y33" i="47"/>
  <c r="H38" i="45" a="1"/>
  <c r="H38" i="45" s="1"/>
  <c r="T94" i="33" a="1"/>
  <c r="T94" i="33" s="1"/>
  <c r="Z100" i="33" a="1"/>
  <c r="Z100" i="33" s="1"/>
  <c r="U44" i="45" a="1"/>
  <c r="U44" i="45" s="1"/>
  <c r="AQ79" i="44" a="1"/>
  <c r="AQ79" i="44" s="1"/>
  <c r="C82" i="33" a="1"/>
  <c r="C82" i="33" s="1"/>
  <c r="J41" i="33" a="1"/>
  <c r="J41" i="33" s="1"/>
  <c r="J39" i="33" s="1"/>
  <c r="AA77" i="45" a="1"/>
  <c r="AA77" i="45" s="1"/>
  <c r="AU64" i="46" a="1"/>
  <c r="AU64" i="46" s="1"/>
  <c r="AH98" i="45" a="1"/>
  <c r="AH98" i="45" s="1"/>
  <c r="W34" i="33" a="1"/>
  <c r="W34" i="33" s="1"/>
  <c r="AV88" i="43" a="1"/>
  <c r="AV88" i="43" s="1"/>
  <c r="AB88" i="44" a="1"/>
  <c r="AB88" i="44" s="1"/>
  <c r="AB89" i="45" a="1"/>
  <c r="AB89" i="45" s="1"/>
  <c r="P56" i="44" a="1"/>
  <c r="P56" i="44" s="1"/>
  <c r="K98" i="44" a="1"/>
  <c r="K98" i="44" s="1"/>
  <c r="V64" i="45" a="1"/>
  <c r="V64" i="45" s="1"/>
  <c r="AM81" i="47"/>
  <c r="R79" i="45" a="1"/>
  <c r="R79" i="45" s="1"/>
  <c r="AI88" i="45" a="1"/>
  <c r="AI88" i="45" s="1"/>
  <c r="L88" i="45" a="1"/>
  <c r="L88" i="45" s="1"/>
  <c r="T17" i="45" a="1"/>
  <c r="T17" i="45" s="1"/>
  <c r="AD34" i="45" a="1"/>
  <c r="AD34" i="45" s="1"/>
  <c r="AC21" i="41"/>
  <c r="I98" i="47" a="1"/>
  <c r="I98" i="47" s="1"/>
  <c r="Y76" i="33" a="1"/>
  <c r="Y76" i="33" s="1"/>
  <c r="S91" i="44" a="1"/>
  <c r="S91" i="44" s="1"/>
  <c r="AO100" i="46" a="1"/>
  <c r="AO100" i="46" s="1"/>
  <c r="AJ26" i="33" a="1"/>
  <c r="AJ26" i="33" s="1"/>
  <c r="AL70" i="44" a="1"/>
  <c r="AL70" i="44" s="1"/>
  <c r="AD95" i="33" a="1"/>
  <c r="AD95" i="33" s="1"/>
  <c r="AH100" i="44" a="1"/>
  <c r="AH100" i="44" s="1"/>
  <c r="L46" i="33" a="1"/>
  <c r="L46" i="33" s="1"/>
  <c r="H44" i="44" a="1"/>
  <c r="H44" i="44" s="1"/>
  <c r="L68" i="33" a="1"/>
  <c r="L68" i="33" s="1"/>
  <c r="AH83" i="44" a="1"/>
  <c r="AH83" i="44" s="1"/>
  <c r="AC26" i="33" a="1"/>
  <c r="AC26" i="33" s="1"/>
  <c r="X47" i="45" a="1"/>
  <c r="X47" i="45" s="1"/>
  <c r="F35" i="45" a="1"/>
  <c r="F35" i="45" s="1"/>
  <c r="AQ38" i="33" a="1"/>
  <c r="AQ38" i="33" s="1"/>
  <c r="AL16" i="33" a="1"/>
  <c r="AL16" i="33" s="1"/>
  <c r="J22" i="44" a="1"/>
  <c r="J22" i="44" s="1"/>
  <c r="AU100" i="46" a="1"/>
  <c r="AU100" i="46" s="1"/>
  <c r="I104" i="46" a="1"/>
  <c r="I104" i="46" s="1"/>
  <c r="AM22" i="44" a="1"/>
  <c r="AM22" i="44" s="1"/>
  <c r="AN32" i="33" a="1"/>
  <c r="AN32" i="33" s="1"/>
  <c r="J43" i="33" a="1"/>
  <c r="J43" i="33" s="1"/>
  <c r="I17" i="46" a="1"/>
  <c r="I17" i="46" s="1"/>
  <c r="AM35" i="44" a="1"/>
  <c r="AM35" i="44" s="1"/>
  <c r="C88" i="44" a="1"/>
  <c r="C88" i="44" s="1"/>
  <c r="K61" i="44" a="1"/>
  <c r="K61" i="44" s="1"/>
  <c r="F97" i="44" a="1"/>
  <c r="F97" i="44" s="1"/>
  <c r="AG9" i="43"/>
  <c r="AP38" i="44" a="1"/>
  <c r="AP38" i="44" s="1"/>
  <c r="AN40" i="43" a="1"/>
  <c r="AN40" i="43" s="1"/>
  <c r="AF52" i="44" a="1"/>
  <c r="AF52" i="44" s="1"/>
  <c r="AH68" i="33" a="1"/>
  <c r="AH68" i="33" s="1"/>
  <c r="P25" i="45" a="1"/>
  <c r="P25" i="45" s="1"/>
  <c r="I67" i="41" a="1"/>
  <c r="I67" i="41" s="1"/>
  <c r="M44" i="45" a="1"/>
  <c r="M44" i="45" s="1"/>
  <c r="C76" i="45" a="1"/>
  <c r="C76" i="45" s="1"/>
  <c r="AU31" i="43" a="1"/>
  <c r="AU31" i="43" s="1"/>
  <c r="J61" i="45" a="1"/>
  <c r="J61" i="45" s="1"/>
  <c r="G61" i="33" a="1"/>
  <c r="G61" i="33" s="1"/>
  <c r="X58" i="45" a="1"/>
  <c r="X58" i="45" s="1"/>
  <c r="I71" i="41" a="1"/>
  <c r="I71" i="41" s="1"/>
  <c r="AH74" i="33" a="1"/>
  <c r="AH74" i="33" s="1"/>
  <c r="K29" i="44" a="1"/>
  <c r="K29" i="44" s="1"/>
  <c r="I23" i="47" a="1"/>
  <c r="I23" i="47" s="1"/>
  <c r="AF104" i="44" a="1"/>
  <c r="AF104" i="44" s="1"/>
  <c r="AF47" i="33" a="1"/>
  <c r="AF47" i="33" s="1"/>
  <c r="F62" i="44" a="1"/>
  <c r="F62" i="44" s="1"/>
  <c r="AK79" i="44" a="1"/>
  <c r="AK79" i="44" s="1"/>
  <c r="AO19" i="44" a="1"/>
  <c r="AO19" i="44" s="1"/>
  <c r="AU41" i="41" a="1"/>
  <c r="AU41" i="41" s="1"/>
  <c r="AU103" i="41" a="1"/>
  <c r="AU103" i="41" s="1"/>
  <c r="R103" i="33" a="1"/>
  <c r="R103" i="33" s="1"/>
  <c r="N79" i="33" a="1"/>
  <c r="N79" i="33" s="1"/>
  <c r="C50" i="44" a="1"/>
  <c r="C50" i="44" s="1"/>
  <c r="A49" i="44" s="1"/>
  <c r="AC52" i="45" a="1"/>
  <c r="AC52" i="45" s="1"/>
  <c r="I65" i="43" a="1"/>
  <c r="I65" i="43" s="1"/>
  <c r="Q10" i="33" a="1"/>
  <c r="Q10" i="33" s="1"/>
  <c r="R34" i="44" a="1"/>
  <c r="R34" i="44" s="1"/>
  <c r="G79" i="33" a="1"/>
  <c r="G79" i="33" s="1"/>
  <c r="AE15" i="43"/>
  <c r="P64" i="33" a="1"/>
  <c r="P64" i="33" s="1"/>
  <c r="U80" i="44" a="1"/>
  <c r="U80" i="44" s="1"/>
  <c r="R101" i="45" a="1"/>
  <c r="R101" i="45" s="1"/>
  <c r="AH26" i="44" a="1"/>
  <c r="AH26" i="44" s="1"/>
  <c r="G85" i="44" a="1"/>
  <c r="G85" i="44" s="1"/>
  <c r="V58" i="45" a="1"/>
  <c r="V58" i="45" s="1"/>
  <c r="AR40" i="33" a="1"/>
  <c r="AR40" i="33" s="1"/>
  <c r="L103" i="45" a="1"/>
  <c r="L103" i="45" s="1"/>
  <c r="AM61" i="45" a="1"/>
  <c r="AM61" i="45" s="1"/>
  <c r="V97" i="44" a="1"/>
  <c r="V97" i="44" s="1"/>
  <c r="K86" i="44" a="1"/>
  <c r="K86" i="44" s="1"/>
  <c r="AN61" i="41" a="1"/>
  <c r="AN61" i="41" s="1"/>
  <c r="AB17" i="45" a="1"/>
  <c r="AB17" i="45" s="1"/>
  <c r="Y85" i="33" a="1"/>
  <c r="Y85" i="33" s="1"/>
  <c r="J9" i="43"/>
  <c r="AO50" i="46" a="1"/>
  <c r="AO50" i="46" s="1"/>
  <c r="M103" i="33" a="1"/>
  <c r="M103" i="33" s="1"/>
  <c r="F76" i="33" a="1"/>
  <c r="F76" i="33" s="1"/>
  <c r="AO22" i="44" a="1"/>
  <c r="AO22" i="44" s="1"/>
  <c r="AU103" i="46" a="1"/>
  <c r="AU103" i="46" s="1"/>
  <c r="AN103" i="33" a="1"/>
  <c r="AN103" i="33" s="1"/>
  <c r="AO85" i="41" a="1"/>
  <c r="AO85" i="41" s="1"/>
  <c r="N52" i="44" a="1"/>
  <c r="N52" i="44" s="1"/>
  <c r="O69" i="46"/>
  <c r="AQ89" i="45" a="1"/>
  <c r="AQ89" i="45" s="1"/>
  <c r="V64" i="33" a="1"/>
  <c r="V64" i="33" s="1"/>
  <c r="AC98" i="33" a="1"/>
  <c r="AC98" i="33" s="1"/>
  <c r="AB91" i="44" a="1"/>
  <c r="AB91" i="44" s="1"/>
  <c r="K85" i="33" a="1"/>
  <c r="K85" i="33" s="1"/>
  <c r="AL49" i="44" a="1"/>
  <c r="AL49" i="44" s="1"/>
  <c r="AN56" i="41" a="1"/>
  <c r="AN56" i="41" s="1"/>
  <c r="Q41" i="33" a="1"/>
  <c r="Q41" i="33" s="1"/>
  <c r="AD19" i="44" a="1"/>
  <c r="AD19" i="44" s="1"/>
  <c r="Z17" i="44" a="1"/>
  <c r="Z17" i="44" s="1"/>
  <c r="N86" i="33" a="1"/>
  <c r="N86" i="33" s="1"/>
  <c r="AU28" i="41" a="1"/>
  <c r="AU28" i="41" s="1"/>
  <c r="AU76" i="43" a="1"/>
  <c r="AU76" i="43" s="1"/>
  <c r="AP68" i="33" a="1"/>
  <c r="AP68" i="33" s="1"/>
  <c r="AN70" i="44" a="1"/>
  <c r="AN70" i="44" s="1"/>
  <c r="I34" i="44" a="1"/>
  <c r="I34" i="44" s="1"/>
  <c r="V67" i="45" a="1"/>
  <c r="V67" i="45" s="1"/>
  <c r="AP55" i="33" a="1"/>
  <c r="AP55" i="33" s="1"/>
  <c r="AK76" i="45" a="1"/>
  <c r="AK76" i="45" s="1"/>
  <c r="C31" i="43" a="1"/>
  <c r="C31" i="43" s="1"/>
  <c r="N39" i="46"/>
  <c r="AP56" i="33" a="1"/>
  <c r="AP56" i="33" s="1"/>
  <c r="AU23" i="43" a="1"/>
  <c r="AU23" i="43" s="1"/>
  <c r="AV55" i="47" a="1"/>
  <c r="AV55" i="47" s="1"/>
  <c r="N43" i="33" a="1"/>
  <c r="N43" i="33" s="1"/>
  <c r="AO47" i="45" a="1"/>
  <c r="AO47" i="45" s="1"/>
  <c r="H83" i="45" a="1"/>
  <c r="H83" i="45" s="1"/>
  <c r="H17" i="45" a="1"/>
  <c r="H17" i="45" s="1"/>
  <c r="H53" i="45" a="1"/>
  <c r="H53" i="45" s="1"/>
  <c r="AF28" i="44" a="1"/>
  <c r="AF28" i="44" s="1"/>
  <c r="AU89" i="41" a="1"/>
  <c r="AU89" i="41" s="1"/>
  <c r="AO104" i="41" a="1"/>
  <c r="AO104" i="41" s="1"/>
  <c r="Y29" i="45" a="1"/>
  <c r="Y29" i="45" s="1"/>
  <c r="AM97" i="33" a="1"/>
  <c r="AM97" i="33" s="1"/>
  <c r="Q53" i="33" a="1"/>
  <c r="Q53" i="33" s="1"/>
  <c r="AS102" i="47"/>
  <c r="AA37" i="33" a="1"/>
  <c r="AA37" i="33" s="1"/>
  <c r="AP53" i="33" a="1"/>
  <c r="AP53" i="33" s="1"/>
  <c r="J74" i="45" a="1"/>
  <c r="J74" i="45" s="1"/>
  <c r="AA67" i="33" a="1"/>
  <c r="AA67" i="33" s="1"/>
  <c r="F23" i="45" a="1"/>
  <c r="F23" i="45" s="1"/>
  <c r="AA65" i="33" a="1"/>
  <c r="AA65" i="33" s="1"/>
  <c r="C94" i="41" a="1"/>
  <c r="C94" i="41" s="1"/>
  <c r="AO101" i="46" a="1"/>
  <c r="AO101" i="46" s="1"/>
  <c r="L23" i="44" a="1"/>
  <c r="L23" i="44" s="1"/>
  <c r="AA77" i="33" a="1"/>
  <c r="AA77" i="33" s="1"/>
  <c r="L104" i="44" a="1"/>
  <c r="L104" i="44" s="1"/>
  <c r="I71" i="46" a="1"/>
  <c r="I71" i="46" s="1"/>
  <c r="AB50" i="44" a="1"/>
  <c r="AB50" i="44" s="1"/>
  <c r="AK64" i="44" a="1"/>
  <c r="AK64" i="44" s="1"/>
  <c r="AO34" i="45" a="1"/>
  <c r="AO34" i="45" s="1"/>
  <c r="AG37" i="45" a="1"/>
  <c r="AG37" i="45" s="1"/>
  <c r="AK67" i="33" a="1"/>
  <c r="AK67" i="33" s="1"/>
  <c r="AA67" i="45" a="1"/>
  <c r="AA67" i="45" s="1"/>
  <c r="Z46" i="33" a="1"/>
  <c r="Z46" i="33" s="1"/>
  <c r="I104" i="47" a="1"/>
  <c r="I104" i="47" s="1"/>
  <c r="S52" i="45" a="1"/>
  <c r="S52" i="45" s="1"/>
  <c r="N25" i="44" a="1"/>
  <c r="N25" i="44" s="1"/>
  <c r="AF85" i="33" a="1"/>
  <c r="AF85" i="33" s="1"/>
  <c r="L101" i="33" a="1"/>
  <c r="L101" i="33" s="1"/>
  <c r="L86" i="45" a="1"/>
  <c r="L86" i="45" s="1"/>
  <c r="AN61" i="47" a="1"/>
  <c r="AN61" i="47" s="1"/>
  <c r="AN23" i="44" a="1"/>
  <c r="AN23" i="44" s="1"/>
  <c r="AQ74" i="45" a="1"/>
  <c r="AQ74" i="45" s="1"/>
  <c r="L25" i="44" a="1"/>
  <c r="L25" i="44" s="1"/>
  <c r="L32" i="44" a="1"/>
  <c r="L32" i="44" s="1"/>
  <c r="AO88" i="46" a="1"/>
  <c r="AO88" i="46" s="1"/>
  <c r="U31" i="33" a="1"/>
  <c r="U31" i="33" s="1"/>
  <c r="AM100" i="33" a="1"/>
  <c r="AM100" i="33" s="1"/>
  <c r="I91" i="45" a="1"/>
  <c r="I91" i="45" s="1"/>
  <c r="AE89" i="44" a="1"/>
  <c r="AE89" i="44" s="1"/>
  <c r="AF29" i="45" a="1"/>
  <c r="AF29" i="45" s="1"/>
  <c r="G40" i="44" a="1"/>
  <c r="G40" i="44" s="1"/>
  <c r="C49" i="41" a="1"/>
  <c r="C49" i="41" s="1"/>
  <c r="AK52" i="45" a="1"/>
  <c r="AK52" i="45" s="1"/>
  <c r="AQ87" i="41"/>
  <c r="AC37" i="33" a="1"/>
  <c r="AC37" i="33" s="1"/>
  <c r="W10" i="45" a="1"/>
  <c r="W10" i="45" s="1"/>
  <c r="N32" i="45" a="1"/>
  <c r="N32" i="45" s="1"/>
  <c r="AK20" i="45" a="1"/>
  <c r="AK20" i="45" s="1"/>
  <c r="I101" i="45" a="1"/>
  <c r="I101" i="45" s="1"/>
  <c r="J99" i="47"/>
  <c r="AO88" i="41" a="1"/>
  <c r="AO88" i="41" s="1"/>
  <c r="AO85" i="47" a="1"/>
  <c r="AO85" i="47" s="1"/>
  <c r="AK40" i="45" a="1"/>
  <c r="AK40" i="45" s="1"/>
  <c r="AJ53" i="44" a="1"/>
  <c r="AJ53" i="44" s="1"/>
  <c r="AO83" i="33" a="1"/>
  <c r="AO83" i="33" s="1"/>
  <c r="C65" i="43" a="1"/>
  <c r="C65" i="43" s="1"/>
  <c r="V91" i="33" a="1"/>
  <c r="V91" i="33" s="1"/>
  <c r="R28" i="45" a="1"/>
  <c r="R28" i="45" s="1"/>
  <c r="AR19" i="33" a="1"/>
  <c r="AR19" i="33" s="1"/>
  <c r="C79" i="41" a="1"/>
  <c r="C79" i="41" s="1"/>
  <c r="V86" i="44" a="1"/>
  <c r="V86" i="44" s="1"/>
  <c r="AB89" i="33" a="1"/>
  <c r="AB89" i="33" s="1"/>
  <c r="AF79" i="45" a="1"/>
  <c r="AF79" i="45" s="1"/>
  <c r="AH100" i="33" a="1"/>
  <c r="AH100" i="33" s="1"/>
  <c r="S59" i="33" a="1"/>
  <c r="S59" i="33" s="1"/>
  <c r="AO70" i="33" a="1"/>
  <c r="AO70" i="33" s="1"/>
  <c r="AT63" i="47"/>
  <c r="I38" i="46" a="1"/>
  <c r="I38" i="46" s="1"/>
  <c r="L20" i="45" a="1"/>
  <c r="L20" i="45" s="1"/>
  <c r="V89" i="44" a="1"/>
  <c r="V89" i="44" s="1"/>
  <c r="E28" i="33" a="1"/>
  <c r="E28" i="33" s="1"/>
  <c r="AQ79" i="33" a="1"/>
  <c r="AQ79" i="33" s="1"/>
  <c r="AN67" i="46" a="1"/>
  <c r="AN67" i="46" s="1"/>
  <c r="AO19" i="45" a="1"/>
  <c r="AO19" i="45" s="1"/>
  <c r="AN91" i="46" a="1"/>
  <c r="AN91" i="46" s="1"/>
  <c r="V92" i="45" a="1"/>
  <c r="V92" i="45" s="1"/>
  <c r="M35" i="33" a="1"/>
  <c r="M35" i="33" s="1"/>
  <c r="W98" i="44" a="1"/>
  <c r="W98" i="44" s="1"/>
  <c r="AC100" i="45" a="1"/>
  <c r="AC100" i="45" s="1"/>
  <c r="AD103" i="33" a="1"/>
  <c r="AD103" i="33" s="1"/>
  <c r="L19" i="45" a="1"/>
  <c r="L19" i="45" s="1"/>
  <c r="C103" i="46" a="1"/>
  <c r="C103" i="46" s="1"/>
  <c r="E44" i="44" a="1"/>
  <c r="E44" i="44" s="1"/>
  <c r="K37" i="44" a="1"/>
  <c r="K37" i="44" s="1"/>
  <c r="AH56" i="44" a="1"/>
  <c r="AH56" i="44" s="1"/>
  <c r="AG85" i="44" a="1"/>
  <c r="AG85" i="44" s="1"/>
  <c r="T77" i="33" a="1"/>
  <c r="T77" i="33" s="1"/>
  <c r="E74" i="45" a="1"/>
  <c r="E74" i="45" s="1"/>
  <c r="I82" i="47" a="1"/>
  <c r="I82" i="47" s="1"/>
  <c r="AN103" i="44" a="1"/>
  <c r="AN103" i="44" s="1"/>
  <c r="AN53" i="46" a="1"/>
  <c r="AN53" i="46" s="1"/>
  <c r="AF44" i="45" a="1"/>
  <c r="AF44" i="45" s="1"/>
  <c r="AC97" i="45" a="1"/>
  <c r="AC97" i="45" s="1"/>
  <c r="J31" i="45" a="1"/>
  <c r="J31" i="45" s="1"/>
  <c r="Y86" i="45" a="1"/>
  <c r="Y86" i="45" s="1"/>
  <c r="N31" i="45" a="1"/>
  <c r="N31" i="45" s="1"/>
  <c r="AQ56" i="45" a="1"/>
  <c r="AQ56" i="45" s="1"/>
  <c r="AE97" i="33" a="1"/>
  <c r="AE97" i="33" s="1"/>
  <c r="C53" i="33" a="1"/>
  <c r="C53" i="33" s="1"/>
  <c r="AG95" i="33" a="1"/>
  <c r="AG95" i="33" s="1"/>
  <c r="Q17" i="45" a="1"/>
  <c r="Q17" i="45" s="1"/>
  <c r="AQ31" i="44" a="1"/>
  <c r="AQ31" i="44" s="1"/>
  <c r="C62" i="44" a="1"/>
  <c r="C62" i="44" s="1"/>
  <c r="Y31" i="45" a="1"/>
  <c r="Y31" i="45" s="1"/>
  <c r="Y19" i="44" a="1"/>
  <c r="Y19" i="44" s="1"/>
  <c r="AQ51" i="43"/>
  <c r="G19" i="44" a="1"/>
  <c r="G19" i="44" s="1"/>
  <c r="S77" i="33" a="1"/>
  <c r="S77" i="33" s="1"/>
  <c r="W41" i="33" a="1"/>
  <c r="W41" i="33" s="1"/>
  <c r="AF25" i="45" a="1"/>
  <c r="AF25" i="45" s="1"/>
  <c r="L92" i="45" a="1"/>
  <c r="L92" i="45" s="1"/>
  <c r="K77" i="45" a="1"/>
  <c r="K77" i="45" s="1"/>
  <c r="AM44" i="45" a="1"/>
  <c r="AM44" i="45" s="1"/>
  <c r="H26" i="44" a="1"/>
  <c r="H26" i="44" s="1"/>
  <c r="I25" i="46" a="1"/>
  <c r="I25" i="46" s="1"/>
  <c r="AC50" i="45" a="1"/>
  <c r="AC50" i="45" s="1"/>
  <c r="I76" i="47" a="1"/>
  <c r="I76" i="47" s="1"/>
  <c r="S53" i="45" a="1"/>
  <c r="S53" i="45" s="1"/>
  <c r="P81" i="43"/>
  <c r="R101" i="44" a="1"/>
  <c r="R101" i="44" s="1"/>
  <c r="H76" i="45" a="1"/>
  <c r="H76" i="45" s="1"/>
  <c r="M40" i="45" a="1"/>
  <c r="M40" i="45" s="1"/>
  <c r="AI95" i="33" a="1"/>
  <c r="AI95" i="33" s="1"/>
  <c r="AI93" i="33" s="1"/>
  <c r="AB19" i="45" a="1"/>
  <c r="AB19" i="45" s="1"/>
  <c r="AP68" i="44" a="1"/>
  <c r="AP68" i="44" s="1"/>
  <c r="AE22" i="44" a="1"/>
  <c r="AE22" i="44" s="1"/>
  <c r="X89" i="45" a="1"/>
  <c r="X89" i="45" s="1"/>
  <c r="K16" i="45" a="1"/>
  <c r="K16" i="45" s="1"/>
  <c r="P52" i="45" a="1"/>
  <c r="P52" i="45" s="1"/>
  <c r="F98" i="33" a="1"/>
  <c r="F98" i="33" s="1"/>
  <c r="AV100" i="43" a="1"/>
  <c r="AV100" i="43" s="1"/>
  <c r="AV98" i="47" a="1"/>
  <c r="AV98" i="47" s="1"/>
  <c r="Y10" i="44" a="1"/>
  <c r="Y10" i="44" s="1"/>
  <c r="AR31" i="44" a="1"/>
  <c r="AR31" i="44" s="1"/>
  <c r="V47" i="44" a="1"/>
  <c r="V47" i="44" s="1"/>
  <c r="AE68" i="44" a="1"/>
  <c r="AE68" i="44" s="1"/>
  <c r="AN101" i="44" a="1"/>
  <c r="AN101" i="44" s="1"/>
  <c r="M62" i="45" a="1"/>
  <c r="M62" i="45" s="1"/>
  <c r="AR67" i="44" a="1"/>
  <c r="AR67" i="44" s="1"/>
  <c r="P50" i="44" a="1"/>
  <c r="P50" i="44" s="1"/>
  <c r="AO68" i="33" a="1"/>
  <c r="AO68" i="33" s="1"/>
  <c r="K92" i="33" a="1"/>
  <c r="K92" i="33" s="1"/>
  <c r="AK43" i="33" a="1"/>
  <c r="AK43" i="33" s="1"/>
  <c r="AL94" i="33" a="1"/>
  <c r="AL94" i="33" s="1"/>
  <c r="AI25" i="44" a="1"/>
  <c r="AI25" i="44" s="1"/>
  <c r="M41" i="44" a="1"/>
  <c r="M41" i="44" s="1"/>
  <c r="AH22" i="44" a="1"/>
  <c r="AH22" i="44" s="1"/>
  <c r="AF77" i="44" a="1"/>
  <c r="AF77" i="44" s="1"/>
  <c r="AF75" i="44" s="1"/>
  <c r="Y85" i="45" a="1"/>
  <c r="Y85" i="45" s="1"/>
  <c r="AK26" i="44" a="1"/>
  <c r="AK26" i="44" s="1"/>
  <c r="N68" i="44" a="1"/>
  <c r="N68" i="44" s="1"/>
  <c r="AH73" i="44" a="1"/>
  <c r="AH73" i="44" s="1"/>
  <c r="AQ82" i="33" a="1"/>
  <c r="AQ82" i="33" s="1"/>
  <c r="V58" i="33" a="1"/>
  <c r="V58" i="33" s="1"/>
  <c r="J95" i="45" a="1"/>
  <c r="J95" i="45" s="1"/>
  <c r="T55" i="45" a="1"/>
  <c r="T55" i="45" s="1"/>
  <c r="W61" i="44" a="1"/>
  <c r="W61" i="44" s="1"/>
  <c r="AQ71" i="33" a="1"/>
  <c r="AQ71" i="33" s="1"/>
  <c r="AH88" i="44" a="1"/>
  <c r="AH88" i="44" s="1"/>
  <c r="S74" i="33" a="1"/>
  <c r="S74" i="33" s="1"/>
  <c r="K82" i="45" a="1"/>
  <c r="K82" i="45" s="1"/>
  <c r="AN88" i="43" a="1"/>
  <c r="AN88" i="43" s="1"/>
  <c r="AN79" i="45" a="1"/>
  <c r="AN79" i="45" s="1"/>
  <c r="W94" i="33" a="1"/>
  <c r="W94" i="33" s="1"/>
  <c r="C16" i="41" a="1"/>
  <c r="C16" i="41" s="1"/>
  <c r="X20" i="33" a="1"/>
  <c r="X20" i="33" s="1"/>
  <c r="G22" i="33" a="1"/>
  <c r="G22" i="33" s="1"/>
  <c r="W40" i="44" a="1"/>
  <c r="W40" i="44" s="1"/>
  <c r="AC31" i="33" a="1"/>
  <c r="AC31" i="33" s="1"/>
  <c r="W17" i="45" a="1"/>
  <c r="W17" i="45" s="1"/>
  <c r="V44" i="44" a="1"/>
  <c r="V44" i="44" s="1"/>
  <c r="U83" i="45" a="1"/>
  <c r="U83" i="45" s="1"/>
  <c r="AF44" i="44" a="1"/>
  <c r="AF44" i="44" s="1"/>
  <c r="AK89" i="45" a="1"/>
  <c r="AK89" i="45" s="1"/>
  <c r="AE101" i="44" a="1"/>
  <c r="AE101" i="44" s="1"/>
  <c r="AN98" i="43" a="1"/>
  <c r="AN98" i="43" s="1"/>
  <c r="AA20" i="45" a="1"/>
  <c r="AA20" i="45" s="1"/>
  <c r="L94" i="33" a="1"/>
  <c r="L94" i="33" s="1"/>
  <c r="L93" i="33" s="1"/>
  <c r="AL47" i="44" a="1"/>
  <c r="AL47" i="44" s="1"/>
  <c r="AM24" i="46"/>
  <c r="AG65" i="45" a="1"/>
  <c r="AG65" i="45" s="1"/>
  <c r="O85" i="44" a="1"/>
  <c r="O85" i="44" s="1"/>
  <c r="P97" i="44" a="1"/>
  <c r="P97" i="44" s="1"/>
  <c r="AO104" i="45" a="1"/>
  <c r="AO104" i="45" s="1"/>
  <c r="AC82" i="45" a="1"/>
  <c r="AC82" i="45" s="1"/>
  <c r="AR59" i="44" a="1"/>
  <c r="AR59" i="44" s="1"/>
  <c r="Y52" i="45" a="1"/>
  <c r="Y52" i="45" s="1"/>
  <c r="X35" i="45" a="1"/>
  <c r="X35" i="45" s="1"/>
  <c r="I34" i="41" a="1"/>
  <c r="I34" i="41" s="1"/>
  <c r="R103" i="44" a="1"/>
  <c r="R103" i="44" s="1"/>
  <c r="I56" i="47" a="1"/>
  <c r="I56" i="47" s="1"/>
  <c r="AD103" i="45" a="1"/>
  <c r="AD103" i="45" s="1"/>
  <c r="X79" i="44" a="1"/>
  <c r="X79" i="44" s="1"/>
  <c r="J101" i="33" a="1"/>
  <c r="J101" i="33" s="1"/>
  <c r="AN38" i="43" a="1"/>
  <c r="AN38" i="43" s="1"/>
  <c r="AV19" i="46" a="1"/>
  <c r="AV19" i="46" s="1"/>
  <c r="AG20" i="33" a="1"/>
  <c r="AG20" i="33" s="1"/>
  <c r="E80" i="33" a="1"/>
  <c r="E80" i="33" s="1"/>
  <c r="AN55" i="43" a="1"/>
  <c r="AN55" i="43" s="1"/>
  <c r="I95" i="46" a="1"/>
  <c r="I95" i="46" s="1"/>
  <c r="AC62" i="44" a="1"/>
  <c r="AC62" i="44" s="1"/>
  <c r="AL50" i="33" a="1"/>
  <c r="AL50" i="33" s="1"/>
  <c r="E19" i="45" a="1"/>
  <c r="E19" i="45" s="1"/>
  <c r="AG98" i="33" a="1"/>
  <c r="AG98" i="33" s="1"/>
  <c r="Q32" i="45" a="1"/>
  <c r="Q32" i="45" s="1"/>
  <c r="C46" i="42" a="1"/>
  <c r="C46" i="42" s="1"/>
  <c r="H89" i="45" a="1"/>
  <c r="H89" i="45" s="1"/>
  <c r="AF92" i="45" a="1"/>
  <c r="AF92" i="45" s="1"/>
  <c r="AE77" i="33" a="1"/>
  <c r="AE77" i="33" s="1"/>
  <c r="U61" i="33" a="1"/>
  <c r="U61" i="33" s="1"/>
  <c r="C47" i="41" a="1"/>
  <c r="C47" i="41" s="1"/>
  <c r="C104" i="33" a="1"/>
  <c r="C104" i="33" s="1"/>
  <c r="AI31" i="45" a="1"/>
  <c r="AI31" i="45" s="1"/>
  <c r="AR62" i="44" a="1"/>
  <c r="AR62" i="44" s="1"/>
  <c r="AR74" i="33" a="1"/>
  <c r="AR74" i="33" s="1"/>
  <c r="AC93" i="43"/>
  <c r="I32" i="47" a="1"/>
  <c r="I32" i="47" s="1"/>
  <c r="L10" i="33" a="1"/>
  <c r="L10" i="33" s="1"/>
  <c r="M38" i="33" a="1"/>
  <c r="M38" i="33" s="1"/>
  <c r="E68" i="44" a="1"/>
  <c r="E68" i="44" s="1"/>
  <c r="W76" i="33" a="1"/>
  <c r="W76" i="33" s="1"/>
  <c r="I88" i="33" a="1"/>
  <c r="I88" i="33" s="1"/>
  <c r="U40" i="45" a="1"/>
  <c r="U40" i="45" s="1"/>
  <c r="AO85" i="44" a="1"/>
  <c r="AO85" i="44" s="1"/>
  <c r="Q95" i="45" a="1"/>
  <c r="Q95" i="45" s="1"/>
  <c r="AI97" i="44" a="1"/>
  <c r="AI97" i="44" s="1"/>
  <c r="C77" i="46" a="1"/>
  <c r="C77" i="46" s="1"/>
  <c r="AC38" i="33" a="1"/>
  <c r="AC38" i="33" s="1"/>
  <c r="AO17" i="46" a="1"/>
  <c r="AO17" i="46" s="1"/>
  <c r="C25" i="41" a="1"/>
  <c r="C25" i="41" s="1"/>
  <c r="H95" i="45" a="1"/>
  <c r="H95" i="45" s="1"/>
  <c r="Z82" i="44" a="1"/>
  <c r="Z82" i="44" s="1"/>
  <c r="N74" i="44" a="1"/>
  <c r="N74" i="44" s="1"/>
  <c r="W73" i="45" a="1"/>
  <c r="W73" i="45" s="1"/>
  <c r="Y26" i="45" a="1"/>
  <c r="Y26" i="45" s="1"/>
  <c r="AO80" i="33" a="1"/>
  <c r="AO80" i="33" s="1"/>
  <c r="K26" i="45" a="1"/>
  <c r="K26" i="45" s="1"/>
  <c r="F71" i="33" a="1"/>
  <c r="F71" i="33" s="1"/>
  <c r="AC41" i="44" a="1"/>
  <c r="AC41" i="44" s="1"/>
  <c r="G92" i="45" a="1"/>
  <c r="G92" i="45" s="1"/>
  <c r="X53" i="33" a="1"/>
  <c r="X53" i="33" s="1"/>
  <c r="K47" i="33" a="1"/>
  <c r="K47" i="33" s="1"/>
  <c r="AD11" i="44" a="1"/>
  <c r="AD11" i="44" s="1"/>
  <c r="T102" i="41"/>
  <c r="S100" i="33" a="1"/>
  <c r="S100" i="33" s="1"/>
  <c r="AL99" i="46"/>
  <c r="AG95" i="45" a="1"/>
  <c r="AG95" i="45" s="1"/>
  <c r="G16" i="45" a="1"/>
  <c r="G16" i="45" s="1"/>
  <c r="F31" i="33" a="1"/>
  <c r="F31" i="33" s="1"/>
  <c r="AV52" i="46" a="1"/>
  <c r="AV52" i="46" s="1"/>
  <c r="Y50" i="33" a="1"/>
  <c r="Y50" i="33" s="1"/>
  <c r="AR23" i="45" a="1"/>
  <c r="AR23" i="45" s="1"/>
  <c r="AM94" i="45" a="1"/>
  <c r="AM94" i="45" s="1"/>
  <c r="AN41" i="46" a="1"/>
  <c r="AN41" i="46" s="1"/>
  <c r="Z10" i="45" a="1"/>
  <c r="Z10" i="45" s="1"/>
  <c r="S23" i="33" a="1"/>
  <c r="S23" i="33" s="1"/>
  <c r="AN53" i="33" a="1"/>
  <c r="AN53" i="33" s="1"/>
  <c r="P70" i="33" a="1"/>
  <c r="P70" i="33" s="1"/>
  <c r="AE20" i="33" a="1"/>
  <c r="AE20" i="33" s="1"/>
  <c r="C91" i="43" a="1"/>
  <c r="C91" i="43" s="1"/>
  <c r="X98" i="45" a="1"/>
  <c r="X98" i="45" s="1"/>
  <c r="AO40" i="47" a="1"/>
  <c r="AO40" i="47" s="1"/>
  <c r="AF32" i="44" a="1"/>
  <c r="AF32" i="44" s="1"/>
  <c r="L31" i="33" a="1"/>
  <c r="L31" i="33" s="1"/>
  <c r="AU17" i="47" a="1"/>
  <c r="AU17" i="47" s="1"/>
  <c r="AN101" i="45" a="1"/>
  <c r="AN101" i="45" s="1"/>
  <c r="AG26" i="33" a="1"/>
  <c r="AG26" i="33" s="1"/>
  <c r="AD86" i="33" a="1"/>
  <c r="AD86" i="33" s="1"/>
  <c r="Z91" i="45" a="1"/>
  <c r="Z91" i="45" s="1"/>
  <c r="K53" i="45" a="1"/>
  <c r="K53" i="45" s="1"/>
  <c r="AJ73" i="45" a="1"/>
  <c r="AJ73" i="45" s="1"/>
  <c r="C76" i="41" a="1"/>
  <c r="C76" i="41" s="1"/>
  <c r="I61" i="43" a="1"/>
  <c r="I61" i="43" s="1"/>
  <c r="AH29" i="44" a="1"/>
  <c r="AH29" i="44" s="1"/>
  <c r="T83" i="45" a="1"/>
  <c r="T83" i="45" s="1"/>
  <c r="AV64" i="41" a="1"/>
  <c r="AV64" i="41" s="1"/>
  <c r="AK89" i="33" a="1"/>
  <c r="AK89" i="33" s="1"/>
  <c r="H64" i="33" a="1"/>
  <c r="H64" i="33" s="1"/>
  <c r="AN37" i="47" a="1"/>
  <c r="AN37" i="47" s="1"/>
  <c r="I65" i="41" a="1"/>
  <c r="I65" i="41" s="1"/>
  <c r="C79" i="43" a="1"/>
  <c r="C79" i="43" s="1"/>
  <c r="F20" i="45" a="1"/>
  <c r="F20" i="45" s="1"/>
  <c r="G70" i="44" a="1"/>
  <c r="G70" i="44" s="1"/>
  <c r="G69" i="44" s="1"/>
  <c r="S34" i="33" a="1"/>
  <c r="S34" i="33" s="1"/>
  <c r="AH58" i="33" a="1"/>
  <c r="AH58" i="33" s="1"/>
  <c r="I92" i="33" a="1"/>
  <c r="I92" i="33" s="1"/>
  <c r="V23" i="45" a="1"/>
  <c r="V23" i="45" s="1"/>
  <c r="AL72" i="41"/>
  <c r="AU35" i="43" a="1"/>
  <c r="AU35" i="43" s="1"/>
  <c r="T26" i="45" a="1"/>
  <c r="T26" i="45" s="1"/>
  <c r="AN71" i="45" a="1"/>
  <c r="AN71" i="45" s="1"/>
  <c r="I86" i="33" a="1"/>
  <c r="I86" i="33" s="1"/>
  <c r="J78" i="47"/>
  <c r="AU85" i="47" a="1"/>
  <c r="AU85" i="47" s="1"/>
  <c r="AL89" i="45" a="1"/>
  <c r="AL89" i="45" s="1"/>
  <c r="AL31" i="45" a="1"/>
  <c r="AL31" i="45" s="1"/>
  <c r="AL30" i="45" s="1"/>
  <c r="T67" i="45" a="1"/>
  <c r="T67" i="45" s="1"/>
  <c r="O82" i="33" a="1"/>
  <c r="O82" i="33" s="1"/>
  <c r="W32" i="45" a="1"/>
  <c r="W32" i="45" s="1"/>
  <c r="L17" i="44" a="1"/>
  <c r="L17" i="44" s="1"/>
  <c r="L10" i="44" a="1"/>
  <c r="L10" i="44" s="1"/>
  <c r="V32" i="45" a="1"/>
  <c r="V32" i="45" s="1"/>
  <c r="AB33" i="46"/>
  <c r="AR80" i="33" a="1"/>
  <c r="AR80" i="33" s="1"/>
  <c r="AU50" i="41" a="1"/>
  <c r="AU50" i="41" s="1"/>
  <c r="AB77" i="45" a="1"/>
  <c r="AB77" i="45" s="1"/>
  <c r="AJ37" i="33" a="1"/>
  <c r="AJ37" i="33" s="1"/>
  <c r="U52" i="44" a="1"/>
  <c r="U52" i="44" s="1"/>
  <c r="E41" i="33" a="1"/>
  <c r="E41" i="33" s="1"/>
  <c r="Z68" i="44" a="1"/>
  <c r="Z68" i="44" s="1"/>
  <c r="AR94" i="33" a="1"/>
  <c r="AR94" i="33" s="1"/>
  <c r="AH85" i="44" a="1"/>
  <c r="AH85" i="44" s="1"/>
  <c r="AJ37" i="45" a="1"/>
  <c r="AJ37" i="45" s="1"/>
  <c r="AN101" i="43" a="1"/>
  <c r="AN101" i="43" s="1"/>
  <c r="AH25" i="44" a="1"/>
  <c r="AH25" i="44" s="1"/>
  <c r="AI68" i="33" a="1"/>
  <c r="AI68" i="33" s="1"/>
  <c r="AN46" i="33" a="1"/>
  <c r="AN46" i="33" s="1"/>
  <c r="AP58" i="33" a="1"/>
  <c r="AP58" i="33" s="1"/>
  <c r="G91" i="33" a="1"/>
  <c r="G91" i="33" s="1"/>
  <c r="AC92" i="44" a="1"/>
  <c r="AC92" i="44" s="1"/>
  <c r="Q64" i="44" a="1"/>
  <c r="Q64" i="44" s="1"/>
  <c r="X76" i="44" a="1"/>
  <c r="X76" i="44" s="1"/>
  <c r="F40" i="45" a="1"/>
  <c r="F40" i="45" s="1"/>
  <c r="F70" i="45" a="1"/>
  <c r="F70" i="45" s="1"/>
  <c r="S92" i="45" a="1"/>
  <c r="S92" i="45" s="1"/>
  <c r="AO94" i="47" a="1"/>
  <c r="AO94" i="47" s="1"/>
  <c r="M91" i="33" a="1"/>
  <c r="M91" i="33" s="1"/>
  <c r="M90" i="33" s="1"/>
  <c r="AJ79" i="33" a="1"/>
  <c r="AJ79" i="33" s="1"/>
  <c r="AV71" i="41" a="1"/>
  <c r="AV71" i="41" s="1"/>
  <c r="AP83" i="33" a="1"/>
  <c r="AP83" i="33" s="1"/>
  <c r="M32" i="44" a="1"/>
  <c r="M32" i="44" s="1"/>
  <c r="M22" i="44" a="1"/>
  <c r="M22" i="44" s="1"/>
  <c r="AI100" i="44" a="1"/>
  <c r="AI100" i="44" s="1"/>
  <c r="E97" i="45" a="1"/>
  <c r="E97" i="45" s="1"/>
  <c r="E96" i="45" s="1"/>
  <c r="G53" i="45" a="1"/>
  <c r="G53" i="45" s="1"/>
  <c r="R58" i="33" a="1"/>
  <c r="R58" i="33" s="1"/>
  <c r="AL10" i="45" a="1"/>
  <c r="AL10" i="45" s="1"/>
  <c r="AV23" i="46" a="1"/>
  <c r="AV23" i="46" s="1"/>
  <c r="R82" i="33" a="1"/>
  <c r="R82" i="33" s="1"/>
  <c r="AD31" i="44" a="1"/>
  <c r="AD31" i="44" s="1"/>
  <c r="AP50" i="45" a="1"/>
  <c r="AP50" i="45" s="1"/>
  <c r="I32" i="43" a="1"/>
  <c r="I32" i="43" s="1"/>
  <c r="AR37" i="33" a="1"/>
  <c r="AR37" i="33" s="1"/>
  <c r="AB74" i="33" a="1"/>
  <c r="AB74" i="33" s="1"/>
  <c r="V59" i="45" a="1"/>
  <c r="V59" i="45" s="1"/>
  <c r="G70" i="45" a="1"/>
  <c r="G70" i="45" s="1"/>
  <c r="AF103" i="33" a="1"/>
  <c r="AF103" i="33" s="1"/>
  <c r="AC76" i="33" a="1"/>
  <c r="AC76" i="33" s="1"/>
  <c r="V104" i="44" a="1"/>
  <c r="V104" i="44" s="1"/>
  <c r="U86" i="45" a="1"/>
  <c r="U86" i="45" s="1"/>
  <c r="S77" i="45" a="1"/>
  <c r="S77" i="45" s="1"/>
  <c r="O79" i="45" a="1"/>
  <c r="O79" i="45" s="1"/>
  <c r="V47" i="45" a="1"/>
  <c r="V47" i="45" s="1"/>
  <c r="L64" i="44" a="1"/>
  <c r="L64" i="44" s="1"/>
  <c r="R32" i="33" a="1"/>
  <c r="R32" i="33" s="1"/>
  <c r="Q85" i="44" a="1"/>
  <c r="Q85" i="44" s="1"/>
  <c r="X22" i="33" a="1"/>
  <c r="X22" i="33" s="1"/>
  <c r="H44" i="33" a="1"/>
  <c r="H44" i="33" s="1"/>
  <c r="AQ22" i="44" a="1"/>
  <c r="AQ22" i="44" s="1"/>
  <c r="AN82" i="47" a="1"/>
  <c r="AN82" i="47" s="1"/>
  <c r="M82" i="45" a="1"/>
  <c r="M82" i="45" s="1"/>
  <c r="I43" i="44" a="1"/>
  <c r="I43" i="44" s="1"/>
  <c r="AG32" i="44" a="1"/>
  <c r="AG32" i="44" s="1"/>
  <c r="P91" i="44" a="1"/>
  <c r="P91" i="44" s="1"/>
  <c r="AP26" i="44" a="1"/>
  <c r="AP26" i="44" s="1"/>
  <c r="Y101" i="44" a="1"/>
  <c r="Y101" i="44" s="1"/>
  <c r="U56" i="45" a="1"/>
  <c r="U56" i="45" s="1"/>
  <c r="AA37" i="45" a="1"/>
  <c r="AA37" i="45" s="1"/>
  <c r="I43" i="45" a="1"/>
  <c r="I43" i="45" s="1"/>
  <c r="G53" i="44" a="1"/>
  <c r="G53" i="44" s="1"/>
  <c r="AH35" i="45" a="1"/>
  <c r="AH35" i="45" s="1"/>
  <c r="Q28" i="45" a="1"/>
  <c r="Q28" i="45" s="1"/>
  <c r="AD89" i="44" a="1"/>
  <c r="AD89" i="44" s="1"/>
  <c r="AO67" i="43" a="1"/>
  <c r="AO67" i="43" s="1"/>
  <c r="AL104" i="45" a="1"/>
  <c r="AL104" i="45" s="1"/>
  <c r="F74" i="33" a="1"/>
  <c r="F74" i="33" s="1"/>
  <c r="V16" i="44" a="1"/>
  <c r="V16" i="44" s="1"/>
  <c r="AJ58" i="45" a="1"/>
  <c r="AJ58" i="45" s="1"/>
  <c r="AK83" i="45" a="1"/>
  <c r="AK83" i="45" s="1"/>
  <c r="Z74" i="33" a="1"/>
  <c r="Z74" i="33" s="1"/>
  <c r="M56" i="45" a="1"/>
  <c r="M56" i="45" s="1"/>
  <c r="Y83" i="45" a="1"/>
  <c r="Y83" i="45" s="1"/>
  <c r="V20" i="45" a="1"/>
  <c r="V20" i="45" s="1"/>
  <c r="V18" i="45" s="1"/>
  <c r="L17" i="45" a="1"/>
  <c r="L17" i="45" s="1"/>
  <c r="AL35" i="44" a="1"/>
  <c r="AL35" i="44" s="1"/>
  <c r="K82" i="44" a="1"/>
  <c r="K82" i="44" s="1"/>
  <c r="G76" i="45" a="1"/>
  <c r="G76" i="45" s="1"/>
  <c r="S22" i="45" a="1"/>
  <c r="S22" i="45" s="1"/>
  <c r="L83" i="33" a="1"/>
  <c r="L83" i="33" s="1"/>
  <c r="V97" i="45" a="1"/>
  <c r="V97" i="45" s="1"/>
  <c r="J28" i="33" a="1"/>
  <c r="J28" i="33" s="1"/>
  <c r="J27" i="33" s="1"/>
  <c r="AO89" i="33" a="1"/>
  <c r="AO89" i="33" s="1"/>
  <c r="P44" i="45" a="1"/>
  <c r="P44" i="45" s="1"/>
  <c r="W43" i="45" a="1"/>
  <c r="W43" i="45" s="1"/>
  <c r="Z32" i="44" a="1"/>
  <c r="Z32" i="44" s="1"/>
  <c r="C32" i="45" a="1"/>
  <c r="C32" i="45" s="1"/>
  <c r="I35" i="45" a="1"/>
  <c r="I35" i="45" s="1"/>
  <c r="X74" i="44" a="1"/>
  <c r="X74" i="44" s="1"/>
  <c r="AD29" i="33" a="1"/>
  <c r="AD29" i="33" s="1"/>
  <c r="AV16" i="43" a="1"/>
  <c r="AV16" i="43" s="1"/>
  <c r="AM97" i="45" a="1"/>
  <c r="AM97" i="45" s="1"/>
  <c r="AN35" i="45" a="1"/>
  <c r="AN35" i="45" s="1"/>
  <c r="AF37" i="33" a="1"/>
  <c r="AF37" i="33" s="1"/>
  <c r="C88" i="45" a="1"/>
  <c r="C88" i="45" s="1"/>
  <c r="AF67" i="45" a="1"/>
  <c r="AF67" i="45" s="1"/>
  <c r="P46" i="33" a="1"/>
  <c r="P46" i="33" s="1"/>
  <c r="O17" i="44" a="1"/>
  <c r="O17" i="44" s="1"/>
  <c r="AM65" i="45" a="1"/>
  <c r="AM65" i="45" s="1"/>
  <c r="AD35" i="33" a="1"/>
  <c r="AD35" i="33" s="1"/>
  <c r="I26" i="46" a="1"/>
  <c r="I26" i="46" s="1"/>
  <c r="I19" i="33" a="1"/>
  <c r="I19" i="33" s="1"/>
  <c r="C77" i="42" a="1"/>
  <c r="C77" i="42" s="1"/>
  <c r="AO80" i="44" a="1"/>
  <c r="AO80" i="44" s="1"/>
  <c r="E47" i="33" a="1"/>
  <c r="E47" i="33" s="1"/>
  <c r="X26" i="44" a="1"/>
  <c r="X26" i="44" s="1"/>
  <c r="F101" i="33" a="1"/>
  <c r="F101" i="33" s="1"/>
  <c r="AO26" i="45" a="1"/>
  <c r="AO26" i="45" s="1"/>
  <c r="AU94" i="43" a="1"/>
  <c r="AU94" i="43" s="1"/>
  <c r="C91" i="42" a="1"/>
  <c r="C91" i="42" s="1"/>
  <c r="AH86" i="44" a="1"/>
  <c r="AH86" i="44" s="1"/>
  <c r="K101" i="45" a="1"/>
  <c r="K101" i="45" s="1"/>
  <c r="E44" i="45" a="1"/>
  <c r="E44" i="45" s="1"/>
  <c r="AO91" i="46" a="1"/>
  <c r="AO91" i="46" s="1"/>
  <c r="M38" i="44" a="1"/>
  <c r="M38" i="44" s="1"/>
  <c r="C41" i="33" a="1"/>
  <c r="C41" i="33" s="1"/>
  <c r="G62" i="44" a="1"/>
  <c r="G62" i="44" s="1"/>
  <c r="J70" i="45" a="1"/>
  <c r="J70" i="45" s="1"/>
  <c r="C31" i="33" a="1"/>
  <c r="C31" i="33" s="1"/>
  <c r="AE53" i="44" a="1"/>
  <c r="AE53" i="44" s="1"/>
  <c r="U68" i="45" a="1"/>
  <c r="U68" i="45" s="1"/>
  <c r="AA94" i="33" a="1"/>
  <c r="AA94" i="33" s="1"/>
  <c r="AV31" i="41" a="1"/>
  <c r="AV31" i="41" s="1"/>
  <c r="F86" i="33" a="1"/>
  <c r="F86" i="33" s="1"/>
  <c r="I37" i="41" a="1"/>
  <c r="I37" i="41" s="1"/>
  <c r="E70" i="45" a="1"/>
  <c r="E70" i="45" s="1"/>
  <c r="H86" i="33" a="1"/>
  <c r="H86" i="33" s="1"/>
  <c r="M80" i="33" a="1"/>
  <c r="M80" i="33" s="1"/>
  <c r="C19" i="43" a="1"/>
  <c r="C19" i="43" s="1"/>
  <c r="E50" i="44" a="1"/>
  <c r="E50" i="44" s="1"/>
  <c r="AI27" i="41"/>
  <c r="AM91" i="33" a="1"/>
  <c r="AM91" i="33" s="1"/>
  <c r="W34" i="44" a="1"/>
  <c r="W34" i="44" s="1"/>
  <c r="H67" i="45" a="1"/>
  <c r="H67" i="45" s="1"/>
  <c r="O95" i="44" a="1"/>
  <c r="O95" i="44" s="1"/>
  <c r="AK99" i="47"/>
  <c r="AO22" i="46" a="1"/>
  <c r="AO22" i="46" s="1"/>
  <c r="AO61" i="41" a="1"/>
  <c r="AO61" i="41" s="1"/>
  <c r="AA80" i="45" a="1"/>
  <c r="AA80" i="45" s="1"/>
  <c r="AJ56" i="33" a="1"/>
  <c r="AJ56" i="33" s="1"/>
  <c r="K91" i="44" a="1"/>
  <c r="K91" i="44" s="1"/>
  <c r="AO79" i="47" a="1"/>
  <c r="AO79" i="47" s="1"/>
  <c r="K32" i="44" a="1"/>
  <c r="K32" i="44" s="1"/>
  <c r="AK16" i="33" a="1"/>
  <c r="AK16" i="33" s="1"/>
  <c r="AO103" i="43" a="1"/>
  <c r="AO103" i="43" s="1"/>
  <c r="R61" i="33" a="1"/>
  <c r="R61" i="33" s="1"/>
  <c r="AN43" i="33" a="1"/>
  <c r="AN43" i="33" s="1"/>
  <c r="AA79" i="44" a="1"/>
  <c r="AA79" i="44" s="1"/>
  <c r="AB42" i="47"/>
  <c r="W31" i="33" a="1"/>
  <c r="W31" i="33" s="1"/>
  <c r="O100" i="45" a="1"/>
  <c r="O100" i="45" s="1"/>
  <c r="I89" i="44" a="1"/>
  <c r="I89" i="44" s="1"/>
  <c r="AD58" i="33" a="1"/>
  <c r="AD58" i="33" s="1"/>
  <c r="AF83" i="45" a="1"/>
  <c r="AF83" i="45" s="1"/>
  <c r="C47" i="45" a="1"/>
  <c r="C47" i="45" s="1"/>
  <c r="J86" i="44" a="1"/>
  <c r="J86" i="44" s="1"/>
  <c r="AB10" i="44" a="1"/>
  <c r="AB10" i="44" s="1"/>
  <c r="AL29" i="44" a="1"/>
  <c r="AL29" i="44" s="1"/>
  <c r="AL27" i="44" s="1"/>
  <c r="T41" i="44" a="1"/>
  <c r="T41" i="44" s="1"/>
  <c r="I25" i="44" a="1"/>
  <c r="I25" i="44" s="1"/>
  <c r="AQ25" i="44" a="1"/>
  <c r="AQ25" i="44" s="1"/>
  <c r="AK95" i="33" a="1"/>
  <c r="AK95" i="33" s="1"/>
  <c r="Z60" i="47"/>
  <c r="AD76" i="33" a="1"/>
  <c r="AD76" i="33" s="1"/>
  <c r="AM32" i="33" a="1"/>
  <c r="AM32" i="33" s="1"/>
  <c r="K33" i="46"/>
  <c r="AM76" i="33" a="1"/>
  <c r="AM76" i="33" s="1"/>
  <c r="C19" i="42" a="1"/>
  <c r="C19" i="42" s="1"/>
  <c r="T23" i="33" a="1"/>
  <c r="T23" i="33" s="1"/>
  <c r="AB67" i="45" a="1"/>
  <c r="AB67" i="45" s="1"/>
  <c r="T26" i="33" a="1"/>
  <c r="T26" i="33" s="1"/>
  <c r="Z85" i="45" a="1"/>
  <c r="Z85" i="45" s="1"/>
  <c r="AN17" i="43" a="1"/>
  <c r="AN17" i="43" s="1"/>
  <c r="W92" i="33" a="1"/>
  <c r="W92" i="33" s="1"/>
  <c r="C62" i="41" a="1"/>
  <c r="C62" i="41" s="1"/>
  <c r="AB71" i="45" a="1"/>
  <c r="AB71" i="45" s="1"/>
  <c r="T88" i="33" a="1"/>
  <c r="T88" i="33" s="1"/>
  <c r="N10" i="44" a="1"/>
  <c r="N10" i="44" s="1"/>
  <c r="V35" i="33" a="1"/>
  <c r="V35" i="33" s="1"/>
  <c r="AA100" i="45" a="1"/>
  <c r="AA100" i="45" s="1"/>
  <c r="U77" i="44" a="1"/>
  <c r="U77" i="44" s="1"/>
  <c r="S51" i="41"/>
  <c r="AV104" i="41" a="1"/>
  <c r="AV104" i="41" s="1"/>
  <c r="U64" i="45" a="1"/>
  <c r="U64" i="45" s="1"/>
  <c r="U63" i="45" s="1"/>
  <c r="N94" i="44" a="1"/>
  <c r="N94" i="44" s="1"/>
  <c r="AR28" i="33" a="1"/>
  <c r="AR28" i="33" s="1"/>
  <c r="AR46" i="33" a="1"/>
  <c r="AR46" i="33" s="1"/>
  <c r="AB98" i="45" a="1"/>
  <c r="AB98" i="45" s="1"/>
  <c r="AO80" i="47" a="1"/>
  <c r="AO80" i="47" s="1"/>
  <c r="I91" i="33" a="1"/>
  <c r="I91" i="33" s="1"/>
  <c r="AQ76" i="44" a="1"/>
  <c r="AQ76" i="44" s="1"/>
  <c r="P80" i="33" a="1"/>
  <c r="P80" i="33" s="1"/>
  <c r="AV50" i="47" a="1"/>
  <c r="AV50" i="47" s="1"/>
  <c r="AE23" i="33" a="1"/>
  <c r="AE23" i="33" s="1"/>
  <c r="K52" i="44" a="1"/>
  <c r="K52" i="44" s="1"/>
  <c r="X65" i="44" a="1"/>
  <c r="X65" i="44" s="1"/>
  <c r="AL41" i="44" a="1"/>
  <c r="AL41" i="44" s="1"/>
  <c r="Y52" i="33" a="1"/>
  <c r="Y52" i="33" s="1"/>
  <c r="H80" i="33" a="1"/>
  <c r="H80" i="33" s="1"/>
  <c r="G25" i="33" a="1"/>
  <c r="G25" i="33" s="1"/>
  <c r="AN37" i="41" a="1"/>
  <c r="AN37" i="41" s="1"/>
  <c r="AO88" i="43" a="1"/>
  <c r="AO88" i="43" s="1"/>
  <c r="J29" i="44" a="1"/>
  <c r="J29" i="44" s="1"/>
  <c r="AL61" i="33" a="1"/>
  <c r="AL61" i="33" s="1"/>
  <c r="AB34" i="33" a="1"/>
  <c r="AB34" i="33" s="1"/>
  <c r="AJ91" i="45" a="1"/>
  <c r="AJ91" i="45" s="1"/>
  <c r="AJ34" i="33" a="1"/>
  <c r="AJ34" i="33" s="1"/>
  <c r="AF50" i="45" a="1"/>
  <c r="AF50" i="45" s="1"/>
  <c r="R59" i="45" a="1"/>
  <c r="R59" i="45" s="1"/>
  <c r="AD85" i="33" a="1"/>
  <c r="AD85" i="33" s="1"/>
  <c r="N55" i="33" a="1"/>
  <c r="N55" i="33" s="1"/>
  <c r="R26" i="33" a="1"/>
  <c r="R26" i="33" s="1"/>
  <c r="V104" i="33" a="1"/>
  <c r="V104" i="33" s="1"/>
  <c r="AV76" i="43" a="1"/>
  <c r="AV76" i="43" s="1"/>
  <c r="I19" i="45" a="1"/>
  <c r="I19" i="45" s="1"/>
  <c r="AP59" i="44" a="1"/>
  <c r="AP59" i="44" s="1"/>
  <c r="U61" i="44" a="1"/>
  <c r="U61" i="44" s="1"/>
  <c r="G77" i="45" a="1"/>
  <c r="G77" i="45" s="1"/>
  <c r="AI29" i="44" a="1"/>
  <c r="AI29" i="44" s="1"/>
  <c r="U79" i="45" a="1"/>
  <c r="U79" i="45" s="1"/>
  <c r="Q98" i="44" a="1"/>
  <c r="Q98" i="44" s="1"/>
  <c r="O32" i="44" a="1"/>
  <c r="O32" i="44" s="1"/>
  <c r="P89" i="44" a="1"/>
  <c r="P89" i="44" s="1"/>
  <c r="AU88" i="43" a="1"/>
  <c r="AU88" i="43" s="1"/>
  <c r="O28" i="33" a="1"/>
  <c r="O28" i="33" s="1"/>
  <c r="X20" i="44" a="1"/>
  <c r="X20" i="44" s="1"/>
  <c r="AI61" i="44" a="1"/>
  <c r="AI61" i="44" s="1"/>
  <c r="AU101" i="47" a="1"/>
  <c r="AU101" i="47" s="1"/>
  <c r="L28" i="44" a="1"/>
  <c r="L28" i="44" s="1"/>
  <c r="O59" i="33" a="1"/>
  <c r="O59" i="33" s="1"/>
  <c r="T83" i="44" a="1"/>
  <c r="T83" i="44" s="1"/>
  <c r="AL50" i="45" a="1"/>
  <c r="AL50" i="45" s="1"/>
  <c r="U91" i="44" a="1"/>
  <c r="U91" i="44" s="1"/>
  <c r="AU85" i="46" a="1"/>
  <c r="AU85" i="46" s="1"/>
  <c r="E62" i="44" a="1"/>
  <c r="E62" i="44" s="1"/>
  <c r="AE67" i="45" a="1"/>
  <c r="AE67" i="45" s="1"/>
  <c r="N94" i="33" a="1"/>
  <c r="N94" i="33" s="1"/>
  <c r="AM52" i="33" a="1"/>
  <c r="AM52" i="33" s="1"/>
  <c r="Q92" i="44" a="1"/>
  <c r="Q92" i="44" s="1"/>
  <c r="AJ76" i="44" a="1"/>
  <c r="AJ76" i="44" s="1"/>
  <c r="Q74" i="33" a="1"/>
  <c r="Q74" i="33" s="1"/>
  <c r="AP97" i="45" a="1"/>
  <c r="AP97" i="45" s="1"/>
  <c r="M67" i="44" a="1"/>
  <c r="M67" i="44" s="1"/>
  <c r="AJ64" i="45" a="1"/>
  <c r="AJ64" i="45" s="1"/>
  <c r="AC59" i="44" a="1"/>
  <c r="AC59" i="44" s="1"/>
  <c r="Y44" i="44" a="1"/>
  <c r="Y44" i="44" s="1"/>
  <c r="J36" i="43"/>
  <c r="L56" i="33" a="1"/>
  <c r="L56" i="33" s="1"/>
  <c r="Z41" i="33" a="1"/>
  <c r="Z41" i="33" s="1"/>
  <c r="AD52" i="44" a="1"/>
  <c r="AD52" i="44" s="1"/>
  <c r="T64" i="33" a="1"/>
  <c r="T64" i="33" s="1"/>
  <c r="AR44" i="45" a="1"/>
  <c r="AR44" i="45" s="1"/>
  <c r="W92" i="45" a="1"/>
  <c r="W92" i="45" s="1"/>
  <c r="AA98" i="33" a="1"/>
  <c r="AA98" i="33" s="1"/>
  <c r="AU40" i="43" a="1"/>
  <c r="AU40" i="43" s="1"/>
  <c r="AQ65" i="33" a="1"/>
  <c r="AQ65" i="33" s="1"/>
  <c r="AL97" i="45" a="1"/>
  <c r="AL97" i="45" s="1"/>
  <c r="AO23" i="46" a="1"/>
  <c r="AO23" i="46" s="1"/>
  <c r="AN83" i="46" a="1"/>
  <c r="AN83" i="46" s="1"/>
  <c r="AI70" i="44" a="1"/>
  <c r="AI70" i="44" s="1"/>
  <c r="I94" i="46" a="1"/>
  <c r="I94" i="46" s="1"/>
  <c r="AI10" i="45" a="1"/>
  <c r="AI10" i="45" s="1"/>
  <c r="AV38" i="46" a="1"/>
  <c r="AV38" i="46" s="1"/>
  <c r="AA88" i="33" a="1"/>
  <c r="AA88" i="33" s="1"/>
  <c r="AN16" i="46" a="1"/>
  <c r="AN16" i="46" s="1"/>
  <c r="X11" i="33" a="1"/>
  <c r="X11" i="33" s="1"/>
  <c r="S28" i="44" a="1"/>
  <c r="S28" i="44" s="1"/>
  <c r="AT48" i="43"/>
  <c r="F100" i="45" a="1"/>
  <c r="F100" i="45" s="1"/>
  <c r="X56" i="45" a="1"/>
  <c r="X56" i="45" s="1"/>
  <c r="P10" i="33" a="1"/>
  <c r="P10" i="33" s="1"/>
  <c r="AN83" i="45" a="1"/>
  <c r="AN83" i="45" s="1"/>
  <c r="M100" i="45" a="1"/>
  <c r="M100" i="45" s="1"/>
  <c r="X19" i="45" a="1"/>
  <c r="X19" i="45" s="1"/>
  <c r="AO92" i="47" a="1"/>
  <c r="AO92" i="47" s="1"/>
  <c r="W101" i="44" a="1"/>
  <c r="W101" i="44" s="1"/>
  <c r="AO103" i="47" a="1"/>
  <c r="AO103" i="47" s="1"/>
  <c r="AJ95" i="44" a="1"/>
  <c r="AJ95" i="44" s="1"/>
  <c r="K37" i="45" a="1"/>
  <c r="K37" i="45" s="1"/>
  <c r="K36" i="45" s="1"/>
  <c r="AI31" i="33" a="1"/>
  <c r="AI31" i="33" s="1"/>
  <c r="AR38" i="33" a="1"/>
  <c r="AR38" i="33" s="1"/>
  <c r="Q46" i="44" a="1"/>
  <c r="Q46" i="44" s="1"/>
  <c r="S50" i="44" a="1"/>
  <c r="S50" i="44" s="1"/>
  <c r="U98" i="33" a="1"/>
  <c r="U98" i="33" s="1"/>
  <c r="AN50" i="46" a="1"/>
  <c r="AN50" i="46" s="1"/>
  <c r="C10" i="33" a="1"/>
  <c r="C10" i="33" s="1"/>
  <c r="I73" i="41" a="1"/>
  <c r="I73" i="41" s="1"/>
  <c r="R52" i="45" a="1"/>
  <c r="R52" i="45" s="1"/>
  <c r="AH92" i="33" a="1"/>
  <c r="AH92" i="33" s="1"/>
  <c r="H79" i="44" a="1"/>
  <c r="H79" i="44" s="1"/>
  <c r="W98" i="33" a="1"/>
  <c r="W98" i="33" s="1"/>
  <c r="AE85" i="44" a="1"/>
  <c r="AE85" i="44" s="1"/>
  <c r="AA70" i="45" a="1"/>
  <c r="AA70" i="45" s="1"/>
  <c r="E70" i="33" a="1"/>
  <c r="E70" i="33" s="1"/>
  <c r="AH98" i="44" a="1"/>
  <c r="AH98" i="44" s="1"/>
  <c r="P82" i="33" a="1"/>
  <c r="P82" i="33" s="1"/>
  <c r="AQ49" i="44" a="1"/>
  <c r="AQ49" i="44" s="1"/>
  <c r="AL22" i="45" a="1"/>
  <c r="AL22" i="45" s="1"/>
  <c r="U62" i="45" a="1"/>
  <c r="U62" i="45" s="1"/>
  <c r="AO98" i="47" a="1"/>
  <c r="AO98" i="47" s="1"/>
  <c r="C28" i="43" a="1"/>
  <c r="C28" i="43" s="1"/>
  <c r="J32" i="33" a="1"/>
  <c r="J32" i="33" s="1"/>
  <c r="AV37" i="47" a="1"/>
  <c r="AV37" i="47" s="1"/>
  <c r="O74" i="44" a="1"/>
  <c r="O74" i="44" s="1"/>
  <c r="K103" i="33" a="1"/>
  <c r="K103" i="33" s="1"/>
  <c r="AO43" i="47" a="1"/>
  <c r="AO43" i="47" s="1"/>
  <c r="AD90" i="43"/>
  <c r="AH56" i="33" a="1"/>
  <c r="AH56" i="33" s="1"/>
  <c r="AE52" i="33" a="1"/>
  <c r="AE52" i="33" s="1"/>
  <c r="AF65" i="44" a="1"/>
  <c r="AF65" i="44" s="1"/>
  <c r="AJ77" i="45" a="1"/>
  <c r="AJ77" i="45" s="1"/>
  <c r="AD23" i="33" a="1"/>
  <c r="AD23" i="33" s="1"/>
  <c r="Z49" i="45" a="1"/>
  <c r="Z49" i="45" s="1"/>
  <c r="L101" i="45" a="1"/>
  <c r="L101" i="45" s="1"/>
  <c r="AR65" i="45" a="1"/>
  <c r="AR65" i="45" s="1"/>
  <c r="AN67" i="43" a="1"/>
  <c r="AN67" i="43" s="1"/>
  <c r="AN66" i="43" s="1"/>
  <c r="F47" i="45" a="1"/>
  <c r="F47" i="45" s="1"/>
  <c r="N95" i="45" a="1"/>
  <c r="N95" i="45" s="1"/>
  <c r="AD62" i="45" a="1"/>
  <c r="AD62" i="45" s="1"/>
  <c r="AO52" i="44" a="1"/>
  <c r="AO52" i="44" s="1"/>
  <c r="H23" i="45" a="1"/>
  <c r="H23" i="45" s="1"/>
  <c r="L82" i="44" a="1"/>
  <c r="L82" i="44" s="1"/>
  <c r="AG56" i="44" a="1"/>
  <c r="AG56" i="44" s="1"/>
  <c r="J88" i="45" a="1"/>
  <c r="J88" i="45" s="1"/>
  <c r="M54" i="41"/>
  <c r="N73" i="45" a="1"/>
  <c r="N73" i="45" s="1"/>
  <c r="AV79" i="46" a="1"/>
  <c r="AV79" i="46" s="1"/>
  <c r="Y22" i="45" a="1"/>
  <c r="Y22" i="45" s="1"/>
  <c r="T100" i="45" a="1"/>
  <c r="T100" i="45" s="1"/>
  <c r="AM85" i="33" a="1"/>
  <c r="AM85" i="33" s="1"/>
  <c r="AL58" i="44" a="1"/>
  <c r="AL58" i="44" s="1"/>
  <c r="AB76" i="45" a="1"/>
  <c r="AB76" i="45" s="1"/>
  <c r="C46" i="33" a="1"/>
  <c r="C46" i="33" s="1"/>
  <c r="W104" i="44" a="1"/>
  <c r="W104" i="44" s="1"/>
  <c r="L100" i="33" a="1"/>
  <c r="L100" i="33" s="1"/>
  <c r="AO97" i="41" a="1"/>
  <c r="AO97" i="41" s="1"/>
  <c r="I46" i="41" a="1"/>
  <c r="I46" i="41" s="1"/>
  <c r="I67" i="43" a="1"/>
  <c r="I67" i="43" s="1"/>
  <c r="AG35" i="33" a="1"/>
  <c r="AG35" i="33" s="1"/>
  <c r="AK56" i="33" a="1"/>
  <c r="AK56" i="33" s="1"/>
  <c r="T92" i="33" a="1"/>
  <c r="T92" i="33" s="1"/>
  <c r="K25" i="45" a="1"/>
  <c r="K25" i="45" s="1"/>
  <c r="AN31" i="33" a="1"/>
  <c r="AN31" i="33" s="1"/>
  <c r="AF82" i="44" a="1"/>
  <c r="AF82" i="44" s="1"/>
  <c r="Y91" i="33" a="1"/>
  <c r="Y91" i="33" s="1"/>
  <c r="AH70" i="44" a="1"/>
  <c r="AH70" i="44" s="1"/>
  <c r="AF89" i="33" a="1"/>
  <c r="AF89" i="33" s="1"/>
  <c r="AF24" i="47"/>
  <c r="AD94" i="44" a="1"/>
  <c r="AD94" i="44" s="1"/>
  <c r="AA75" i="47"/>
  <c r="AG43" i="44" a="1"/>
  <c r="AG43" i="44" s="1"/>
  <c r="AG42" i="44" s="1"/>
  <c r="O77" i="45" a="1"/>
  <c r="O77" i="45" s="1"/>
  <c r="AV34" i="41" a="1"/>
  <c r="AV34" i="41" s="1"/>
  <c r="L40" i="33" a="1"/>
  <c r="L40" i="33" s="1"/>
  <c r="C67" i="47" a="1"/>
  <c r="C67" i="47" s="1"/>
  <c r="I34" i="45" a="1"/>
  <c r="I34" i="45" s="1"/>
  <c r="AC71" i="33" a="1"/>
  <c r="AC71" i="33" s="1"/>
  <c r="J34" i="44" a="1"/>
  <c r="J34" i="44" s="1"/>
  <c r="AA71" i="33" a="1"/>
  <c r="AA71" i="33" s="1"/>
  <c r="AM71" i="45" a="1"/>
  <c r="AM71" i="45" s="1"/>
  <c r="Z82" i="45" a="1"/>
  <c r="Z82" i="45" s="1"/>
  <c r="AK41" i="45" a="1"/>
  <c r="AK41" i="45" s="1"/>
  <c r="K94" i="45" a="1"/>
  <c r="K94" i="45" s="1"/>
  <c r="C53" i="42" a="1"/>
  <c r="C53" i="42" s="1"/>
  <c r="AN26" i="45" a="1"/>
  <c r="AN26" i="45" s="1"/>
  <c r="AU25" i="43" a="1"/>
  <c r="AU25" i="43" s="1"/>
  <c r="X71" i="45" a="1"/>
  <c r="X71" i="45" s="1"/>
  <c r="AC50" i="44" a="1"/>
  <c r="AC50" i="44" s="1"/>
  <c r="V40" i="45" a="1"/>
  <c r="V40" i="45" s="1"/>
  <c r="E32" i="45" a="1"/>
  <c r="E32" i="45" s="1"/>
  <c r="J62" i="45" a="1"/>
  <c r="J62" i="45" s="1"/>
  <c r="P91" i="45" a="1"/>
  <c r="P91" i="45" s="1"/>
  <c r="C91" i="41" a="1"/>
  <c r="C91" i="41" s="1"/>
  <c r="Y50" i="44" a="1"/>
  <c r="Y50" i="44" s="1"/>
  <c r="J64" i="45" a="1"/>
  <c r="J64" i="45" s="1"/>
  <c r="AE61" i="44" a="1"/>
  <c r="AE61" i="44" s="1"/>
  <c r="Z85" i="44" a="1"/>
  <c r="Z85" i="44" s="1"/>
  <c r="AA67" i="44" a="1"/>
  <c r="AA67" i="44" s="1"/>
  <c r="E35" i="44" a="1"/>
  <c r="E35" i="44" s="1"/>
  <c r="M44" i="33" a="1"/>
  <c r="M44" i="33" s="1"/>
  <c r="H22" i="44" a="1"/>
  <c r="H22" i="44" s="1"/>
  <c r="AU71" i="47" a="1"/>
  <c r="AU71" i="47" s="1"/>
  <c r="AU26" i="46" a="1"/>
  <c r="AU26" i="46" s="1"/>
  <c r="O59" i="45" a="1"/>
  <c r="O59" i="45" s="1"/>
  <c r="AA104" i="45" a="1"/>
  <c r="AA104" i="45" s="1"/>
  <c r="Z23" i="33" a="1"/>
  <c r="Z23" i="33" s="1"/>
  <c r="AK11" i="44" a="1"/>
  <c r="AK11" i="44" s="1"/>
  <c r="AD83" i="45" a="1"/>
  <c r="AD83" i="45" s="1"/>
  <c r="AO55" i="47" a="1"/>
  <c r="AO55" i="47" s="1"/>
  <c r="P55" i="44" a="1"/>
  <c r="P55" i="44" s="1"/>
  <c r="I89" i="45" a="1"/>
  <c r="I89" i="45" s="1"/>
  <c r="AQ94" i="33" a="1"/>
  <c r="AQ94" i="33" s="1"/>
  <c r="T58" i="45" a="1"/>
  <c r="T58" i="45" s="1"/>
  <c r="AR46" i="45" a="1"/>
  <c r="AR46" i="45" s="1"/>
  <c r="T73" i="33" a="1"/>
  <c r="T73" i="33" s="1"/>
  <c r="AO82" i="43" a="1"/>
  <c r="AO82" i="43" s="1"/>
  <c r="AA19" i="44" a="1"/>
  <c r="AA19" i="44" s="1"/>
  <c r="Z97" i="44" a="1"/>
  <c r="Z97" i="44" s="1"/>
  <c r="T68" i="45" a="1"/>
  <c r="T68" i="45" s="1"/>
  <c r="W41" i="44" a="1"/>
  <c r="W41" i="44" s="1"/>
  <c r="AE98" i="44" a="1"/>
  <c r="AE98" i="44" s="1"/>
  <c r="M37" i="33" a="1"/>
  <c r="M37" i="33" s="1"/>
  <c r="N22" i="44" a="1"/>
  <c r="N22" i="44" s="1"/>
  <c r="J65" i="33" a="1"/>
  <c r="J65" i="33" s="1"/>
  <c r="AU11" i="46" a="1"/>
  <c r="AU11" i="46" s="1"/>
  <c r="I49" i="43" a="1"/>
  <c r="I49" i="43" s="1"/>
  <c r="AM98" i="44" a="1"/>
  <c r="AM98" i="44" s="1"/>
  <c r="K39" i="47"/>
  <c r="I86" i="41" a="1"/>
  <c r="I86" i="41" s="1"/>
  <c r="AQ101" i="44" a="1"/>
  <c r="AQ101" i="44" s="1"/>
  <c r="T43" i="45" a="1"/>
  <c r="T43" i="45" s="1"/>
  <c r="AL85" i="33" a="1"/>
  <c r="AL85" i="33" s="1"/>
  <c r="AN47" i="41" a="1"/>
  <c r="AN47" i="41" s="1"/>
  <c r="I89" i="41" a="1"/>
  <c r="I89" i="41" s="1"/>
  <c r="M95" i="44" a="1"/>
  <c r="M95" i="44" s="1"/>
  <c r="AJ85" i="44" a="1"/>
  <c r="AJ85" i="44" s="1"/>
  <c r="AG71" i="33" a="1"/>
  <c r="AG71" i="33" s="1"/>
  <c r="O25" i="44" a="1"/>
  <c r="O25" i="44" s="1"/>
  <c r="AN46" i="45" a="1"/>
  <c r="AN46" i="45" s="1"/>
  <c r="C61" i="41" a="1"/>
  <c r="C61" i="41" s="1"/>
  <c r="V85" i="45" a="1"/>
  <c r="V85" i="45" s="1"/>
  <c r="L46" i="45" a="1"/>
  <c r="L46" i="45" s="1"/>
  <c r="AC26" i="44" a="1"/>
  <c r="AC26" i="44" s="1"/>
  <c r="AE44" i="44" a="1"/>
  <c r="AE44" i="44" s="1"/>
  <c r="X38" i="44" a="1"/>
  <c r="X38" i="44" s="1"/>
  <c r="H43" i="44" a="1"/>
  <c r="H43" i="44" s="1"/>
  <c r="AH50" i="44" a="1"/>
  <c r="AH50" i="44" s="1"/>
  <c r="F103" i="44" a="1"/>
  <c r="F103" i="44" s="1"/>
  <c r="AP34" i="33" a="1"/>
  <c r="AP34" i="33" s="1"/>
  <c r="R38" i="45" a="1"/>
  <c r="R38" i="45" s="1"/>
  <c r="Y63" i="47"/>
  <c r="AQ98" i="45" a="1"/>
  <c r="AQ98" i="45" s="1"/>
  <c r="R46" i="44" a="1"/>
  <c r="R46" i="44" s="1"/>
  <c r="AO56" i="44" a="1"/>
  <c r="AO56" i="44" s="1"/>
  <c r="W10" i="33" a="1"/>
  <c r="W10" i="33" s="1"/>
  <c r="AA85" i="33" a="1"/>
  <c r="AA85" i="33" s="1"/>
  <c r="AI94" i="45" a="1"/>
  <c r="AI94" i="45" s="1"/>
  <c r="H83" i="33" a="1"/>
  <c r="H83" i="33" s="1"/>
  <c r="AA23" i="45" a="1"/>
  <c r="AA23" i="45" s="1"/>
  <c r="AK44" i="44" a="1"/>
  <c r="AK44" i="44" s="1"/>
  <c r="Y58" i="45" a="1"/>
  <c r="Y58" i="45" s="1"/>
  <c r="X103" i="33" a="1"/>
  <c r="X103" i="33" s="1"/>
  <c r="AF65" i="33" a="1"/>
  <c r="AF65" i="33" s="1"/>
  <c r="C52" i="41" a="1"/>
  <c r="C52" i="41" s="1"/>
  <c r="A52" i="41" s="1"/>
  <c r="AK44" i="45" a="1"/>
  <c r="AK44" i="45" s="1"/>
  <c r="AO79" i="41" a="1"/>
  <c r="AO79" i="41" s="1"/>
  <c r="M40" i="33" a="1"/>
  <c r="M40" i="33" s="1"/>
  <c r="V88" i="44" a="1"/>
  <c r="V88" i="44" s="1"/>
  <c r="I68" i="44" a="1"/>
  <c r="I68" i="44" s="1"/>
  <c r="AC47" i="45" a="1"/>
  <c r="AC47" i="45" s="1"/>
  <c r="AD56" i="33" a="1"/>
  <c r="AD56" i="33" s="1"/>
  <c r="AO26" i="41" a="1"/>
  <c r="AO26" i="41" s="1"/>
  <c r="Y48" i="41"/>
  <c r="P41" i="33" a="1"/>
  <c r="P41" i="33" s="1"/>
  <c r="X11" i="44" a="1"/>
  <c r="X11" i="44" s="1"/>
  <c r="X9" i="44" s="1"/>
  <c r="AO91" i="41" a="1"/>
  <c r="AO91" i="41" s="1"/>
  <c r="AI59" i="44" a="1"/>
  <c r="AI59" i="44" s="1"/>
  <c r="L44" i="33" a="1"/>
  <c r="L44" i="33" s="1"/>
  <c r="M19" i="45" a="1"/>
  <c r="M19" i="45" s="1"/>
  <c r="T38" i="44" a="1"/>
  <c r="T38" i="44" s="1"/>
  <c r="Z34" i="44" a="1"/>
  <c r="Z34" i="44" s="1"/>
  <c r="C44" i="45" a="1"/>
  <c r="C44" i="45" s="1"/>
  <c r="C98" i="46" a="1"/>
  <c r="C98" i="46" s="1"/>
  <c r="Z17" i="33" a="1"/>
  <c r="Z17" i="33" s="1"/>
  <c r="C47" i="44" a="1"/>
  <c r="C47" i="44" s="1"/>
  <c r="AM44" i="33" a="1"/>
  <c r="AM44" i="33" s="1"/>
  <c r="E35" i="33" a="1"/>
  <c r="E35" i="33" s="1"/>
  <c r="N92" i="33" a="1"/>
  <c r="N92" i="33" s="1"/>
  <c r="AC43" i="33" a="1"/>
  <c r="AC43" i="33" s="1"/>
  <c r="H94" i="33" a="1"/>
  <c r="H94" i="33" s="1"/>
  <c r="AK25" i="33" a="1"/>
  <c r="AK25" i="33" s="1"/>
  <c r="AA35" i="44" a="1"/>
  <c r="AA35" i="44" s="1"/>
  <c r="AO103" i="44" a="1"/>
  <c r="AO103" i="44" s="1"/>
  <c r="AR67" i="33" a="1"/>
  <c r="AR67" i="33" s="1"/>
  <c r="AK101" i="33" a="1"/>
  <c r="AK101" i="33" s="1"/>
  <c r="Y92" i="33" a="1"/>
  <c r="Y92" i="33" s="1"/>
  <c r="AN67" i="45" a="1"/>
  <c r="AN67" i="45" s="1"/>
  <c r="AG38" i="44" a="1"/>
  <c r="AG38" i="44" s="1"/>
  <c r="V87" i="41"/>
  <c r="AD20" i="45" a="1"/>
  <c r="AD20" i="45" s="1"/>
  <c r="AA22" i="45" a="1"/>
  <c r="AA22" i="45" s="1"/>
  <c r="AV62" i="43" a="1"/>
  <c r="AV62" i="43" s="1"/>
  <c r="F103" i="45" a="1"/>
  <c r="F103" i="45" s="1"/>
  <c r="H47" i="45" a="1"/>
  <c r="H47" i="45" s="1"/>
  <c r="AC97" i="44" a="1"/>
  <c r="AC97" i="44" s="1"/>
  <c r="P20" i="33" a="1"/>
  <c r="P20" i="33" s="1"/>
  <c r="M94" i="45" a="1"/>
  <c r="M94" i="45" s="1"/>
  <c r="E83" i="44" a="1"/>
  <c r="E83" i="44" s="1"/>
  <c r="M89" i="33" a="1"/>
  <c r="M89" i="33" s="1"/>
  <c r="J25" i="45" a="1"/>
  <c r="J25" i="45" s="1"/>
  <c r="T31" i="45" a="1"/>
  <c r="T31" i="45" s="1"/>
  <c r="N40" i="33" a="1"/>
  <c r="N40" i="33" s="1"/>
  <c r="AG74" i="33" a="1"/>
  <c r="AG74" i="33" s="1"/>
  <c r="AK91" i="44" a="1"/>
  <c r="AK91" i="44" s="1"/>
  <c r="I92" i="47" a="1"/>
  <c r="I92" i="47" s="1"/>
  <c r="I92" i="46" a="1"/>
  <c r="I92" i="46" s="1"/>
  <c r="AR30" i="41"/>
  <c r="AJ26" i="44" a="1"/>
  <c r="AJ26" i="44" s="1"/>
  <c r="AD11" i="33" a="1"/>
  <c r="AD11" i="33" s="1"/>
  <c r="J50" i="33" a="1"/>
  <c r="J50" i="33" s="1"/>
  <c r="AS66" i="41"/>
  <c r="AV71" i="43" a="1"/>
  <c r="AV71" i="43" s="1"/>
  <c r="C76" i="46" a="1"/>
  <c r="C76" i="46" s="1"/>
  <c r="AP32" i="45" a="1"/>
  <c r="AP32" i="45" s="1"/>
  <c r="AE49" i="33" a="1"/>
  <c r="AE49" i="33" s="1"/>
  <c r="P95" i="45" a="1"/>
  <c r="P95" i="45" s="1"/>
  <c r="AB44" i="33" a="1"/>
  <c r="AB44" i="33" s="1"/>
  <c r="K59" i="45" a="1"/>
  <c r="K59" i="45" s="1"/>
  <c r="J10" i="45" a="1"/>
  <c r="J10" i="45" s="1"/>
  <c r="AQ11" i="45" a="1"/>
  <c r="AQ11" i="45" s="1"/>
  <c r="Z23" i="45" a="1"/>
  <c r="Z23" i="45" s="1"/>
  <c r="O49" i="44" a="1"/>
  <c r="O49" i="44" s="1"/>
  <c r="AC46" i="45" a="1"/>
  <c r="AC46" i="45" s="1"/>
  <c r="AA49" i="44" a="1"/>
  <c r="AA49" i="44" s="1"/>
  <c r="X17" i="45" a="1"/>
  <c r="X17" i="45" s="1"/>
  <c r="V103" i="33" a="1"/>
  <c r="V103" i="33" s="1"/>
  <c r="C23" i="41" a="1"/>
  <c r="C23" i="41" s="1"/>
  <c r="AL74" i="33" a="1"/>
  <c r="AL74" i="33" s="1"/>
  <c r="C16" i="45" a="1"/>
  <c r="C16" i="45" s="1"/>
  <c r="AU16" i="47" a="1"/>
  <c r="AU16" i="47" s="1"/>
  <c r="T65" i="44" a="1"/>
  <c r="T65" i="44" s="1"/>
  <c r="L16" i="44" a="1"/>
  <c r="L16" i="44" s="1"/>
  <c r="AI32" i="45" a="1"/>
  <c r="AI32" i="45" s="1"/>
  <c r="I104" i="41" a="1"/>
  <c r="I104" i="41" s="1"/>
  <c r="C103" i="44" a="1"/>
  <c r="C103" i="44" s="1"/>
  <c r="L98" i="45" a="1"/>
  <c r="L98" i="45" s="1"/>
  <c r="L96" i="45" s="1"/>
  <c r="AN80" i="33" a="1"/>
  <c r="AN80" i="33" s="1"/>
  <c r="AK100" i="45" a="1"/>
  <c r="AK100" i="45" s="1"/>
  <c r="C37" i="42" a="1"/>
  <c r="C37" i="42" s="1"/>
  <c r="W76" i="45" a="1"/>
  <c r="W76" i="45" s="1"/>
  <c r="Y70" i="33" a="1"/>
  <c r="Y70" i="33" s="1"/>
  <c r="AO49" i="33" a="1"/>
  <c r="AO49" i="33" s="1"/>
  <c r="R59" i="33" a="1"/>
  <c r="R59" i="33" s="1"/>
  <c r="W25" i="33" a="1"/>
  <c r="W25" i="33" s="1"/>
  <c r="AH79" i="44" a="1"/>
  <c r="AH79" i="44" s="1"/>
  <c r="F29" i="33" a="1"/>
  <c r="F29" i="33" s="1"/>
  <c r="C68" i="44" a="1"/>
  <c r="C68" i="44" s="1"/>
  <c r="F58" i="45" a="1"/>
  <c r="F58" i="45" s="1"/>
  <c r="T92" i="44" a="1"/>
  <c r="T92" i="44" s="1"/>
  <c r="N65" i="45" a="1"/>
  <c r="N65" i="45" s="1"/>
  <c r="C98" i="33" a="1"/>
  <c r="C98" i="33" s="1"/>
  <c r="AP10" i="45" a="1"/>
  <c r="AP10" i="45" s="1"/>
  <c r="K94" i="33" a="1"/>
  <c r="K94" i="33" s="1"/>
  <c r="AI52" i="45" a="1"/>
  <c r="AI52" i="45" s="1"/>
  <c r="AI51" i="45" s="1"/>
  <c r="AT33" i="46"/>
  <c r="AL91" i="45" a="1"/>
  <c r="AL91" i="45" s="1"/>
  <c r="Q97" i="44" a="1"/>
  <c r="Q97" i="44" s="1"/>
  <c r="M49" i="45" a="1"/>
  <c r="M49" i="45" s="1"/>
  <c r="AF99" i="46"/>
  <c r="AP80" i="33" a="1"/>
  <c r="AP80" i="33" s="1"/>
  <c r="AI91" i="33" a="1"/>
  <c r="AI91" i="33" s="1"/>
  <c r="X24" i="43"/>
  <c r="AN85" i="45" a="1"/>
  <c r="AN85" i="45" s="1"/>
  <c r="AD74" i="33" a="1"/>
  <c r="AD74" i="33" s="1"/>
  <c r="AE97" i="45" a="1"/>
  <c r="AE97" i="45" s="1"/>
  <c r="AE96" i="45" s="1"/>
  <c r="M100" i="33" a="1"/>
  <c r="M100" i="33" s="1"/>
  <c r="G91" i="44" a="1"/>
  <c r="G91" i="44" s="1"/>
  <c r="AV68" i="46" a="1"/>
  <c r="AV68" i="46" s="1"/>
  <c r="AV66" i="46" s="1"/>
  <c r="Z48" i="47"/>
  <c r="AU70" i="46" a="1"/>
  <c r="AU70" i="46" s="1"/>
  <c r="O44" i="33" a="1"/>
  <c r="O44" i="33" s="1"/>
  <c r="O42" i="33" s="1"/>
  <c r="K59" i="33" a="1"/>
  <c r="K59" i="33" s="1"/>
  <c r="M52" i="44" a="1"/>
  <c r="M52" i="44" s="1"/>
  <c r="M35" i="45" a="1"/>
  <c r="M35" i="45" s="1"/>
  <c r="AF89" i="44" a="1"/>
  <c r="AF89" i="44" s="1"/>
  <c r="I91" i="43" a="1"/>
  <c r="I91" i="43" s="1"/>
  <c r="C83" i="43" a="1"/>
  <c r="C83" i="43" s="1"/>
  <c r="A82" i="43" s="1"/>
  <c r="AF75" i="47"/>
  <c r="Y29" i="33" a="1"/>
  <c r="Y29" i="33" s="1"/>
  <c r="H10" i="44" a="1"/>
  <c r="H10" i="44" s="1"/>
  <c r="AR89" i="44" a="1"/>
  <c r="AR89" i="44" s="1"/>
  <c r="AQ94" i="45" a="1"/>
  <c r="AQ94" i="45" s="1"/>
  <c r="AM104" i="33" a="1"/>
  <c r="AM104" i="33" s="1"/>
  <c r="J49" i="44" a="1"/>
  <c r="J49" i="44" s="1"/>
  <c r="AO34" i="46" a="1"/>
  <c r="AO34" i="46" s="1"/>
  <c r="O67" i="44" a="1"/>
  <c r="O67" i="44" s="1"/>
  <c r="O91" i="33" a="1"/>
  <c r="O91" i="33" s="1"/>
  <c r="AN58" i="45" a="1"/>
  <c r="AN58" i="45" s="1"/>
  <c r="F91" i="44" a="1"/>
  <c r="F91" i="44" s="1"/>
  <c r="J89" i="33" a="1"/>
  <c r="J89" i="33" s="1"/>
  <c r="AM35" i="45" a="1"/>
  <c r="AM35" i="45" s="1"/>
  <c r="AM33" i="45" s="1"/>
  <c r="T80" i="45" a="1"/>
  <c r="T80" i="45" s="1"/>
  <c r="AO55" i="33" a="1"/>
  <c r="AO55" i="33" s="1"/>
  <c r="I40" i="44" a="1"/>
  <c r="I40" i="44" s="1"/>
  <c r="AP35" i="33" a="1"/>
  <c r="AP35" i="33" s="1"/>
  <c r="Z61" i="33" a="1"/>
  <c r="Z61" i="33" s="1"/>
  <c r="AU67" i="47" a="1"/>
  <c r="AU67" i="47" s="1"/>
  <c r="AU53" i="43" a="1"/>
  <c r="AU53" i="43" s="1"/>
  <c r="G16" i="33" a="1"/>
  <c r="G16" i="33" s="1"/>
  <c r="I61" i="47" a="1"/>
  <c r="I61" i="47" s="1"/>
  <c r="AQ76" i="45" a="1"/>
  <c r="AQ76" i="45" s="1"/>
  <c r="AG53" i="33" a="1"/>
  <c r="AG53" i="33" s="1"/>
  <c r="P68" i="45" a="1"/>
  <c r="P68" i="45" s="1"/>
  <c r="P66" i="45" s="1"/>
  <c r="N61" i="44" a="1"/>
  <c r="N61" i="44" s="1"/>
  <c r="AA38" i="44" a="1"/>
  <c r="AA38" i="44" s="1"/>
  <c r="W11" i="45" a="1"/>
  <c r="W11" i="45" s="1"/>
  <c r="P94" i="33" a="1"/>
  <c r="P94" i="33" s="1"/>
  <c r="S34" i="45" a="1"/>
  <c r="S34" i="45" s="1"/>
  <c r="T52" i="45" a="1"/>
  <c r="T52" i="45" s="1"/>
  <c r="AR62" i="33" a="1"/>
  <c r="AR62" i="33" s="1"/>
  <c r="I104" i="45" a="1"/>
  <c r="I104" i="45" s="1"/>
  <c r="W70" i="33" a="1"/>
  <c r="W70" i="33" s="1"/>
  <c r="L74" i="44" a="1"/>
  <c r="L74" i="44" s="1"/>
  <c r="AS15" i="47"/>
  <c r="AO20" i="44" a="1"/>
  <c r="AO20" i="44" s="1"/>
  <c r="C97" i="42" a="1"/>
  <c r="C97" i="42" s="1"/>
  <c r="C26" i="41" a="1"/>
  <c r="C26" i="41" s="1"/>
  <c r="AL97" i="44" a="1"/>
  <c r="AL97" i="44" s="1"/>
  <c r="U35" i="45" a="1"/>
  <c r="U35" i="45" s="1"/>
  <c r="AF40" i="45" a="1"/>
  <c r="AF40" i="45" s="1"/>
  <c r="AH56" i="45" a="1"/>
  <c r="AH56" i="45" s="1"/>
  <c r="C59" i="47" a="1"/>
  <c r="C59" i="47" s="1"/>
  <c r="I22" i="47" a="1"/>
  <c r="I22" i="47" s="1"/>
  <c r="I21" i="47" s="1"/>
  <c r="J68" i="44" a="1"/>
  <c r="J68" i="44" s="1"/>
  <c r="AN50" i="47" a="1"/>
  <c r="AN50" i="47" s="1"/>
  <c r="AP61" i="33" a="1"/>
  <c r="AP61" i="33" s="1"/>
  <c r="K49" i="44" a="1"/>
  <c r="K49" i="44" s="1"/>
  <c r="H62" i="45" a="1"/>
  <c r="H62" i="45" s="1"/>
  <c r="Q44" i="33" a="1"/>
  <c r="Q44" i="33" s="1"/>
  <c r="AV16" i="47" a="1"/>
  <c r="AV16" i="47" s="1"/>
  <c r="N73" i="44" a="1"/>
  <c r="N73" i="44" s="1"/>
  <c r="J74" i="44" a="1"/>
  <c r="J74" i="44" s="1"/>
  <c r="AN16" i="43" a="1"/>
  <c r="AN16" i="43" s="1"/>
  <c r="J59" i="44" a="1"/>
  <c r="J59" i="44" s="1"/>
  <c r="AM101" i="33" a="1"/>
  <c r="AM101" i="33" s="1"/>
  <c r="AH53" i="44" a="1"/>
  <c r="AH53" i="44" s="1"/>
  <c r="K74" i="44" a="1"/>
  <c r="K74" i="44" s="1"/>
  <c r="N85" i="45" a="1"/>
  <c r="N85" i="45" s="1"/>
  <c r="AQ83" i="33" a="1"/>
  <c r="AQ83" i="33" s="1"/>
  <c r="R50" i="33" a="1"/>
  <c r="R50" i="33" s="1"/>
  <c r="AI29" i="45" a="1"/>
  <c r="AI29" i="45" s="1"/>
  <c r="AF67" i="44" a="1"/>
  <c r="AF67" i="44" s="1"/>
  <c r="AC60" i="41"/>
  <c r="AJ95" i="33" a="1"/>
  <c r="AJ95" i="33" s="1"/>
  <c r="Z28" i="45" a="1"/>
  <c r="Z28" i="45" s="1"/>
  <c r="AE58" i="44" a="1"/>
  <c r="AE58" i="44" s="1"/>
  <c r="X52" i="45" a="1"/>
  <c r="X52" i="45" s="1"/>
  <c r="AI40" i="44" a="1"/>
  <c r="AI40" i="44" s="1"/>
  <c r="W95" i="45" a="1"/>
  <c r="W95" i="45" s="1"/>
  <c r="J62" i="33" a="1"/>
  <c r="J62" i="33" s="1"/>
  <c r="AH44" i="45" a="1"/>
  <c r="AH44" i="45" s="1"/>
  <c r="N88" i="44" a="1"/>
  <c r="N88" i="44" s="1"/>
  <c r="K88" i="33" a="1"/>
  <c r="K88" i="33" s="1"/>
  <c r="AL89" i="33" a="1"/>
  <c r="AL89" i="33" s="1"/>
  <c r="AH44" i="33" a="1"/>
  <c r="AH44" i="33" s="1"/>
  <c r="AD41" i="44" a="1"/>
  <c r="AD41" i="44" s="1"/>
  <c r="AO31" i="45" a="1"/>
  <c r="AO31" i="45" s="1"/>
  <c r="G97" i="44" a="1"/>
  <c r="G97" i="44" s="1"/>
  <c r="T101" i="33" a="1"/>
  <c r="T101" i="33" s="1"/>
  <c r="AD101" i="44" a="1"/>
  <c r="AD101" i="44" s="1"/>
  <c r="C40" i="41" a="1"/>
  <c r="C40" i="41" s="1"/>
  <c r="K95" i="44" a="1"/>
  <c r="K95" i="44" s="1"/>
  <c r="R43" i="33" a="1"/>
  <c r="R43" i="33" s="1"/>
  <c r="AQ17" i="45" a="1"/>
  <c r="AQ17" i="45" s="1"/>
  <c r="U11" i="33" a="1"/>
  <c r="U11" i="33" s="1"/>
  <c r="E76" i="45" a="1"/>
  <c r="E76" i="45" s="1"/>
  <c r="X16" i="33" a="1"/>
  <c r="X16" i="33" s="1"/>
  <c r="Z68" i="33" a="1"/>
  <c r="Z68" i="33" s="1"/>
  <c r="M48" i="43"/>
  <c r="AO56" i="46" a="1"/>
  <c r="AO56" i="46" s="1"/>
  <c r="AO76" i="33" a="1"/>
  <c r="AO76" i="33" s="1"/>
  <c r="AV23" i="41" a="1"/>
  <c r="AV23" i="41" s="1"/>
  <c r="AO17" i="43" a="1"/>
  <c r="AO17" i="43" s="1"/>
  <c r="I88" i="45" a="1"/>
  <c r="I88" i="45" s="1"/>
  <c r="C41" i="41" a="1"/>
  <c r="C41" i="41" s="1"/>
  <c r="AO62" i="43" a="1"/>
  <c r="AO62" i="43" s="1"/>
  <c r="AE70" i="45" a="1"/>
  <c r="AE70" i="45" s="1"/>
  <c r="E103" i="44" a="1"/>
  <c r="E103" i="44" s="1"/>
  <c r="N47" i="33" a="1"/>
  <c r="N47" i="33" s="1"/>
  <c r="L101" i="44" a="1"/>
  <c r="L101" i="44" s="1"/>
  <c r="I86" i="44" a="1"/>
  <c r="I86" i="44" s="1"/>
  <c r="O71" i="45" a="1"/>
  <c r="O71" i="45" s="1"/>
  <c r="C46" i="43" a="1"/>
  <c r="C46" i="43" s="1"/>
  <c r="O26" i="45" a="1"/>
  <c r="O26" i="45" s="1"/>
  <c r="AJ83" i="45" a="1"/>
  <c r="AJ83" i="45" s="1"/>
  <c r="AN61" i="45" a="1"/>
  <c r="AN61" i="45" s="1"/>
  <c r="F16" i="45" a="1"/>
  <c r="F16" i="45" s="1"/>
  <c r="C37" i="45" a="1"/>
  <c r="C37" i="45" s="1"/>
  <c r="P32" i="33" a="1"/>
  <c r="P32" i="33" s="1"/>
  <c r="P58" i="33" a="1"/>
  <c r="P58" i="33" s="1"/>
  <c r="AP104" i="45" a="1"/>
  <c r="AP104" i="45" s="1"/>
  <c r="AG37" i="33" a="1"/>
  <c r="AG37" i="33" s="1"/>
  <c r="AC95" i="44" a="1"/>
  <c r="AC95" i="44" s="1"/>
  <c r="AL34" i="45" a="1"/>
  <c r="AL34" i="45" s="1"/>
  <c r="AN49" i="33" a="1"/>
  <c r="AN49" i="33" s="1"/>
  <c r="AF40" i="44" a="1"/>
  <c r="AF40" i="44" s="1"/>
  <c r="AF39" i="44" s="1"/>
  <c r="AS78" i="47"/>
  <c r="Y25" i="44" a="1"/>
  <c r="Y25" i="44" s="1"/>
  <c r="S43" i="33" a="1"/>
  <c r="S43" i="33" s="1"/>
  <c r="AN23" i="46" a="1"/>
  <c r="AN23" i="46" s="1"/>
  <c r="AD19" i="45" a="1"/>
  <c r="AD19" i="45" s="1"/>
  <c r="AO68" i="46" a="1"/>
  <c r="AO68" i="46" s="1"/>
  <c r="AO66" i="46" s="1"/>
  <c r="AK35" i="44" a="1"/>
  <c r="AK35" i="44" s="1"/>
  <c r="AH81" i="43"/>
  <c r="AV94" i="47" a="1"/>
  <c r="AV94" i="47" s="1"/>
  <c r="AN11" i="33" a="1"/>
  <c r="AN11" i="33" s="1"/>
  <c r="R27" i="47"/>
  <c r="AU73" i="43" a="1"/>
  <c r="AU73" i="43" s="1"/>
  <c r="O20" i="33" a="1"/>
  <c r="O20" i="33" s="1"/>
  <c r="AL46" i="44" a="1"/>
  <c r="AL46" i="44" s="1"/>
  <c r="AR83" i="44" a="1"/>
  <c r="AR83" i="44" s="1"/>
  <c r="AE37" i="45" a="1"/>
  <c r="AE37" i="45" s="1"/>
  <c r="AB79" i="33" a="1"/>
  <c r="AB79" i="33" s="1"/>
  <c r="AE62" i="33" a="1"/>
  <c r="AE62" i="33" s="1"/>
  <c r="AB32" i="45" a="1"/>
  <c r="AB32" i="45" s="1"/>
  <c r="AQ59" i="33" a="1"/>
  <c r="AQ59" i="33" s="1"/>
  <c r="M82" i="33" a="1"/>
  <c r="M82" i="33" s="1"/>
  <c r="AN37" i="33" a="1"/>
  <c r="AN37" i="33" s="1"/>
  <c r="AA40" i="45" a="1"/>
  <c r="AA40" i="45" s="1"/>
  <c r="AQ73" i="33" a="1"/>
  <c r="AQ73" i="33" s="1"/>
  <c r="W19" i="45" a="1"/>
  <c r="W19" i="45" s="1"/>
  <c r="H62" i="44" a="1"/>
  <c r="H62" i="44" s="1"/>
  <c r="AE10" i="44" a="1"/>
  <c r="AE10" i="44" s="1"/>
  <c r="AH71" i="45" a="1"/>
  <c r="AH71" i="45" s="1"/>
  <c r="AN44" i="44" a="1"/>
  <c r="AN44" i="44" s="1"/>
  <c r="AE84" i="46"/>
  <c r="AL21" i="46"/>
  <c r="AV85" i="46" a="1"/>
  <c r="AV85" i="46" s="1"/>
  <c r="N28" i="44" a="1"/>
  <c r="N28" i="44" s="1"/>
  <c r="F25" i="45" a="1"/>
  <c r="F25" i="45" s="1"/>
  <c r="AI68" i="44" a="1"/>
  <c r="AI68" i="44" s="1"/>
  <c r="N20" i="45" a="1"/>
  <c r="N20" i="45" s="1"/>
  <c r="U92" i="44" a="1"/>
  <c r="U92" i="44" s="1"/>
  <c r="F104" i="44" a="1"/>
  <c r="F104" i="44" s="1"/>
  <c r="AE98" i="33" a="1"/>
  <c r="AE98" i="33" s="1"/>
  <c r="AU20" i="46" a="1"/>
  <c r="AU20" i="46" s="1"/>
  <c r="Q19" i="45" a="1"/>
  <c r="Q19" i="45" s="1"/>
  <c r="AH59" i="45" a="1"/>
  <c r="AH59" i="45" s="1"/>
  <c r="T64" i="44" a="1"/>
  <c r="T64" i="44" s="1"/>
  <c r="AR46" i="44" a="1"/>
  <c r="AR46" i="44" s="1"/>
  <c r="AH101" i="45" a="1"/>
  <c r="AH101" i="45" s="1"/>
  <c r="F16" i="44" a="1"/>
  <c r="F16" i="44" s="1"/>
  <c r="AH46" i="33" a="1"/>
  <c r="AH46" i="33" s="1"/>
  <c r="AA25" i="44" a="1"/>
  <c r="AA25" i="44" s="1"/>
  <c r="S93" i="43"/>
  <c r="G47" i="45" a="1"/>
  <c r="G47" i="45" s="1"/>
  <c r="L79" i="44" a="1"/>
  <c r="L79" i="44" s="1"/>
  <c r="AN20" i="46" a="1"/>
  <c r="AN20" i="46" s="1"/>
  <c r="AM28" i="45" a="1"/>
  <c r="AM28" i="45" s="1"/>
  <c r="I40" i="46" a="1"/>
  <c r="I40" i="46" s="1"/>
  <c r="V16" i="45" a="1"/>
  <c r="V16" i="45" s="1"/>
  <c r="U28" i="44" a="1"/>
  <c r="U28" i="44" s="1"/>
  <c r="J25" i="44" a="1"/>
  <c r="J25" i="44" s="1"/>
  <c r="J24" i="44" s="1"/>
  <c r="C62" i="42" a="1"/>
  <c r="C62" i="42" s="1"/>
  <c r="AI47" i="45" a="1"/>
  <c r="AI47" i="45" s="1"/>
  <c r="O80" i="44" a="1"/>
  <c r="O80" i="44" s="1"/>
  <c r="AP82" i="45" a="1"/>
  <c r="AP82" i="45" s="1"/>
  <c r="S101" i="33" a="1"/>
  <c r="S101" i="33" s="1"/>
  <c r="AG40" i="44" a="1"/>
  <c r="AG40" i="44" s="1"/>
  <c r="U43" i="45" a="1"/>
  <c r="U43" i="45" s="1"/>
  <c r="AM41" i="33" a="1"/>
  <c r="AM41" i="33" s="1"/>
  <c r="AN64" i="33" a="1"/>
  <c r="AN64" i="33" s="1"/>
  <c r="R26" i="45" a="1"/>
  <c r="R26" i="45" s="1"/>
  <c r="I58" i="47" a="1"/>
  <c r="I58" i="47" s="1"/>
  <c r="AC89" i="33" a="1"/>
  <c r="AC89" i="33" s="1"/>
  <c r="S86" i="45" a="1"/>
  <c r="S86" i="45" s="1"/>
  <c r="AL35" i="45" a="1"/>
  <c r="AL35" i="45" s="1"/>
  <c r="R29" i="44" a="1"/>
  <c r="R29" i="44" s="1"/>
  <c r="G103" i="33" a="1"/>
  <c r="G103" i="33" s="1"/>
  <c r="J68" i="45" a="1"/>
  <c r="J68" i="45" s="1"/>
  <c r="AN61" i="33" a="1"/>
  <c r="AN61" i="33" s="1"/>
  <c r="AV10" i="47" a="1"/>
  <c r="AV10" i="47" s="1"/>
  <c r="AW1" i="47" s="1"/>
  <c r="AP62" i="33" a="1"/>
  <c r="AP62" i="33" s="1"/>
  <c r="U88" i="44" a="1"/>
  <c r="U88" i="44" s="1"/>
  <c r="AQ26" i="33" a="1"/>
  <c r="AQ26" i="33" s="1"/>
  <c r="C44" i="41" a="1"/>
  <c r="C44" i="41" s="1"/>
  <c r="AO17" i="44" a="1"/>
  <c r="AO17" i="44" s="1"/>
  <c r="AO15" i="44" s="1"/>
  <c r="C34" i="42" a="1"/>
  <c r="C34" i="42" s="1"/>
  <c r="AA83" i="45" a="1"/>
  <c r="AA83" i="45" s="1"/>
  <c r="V56" i="44" a="1"/>
  <c r="V56" i="44" s="1"/>
  <c r="W71" i="44" a="1"/>
  <c r="W71" i="44" s="1"/>
  <c r="AH38" i="44" a="1"/>
  <c r="AH38" i="44" s="1"/>
  <c r="O26" i="44" a="1"/>
  <c r="O26" i="44" s="1"/>
  <c r="R76" i="44" a="1"/>
  <c r="R76" i="44" s="1"/>
  <c r="T82" i="44" a="1"/>
  <c r="T82" i="44" s="1"/>
  <c r="N16" i="45" a="1"/>
  <c r="N16" i="45" s="1"/>
  <c r="AO31" i="44" a="1"/>
  <c r="AO31" i="44" s="1"/>
  <c r="AH82" i="45" a="1"/>
  <c r="AH82" i="45" s="1"/>
  <c r="AR34" i="45" a="1"/>
  <c r="AR34" i="45" s="1"/>
  <c r="H71" i="45" a="1"/>
  <c r="H71" i="45" s="1"/>
  <c r="M104" i="44" a="1"/>
  <c r="M104" i="44" s="1"/>
  <c r="AL67" i="45" a="1"/>
  <c r="AL67" i="45" s="1"/>
  <c r="AD56" i="44" a="1"/>
  <c r="AD56" i="44" s="1"/>
  <c r="AV53" i="46" a="1"/>
  <c r="AV53" i="46" s="1"/>
  <c r="AM29" i="44" a="1"/>
  <c r="AM29" i="44" s="1"/>
  <c r="N55" i="44" a="1"/>
  <c r="N55" i="44" s="1"/>
  <c r="AQ46" i="44" a="1"/>
  <c r="AQ46" i="44" s="1"/>
  <c r="AM31" i="45" a="1"/>
  <c r="AM31" i="45" s="1"/>
  <c r="R17" i="45" a="1"/>
  <c r="R17" i="45" s="1"/>
  <c r="AP64" i="45" a="1"/>
  <c r="AP64" i="45" s="1"/>
  <c r="Y23" i="44" a="1"/>
  <c r="Y23" i="44" s="1"/>
  <c r="AI101" i="44" a="1"/>
  <c r="AI101" i="44" s="1"/>
  <c r="AH47" i="45" a="1"/>
  <c r="AH47" i="45" s="1"/>
  <c r="C58" i="41" a="1"/>
  <c r="C58" i="41" s="1"/>
  <c r="AI46" i="44" a="1"/>
  <c r="AI46" i="44" s="1"/>
  <c r="AN82" i="41" a="1"/>
  <c r="AN82" i="41" s="1"/>
  <c r="U88" i="45" a="1"/>
  <c r="U88" i="45" s="1"/>
  <c r="H58" i="45" a="1"/>
  <c r="H58" i="45" s="1"/>
  <c r="AN101" i="41" a="1"/>
  <c r="AN101" i="41" s="1"/>
  <c r="Q65" i="44" a="1"/>
  <c r="Q65" i="44" s="1"/>
  <c r="O85" i="33" a="1"/>
  <c r="O85" i="33" s="1"/>
  <c r="AO89" i="46" a="1"/>
  <c r="AO89" i="46" s="1"/>
  <c r="AI32" i="33" a="1"/>
  <c r="AI32" i="33" s="1"/>
  <c r="O77" i="44" a="1"/>
  <c r="O77" i="44" s="1"/>
  <c r="U50" i="45" a="1"/>
  <c r="U50" i="45" s="1"/>
  <c r="C31" i="45" a="1"/>
  <c r="C31" i="45" s="1"/>
  <c r="H19" i="45" a="1"/>
  <c r="H19" i="45" s="1"/>
  <c r="S25" i="44" a="1"/>
  <c r="S25" i="44" s="1"/>
  <c r="V76" i="45" a="1"/>
  <c r="V76" i="45" s="1"/>
  <c r="E100" i="33" a="1"/>
  <c r="E100" i="33" s="1"/>
  <c r="C56" i="44" a="1"/>
  <c r="C56" i="44" s="1"/>
  <c r="Z40" i="44" a="1"/>
  <c r="Z40" i="44" s="1"/>
  <c r="AH77" i="33" a="1"/>
  <c r="AH77" i="33" s="1"/>
  <c r="AG104" i="33" a="1"/>
  <c r="AG104" i="33" s="1"/>
  <c r="N29" i="33" a="1"/>
  <c r="N29" i="33" s="1"/>
  <c r="AP43" i="45" a="1"/>
  <c r="AP43" i="45" s="1"/>
  <c r="G94" i="44" a="1"/>
  <c r="G94" i="44" s="1"/>
  <c r="T103" i="45" a="1"/>
  <c r="T103" i="45" s="1"/>
  <c r="T102" i="45" s="1"/>
  <c r="C20" i="42" a="1"/>
  <c r="C20" i="42" s="1"/>
  <c r="AI98" i="44" a="1"/>
  <c r="AI98" i="44" s="1"/>
  <c r="C56" i="42" a="1"/>
  <c r="C56" i="42" s="1"/>
  <c r="AC56" i="33" a="1"/>
  <c r="AC56" i="33" s="1"/>
  <c r="M80" i="44" a="1"/>
  <c r="M80" i="44" s="1"/>
  <c r="S86" i="33" a="1"/>
  <c r="S86" i="33" s="1"/>
  <c r="AA58" i="33" a="1"/>
  <c r="AA58" i="33" s="1"/>
  <c r="AN98" i="33" a="1"/>
  <c r="AN98" i="33" s="1"/>
  <c r="AQ100" i="33" a="1"/>
  <c r="AQ100" i="33" s="1"/>
  <c r="M101" i="33" a="1"/>
  <c r="M101" i="33" s="1"/>
  <c r="K56" i="45" a="1"/>
  <c r="K56" i="45" s="1"/>
  <c r="G98" i="45" a="1"/>
  <c r="G98" i="45" s="1"/>
  <c r="AI28" i="33" a="1"/>
  <c r="AI28" i="33" s="1"/>
  <c r="AQ25" i="45" a="1"/>
  <c r="AQ25" i="45" s="1"/>
  <c r="AH31" i="33" a="1"/>
  <c r="AH31" i="33" s="1"/>
  <c r="J85" i="45" a="1"/>
  <c r="J85" i="45" s="1"/>
  <c r="J84" i="45" s="1"/>
  <c r="C64" i="41" a="1"/>
  <c r="C64" i="41" s="1"/>
  <c r="Z79" i="33" a="1"/>
  <c r="Z79" i="33" s="1"/>
  <c r="AU55" i="43" a="1"/>
  <c r="AU55" i="43" s="1"/>
  <c r="AQ91" i="33" a="1"/>
  <c r="AQ91" i="33" s="1"/>
  <c r="P20" i="44" a="1"/>
  <c r="P20" i="44" s="1"/>
  <c r="AH11" i="33" a="1"/>
  <c r="AH11" i="33" s="1"/>
  <c r="C53" i="44" a="1"/>
  <c r="C53" i="44" s="1"/>
  <c r="I85" i="41" a="1"/>
  <c r="I85" i="41" s="1"/>
  <c r="AC11" i="33" a="1"/>
  <c r="AC11" i="33" s="1"/>
  <c r="AO10" i="33" a="1"/>
  <c r="AO10" i="33" s="1"/>
  <c r="C31" i="46" a="1"/>
  <c r="C31" i="46" s="1"/>
  <c r="AK55" i="45" a="1"/>
  <c r="AK55" i="45" s="1"/>
  <c r="AV91" i="46" a="1"/>
  <c r="AV91" i="46" s="1"/>
  <c r="AN101" i="33" a="1"/>
  <c r="AN101" i="33" s="1"/>
  <c r="AA73" i="45" a="1"/>
  <c r="AA73" i="45" s="1"/>
  <c r="Y68" i="33" a="1"/>
  <c r="Y68" i="33" s="1"/>
  <c r="C76" i="44" a="1"/>
  <c r="C76" i="44" s="1"/>
  <c r="AK71" i="44" a="1"/>
  <c r="AK71" i="44" s="1"/>
  <c r="F104" i="45" a="1"/>
  <c r="F104" i="45" s="1"/>
  <c r="R40" i="44" a="1"/>
  <c r="R40" i="44" s="1"/>
  <c r="Z101" i="33" a="1"/>
  <c r="Z101" i="33" s="1"/>
  <c r="AH86" i="33" a="1"/>
  <c r="AH86" i="33" s="1"/>
  <c r="AE77" i="45" a="1"/>
  <c r="AE77" i="45" s="1"/>
  <c r="AF58" i="44" a="1"/>
  <c r="AF58" i="44" s="1"/>
  <c r="AU80" i="41" a="1"/>
  <c r="AU80" i="41" s="1"/>
  <c r="O101" i="33" a="1"/>
  <c r="O101" i="33" s="1"/>
  <c r="V56" i="33" a="1"/>
  <c r="V56" i="33" s="1"/>
  <c r="W89" i="44" a="1"/>
  <c r="W89" i="44" s="1"/>
  <c r="Z88" i="45" a="1"/>
  <c r="Z88" i="45" s="1"/>
  <c r="AM56" i="45" a="1"/>
  <c r="AM56" i="45" s="1"/>
  <c r="G28" i="45" a="1"/>
  <c r="G28" i="45" s="1"/>
  <c r="C17" i="43" a="1"/>
  <c r="C17" i="43" s="1"/>
  <c r="AO65" i="44" a="1"/>
  <c r="AO65" i="44" s="1"/>
  <c r="Q79" i="45" a="1"/>
  <c r="Q79" i="45" s="1"/>
  <c r="Q78" i="45" s="1"/>
  <c r="C64" i="46" a="1"/>
  <c r="C64" i="46" s="1"/>
  <c r="AF41" i="33" a="1"/>
  <c r="AF41" i="33" s="1"/>
  <c r="H59" i="45" a="1"/>
  <c r="H59" i="45" s="1"/>
  <c r="AQ20" i="44" a="1"/>
  <c r="AQ20" i="44" s="1"/>
  <c r="E74" i="33" a="1"/>
  <c r="E74" i="33" s="1"/>
  <c r="AK10" i="33" a="1"/>
  <c r="AK10" i="33" s="1"/>
  <c r="AO70" i="43" a="1"/>
  <c r="AO70" i="43" s="1"/>
  <c r="AT21" i="46"/>
  <c r="AO62" i="46" a="1"/>
  <c r="AO62" i="46" s="1"/>
  <c r="S73" i="44" a="1"/>
  <c r="S73" i="44" s="1"/>
  <c r="AL32" i="44" a="1"/>
  <c r="AL32" i="44" s="1"/>
  <c r="U71" i="33" a="1"/>
  <c r="U71" i="33" s="1"/>
  <c r="O64" i="45" a="1"/>
  <c r="O64" i="45" s="1"/>
  <c r="AL27" i="41"/>
  <c r="T25" i="44" a="1"/>
  <c r="T25" i="44" s="1"/>
  <c r="W101" i="45" a="1"/>
  <c r="W101" i="45" s="1"/>
  <c r="G104" i="45" a="1"/>
  <c r="G104" i="45" s="1"/>
  <c r="O46" i="33" a="1"/>
  <c r="O46" i="33" s="1"/>
  <c r="AF97" i="44" a="1"/>
  <c r="AF97" i="44" s="1"/>
  <c r="AC62" i="45" a="1"/>
  <c r="AC62" i="45" s="1"/>
  <c r="AI92" i="33" a="1"/>
  <c r="AI92" i="33" s="1"/>
  <c r="AO97" i="43" a="1"/>
  <c r="AO97" i="43" s="1"/>
  <c r="U32" i="45" a="1"/>
  <c r="U32" i="45" s="1"/>
  <c r="AI62" i="44" a="1"/>
  <c r="AI62" i="44" s="1"/>
  <c r="W97" i="33" a="1"/>
  <c r="W97" i="33" s="1"/>
  <c r="AC11" i="45" a="1"/>
  <c r="AC11" i="45" s="1"/>
  <c r="AC9" i="45" s="1"/>
  <c r="R68" i="44" a="1"/>
  <c r="R68" i="44" s="1"/>
  <c r="AO94" i="33" a="1"/>
  <c r="AO94" i="33" s="1"/>
  <c r="I79" i="47" a="1"/>
  <c r="I79" i="47" s="1"/>
  <c r="I59" i="47" a="1"/>
  <c r="I59" i="47" s="1"/>
  <c r="AJ32" i="44" a="1"/>
  <c r="AJ32" i="44" s="1"/>
  <c r="AV68" i="47" a="1"/>
  <c r="AV68" i="47" s="1"/>
  <c r="AQ40" i="44" a="1"/>
  <c r="AQ40" i="44" s="1"/>
  <c r="F95" i="33" a="1"/>
  <c r="F95" i="33" s="1"/>
  <c r="U85" i="45" a="1"/>
  <c r="U85" i="45" s="1"/>
  <c r="AB71" i="33" a="1"/>
  <c r="AB71" i="33" s="1"/>
  <c r="C20" i="43" a="1"/>
  <c r="C20" i="43" s="1"/>
  <c r="O104" i="33" a="1"/>
  <c r="O104" i="33" s="1"/>
  <c r="Z29" i="45" a="1"/>
  <c r="Z29" i="45" s="1"/>
  <c r="P74" i="45" a="1"/>
  <c r="P74" i="45" s="1"/>
  <c r="AK10" i="44" a="1"/>
  <c r="AK10" i="44" s="1"/>
  <c r="X32" i="44" a="1"/>
  <c r="X32" i="44" s="1"/>
  <c r="J101" i="45" a="1"/>
  <c r="J101" i="45" s="1"/>
  <c r="P98" i="33" a="1"/>
  <c r="P98" i="33" s="1"/>
  <c r="AI11" i="45" a="1"/>
  <c r="AI11" i="45" s="1"/>
  <c r="AO86" i="46" a="1"/>
  <c r="AO86" i="46" s="1"/>
  <c r="AA68" i="44" a="1"/>
  <c r="AA68" i="44" s="1"/>
  <c r="AA10" i="45" a="1"/>
  <c r="AA10" i="45" s="1"/>
  <c r="S16" i="33" a="1"/>
  <c r="S16" i="33" s="1"/>
  <c r="E25" i="33" a="1"/>
  <c r="E25" i="33" s="1"/>
  <c r="AQ35" i="33" a="1"/>
  <c r="AQ35" i="33" s="1"/>
  <c r="Q73" i="33" a="1"/>
  <c r="Q73" i="33" s="1"/>
  <c r="X59" i="33" a="1"/>
  <c r="X59" i="33" s="1"/>
  <c r="V76" i="44" a="1"/>
  <c r="V76" i="44" s="1"/>
  <c r="AH82" i="44" a="1"/>
  <c r="AH82" i="44" s="1"/>
  <c r="AC29" i="45" a="1"/>
  <c r="AC29" i="45" s="1"/>
  <c r="AK31" i="45" a="1"/>
  <c r="AK31" i="45" s="1"/>
  <c r="K28" i="44" a="1"/>
  <c r="K28" i="44" s="1"/>
  <c r="Z57" i="46"/>
  <c r="X98" i="44" a="1"/>
  <c r="X98" i="44" s="1"/>
  <c r="X96" i="44" s="1"/>
  <c r="R85" i="45" a="1"/>
  <c r="R85" i="45" s="1"/>
  <c r="AM11" i="45" a="1"/>
  <c r="AM11" i="45" s="1"/>
  <c r="K77" i="33" a="1"/>
  <c r="K77" i="33" s="1"/>
  <c r="AR10" i="44" a="1"/>
  <c r="AR10" i="44" s="1"/>
  <c r="AL53" i="33" a="1"/>
  <c r="AL53" i="33" s="1"/>
  <c r="AF88" i="45" a="1"/>
  <c r="AF88" i="45" s="1"/>
  <c r="W74" i="45" a="1"/>
  <c r="W74" i="45" s="1"/>
  <c r="V76" i="33" a="1"/>
  <c r="V76" i="33" s="1"/>
  <c r="AB19" i="33" a="1"/>
  <c r="AB19" i="33" s="1"/>
  <c r="R37" i="44" a="1"/>
  <c r="R37" i="44" s="1"/>
  <c r="U53" i="33" a="1"/>
  <c r="U53" i="33" s="1"/>
  <c r="AK51" i="46"/>
  <c r="AF65" i="45" a="1"/>
  <c r="AF65" i="45" s="1"/>
  <c r="AF63" i="45" s="1"/>
  <c r="J71" i="44" a="1"/>
  <c r="J71" i="44" s="1"/>
  <c r="V18" i="41"/>
  <c r="C65" i="33" a="1"/>
  <c r="C65" i="33" s="1"/>
  <c r="N56" i="33" a="1"/>
  <c r="N56" i="33" s="1"/>
  <c r="T22" i="44" a="1"/>
  <c r="T22" i="44" s="1"/>
  <c r="AB40" i="45" a="1"/>
  <c r="AB40" i="45" s="1"/>
  <c r="C40" i="45" a="1"/>
  <c r="C40" i="45" s="1"/>
  <c r="AI52" i="44" a="1"/>
  <c r="AI52" i="44" s="1"/>
  <c r="H55" i="45" a="1"/>
  <c r="H55" i="45" s="1"/>
  <c r="AR62" i="45" a="1"/>
  <c r="AR62" i="45" s="1"/>
  <c r="F74" i="44" a="1"/>
  <c r="F74" i="44" s="1"/>
  <c r="U10" i="44" a="1"/>
  <c r="U10" i="44" s="1"/>
  <c r="AG19" i="45" a="1"/>
  <c r="AG19" i="45" s="1"/>
  <c r="AO43" i="41" a="1"/>
  <c r="AO43" i="41" s="1"/>
  <c r="AN55" i="44" a="1"/>
  <c r="AN55" i="44" s="1"/>
  <c r="Y35" i="45" a="1"/>
  <c r="Y35" i="45" s="1"/>
  <c r="E92" i="33" a="1"/>
  <c r="E92" i="33" s="1"/>
  <c r="AV22" i="47" a="1"/>
  <c r="AV22" i="47" s="1"/>
  <c r="T71" i="45" a="1"/>
  <c r="T71" i="45" s="1"/>
  <c r="S58" i="44" a="1"/>
  <c r="S58" i="44" s="1"/>
  <c r="Y100" i="44" a="1"/>
  <c r="Y100" i="44" s="1"/>
  <c r="AD18" i="47"/>
  <c r="AB38" i="44" a="1"/>
  <c r="AB38" i="44" s="1"/>
  <c r="G25" i="45" a="1"/>
  <c r="G25" i="45" s="1"/>
  <c r="I16" i="46" a="1"/>
  <c r="I16" i="46" s="1"/>
  <c r="AQ35" i="44" a="1"/>
  <c r="AQ35" i="44" s="1"/>
  <c r="AD58" i="45" a="1"/>
  <c r="AD58" i="45" s="1"/>
  <c r="T59" i="45" a="1"/>
  <c r="T59" i="45" s="1"/>
  <c r="R24" i="43"/>
  <c r="AO52" i="46" a="1"/>
  <c r="AO52" i="46" s="1"/>
  <c r="Z58" i="44" a="1"/>
  <c r="Z58" i="44" s="1"/>
  <c r="V22" i="45" a="1"/>
  <c r="V22" i="45" s="1"/>
  <c r="AA70" i="44" a="1"/>
  <c r="AA70" i="44" s="1"/>
  <c r="AB78" i="46"/>
  <c r="O68" i="33" a="1"/>
  <c r="O68" i="33" s="1"/>
  <c r="P103" i="33" a="1"/>
  <c r="P103" i="33" s="1"/>
  <c r="I41" i="43" a="1"/>
  <c r="I41" i="43" s="1"/>
  <c r="R62" i="45" a="1"/>
  <c r="R62" i="45" s="1"/>
  <c r="X34" i="44" a="1"/>
  <c r="X34" i="44" s="1"/>
  <c r="F64" i="44" a="1"/>
  <c r="F64" i="44" s="1"/>
  <c r="AK53" i="44" a="1"/>
  <c r="AK53" i="44" s="1"/>
  <c r="AP61" i="44" a="1"/>
  <c r="AP61" i="44" s="1"/>
  <c r="AM16" i="45" a="1"/>
  <c r="AM16" i="45" s="1"/>
  <c r="Q82" i="33" a="1"/>
  <c r="Q82" i="33" s="1"/>
  <c r="G43" i="33" a="1"/>
  <c r="G43" i="33" s="1"/>
  <c r="AR97" i="33" a="1"/>
  <c r="AR97" i="33" s="1"/>
  <c r="AO83" i="43" a="1"/>
  <c r="AO83" i="43" s="1"/>
  <c r="I52" i="47" a="1"/>
  <c r="I52" i="47" s="1"/>
  <c r="AN76" i="43" a="1"/>
  <c r="AN76" i="43" s="1"/>
  <c r="AN75" i="43" s="1"/>
  <c r="T9" i="47"/>
  <c r="AM88" i="44" a="1"/>
  <c r="AM88" i="44" s="1"/>
  <c r="L47" i="44" a="1"/>
  <c r="L47" i="44" s="1"/>
  <c r="L45" i="44" s="1"/>
  <c r="AC91" i="44" a="1"/>
  <c r="AC91" i="44" s="1"/>
  <c r="AI24" i="47"/>
  <c r="E94" i="44" a="1"/>
  <c r="E94" i="44" s="1"/>
  <c r="C25" i="45" a="1"/>
  <c r="C25" i="45" s="1"/>
  <c r="AD28" i="44" a="1"/>
  <c r="AD28" i="44" s="1"/>
  <c r="C59" i="44" a="1"/>
  <c r="C59" i="44" s="1"/>
  <c r="AJ19" i="33" a="1"/>
  <c r="AJ19" i="33" s="1"/>
  <c r="AU47" i="47" a="1"/>
  <c r="AU47" i="47" s="1"/>
  <c r="AE59" i="33" a="1"/>
  <c r="AE59" i="33" s="1"/>
  <c r="P77" i="33" a="1"/>
  <c r="P77" i="33" s="1"/>
  <c r="AM91" i="45" a="1"/>
  <c r="AM91" i="45" s="1"/>
  <c r="AO10" i="45" a="1"/>
  <c r="AO10" i="45" s="1"/>
  <c r="I80" i="45" a="1"/>
  <c r="I80" i="45" s="1"/>
  <c r="AK94" i="45" a="1"/>
  <c r="AK94" i="45" s="1"/>
  <c r="AK93" i="45" s="1"/>
  <c r="AN95" i="33" a="1"/>
  <c r="AN95" i="33" s="1"/>
  <c r="F10" i="45" a="1"/>
  <c r="F10" i="45" s="1"/>
  <c r="AP20" i="33" a="1"/>
  <c r="AP20" i="33" s="1"/>
  <c r="AH76" i="33" a="1"/>
  <c r="AH76" i="33" s="1"/>
  <c r="AO26" i="46" a="1"/>
  <c r="AO26" i="46" s="1"/>
  <c r="AR32" i="33" a="1"/>
  <c r="AR32" i="33" s="1"/>
  <c r="E79" i="45" a="1"/>
  <c r="E79" i="45" s="1"/>
  <c r="AO85" i="45" a="1"/>
  <c r="AO85" i="45" s="1"/>
  <c r="AF86" i="45" a="1"/>
  <c r="AF86" i="45" s="1"/>
  <c r="AL17" i="44" a="1"/>
  <c r="AL17" i="44" s="1"/>
  <c r="O103" i="45" a="1"/>
  <c r="O103" i="45" s="1"/>
  <c r="AH97" i="33" a="1"/>
  <c r="AH97" i="33" s="1"/>
  <c r="Q32" i="44" a="1"/>
  <c r="Q32" i="44" s="1"/>
  <c r="AM102" i="47"/>
  <c r="AO11" i="43" a="1"/>
  <c r="AO11" i="43" s="1"/>
  <c r="AO70" i="41" a="1"/>
  <c r="AO70" i="41" s="1"/>
  <c r="AU98" i="47" a="1"/>
  <c r="AU98" i="47" s="1"/>
  <c r="W103" i="33" a="1"/>
  <c r="W103" i="33" s="1"/>
  <c r="R17" i="44" a="1"/>
  <c r="R17" i="44" s="1"/>
  <c r="L77" i="44" a="1"/>
  <c r="L77" i="44" s="1"/>
  <c r="AN47" i="45" a="1"/>
  <c r="AN47" i="45" s="1"/>
  <c r="AG84" i="46"/>
  <c r="S17" i="33" a="1"/>
  <c r="S17" i="33" s="1"/>
  <c r="F11" i="45" a="1"/>
  <c r="F11" i="45" s="1"/>
  <c r="AF101" i="45" a="1"/>
  <c r="AF101" i="45" s="1"/>
  <c r="X67" i="44" a="1"/>
  <c r="X67" i="44" s="1"/>
  <c r="AH100" i="45" a="1"/>
  <c r="AH100" i="45" s="1"/>
  <c r="AJ92" i="44" a="1"/>
  <c r="AJ92" i="44" s="1"/>
  <c r="L61" i="44" a="1"/>
  <c r="L61" i="44" s="1"/>
  <c r="AN83" i="47" a="1"/>
  <c r="AN83" i="47" s="1"/>
  <c r="L67" i="45" a="1"/>
  <c r="L67" i="45" s="1"/>
  <c r="AE32" i="44" a="1"/>
  <c r="AE32" i="44" s="1"/>
  <c r="AS36" i="47"/>
  <c r="AD89" i="45" a="1"/>
  <c r="AD89" i="45" s="1"/>
  <c r="V94" i="44" a="1"/>
  <c r="V94" i="44" s="1"/>
  <c r="S52" i="33" a="1"/>
  <c r="S52" i="33" s="1"/>
  <c r="Y85" i="44" a="1"/>
  <c r="Y85" i="44" s="1"/>
  <c r="Y84" i="44" s="1"/>
  <c r="C16" i="42" a="1"/>
  <c r="C16" i="42" s="1"/>
  <c r="R47" i="45" a="1"/>
  <c r="R47" i="45" s="1"/>
  <c r="T20" i="33" a="1"/>
  <c r="T20" i="33" s="1"/>
  <c r="Y94" i="44" a="1"/>
  <c r="Y94" i="44" s="1"/>
  <c r="AR50" i="33" a="1"/>
  <c r="AR50" i="33" s="1"/>
  <c r="AV82" i="41" a="1"/>
  <c r="AV82" i="41" s="1"/>
  <c r="Z99" i="43"/>
  <c r="I79" i="41" a="1"/>
  <c r="I79" i="41" s="1"/>
  <c r="AB50" i="33" a="1"/>
  <c r="AB50" i="33" s="1"/>
  <c r="M92" i="44" a="1"/>
  <c r="M92" i="44" s="1"/>
  <c r="AB22" i="45" a="1"/>
  <c r="AB22" i="45" s="1"/>
  <c r="AO47" i="47" a="1"/>
  <c r="AO47" i="47" s="1"/>
  <c r="AR76" i="33" a="1"/>
  <c r="AR76" i="33" s="1"/>
  <c r="AH55" i="44" a="1"/>
  <c r="AH55" i="44" s="1"/>
  <c r="Z79" i="45" a="1"/>
  <c r="Z79" i="45" s="1"/>
  <c r="AM26" i="44" a="1"/>
  <c r="AM26" i="44" s="1"/>
  <c r="AG48" i="47"/>
  <c r="AD98" i="45" a="1"/>
  <c r="AD98" i="45" s="1"/>
  <c r="J22" i="33" a="1"/>
  <c r="J22" i="33" s="1"/>
  <c r="AR61" i="44" a="1"/>
  <c r="AR61" i="44" s="1"/>
  <c r="Z40" i="45" a="1"/>
  <c r="Z40" i="45" s="1"/>
  <c r="C103" i="42" a="1"/>
  <c r="C103" i="42" s="1"/>
  <c r="G88" i="45" a="1"/>
  <c r="G88" i="45" s="1"/>
  <c r="AK94" i="44" a="1"/>
  <c r="AK94" i="44" s="1"/>
  <c r="AK93" i="44" s="1"/>
  <c r="H29" i="45" a="1"/>
  <c r="H29" i="45" s="1"/>
  <c r="X37" i="45" a="1"/>
  <c r="X37" i="45" s="1"/>
  <c r="I25" i="47" a="1"/>
  <c r="I25" i="47" s="1"/>
  <c r="M89" i="45" a="1"/>
  <c r="M89" i="45" s="1"/>
  <c r="N80" i="33" a="1"/>
  <c r="N80" i="33" s="1"/>
  <c r="C43" i="47" a="1"/>
  <c r="C43" i="47" s="1"/>
  <c r="C88" i="33" a="1"/>
  <c r="C88" i="33" s="1"/>
  <c r="AH71" i="44" a="1"/>
  <c r="AH71" i="44" s="1"/>
  <c r="AO86" i="45" a="1"/>
  <c r="AO86" i="45" s="1"/>
  <c r="Q58" i="44" a="1"/>
  <c r="Q58" i="44" s="1"/>
  <c r="S32" i="33" a="1"/>
  <c r="S32" i="33" s="1"/>
  <c r="Z50" i="33" a="1"/>
  <c r="Z50" i="33" s="1"/>
  <c r="T77" i="45" a="1"/>
  <c r="T77" i="45" s="1"/>
  <c r="AN73" i="41" a="1"/>
  <c r="AN73" i="41" s="1"/>
  <c r="L73" i="44" a="1"/>
  <c r="L73" i="44" s="1"/>
  <c r="J53" i="44" a="1"/>
  <c r="J53" i="44" s="1"/>
  <c r="L69" i="47"/>
  <c r="C19" i="46" a="1"/>
  <c r="C19" i="46" s="1"/>
  <c r="AB70" i="44" a="1"/>
  <c r="AB70" i="44" s="1"/>
  <c r="P10" i="44" a="1"/>
  <c r="P10" i="44" s="1"/>
  <c r="S82" i="44" a="1"/>
  <c r="S82" i="44" s="1"/>
  <c r="C40" i="47" a="1"/>
  <c r="C40" i="47" s="1"/>
  <c r="U71" i="44" a="1"/>
  <c r="U71" i="44" s="1"/>
  <c r="AM38" i="44" a="1"/>
  <c r="AM38" i="44" s="1"/>
  <c r="AF32" i="33" a="1"/>
  <c r="AF32" i="33" s="1"/>
  <c r="AF30" i="33" s="1"/>
  <c r="H82" i="44" a="1"/>
  <c r="H82" i="44" s="1"/>
  <c r="W88" i="44" a="1"/>
  <c r="W88" i="44" s="1"/>
  <c r="F100" i="44" a="1"/>
  <c r="F100" i="44" s="1"/>
  <c r="F99" i="44" s="1"/>
  <c r="G25" i="44" a="1"/>
  <c r="G25" i="44" s="1"/>
  <c r="K26" i="33" a="1"/>
  <c r="K26" i="33" s="1"/>
  <c r="AB19" i="44" a="1"/>
  <c r="AB19" i="44" s="1"/>
  <c r="Q88" i="44" a="1"/>
  <c r="Q88" i="44" s="1"/>
  <c r="K81" i="43"/>
  <c r="AP61" i="45" a="1"/>
  <c r="AP61" i="45" s="1"/>
  <c r="AK87" i="46"/>
  <c r="C82" i="44" a="1"/>
  <c r="C82" i="44" s="1"/>
  <c r="X95" i="44" a="1"/>
  <c r="X95" i="44" s="1"/>
  <c r="Q20" i="44" a="1"/>
  <c r="Q20" i="44" s="1"/>
  <c r="C97" i="41" a="1"/>
  <c r="C97" i="41" s="1"/>
  <c r="U58" i="44" a="1"/>
  <c r="U58" i="44" s="1"/>
  <c r="F32" i="44" a="1"/>
  <c r="F32" i="44" s="1"/>
  <c r="AE83" i="33" a="1"/>
  <c r="AE83" i="33" s="1"/>
  <c r="AU94" i="46" a="1"/>
  <c r="AU94" i="46" s="1"/>
  <c r="AK20" i="44" a="1"/>
  <c r="AK20" i="44" s="1"/>
  <c r="AJ11" i="45" a="1"/>
  <c r="AJ11" i="45" s="1"/>
  <c r="AB67" i="33" a="1"/>
  <c r="AB67" i="33" s="1"/>
  <c r="AV91" i="41" a="1"/>
  <c r="AV91" i="41" s="1"/>
  <c r="AK86" i="33" a="1"/>
  <c r="AK86" i="33" s="1"/>
  <c r="M46" i="44" a="1"/>
  <c r="M46" i="44" s="1"/>
  <c r="N77" i="45" a="1"/>
  <c r="N77" i="45" s="1"/>
  <c r="C83" i="33" a="1"/>
  <c r="C83" i="33" s="1"/>
  <c r="H52" i="45" a="1"/>
  <c r="H52" i="45" s="1"/>
  <c r="AN68" i="44" a="1"/>
  <c r="AN68" i="44" s="1"/>
  <c r="M43" i="33" a="1"/>
  <c r="M43" i="33" s="1"/>
  <c r="AH67" i="44" a="1"/>
  <c r="AH67" i="44" s="1"/>
  <c r="AE10" i="33" a="1"/>
  <c r="AE10" i="33" s="1"/>
  <c r="AL64" i="45" a="1"/>
  <c r="AL64" i="45" s="1"/>
  <c r="K71" i="33" a="1"/>
  <c r="K71" i="33" s="1"/>
  <c r="Y95" i="44" a="1"/>
  <c r="Y95" i="44" s="1"/>
  <c r="F68" i="44" a="1"/>
  <c r="F68" i="44" s="1"/>
  <c r="O94" i="45" a="1"/>
  <c r="O94" i="45" s="1"/>
  <c r="AU83" i="46" a="1"/>
  <c r="AU83" i="46" s="1"/>
  <c r="AH79" i="33" a="1"/>
  <c r="AH79" i="33" s="1"/>
  <c r="Q34" i="33" a="1"/>
  <c r="Q34" i="33" s="1"/>
  <c r="E16" i="44" a="1"/>
  <c r="E16" i="44" s="1"/>
  <c r="AV101" i="41" a="1"/>
  <c r="AV101" i="41" s="1"/>
  <c r="AV99" i="41" s="1"/>
  <c r="AV70" i="43" a="1"/>
  <c r="AV70" i="43" s="1"/>
  <c r="AI73" i="44" a="1"/>
  <c r="AI73" i="44" s="1"/>
  <c r="C94" i="44" a="1"/>
  <c r="C94" i="44" s="1"/>
  <c r="Q11" i="44" a="1"/>
  <c r="Q11" i="44" s="1"/>
  <c r="W25" i="45" a="1"/>
  <c r="W25" i="45" s="1"/>
  <c r="AU53" i="41" a="1"/>
  <c r="AU53" i="41" s="1"/>
  <c r="AV62" i="41" a="1"/>
  <c r="AV62" i="41" s="1"/>
  <c r="O25" i="45" a="1"/>
  <c r="O25" i="45" s="1"/>
  <c r="AP84" i="41"/>
  <c r="AI49" i="33" a="1"/>
  <c r="AI49" i="33" s="1"/>
  <c r="AN22" i="46" a="1"/>
  <c r="AN22" i="46" s="1"/>
  <c r="AO82" i="45" a="1"/>
  <c r="AO82" i="45" s="1"/>
  <c r="AD71" i="44" a="1"/>
  <c r="AD71" i="44" s="1"/>
  <c r="I76" i="44" a="1"/>
  <c r="I76" i="44" s="1"/>
  <c r="AU28" i="47" a="1"/>
  <c r="AU28" i="47" s="1"/>
  <c r="P83" i="45" a="1"/>
  <c r="P83" i="45" s="1"/>
  <c r="X65" i="45" a="1"/>
  <c r="X65" i="45" s="1"/>
  <c r="AM22" i="33" a="1"/>
  <c r="AM22" i="33" s="1"/>
  <c r="AB70" i="45" a="1"/>
  <c r="AB70" i="45" s="1"/>
  <c r="X62" i="45" a="1"/>
  <c r="X62" i="45" s="1"/>
  <c r="C28" i="45" a="1"/>
  <c r="C28" i="45" s="1"/>
  <c r="U41" i="33" a="1"/>
  <c r="U41" i="33" s="1"/>
  <c r="AO28" i="41" a="1"/>
  <c r="AO28" i="41" s="1"/>
  <c r="Q22" i="33" a="1"/>
  <c r="Q22" i="33" s="1"/>
  <c r="AN89" i="44" a="1"/>
  <c r="AN89" i="44" s="1"/>
  <c r="N86" i="44" a="1"/>
  <c r="N86" i="44" s="1"/>
  <c r="N88" i="33" a="1"/>
  <c r="N88" i="33" s="1"/>
  <c r="F94" i="33" a="1"/>
  <c r="F94" i="33" s="1"/>
  <c r="AL104" i="44" a="1"/>
  <c r="AL104" i="44" s="1"/>
  <c r="AV77" i="47" a="1"/>
  <c r="AV77" i="47" s="1"/>
  <c r="C10" i="41" a="1"/>
  <c r="C10" i="41" s="1"/>
  <c r="AN92" i="45" a="1"/>
  <c r="AN92" i="45" s="1"/>
  <c r="AP86" i="44" a="1"/>
  <c r="AP86" i="44" s="1"/>
  <c r="AA9" i="46"/>
  <c r="Y27" i="41"/>
  <c r="C58" i="42" a="1"/>
  <c r="C58" i="42" s="1"/>
  <c r="U32" i="33" a="1"/>
  <c r="U32" i="33" s="1"/>
  <c r="I49" i="33" a="1"/>
  <c r="I49" i="33" s="1"/>
  <c r="AH76" i="45" a="1"/>
  <c r="AH76" i="45" s="1"/>
  <c r="C25" i="43" a="1"/>
  <c r="C25" i="43" s="1"/>
  <c r="S104" i="44" a="1"/>
  <c r="S104" i="44" s="1"/>
  <c r="Z32" i="45" a="1"/>
  <c r="Z32" i="45" s="1"/>
  <c r="AD55" i="45" a="1"/>
  <c r="AD55" i="45" s="1"/>
  <c r="AH20" i="45" a="1"/>
  <c r="AH20" i="45" s="1"/>
  <c r="AR70" i="44" a="1"/>
  <c r="AR70" i="44" s="1"/>
  <c r="AV80" i="43" a="1"/>
  <c r="AV80" i="43" s="1"/>
  <c r="AA17" i="45" a="1"/>
  <c r="AA17" i="45" s="1"/>
  <c r="AA15" i="45" s="1"/>
  <c r="I35" i="46" a="1"/>
  <c r="I35" i="46" s="1"/>
  <c r="AN89" i="33" a="1"/>
  <c r="AN89" i="33" s="1"/>
  <c r="M55" i="44" a="1"/>
  <c r="M55" i="44" s="1"/>
  <c r="AO23" i="44" a="1"/>
  <c r="AO23" i="44" s="1"/>
  <c r="AH10" i="44" a="1"/>
  <c r="AH10" i="44" s="1"/>
  <c r="AR32" i="45" a="1"/>
  <c r="AR32" i="45" s="1"/>
  <c r="AR30" i="45" s="1"/>
  <c r="U26" i="44" a="1"/>
  <c r="U26" i="44" s="1"/>
  <c r="Q70" i="44" a="1"/>
  <c r="Q70" i="44" s="1"/>
  <c r="M79" i="45" a="1"/>
  <c r="M79" i="45" s="1"/>
  <c r="Y64" i="33" a="1"/>
  <c r="Y64" i="33" s="1"/>
  <c r="G61" i="44" a="1"/>
  <c r="G61" i="44" s="1"/>
  <c r="H44" i="45" a="1"/>
  <c r="H44" i="45" s="1"/>
  <c r="C26" i="33" a="1"/>
  <c r="C26" i="33" s="1"/>
  <c r="AU74" i="46" a="1"/>
  <c r="AU74" i="46" s="1"/>
  <c r="AO25" i="46" a="1"/>
  <c r="AO25" i="46" s="1"/>
  <c r="X22" i="45" a="1"/>
  <c r="X22" i="45" s="1"/>
  <c r="C92" i="44" a="1"/>
  <c r="C92" i="44" s="1"/>
  <c r="R62" i="33" a="1"/>
  <c r="R62" i="33" s="1"/>
  <c r="AV52" i="47" a="1"/>
  <c r="AV52" i="47" s="1"/>
  <c r="AO97" i="33" a="1"/>
  <c r="AO97" i="33" s="1"/>
  <c r="W67" i="44" a="1"/>
  <c r="W67" i="44" s="1"/>
  <c r="L11" i="33" a="1"/>
  <c r="L11" i="33" s="1"/>
  <c r="AU64" i="47" a="1"/>
  <c r="AU64" i="47" s="1"/>
  <c r="I67" i="45" a="1"/>
  <c r="I67" i="45" s="1"/>
  <c r="AQ74" i="44" a="1"/>
  <c r="AQ74" i="44" s="1"/>
  <c r="W79" i="44" a="1"/>
  <c r="W79" i="44" s="1"/>
  <c r="AV49" i="46" a="1"/>
  <c r="AV49" i="46" s="1"/>
  <c r="C28" i="33" a="1"/>
  <c r="C28" i="33" s="1"/>
  <c r="AN20" i="47" a="1"/>
  <c r="AN20" i="47" s="1"/>
  <c r="AA36" i="47"/>
  <c r="I82" i="45" a="1"/>
  <c r="I82" i="45" s="1"/>
  <c r="H95" i="33" a="1"/>
  <c r="H95" i="33" s="1"/>
  <c r="AK92" i="44" a="1"/>
  <c r="AK92" i="44" s="1"/>
  <c r="U95" i="33" a="1"/>
  <c r="U95" i="33" s="1"/>
  <c r="I16" i="44" a="1"/>
  <c r="I16" i="44" s="1"/>
  <c r="U73" i="45" a="1"/>
  <c r="U73" i="45" s="1"/>
  <c r="X61" i="45" a="1"/>
  <c r="X61" i="45" s="1"/>
  <c r="S22" i="33" a="1"/>
  <c r="S22" i="33" s="1"/>
  <c r="W95" i="33" a="1"/>
  <c r="W95" i="33" s="1"/>
  <c r="X63" i="46"/>
  <c r="C92" i="33" a="1"/>
  <c r="C92" i="33" s="1"/>
  <c r="L80" i="33" a="1"/>
  <c r="L80" i="33" s="1"/>
  <c r="C10" i="43" a="1"/>
  <c r="C10" i="43" s="1"/>
  <c r="L29" i="44" a="1"/>
  <c r="L29" i="44" s="1"/>
  <c r="C31" i="41" a="1"/>
  <c r="C31" i="41" s="1"/>
  <c r="AO46" i="46" a="1"/>
  <c r="AO46" i="46" s="1"/>
  <c r="AH52" i="44" a="1"/>
  <c r="AH52" i="44" s="1"/>
  <c r="H80" i="44" a="1"/>
  <c r="H80" i="44" s="1"/>
  <c r="C17" i="47" a="1"/>
  <c r="C17" i="47" s="1"/>
  <c r="U104" i="33" a="1"/>
  <c r="U104" i="33" s="1"/>
  <c r="P19" i="44" a="1"/>
  <c r="P19" i="44" s="1"/>
  <c r="AA31" i="45" a="1"/>
  <c r="AA31" i="45" s="1"/>
  <c r="AA104" i="33" a="1"/>
  <c r="AA104" i="33" s="1"/>
  <c r="K65" i="45" a="1"/>
  <c r="K65" i="45" s="1"/>
  <c r="Z74" i="44" a="1"/>
  <c r="Z74" i="44" s="1"/>
  <c r="M84" i="47"/>
  <c r="I9" i="44"/>
  <c r="AK21" i="41"/>
  <c r="E11" i="44" a="1"/>
  <c r="E11" i="44" s="1"/>
  <c r="L28" i="45" a="1"/>
  <c r="L28" i="45" s="1"/>
  <c r="R66" i="47"/>
  <c r="AI88" i="33" a="1"/>
  <c r="AI88" i="33" s="1"/>
  <c r="AP17" i="45" a="1"/>
  <c r="AP17" i="45" s="1"/>
  <c r="AP15" i="45" s="1"/>
  <c r="AK98" i="44" a="1"/>
  <c r="AK98" i="44" s="1"/>
  <c r="AL49" i="45" a="1"/>
  <c r="AL49" i="45" s="1"/>
  <c r="AF10" i="33" a="1"/>
  <c r="AF10" i="33" s="1"/>
  <c r="AN91" i="33" a="1"/>
  <c r="AN91" i="33" s="1"/>
  <c r="AC103" i="33" a="1"/>
  <c r="AC103" i="33" s="1"/>
  <c r="F49" i="33" a="1"/>
  <c r="F49" i="33" s="1"/>
  <c r="AJ104" i="44" a="1"/>
  <c r="AJ104" i="44" s="1"/>
  <c r="S62" i="33" a="1"/>
  <c r="S62" i="33" s="1"/>
  <c r="AG10" i="45" a="1"/>
  <c r="AG10" i="45" s="1"/>
  <c r="AO25" i="43" a="1"/>
  <c r="AO25" i="43" s="1"/>
  <c r="AI50" i="33" a="1"/>
  <c r="AI50" i="33" s="1"/>
  <c r="AO20" i="47" a="1"/>
  <c r="AO20" i="47" s="1"/>
  <c r="F73" i="45" a="1"/>
  <c r="F73" i="45" s="1"/>
  <c r="AO35" i="45" a="1"/>
  <c r="AO35" i="45" s="1"/>
  <c r="AB17" i="33" a="1"/>
  <c r="AB17" i="33" s="1"/>
  <c r="AG28" i="44" a="1"/>
  <c r="AG28" i="44" s="1"/>
  <c r="AQ98" i="44" a="1"/>
  <c r="AQ98" i="44" s="1"/>
  <c r="Z97" i="33" a="1"/>
  <c r="Z97" i="33" s="1"/>
  <c r="K51" i="41"/>
  <c r="AD76" i="45" a="1"/>
  <c r="AD76" i="45" s="1"/>
  <c r="Y82" i="33" a="1"/>
  <c r="Y82" i="33" s="1"/>
  <c r="K44" i="44" a="1"/>
  <c r="K44" i="44" s="1"/>
  <c r="N52" i="45" a="1"/>
  <c r="N52" i="45" s="1"/>
  <c r="Z44" i="45" a="1"/>
  <c r="Z44" i="45" s="1"/>
  <c r="L26" i="45" a="1"/>
  <c r="L26" i="45" s="1"/>
  <c r="Y9" i="47"/>
  <c r="AU58" i="43" a="1"/>
  <c r="AU58" i="43" s="1"/>
  <c r="T59" i="44" a="1"/>
  <c r="T59" i="44" s="1"/>
  <c r="AB77" i="33" a="1"/>
  <c r="AB77" i="33" s="1"/>
  <c r="L10" i="45" a="1"/>
  <c r="L10" i="45" s="1"/>
  <c r="AN65" i="44" a="1"/>
  <c r="AN65" i="44" s="1"/>
  <c r="AQ37" i="44" a="1"/>
  <c r="AQ37" i="44" s="1"/>
  <c r="N22" i="45" a="1"/>
  <c r="N22" i="45" s="1"/>
  <c r="F26" i="45" a="1"/>
  <c r="F26" i="45" s="1"/>
  <c r="AR98" i="44" a="1"/>
  <c r="AR98" i="44" s="1"/>
  <c r="Y76" i="44" a="1"/>
  <c r="Y76" i="44" s="1"/>
  <c r="N44" i="44" a="1"/>
  <c r="N44" i="44" s="1"/>
  <c r="Y23" i="33" a="1"/>
  <c r="Y23" i="33" s="1"/>
  <c r="AC25" i="33" a="1"/>
  <c r="AC25" i="33" s="1"/>
  <c r="AR37" i="44" a="1"/>
  <c r="AR37" i="44" s="1"/>
  <c r="AL85" i="44" a="1"/>
  <c r="AL85" i="44" s="1"/>
  <c r="AJ49" i="45" a="1"/>
  <c r="AJ49" i="45" s="1"/>
  <c r="AQ48" i="43"/>
  <c r="AA28" i="33" a="1"/>
  <c r="AA28" i="33" s="1"/>
  <c r="J16" i="33" a="1"/>
  <c r="J16" i="33" s="1"/>
  <c r="AG71" i="45" a="1"/>
  <c r="AG71" i="45" s="1"/>
  <c r="N86" i="45" a="1"/>
  <c r="N86" i="45" s="1"/>
  <c r="AR100" i="45" a="1"/>
  <c r="AR100" i="45" s="1"/>
  <c r="AD100" i="44" a="1"/>
  <c r="AD100" i="44" s="1"/>
  <c r="AU104" i="41" a="1"/>
  <c r="AU104" i="41" s="1"/>
  <c r="U80" i="33" a="1"/>
  <c r="U80" i="33" s="1"/>
  <c r="AI22" i="33" a="1"/>
  <c r="AI22" i="33" s="1"/>
  <c r="AM50" i="33" a="1"/>
  <c r="AM50" i="33" s="1"/>
  <c r="AM19" i="44" a="1"/>
  <c r="AM19" i="44" s="1"/>
  <c r="I43" i="46" a="1"/>
  <c r="I43" i="46" s="1"/>
  <c r="T19" i="45" a="1"/>
  <c r="T19" i="45" s="1"/>
  <c r="AI85" i="45" a="1"/>
  <c r="AI85" i="45" s="1"/>
  <c r="M66" i="41"/>
  <c r="AB47" i="33" a="1"/>
  <c r="AB47" i="33" s="1"/>
  <c r="AL16" i="45" a="1"/>
  <c r="AL16" i="45" s="1"/>
  <c r="AE41" i="33" a="1"/>
  <c r="AE41" i="33" s="1"/>
  <c r="AE39" i="33" s="1"/>
  <c r="I74" i="47" a="1"/>
  <c r="I74" i="47" s="1"/>
  <c r="AS30" i="47"/>
  <c r="C41" i="42" a="1"/>
  <c r="C41" i="42" s="1"/>
  <c r="A40" i="42" s="1"/>
  <c r="Y25" i="45" a="1"/>
  <c r="Y25" i="45" s="1"/>
  <c r="AK32" i="33" a="1"/>
  <c r="AK32" i="33" s="1"/>
  <c r="J83" i="44" a="1"/>
  <c r="J83" i="44" s="1"/>
  <c r="C70" i="45" a="1"/>
  <c r="C70" i="45" s="1"/>
  <c r="A70" i="45" s="1"/>
  <c r="T29" i="33" a="1"/>
  <c r="T29" i="33" s="1"/>
  <c r="J97" i="33" a="1"/>
  <c r="J97" i="33" s="1"/>
  <c r="AB68" i="44" a="1"/>
  <c r="AB68" i="44" s="1"/>
  <c r="AO58" i="41" a="1"/>
  <c r="AO58" i="41" s="1"/>
  <c r="I28" i="47" a="1"/>
  <c r="I28" i="47" s="1"/>
  <c r="AG70" i="44" a="1"/>
  <c r="AG70" i="44" s="1"/>
  <c r="AD25" i="44" a="1"/>
  <c r="AD25" i="44" s="1"/>
  <c r="AJ20" i="44" a="1"/>
  <c r="AJ20" i="44" s="1"/>
  <c r="AA92" i="44" a="1"/>
  <c r="AA92" i="44" s="1"/>
  <c r="AU68" i="43" a="1"/>
  <c r="AU68" i="43" s="1"/>
  <c r="G46" i="45" a="1"/>
  <c r="G46" i="45" s="1"/>
  <c r="Y104" i="33" a="1"/>
  <c r="Y104" i="33" s="1"/>
  <c r="Q94" i="33" a="1"/>
  <c r="Q94" i="33" s="1"/>
  <c r="J85" i="33" a="1"/>
  <c r="J85" i="33" s="1"/>
  <c r="J84" i="33" s="1"/>
  <c r="AI20" i="44" a="1"/>
  <c r="AI20" i="44" s="1"/>
  <c r="Y59" i="33" a="1"/>
  <c r="Y59" i="33" s="1"/>
  <c r="F38" i="45" a="1"/>
  <c r="F38" i="45" s="1"/>
  <c r="AC20" i="44" a="1"/>
  <c r="AC20" i="44" s="1"/>
  <c r="L70" i="33" a="1"/>
  <c r="L70" i="33" s="1"/>
  <c r="S95" i="44" a="1"/>
  <c r="S95" i="44" s="1"/>
  <c r="I10" i="41" a="1"/>
  <c r="I10" i="41" s="1"/>
  <c r="I46" i="45" a="1"/>
  <c r="I46" i="45" s="1"/>
  <c r="AP38" i="33" a="1"/>
  <c r="AP38" i="33" s="1"/>
  <c r="Q93" i="43"/>
  <c r="AR39" i="47"/>
  <c r="AV23" i="43" a="1"/>
  <c r="AV23" i="43" s="1"/>
  <c r="O73" i="33" a="1"/>
  <c r="O73" i="33" s="1"/>
  <c r="T50" i="44" a="1"/>
  <c r="T50" i="44" s="1"/>
  <c r="AJ71" i="33" a="1"/>
  <c r="AJ71" i="33" s="1"/>
  <c r="N89" i="33" a="1"/>
  <c r="N89" i="33" s="1"/>
  <c r="AC17" i="44" a="1"/>
  <c r="AC17" i="44" s="1"/>
  <c r="O25" i="33" a="1"/>
  <c r="O25" i="33" s="1"/>
  <c r="S97" i="45" a="1"/>
  <c r="S97" i="45" s="1"/>
  <c r="AB103" i="33" a="1"/>
  <c r="AB103" i="33" s="1"/>
  <c r="P74" i="33" a="1"/>
  <c r="P74" i="33" s="1"/>
  <c r="AU34" i="46" a="1"/>
  <c r="AU34" i="46" s="1"/>
  <c r="C74" i="43" a="1"/>
  <c r="C74" i="43" s="1"/>
  <c r="E88" i="45" a="1"/>
  <c r="E88" i="45" s="1"/>
  <c r="L66" i="46"/>
  <c r="H38" i="44" a="1"/>
  <c r="H38" i="44" s="1"/>
  <c r="AO79" i="44" a="1"/>
  <c r="AO79" i="44" s="1"/>
  <c r="S43" i="44" a="1"/>
  <c r="S43" i="44" s="1"/>
  <c r="AB71" i="44" a="1"/>
  <c r="AB71" i="44" s="1"/>
  <c r="W44" i="45" a="1"/>
  <c r="W44" i="45" s="1"/>
  <c r="AE17" i="45" a="1"/>
  <c r="AE17" i="45" s="1"/>
  <c r="AE15" i="45" s="1"/>
  <c r="AM50" i="45" a="1"/>
  <c r="AM50" i="45" s="1"/>
  <c r="L19" i="33" a="1"/>
  <c r="L19" i="33" s="1"/>
  <c r="AU83" i="47" a="1"/>
  <c r="AU83" i="47" s="1"/>
  <c r="R95" i="33" a="1"/>
  <c r="R95" i="33" s="1"/>
  <c r="C67" i="41" a="1"/>
  <c r="C67" i="41" s="1"/>
  <c r="C52" i="45" a="1"/>
  <c r="C52" i="45" s="1"/>
  <c r="X32" i="33" a="1"/>
  <c r="X32" i="33" s="1"/>
  <c r="I28" i="33" a="1"/>
  <c r="I28" i="33" s="1"/>
  <c r="N103" i="45" a="1"/>
  <c r="N103" i="45" s="1"/>
  <c r="N102" i="45" s="1"/>
  <c r="F91" i="45" a="1"/>
  <c r="F91" i="45" s="1"/>
  <c r="AL74" i="45" a="1"/>
  <c r="AL74" i="45" s="1"/>
  <c r="AF56" i="33" a="1"/>
  <c r="AF56" i="33" s="1"/>
  <c r="M85" i="44" a="1"/>
  <c r="M85" i="44" s="1"/>
  <c r="AO55" i="43" a="1"/>
  <c r="AO55" i="43" s="1"/>
  <c r="AO54" i="43" s="1"/>
  <c r="AM60" i="41"/>
  <c r="AB100" i="44" a="1"/>
  <c r="AB100" i="44" s="1"/>
  <c r="E52" i="44" a="1"/>
  <c r="E52" i="44" s="1"/>
  <c r="AN50" i="45" a="1"/>
  <c r="AN50" i="45" s="1"/>
  <c r="AU22" i="47" a="1"/>
  <c r="AU22" i="47" s="1"/>
  <c r="W16" i="33" a="1"/>
  <c r="W16" i="33" s="1"/>
  <c r="AC40" i="44" a="1"/>
  <c r="AC40" i="44" s="1"/>
  <c r="AV91" i="43" a="1"/>
  <c r="AV91" i="43" s="1"/>
  <c r="AC61" i="44" a="1"/>
  <c r="AC61" i="44" s="1"/>
  <c r="X69" i="47"/>
  <c r="AB27" i="41"/>
  <c r="AQ49" i="45" a="1"/>
  <c r="AQ49" i="45" s="1"/>
  <c r="AO95" i="41" a="1"/>
  <c r="AO95" i="41" s="1"/>
  <c r="W61" i="33" a="1"/>
  <c r="W61" i="33" s="1"/>
  <c r="I95" i="44" a="1"/>
  <c r="I95" i="44" s="1"/>
  <c r="C88" i="41" a="1"/>
  <c r="C88" i="41" s="1"/>
  <c r="AG20" i="45" a="1"/>
  <c r="AG20" i="45" s="1"/>
  <c r="AB52" i="44" a="1"/>
  <c r="AB52" i="44" s="1"/>
  <c r="AO98" i="43" a="1"/>
  <c r="AO98" i="43" s="1"/>
  <c r="N38" i="33" a="1"/>
  <c r="N38" i="33" s="1"/>
  <c r="AC33" i="46"/>
  <c r="I74" i="44" a="1"/>
  <c r="I74" i="44" s="1"/>
  <c r="I72" i="44" s="1"/>
  <c r="C104" i="42" a="1"/>
  <c r="C104" i="42" s="1"/>
  <c r="S92" i="44" a="1"/>
  <c r="S92" i="44" s="1"/>
  <c r="R70" i="33" a="1"/>
  <c r="R70" i="33" s="1"/>
  <c r="J17" i="45" a="1"/>
  <c r="J17" i="45" s="1"/>
  <c r="AM52" i="45" a="1"/>
  <c r="AM52" i="45" s="1"/>
  <c r="AP73" i="44" a="1"/>
  <c r="AP73" i="44" s="1"/>
  <c r="AC53" i="44" a="1"/>
  <c r="AC53" i="44" s="1"/>
  <c r="G50" i="45" a="1"/>
  <c r="G50" i="45" s="1"/>
  <c r="AC83" i="45" a="1"/>
  <c r="AC83" i="45" s="1"/>
  <c r="AU10" i="47" a="1"/>
  <c r="AU10" i="47" s="1"/>
  <c r="AR44" i="44" a="1"/>
  <c r="AR44" i="44" s="1"/>
  <c r="T27" i="41"/>
  <c r="AJ80" i="44" a="1"/>
  <c r="AJ80" i="44" s="1"/>
  <c r="AI68" i="45" a="1"/>
  <c r="AI68" i="45" s="1"/>
  <c r="R25" i="33" a="1"/>
  <c r="R25" i="33" s="1"/>
  <c r="R24" i="33" s="1"/>
  <c r="AF92" i="44" a="1"/>
  <c r="AF92" i="44" s="1"/>
  <c r="I58" i="45" a="1"/>
  <c r="I58" i="45" s="1"/>
  <c r="AI45" i="46"/>
  <c r="Z38" i="33" a="1"/>
  <c r="Z38" i="33" s="1"/>
  <c r="J73" i="33" a="1"/>
  <c r="J73" i="33" s="1"/>
  <c r="AG40" i="45" a="1"/>
  <c r="AG40" i="45" s="1"/>
  <c r="S31" i="45" a="1"/>
  <c r="S31" i="45" s="1"/>
  <c r="AU68" i="41" a="1"/>
  <c r="AU68" i="41" s="1"/>
  <c r="AG23" i="33" a="1"/>
  <c r="AG23" i="33" s="1"/>
  <c r="G97" i="45" a="1"/>
  <c r="G97" i="45" s="1"/>
  <c r="AP29" i="45" a="1"/>
  <c r="AP29" i="45" s="1"/>
  <c r="AR33" i="47"/>
  <c r="AV26" i="41" a="1"/>
  <c r="AV26" i="41" s="1"/>
  <c r="AV24" i="41" s="1"/>
  <c r="F32" i="45" a="1"/>
  <c r="F32" i="45" s="1"/>
  <c r="U38" i="33" a="1"/>
  <c r="U38" i="33" s="1"/>
  <c r="AN41" i="33" a="1"/>
  <c r="AN41" i="33" s="1"/>
  <c r="G64" i="33" a="1"/>
  <c r="G64" i="33" s="1"/>
  <c r="AS90" i="43"/>
  <c r="AO47" i="41" a="1"/>
  <c r="AO47" i="41" s="1"/>
  <c r="C26" i="45" a="1"/>
  <c r="C26" i="45" s="1"/>
  <c r="U38" i="45" a="1"/>
  <c r="U38" i="45" s="1"/>
  <c r="Z47" i="44" a="1"/>
  <c r="Z47" i="44" s="1"/>
  <c r="L31" i="44" a="1"/>
  <c r="L31" i="44" s="1"/>
  <c r="AL44" i="44" a="1"/>
  <c r="AL44" i="44" s="1"/>
  <c r="AD32" i="33" a="1"/>
  <c r="AD32" i="33" s="1"/>
  <c r="J77" i="33" a="1"/>
  <c r="J77" i="33" s="1"/>
  <c r="V94" i="45" a="1"/>
  <c r="V94" i="45" s="1"/>
  <c r="V73" i="45" a="1"/>
  <c r="V73" i="45" s="1"/>
  <c r="T98" i="33" a="1"/>
  <c r="T98" i="33" s="1"/>
  <c r="AL28" i="45" a="1"/>
  <c r="AL28" i="45" s="1"/>
  <c r="T48" i="43"/>
  <c r="AF26" i="33" a="1"/>
  <c r="AF26" i="33" s="1"/>
  <c r="AJ96" i="43"/>
  <c r="AR64" i="33" a="1"/>
  <c r="AR64" i="33" s="1"/>
  <c r="AA41" i="33" a="1"/>
  <c r="AA41" i="33" s="1"/>
  <c r="AA98" i="45" a="1"/>
  <c r="AA98" i="45" s="1"/>
  <c r="AT27" i="46"/>
  <c r="Z76" i="33" a="1"/>
  <c r="Z76" i="33" s="1"/>
  <c r="L73" i="33" a="1"/>
  <c r="L73" i="33" s="1"/>
  <c r="F49" i="44" a="1"/>
  <c r="F49" i="44" s="1"/>
  <c r="AP44" i="33" a="1"/>
  <c r="AP44" i="33" s="1"/>
  <c r="AO86" i="41" a="1"/>
  <c r="AO86" i="41" s="1"/>
  <c r="AM88" i="45" a="1"/>
  <c r="AM88" i="45" s="1"/>
  <c r="U55" i="45" a="1"/>
  <c r="U55" i="45" s="1"/>
  <c r="C95" i="41" a="1"/>
  <c r="C95" i="41" s="1"/>
  <c r="AE56" i="44" a="1"/>
  <c r="AE56" i="44" s="1"/>
  <c r="I10" i="43" a="1"/>
  <c r="I10" i="43" s="1"/>
  <c r="U70" i="44" a="1"/>
  <c r="U70" i="44" s="1"/>
  <c r="U22" i="44" a="1"/>
  <c r="U22" i="44" s="1"/>
  <c r="AP85" i="33" a="1"/>
  <c r="AP85" i="33" s="1"/>
  <c r="C37" i="46" a="1"/>
  <c r="C37" i="46" s="1"/>
  <c r="X17" i="33" a="1"/>
  <c r="X17" i="33" s="1"/>
  <c r="AM17" i="45" a="1"/>
  <c r="AM17" i="45" s="1"/>
  <c r="AM82" i="44" a="1"/>
  <c r="AM82" i="44" s="1"/>
  <c r="N50" i="33" a="1"/>
  <c r="N50" i="33" s="1"/>
  <c r="S68" i="44" a="1"/>
  <c r="S68" i="44" s="1"/>
  <c r="AN47" i="44" a="1"/>
  <c r="AN47" i="44" s="1"/>
  <c r="K53" i="44" a="1"/>
  <c r="K53" i="44" s="1"/>
  <c r="AE29" i="44" a="1"/>
  <c r="AE29" i="44" s="1"/>
  <c r="T10" i="33" a="1"/>
  <c r="T10" i="33" s="1"/>
  <c r="I11" i="33" a="1"/>
  <c r="I11" i="33" s="1"/>
  <c r="AU58" i="41" a="1"/>
  <c r="AU58" i="41" s="1"/>
  <c r="AH54" i="41"/>
  <c r="Q94" i="45" a="1"/>
  <c r="Q94" i="45" s="1"/>
  <c r="AR53" i="33" a="1"/>
  <c r="AR53" i="33" s="1"/>
  <c r="M49" i="33" a="1"/>
  <c r="M49" i="33" s="1"/>
  <c r="F37" i="33" a="1"/>
  <c r="F37" i="33" s="1"/>
  <c r="S28" i="33" a="1"/>
  <c r="S28" i="33" s="1"/>
  <c r="AL65" i="45" a="1"/>
  <c r="AL65" i="45" s="1"/>
  <c r="AO28" i="44" a="1"/>
  <c r="AO28" i="44" s="1"/>
  <c r="AJ41" i="45" a="1"/>
  <c r="AJ41" i="45" s="1"/>
  <c r="N88" i="45" a="1"/>
  <c r="N88" i="45" s="1"/>
  <c r="H32" i="44" a="1"/>
  <c r="H32" i="44" s="1"/>
  <c r="S98" i="44" a="1"/>
  <c r="S98" i="44" s="1"/>
  <c r="AM70" i="44" a="1"/>
  <c r="AM70" i="44" s="1"/>
  <c r="AP16" i="44" a="1"/>
  <c r="AP16" i="44" s="1"/>
  <c r="AN95" i="44" a="1"/>
  <c r="AN95" i="44" s="1"/>
  <c r="V77" i="33" a="1"/>
  <c r="V77" i="33" s="1"/>
  <c r="V11" i="45" a="1"/>
  <c r="V11" i="45" s="1"/>
  <c r="AR79" i="44" a="1"/>
  <c r="AR79" i="44" s="1"/>
  <c r="C64" i="47" a="1"/>
  <c r="C64" i="47" s="1"/>
  <c r="AO101" i="41" a="1"/>
  <c r="AO101" i="41" s="1"/>
  <c r="P62" i="44" a="1"/>
  <c r="P62" i="44" s="1"/>
  <c r="N35" i="45" a="1"/>
  <c r="N35" i="45" s="1"/>
  <c r="AJ98" i="33" a="1"/>
  <c r="AJ98" i="33" s="1"/>
  <c r="C25" i="47" a="1"/>
  <c r="C25" i="47" s="1"/>
  <c r="AJ79" i="45" a="1"/>
  <c r="AJ79" i="45" s="1"/>
  <c r="AI55" i="45" a="1"/>
  <c r="AI55" i="45" s="1"/>
  <c r="Q92" i="33" a="1"/>
  <c r="Q92" i="33" s="1"/>
  <c r="AJ29" i="44" a="1"/>
  <c r="AJ29" i="44" s="1"/>
  <c r="Q55" i="45" a="1"/>
  <c r="Q55" i="45" s="1"/>
  <c r="AN29" i="45" a="1"/>
  <c r="AN29" i="45" s="1"/>
  <c r="C68" i="46" a="1"/>
  <c r="C68" i="46" s="1"/>
  <c r="A67" i="46" s="1"/>
  <c r="F43" i="33" a="1"/>
  <c r="F43" i="33" s="1"/>
  <c r="U65" i="33" a="1"/>
  <c r="U65" i="33" s="1"/>
  <c r="AT30" i="46"/>
  <c r="AL73" i="44" a="1"/>
  <c r="AL73" i="44" s="1"/>
  <c r="AU67" i="46" a="1"/>
  <c r="AU67" i="46" s="1"/>
  <c r="G47" i="44" a="1"/>
  <c r="G47" i="44" s="1"/>
  <c r="G45" i="44" s="1"/>
  <c r="AN31" i="44" a="1"/>
  <c r="AN31" i="44" s="1"/>
  <c r="AN83" i="41" a="1"/>
  <c r="AN83" i="41" s="1"/>
  <c r="AE72" i="47"/>
  <c r="AP58" i="45" a="1"/>
  <c r="AP58" i="45" s="1"/>
  <c r="AA100" i="33" a="1"/>
  <c r="AA100" i="33" s="1"/>
  <c r="AO80" i="41" a="1"/>
  <c r="AO80" i="41" s="1"/>
  <c r="Q47" i="33" a="1"/>
  <c r="Q47" i="33" s="1"/>
  <c r="AL55" i="45" a="1"/>
  <c r="AL55" i="45" s="1"/>
  <c r="S76" i="45" a="1"/>
  <c r="S76" i="45" s="1"/>
  <c r="L94" i="44" a="1"/>
  <c r="L94" i="44" s="1"/>
  <c r="U41" i="45" a="1"/>
  <c r="U41" i="45" s="1"/>
  <c r="G82" i="45" a="1"/>
  <c r="G82" i="45" s="1"/>
  <c r="I101" i="33" a="1"/>
  <c r="I101" i="33" s="1"/>
  <c r="AK16" i="44" a="1"/>
  <c r="AK16" i="44" s="1"/>
  <c r="AE76" i="33" a="1"/>
  <c r="AE76" i="33" s="1"/>
  <c r="E82" i="44" a="1"/>
  <c r="E82" i="44" s="1"/>
  <c r="AP37" i="45" a="1"/>
  <c r="AP37" i="45" s="1"/>
  <c r="AO65" i="45" a="1"/>
  <c r="AO65" i="45" s="1"/>
  <c r="AQ103" i="33" a="1"/>
  <c r="AQ103" i="33" s="1"/>
  <c r="V22" i="33" a="1"/>
  <c r="V22" i="33" s="1"/>
  <c r="N101" i="45" a="1"/>
  <c r="N101" i="45" s="1"/>
  <c r="R61" i="44" a="1"/>
  <c r="R61" i="44" s="1"/>
  <c r="V103" i="45" a="1"/>
  <c r="V103" i="45" s="1"/>
  <c r="L49" i="33" a="1"/>
  <c r="L49" i="33" s="1"/>
  <c r="P70" i="45" a="1"/>
  <c r="P70" i="45" s="1"/>
  <c r="Y19" i="33" a="1"/>
  <c r="Y19" i="33" s="1"/>
  <c r="AK68" i="44" a="1"/>
  <c r="AK68" i="44" s="1"/>
  <c r="N40" i="45" a="1"/>
  <c r="N40" i="45" s="1"/>
  <c r="G23" i="33" a="1"/>
  <c r="G23" i="33" s="1"/>
  <c r="I62" i="43" a="1"/>
  <c r="I62" i="43" s="1"/>
  <c r="F88" i="33" a="1"/>
  <c r="F88" i="33" s="1"/>
  <c r="AL82" i="33" a="1"/>
  <c r="AL82" i="33" s="1"/>
  <c r="P80" i="45" a="1"/>
  <c r="P80" i="45" s="1"/>
  <c r="AL37" i="45" a="1"/>
  <c r="AL37" i="45" s="1"/>
  <c r="R53" i="44" a="1"/>
  <c r="R53" i="44" s="1"/>
  <c r="AU98" i="43" a="1"/>
  <c r="AU98" i="43" s="1"/>
  <c r="K19" i="33" a="1"/>
  <c r="K19" i="33" s="1"/>
  <c r="AM71" i="33" a="1"/>
  <c r="AM71" i="33" s="1"/>
  <c r="AM46" i="44" a="1"/>
  <c r="AM46" i="44" s="1"/>
  <c r="C82" i="46" a="1"/>
  <c r="C82" i="46" s="1"/>
  <c r="K94" i="44" a="1"/>
  <c r="K94" i="44" s="1"/>
  <c r="K71" i="45" a="1"/>
  <c r="K71" i="45" s="1"/>
  <c r="AH61" i="33" a="1"/>
  <c r="AH61" i="33" s="1"/>
  <c r="E50" i="33" a="1"/>
  <c r="E50" i="33" s="1"/>
  <c r="O65" i="33" a="1"/>
  <c r="O65" i="33" s="1"/>
  <c r="AP28" i="45" a="1"/>
  <c r="AP28" i="45" s="1"/>
  <c r="O38" i="33" a="1"/>
  <c r="O38" i="33" s="1"/>
  <c r="M52" i="45" a="1"/>
  <c r="M52" i="45" s="1"/>
  <c r="C44" i="46" a="1"/>
  <c r="C44" i="46" s="1"/>
  <c r="V61" i="45" a="1"/>
  <c r="V61" i="45" s="1"/>
  <c r="AV61" i="41" a="1"/>
  <c r="AV61" i="41" s="1"/>
  <c r="F68" i="33" a="1"/>
  <c r="F68" i="33" s="1"/>
  <c r="Y28" i="45" a="1"/>
  <c r="Y28" i="45" s="1"/>
  <c r="Y27" i="45" s="1"/>
  <c r="AC36" i="43"/>
  <c r="AQ24" i="41"/>
  <c r="AO56" i="47" a="1"/>
  <c r="AO56" i="47" s="1"/>
  <c r="AU71" i="43" a="1"/>
  <c r="AU71" i="43" s="1"/>
  <c r="V79" i="44" a="1"/>
  <c r="V79" i="44" s="1"/>
  <c r="V78" i="44" s="1"/>
  <c r="AU101" i="41" a="1"/>
  <c r="AU101" i="41" s="1"/>
  <c r="AV103" i="47" a="1"/>
  <c r="AV103" i="47" s="1"/>
  <c r="AE23" i="45" a="1"/>
  <c r="AE23" i="45" s="1"/>
  <c r="AN49" i="46" a="1"/>
  <c r="AN49" i="46" s="1"/>
  <c r="T91" i="44" a="1"/>
  <c r="T91" i="44" s="1"/>
  <c r="AJ46" i="33" a="1"/>
  <c r="AJ46" i="33" s="1"/>
  <c r="S25" i="45" a="1"/>
  <c r="S25" i="45" s="1"/>
  <c r="W35" i="33" a="1"/>
  <c r="W35" i="33" s="1"/>
  <c r="Y91" i="44" a="1"/>
  <c r="Y91" i="44" s="1"/>
  <c r="N37" i="44" a="1"/>
  <c r="N37" i="44" s="1"/>
  <c r="C23" i="45" a="1"/>
  <c r="C23" i="45" s="1"/>
  <c r="AP95" i="44" a="1"/>
  <c r="AP95" i="44" s="1"/>
  <c r="AH74" i="44" a="1"/>
  <c r="AH74" i="44" s="1"/>
  <c r="AE57" i="41"/>
  <c r="P65" i="33" a="1"/>
  <c r="P65" i="33" s="1"/>
  <c r="AG24" i="41"/>
  <c r="U44" i="33" a="1"/>
  <c r="U44" i="33" s="1"/>
  <c r="AU37" i="41" a="1"/>
  <c r="AU37" i="41" s="1"/>
  <c r="T65" i="33" a="1"/>
  <c r="T65" i="33" s="1"/>
  <c r="P83" i="44" a="1"/>
  <c r="P83" i="44" s="1"/>
  <c r="G37" i="33" a="1"/>
  <c r="G37" i="33" s="1"/>
  <c r="AM88" i="33" a="1"/>
  <c r="AM88" i="33" s="1"/>
  <c r="AL92" i="45" a="1"/>
  <c r="AL92" i="45" s="1"/>
  <c r="K58" i="33" a="1"/>
  <c r="K58" i="33" s="1"/>
  <c r="AO22" i="33" a="1"/>
  <c r="AO22" i="33" s="1"/>
  <c r="K44" i="45" a="1"/>
  <c r="K44" i="45" s="1"/>
  <c r="C56" i="33" a="1"/>
  <c r="C56" i="33" s="1"/>
  <c r="AP40" i="45" a="1"/>
  <c r="AP40" i="45" s="1"/>
  <c r="N56" i="45" a="1"/>
  <c r="N56" i="45" s="1"/>
  <c r="AB47" i="45" a="1"/>
  <c r="AB47" i="45" s="1"/>
  <c r="AC67" i="45" a="1"/>
  <c r="AC67" i="45" s="1"/>
  <c r="AG17" i="45" a="1"/>
  <c r="AG17" i="45" s="1"/>
  <c r="F76" i="45" a="1"/>
  <c r="F76" i="45" s="1"/>
  <c r="J37" i="33" a="1"/>
  <c r="J37" i="33" s="1"/>
  <c r="K38" i="44" a="1"/>
  <c r="K38" i="44" s="1"/>
  <c r="AU29" i="43" a="1"/>
  <c r="AU29" i="43" s="1"/>
  <c r="J84" i="46"/>
  <c r="I34" i="46" a="1"/>
  <c r="I34" i="46" s="1"/>
  <c r="R49" i="45" a="1"/>
  <c r="R49" i="45" s="1"/>
  <c r="V38" i="45" a="1"/>
  <c r="V38" i="45" s="1"/>
  <c r="P59" i="45" a="1"/>
  <c r="P59" i="45" s="1"/>
  <c r="AO94" i="46" a="1"/>
  <c r="AO94" i="46" s="1"/>
  <c r="T80" i="33" a="1"/>
  <c r="T80" i="33" s="1"/>
  <c r="L104" i="33" a="1"/>
  <c r="L104" i="33" s="1"/>
  <c r="V28" i="33" a="1"/>
  <c r="V28" i="33" s="1"/>
  <c r="AC32" i="33" a="1"/>
  <c r="AC32" i="33" s="1"/>
  <c r="AN86" i="33" a="1"/>
  <c r="AN86" i="33" s="1"/>
  <c r="AF76" i="45" a="1"/>
  <c r="AF76" i="45" s="1"/>
  <c r="AE74" i="45" a="1"/>
  <c r="AE74" i="45" s="1"/>
  <c r="C89" i="44" a="1"/>
  <c r="C89" i="44" s="1"/>
  <c r="C62" i="46" a="1"/>
  <c r="C62" i="46" s="1"/>
  <c r="AA83" i="33" a="1"/>
  <c r="AA83" i="33" s="1"/>
  <c r="AB10" i="45" a="1"/>
  <c r="AB10" i="45" s="1"/>
  <c r="AR56" i="45" a="1"/>
  <c r="AR56" i="45" s="1"/>
  <c r="I98" i="46" a="1"/>
  <c r="I98" i="46" s="1"/>
  <c r="X15" i="47"/>
  <c r="C91" i="47" a="1"/>
  <c r="C91" i="47" s="1"/>
  <c r="I41" i="46" a="1"/>
  <c r="I41" i="46" s="1"/>
  <c r="R65" i="45" a="1"/>
  <c r="R65" i="45" s="1"/>
  <c r="R63" i="45" s="1"/>
  <c r="I85" i="47" a="1"/>
  <c r="I85" i="47" s="1"/>
  <c r="U50" i="33" a="1"/>
  <c r="U50" i="33" s="1"/>
  <c r="C49" i="46" a="1"/>
  <c r="C49" i="46" s="1"/>
  <c r="M59" i="44" a="1"/>
  <c r="M59" i="44" s="1"/>
  <c r="N19" i="44" a="1"/>
  <c r="N19" i="44" s="1"/>
  <c r="L71" i="45" a="1"/>
  <c r="L71" i="45" s="1"/>
  <c r="Z73" i="33" a="1"/>
  <c r="Z73" i="33" s="1"/>
  <c r="I50" i="44" a="1"/>
  <c r="I50" i="44" s="1"/>
  <c r="C89" i="43" a="1"/>
  <c r="C89" i="43" s="1"/>
  <c r="C62" i="45" a="1"/>
  <c r="C62" i="45" s="1"/>
  <c r="AQ47" i="33" a="1"/>
  <c r="AQ47" i="33" s="1"/>
  <c r="H26" i="33" a="1"/>
  <c r="H26" i="33" s="1"/>
  <c r="H26" i="45" a="1"/>
  <c r="H26" i="45" s="1"/>
  <c r="Q68" i="44" a="1"/>
  <c r="Q68" i="44" s="1"/>
  <c r="AU38" i="46" a="1"/>
  <c r="AU38" i="46" s="1"/>
  <c r="L67" i="33" a="1"/>
  <c r="L67" i="33" s="1"/>
  <c r="X55" i="33" a="1"/>
  <c r="X55" i="33" s="1"/>
  <c r="Y37" i="44" a="1"/>
  <c r="Y37" i="44" s="1"/>
  <c r="Z75" i="41"/>
  <c r="F34" i="45" a="1"/>
  <c r="F34" i="45" s="1"/>
  <c r="U85" i="44" a="1"/>
  <c r="U85" i="44" s="1"/>
  <c r="AC31" i="44" a="1"/>
  <c r="AC31" i="44" s="1"/>
  <c r="AV83" i="41" a="1"/>
  <c r="AV83" i="41" s="1"/>
  <c r="AO55" i="41" a="1"/>
  <c r="AO55" i="41" s="1"/>
  <c r="AO54" i="41" s="1"/>
  <c r="AU76" i="46" a="1"/>
  <c r="AU76" i="46" s="1"/>
  <c r="S64" i="45" a="1"/>
  <c r="S64" i="45" s="1"/>
  <c r="AK82" i="44" a="1"/>
  <c r="AK82" i="44" s="1"/>
  <c r="R74" i="45" a="1"/>
  <c r="R74" i="45" s="1"/>
  <c r="AK50" i="33" a="1"/>
  <c r="AK50" i="33" s="1"/>
  <c r="AP81" i="46"/>
  <c r="F31" i="44" a="1"/>
  <c r="F31" i="44" s="1"/>
  <c r="AL55" i="44" a="1"/>
  <c r="AL55" i="44" s="1"/>
  <c r="AQ61" i="45" a="1"/>
  <c r="AQ61" i="45" s="1"/>
  <c r="AR95" i="33" a="1"/>
  <c r="AR95" i="33" s="1"/>
  <c r="AC103" i="44" a="1"/>
  <c r="AC103" i="44" s="1"/>
  <c r="U80" i="45" a="1"/>
  <c r="U80" i="45" s="1"/>
  <c r="AU86" i="41" a="1"/>
  <c r="AU86" i="41" s="1"/>
  <c r="AB29" i="45" a="1"/>
  <c r="AB29" i="45" s="1"/>
  <c r="AU61" i="46" a="1"/>
  <c r="AU61" i="46" s="1"/>
  <c r="O74" i="45" a="1"/>
  <c r="O74" i="45" s="1"/>
  <c r="Y77" i="33" a="1"/>
  <c r="Y77" i="33" s="1"/>
  <c r="F79" i="45" a="1"/>
  <c r="F79" i="45" s="1"/>
  <c r="U83" i="44" a="1"/>
  <c r="U83" i="44" s="1"/>
  <c r="U81" i="44" s="1"/>
  <c r="AQ56" i="33" a="1"/>
  <c r="AQ56" i="33" s="1"/>
  <c r="R26" i="44" a="1"/>
  <c r="R26" i="44" s="1"/>
  <c r="V32" i="33" a="1"/>
  <c r="V32" i="33" s="1"/>
  <c r="F65" i="45" a="1"/>
  <c r="F65" i="45" s="1"/>
  <c r="AF26" i="44" a="1"/>
  <c r="AF26" i="44" s="1"/>
  <c r="V43" i="33" a="1"/>
  <c r="V43" i="33" s="1"/>
  <c r="G28" i="44" a="1"/>
  <c r="G28" i="44" s="1"/>
  <c r="AQ55" i="44" a="1"/>
  <c r="AQ55" i="44" s="1"/>
  <c r="K10" i="44" a="1"/>
  <c r="K10" i="44" s="1"/>
  <c r="Y95" i="33" a="1"/>
  <c r="Y95" i="33" s="1"/>
  <c r="Y93" i="33" s="1"/>
  <c r="AQ40" i="33" a="1"/>
  <c r="AQ40" i="33" s="1"/>
  <c r="AN32" i="44" a="1"/>
  <c r="AN32" i="44" s="1"/>
  <c r="AL10" i="44" a="1"/>
  <c r="AL10" i="44" s="1"/>
  <c r="AS15" i="46"/>
  <c r="L35" i="33" a="1"/>
  <c r="L35" i="33" s="1"/>
  <c r="L33" i="33" s="1"/>
  <c r="M52" i="33" a="1"/>
  <c r="M52" i="33" s="1"/>
  <c r="G50" i="33" a="1"/>
  <c r="G50" i="33" s="1"/>
  <c r="W89" i="33" a="1"/>
  <c r="W89" i="33" s="1"/>
  <c r="W87" i="33" s="1"/>
  <c r="AJ67" i="45" a="1"/>
  <c r="AJ67" i="45" s="1"/>
  <c r="AM56" i="33" a="1"/>
  <c r="AM56" i="33" s="1"/>
  <c r="AM54" i="33" s="1"/>
  <c r="AH34" i="44" a="1"/>
  <c r="AH34" i="44" s="1"/>
  <c r="AO103" i="33" a="1"/>
  <c r="AO103" i="33" s="1"/>
  <c r="AN73" i="44" a="1"/>
  <c r="AN73" i="44" s="1"/>
  <c r="X21" i="41"/>
  <c r="AO74" i="41" a="1"/>
  <c r="AO74" i="41" s="1"/>
  <c r="AU100" i="47" a="1"/>
  <c r="AU100" i="47" s="1"/>
  <c r="Q40" i="33" a="1"/>
  <c r="Q40" i="33" s="1"/>
  <c r="Q39" i="33" s="1"/>
  <c r="AG55" i="33" a="1"/>
  <c r="AG55" i="33" s="1"/>
  <c r="AO46" i="33" a="1"/>
  <c r="AO46" i="33" s="1"/>
  <c r="AL11" i="33" a="1"/>
  <c r="AL11" i="33" s="1"/>
  <c r="AD20" i="44" a="1"/>
  <c r="AD20" i="44" s="1"/>
  <c r="AV79" i="47" a="1"/>
  <c r="AV79" i="47" s="1"/>
  <c r="AK85" i="45" a="1"/>
  <c r="AK85" i="45" s="1"/>
  <c r="H86" i="45" a="1"/>
  <c r="H86" i="45" s="1"/>
  <c r="K70" i="45" a="1"/>
  <c r="K70" i="45" s="1"/>
  <c r="S95" i="33" a="1"/>
  <c r="S95" i="33" s="1"/>
  <c r="AJ46" i="44" a="1"/>
  <c r="AJ46" i="44" s="1"/>
  <c r="AJ45" i="44" s="1"/>
  <c r="U22" i="45" a="1"/>
  <c r="U22" i="45" s="1"/>
  <c r="C88" i="46" a="1"/>
  <c r="C88" i="46" s="1"/>
  <c r="C77" i="43" a="1"/>
  <c r="C77" i="43" s="1"/>
  <c r="I50" i="41" a="1"/>
  <c r="I50" i="41" s="1"/>
  <c r="AG29" i="44" a="1"/>
  <c r="AG29" i="44" s="1"/>
  <c r="P88" i="44" a="1"/>
  <c r="P88" i="44" s="1"/>
  <c r="AJ31" i="45" a="1"/>
  <c r="AJ31" i="45" s="1"/>
  <c r="AG26" i="44" a="1"/>
  <c r="AG26" i="44" s="1"/>
  <c r="P86" i="44" a="1"/>
  <c r="P86" i="44" s="1"/>
  <c r="P35" i="44" a="1"/>
  <c r="P35" i="44" s="1"/>
  <c r="AG10" i="44" a="1"/>
  <c r="AG10" i="44" s="1"/>
  <c r="AH71" i="33" a="1"/>
  <c r="AH71" i="33" s="1"/>
  <c r="I50" i="45" a="1"/>
  <c r="I50" i="45" s="1"/>
  <c r="AG32" i="33" a="1"/>
  <c r="AG32" i="33" s="1"/>
  <c r="AO53" i="33" a="1"/>
  <c r="AO53" i="33" s="1"/>
  <c r="V88" i="45" a="1"/>
  <c r="V88" i="45" s="1"/>
  <c r="Z44" i="33" a="1"/>
  <c r="Z44" i="33" s="1"/>
  <c r="AN20" i="45" a="1"/>
  <c r="AN20" i="45" s="1"/>
  <c r="AN18" i="45" s="1"/>
  <c r="AE28" i="33" a="1"/>
  <c r="AE28" i="33" s="1"/>
  <c r="K37" i="33" a="1"/>
  <c r="K37" i="33" s="1"/>
  <c r="AK75" i="46"/>
  <c r="AQ53" i="44" a="1"/>
  <c r="AQ53" i="44" s="1"/>
  <c r="S94" i="45" a="1"/>
  <c r="S94" i="45" s="1"/>
  <c r="AE15" i="46"/>
  <c r="AI91" i="44" a="1"/>
  <c r="AI91" i="44" s="1"/>
  <c r="V77" i="45" a="1"/>
  <c r="V77" i="45" s="1"/>
  <c r="AN26" i="47" a="1"/>
  <c r="AN26" i="47" s="1"/>
  <c r="AF87" i="46"/>
  <c r="AQ89" i="33" a="1"/>
  <c r="AQ89" i="33" s="1"/>
  <c r="C97" i="47" a="1"/>
  <c r="C97" i="47" s="1"/>
  <c r="A97" i="47" s="1"/>
  <c r="M62" i="33" a="1"/>
  <c r="M62" i="33" s="1"/>
  <c r="AI79" i="33" a="1"/>
  <c r="AI79" i="33" s="1"/>
  <c r="J80" i="45" a="1"/>
  <c r="J80" i="45" s="1"/>
  <c r="AN11" i="41" a="1"/>
  <c r="AN11" i="41" s="1"/>
  <c r="V59" i="44" a="1"/>
  <c r="V59" i="44" s="1"/>
  <c r="C64" i="45" a="1"/>
  <c r="C64" i="45" s="1"/>
  <c r="AI26" i="44" a="1"/>
  <c r="AI26" i="44" s="1"/>
  <c r="AC79" i="33" a="1"/>
  <c r="AC79" i="33" s="1"/>
  <c r="O61" i="33" a="1"/>
  <c r="O61" i="33" s="1"/>
  <c r="AB73" i="44" a="1"/>
  <c r="AB73" i="44" s="1"/>
  <c r="AU82" i="46" a="1"/>
  <c r="AU82" i="46" s="1"/>
  <c r="AR17" i="44" a="1"/>
  <c r="AR17" i="44" s="1"/>
  <c r="AV80" i="41" a="1"/>
  <c r="AV80" i="41" s="1"/>
  <c r="H76" i="44" a="1"/>
  <c r="H76" i="44" s="1"/>
  <c r="AG35" i="45" a="1"/>
  <c r="AG35" i="45" s="1"/>
  <c r="AV52" i="41" a="1"/>
  <c r="AV52" i="41" s="1"/>
  <c r="H38" i="33" a="1"/>
  <c r="H38" i="33" s="1"/>
  <c r="O83" i="44" a="1"/>
  <c r="O83" i="44" s="1"/>
  <c r="P62" i="33" a="1"/>
  <c r="P62" i="33" s="1"/>
  <c r="T40" i="45" a="1"/>
  <c r="T40" i="45" s="1"/>
  <c r="C46" i="45" a="1"/>
  <c r="C46" i="45" s="1"/>
  <c r="A46" i="45" s="1"/>
  <c r="Y52" i="44" a="1"/>
  <c r="Y52" i="44" s="1"/>
  <c r="AH37" i="44" a="1"/>
  <c r="AH37" i="44" s="1"/>
  <c r="M11" i="33" a="1"/>
  <c r="M11" i="33" s="1"/>
  <c r="AV94" i="41" a="1"/>
  <c r="AV94" i="41" s="1"/>
  <c r="I68" i="43" a="1"/>
  <c r="I68" i="43" s="1"/>
  <c r="Z67" i="33" a="1"/>
  <c r="Z67" i="33" s="1"/>
  <c r="E86" i="44" a="1"/>
  <c r="E86" i="44" s="1"/>
  <c r="AI20" i="33" a="1"/>
  <c r="AI20" i="33" s="1"/>
  <c r="AU89" i="46" a="1"/>
  <c r="AU89" i="46" s="1"/>
  <c r="R102" i="46"/>
  <c r="AJ29" i="33" a="1"/>
  <c r="AJ29" i="33" s="1"/>
  <c r="F17" i="45" a="1"/>
  <c r="F17" i="45" s="1"/>
  <c r="H22" i="33" a="1"/>
  <c r="H22" i="33" s="1"/>
  <c r="AR23" i="44" a="1"/>
  <c r="AR23" i="44" s="1"/>
  <c r="AI38" i="45" a="1"/>
  <c r="AI38" i="45" s="1"/>
  <c r="AA96" i="41"/>
  <c r="T95" i="33" a="1"/>
  <c r="T95" i="33" s="1"/>
  <c r="AI49" i="44" a="1"/>
  <c r="AI49" i="44" s="1"/>
  <c r="X37" i="44" a="1"/>
  <c r="X37" i="44" s="1"/>
  <c r="W10" i="44" a="1"/>
  <c r="W10" i="44" s="1"/>
  <c r="AV61" i="46" a="1"/>
  <c r="AV61" i="46" s="1"/>
  <c r="O11" i="45" a="1"/>
  <c r="O11" i="45" s="1"/>
  <c r="K28" i="45" a="1"/>
  <c r="K28" i="45" s="1"/>
  <c r="AN19" i="44" a="1"/>
  <c r="AN19" i="44" s="1"/>
  <c r="G34" i="45" a="1"/>
  <c r="G34" i="45" s="1"/>
  <c r="AN34" i="43" a="1"/>
  <c r="AN34" i="43" s="1"/>
  <c r="AA57" i="43"/>
  <c r="AI32" i="44" a="1"/>
  <c r="AI32" i="44" s="1"/>
  <c r="X53" i="44" a="1"/>
  <c r="X53" i="44" s="1"/>
  <c r="S56" i="33" a="1"/>
  <c r="S56" i="33" s="1"/>
  <c r="E16" i="45" a="1"/>
  <c r="E16" i="45" s="1"/>
  <c r="G58" i="45" a="1"/>
  <c r="G58" i="45" s="1"/>
  <c r="X70" i="44" a="1"/>
  <c r="X70" i="44" s="1"/>
  <c r="I58" i="46" a="1"/>
  <c r="I58" i="46" s="1"/>
  <c r="Y49" i="33" a="1"/>
  <c r="Y49" i="33" s="1"/>
  <c r="AU52" i="47" a="1"/>
  <c r="AU52" i="47" s="1"/>
  <c r="I55" i="33" a="1"/>
  <c r="I55" i="33" s="1"/>
  <c r="AQ51" i="46"/>
  <c r="N48" i="46"/>
  <c r="O87" i="43"/>
  <c r="AK103" i="44" a="1"/>
  <c r="AK103" i="44" s="1"/>
  <c r="AG83" i="33" a="1"/>
  <c r="AG83" i="33" s="1"/>
  <c r="AG81" i="33" s="1"/>
  <c r="AM77" i="33" a="1"/>
  <c r="AM77" i="33" s="1"/>
  <c r="Q16" i="45" a="1"/>
  <c r="Q16" i="45" s="1"/>
  <c r="AK53" i="45" a="1"/>
  <c r="AK53" i="45" s="1"/>
  <c r="AN11" i="43" a="1"/>
  <c r="AN11" i="43" s="1"/>
  <c r="AQ65" i="44" a="1"/>
  <c r="AQ65" i="44" s="1"/>
  <c r="X38" i="33" a="1"/>
  <c r="X38" i="33" s="1"/>
  <c r="F17" i="33" a="1"/>
  <c r="F17" i="33" s="1"/>
  <c r="I52" i="41" a="1"/>
  <c r="I52" i="41" s="1"/>
  <c r="AC26" i="45" a="1"/>
  <c r="AC26" i="45" s="1"/>
  <c r="AU89" i="43" a="1"/>
  <c r="AU89" i="43" s="1"/>
  <c r="AI47" i="44" a="1"/>
  <c r="AI47" i="44" s="1"/>
  <c r="AV68" i="41" a="1"/>
  <c r="AV68" i="41" s="1"/>
  <c r="I10" i="46" a="1"/>
  <c r="I10" i="46" s="1"/>
  <c r="AU49" i="43" a="1"/>
  <c r="AU49" i="43" s="1"/>
  <c r="N26" i="45" a="1"/>
  <c r="N26" i="45" s="1"/>
  <c r="AJ61" i="33" a="1"/>
  <c r="AJ61" i="33" s="1"/>
  <c r="AN73" i="46" a="1"/>
  <c r="AN73" i="46" s="1"/>
  <c r="AO32" i="41" a="1"/>
  <c r="AO32" i="41" s="1"/>
  <c r="AG68" i="44" a="1"/>
  <c r="AG68" i="44" s="1"/>
  <c r="AB25" i="45" a="1"/>
  <c r="AB25" i="45" s="1"/>
  <c r="U49" i="33" a="1"/>
  <c r="U49" i="33" s="1"/>
  <c r="E68" i="33" a="1"/>
  <c r="E68" i="33" s="1"/>
  <c r="AJ93" i="43"/>
  <c r="H32" i="33" a="1"/>
  <c r="H32" i="33" s="1"/>
  <c r="T73" i="45" a="1"/>
  <c r="T73" i="45" s="1"/>
  <c r="M26" i="44" a="1"/>
  <c r="M26" i="44" s="1"/>
  <c r="U16" i="33" a="1"/>
  <c r="U16" i="33" s="1"/>
  <c r="AN94" i="43" a="1"/>
  <c r="AN94" i="43" s="1"/>
  <c r="AE23" i="44" a="1"/>
  <c r="AE23" i="44" s="1"/>
  <c r="AO38" i="46" a="1"/>
  <c r="AO38" i="46" s="1"/>
  <c r="AO77" i="46" a="1"/>
  <c r="AO77" i="46" s="1"/>
  <c r="N23" i="45" a="1"/>
  <c r="N23" i="45" s="1"/>
  <c r="W77" i="45" a="1"/>
  <c r="W77" i="45" s="1"/>
  <c r="S64" i="33" a="1"/>
  <c r="S64" i="33" s="1"/>
  <c r="V103" i="44" a="1"/>
  <c r="V103" i="44" s="1"/>
  <c r="AF73" i="33" a="1"/>
  <c r="AF73" i="33" s="1"/>
  <c r="AR52" i="44" a="1"/>
  <c r="AR52" i="44" s="1"/>
  <c r="Y38" i="44" a="1"/>
  <c r="Y38" i="44" s="1"/>
  <c r="V54" i="43"/>
  <c r="E56" i="45" a="1"/>
  <c r="E56" i="45" s="1"/>
  <c r="AU79" i="43" a="1"/>
  <c r="AU79" i="43" s="1"/>
  <c r="AO44" i="47" a="1"/>
  <c r="AO44" i="47" s="1"/>
  <c r="AN71" i="33" a="1"/>
  <c r="AN71" i="33" s="1"/>
  <c r="AC64" i="33" a="1"/>
  <c r="AC64" i="33" s="1"/>
  <c r="AU62" i="46" a="1"/>
  <c r="AU62" i="46" s="1"/>
  <c r="J20" i="45" a="1"/>
  <c r="J20" i="45" s="1"/>
  <c r="AI65" i="44" a="1"/>
  <c r="AI65" i="44" s="1"/>
  <c r="AN47" i="43" a="1"/>
  <c r="AN47" i="43" s="1"/>
  <c r="G17" i="45" a="1"/>
  <c r="G17" i="45" s="1"/>
  <c r="S50" i="45" a="1"/>
  <c r="S50" i="45" s="1"/>
  <c r="Q50" i="44" a="1"/>
  <c r="Q50" i="44" s="1"/>
  <c r="I98" i="33" a="1"/>
  <c r="I98" i="33" s="1"/>
  <c r="AM49" i="45" a="1"/>
  <c r="AM49" i="45" s="1"/>
  <c r="C74" i="42" a="1"/>
  <c r="C74" i="42" s="1"/>
  <c r="U28" i="45" a="1"/>
  <c r="U28" i="45" s="1"/>
  <c r="V60" i="41"/>
  <c r="AP71" i="33" a="1"/>
  <c r="AP71" i="33" s="1"/>
  <c r="AL86" i="44" a="1"/>
  <c r="AL86" i="44" s="1"/>
  <c r="I20" i="47" a="1"/>
  <c r="I20" i="47" s="1"/>
  <c r="K34" i="33" a="1"/>
  <c r="K34" i="33" s="1"/>
  <c r="AQ52" i="44" a="1"/>
  <c r="AQ52" i="44" s="1"/>
  <c r="I22" i="41" a="1"/>
  <c r="I22" i="41" s="1"/>
  <c r="V53" i="33" a="1"/>
  <c r="V53" i="33" s="1"/>
  <c r="E77" i="44" a="1"/>
  <c r="E77" i="44" s="1"/>
  <c r="AQ23" i="33" a="1"/>
  <c r="AQ23" i="33" s="1"/>
  <c r="Y73" i="44" a="1"/>
  <c r="Y73" i="44" s="1"/>
  <c r="AO47" i="46" a="1"/>
  <c r="AO47" i="46" s="1"/>
  <c r="M94" i="44" a="1"/>
  <c r="M94" i="44" s="1"/>
  <c r="AI70" i="33" a="1"/>
  <c r="AI70" i="33" s="1"/>
  <c r="AV74" i="47" a="1"/>
  <c r="AV74" i="47" s="1"/>
  <c r="AD104" i="33" a="1"/>
  <c r="AD104" i="33" s="1"/>
  <c r="AR40" i="45" a="1"/>
  <c r="AR40" i="45" s="1"/>
  <c r="AL82" i="44" a="1"/>
  <c r="AL82" i="44" s="1"/>
  <c r="AB69" i="41"/>
  <c r="J101" i="44" a="1"/>
  <c r="J101" i="44" s="1"/>
  <c r="K10" i="45" a="1"/>
  <c r="K10" i="45" s="1"/>
  <c r="G38" i="44" a="1"/>
  <c r="G38" i="44" s="1"/>
  <c r="O49" i="33" a="1"/>
  <c r="O49" i="33" s="1"/>
  <c r="AR24" i="46"/>
  <c r="AV103" i="43" a="1"/>
  <c r="AV103" i="43" s="1"/>
  <c r="AI103" i="44" a="1"/>
  <c r="AI103" i="44" s="1"/>
  <c r="O62" i="33" a="1"/>
  <c r="O62" i="33" s="1"/>
  <c r="AN41" i="44" a="1"/>
  <c r="AN41" i="44" s="1"/>
  <c r="X100" i="44" a="1"/>
  <c r="X100" i="44" s="1"/>
  <c r="M67" i="33" a="1"/>
  <c r="M67" i="33" s="1"/>
  <c r="AK20" i="33" a="1"/>
  <c r="AK20" i="33" s="1"/>
  <c r="AL44" i="45" a="1"/>
  <c r="AL44" i="45" s="1"/>
  <c r="AU83" i="43" a="1"/>
  <c r="AU83" i="43" s="1"/>
  <c r="W62" i="45" a="1"/>
  <c r="W62" i="45" s="1"/>
  <c r="W60" i="45" s="1"/>
  <c r="AM48" i="43"/>
  <c r="R55" i="45" a="1"/>
  <c r="R55" i="45" s="1"/>
  <c r="AI62" i="33" a="1"/>
  <c r="AI62" i="33" s="1"/>
  <c r="AB59" i="44" a="1"/>
  <c r="AB59" i="44" s="1"/>
  <c r="AC41" i="45" a="1"/>
  <c r="AC41" i="45" s="1"/>
  <c r="Q70" i="45" a="1"/>
  <c r="Q70" i="45" s="1"/>
  <c r="AD37" i="44" a="1"/>
  <c r="AD37" i="44" s="1"/>
  <c r="H97" i="45" a="1"/>
  <c r="H97" i="45" s="1"/>
  <c r="AO31" i="33" a="1"/>
  <c r="AO31" i="33" s="1"/>
  <c r="O86" i="33" a="1"/>
  <c r="O86" i="33" s="1"/>
  <c r="AI104" i="33" a="1"/>
  <c r="AI104" i="33" s="1"/>
  <c r="AI102" i="33" s="1"/>
  <c r="E76" i="33" a="1"/>
  <c r="E76" i="33" s="1"/>
  <c r="K41" i="33" a="1"/>
  <c r="K41" i="33" s="1"/>
  <c r="AR43" i="33" a="1"/>
  <c r="AR43" i="33" s="1"/>
  <c r="AO94" i="44" a="1"/>
  <c r="AO94" i="44" s="1"/>
  <c r="K38" i="33" a="1"/>
  <c r="K38" i="33" s="1"/>
  <c r="AL23" i="44" a="1"/>
  <c r="AL23" i="44" s="1"/>
  <c r="AF82" i="33" a="1"/>
  <c r="AF82" i="33" s="1"/>
  <c r="N94" i="45" a="1"/>
  <c r="N94" i="45" s="1"/>
  <c r="H70" i="44" a="1"/>
  <c r="H70" i="44" s="1"/>
  <c r="H69" i="44" s="1"/>
  <c r="AN38" i="44" a="1"/>
  <c r="AN38" i="44" s="1"/>
  <c r="AE46" i="44" a="1"/>
  <c r="AE46" i="44" s="1"/>
  <c r="M76" i="44" a="1"/>
  <c r="M76" i="44" s="1"/>
  <c r="AI82" i="44" a="1"/>
  <c r="AI82" i="44" s="1"/>
  <c r="E77" i="33" a="1"/>
  <c r="E77" i="33" s="1"/>
  <c r="F101" i="45" a="1"/>
  <c r="F101" i="45" s="1"/>
  <c r="C70" i="44" a="1"/>
  <c r="C70" i="44" s="1"/>
  <c r="C34" i="33" a="1"/>
  <c r="C34" i="33" s="1"/>
  <c r="W41" i="45" a="1"/>
  <c r="W41" i="45" s="1"/>
  <c r="AD53" i="33" a="1"/>
  <c r="AD53" i="33" s="1"/>
  <c r="H31" i="45" a="1"/>
  <c r="H31" i="45" s="1"/>
  <c r="AP65" i="33" a="1"/>
  <c r="AP65" i="33" s="1"/>
  <c r="G55" i="33" a="1"/>
  <c r="G55" i="33" s="1"/>
  <c r="Q16" i="44" a="1"/>
  <c r="Q16" i="44" s="1"/>
  <c r="AP95" i="33" a="1"/>
  <c r="AP95" i="33" s="1"/>
  <c r="AQ55" i="33" a="1"/>
  <c r="AQ55" i="33" s="1"/>
  <c r="Y100" i="33" a="1"/>
  <c r="Y100" i="33" s="1"/>
  <c r="AN49" i="44" a="1"/>
  <c r="AN49" i="44" s="1"/>
  <c r="AG101" i="33" a="1"/>
  <c r="AG101" i="33" s="1"/>
  <c r="H82" i="45" a="1"/>
  <c r="H82" i="45" s="1"/>
  <c r="X24" i="46"/>
  <c r="O77" i="33" a="1"/>
  <c r="O77" i="33" s="1"/>
  <c r="AL34" i="33" a="1"/>
  <c r="AL34" i="33" s="1"/>
  <c r="AR101" i="33" a="1"/>
  <c r="AR101" i="33" s="1"/>
  <c r="F62" i="45" a="1"/>
  <c r="F62" i="45" s="1"/>
  <c r="AD79" i="33" a="1"/>
  <c r="AD79" i="33" s="1"/>
  <c r="M28" i="33" a="1"/>
  <c r="M28" i="33" s="1"/>
  <c r="M73" i="45" a="1"/>
  <c r="M73" i="45" s="1"/>
  <c r="X66" i="47"/>
  <c r="I67" i="47" a="1"/>
  <c r="I67" i="47" s="1"/>
  <c r="G26" i="45" a="1"/>
  <c r="G26" i="45" s="1"/>
  <c r="K89" i="45" a="1"/>
  <c r="K89" i="45" s="1"/>
  <c r="H89" i="44" a="1"/>
  <c r="H89" i="44" s="1"/>
  <c r="AO22" i="45" a="1"/>
  <c r="AO22" i="45" s="1"/>
  <c r="AA21" i="43"/>
  <c r="X88" i="45" a="1"/>
  <c r="X88" i="45" s="1"/>
  <c r="C59" i="43" a="1"/>
  <c r="C59" i="43" s="1"/>
  <c r="S55" i="45" a="1"/>
  <c r="S55" i="45" s="1"/>
  <c r="AO74" i="33" a="1"/>
  <c r="AO74" i="33" s="1"/>
  <c r="AD67" i="33" a="1"/>
  <c r="AD67" i="33" s="1"/>
  <c r="L50" i="33" a="1"/>
  <c r="L50" i="33" s="1"/>
  <c r="AF20" i="45" a="1"/>
  <c r="AF20" i="45" s="1"/>
  <c r="F61" i="44" a="1"/>
  <c r="F61" i="44" s="1"/>
  <c r="AV31" i="43" a="1"/>
  <c r="AV31" i="43" s="1"/>
  <c r="AV30" i="43" s="1"/>
  <c r="AO34" i="41" a="1"/>
  <c r="AO34" i="41" s="1"/>
  <c r="AV43" i="47" a="1"/>
  <c r="AV43" i="47" s="1"/>
  <c r="AF94" i="45" a="1"/>
  <c r="AF94" i="45" s="1"/>
  <c r="N34" i="45" a="1"/>
  <c r="N34" i="45" s="1"/>
  <c r="AN34" i="45" a="1"/>
  <c r="AN34" i="45" s="1"/>
  <c r="AJ23" i="44" a="1"/>
  <c r="AJ23" i="44" s="1"/>
  <c r="K41" i="45" a="1"/>
  <c r="K41" i="45" s="1"/>
  <c r="AO23" i="33" a="1"/>
  <c r="AO23" i="33" s="1"/>
  <c r="Q20" i="33" a="1"/>
  <c r="Q20" i="33" s="1"/>
  <c r="AE82" i="44" a="1"/>
  <c r="AE82" i="44" s="1"/>
  <c r="AJ62" i="45" a="1"/>
  <c r="AJ62" i="45" s="1"/>
  <c r="AD43" i="33" a="1"/>
  <c r="AD43" i="33" s="1"/>
  <c r="U31" i="44" a="1"/>
  <c r="U31" i="44" s="1"/>
  <c r="AO68" i="47" a="1"/>
  <c r="AO68" i="47" s="1"/>
  <c r="C100" i="42" a="1"/>
  <c r="C100" i="42" s="1"/>
  <c r="H67" i="44" a="1"/>
  <c r="H67" i="44" s="1"/>
  <c r="AU25" i="47" a="1"/>
  <c r="AU25" i="47" s="1"/>
  <c r="W38" i="33" a="1"/>
  <c r="W38" i="33" s="1"/>
  <c r="AO79" i="46" a="1"/>
  <c r="AO79" i="46" s="1"/>
  <c r="AL65" i="44" a="1"/>
  <c r="AL65" i="44" s="1"/>
  <c r="AL63" i="44" s="1"/>
  <c r="AJ73" i="33" a="1"/>
  <c r="AJ73" i="33" s="1"/>
  <c r="L91" i="33" a="1"/>
  <c r="L91" i="33" s="1"/>
  <c r="J67" i="44" a="1"/>
  <c r="J67" i="44" s="1"/>
  <c r="Y17" i="33" a="1"/>
  <c r="Y17" i="33" s="1"/>
  <c r="X93" i="43"/>
  <c r="Q101" i="44" a="1"/>
  <c r="Q101" i="44" s="1"/>
  <c r="AM74" i="33" a="1"/>
  <c r="AM74" i="33" s="1"/>
  <c r="I28" i="44" a="1"/>
  <c r="I28" i="44" s="1"/>
  <c r="H91" i="44" a="1"/>
  <c r="H91" i="44" s="1"/>
  <c r="AP91" i="33" a="1"/>
  <c r="AP91" i="33" s="1"/>
  <c r="AP100" i="44" a="1"/>
  <c r="AP100" i="44" s="1"/>
  <c r="Y97" i="33" a="1"/>
  <c r="Y97" i="33" s="1"/>
  <c r="AD52" i="33" a="1"/>
  <c r="AD52" i="33" s="1"/>
  <c r="AO44" i="46" a="1"/>
  <c r="AO44" i="46" s="1"/>
  <c r="AC86" i="45" a="1"/>
  <c r="AC86" i="45" s="1"/>
  <c r="AB80" i="45" a="1"/>
  <c r="AB80" i="45" s="1"/>
  <c r="O92" i="33" a="1"/>
  <c r="O92" i="33" s="1"/>
  <c r="S89" i="45" a="1"/>
  <c r="S89" i="45" s="1"/>
  <c r="S87" i="45" s="1"/>
  <c r="AR83" i="33" a="1"/>
  <c r="AR83" i="33" s="1"/>
  <c r="I29" i="45" a="1"/>
  <c r="I29" i="45" s="1"/>
  <c r="F59" i="45" a="1"/>
  <c r="F59" i="45" s="1"/>
  <c r="AR102" i="46"/>
  <c r="J37" i="45" a="1"/>
  <c r="J37" i="45" s="1"/>
  <c r="L37" i="33" a="1"/>
  <c r="L37" i="33" s="1"/>
  <c r="L79" i="45" a="1"/>
  <c r="L79" i="45" s="1"/>
  <c r="AO49" i="45" a="1"/>
  <c r="AO49" i="45" s="1"/>
  <c r="Q85" i="33" a="1"/>
  <c r="Q85" i="33" s="1"/>
  <c r="AH16" i="33" a="1"/>
  <c r="AH16" i="33" s="1"/>
  <c r="U94" i="44" a="1"/>
  <c r="U94" i="44" s="1"/>
  <c r="AF43" i="45" a="1"/>
  <c r="AF43" i="45" s="1"/>
  <c r="U44" i="44" a="1"/>
  <c r="U44" i="44" s="1"/>
  <c r="AR17" i="33" a="1"/>
  <c r="AR17" i="33" s="1"/>
  <c r="E85" i="33" a="1"/>
  <c r="E85" i="33" s="1"/>
  <c r="Q25" i="45" a="1"/>
  <c r="Q25" i="45" s="1"/>
  <c r="AV38" i="47" a="1"/>
  <c r="AV38" i="47" s="1"/>
  <c r="AM28" i="44" a="1"/>
  <c r="AM28" i="44" s="1"/>
  <c r="AG82" i="45" a="1"/>
  <c r="AG82" i="45" s="1"/>
  <c r="AP94" i="45" a="1"/>
  <c r="AP94" i="45" s="1"/>
  <c r="AQ20" i="33" a="1"/>
  <c r="AQ20" i="33" s="1"/>
  <c r="AR82" i="33" a="1"/>
  <c r="AR82" i="33" s="1"/>
  <c r="AC64" i="45" a="1"/>
  <c r="AC64" i="45" s="1"/>
  <c r="N71" i="44" a="1"/>
  <c r="N71" i="44" s="1"/>
  <c r="S68" i="45" a="1"/>
  <c r="S68" i="45" s="1"/>
  <c r="S66" i="45" s="1"/>
  <c r="R99" i="43"/>
  <c r="AN67" i="41" a="1"/>
  <c r="AN67" i="41" s="1"/>
  <c r="F65" i="33" a="1"/>
  <c r="F65" i="33" s="1"/>
  <c r="Q75" i="41"/>
  <c r="I89" i="33" a="1"/>
  <c r="I89" i="33" s="1"/>
  <c r="AC41" i="33" a="1"/>
  <c r="AC41" i="33" s="1"/>
  <c r="H34" i="44" a="1"/>
  <c r="H34" i="44" s="1"/>
  <c r="I58" i="33" a="1"/>
  <c r="I58" i="33" s="1"/>
  <c r="U100" i="44" a="1"/>
  <c r="U100" i="44" s="1"/>
  <c r="C98" i="42" a="1"/>
  <c r="C98" i="42" s="1"/>
  <c r="AE56" i="33" a="1"/>
  <c r="AE56" i="33" s="1"/>
  <c r="AQ62" i="45" a="1"/>
  <c r="AQ62" i="45" s="1"/>
  <c r="Z88" i="33" a="1"/>
  <c r="Z88" i="33" s="1"/>
  <c r="AN62" i="43" a="1"/>
  <c r="AN62" i="43" s="1"/>
  <c r="C95" i="46" a="1"/>
  <c r="C95" i="46" s="1"/>
  <c r="S29" i="44" a="1"/>
  <c r="S29" i="44" s="1"/>
  <c r="AO23" i="43" a="1"/>
  <c r="AO23" i="43" s="1"/>
  <c r="AE55" i="33" a="1"/>
  <c r="AE55" i="33" s="1"/>
  <c r="AC77" i="45" a="1"/>
  <c r="AC77" i="45" s="1"/>
  <c r="AP49" i="33" a="1"/>
  <c r="AP49" i="33" s="1"/>
  <c r="C97" i="46" a="1"/>
  <c r="C97" i="46" s="1"/>
  <c r="K88" i="45" a="1"/>
  <c r="K88" i="45" s="1"/>
  <c r="AD35" i="44" a="1"/>
  <c r="AD35" i="44" s="1"/>
  <c r="U68" i="33" a="1"/>
  <c r="U68" i="33" s="1"/>
  <c r="AO103" i="46" a="1"/>
  <c r="AO103" i="46" s="1"/>
  <c r="U23" i="44" a="1"/>
  <c r="U23" i="44" s="1"/>
  <c r="AU97" i="41" a="1"/>
  <c r="AU97" i="41" s="1"/>
  <c r="T68" i="33" a="1"/>
  <c r="T68" i="33" s="1"/>
  <c r="M68" i="33" a="1"/>
  <c r="M68" i="33" s="1"/>
  <c r="H29" i="33" a="1"/>
  <c r="H29" i="33" s="1"/>
  <c r="K53" i="33" a="1"/>
  <c r="K53" i="33" s="1"/>
  <c r="AK11" i="45" a="1"/>
  <c r="AK11" i="45" s="1"/>
  <c r="AO89" i="44" a="1"/>
  <c r="AO89" i="44" s="1"/>
  <c r="C44" i="42" a="1"/>
  <c r="C44" i="42" s="1"/>
  <c r="AN44" i="45" a="1"/>
  <c r="AN44" i="45" s="1"/>
  <c r="AO64" i="43" a="1"/>
  <c r="AO64" i="43" s="1"/>
  <c r="AL77" i="33" a="1"/>
  <c r="AL77" i="33" s="1"/>
  <c r="O56" i="33" a="1"/>
  <c r="O56" i="33" s="1"/>
  <c r="AU32" i="41" a="1"/>
  <c r="AU32" i="41" s="1"/>
  <c r="AI17" i="33" a="1"/>
  <c r="AI17" i="33" s="1"/>
  <c r="AE74" i="33" a="1"/>
  <c r="AE74" i="33" s="1"/>
  <c r="O104" i="45" a="1"/>
  <c r="O104" i="45" s="1"/>
  <c r="L78" i="47"/>
  <c r="AE67" i="44" a="1"/>
  <c r="AE67" i="44" s="1"/>
  <c r="AD26" i="33" a="1"/>
  <c r="AD26" i="33" s="1"/>
  <c r="E85" i="45" a="1"/>
  <c r="E85" i="45" s="1"/>
  <c r="AC58" i="33" a="1"/>
  <c r="AC58" i="33" s="1"/>
  <c r="W96" i="43"/>
  <c r="AG49" i="45" a="1"/>
  <c r="AG49" i="45" s="1"/>
  <c r="AE53" i="33" a="1"/>
  <c r="AE53" i="33" s="1"/>
  <c r="AP44" i="45" a="1"/>
  <c r="AP44" i="45" s="1"/>
  <c r="AK47" i="45" a="1"/>
  <c r="AK47" i="45" s="1"/>
  <c r="AB32" i="44" a="1"/>
  <c r="AB32" i="44" s="1"/>
  <c r="AM68" i="33" a="1"/>
  <c r="AM68" i="33" s="1"/>
  <c r="AD104" i="44" a="1"/>
  <c r="AD104" i="44" s="1"/>
  <c r="O65" i="45" a="1"/>
  <c r="O65" i="45" s="1"/>
  <c r="T65" i="45" a="1"/>
  <c r="T65" i="45" s="1"/>
  <c r="AR26" i="44" a="1"/>
  <c r="AR26" i="44" s="1"/>
  <c r="P46" i="44" a="1"/>
  <c r="P46" i="44" s="1"/>
  <c r="P45" i="44" s="1"/>
  <c r="J83" i="45" a="1"/>
  <c r="J83" i="45" s="1"/>
  <c r="AK17" i="33" a="1"/>
  <c r="AK17" i="33" s="1"/>
  <c r="I46" i="43" a="1"/>
  <c r="I46" i="43" s="1"/>
  <c r="AO100" i="41" a="1"/>
  <c r="AO100" i="41" s="1"/>
  <c r="I11" i="47" a="1"/>
  <c r="I11" i="47" s="1"/>
  <c r="P98" i="44" a="1"/>
  <c r="P98" i="44" s="1"/>
  <c r="R19" i="45" a="1"/>
  <c r="R19" i="45" s="1"/>
  <c r="M64" i="33" a="1"/>
  <c r="M64" i="33" s="1"/>
  <c r="AF23" i="44" a="1"/>
  <c r="AF23" i="44" s="1"/>
  <c r="X104" i="44" a="1"/>
  <c r="X104" i="44" s="1"/>
  <c r="AN89" i="41" a="1"/>
  <c r="AN89" i="41" s="1"/>
  <c r="AK97" i="45" a="1"/>
  <c r="AK97" i="45" s="1"/>
  <c r="R10" i="45" a="1"/>
  <c r="R10" i="45" s="1"/>
  <c r="R22" i="45" a="1"/>
  <c r="R22" i="45" s="1"/>
  <c r="AR77" i="33" a="1"/>
  <c r="AR77" i="33" s="1"/>
  <c r="AR56" i="33" a="1"/>
  <c r="AR56" i="33" s="1"/>
  <c r="AM77" i="45" a="1"/>
  <c r="AM77" i="45" s="1"/>
  <c r="F53" i="44" a="1"/>
  <c r="F53" i="44" s="1"/>
  <c r="AU100" i="41" a="1"/>
  <c r="AU100" i="41" s="1"/>
  <c r="AJ47" i="33" a="1"/>
  <c r="AJ47" i="33" s="1"/>
  <c r="AA23" i="33" a="1"/>
  <c r="AA23" i="33" s="1"/>
  <c r="Y35" i="44" a="1"/>
  <c r="Y35" i="44" s="1"/>
  <c r="AL70" i="45" a="1"/>
  <c r="AL70" i="45" s="1"/>
  <c r="C49" i="42" a="1"/>
  <c r="C49" i="42" s="1"/>
  <c r="AL26" i="45" a="1"/>
  <c r="AL26" i="45" s="1"/>
  <c r="AB86" i="33" a="1"/>
  <c r="AB86" i="33" s="1"/>
  <c r="I31" i="41" a="1"/>
  <c r="I31" i="41" s="1"/>
  <c r="M103" i="44" a="1"/>
  <c r="M103" i="44" s="1"/>
  <c r="S15" i="46"/>
  <c r="AQ32" i="45" a="1"/>
  <c r="AQ32" i="45" s="1"/>
  <c r="R91" i="44" a="1"/>
  <c r="R91" i="44" s="1"/>
  <c r="AL76" i="44" a="1"/>
  <c r="AL76" i="44" s="1"/>
  <c r="AO49" i="41" a="1"/>
  <c r="AO49" i="41" s="1"/>
  <c r="AJ92" i="45" a="1"/>
  <c r="AJ92" i="45" s="1"/>
  <c r="AQ29" i="45" a="1"/>
  <c r="AQ29" i="45" s="1"/>
  <c r="X96" i="41"/>
  <c r="X98" i="33" a="1"/>
  <c r="X98" i="33" s="1"/>
  <c r="AE18" i="41"/>
  <c r="AO104" i="33" a="1"/>
  <c r="AO104" i="33" s="1"/>
  <c r="AR95" i="44" a="1"/>
  <c r="AR95" i="44" s="1"/>
  <c r="J49" i="45" a="1"/>
  <c r="J49" i="45" s="1"/>
  <c r="V82" i="45" a="1"/>
  <c r="V82" i="45" s="1"/>
  <c r="AI71" i="33" a="1"/>
  <c r="AI71" i="33" s="1"/>
  <c r="Q70" i="33" a="1"/>
  <c r="Q70" i="33" s="1"/>
  <c r="I26" i="43" a="1"/>
  <c r="I26" i="43" s="1"/>
  <c r="M55" i="45" a="1"/>
  <c r="M55" i="45" s="1"/>
  <c r="C17" i="46" a="1"/>
  <c r="C17" i="46" s="1"/>
  <c r="AF70" i="45" a="1"/>
  <c r="AF70" i="45" s="1"/>
  <c r="L98" i="33" a="1"/>
  <c r="L98" i="33" s="1"/>
  <c r="V17" i="45" a="1"/>
  <c r="V17" i="45" s="1"/>
  <c r="AV19" i="43" a="1"/>
  <c r="AV19" i="43" s="1"/>
  <c r="AF41" i="45" a="1"/>
  <c r="AF41" i="45" s="1"/>
  <c r="AE52" i="45" a="1"/>
  <c r="AE52" i="45" s="1"/>
  <c r="AE51" i="45" s="1"/>
  <c r="G34" i="33" a="1"/>
  <c r="G34" i="33" s="1"/>
  <c r="AK56" i="45" a="1"/>
  <c r="AK56" i="45" s="1"/>
  <c r="AK62" i="33" a="1"/>
  <c r="AK62" i="33" s="1"/>
  <c r="U37" i="45" a="1"/>
  <c r="U37" i="45" s="1"/>
  <c r="AF32" i="45" a="1"/>
  <c r="AF32" i="45" s="1"/>
  <c r="AG56" i="33" a="1"/>
  <c r="AG56" i="33" s="1"/>
  <c r="AJ52" i="44" a="1"/>
  <c r="AJ52" i="44" s="1"/>
  <c r="AU43" i="47" a="1"/>
  <c r="AU43" i="47" s="1"/>
  <c r="AE35" i="33" a="1"/>
  <c r="AE35" i="33" s="1"/>
  <c r="T29" i="44" a="1"/>
  <c r="T29" i="44" s="1"/>
  <c r="X32" i="45" a="1"/>
  <c r="X32" i="45" s="1"/>
  <c r="U32" i="44" a="1"/>
  <c r="U32" i="44" s="1"/>
  <c r="AK11" i="33" a="1"/>
  <c r="AK11" i="33" s="1"/>
  <c r="AK15" i="41"/>
  <c r="AG61" i="44" a="1"/>
  <c r="AG61" i="44" s="1"/>
  <c r="AG32" i="45" a="1"/>
  <c r="AG32" i="45" s="1"/>
  <c r="K24" i="43"/>
  <c r="S10" i="44" a="1"/>
  <c r="S10" i="44" s="1"/>
  <c r="F80" i="45" a="1"/>
  <c r="F80" i="45" s="1"/>
  <c r="M41" i="45" a="1"/>
  <c r="M41" i="45" s="1"/>
  <c r="V31" i="45" a="1"/>
  <c r="V31" i="45" s="1"/>
  <c r="AB38" i="33" a="1"/>
  <c r="AB38" i="33" s="1"/>
  <c r="AG50" i="33" a="1"/>
  <c r="AG50" i="33" s="1"/>
  <c r="N100" i="33" a="1"/>
  <c r="N100" i="33" s="1"/>
  <c r="U25" i="45" a="1"/>
  <c r="U25" i="45" s="1"/>
  <c r="E46" i="45" a="1"/>
  <c r="E46" i="45" s="1"/>
  <c r="AQ64" i="33" a="1"/>
  <c r="AQ64" i="33" s="1"/>
  <c r="K72" i="41"/>
  <c r="AU59" i="47" a="1"/>
  <c r="AU59" i="47" s="1"/>
  <c r="AU57" i="47" s="1"/>
  <c r="AL19" i="44" a="1"/>
  <c r="AL19" i="44" s="1"/>
  <c r="AJ25" i="44" a="1"/>
  <c r="AJ25" i="44" s="1"/>
  <c r="AJ24" i="44" s="1"/>
  <c r="AJ90" i="41"/>
  <c r="AG98" i="45" a="1"/>
  <c r="AG98" i="45" s="1"/>
  <c r="AN92" i="33" a="1"/>
  <c r="AN92" i="33" s="1"/>
  <c r="Y89" i="44" a="1"/>
  <c r="Y89" i="44" s="1"/>
  <c r="AU53" i="46" a="1"/>
  <c r="AU53" i="46" s="1"/>
  <c r="AM59" i="44" a="1"/>
  <c r="AM59" i="44" s="1"/>
  <c r="AA61" i="44" a="1"/>
  <c r="AA61" i="44" s="1"/>
  <c r="I56" i="43" a="1"/>
  <c r="I56" i="43" s="1"/>
  <c r="AC57" i="47"/>
  <c r="AF19" i="33" a="1"/>
  <c r="AF19" i="33" s="1"/>
  <c r="R67" i="44" a="1"/>
  <c r="R67" i="44" s="1"/>
  <c r="Q26" i="33" a="1"/>
  <c r="Q26" i="33" s="1"/>
  <c r="AV25" i="47" a="1"/>
  <c r="AV25" i="47" s="1"/>
  <c r="I32" i="44" a="1"/>
  <c r="I32" i="44" s="1"/>
  <c r="AN17" i="46" a="1"/>
  <c r="AN17" i="46" s="1"/>
  <c r="AR68" i="45" a="1"/>
  <c r="AR68" i="45" s="1"/>
  <c r="AJ80" i="45" a="1"/>
  <c r="AJ80" i="45" s="1"/>
  <c r="V71" i="33" a="1"/>
  <c r="V71" i="33" s="1"/>
  <c r="AJ50" i="45" a="1"/>
  <c r="AJ50" i="45" s="1"/>
  <c r="L97" i="33" a="1"/>
  <c r="L97" i="33" s="1"/>
  <c r="O37" i="33" a="1"/>
  <c r="O37" i="33" s="1"/>
  <c r="C17" i="33" a="1"/>
  <c r="C17" i="33" s="1"/>
  <c r="C38" i="45" a="1"/>
  <c r="C38" i="45" s="1"/>
  <c r="I16" i="41" a="1"/>
  <c r="I16" i="41" s="1"/>
  <c r="AF35" i="33" a="1"/>
  <c r="AF35" i="33" s="1"/>
  <c r="F28" i="44" a="1"/>
  <c r="F28" i="44" s="1"/>
  <c r="R73" i="45" a="1"/>
  <c r="R73" i="45" s="1"/>
  <c r="AJ55" i="44" a="1"/>
  <c r="AJ55" i="44" s="1"/>
  <c r="AO65" i="46" a="1"/>
  <c r="AO65" i="46" s="1"/>
  <c r="G67" i="33" a="1"/>
  <c r="G67" i="33" s="1"/>
  <c r="E22" i="33" a="1"/>
  <c r="E22" i="33" s="1"/>
  <c r="AD40" i="45" a="1"/>
  <c r="AD40" i="45" s="1"/>
  <c r="U62" i="33" a="1"/>
  <c r="U62" i="33" s="1"/>
  <c r="S31" i="33" a="1"/>
  <c r="S31" i="33" s="1"/>
  <c r="AL38" i="44" a="1"/>
  <c r="AL38" i="44" s="1"/>
  <c r="AL10" i="33" a="1"/>
  <c r="AL10" i="33" s="1"/>
  <c r="Z40" i="33" a="1"/>
  <c r="Z40" i="33" s="1"/>
  <c r="AJ30" i="43"/>
  <c r="H43" i="45" a="1"/>
  <c r="H43" i="45" s="1"/>
  <c r="I56" i="44" a="1"/>
  <c r="I56" i="44" s="1"/>
  <c r="Q65" i="33" a="1"/>
  <c r="Q65" i="33" s="1"/>
  <c r="R73" i="44" a="1"/>
  <c r="R73" i="44" s="1"/>
  <c r="AP66" i="47"/>
  <c r="AD97" i="45" a="1"/>
  <c r="AD97" i="45" s="1"/>
  <c r="R100" i="45" a="1"/>
  <c r="R100" i="45" s="1"/>
  <c r="AI31" i="44" a="1"/>
  <c r="AI31" i="44" s="1"/>
  <c r="AM53" i="44" a="1"/>
  <c r="AM53" i="44" s="1"/>
  <c r="AN10" i="46" a="1"/>
  <c r="AN10" i="46" s="1"/>
  <c r="AN95" i="43" a="1"/>
  <c r="AN95" i="43" s="1"/>
  <c r="O32" i="33" a="1"/>
  <c r="O32" i="33" s="1"/>
  <c r="S29" i="45" a="1"/>
  <c r="S29" i="45" s="1"/>
  <c r="AO77" i="47" a="1"/>
  <c r="AO77" i="47" s="1"/>
  <c r="F92" i="45" a="1"/>
  <c r="F92" i="45" s="1"/>
  <c r="S72" i="46"/>
  <c r="N10" i="33" a="1"/>
  <c r="N10" i="33" s="1"/>
  <c r="R23" i="44" a="1"/>
  <c r="R23" i="44" s="1"/>
  <c r="AR54" i="43"/>
  <c r="I83" i="43" a="1"/>
  <c r="I83" i="43" s="1"/>
  <c r="AN64" i="45" a="1"/>
  <c r="AN64" i="45" s="1"/>
  <c r="AI18" i="43"/>
  <c r="AF76" i="33" a="1"/>
  <c r="AF76" i="33" s="1"/>
  <c r="X85" i="44" a="1"/>
  <c r="X85" i="44" s="1"/>
  <c r="X52" i="33" a="1"/>
  <c r="X52" i="33" s="1"/>
  <c r="T38" i="33" a="1"/>
  <c r="T38" i="33" s="1"/>
  <c r="AF34" i="33" a="1"/>
  <c r="AF34" i="33" s="1"/>
  <c r="C61" i="42" a="1"/>
  <c r="C61" i="42" s="1"/>
  <c r="I68" i="33" a="1"/>
  <c r="I68" i="33" s="1"/>
  <c r="AO53" i="46" a="1"/>
  <c r="AO53" i="46" s="1"/>
  <c r="AD92" i="33" a="1"/>
  <c r="AD92" i="33" s="1"/>
  <c r="S74" i="44" a="1"/>
  <c r="S74" i="44" s="1"/>
  <c r="I44" i="33" a="1"/>
  <c r="I44" i="33" s="1"/>
  <c r="E64" i="33" a="1"/>
  <c r="E64" i="33" s="1"/>
  <c r="E63" i="33" s="1"/>
  <c r="AO31" i="46" a="1"/>
  <c r="AO31" i="46" s="1"/>
  <c r="AJ74" i="33" a="1"/>
  <c r="AJ74" i="33" s="1"/>
  <c r="AD68" i="33" a="1"/>
  <c r="AD68" i="33" s="1"/>
  <c r="AO73" i="46" a="1"/>
  <c r="AO73" i="46" s="1"/>
  <c r="AC23" i="45" a="1"/>
  <c r="AC23" i="45" s="1"/>
  <c r="C67" i="43" a="1"/>
  <c r="C67" i="43" s="1"/>
  <c r="Q45" i="47"/>
  <c r="AN64" i="47" a="1"/>
  <c r="AN64" i="47" s="1"/>
  <c r="S37" i="45" a="1"/>
  <c r="S37" i="45" s="1"/>
  <c r="J92" i="45" a="1"/>
  <c r="J92" i="45" s="1"/>
  <c r="AO71" i="46" a="1"/>
  <c r="AO71" i="46" s="1"/>
  <c r="C32" i="44" a="1"/>
  <c r="C32" i="44" s="1"/>
  <c r="L11" i="44" a="1"/>
  <c r="L11" i="44" s="1"/>
  <c r="AN37" i="44" a="1"/>
  <c r="AN37" i="44" s="1"/>
  <c r="U70" i="33" a="1"/>
  <c r="U70" i="33" s="1"/>
  <c r="G92" i="33" a="1"/>
  <c r="G92" i="33" s="1"/>
  <c r="O65" i="44" a="1"/>
  <c r="O65" i="44" s="1"/>
  <c r="O63" i="44" s="1"/>
  <c r="AP35" i="44" a="1"/>
  <c r="AP35" i="44" s="1"/>
  <c r="U90" i="47"/>
  <c r="Z98" i="44" a="1"/>
  <c r="Z98" i="44" s="1"/>
  <c r="J100" i="44" a="1"/>
  <c r="J100" i="44" s="1"/>
  <c r="AO11" i="33" a="1"/>
  <c r="AO11" i="33" s="1"/>
  <c r="C71" i="33" a="1"/>
  <c r="C71" i="33" s="1"/>
  <c r="A70" i="33" s="1"/>
  <c r="V51" i="41"/>
  <c r="AL79" i="33" a="1"/>
  <c r="AL79" i="33" s="1"/>
  <c r="O34" i="45" a="1"/>
  <c r="O34" i="45" s="1"/>
  <c r="AV32" i="46" a="1"/>
  <c r="AV32" i="46" s="1"/>
  <c r="AT9" i="41"/>
  <c r="X76" i="45" a="1"/>
  <c r="X76" i="45" s="1"/>
  <c r="AQ58" i="44" a="1"/>
  <c r="AQ58" i="44" s="1"/>
  <c r="X35" i="33" a="1"/>
  <c r="X35" i="33" s="1"/>
  <c r="I37" i="33" a="1"/>
  <c r="I37" i="33" s="1"/>
  <c r="W64" i="33" a="1"/>
  <c r="W64" i="33" s="1"/>
  <c r="S71" i="44" a="1"/>
  <c r="S71" i="44" s="1"/>
  <c r="E103" i="33" a="1"/>
  <c r="E103" i="33" s="1"/>
  <c r="AN68" i="33" a="1"/>
  <c r="AN68" i="33" s="1"/>
  <c r="T43" i="44" a="1"/>
  <c r="T43" i="44" s="1"/>
  <c r="N65" i="44" a="1"/>
  <c r="N65" i="44" s="1"/>
  <c r="J48" i="41"/>
  <c r="V74" i="33" a="1"/>
  <c r="V74" i="33" s="1"/>
  <c r="N69" i="41"/>
  <c r="AQ104" i="44" a="1"/>
  <c r="AQ104" i="44" s="1"/>
  <c r="Z41" i="45" a="1"/>
  <c r="Z41" i="45" s="1"/>
  <c r="AN74" i="44" a="1"/>
  <c r="AN74" i="44" s="1"/>
  <c r="K30" i="47"/>
  <c r="I28" i="46" a="1"/>
  <c r="I28" i="46" s="1"/>
  <c r="AC25" i="45" a="1"/>
  <c r="AC25" i="45" s="1"/>
  <c r="AN74" i="45" a="1"/>
  <c r="AN74" i="45" s="1"/>
  <c r="C65" i="46" a="1"/>
  <c r="C65" i="46" s="1"/>
  <c r="X91" i="33" a="1"/>
  <c r="X91" i="33" s="1"/>
  <c r="AN104" i="43" a="1"/>
  <c r="AN104" i="43" s="1"/>
  <c r="AR89" i="33" a="1"/>
  <c r="AR89" i="33" s="1"/>
  <c r="AB43" i="45" a="1"/>
  <c r="AB43" i="45" s="1"/>
  <c r="N74" i="33" a="1"/>
  <c r="N74" i="33" s="1"/>
  <c r="AE61" i="33" a="1"/>
  <c r="AE61" i="33" s="1"/>
  <c r="K70" i="33" a="1"/>
  <c r="K70" i="33" s="1"/>
  <c r="AP83" i="45" a="1"/>
  <c r="AP83" i="45" s="1"/>
  <c r="AP37" i="33" a="1"/>
  <c r="AP37" i="33" s="1"/>
  <c r="AC92" i="45" a="1"/>
  <c r="AC92" i="45" s="1"/>
  <c r="AC65" i="33" a="1"/>
  <c r="AC65" i="33" s="1"/>
  <c r="R70" i="44" a="1"/>
  <c r="R70" i="44" s="1"/>
  <c r="G68" i="45" a="1"/>
  <c r="G68" i="45" s="1"/>
  <c r="V15" i="41"/>
  <c r="AO68" i="41" a="1"/>
  <c r="AO68" i="41" s="1"/>
  <c r="T31" i="33" a="1"/>
  <c r="T31" i="33" s="1"/>
  <c r="C79" i="47" a="1"/>
  <c r="C79" i="47" s="1"/>
  <c r="AL43" i="33" a="1"/>
  <c r="AL43" i="33" s="1"/>
  <c r="AK34" i="45" a="1"/>
  <c r="AK34" i="45" s="1"/>
  <c r="AR76" i="44" a="1"/>
  <c r="AR76" i="44" s="1"/>
  <c r="L71" i="44" a="1"/>
  <c r="L71" i="44" s="1"/>
  <c r="R78" i="43"/>
  <c r="U101" i="45" a="1"/>
  <c r="U101" i="45" s="1"/>
  <c r="L61" i="45" a="1"/>
  <c r="L61" i="45" s="1"/>
  <c r="AH61" i="45" a="1"/>
  <c r="AH61" i="45" s="1"/>
  <c r="T89" i="45" a="1"/>
  <c r="T89" i="45" s="1"/>
  <c r="M17" i="33" a="1"/>
  <c r="M17" i="33" s="1"/>
  <c r="I37" i="47" a="1"/>
  <c r="I37" i="47" s="1"/>
  <c r="Y79" i="45" a="1"/>
  <c r="Y79" i="45" s="1"/>
  <c r="AB16" i="45" a="1"/>
  <c r="AB16" i="45" s="1"/>
  <c r="AB37" i="33" a="1"/>
  <c r="AB37" i="33" s="1"/>
  <c r="P103" i="44" a="1"/>
  <c r="P103" i="44" s="1"/>
  <c r="AE29" i="45" a="1"/>
  <c r="AE29" i="45" s="1"/>
  <c r="K104" i="45" a="1"/>
  <c r="K104" i="45" s="1"/>
  <c r="AU104" i="47" a="1"/>
  <c r="AU104" i="47" s="1"/>
  <c r="P88" i="45" a="1"/>
  <c r="P88" i="45" s="1"/>
  <c r="J16" i="45" a="1"/>
  <c r="J16" i="45" s="1"/>
  <c r="AH58" i="45" a="1"/>
  <c r="AH58" i="45" s="1"/>
  <c r="AO88" i="45" a="1"/>
  <c r="AO88" i="45" s="1"/>
  <c r="C77" i="33" a="1"/>
  <c r="C77" i="33" s="1"/>
  <c r="AC43" i="44" a="1"/>
  <c r="AC43" i="44" s="1"/>
  <c r="AA37" i="44" a="1"/>
  <c r="AA37" i="44" s="1"/>
  <c r="AO74" i="47" a="1"/>
  <c r="AO74" i="47" s="1"/>
  <c r="AE65" i="44" a="1"/>
  <c r="AE65" i="44" s="1"/>
  <c r="U60" i="47"/>
  <c r="J40" i="45" a="1"/>
  <c r="J40" i="45" s="1"/>
  <c r="T35" i="44" a="1"/>
  <c r="T35" i="44" s="1"/>
  <c r="F82" i="33" a="1"/>
  <c r="F82" i="33" s="1"/>
  <c r="N98" i="33" a="1"/>
  <c r="N98" i="33" s="1"/>
  <c r="V17" i="44" a="1"/>
  <c r="V17" i="44" s="1"/>
  <c r="V104" i="45" a="1"/>
  <c r="V104" i="45" s="1"/>
  <c r="P77" i="44" a="1"/>
  <c r="P77" i="44" s="1"/>
  <c r="M68" i="44" a="1"/>
  <c r="M68" i="44" s="1"/>
  <c r="AL58" i="33" a="1"/>
  <c r="AL58" i="33" s="1"/>
  <c r="AP77" i="44" a="1"/>
  <c r="AP77" i="44" s="1"/>
  <c r="AA91" i="44" a="1"/>
  <c r="AA91" i="44" s="1"/>
  <c r="K17" i="33" a="1"/>
  <c r="K17" i="33" s="1"/>
  <c r="AU85" i="43" a="1"/>
  <c r="AU85" i="43" s="1"/>
  <c r="W58" i="45" a="1"/>
  <c r="W58" i="45" s="1"/>
  <c r="P53" i="33" a="1"/>
  <c r="P53" i="33" s="1"/>
  <c r="AH104" i="45" a="1"/>
  <c r="AH104" i="45" s="1"/>
  <c r="Z29" i="44" a="1"/>
  <c r="Z29" i="44" s="1"/>
  <c r="AU77" i="43" a="1"/>
  <c r="AU77" i="43" s="1"/>
  <c r="AL47" i="33" a="1"/>
  <c r="AL47" i="33" s="1"/>
  <c r="R11" i="45" a="1"/>
  <c r="R11" i="45" s="1"/>
  <c r="C37" i="44" a="1"/>
  <c r="C37" i="44" s="1"/>
  <c r="X96" i="43"/>
  <c r="AA53" i="33" a="1"/>
  <c r="AA53" i="33" s="1"/>
  <c r="I35" i="47" a="1"/>
  <c r="I35" i="47" s="1"/>
  <c r="I33" i="47" s="1"/>
  <c r="V73" i="33" a="1"/>
  <c r="V73" i="33" s="1"/>
  <c r="C52" i="46" a="1"/>
  <c r="C52" i="46" s="1"/>
  <c r="O40" i="44" a="1"/>
  <c r="O40" i="44" s="1"/>
  <c r="AH41" i="44" a="1"/>
  <c r="AH41" i="44" s="1"/>
  <c r="AN56" i="45" a="1"/>
  <c r="AN56" i="45" s="1"/>
  <c r="AV61" i="47" a="1"/>
  <c r="AV61" i="47" s="1"/>
  <c r="G38" i="45" a="1"/>
  <c r="G38" i="45" s="1"/>
  <c r="C73" i="41" a="1"/>
  <c r="C73" i="41" s="1"/>
  <c r="AO47" i="43" a="1"/>
  <c r="AO47" i="43" s="1"/>
  <c r="I38" i="45" a="1"/>
  <c r="I38" i="45" s="1"/>
  <c r="AB64" i="33" a="1"/>
  <c r="AB64" i="33" s="1"/>
  <c r="AR55" i="44" a="1"/>
  <c r="AR55" i="44" s="1"/>
  <c r="AD16" i="44" a="1"/>
  <c r="AD16" i="44" s="1"/>
  <c r="AN80" i="44" a="1"/>
  <c r="AN80" i="44" s="1"/>
  <c r="Z98" i="33" a="1"/>
  <c r="Z98" i="33" s="1"/>
  <c r="V73" i="44" a="1"/>
  <c r="V73" i="44" s="1"/>
  <c r="AO94" i="41" a="1"/>
  <c r="AO94" i="41" s="1"/>
  <c r="AO76" i="45" a="1"/>
  <c r="AO76" i="45" s="1"/>
  <c r="AV74" i="43" a="1"/>
  <c r="AV74" i="43" s="1"/>
  <c r="AA25" i="33" a="1"/>
  <c r="AA25" i="33" s="1"/>
  <c r="AF34" i="45" a="1"/>
  <c r="AF34" i="45" s="1"/>
  <c r="Z103" i="33" a="1"/>
  <c r="Z103" i="33" s="1"/>
  <c r="I61" i="33" a="1"/>
  <c r="I61" i="33" s="1"/>
  <c r="AD91" i="44" a="1"/>
  <c r="AD91" i="44" s="1"/>
  <c r="AD90" i="44" s="1"/>
  <c r="E52" i="45" a="1"/>
  <c r="E52" i="45" s="1"/>
  <c r="AG88" i="44" a="1"/>
  <c r="AG88" i="44" s="1"/>
  <c r="AD77" i="45" a="1"/>
  <c r="AD77" i="45" s="1"/>
  <c r="C46" i="46" a="1"/>
  <c r="C46" i="46" s="1"/>
  <c r="AE30" i="47"/>
  <c r="AE85" i="33" a="1"/>
  <c r="AE85" i="33" s="1"/>
  <c r="C52" i="42" a="1"/>
  <c r="C52" i="42" s="1"/>
  <c r="A52" i="42" s="1"/>
  <c r="AN85" i="33" a="1"/>
  <c r="AN85" i="33" s="1"/>
  <c r="E55" i="45" a="1"/>
  <c r="E55" i="45" s="1"/>
  <c r="AU80" i="47" a="1"/>
  <c r="AU80" i="47" s="1"/>
  <c r="AC29" i="44" a="1"/>
  <c r="AC29" i="44" s="1"/>
  <c r="AD29" i="44" a="1"/>
  <c r="AD29" i="44" s="1"/>
  <c r="AF100" i="33" a="1"/>
  <c r="AF100" i="33" s="1"/>
  <c r="Z73" i="45" a="1"/>
  <c r="Z73" i="45" s="1"/>
  <c r="F38" i="33" a="1"/>
  <c r="F38" i="33" s="1"/>
  <c r="AF16" i="45" a="1"/>
  <c r="AF16" i="45" s="1"/>
  <c r="AB83" i="33" a="1"/>
  <c r="AB83" i="33" s="1"/>
  <c r="G100" i="45" a="1"/>
  <c r="G100" i="45" s="1"/>
  <c r="L35" i="44" a="1"/>
  <c r="L35" i="44" s="1"/>
  <c r="AN19" i="46" a="1"/>
  <c r="AN19" i="46" s="1"/>
  <c r="Q37" i="44" a="1"/>
  <c r="Q37" i="44" s="1"/>
  <c r="M79" i="33" a="1"/>
  <c r="M79" i="33" s="1"/>
  <c r="F64" i="45" a="1"/>
  <c r="F64" i="45" s="1"/>
  <c r="R25" i="44" a="1"/>
  <c r="R25" i="44" s="1"/>
  <c r="AM59" i="45" a="1"/>
  <c r="AM59" i="45" s="1"/>
  <c r="H49" i="33" a="1"/>
  <c r="H49" i="33" s="1"/>
  <c r="H48" i="33" s="1"/>
  <c r="R54" i="47"/>
  <c r="C10" i="42" a="1"/>
  <c r="C10" i="42" s="1"/>
  <c r="M92" i="45" a="1"/>
  <c r="M92" i="45" s="1"/>
  <c r="AJ57" i="47"/>
  <c r="AA74" i="45" a="1"/>
  <c r="AA74" i="45" s="1"/>
  <c r="AN50" i="33" a="1"/>
  <c r="AN50" i="33" s="1"/>
  <c r="I95" i="43" a="1"/>
  <c r="I95" i="43" s="1"/>
  <c r="AU59" i="46" a="1"/>
  <c r="AU59" i="46" s="1"/>
  <c r="AG42" i="43"/>
  <c r="AK34" i="44" a="1"/>
  <c r="AK34" i="44" s="1"/>
  <c r="AI43" i="33" a="1"/>
  <c r="AI43" i="33" s="1"/>
  <c r="AB40" i="44" a="1"/>
  <c r="AB40" i="44" s="1"/>
  <c r="P38" i="45" a="1"/>
  <c r="P38" i="45" s="1"/>
  <c r="M89" i="44" a="1"/>
  <c r="M89" i="44" s="1"/>
  <c r="AM58" i="33" a="1"/>
  <c r="AM58" i="33" s="1"/>
  <c r="AQ80" i="45" a="1"/>
  <c r="AQ80" i="45" s="1"/>
  <c r="I55" i="47" a="1"/>
  <c r="I55" i="47" s="1"/>
  <c r="G79" i="45" a="1"/>
  <c r="G79" i="45" s="1"/>
  <c r="R16" i="44" a="1"/>
  <c r="R16" i="44" s="1"/>
  <c r="I97" i="44" a="1"/>
  <c r="I97" i="44" s="1"/>
  <c r="O58" i="45" a="1"/>
  <c r="O58" i="45" s="1"/>
  <c r="AA65" i="44" a="1"/>
  <c r="AA65" i="44" s="1"/>
  <c r="S22" i="44" a="1"/>
  <c r="S22" i="44" s="1"/>
  <c r="AV95" i="46" a="1"/>
  <c r="AV95" i="46" s="1"/>
  <c r="AV93" i="46" s="1"/>
  <c r="T53" i="45" a="1"/>
  <c r="T53" i="45" s="1"/>
  <c r="AV22" i="46" a="1"/>
  <c r="AV22" i="46" s="1"/>
  <c r="AM97" i="44" a="1"/>
  <c r="AM97" i="44" s="1"/>
  <c r="AK76" i="44" a="1"/>
  <c r="AK76" i="44" s="1"/>
  <c r="AK75" i="44" s="1"/>
  <c r="W49" i="33" a="1"/>
  <c r="W49" i="33" s="1"/>
  <c r="AL83" i="45" a="1"/>
  <c r="AL83" i="45" s="1"/>
  <c r="AL81" i="45" s="1"/>
  <c r="U26" i="33" a="1"/>
  <c r="U26" i="33" s="1"/>
  <c r="K29" i="45" a="1"/>
  <c r="K29" i="45" s="1"/>
  <c r="M96" i="41"/>
  <c r="AV54" i="47"/>
  <c r="AP96" i="47"/>
  <c r="T39" i="41"/>
  <c r="C17" i="45" a="1"/>
  <c r="C17" i="45" s="1"/>
  <c r="I98" i="45" a="1"/>
  <c r="I98" i="45" s="1"/>
  <c r="Y41" i="33" a="1"/>
  <c r="Y41" i="33" s="1"/>
  <c r="AO92" i="41" a="1"/>
  <c r="AO92" i="41" s="1"/>
  <c r="I26" i="44" a="1"/>
  <c r="I26" i="44" s="1"/>
  <c r="C34" i="43" a="1"/>
  <c r="C34" i="43" s="1"/>
  <c r="Z59" i="33" a="1"/>
  <c r="Z59" i="33" s="1"/>
  <c r="AQ89" i="44" a="1"/>
  <c r="AQ89" i="44" s="1"/>
  <c r="Q89" i="33" a="1"/>
  <c r="Q89" i="33" s="1"/>
  <c r="AJ58" i="33" a="1"/>
  <c r="AJ58" i="33" s="1"/>
  <c r="L59" i="45" a="1"/>
  <c r="L59" i="45" s="1"/>
  <c r="AF18" i="43"/>
  <c r="O89" i="33" a="1"/>
  <c r="O89" i="33" s="1"/>
  <c r="AJ50" i="33" a="1"/>
  <c r="AJ50" i="33" s="1"/>
  <c r="AG11" i="45" a="1"/>
  <c r="AG11" i="45" s="1"/>
  <c r="C97" i="44" a="1"/>
  <c r="C97" i="44" s="1"/>
  <c r="AB42" i="43"/>
  <c r="S90" i="46"/>
  <c r="V10" i="33" a="1"/>
  <c r="V10" i="33" s="1"/>
  <c r="Y46" i="45" a="1"/>
  <c r="Y46" i="45" s="1"/>
  <c r="E71" i="33" a="1"/>
  <c r="E71" i="33" s="1"/>
  <c r="J88" i="44" a="1"/>
  <c r="J88" i="44" s="1"/>
  <c r="AK41" i="44" a="1"/>
  <c r="AK41" i="44" s="1"/>
  <c r="I76" i="46" a="1"/>
  <c r="I76" i="46" s="1"/>
  <c r="AL73" i="33" a="1"/>
  <c r="AL73" i="33" s="1"/>
  <c r="Z11" i="33" a="1"/>
  <c r="Z11" i="33" s="1"/>
  <c r="U76" i="45" a="1"/>
  <c r="U76" i="45" s="1"/>
  <c r="S68" i="33" a="1"/>
  <c r="S68" i="33" s="1"/>
  <c r="G22" i="45" a="1"/>
  <c r="G22" i="45" s="1"/>
  <c r="AE81" i="41"/>
  <c r="AF46" i="45" a="1"/>
  <c r="AF46" i="45" s="1"/>
  <c r="F28" i="45" a="1"/>
  <c r="F28" i="45" s="1"/>
  <c r="W20" i="44" a="1"/>
  <c r="W20" i="44" s="1"/>
  <c r="P92" i="33" a="1"/>
  <c r="P92" i="33" s="1"/>
  <c r="AO95" i="43" a="1"/>
  <c r="AO95" i="43" s="1"/>
  <c r="P47" i="33" a="1"/>
  <c r="P47" i="33" s="1"/>
  <c r="M47" i="45" a="1"/>
  <c r="M47" i="45" s="1"/>
  <c r="AB25" i="33" a="1"/>
  <c r="AB25" i="33" s="1"/>
  <c r="AB24" i="33" s="1"/>
  <c r="M23" i="33" a="1"/>
  <c r="M23" i="33" s="1"/>
  <c r="AD70" i="33" a="1"/>
  <c r="AD70" i="33" s="1"/>
  <c r="W50" i="33" a="1"/>
  <c r="W50" i="33" s="1"/>
  <c r="C23" i="33" a="1"/>
  <c r="C23" i="33" s="1"/>
  <c r="G62" i="33" a="1"/>
  <c r="G62" i="33" s="1"/>
  <c r="AI104" i="45" a="1"/>
  <c r="AI104" i="45" s="1"/>
  <c r="F94" i="45" a="1"/>
  <c r="F94" i="45" s="1"/>
  <c r="G59" i="44" a="1"/>
  <c r="G59" i="44" s="1"/>
  <c r="AM58" i="45" a="1"/>
  <c r="AM58" i="45" s="1"/>
  <c r="AG20" i="44" a="1"/>
  <c r="AG20" i="44" s="1"/>
  <c r="Q23" i="45" a="1"/>
  <c r="Q23" i="45" s="1"/>
  <c r="AA40" i="33" a="1"/>
  <c r="AA40" i="33" s="1"/>
  <c r="J35" i="44" a="1"/>
  <c r="J35" i="44" s="1"/>
  <c r="S73" i="45" a="1"/>
  <c r="S73" i="45" s="1"/>
  <c r="AL25" i="33" a="1"/>
  <c r="AL25" i="33" s="1"/>
  <c r="AC80" i="44" a="1"/>
  <c r="AC80" i="44" s="1"/>
  <c r="X43" i="44" a="1"/>
  <c r="X43" i="44" s="1"/>
  <c r="P100" i="44" a="1"/>
  <c r="P100" i="44" s="1"/>
  <c r="G77" i="33" a="1"/>
  <c r="G77" i="33" s="1"/>
  <c r="Z23" i="44" a="1"/>
  <c r="Z23" i="44" s="1"/>
  <c r="AA94" i="45" a="1"/>
  <c r="AA94" i="45" s="1"/>
  <c r="G62" i="45" a="1"/>
  <c r="G62" i="45" s="1"/>
  <c r="R22" i="33" a="1"/>
  <c r="R22" i="33" s="1"/>
  <c r="C44" i="47" a="1"/>
  <c r="C44" i="47" s="1"/>
  <c r="W55" i="45" a="1"/>
  <c r="W55" i="45" s="1"/>
  <c r="Q20" i="45" a="1"/>
  <c r="Q20" i="45" s="1"/>
  <c r="I97" i="45" a="1"/>
  <c r="I97" i="45" s="1"/>
  <c r="AF104" i="33" a="1"/>
  <c r="AF104" i="33" s="1"/>
  <c r="W100" i="45" a="1"/>
  <c r="W100" i="45" s="1"/>
  <c r="T61" i="44" a="1"/>
  <c r="T61" i="44" s="1"/>
  <c r="AD61" i="33" a="1"/>
  <c r="AD61" i="33" s="1"/>
  <c r="N79" i="44" a="1"/>
  <c r="N79" i="44" s="1"/>
  <c r="AM32" i="45" a="1"/>
  <c r="AM32" i="45" s="1"/>
  <c r="K35" i="44" a="1"/>
  <c r="K35" i="44" s="1"/>
  <c r="H68" i="44" a="1"/>
  <c r="H68" i="44" s="1"/>
  <c r="P56" i="33" a="1"/>
  <c r="P56" i="33" s="1"/>
  <c r="V97" i="33" a="1"/>
  <c r="V97" i="33" s="1"/>
  <c r="AE84" i="43"/>
  <c r="J79" i="44" a="1"/>
  <c r="J79" i="44" s="1"/>
  <c r="AF16" i="33" a="1"/>
  <c r="AF16" i="33" s="1"/>
  <c r="AN28" i="33" a="1"/>
  <c r="AN28" i="33" s="1"/>
  <c r="AN27" i="33" s="1"/>
  <c r="R62" i="44" a="1"/>
  <c r="R62" i="44" s="1"/>
  <c r="AN37" i="46" a="1"/>
  <c r="AN37" i="46" s="1"/>
  <c r="F52" i="33" a="1"/>
  <c r="F52" i="33" s="1"/>
  <c r="Y96" i="41"/>
  <c r="AT39" i="41"/>
  <c r="R53" i="33" a="1"/>
  <c r="R53" i="33" s="1"/>
  <c r="T79" i="45" a="1"/>
  <c r="T79" i="45" s="1"/>
  <c r="AN94" i="41" a="1"/>
  <c r="AN94" i="41" s="1"/>
  <c r="V32" i="44" a="1"/>
  <c r="V32" i="44" s="1"/>
  <c r="V30" i="44" s="1"/>
  <c r="AQ53" i="33" a="1"/>
  <c r="AQ53" i="33" s="1"/>
  <c r="Z55" i="44" a="1"/>
  <c r="Z55" i="44" s="1"/>
  <c r="Z54" i="44" s="1"/>
  <c r="C92" i="43" a="1"/>
  <c r="C92" i="43" s="1"/>
  <c r="AQ64" i="45" a="1"/>
  <c r="AQ64" i="45" s="1"/>
  <c r="AS78" i="46"/>
  <c r="I52" i="46" a="1"/>
  <c r="I52" i="46" s="1"/>
  <c r="T17" i="33" a="1"/>
  <c r="T17" i="33" s="1"/>
  <c r="K31" i="33" a="1"/>
  <c r="K31" i="33" s="1"/>
  <c r="J88" i="33" a="1"/>
  <c r="J88" i="33" s="1"/>
  <c r="AV71" i="46" a="1"/>
  <c r="AV71" i="46" s="1"/>
  <c r="AI67" i="33" a="1"/>
  <c r="AI67" i="33" s="1"/>
  <c r="AN25" i="44" a="1"/>
  <c r="AN25" i="44" s="1"/>
  <c r="AK73" i="45" a="1"/>
  <c r="AK73" i="45" s="1"/>
  <c r="AP60" i="46"/>
  <c r="AP28" i="33" a="1"/>
  <c r="AP28" i="33" s="1"/>
  <c r="M43" i="45" a="1"/>
  <c r="M43" i="45" s="1"/>
  <c r="O44" i="44" a="1"/>
  <c r="O44" i="44" s="1"/>
  <c r="P57" i="46"/>
  <c r="I103" i="44" a="1"/>
  <c r="I103" i="44" s="1"/>
  <c r="Z31" i="44" a="1"/>
  <c r="Z31" i="44" s="1"/>
  <c r="AQ73" i="45" a="1"/>
  <c r="AQ73" i="45" s="1"/>
  <c r="C56" i="45" a="1"/>
  <c r="C56" i="45" s="1"/>
  <c r="AJ9" i="43"/>
  <c r="S35" i="44" a="1"/>
  <c r="S35" i="44" s="1"/>
  <c r="AB92" i="45" a="1"/>
  <c r="AB92" i="45" s="1"/>
  <c r="AV49" i="41" a="1"/>
  <c r="AV49" i="41" s="1"/>
  <c r="AV77" i="46" a="1"/>
  <c r="AV77" i="46" s="1"/>
  <c r="AV79" i="41" a="1"/>
  <c r="AV79" i="41" s="1"/>
  <c r="L42" i="46"/>
  <c r="W95" i="44" a="1"/>
  <c r="W95" i="44" s="1"/>
  <c r="AP31" i="33" a="1"/>
  <c r="AP31" i="33" s="1"/>
  <c r="AR70" i="33" a="1"/>
  <c r="AR70" i="33" s="1"/>
  <c r="C31" i="42" a="1"/>
  <c r="C31" i="42" s="1"/>
  <c r="U40" i="33" a="1"/>
  <c r="U40" i="33" s="1"/>
  <c r="K86" i="33" a="1"/>
  <c r="K86" i="33" s="1"/>
  <c r="K43" i="45" a="1"/>
  <c r="K43" i="45" s="1"/>
  <c r="AH104" i="44" a="1"/>
  <c r="AH104" i="44" s="1"/>
  <c r="Y17" i="45" a="1"/>
  <c r="Y17" i="45" s="1"/>
  <c r="AU53" i="47" a="1"/>
  <c r="AU53" i="47" s="1"/>
  <c r="AE91" i="44" a="1"/>
  <c r="AE91" i="44" s="1"/>
  <c r="AU100" i="43" a="1"/>
  <c r="AU100" i="43" s="1"/>
  <c r="AQ56" i="44" a="1"/>
  <c r="AQ56" i="44" s="1"/>
  <c r="AD64" i="44" a="1"/>
  <c r="AD64" i="44" s="1"/>
  <c r="AC49" i="44" a="1"/>
  <c r="AC49" i="44" s="1"/>
  <c r="AR54" i="41"/>
  <c r="I47" i="33" a="1"/>
  <c r="I47" i="33" s="1"/>
  <c r="C73" i="42" a="1"/>
  <c r="C73" i="42" s="1"/>
  <c r="I64" i="47" a="1"/>
  <c r="I64" i="47" s="1"/>
  <c r="V101" i="45" a="1"/>
  <c r="V101" i="45" s="1"/>
  <c r="AR25" i="33" a="1"/>
  <c r="AR25" i="33" s="1"/>
  <c r="I31" i="33" a="1"/>
  <c r="I31" i="33" s="1"/>
  <c r="E73" i="45" a="1"/>
  <c r="E73" i="45" s="1"/>
  <c r="E72" i="45" s="1"/>
  <c r="AG92" i="45" a="1"/>
  <c r="AG92" i="45" s="1"/>
  <c r="S20" i="45" a="1"/>
  <c r="S20" i="45" s="1"/>
  <c r="AN62" i="33" a="1"/>
  <c r="AN62" i="33" s="1"/>
  <c r="AG31" i="44" a="1"/>
  <c r="AG31" i="44" s="1"/>
  <c r="T44" i="44" a="1"/>
  <c r="T44" i="44" s="1"/>
  <c r="AM74" i="45" a="1"/>
  <c r="AM74" i="45" s="1"/>
  <c r="AN31" i="41" a="1"/>
  <c r="AN31" i="41" s="1"/>
  <c r="AO19" i="47" a="1"/>
  <c r="AO19" i="47" s="1"/>
  <c r="AQ59" i="45" a="1"/>
  <c r="AQ59" i="45" s="1"/>
  <c r="AN31" i="47" a="1"/>
  <c r="AN31" i="47" s="1"/>
  <c r="AP89" i="45" a="1"/>
  <c r="AP89" i="45" s="1"/>
  <c r="U34" i="45" a="1"/>
  <c r="U34" i="45" s="1"/>
  <c r="AK26" i="45" a="1"/>
  <c r="AK26" i="45" s="1"/>
  <c r="C71" i="41" a="1"/>
  <c r="C71" i="41" s="1"/>
  <c r="AU19" i="46" a="1"/>
  <c r="AU19" i="46" s="1"/>
  <c r="AJ20" i="33" a="1"/>
  <c r="AJ20" i="33" s="1"/>
  <c r="AN65" i="46" a="1"/>
  <c r="AN65" i="46" s="1"/>
  <c r="Y43" i="44" a="1"/>
  <c r="Y43" i="44" s="1"/>
  <c r="AI86" i="44" a="1"/>
  <c r="AI86" i="44" s="1"/>
  <c r="AG47" i="45" a="1"/>
  <c r="AG47" i="45" s="1"/>
  <c r="U92" i="45" a="1"/>
  <c r="U92" i="45" s="1"/>
  <c r="AG38" i="33" a="1"/>
  <c r="AG38" i="33" s="1"/>
  <c r="O50" i="33" a="1"/>
  <c r="O50" i="33" s="1"/>
  <c r="V34" i="45" a="1"/>
  <c r="V34" i="45" s="1"/>
  <c r="V33" i="45" s="1"/>
  <c r="S83" i="44" a="1"/>
  <c r="S83" i="44" s="1"/>
  <c r="AF86" i="44" a="1"/>
  <c r="AF86" i="44" s="1"/>
  <c r="AM73" i="44" a="1"/>
  <c r="AM73" i="44" s="1"/>
  <c r="P71" i="45" a="1"/>
  <c r="P71" i="45" s="1"/>
  <c r="AL19" i="33" a="1"/>
  <c r="AL19" i="33" s="1"/>
  <c r="X80" i="45" a="1"/>
  <c r="X80" i="45" s="1"/>
  <c r="C53" i="47" a="1"/>
  <c r="C53" i="47" s="1"/>
  <c r="AU55" i="41" a="1"/>
  <c r="AU55" i="41" s="1"/>
  <c r="C86" i="33" a="1"/>
  <c r="C86" i="33" s="1"/>
  <c r="P44" i="44" a="1"/>
  <c r="P44" i="44" s="1"/>
  <c r="AE24" i="41"/>
  <c r="I100" i="44" a="1"/>
  <c r="I100" i="44" s="1"/>
  <c r="C70" i="43" a="1"/>
  <c r="C70" i="43" s="1"/>
  <c r="A70" i="43" s="1"/>
  <c r="Z52" i="45" a="1"/>
  <c r="Z52" i="45" s="1"/>
  <c r="AC68" i="44" a="1"/>
  <c r="AC68" i="44" s="1"/>
  <c r="AA53" i="45" a="1"/>
  <c r="AA53" i="45" s="1"/>
  <c r="M20" i="33" a="1"/>
  <c r="M20" i="33" s="1"/>
  <c r="AL32" i="33" a="1"/>
  <c r="AL32" i="33" s="1"/>
  <c r="L29" i="45" a="1"/>
  <c r="L29" i="45" s="1"/>
  <c r="K23" i="44" a="1"/>
  <c r="K23" i="44" s="1"/>
  <c r="I32" i="45" a="1"/>
  <c r="I32" i="45" s="1"/>
  <c r="AU98" i="41" a="1"/>
  <c r="AU98" i="41" s="1"/>
  <c r="AO64" i="45" a="1"/>
  <c r="AO64" i="45" s="1"/>
  <c r="R91" i="33" a="1"/>
  <c r="R91" i="33" s="1"/>
  <c r="N74" i="45" a="1"/>
  <c r="N74" i="45" s="1"/>
  <c r="AO70" i="45" a="1"/>
  <c r="AO70" i="45" s="1"/>
  <c r="T46" i="33" a="1"/>
  <c r="T46" i="33" s="1"/>
  <c r="AG91" i="33" a="1"/>
  <c r="AG91" i="33" s="1"/>
  <c r="AI79" i="44" a="1"/>
  <c r="AI79" i="44" s="1"/>
  <c r="J24" i="47"/>
  <c r="AN53" i="47" a="1"/>
  <c r="AN53" i="47" s="1"/>
  <c r="AU85" i="41" a="1"/>
  <c r="AU85" i="41" s="1"/>
  <c r="I74" i="43" a="1"/>
  <c r="I74" i="43" s="1"/>
  <c r="AR55" i="45" a="1"/>
  <c r="AR55" i="45" s="1"/>
  <c r="Q86" i="44" a="1"/>
  <c r="Q86" i="44" s="1"/>
  <c r="AH23" i="45" a="1"/>
  <c r="AH23" i="45" s="1"/>
  <c r="AO98" i="44" a="1"/>
  <c r="AO98" i="44" s="1"/>
  <c r="AC38" i="45" a="1"/>
  <c r="AC38" i="45" s="1"/>
  <c r="AD63" i="47"/>
  <c r="E104" i="44" a="1"/>
  <c r="E104" i="44" s="1"/>
  <c r="K34" i="45" a="1"/>
  <c r="K34" i="45" s="1"/>
  <c r="AJ100" i="33" a="1"/>
  <c r="AJ100" i="33" s="1"/>
  <c r="H65" i="45" a="1"/>
  <c r="H65" i="45" s="1"/>
  <c r="AV46" i="46" a="1"/>
  <c r="AV46" i="46" s="1"/>
  <c r="AU94" i="47" a="1"/>
  <c r="AU94" i="47" s="1"/>
  <c r="AL55" i="33" a="1"/>
  <c r="AL55" i="33" s="1"/>
  <c r="Y80" i="33" a="1"/>
  <c r="Y80" i="33" s="1"/>
  <c r="AA58" i="45" a="1"/>
  <c r="AA58" i="45" s="1"/>
  <c r="Z65" i="45" a="1"/>
  <c r="Z65" i="45" s="1"/>
  <c r="C95" i="45" a="1"/>
  <c r="C95" i="45" s="1"/>
  <c r="AM47" i="33" a="1"/>
  <c r="AM47" i="33" s="1"/>
  <c r="F53" i="45" a="1"/>
  <c r="F53" i="45" s="1"/>
  <c r="F55" i="45" a="1"/>
  <c r="F55" i="45" s="1"/>
  <c r="P38" i="44" a="1"/>
  <c r="P38" i="44" s="1"/>
  <c r="N59" i="45" a="1"/>
  <c r="N59" i="45" s="1"/>
  <c r="AG87" i="47"/>
  <c r="N50" i="44" a="1"/>
  <c r="N50" i="44" s="1"/>
  <c r="AP27" i="47"/>
  <c r="AO73" i="41" a="1"/>
  <c r="AO73" i="41" s="1"/>
  <c r="AQ101" i="45" a="1"/>
  <c r="AQ101" i="45" s="1"/>
  <c r="AC60" i="46"/>
  <c r="L58" i="33" a="1"/>
  <c r="L58" i="33" s="1"/>
  <c r="F83" i="44" a="1"/>
  <c r="F83" i="44" s="1"/>
  <c r="AA85" i="45" a="1"/>
  <c r="AA85" i="45" s="1"/>
  <c r="AC79" i="45" a="1"/>
  <c r="AC79" i="45" s="1"/>
  <c r="AJ17" i="44" a="1"/>
  <c r="AJ17" i="44" s="1"/>
  <c r="AM67" i="45" a="1"/>
  <c r="AM67" i="45" s="1"/>
  <c r="Z11" i="44" a="1"/>
  <c r="Z11" i="44" s="1"/>
  <c r="X45" i="41"/>
  <c r="X83" i="33" a="1"/>
  <c r="X83" i="33" s="1"/>
  <c r="AL41" i="45" a="1"/>
  <c r="AL41" i="45" s="1"/>
  <c r="C53" i="46" a="1"/>
  <c r="C53" i="46" s="1"/>
  <c r="H28" i="45" a="1"/>
  <c r="H28" i="45" s="1"/>
  <c r="C55" i="46" a="1"/>
  <c r="C55" i="46" s="1"/>
  <c r="G50" i="44" a="1"/>
  <c r="G50" i="44" s="1"/>
  <c r="T37" i="33" a="1"/>
  <c r="T37" i="33" s="1"/>
  <c r="AN46" i="43" a="1"/>
  <c r="AN46" i="43" s="1"/>
  <c r="AC17" i="33" a="1"/>
  <c r="AC17" i="33" s="1"/>
  <c r="X74" i="45" a="1"/>
  <c r="X74" i="45" s="1"/>
  <c r="AL59" i="44" a="1"/>
  <c r="AL59" i="44" s="1"/>
  <c r="I100" i="45" a="1"/>
  <c r="I100" i="45" s="1"/>
  <c r="N41" i="33" a="1"/>
  <c r="N41" i="33" s="1"/>
  <c r="AF11" i="44" a="1"/>
  <c r="AF11" i="44" s="1"/>
  <c r="O98" i="33" a="1"/>
  <c r="O98" i="33" s="1"/>
  <c r="K46" i="45" a="1"/>
  <c r="K46" i="45" s="1"/>
  <c r="E40" i="33" a="1"/>
  <c r="E40" i="33" s="1"/>
  <c r="AL62" i="45" a="1"/>
  <c r="AL62" i="45" s="1"/>
  <c r="AJ100" i="44" a="1"/>
  <c r="AJ100" i="44" s="1"/>
  <c r="W104" i="45" a="1"/>
  <c r="W104" i="45" s="1"/>
  <c r="Q103" i="33" a="1"/>
  <c r="Q103" i="33" s="1"/>
  <c r="R98" i="44" a="1"/>
  <c r="R98" i="44" s="1"/>
  <c r="AU43" i="43" a="1"/>
  <c r="AU43" i="43" s="1"/>
  <c r="AO38" i="43" a="1"/>
  <c r="AO38" i="43" s="1"/>
  <c r="H88" i="33" a="1"/>
  <c r="H88" i="33" s="1"/>
  <c r="Y65" i="45" a="1"/>
  <c r="Y65" i="45" s="1"/>
  <c r="AO92" i="45" a="1"/>
  <c r="AO92" i="45" s="1"/>
  <c r="N83" i="33" a="1"/>
  <c r="N83" i="33" s="1"/>
  <c r="E17" i="44" a="1"/>
  <c r="E17" i="44" s="1"/>
  <c r="AN103" i="47" a="1"/>
  <c r="AN103" i="47" s="1"/>
  <c r="K58" i="45" a="1"/>
  <c r="K58" i="45" s="1"/>
  <c r="AM53" i="33" a="1"/>
  <c r="AM53" i="33" s="1"/>
  <c r="C100" i="47" a="1"/>
  <c r="C100" i="47" s="1"/>
  <c r="Q97" i="45" a="1"/>
  <c r="Q97" i="45" s="1"/>
  <c r="O70" i="33" a="1"/>
  <c r="O70" i="33" s="1"/>
  <c r="O69" i="33" s="1"/>
  <c r="M17" i="45" a="1"/>
  <c r="M17" i="45" s="1"/>
  <c r="Q87" i="47"/>
  <c r="AL44" i="33" a="1"/>
  <c r="AL44" i="33" s="1"/>
  <c r="I77" i="44" a="1"/>
  <c r="I77" i="44" s="1"/>
  <c r="AN71" i="44" a="1"/>
  <c r="AN71" i="44" s="1"/>
  <c r="C46" i="41" a="1"/>
  <c r="C46" i="41" s="1"/>
  <c r="A46" i="41" s="1"/>
  <c r="I94" i="41" a="1"/>
  <c r="I94" i="41" s="1"/>
  <c r="I85" i="33" a="1"/>
  <c r="I85" i="33" s="1"/>
  <c r="U73" i="44" a="1"/>
  <c r="U73" i="44" s="1"/>
  <c r="V46" i="44" a="1"/>
  <c r="V46" i="44" s="1"/>
  <c r="AL40" i="45" a="1"/>
  <c r="AL40" i="45" s="1"/>
  <c r="C43" i="43" a="1"/>
  <c r="C43" i="43" s="1"/>
  <c r="AL77" i="45" a="1"/>
  <c r="AL77" i="45" s="1"/>
  <c r="AK82" i="33" a="1"/>
  <c r="AK82" i="33" s="1"/>
  <c r="AU91" i="43" a="1"/>
  <c r="AU91" i="43" s="1"/>
  <c r="AC76" i="44" a="1"/>
  <c r="AC76" i="44" s="1"/>
  <c r="AD79" i="45" a="1"/>
  <c r="AD79" i="45" s="1"/>
  <c r="AQ83" i="44" a="1"/>
  <c r="AQ83" i="44" s="1"/>
  <c r="AO88" i="44" a="1"/>
  <c r="AO88" i="44" s="1"/>
  <c r="AL89" i="44" a="1"/>
  <c r="AL89" i="44" s="1"/>
  <c r="Q77" i="45" a="1"/>
  <c r="Q77" i="45" s="1"/>
  <c r="I61" i="41" a="1"/>
  <c r="I61" i="41" s="1"/>
  <c r="AE11" i="33" a="1"/>
  <c r="AE11" i="33" s="1"/>
  <c r="AA29" i="33" a="1"/>
  <c r="AA29" i="33" s="1"/>
  <c r="AP64" i="33" a="1"/>
  <c r="AP64" i="33" s="1"/>
  <c r="AL76" i="45" a="1"/>
  <c r="AL76" i="45" s="1"/>
  <c r="AK83" i="33" a="1"/>
  <c r="AK83" i="33" s="1"/>
  <c r="F91" i="33" a="1"/>
  <c r="F91" i="33" s="1"/>
  <c r="I97" i="33" a="1"/>
  <c r="I97" i="33" s="1"/>
  <c r="AM63" i="41"/>
  <c r="V92" i="44" a="1"/>
  <c r="V92" i="44" s="1"/>
  <c r="K67" i="45" a="1"/>
  <c r="K67" i="45" s="1"/>
  <c r="AP97" i="44" a="1"/>
  <c r="AP97" i="44" s="1"/>
  <c r="I91" i="44" a="1"/>
  <c r="I91" i="44" s="1"/>
  <c r="AN44" i="47" a="1"/>
  <c r="AN44" i="47" s="1"/>
  <c r="AN42" i="47" s="1"/>
  <c r="E61" i="45" a="1"/>
  <c r="E61" i="45" s="1"/>
  <c r="AR43" i="44" a="1"/>
  <c r="AR43" i="44" s="1"/>
  <c r="AF68" i="44" a="1"/>
  <c r="AF68" i="44" s="1"/>
  <c r="Q35" i="45" a="1"/>
  <c r="Q35" i="45" s="1"/>
  <c r="AP95" i="45" a="1"/>
  <c r="AP95" i="45" s="1"/>
  <c r="U49" i="45" a="1"/>
  <c r="U49" i="45" s="1"/>
  <c r="Y49" i="45" a="1"/>
  <c r="Y49" i="45" s="1"/>
  <c r="Y48" i="45" s="1"/>
  <c r="AG68" i="45" a="1"/>
  <c r="AG68" i="45" s="1"/>
  <c r="H41" i="44" a="1"/>
  <c r="H41" i="44" s="1"/>
  <c r="N31" i="33" a="1"/>
  <c r="N31" i="33" s="1"/>
  <c r="AO71" i="33" a="1"/>
  <c r="AO71" i="33" s="1"/>
  <c r="AB63" i="46"/>
  <c r="I77" i="43" a="1"/>
  <c r="I77" i="43" s="1"/>
  <c r="N55" i="45" a="1"/>
  <c r="N55" i="45" s="1"/>
  <c r="C58" i="33" a="1"/>
  <c r="C58" i="33" s="1"/>
  <c r="AL20" i="33" a="1"/>
  <c r="AL20" i="33" s="1"/>
  <c r="U37" i="44" a="1"/>
  <c r="U37" i="44" s="1"/>
  <c r="P19" i="33" a="1"/>
  <c r="P19" i="33" s="1"/>
  <c r="T10" i="44" a="1"/>
  <c r="T10" i="44" s="1"/>
  <c r="G100" i="44" a="1"/>
  <c r="G100" i="44" s="1"/>
  <c r="AL104" i="33" a="1"/>
  <c r="AL104" i="33" s="1"/>
  <c r="AQ85" i="44" a="1"/>
  <c r="AQ85" i="44" s="1"/>
  <c r="AI41" i="33" a="1"/>
  <c r="AI41" i="33" s="1"/>
  <c r="AO64" i="33" a="1"/>
  <c r="AO64" i="33" s="1"/>
  <c r="T61" i="45" a="1"/>
  <c r="T61" i="45" s="1"/>
  <c r="AN74" i="47" a="1"/>
  <c r="AN74" i="47" s="1"/>
  <c r="G35" i="44" a="1"/>
  <c r="G35" i="44" s="1"/>
  <c r="C91" i="45" a="1"/>
  <c r="C91" i="45" s="1"/>
  <c r="A91" i="45" s="1"/>
  <c r="I10" i="47" a="1"/>
  <c r="I10" i="47" s="1"/>
  <c r="Z10" i="33" a="1"/>
  <c r="Z10" i="33" s="1"/>
  <c r="AP32" i="33" a="1"/>
  <c r="AP32" i="33" s="1"/>
  <c r="M58" i="33" a="1"/>
  <c r="M58" i="33" s="1"/>
  <c r="Z47" i="45" a="1"/>
  <c r="Z47" i="45" s="1"/>
  <c r="M65" i="44" a="1"/>
  <c r="M65" i="44" s="1"/>
  <c r="AL35" i="33" a="1"/>
  <c r="AL35" i="33" s="1"/>
  <c r="I16" i="45" a="1"/>
  <c r="I16" i="45" s="1"/>
  <c r="I15" i="45" s="1"/>
  <c r="AJ20" i="45" a="1"/>
  <c r="AJ20" i="45" s="1"/>
  <c r="AH94" i="44" a="1"/>
  <c r="AH94" i="44" s="1"/>
  <c r="J35" i="45" a="1"/>
  <c r="J35" i="45" s="1"/>
  <c r="J33" i="45" s="1"/>
  <c r="X19" i="33" a="1"/>
  <c r="X19" i="33" s="1"/>
  <c r="R52" i="44" a="1"/>
  <c r="R52" i="44" s="1"/>
  <c r="AV55" i="43" a="1"/>
  <c r="AV55" i="43" s="1"/>
  <c r="I98" i="44" a="1"/>
  <c r="I98" i="44" s="1"/>
  <c r="AO56" i="45" a="1"/>
  <c r="AO56" i="45" s="1"/>
  <c r="Q82" i="45" a="1"/>
  <c r="Q82" i="45" s="1"/>
  <c r="O58" i="44" a="1"/>
  <c r="O58" i="44" s="1"/>
  <c r="AK103" i="45" a="1"/>
  <c r="AK103" i="45" s="1"/>
  <c r="AH97" i="44" a="1"/>
  <c r="AH97" i="44" s="1"/>
  <c r="I83" i="33" a="1"/>
  <c r="I83" i="33" s="1"/>
  <c r="R10" i="44" a="1"/>
  <c r="R10" i="44" s="1"/>
  <c r="M70" i="33" a="1"/>
  <c r="M70" i="33" s="1"/>
  <c r="S62" i="45" a="1"/>
  <c r="S62" i="45" s="1"/>
  <c r="AO20" i="45" a="1"/>
  <c r="AO20" i="45" s="1"/>
  <c r="AI53" i="33" a="1"/>
  <c r="AI53" i="33" s="1"/>
  <c r="AR52" i="33" a="1"/>
  <c r="AR52" i="33" s="1"/>
  <c r="AG43" i="33" a="1"/>
  <c r="AG43" i="33" s="1"/>
  <c r="H94" i="44" a="1"/>
  <c r="H94" i="44" s="1"/>
  <c r="Z70" i="45" a="1"/>
  <c r="Z70" i="45" s="1"/>
  <c r="C23" i="44" a="1"/>
  <c r="C23" i="44" s="1"/>
  <c r="X73" i="44" a="1"/>
  <c r="X73" i="44" s="1"/>
  <c r="AN76" i="46" a="1"/>
  <c r="AN76" i="46" s="1"/>
  <c r="V52" i="45" a="1"/>
  <c r="V52" i="45" s="1"/>
  <c r="J42" i="41"/>
  <c r="I71" i="44" a="1"/>
  <c r="I71" i="44" s="1"/>
  <c r="AO53" i="45" a="1"/>
  <c r="AO53" i="45" s="1"/>
  <c r="AJ97" i="45" a="1"/>
  <c r="AJ97" i="45" s="1"/>
  <c r="N80" i="45" a="1"/>
  <c r="N80" i="45" s="1"/>
  <c r="I29" i="43" a="1"/>
  <c r="I29" i="43" s="1"/>
  <c r="AK37" i="44" a="1"/>
  <c r="AK37" i="44" s="1"/>
  <c r="H65" i="33" a="1"/>
  <c r="H65" i="33" s="1"/>
  <c r="AV20" i="47" a="1"/>
  <c r="AV20" i="47" s="1"/>
  <c r="U52" i="33" a="1"/>
  <c r="U52" i="33" s="1"/>
  <c r="AH83" i="45" a="1"/>
  <c r="AH83" i="45" s="1"/>
  <c r="AK90" i="43"/>
  <c r="J11" i="44" a="1"/>
  <c r="J11" i="44" s="1"/>
  <c r="J9" i="44" s="1"/>
  <c r="AJ42" i="41"/>
  <c r="AK79" i="33" a="1"/>
  <c r="AK79" i="33" s="1"/>
  <c r="AN11" i="45" a="1"/>
  <c r="AN11" i="45" s="1"/>
  <c r="K79" i="33" a="1"/>
  <c r="K79" i="33" s="1"/>
  <c r="R83" i="33" a="1"/>
  <c r="R83" i="33" s="1"/>
  <c r="G86" i="45" a="1"/>
  <c r="G86" i="45" s="1"/>
  <c r="V29" i="33" a="1"/>
  <c r="V29" i="33" s="1"/>
  <c r="J19" i="45" a="1"/>
  <c r="J19" i="45" s="1"/>
  <c r="AU47" i="43" a="1"/>
  <c r="AU47" i="43" s="1"/>
  <c r="I70" i="33" a="1"/>
  <c r="I70" i="33" s="1"/>
  <c r="Z37" i="33" a="1"/>
  <c r="Z37" i="33" s="1"/>
  <c r="C92" i="46" a="1"/>
  <c r="C92" i="46" s="1"/>
  <c r="I65" i="45" a="1"/>
  <c r="I65" i="45" s="1"/>
  <c r="I63" i="45" s="1"/>
  <c r="H80" i="45" a="1"/>
  <c r="H80" i="45" s="1"/>
  <c r="AP20" i="45" a="1"/>
  <c r="AP20" i="45" s="1"/>
  <c r="AP18" i="45" s="1"/>
  <c r="AE54" i="41"/>
  <c r="L76" i="45" a="1"/>
  <c r="L76" i="45" s="1"/>
  <c r="U29" i="44" a="1"/>
  <c r="U29" i="44" s="1"/>
  <c r="AJ43" i="33" a="1"/>
  <c r="AJ43" i="33" s="1"/>
  <c r="AU26" i="47" a="1"/>
  <c r="AU26" i="47" s="1"/>
  <c r="AU82" i="43" a="1"/>
  <c r="AU82" i="43" s="1"/>
  <c r="I40" i="33" a="1"/>
  <c r="I40" i="33" s="1"/>
  <c r="I39" i="33" s="1"/>
  <c r="AA31" i="33" a="1"/>
  <c r="AA31" i="33" s="1"/>
  <c r="AO37" i="47" a="1"/>
  <c r="AO37" i="47" s="1"/>
  <c r="K71" i="44" a="1"/>
  <c r="K71" i="44" s="1"/>
  <c r="AA98" i="44" a="1"/>
  <c r="AA98" i="44" s="1"/>
  <c r="AC47" i="44" a="1"/>
  <c r="AC47" i="44" s="1"/>
  <c r="AI25" i="45" a="1"/>
  <c r="AI25" i="45" s="1"/>
  <c r="AH70" i="33" a="1"/>
  <c r="AH70" i="33" s="1"/>
  <c r="C101" i="44" a="1"/>
  <c r="C101" i="44" s="1"/>
  <c r="C43" i="41" a="1"/>
  <c r="C43" i="41" s="1"/>
  <c r="AO23" i="41" a="1"/>
  <c r="AO23" i="41" s="1"/>
  <c r="R93" i="47"/>
  <c r="E37" i="45" a="1"/>
  <c r="E37" i="45" s="1"/>
  <c r="AQ53" i="45" a="1"/>
  <c r="AQ53" i="45" s="1"/>
  <c r="AV35" i="43" a="1"/>
  <c r="AV35" i="43" s="1"/>
  <c r="AD65" i="33" a="1"/>
  <c r="AD65" i="33" s="1"/>
  <c r="I104" i="43" a="1"/>
  <c r="I104" i="43" s="1"/>
  <c r="I102" i="43" s="1"/>
  <c r="Y83" i="44" a="1"/>
  <c r="Y83" i="44" s="1"/>
  <c r="Z49" i="44" a="1"/>
  <c r="Z49" i="44" s="1"/>
  <c r="Z44" i="44" a="1"/>
  <c r="Z44" i="44" s="1"/>
  <c r="AL79" i="44" a="1"/>
  <c r="AL79" i="44" s="1"/>
  <c r="C91" i="33" a="1"/>
  <c r="C91" i="33" s="1"/>
  <c r="AM82" i="33" a="1"/>
  <c r="AM82" i="33" s="1"/>
  <c r="AL48" i="43"/>
  <c r="S41" i="33" a="1"/>
  <c r="S41" i="33" s="1"/>
  <c r="H70" i="33" a="1"/>
  <c r="H70" i="33" s="1"/>
  <c r="AQ103" i="44" a="1"/>
  <c r="AQ103" i="44" s="1"/>
  <c r="AN25" i="43" a="1"/>
  <c r="AN25" i="43" s="1"/>
  <c r="AP31" i="45" a="1"/>
  <c r="AP31" i="45" s="1"/>
  <c r="E92" i="44" a="1"/>
  <c r="E92" i="44" s="1"/>
  <c r="AL11" i="44" a="1"/>
  <c r="AL11" i="44" s="1"/>
  <c r="AE31" i="44" a="1"/>
  <c r="AE31" i="44" s="1"/>
  <c r="G95" i="44" a="1"/>
  <c r="G95" i="44" s="1"/>
  <c r="AJ49" i="44" a="1"/>
  <c r="AJ49" i="44" s="1"/>
  <c r="G49" i="33" a="1"/>
  <c r="G49" i="33" s="1"/>
  <c r="AI17" i="44" a="1"/>
  <c r="AI17" i="44" s="1"/>
  <c r="AI37" i="45" a="1"/>
  <c r="AI37" i="45" s="1"/>
  <c r="Z41" i="44" a="1"/>
  <c r="Z41" i="44" s="1"/>
  <c r="AG19" i="44" a="1"/>
  <c r="AG19" i="44" s="1"/>
  <c r="AF91" i="44" a="1"/>
  <c r="AF91" i="44" s="1"/>
  <c r="AA55" i="45" a="1"/>
  <c r="AA55" i="45" s="1"/>
  <c r="AE20" i="44" a="1"/>
  <c r="AE20" i="44" s="1"/>
  <c r="AJ31" i="44" a="1"/>
  <c r="AJ31" i="44" s="1"/>
  <c r="S59" i="44" a="1"/>
  <c r="S59" i="44" s="1"/>
  <c r="AN17" i="33" a="1"/>
  <c r="AN17" i="33" s="1"/>
  <c r="F43" i="44" a="1"/>
  <c r="F43" i="44" s="1"/>
  <c r="AE95" i="33" a="1"/>
  <c r="AE95" i="33" s="1"/>
  <c r="C64" i="42" a="1"/>
  <c r="C64" i="42" s="1"/>
  <c r="E95" i="33" a="1"/>
  <c r="E95" i="33" s="1"/>
  <c r="AI50" i="45" a="1"/>
  <c r="AI50" i="45" s="1"/>
  <c r="AO83" i="46" a="1"/>
  <c r="AO83" i="46" s="1"/>
  <c r="AN31" i="43" a="1"/>
  <c r="AN31" i="43" s="1"/>
  <c r="R87" i="43"/>
  <c r="L104" i="45" a="1"/>
  <c r="L104" i="45" s="1"/>
  <c r="J40" i="44" a="1"/>
  <c r="J40" i="44" s="1"/>
  <c r="T85" i="45" a="1"/>
  <c r="T85" i="45" s="1"/>
  <c r="AJ71" i="44" a="1"/>
  <c r="AJ71" i="44" s="1"/>
  <c r="AV100" i="47" a="1"/>
  <c r="AV100" i="47" s="1"/>
  <c r="AP63" i="47"/>
  <c r="C23" i="46" a="1"/>
  <c r="C23" i="46" s="1"/>
  <c r="AU37" i="47" a="1"/>
  <c r="AU37" i="47" s="1"/>
  <c r="E10" i="45" a="1"/>
  <c r="E10" i="45" s="1"/>
  <c r="Q10" i="45" a="1"/>
  <c r="Q10" i="45" s="1"/>
  <c r="Q41" i="45" a="1"/>
  <c r="Q41" i="45" s="1"/>
  <c r="E43" i="44" a="1"/>
  <c r="E43" i="44" s="1"/>
  <c r="E42" i="44" s="1"/>
  <c r="AG38" i="45" a="1"/>
  <c r="AG38" i="45" s="1"/>
  <c r="AU62" i="47" a="1"/>
  <c r="AU62" i="47" s="1"/>
  <c r="AO29" i="47" a="1"/>
  <c r="AO29" i="47" s="1"/>
  <c r="E29" i="44" a="1"/>
  <c r="E29" i="44" s="1"/>
  <c r="AI83" i="33" a="1"/>
  <c r="AI83" i="33" s="1"/>
  <c r="R85" i="33" a="1"/>
  <c r="R85" i="33" s="1"/>
  <c r="S29" i="33" a="1"/>
  <c r="S29" i="33" s="1"/>
  <c r="AM26" i="33" a="1"/>
  <c r="AM26" i="33" s="1"/>
  <c r="AQ70" i="45" a="1"/>
  <c r="AQ70" i="45" s="1"/>
  <c r="C73" i="33" a="1"/>
  <c r="C73" i="33" s="1"/>
  <c r="E67" i="44" a="1"/>
  <c r="E67" i="44" s="1"/>
  <c r="E66" i="44" s="1"/>
  <c r="AC101" i="44" a="1"/>
  <c r="AC101" i="44" s="1"/>
  <c r="X68" i="45" a="1"/>
  <c r="X68" i="45" s="1"/>
  <c r="AO76" i="43" a="1"/>
  <c r="AO76" i="43" s="1"/>
  <c r="AR41" i="45" a="1"/>
  <c r="AR41" i="45" s="1"/>
  <c r="AV28" i="43" a="1"/>
  <c r="AV28" i="43" s="1"/>
  <c r="AE94" i="44" a="1"/>
  <c r="AE94" i="44" s="1"/>
  <c r="AG49" i="44" a="1"/>
  <c r="AG49" i="44" s="1"/>
  <c r="AG48" i="44" s="1"/>
  <c r="S103" i="44" a="1"/>
  <c r="S103" i="44" s="1"/>
  <c r="Z96" i="46"/>
  <c r="AL22" i="44" a="1"/>
  <c r="AL22" i="44" s="1"/>
  <c r="AD86" i="45" a="1"/>
  <c r="AD86" i="45" s="1"/>
  <c r="AU74" i="41" a="1"/>
  <c r="AU74" i="41" s="1"/>
  <c r="AM10" i="44" a="1"/>
  <c r="AM10" i="44" s="1"/>
  <c r="U67" i="33" a="1"/>
  <c r="U67" i="33" s="1"/>
  <c r="AM37" i="33" a="1"/>
  <c r="AM37" i="33" s="1"/>
  <c r="AH95" i="33" a="1"/>
  <c r="AH95" i="33" s="1"/>
  <c r="AH93" i="33" s="1"/>
  <c r="I37" i="46" a="1"/>
  <c r="I37" i="46" s="1"/>
  <c r="AP59" i="33" a="1"/>
  <c r="AP59" i="33" s="1"/>
  <c r="C95" i="44" a="1"/>
  <c r="C95" i="44" s="1"/>
  <c r="Y80" i="45" a="1"/>
  <c r="Y80" i="45" s="1"/>
  <c r="AP98" i="44" a="1"/>
  <c r="AP98" i="44" s="1"/>
  <c r="R101" i="33" a="1"/>
  <c r="R101" i="33" s="1"/>
  <c r="AR40" i="44" a="1"/>
  <c r="AR40" i="44" s="1"/>
  <c r="H100" i="45" a="1"/>
  <c r="H100" i="45" s="1"/>
  <c r="AB96" i="47"/>
  <c r="P101" i="45" a="1"/>
  <c r="P101" i="45" s="1"/>
  <c r="P16" i="44" a="1"/>
  <c r="P16" i="44" s="1"/>
  <c r="K62" i="44" a="1"/>
  <c r="K62" i="44" s="1"/>
  <c r="X64" i="44" a="1"/>
  <c r="X64" i="44" s="1"/>
  <c r="AP65" i="45" a="1"/>
  <c r="AP65" i="45" s="1"/>
  <c r="N48" i="41"/>
  <c r="AV35" i="46" a="1"/>
  <c r="AV35" i="46" s="1"/>
  <c r="X46" i="45" a="1"/>
  <c r="X46" i="45" s="1"/>
  <c r="V42" i="43"/>
  <c r="R79" i="33" a="1"/>
  <c r="R79" i="33" s="1"/>
  <c r="AJ68" i="44" a="1"/>
  <c r="AJ68" i="44" s="1"/>
  <c r="AO104" i="44" a="1"/>
  <c r="AO104" i="44" s="1"/>
  <c r="I59" i="46" a="1"/>
  <c r="I59" i="46" s="1"/>
  <c r="AR90" i="41"/>
  <c r="AN95" i="45" a="1"/>
  <c r="AN95" i="45" s="1"/>
  <c r="AR72" i="41"/>
  <c r="AJ68" i="33" a="1"/>
  <c r="AJ68" i="33" s="1"/>
  <c r="E20" i="45" a="1"/>
  <c r="E20" i="45" s="1"/>
  <c r="O19" i="33" a="1"/>
  <c r="O19" i="33" s="1"/>
  <c r="AO16" i="45" a="1"/>
  <c r="AO16" i="45" s="1"/>
  <c r="O85" i="45" a="1"/>
  <c r="O85" i="45" s="1"/>
  <c r="AE102" i="43"/>
  <c r="AO70" i="46" a="1"/>
  <c r="AO70" i="46" s="1"/>
  <c r="I35" i="41" a="1"/>
  <c r="I35" i="41" s="1"/>
  <c r="AA11" i="45" a="1"/>
  <c r="AA11" i="45" s="1"/>
  <c r="AR88" i="45" a="1"/>
  <c r="AR88" i="45" s="1"/>
  <c r="AL88" i="44" a="1"/>
  <c r="AL88" i="44" s="1"/>
  <c r="AA11" i="44" a="1"/>
  <c r="AA11" i="44" s="1"/>
  <c r="AO43" i="33" a="1"/>
  <c r="AO43" i="33" s="1"/>
  <c r="P73" i="45" a="1"/>
  <c r="P73" i="45" s="1"/>
  <c r="K80" i="44" a="1"/>
  <c r="K80" i="44" s="1"/>
  <c r="AN32" i="45" a="1"/>
  <c r="AN32" i="45" s="1"/>
  <c r="X41" i="44" a="1"/>
  <c r="X41" i="44" s="1"/>
  <c r="W50" i="45" a="1"/>
  <c r="W50" i="45" s="1"/>
  <c r="X62" i="44" a="1"/>
  <c r="X62" i="44" s="1"/>
  <c r="Q84" i="46"/>
  <c r="AU37" i="43" a="1"/>
  <c r="AU37" i="43" s="1"/>
  <c r="R46" i="33" a="1"/>
  <c r="R46" i="33" s="1"/>
  <c r="AB23" i="33" a="1"/>
  <c r="AB23" i="33" s="1"/>
  <c r="AI102" i="43"/>
  <c r="L41" i="45" a="1"/>
  <c r="L41" i="45" s="1"/>
  <c r="S10" i="33" a="1"/>
  <c r="S10" i="33" s="1"/>
  <c r="I59" i="44" a="1"/>
  <c r="I59" i="44" s="1"/>
  <c r="I57" i="44" s="1"/>
  <c r="T46" i="44" a="1"/>
  <c r="T46" i="44" s="1"/>
  <c r="AN88" i="46" a="1"/>
  <c r="AN88" i="46" s="1"/>
  <c r="AO17" i="33" a="1"/>
  <c r="AO17" i="33" s="1"/>
  <c r="V28" i="44" a="1"/>
  <c r="V28" i="44" s="1"/>
  <c r="K99" i="46"/>
  <c r="V85" i="44" a="1"/>
  <c r="V85" i="44" s="1"/>
  <c r="AF88" i="33" a="1"/>
  <c r="AF88" i="33" s="1"/>
  <c r="AK70" i="33" a="1"/>
  <c r="AK70" i="33" s="1"/>
  <c r="AO101" i="44" a="1"/>
  <c r="AO101" i="44" s="1"/>
  <c r="AR34" i="33" a="1"/>
  <c r="AR34" i="33" s="1"/>
  <c r="K103" i="45" a="1"/>
  <c r="K103" i="45" s="1"/>
  <c r="AQ88" i="45" a="1"/>
  <c r="AQ88" i="45" s="1"/>
  <c r="AJ103" i="45" a="1"/>
  <c r="AJ103" i="45" s="1"/>
  <c r="AA82" i="45" a="1"/>
  <c r="AA82" i="45" s="1"/>
  <c r="T47" i="44" a="1"/>
  <c r="T47" i="44" s="1"/>
  <c r="G95" i="33" a="1"/>
  <c r="G95" i="33" s="1"/>
  <c r="AC74" i="44" a="1"/>
  <c r="AC74" i="44" s="1"/>
  <c r="I46" i="47" a="1"/>
  <c r="I46" i="47" s="1"/>
  <c r="C58" i="47" a="1"/>
  <c r="C58" i="47" s="1"/>
  <c r="U36" i="41"/>
  <c r="AJ104" i="45" a="1"/>
  <c r="AJ104" i="45" s="1"/>
  <c r="AU80" i="46" a="1"/>
  <c r="AU80" i="46" s="1"/>
  <c r="M18" i="41"/>
  <c r="F47" i="44" a="1"/>
  <c r="F47" i="44" s="1"/>
  <c r="K64" i="44" a="1"/>
  <c r="K64" i="44" s="1"/>
  <c r="AP25" i="45" a="1"/>
  <c r="AP25" i="45" s="1"/>
  <c r="AL52" i="44" a="1"/>
  <c r="AL52" i="44" s="1"/>
  <c r="AJ65" i="33" a="1"/>
  <c r="AJ65" i="33" s="1"/>
  <c r="AN100" i="47" a="1"/>
  <c r="AN100" i="47" s="1"/>
  <c r="C98" i="44" a="1"/>
  <c r="C98" i="44" s="1"/>
  <c r="AK31" i="44" a="1"/>
  <c r="AK31" i="44" s="1"/>
  <c r="AO35" i="44" a="1"/>
  <c r="AO35" i="44" s="1"/>
  <c r="AO33" i="44" s="1"/>
  <c r="M86" i="33" a="1"/>
  <c r="M86" i="33" s="1"/>
  <c r="M84" i="33" s="1"/>
  <c r="M46" i="45" a="1"/>
  <c r="M46" i="45" s="1"/>
  <c r="G26" i="33" a="1"/>
  <c r="G26" i="33" s="1"/>
  <c r="AF85" i="44" a="1"/>
  <c r="AF85" i="44" s="1"/>
  <c r="J37" i="44" a="1"/>
  <c r="J37" i="44" s="1"/>
  <c r="AO67" i="45" a="1"/>
  <c r="AO67" i="45" s="1"/>
  <c r="I79" i="45" a="1"/>
  <c r="I79" i="45" s="1"/>
  <c r="AN46" i="46" a="1"/>
  <c r="AN46" i="46" s="1"/>
  <c r="AJ56" i="44" a="1"/>
  <c r="AJ56" i="44" s="1"/>
  <c r="AC16" i="45" a="1"/>
  <c r="AC16" i="45" s="1"/>
  <c r="AH10" i="45" a="1"/>
  <c r="AH10" i="45" s="1"/>
  <c r="O22" i="33" a="1"/>
  <c r="O22" i="33" s="1"/>
  <c r="J20" i="33" a="1"/>
  <c r="J20" i="33" s="1"/>
  <c r="J10" i="33" a="1"/>
  <c r="J10" i="33" s="1"/>
  <c r="S100" i="45" a="1"/>
  <c r="S100" i="45" s="1"/>
  <c r="G35" i="45" a="1"/>
  <c r="G35" i="45" s="1"/>
  <c r="T73" i="44" a="1"/>
  <c r="T73" i="44" s="1"/>
  <c r="L62" i="44" a="1"/>
  <c r="L62" i="44" s="1"/>
  <c r="AE28" i="44" a="1"/>
  <c r="AE28" i="44" s="1"/>
  <c r="G95" i="45" a="1"/>
  <c r="G95" i="45" s="1"/>
  <c r="AE71" i="44" a="1"/>
  <c r="AE71" i="44" s="1"/>
  <c r="AP52" i="44" a="1"/>
  <c r="AP52" i="44" s="1"/>
  <c r="C53" i="45" a="1"/>
  <c r="C53" i="45" s="1"/>
  <c r="AV19" i="47" a="1"/>
  <c r="AV19" i="47" s="1"/>
  <c r="M91" i="45" a="1"/>
  <c r="M91" i="45" s="1"/>
  <c r="AP29" i="44" a="1"/>
  <c r="AP29" i="44" s="1"/>
  <c r="Z103" i="44" a="1"/>
  <c r="Z103" i="44" s="1"/>
  <c r="AS24" i="41"/>
  <c r="K50" i="45" a="1"/>
  <c r="K50" i="45" s="1"/>
  <c r="U37" i="33" a="1"/>
  <c r="U37" i="33" s="1"/>
  <c r="Q46" i="33" a="1"/>
  <c r="Q46" i="33" s="1"/>
  <c r="AE19" i="33" a="1"/>
  <c r="AE19" i="33" s="1"/>
  <c r="S44" i="44" a="1"/>
  <c r="S44" i="44" s="1"/>
  <c r="I38" i="41" a="1"/>
  <c r="I38" i="41" s="1"/>
  <c r="R68" i="33" a="1"/>
  <c r="R68" i="33" s="1"/>
  <c r="U17" i="44" a="1"/>
  <c r="U17" i="44" s="1"/>
  <c r="AC68" i="45" a="1"/>
  <c r="AC68" i="45" s="1"/>
  <c r="AI35" i="45" a="1"/>
  <c r="AI35" i="45" s="1"/>
  <c r="AI77" i="45" a="1"/>
  <c r="AI77" i="45" s="1"/>
  <c r="AK61" i="33" a="1"/>
  <c r="AK61" i="33" s="1"/>
  <c r="AV35" i="47" a="1"/>
  <c r="AV35" i="47" s="1"/>
  <c r="AC55" i="33" a="1"/>
  <c r="AC55" i="33" s="1"/>
  <c r="Y98" i="44" a="1"/>
  <c r="Y98" i="44" s="1"/>
  <c r="Z52" i="33" a="1"/>
  <c r="Z52" i="33" s="1"/>
  <c r="AH72" i="41"/>
  <c r="I77" i="33" a="1"/>
  <c r="I77" i="33" s="1"/>
  <c r="E97" i="33" a="1"/>
  <c r="E97" i="33" s="1"/>
  <c r="E26" i="33" a="1"/>
  <c r="E26" i="33" s="1"/>
  <c r="E49" i="44" a="1"/>
  <c r="E49" i="44" s="1"/>
  <c r="E48" i="44" s="1"/>
  <c r="AF66" i="43"/>
  <c r="E17" i="45" a="1"/>
  <c r="E17" i="45" s="1"/>
  <c r="AL38" i="45" a="1"/>
  <c r="AL38" i="45" s="1"/>
  <c r="Z67" i="45" a="1"/>
  <c r="Z67" i="45" s="1"/>
  <c r="K18" i="46"/>
  <c r="L68" i="45" a="1"/>
  <c r="L68" i="45" s="1"/>
  <c r="AO61" i="46" a="1"/>
  <c r="AO61" i="46" s="1"/>
  <c r="AI80" i="44" a="1"/>
  <c r="AI80" i="44" s="1"/>
  <c r="AL86" i="33" a="1"/>
  <c r="AL86" i="33" s="1"/>
  <c r="M25" i="45" a="1"/>
  <c r="M25" i="45" s="1"/>
  <c r="Q83" i="45" a="1"/>
  <c r="Q83" i="45" s="1"/>
  <c r="Y82" i="44" a="1"/>
  <c r="Y82" i="44" s="1"/>
  <c r="AF104" i="45" a="1"/>
  <c r="AF104" i="45" s="1"/>
  <c r="J52" i="33" a="1"/>
  <c r="J52" i="33" s="1"/>
  <c r="N43" i="45" a="1"/>
  <c r="N43" i="45" s="1"/>
  <c r="AP91" i="44" a="1"/>
  <c r="AP91" i="44" s="1"/>
  <c r="AT36" i="43"/>
  <c r="AF87" i="41"/>
  <c r="G73" i="45" a="1"/>
  <c r="G73" i="45" s="1"/>
  <c r="AL31" i="44" a="1"/>
  <c r="AL31" i="44" s="1"/>
  <c r="AI10" i="33" a="1"/>
  <c r="AI10" i="33" s="1"/>
  <c r="AQ45" i="47"/>
  <c r="AF61" i="44" a="1"/>
  <c r="AF61" i="44" s="1"/>
  <c r="AJ62" i="44" a="1"/>
  <c r="AJ62" i="44" s="1"/>
  <c r="C88" i="47" a="1"/>
  <c r="C88" i="47" s="1"/>
  <c r="AB103" i="44" a="1"/>
  <c r="AB103" i="44" s="1"/>
  <c r="AB102" i="44" s="1"/>
  <c r="AP30" i="46"/>
  <c r="I98" i="41" a="1"/>
  <c r="I98" i="41" s="1"/>
  <c r="E73" i="33" a="1"/>
  <c r="E73" i="33" s="1"/>
  <c r="AM100" i="45" a="1"/>
  <c r="AM100" i="45" s="1"/>
  <c r="R80" i="44" a="1"/>
  <c r="R80" i="44" s="1"/>
  <c r="X41" i="33" a="1"/>
  <c r="X41" i="33" s="1"/>
  <c r="F92" i="33" a="1"/>
  <c r="F92" i="33" s="1"/>
  <c r="AN56" i="47" a="1"/>
  <c r="AN56" i="47" s="1"/>
  <c r="AH38" i="33" a="1"/>
  <c r="AH38" i="33" s="1"/>
  <c r="R24" i="41"/>
  <c r="AL43" i="45" a="1"/>
  <c r="AL43" i="45" s="1"/>
  <c r="R82" i="44" a="1"/>
  <c r="R82" i="44" s="1"/>
  <c r="AI88" i="44" a="1"/>
  <c r="AI88" i="44" s="1"/>
  <c r="AO61" i="47" a="1"/>
  <c r="AO61" i="47" s="1"/>
  <c r="AR95" i="45" a="1"/>
  <c r="AR95" i="45" s="1"/>
  <c r="AJ48" i="47"/>
  <c r="AI47" i="33" a="1"/>
  <c r="AI47" i="33" s="1"/>
  <c r="P97" i="45" a="1"/>
  <c r="P97" i="45" s="1"/>
  <c r="AF96" i="47"/>
  <c r="K19" i="44" a="1"/>
  <c r="K19" i="44" s="1"/>
  <c r="C64" i="44" a="1"/>
  <c r="C64" i="44" s="1"/>
  <c r="G41" i="33" a="1"/>
  <c r="G41" i="33" s="1"/>
  <c r="U89" i="45" a="1"/>
  <c r="U89" i="45" s="1"/>
  <c r="K56" i="44" a="1"/>
  <c r="K56" i="44" s="1"/>
  <c r="I85" i="45" a="1"/>
  <c r="I85" i="45" s="1"/>
  <c r="AO46" i="44" a="1"/>
  <c r="AO46" i="44" s="1"/>
  <c r="AR56" i="44" a="1"/>
  <c r="AR56" i="44" s="1"/>
  <c r="AN73" i="43" a="1"/>
  <c r="AN73" i="43" s="1"/>
  <c r="V91" i="44" a="1"/>
  <c r="V91" i="44" s="1"/>
  <c r="X40" i="45" a="1"/>
  <c r="X40" i="45" s="1"/>
  <c r="AO58" i="44" a="1"/>
  <c r="AO58" i="44" s="1"/>
  <c r="AE19" i="44" a="1"/>
  <c r="AE19" i="44" s="1"/>
  <c r="O91" i="44" a="1"/>
  <c r="O91" i="44" s="1"/>
  <c r="O94" i="44" a="1"/>
  <c r="O94" i="44" s="1"/>
  <c r="AN40" i="41" a="1"/>
  <c r="AN40" i="41" s="1"/>
  <c r="J55" i="44" a="1"/>
  <c r="J55" i="44" s="1"/>
  <c r="W43" i="33" a="1"/>
  <c r="W43" i="33" s="1"/>
  <c r="AK98" i="45" a="1"/>
  <c r="AK98" i="45" s="1"/>
  <c r="AK35" i="33" a="1"/>
  <c r="AK35" i="33" s="1"/>
  <c r="J98" i="33" a="1"/>
  <c r="J98" i="33" s="1"/>
  <c r="H103" i="44" a="1"/>
  <c r="H103" i="44" s="1"/>
  <c r="AR28" i="45" a="1"/>
  <c r="AR28" i="45" s="1"/>
  <c r="AE47" i="44" a="1"/>
  <c r="AE47" i="44" s="1"/>
  <c r="AB35" i="45" a="1"/>
  <c r="AB35" i="45" s="1"/>
  <c r="I68" i="45" a="1"/>
  <c r="I68" i="45" s="1"/>
  <c r="M38" i="45" a="1"/>
  <c r="M38" i="45" s="1"/>
  <c r="AV58" i="41" a="1"/>
  <c r="AV58" i="41" s="1"/>
  <c r="J34" i="33" a="1"/>
  <c r="J34" i="33" s="1"/>
  <c r="Z65" i="33" a="1"/>
  <c r="Z65" i="33" s="1"/>
  <c r="Z75" i="47"/>
  <c r="W100" i="44" a="1"/>
  <c r="W100" i="44" s="1"/>
  <c r="W99" i="44" s="1"/>
  <c r="L71" i="33" a="1"/>
  <c r="L71" i="33" s="1"/>
  <c r="AU62" i="43" a="1"/>
  <c r="AU62" i="43" s="1"/>
  <c r="AQ59" i="44" a="1"/>
  <c r="AQ59" i="44" s="1"/>
  <c r="S61" i="45" a="1"/>
  <c r="S61" i="45" s="1"/>
  <c r="AU22" i="41" a="1"/>
  <c r="AU22" i="41" s="1"/>
  <c r="AU21" i="41" s="1"/>
  <c r="AG55" i="44" a="1"/>
  <c r="AG55" i="44" s="1"/>
  <c r="Z95" i="33" a="1"/>
  <c r="Z95" i="33" s="1"/>
  <c r="AM43" i="33" a="1"/>
  <c r="AM43" i="33" s="1"/>
  <c r="AD94" i="33" a="1"/>
  <c r="AD94" i="33" s="1"/>
  <c r="AK42" i="41"/>
  <c r="S97" i="33" a="1"/>
  <c r="S97" i="33" s="1"/>
  <c r="AF55" i="44" a="1"/>
  <c r="AF55" i="44" s="1"/>
  <c r="R22" i="44" a="1"/>
  <c r="R22" i="44" s="1"/>
  <c r="AU61" i="43" a="1"/>
  <c r="AU61" i="43" s="1"/>
  <c r="W52" i="44" a="1"/>
  <c r="W52" i="44" s="1"/>
  <c r="AK97" i="33" a="1"/>
  <c r="AK97" i="33" s="1"/>
  <c r="AD73" i="44" a="1"/>
  <c r="AD73" i="44" s="1"/>
  <c r="AJ71" i="45" a="1"/>
  <c r="AJ71" i="45" s="1"/>
  <c r="AQ60" i="43"/>
  <c r="R77" i="44" a="1"/>
  <c r="R77" i="44" s="1"/>
  <c r="T58" i="44" a="1"/>
  <c r="T58" i="44" s="1"/>
  <c r="O56" i="44" a="1"/>
  <c r="O56" i="44" s="1"/>
  <c r="AI83" i="44" a="1"/>
  <c r="AI83" i="44" s="1"/>
  <c r="O88" i="33" a="1"/>
  <c r="O88" i="33" s="1"/>
  <c r="AI76" i="33" a="1"/>
  <c r="AI76" i="33" s="1"/>
  <c r="AD20" i="33" a="1"/>
  <c r="AD20" i="33" s="1"/>
  <c r="AO103" i="41" a="1"/>
  <c r="AO103" i="41" s="1"/>
  <c r="AO102" i="41" s="1"/>
  <c r="AC11" i="44" a="1"/>
  <c r="AC11" i="44" s="1"/>
  <c r="AS93" i="46"/>
  <c r="U76" i="33" a="1"/>
  <c r="U76" i="33" s="1"/>
  <c r="AN85" i="46" a="1"/>
  <c r="AN85" i="46" s="1"/>
  <c r="AN65" i="43" a="1"/>
  <c r="AN65" i="43" s="1"/>
  <c r="L89" i="33" a="1"/>
  <c r="L89" i="33" s="1"/>
  <c r="C80" i="47" a="1"/>
  <c r="C80" i="47" s="1"/>
  <c r="Z99" i="41"/>
  <c r="U100" i="33" a="1"/>
  <c r="U100" i="33" s="1"/>
  <c r="U99" i="33" s="1"/>
  <c r="AE64" i="44" a="1"/>
  <c r="AE64" i="44" s="1"/>
  <c r="AB46" i="44" a="1"/>
  <c r="AB46" i="44" s="1"/>
  <c r="M71" i="45" a="1"/>
  <c r="M71" i="45" s="1"/>
  <c r="M103" i="45" a="1"/>
  <c r="M103" i="45" s="1"/>
  <c r="V33" i="47"/>
  <c r="R76" i="33" a="1"/>
  <c r="R76" i="33" s="1"/>
  <c r="W26" i="44" a="1"/>
  <c r="W26" i="44" s="1"/>
  <c r="G52" i="33" a="1"/>
  <c r="G52" i="33" s="1"/>
  <c r="AN47" i="33" a="1"/>
  <c r="AN47" i="33" s="1"/>
  <c r="AO28" i="46" a="1"/>
  <c r="AO28" i="46" s="1"/>
  <c r="AA86" i="45" a="1"/>
  <c r="AA86" i="45" s="1"/>
  <c r="T68" i="44" a="1"/>
  <c r="T68" i="44" s="1"/>
  <c r="AP100" i="45" a="1"/>
  <c r="AP100" i="45" s="1"/>
  <c r="C104" i="46" a="1"/>
  <c r="C104" i="46" s="1"/>
  <c r="AN97" i="44" a="1"/>
  <c r="AN97" i="44" s="1"/>
  <c r="AJ67" i="44" a="1"/>
  <c r="AJ67" i="44" s="1"/>
  <c r="W88" i="45" a="1"/>
  <c r="W88" i="45" s="1"/>
  <c r="P25" i="44" a="1"/>
  <c r="P25" i="44" s="1"/>
  <c r="AI35" i="33" a="1"/>
  <c r="AI35" i="33" s="1"/>
  <c r="U53" i="44" a="1"/>
  <c r="U53" i="44" s="1"/>
  <c r="O41" i="45" a="1"/>
  <c r="O41" i="45" s="1"/>
  <c r="AP22" i="33" a="1"/>
  <c r="AP22" i="33" s="1"/>
  <c r="R69" i="46"/>
  <c r="G19" i="45" a="1"/>
  <c r="G19" i="45" s="1"/>
  <c r="X86" i="44" a="1"/>
  <c r="X86" i="44" s="1"/>
  <c r="AC39" i="47"/>
  <c r="L103" i="44" a="1"/>
  <c r="L103" i="44" s="1"/>
  <c r="L102" i="44" s="1"/>
  <c r="K100" i="45" a="1"/>
  <c r="K100" i="45" s="1"/>
  <c r="AA61" i="33" a="1"/>
  <c r="AA61" i="33" s="1"/>
  <c r="AD34" i="44" a="1"/>
  <c r="AD34" i="44" s="1"/>
  <c r="U66" i="41"/>
  <c r="AL103" i="33" a="1"/>
  <c r="AL103" i="33" s="1"/>
  <c r="Z37" i="45" a="1"/>
  <c r="Z37" i="45" s="1"/>
  <c r="Y34" i="45" a="1"/>
  <c r="Y34" i="45" s="1"/>
  <c r="Y33" i="45" s="1"/>
  <c r="L17" i="33" a="1"/>
  <c r="L17" i="33" s="1"/>
  <c r="AV58" i="47" a="1"/>
  <c r="AV58" i="47" s="1"/>
  <c r="E55" i="33" a="1"/>
  <c r="E55" i="33" s="1"/>
  <c r="E54" i="33" s="1"/>
  <c r="AQ17" i="33" a="1"/>
  <c r="AQ17" i="33" s="1"/>
  <c r="N97" i="44" a="1"/>
  <c r="N97" i="44" s="1"/>
  <c r="L88" i="44" a="1"/>
  <c r="L88" i="44" s="1"/>
  <c r="T56" i="44" a="1"/>
  <c r="T56" i="44" s="1"/>
  <c r="Y87" i="47"/>
  <c r="W101" i="33" a="1"/>
  <c r="W101" i="33" s="1"/>
  <c r="AG94" i="45" a="1"/>
  <c r="AG94" i="45" s="1"/>
  <c r="AG93" i="45" s="1"/>
  <c r="O104" i="44" a="1"/>
  <c r="O104" i="44" s="1"/>
  <c r="AQ50" i="33" a="1"/>
  <c r="AQ50" i="33" s="1"/>
  <c r="N71" i="45" a="1"/>
  <c r="N71" i="45" s="1"/>
  <c r="H97" i="44" a="1"/>
  <c r="H97" i="44" s="1"/>
  <c r="C31" i="47" a="1"/>
  <c r="C31" i="47" s="1"/>
  <c r="AG52" i="45" a="1"/>
  <c r="AG52" i="45" s="1"/>
  <c r="AP88" i="45" a="1"/>
  <c r="AP88" i="45" s="1"/>
  <c r="G98" i="44" a="1"/>
  <c r="G98" i="44" s="1"/>
  <c r="R19" i="33" a="1"/>
  <c r="R19" i="33" s="1"/>
  <c r="W37" i="44" a="1"/>
  <c r="W37" i="44" s="1"/>
  <c r="W36" i="44" s="1"/>
  <c r="AN71" i="43" a="1"/>
  <c r="AN71" i="43" s="1"/>
  <c r="H64" i="45" a="1"/>
  <c r="H64" i="45" s="1"/>
  <c r="AR22" i="33" a="1"/>
  <c r="AR22" i="33" s="1"/>
  <c r="AR83" i="45" a="1"/>
  <c r="AR83" i="45" s="1"/>
  <c r="F76" i="44" a="1"/>
  <c r="F76" i="44" s="1"/>
  <c r="AE11" i="45" a="1"/>
  <c r="AE11" i="45" s="1"/>
  <c r="AQ34" i="45" a="1"/>
  <c r="AQ34" i="45" s="1"/>
  <c r="AQ33" i="45" s="1"/>
  <c r="AK47" i="33" a="1"/>
  <c r="AK47" i="33" s="1"/>
  <c r="AH22" i="45" a="1"/>
  <c r="AH22" i="45" s="1"/>
  <c r="AB31" i="44" a="1"/>
  <c r="AB31" i="44" s="1"/>
  <c r="AM34" i="44" a="1"/>
  <c r="AM34" i="44" s="1"/>
  <c r="AM33" i="44" s="1"/>
  <c r="O37" i="44" a="1"/>
  <c r="O37" i="44" s="1"/>
  <c r="S36" i="46"/>
  <c r="M69" i="43"/>
  <c r="P43" i="33" a="1"/>
  <c r="P43" i="33" s="1"/>
  <c r="E76" i="44" a="1"/>
  <c r="E76" i="44" s="1"/>
  <c r="W65" i="44" a="1"/>
  <c r="W65" i="44" s="1"/>
  <c r="Z90" i="41"/>
  <c r="AG16" i="45" a="1"/>
  <c r="AG16" i="45" s="1"/>
  <c r="V93" i="43"/>
  <c r="V79" i="45" a="1"/>
  <c r="V79" i="45" s="1"/>
  <c r="M58" i="45" a="1"/>
  <c r="M58" i="45" s="1"/>
  <c r="AO74" i="45" a="1"/>
  <c r="AO74" i="45" s="1"/>
  <c r="AF80" i="45" a="1"/>
  <c r="AF80" i="45" s="1"/>
  <c r="AO61" i="43" a="1"/>
  <c r="AO61" i="43" s="1"/>
  <c r="AO60" i="43" s="1"/>
  <c r="M50" i="33" a="1"/>
  <c r="M50" i="33" s="1"/>
  <c r="AO86" i="43" a="1"/>
  <c r="AO86" i="43" s="1"/>
  <c r="AH91" i="44" a="1"/>
  <c r="AH91" i="44" s="1"/>
  <c r="E23" i="44" a="1"/>
  <c r="E23" i="44" s="1"/>
  <c r="X45" i="43"/>
  <c r="C43" i="33" a="1"/>
  <c r="C43" i="33" s="1"/>
  <c r="X23" i="45" a="1"/>
  <c r="X23" i="45" s="1"/>
  <c r="Y20" i="45" a="1"/>
  <c r="Y20" i="45" s="1"/>
  <c r="AB85" i="33" a="1"/>
  <c r="AB85" i="33" s="1"/>
  <c r="AR80" i="45" a="1"/>
  <c r="AR80" i="45" s="1"/>
  <c r="AV86" i="41" a="1"/>
  <c r="AV86" i="41" s="1"/>
  <c r="AA101" i="45" a="1"/>
  <c r="AA101" i="45" s="1"/>
  <c r="T32" i="44" a="1"/>
  <c r="T32" i="44" s="1"/>
  <c r="AL84" i="41"/>
  <c r="AA68" i="45" a="1"/>
  <c r="AA68" i="45" s="1"/>
  <c r="AI86" i="33" a="1"/>
  <c r="AI86" i="33" s="1"/>
  <c r="AG88" i="33" a="1"/>
  <c r="AG88" i="33" s="1"/>
  <c r="AG87" i="33" s="1"/>
  <c r="V80" i="33" a="1"/>
  <c r="V80" i="33" s="1"/>
  <c r="AO76" i="44" a="1"/>
  <c r="AO76" i="44" s="1"/>
  <c r="AE20" i="45" a="1"/>
  <c r="AE20" i="45" s="1"/>
  <c r="U86" i="33" a="1"/>
  <c r="U86" i="33" s="1"/>
  <c r="AC83" i="44" a="1"/>
  <c r="AC83" i="44" s="1"/>
  <c r="AR74" i="45" a="1"/>
  <c r="AR74" i="45" s="1"/>
  <c r="S55" i="33" a="1"/>
  <c r="S55" i="33" s="1"/>
  <c r="N28" i="45" a="1"/>
  <c r="N28" i="45" s="1"/>
  <c r="N27" i="45" s="1"/>
  <c r="H46" i="45" a="1"/>
  <c r="H46" i="45" s="1"/>
  <c r="AN65" i="33" a="1"/>
  <c r="AN65" i="33" s="1"/>
  <c r="AG100" i="33" a="1"/>
  <c r="AG100" i="33" s="1"/>
  <c r="K97" i="33" a="1"/>
  <c r="K97" i="33" s="1"/>
  <c r="N91" i="33" a="1"/>
  <c r="N91" i="33" s="1"/>
  <c r="C80" i="43" a="1"/>
  <c r="C80" i="43" s="1"/>
  <c r="O62" i="45" a="1"/>
  <c r="O62" i="45" s="1"/>
  <c r="I53" i="47" a="1"/>
  <c r="I53" i="47" s="1"/>
  <c r="C80" i="33" a="1"/>
  <c r="C80" i="33" s="1"/>
  <c r="AQ62" i="33" a="1"/>
  <c r="AQ62" i="33" s="1"/>
  <c r="Z37" i="44" a="1"/>
  <c r="Z37" i="44" s="1"/>
  <c r="C101" i="41" a="1"/>
  <c r="C101" i="41" s="1"/>
  <c r="AI87" i="43"/>
  <c r="S59" i="45" a="1"/>
  <c r="S59" i="45" s="1"/>
  <c r="AE88" i="33" a="1"/>
  <c r="AE88" i="33" s="1"/>
  <c r="V65" i="33" a="1"/>
  <c r="V65" i="33" s="1"/>
  <c r="S73" i="33" a="1"/>
  <c r="S73" i="33" s="1"/>
  <c r="S72" i="33" s="1"/>
  <c r="AL53" i="45" a="1"/>
  <c r="AL53" i="45" s="1"/>
  <c r="AO95" i="47" a="1"/>
  <c r="AO95" i="47" s="1"/>
  <c r="AC88" i="44" a="1"/>
  <c r="AC88" i="44" s="1"/>
  <c r="I62" i="44" a="1"/>
  <c r="I62" i="44" s="1"/>
  <c r="AG33" i="46"/>
  <c r="G40" i="45" a="1"/>
  <c r="G40" i="45" s="1"/>
  <c r="AD25" i="33" a="1"/>
  <c r="AD25" i="33" s="1"/>
  <c r="AM37" i="45" a="1"/>
  <c r="AM37" i="45" s="1"/>
  <c r="I41" i="44" a="1"/>
  <c r="I41" i="44" s="1"/>
  <c r="U19" i="33" a="1"/>
  <c r="U19" i="33" s="1"/>
  <c r="J76" i="33" a="1"/>
  <c r="J76" i="33" s="1"/>
  <c r="AQ15" i="41"/>
  <c r="Y43" i="45" a="1"/>
  <c r="Y43" i="45" s="1"/>
  <c r="G26" i="44" a="1"/>
  <c r="G26" i="44" s="1"/>
  <c r="U15" i="43"/>
  <c r="AV17" i="47" a="1"/>
  <c r="AV17" i="47" s="1"/>
  <c r="AV70" i="47" a="1"/>
  <c r="AV70" i="47" s="1"/>
  <c r="Z10" i="44" a="1"/>
  <c r="Z10" i="44" s="1"/>
  <c r="L53" i="45" a="1"/>
  <c r="L53" i="45" s="1"/>
  <c r="L51" i="45" s="1"/>
  <c r="F80" i="33" a="1"/>
  <c r="F80" i="33" s="1"/>
  <c r="AF59" i="45" a="1"/>
  <c r="AF59" i="45" s="1"/>
  <c r="X10" i="33" a="1"/>
  <c r="X10" i="33" s="1"/>
  <c r="X9" i="33" s="1"/>
  <c r="J63" i="46"/>
  <c r="AC54" i="43"/>
  <c r="O49" i="45" a="1"/>
  <c r="O49" i="45" s="1"/>
  <c r="U28" i="33" a="1"/>
  <c r="U28" i="33" s="1"/>
  <c r="U11" i="45" a="1"/>
  <c r="U11" i="45" s="1"/>
  <c r="X83" i="44" a="1"/>
  <c r="X83" i="44" s="1"/>
  <c r="X81" i="44" s="1"/>
  <c r="L34" i="45" a="1"/>
  <c r="L34" i="45" s="1"/>
  <c r="P40" i="45" a="1"/>
  <c r="P40" i="45" s="1"/>
  <c r="V43" i="44" a="1"/>
  <c r="V43" i="44" s="1"/>
  <c r="G64" i="45" a="1"/>
  <c r="G64" i="45" s="1"/>
  <c r="E67" i="45" a="1"/>
  <c r="E67" i="45" s="1"/>
  <c r="AG10" i="33" a="1"/>
  <c r="AG10" i="33" s="1"/>
  <c r="AG9" i="33" s="1"/>
  <c r="AU25" i="46" a="1"/>
  <c r="AU25" i="46" s="1"/>
  <c r="AF19" i="45" a="1"/>
  <c r="AF19" i="45" s="1"/>
  <c r="P103" i="45" a="1"/>
  <c r="P103" i="45" s="1"/>
  <c r="W86" i="33" a="1"/>
  <c r="W86" i="33" s="1"/>
  <c r="J27" i="43"/>
  <c r="AN86" i="45" a="1"/>
  <c r="AN86" i="45" s="1"/>
  <c r="C25" i="33" a="1"/>
  <c r="C25" i="33" s="1"/>
  <c r="A25" i="33" s="1"/>
  <c r="AU67" i="43" a="1"/>
  <c r="AU67" i="43" s="1"/>
  <c r="AA95" i="45" a="1"/>
  <c r="AA95" i="45" s="1"/>
  <c r="R59" i="44" a="1"/>
  <c r="R59" i="44" s="1"/>
  <c r="C65" i="47" a="1"/>
  <c r="C65" i="47" s="1"/>
  <c r="AV25" i="43" a="1"/>
  <c r="AV25" i="43" s="1"/>
  <c r="AK62" i="45" a="1"/>
  <c r="AK62" i="45" s="1"/>
  <c r="AK60" i="45" s="1"/>
  <c r="AB58" i="33" a="1"/>
  <c r="AB58" i="33" s="1"/>
  <c r="Q100" i="33" a="1"/>
  <c r="Q100" i="33" s="1"/>
  <c r="AP64" i="44" a="1"/>
  <c r="AP64" i="44" s="1"/>
  <c r="M84" i="41"/>
  <c r="M101" i="45" a="1"/>
  <c r="M101" i="45" s="1"/>
  <c r="AE50" i="33" a="1"/>
  <c r="AE50" i="33" s="1"/>
  <c r="Q80" i="44" a="1"/>
  <c r="Q80" i="44" s="1"/>
  <c r="E88" i="44" a="1"/>
  <c r="E88" i="44" s="1"/>
  <c r="I67" i="44" a="1"/>
  <c r="I67" i="44" s="1"/>
  <c r="G85" i="45" a="1"/>
  <c r="G85" i="45" s="1"/>
  <c r="AF53" i="45" a="1"/>
  <c r="AF53" i="45" s="1"/>
  <c r="AQ50" i="44" a="1"/>
  <c r="AQ50" i="44" s="1"/>
  <c r="N35" i="33" a="1"/>
  <c r="N35" i="33" s="1"/>
  <c r="S32" i="45" a="1"/>
  <c r="S32" i="45" s="1"/>
  <c r="W43" i="44" a="1"/>
  <c r="W43" i="44" s="1"/>
  <c r="AB55" i="44" a="1"/>
  <c r="AB55" i="44" s="1"/>
  <c r="AP67" i="33" a="1"/>
  <c r="AP67" i="33" s="1"/>
  <c r="AN101" i="47" a="1"/>
  <c r="AN101" i="47" s="1"/>
  <c r="K90" i="46"/>
  <c r="Y82" i="45" a="1"/>
  <c r="Y82" i="45" s="1"/>
  <c r="AR103" i="33" a="1"/>
  <c r="AR103" i="33" s="1"/>
  <c r="AM19" i="45" a="1"/>
  <c r="AM19" i="45" s="1"/>
  <c r="F70" i="44" a="1"/>
  <c r="F70" i="44" s="1"/>
  <c r="F49" i="45" a="1"/>
  <c r="F49" i="45" s="1"/>
  <c r="I44" i="43" a="1"/>
  <c r="I44" i="43" s="1"/>
  <c r="AP103" i="33" a="1"/>
  <c r="AP103" i="33" s="1"/>
  <c r="AG94" i="44" a="1"/>
  <c r="AG94" i="44" s="1"/>
  <c r="P52" i="44" a="1"/>
  <c r="P52" i="44" s="1"/>
  <c r="AM59" i="33" a="1"/>
  <c r="AM59" i="33" s="1"/>
  <c r="I73" i="47" a="1"/>
  <c r="I73" i="47" s="1"/>
  <c r="L38" i="44" a="1"/>
  <c r="L38" i="44" s="1"/>
  <c r="M97" i="45" a="1"/>
  <c r="M97" i="45" s="1"/>
  <c r="AF79" i="33" a="1"/>
  <c r="AF79" i="33" s="1"/>
  <c r="M74" i="45" a="1"/>
  <c r="M74" i="45" s="1"/>
  <c r="Y11" i="33" a="1"/>
  <c r="Y11" i="33" s="1"/>
  <c r="I101" i="43" a="1"/>
  <c r="I101" i="43" s="1"/>
  <c r="M77" i="45" a="1"/>
  <c r="M77" i="45" s="1"/>
  <c r="O73" i="44" a="1"/>
  <c r="O73" i="44" s="1"/>
  <c r="Z17" i="45" a="1"/>
  <c r="Z17" i="45" s="1"/>
  <c r="T91" i="45" a="1"/>
  <c r="T91" i="45" s="1"/>
  <c r="J62" i="44" a="1"/>
  <c r="J62" i="44" s="1"/>
  <c r="K61" i="33" a="1"/>
  <c r="K61" i="33" s="1"/>
  <c r="AR103" i="45" a="1"/>
  <c r="AR103" i="45" s="1"/>
  <c r="AN68" i="45" a="1"/>
  <c r="AN68" i="45" s="1"/>
  <c r="AP91" i="45" a="1"/>
  <c r="AP91" i="45" s="1"/>
  <c r="Z80" i="33" a="1"/>
  <c r="Z80" i="33" s="1"/>
  <c r="M74" i="44" a="1"/>
  <c r="M74" i="44" s="1"/>
  <c r="Z76" i="44" a="1"/>
  <c r="Z76" i="44" s="1"/>
  <c r="I35" i="33" a="1"/>
  <c r="I35" i="33" s="1"/>
  <c r="G55" i="44" a="1"/>
  <c r="G55" i="44" s="1"/>
  <c r="AE22" i="45" a="1"/>
  <c r="AE22" i="45" s="1"/>
  <c r="J89" i="44" a="1"/>
  <c r="J89" i="44" s="1"/>
  <c r="P16" i="33" a="1"/>
  <c r="P16" i="33" s="1"/>
  <c r="AR20" i="44" a="1"/>
  <c r="AR20" i="44" s="1"/>
  <c r="L20" i="33" a="1"/>
  <c r="L20" i="33" s="1"/>
  <c r="AQ95" i="33" a="1"/>
  <c r="AQ95" i="33" s="1"/>
  <c r="V91" i="45" a="1"/>
  <c r="V91" i="45" s="1"/>
  <c r="AD74" i="44" a="1"/>
  <c r="AD74" i="44" s="1"/>
  <c r="X86" i="33" a="1"/>
  <c r="X86" i="33" s="1"/>
  <c r="Z19" i="44" a="1"/>
  <c r="Z19" i="44" s="1"/>
  <c r="AN16" i="41" a="1"/>
  <c r="AN16" i="41" s="1"/>
  <c r="AN77" i="47" a="1"/>
  <c r="AN77" i="47" s="1"/>
  <c r="AJ64" i="44" a="1"/>
  <c r="AJ64" i="44" s="1"/>
  <c r="H77" i="44" a="1"/>
  <c r="H77" i="44" s="1"/>
  <c r="AC58" i="45" a="1"/>
  <c r="AC58" i="45" s="1"/>
  <c r="M104" i="33" a="1"/>
  <c r="M104" i="33" s="1"/>
  <c r="AM85" i="44" a="1"/>
  <c r="AM85" i="44" s="1"/>
  <c r="X80" i="44" a="1"/>
  <c r="X80" i="44" s="1"/>
  <c r="AN85" i="44" a="1"/>
  <c r="AN85" i="44" s="1"/>
  <c r="J58" i="33" a="1"/>
  <c r="J58" i="33" s="1"/>
  <c r="N65" i="33" a="1"/>
  <c r="N65" i="33" s="1"/>
  <c r="R41" i="33" a="1"/>
  <c r="R41" i="33" s="1"/>
  <c r="AR44" i="33" a="1"/>
  <c r="AR44" i="33" s="1"/>
  <c r="C73" i="45" a="1"/>
  <c r="C73" i="45" s="1"/>
  <c r="AF90" i="47"/>
  <c r="T64" i="45" a="1"/>
  <c r="T64" i="45" s="1"/>
  <c r="AT45" i="41"/>
  <c r="AO28" i="43" a="1"/>
  <c r="AO28" i="43" s="1"/>
  <c r="R88" i="45" a="1"/>
  <c r="R88" i="45" s="1"/>
  <c r="AJ95" i="45" a="1"/>
  <c r="AJ95" i="45" s="1"/>
  <c r="AN26" i="44" a="1"/>
  <c r="AN26" i="44" s="1"/>
  <c r="AF71" i="33" a="1"/>
  <c r="AF71" i="33" s="1"/>
  <c r="O62" i="44" a="1"/>
  <c r="O62" i="44" s="1"/>
  <c r="H100" i="44" a="1"/>
  <c r="H100" i="44" s="1"/>
  <c r="AO20" i="46" a="1"/>
  <c r="AO20" i="46" s="1"/>
  <c r="AL37" i="44" a="1"/>
  <c r="AL37" i="44" s="1"/>
  <c r="N68" i="33" a="1"/>
  <c r="N68" i="33" s="1"/>
  <c r="T62" i="44" a="1"/>
  <c r="T62" i="44" s="1"/>
  <c r="T74" i="45" a="1"/>
  <c r="T74" i="45" s="1"/>
  <c r="AG15" i="46"/>
  <c r="AT30" i="47"/>
  <c r="AR15" i="41"/>
  <c r="S38" i="33" a="1"/>
  <c r="S38" i="33" s="1"/>
  <c r="Y104" i="45" a="1"/>
  <c r="Y104" i="45" s="1"/>
  <c r="AE19" i="45" a="1"/>
  <c r="AE19" i="45" s="1"/>
  <c r="C68" i="45" a="1"/>
  <c r="C68" i="45" s="1"/>
  <c r="I52" i="43" a="1"/>
  <c r="I52" i="43" s="1"/>
  <c r="I51" i="43" s="1"/>
  <c r="AV26" i="43" a="1"/>
  <c r="AV26" i="43" s="1"/>
  <c r="AE95" i="44" a="1"/>
  <c r="AE95" i="44" s="1"/>
  <c r="M43" i="44" a="1"/>
  <c r="M43" i="44" s="1"/>
  <c r="K92" i="45" a="1"/>
  <c r="K92" i="45" s="1"/>
  <c r="C89" i="45" a="1"/>
  <c r="C89" i="45" s="1"/>
  <c r="T91" i="33" a="1"/>
  <c r="T91" i="33" s="1"/>
  <c r="AN100" i="41" a="1"/>
  <c r="AN100" i="41" s="1"/>
  <c r="AQ97" i="45" a="1"/>
  <c r="AQ97" i="45" s="1"/>
  <c r="O95" i="45" a="1"/>
  <c r="O95" i="45" s="1"/>
  <c r="AH50" i="45" a="1"/>
  <c r="AH50" i="45" s="1"/>
  <c r="AQ85" i="33" a="1"/>
  <c r="AQ85" i="33" s="1"/>
  <c r="U62" i="44" a="1"/>
  <c r="U62" i="44" s="1"/>
  <c r="AQ84" i="46"/>
  <c r="AA41" i="44" a="1"/>
  <c r="AA41" i="44" s="1"/>
  <c r="AN79" i="46" a="1"/>
  <c r="AN79" i="46" s="1"/>
  <c r="I29" i="47" a="1"/>
  <c r="I29" i="47" s="1"/>
  <c r="AJ70" i="33" a="1"/>
  <c r="AJ70" i="33" s="1"/>
  <c r="AB94" i="33" a="1"/>
  <c r="AB94" i="33" s="1"/>
  <c r="E11" i="33" a="1"/>
  <c r="E11" i="33" s="1"/>
  <c r="O87" i="41"/>
  <c r="R56" i="44" a="1"/>
  <c r="R56" i="44" s="1"/>
  <c r="AV88" i="47" a="1"/>
  <c r="AV88" i="47" s="1"/>
  <c r="AB82" i="45" a="1"/>
  <c r="AB82" i="45" s="1"/>
  <c r="S49" i="33" a="1"/>
  <c r="S49" i="33" s="1"/>
  <c r="AQ15" i="43"/>
  <c r="AP70" i="45" a="1"/>
  <c r="AP70" i="45" s="1"/>
  <c r="AP69" i="45" s="1"/>
  <c r="AK49" i="33" a="1"/>
  <c r="AK49" i="33" s="1"/>
  <c r="AJ86" i="33" a="1"/>
  <c r="AJ86" i="33" s="1"/>
  <c r="Q55" i="33" a="1"/>
  <c r="Q55" i="33" s="1"/>
  <c r="C77" i="44" a="1"/>
  <c r="C77" i="44" s="1"/>
  <c r="AH49" i="33" a="1"/>
  <c r="AH49" i="33" s="1"/>
  <c r="Y80" i="44" a="1"/>
  <c r="Y80" i="44" s="1"/>
  <c r="AD31" i="45" a="1"/>
  <c r="AD31" i="45" s="1"/>
  <c r="E47" i="45" a="1"/>
  <c r="E47" i="45" s="1"/>
  <c r="AG103" i="45" a="1"/>
  <c r="AG103" i="45" s="1"/>
  <c r="AK66" i="47"/>
  <c r="AM79" i="33" a="1"/>
  <c r="AM79" i="33" s="1"/>
  <c r="Q77" i="44" a="1"/>
  <c r="Q77" i="44" s="1"/>
  <c r="F83" i="45" a="1"/>
  <c r="F83" i="45" s="1"/>
  <c r="F81" i="45" s="1"/>
  <c r="AD88" i="44" a="1"/>
  <c r="AD88" i="44" s="1"/>
  <c r="J16" i="44" a="1"/>
  <c r="J16" i="44" s="1"/>
  <c r="O18" i="47"/>
  <c r="L50" i="44" a="1"/>
  <c r="L50" i="44" s="1"/>
  <c r="AK59" i="44" a="1"/>
  <c r="AK59" i="44" s="1"/>
  <c r="AK57" i="44" s="1"/>
  <c r="AC103" i="45" a="1"/>
  <c r="AC103" i="45" s="1"/>
  <c r="Y31" i="44" a="1"/>
  <c r="Y31" i="44" s="1"/>
  <c r="F98" i="44" a="1"/>
  <c r="F98" i="44" s="1"/>
  <c r="AB55" i="33" a="1"/>
  <c r="AB55" i="33" s="1"/>
  <c r="Y61" i="45" a="1"/>
  <c r="Y61" i="45" s="1"/>
  <c r="AN83" i="33" a="1"/>
  <c r="AN83" i="33" s="1"/>
  <c r="S64" i="44" a="1"/>
  <c r="S64" i="44" s="1"/>
  <c r="AO103" i="45" a="1"/>
  <c r="AO103" i="45" s="1"/>
  <c r="AO102" i="45" s="1"/>
  <c r="W62" i="33" a="1"/>
  <c r="W62" i="33" s="1"/>
  <c r="AE10" i="45" a="1"/>
  <c r="AE10" i="45" s="1"/>
  <c r="AL65" i="33" a="1"/>
  <c r="AL65" i="33" s="1"/>
  <c r="AS39" i="43"/>
  <c r="AH49" i="44" a="1"/>
  <c r="AH49" i="44" s="1"/>
  <c r="AP11" i="45" a="1"/>
  <c r="AP11" i="45" s="1"/>
  <c r="AF49" i="44" a="1"/>
  <c r="AF49" i="44" s="1"/>
  <c r="T50" i="45" a="1"/>
  <c r="T50" i="45" s="1"/>
  <c r="AL88" i="45" a="1"/>
  <c r="AL88" i="45" s="1"/>
  <c r="AL87" i="45" s="1"/>
  <c r="U57" i="46"/>
  <c r="J44" i="33" a="1"/>
  <c r="J44" i="33" s="1"/>
  <c r="E53" i="45" a="1"/>
  <c r="E53" i="45" s="1"/>
  <c r="O10" i="45" a="1"/>
  <c r="O10" i="45" s="1"/>
  <c r="AD32" i="44" a="1"/>
  <c r="AD32" i="44" s="1"/>
  <c r="X73" i="45" a="1"/>
  <c r="X73" i="45" s="1"/>
  <c r="AD68" i="44" a="1"/>
  <c r="AD68" i="44" s="1"/>
  <c r="C88" i="43" a="1"/>
  <c r="C88" i="43" s="1"/>
  <c r="N67" i="33" a="1"/>
  <c r="N67" i="33" s="1"/>
  <c r="AO25" i="41" a="1"/>
  <c r="AO25" i="41" s="1"/>
  <c r="AF35" i="45" a="1"/>
  <c r="AF35" i="45" s="1"/>
  <c r="S41" i="45" a="1"/>
  <c r="S41" i="45" s="1"/>
  <c r="L70" i="44" a="1"/>
  <c r="L70" i="44" s="1"/>
  <c r="I83" i="47" a="1"/>
  <c r="I83" i="47" s="1"/>
  <c r="AQ101" i="33" a="1"/>
  <c r="AQ101" i="33" s="1"/>
  <c r="AB51" i="43"/>
  <c r="AM71" i="44" a="1"/>
  <c r="AM71" i="44" s="1"/>
  <c r="AN35" i="41" a="1"/>
  <c r="AN35" i="41" s="1"/>
  <c r="AO92" i="46" a="1"/>
  <c r="AO92" i="46" s="1"/>
  <c r="AD53" i="44" a="1"/>
  <c r="AD53" i="44" s="1"/>
  <c r="AD49" i="33" a="1"/>
  <c r="AD49" i="33" s="1"/>
  <c r="AE88" i="45" a="1"/>
  <c r="AE88" i="45" s="1"/>
  <c r="X104" i="45" a="1"/>
  <c r="X104" i="45" s="1"/>
  <c r="AQ10" i="45" a="1"/>
  <c r="AQ10" i="45" s="1"/>
  <c r="R40" i="45" a="1"/>
  <c r="R40" i="45" s="1"/>
  <c r="AK88" i="45" a="1"/>
  <c r="AK88" i="45" s="1"/>
  <c r="AA28" i="45" a="1"/>
  <c r="AA28" i="45" s="1"/>
  <c r="N53" i="33" a="1"/>
  <c r="N53" i="33" s="1"/>
  <c r="N53" i="45" a="1"/>
  <c r="N53" i="45" s="1"/>
  <c r="T11" i="44" a="1"/>
  <c r="T11" i="44" s="1"/>
  <c r="AV17" i="43" a="1"/>
  <c r="AV17" i="43" s="1"/>
  <c r="L80" i="45" a="1"/>
  <c r="L80" i="45" s="1"/>
  <c r="AA17" i="44" a="1"/>
  <c r="AA17" i="44" s="1"/>
  <c r="AG59" i="45" a="1"/>
  <c r="AG59" i="45" s="1"/>
  <c r="H98" i="44" a="1"/>
  <c r="H98" i="44" s="1"/>
  <c r="AP77" i="33" a="1"/>
  <c r="AP77" i="33" s="1"/>
  <c r="L56" i="44" a="1"/>
  <c r="L56" i="44" s="1"/>
  <c r="AI58" i="44" a="1"/>
  <c r="AI58" i="44" s="1"/>
  <c r="S26" i="44" a="1"/>
  <c r="S26" i="44" s="1"/>
  <c r="W56" i="44" a="1"/>
  <c r="W56" i="44" s="1"/>
  <c r="AR86" i="45" a="1"/>
  <c r="AR86" i="45" s="1"/>
  <c r="AE47" i="33" a="1"/>
  <c r="AE47" i="33" s="1"/>
  <c r="AE45" i="33" s="1"/>
  <c r="AE38" i="44" a="1"/>
  <c r="AE38" i="44" s="1"/>
  <c r="AE49" i="44" a="1"/>
  <c r="AE49" i="44" s="1"/>
  <c r="AF84" i="41"/>
  <c r="J76" i="44" a="1"/>
  <c r="J76" i="44" s="1"/>
  <c r="I77" i="47" a="1"/>
  <c r="I77" i="47" s="1"/>
  <c r="AN59" i="45" a="1"/>
  <c r="AN59" i="45" s="1"/>
  <c r="M9" i="47"/>
  <c r="AG91" i="44" a="1"/>
  <c r="AG91" i="44" s="1"/>
  <c r="AE100" i="33" a="1"/>
  <c r="AE100" i="33" s="1"/>
  <c r="AU64" i="43" a="1"/>
  <c r="AU64" i="43" s="1"/>
  <c r="T51" i="41"/>
  <c r="AI56" i="33" a="1"/>
  <c r="AI56" i="33" s="1"/>
  <c r="AO32" i="43" a="1"/>
  <c r="AO32" i="43" s="1"/>
  <c r="AO41" i="47" a="1"/>
  <c r="AO41" i="47" s="1"/>
  <c r="G79" i="44" a="1"/>
  <c r="G79" i="44" s="1"/>
  <c r="AO43" i="46" a="1"/>
  <c r="AO43" i="46" s="1"/>
  <c r="R23" i="45" a="1"/>
  <c r="R23" i="45" s="1"/>
  <c r="AQ80" i="44" a="1"/>
  <c r="AQ80" i="44" s="1"/>
  <c r="AU86" i="47" a="1"/>
  <c r="AU86" i="47" s="1"/>
  <c r="W20" i="33" a="1"/>
  <c r="W20" i="33" s="1"/>
  <c r="AG25" i="45" a="1"/>
  <c r="AG25" i="45" s="1"/>
  <c r="P44" i="33" a="1"/>
  <c r="P44" i="33" s="1"/>
  <c r="AO35" i="33" a="1"/>
  <c r="AO35" i="33" s="1"/>
  <c r="O79" i="44" a="1"/>
  <c r="O79" i="44" s="1"/>
  <c r="AH41" i="45" a="1"/>
  <c r="AH41" i="45" s="1"/>
  <c r="C28" i="47" a="1"/>
  <c r="C28" i="47" s="1"/>
  <c r="X23" i="44" a="1"/>
  <c r="X23" i="44" s="1"/>
  <c r="Z89" i="44" a="1"/>
  <c r="Z89" i="44" s="1"/>
  <c r="AB49" i="45" a="1"/>
  <c r="AB49" i="45" s="1"/>
  <c r="R32" i="45" a="1"/>
  <c r="R32" i="45" s="1"/>
  <c r="R30" i="45" s="1"/>
  <c r="AN20" i="44" a="1"/>
  <c r="AN20" i="44" s="1"/>
  <c r="N44" i="45" a="1"/>
  <c r="N44" i="45" s="1"/>
  <c r="AI59" i="33" a="1"/>
  <c r="AI59" i="33" s="1"/>
  <c r="AI57" i="33" s="1"/>
  <c r="AA50" i="45" a="1"/>
  <c r="AA50" i="45" s="1"/>
  <c r="AE59" i="44" a="1"/>
  <c r="AE59" i="44" s="1"/>
  <c r="AO25" i="45" a="1"/>
  <c r="AO25" i="45" s="1"/>
  <c r="AO24" i="45" s="1"/>
  <c r="S42" i="46"/>
  <c r="AU17" i="46" a="1"/>
  <c r="AU17" i="46" s="1"/>
  <c r="AO58" i="33" a="1"/>
  <c r="AO58" i="33" s="1"/>
  <c r="P59" i="44" a="1"/>
  <c r="P59" i="44" s="1"/>
  <c r="P57" i="44" s="1"/>
  <c r="O38" i="44" a="1"/>
  <c r="O38" i="44" s="1"/>
  <c r="R44" i="44" a="1"/>
  <c r="R44" i="44" s="1"/>
  <c r="AM86" i="44" a="1"/>
  <c r="AM86" i="44" s="1"/>
  <c r="F52" i="45" a="1"/>
  <c r="F52" i="45" s="1"/>
  <c r="S20" i="44" a="1"/>
  <c r="S20" i="44" s="1"/>
  <c r="AH28" i="45" a="1"/>
  <c r="AH28" i="45" s="1"/>
  <c r="AJ45" i="47"/>
  <c r="C47" i="33" a="1"/>
  <c r="C47" i="33" s="1"/>
  <c r="AE86" i="33" a="1"/>
  <c r="AE86" i="33" s="1"/>
  <c r="AP79" i="44" a="1"/>
  <c r="AP79" i="44" s="1"/>
  <c r="E53" i="33" a="1"/>
  <c r="E53" i="33" s="1"/>
  <c r="Q38" i="33" a="1"/>
  <c r="Q38" i="33" s="1"/>
  <c r="I46" i="33" a="1"/>
  <c r="I46" i="33" s="1"/>
  <c r="AJ26" i="45" a="1"/>
  <c r="AJ26" i="45" s="1"/>
  <c r="P22" i="33" a="1"/>
  <c r="P22" i="33" s="1"/>
  <c r="AU59" i="41" a="1"/>
  <c r="AU59" i="41" s="1"/>
  <c r="AU26" i="43" a="1"/>
  <c r="AU26" i="43" s="1"/>
  <c r="R44" i="45" a="1"/>
  <c r="R44" i="45" s="1"/>
  <c r="AP31" i="44" a="1"/>
  <c r="AP31" i="44" s="1"/>
  <c r="O20" i="45" a="1"/>
  <c r="O20" i="45" s="1"/>
  <c r="O18" i="45" s="1"/>
  <c r="AK98" i="33" a="1"/>
  <c r="AK98" i="33" s="1"/>
  <c r="AU44" i="47" a="1"/>
  <c r="AU44" i="47" s="1"/>
  <c r="AQ77" i="44" a="1"/>
  <c r="AQ77" i="44" s="1"/>
  <c r="Q76" i="33" a="1"/>
  <c r="Q76" i="33" s="1"/>
  <c r="V17" i="33" a="1"/>
  <c r="V17" i="33" s="1"/>
  <c r="AQ28" i="33" a="1"/>
  <c r="AQ28" i="33" s="1"/>
  <c r="AI94" i="44" a="1"/>
  <c r="AI94" i="44" s="1"/>
  <c r="AI93" i="44" s="1"/>
  <c r="Q19" i="33" a="1"/>
  <c r="Q19" i="33" s="1"/>
  <c r="AI85" i="33" a="1"/>
  <c r="AI85" i="33" s="1"/>
  <c r="H17" i="33" a="1"/>
  <c r="H17" i="33" s="1"/>
  <c r="E104" i="45" a="1"/>
  <c r="E104" i="45" s="1"/>
  <c r="V61" i="44" a="1"/>
  <c r="V61" i="44" s="1"/>
  <c r="AG26" i="45" a="1"/>
  <c r="AG26" i="45" s="1"/>
  <c r="Y97" i="45" a="1"/>
  <c r="Y97" i="45" s="1"/>
  <c r="AR96" i="43"/>
  <c r="C50" i="41" a="1"/>
  <c r="C50" i="41" s="1"/>
  <c r="R31" i="33" a="1"/>
  <c r="R31" i="33" s="1"/>
  <c r="AS57" i="46"/>
  <c r="K78" i="47"/>
  <c r="O87" i="47"/>
  <c r="AP24" i="47"/>
  <c r="Z78" i="43"/>
  <c r="AJ42" i="43"/>
  <c r="O96" i="41"/>
  <c r="AM33" i="41"/>
  <c r="H74" i="45" a="1"/>
  <c r="H74" i="45" s="1"/>
  <c r="H72" i="45" s="1"/>
  <c r="M86" i="44" a="1"/>
  <c r="M86" i="44" s="1"/>
  <c r="H11" i="44" a="1"/>
  <c r="H11" i="44" s="1"/>
  <c r="AO70" i="47" a="1"/>
  <c r="AO70" i="47" s="1"/>
  <c r="AU26" i="41" a="1"/>
  <c r="AU26" i="41" s="1"/>
  <c r="AH53" i="45" a="1"/>
  <c r="AH53" i="45" s="1"/>
  <c r="AB85" i="44" a="1"/>
  <c r="AB85" i="44" s="1"/>
  <c r="P30" i="41"/>
  <c r="AP92" i="45" a="1"/>
  <c r="AP92" i="45" s="1"/>
  <c r="AO67" i="44" a="1"/>
  <c r="AO67" i="44" s="1"/>
  <c r="AV40" i="47" a="1"/>
  <c r="AV40" i="47" s="1"/>
  <c r="AV39" i="47" s="1"/>
  <c r="C35" i="45" a="1"/>
  <c r="C35" i="45" s="1"/>
  <c r="A34" i="45" s="1"/>
  <c r="AG103" i="33" a="1"/>
  <c r="AG103" i="33" s="1"/>
  <c r="AP56" i="45" a="1"/>
  <c r="AP56" i="45" s="1"/>
  <c r="J98" i="44" a="1"/>
  <c r="J98" i="44" s="1"/>
  <c r="U58" i="45" a="1"/>
  <c r="U58" i="45" s="1"/>
  <c r="AD17" i="44" a="1"/>
  <c r="AD17" i="44" s="1"/>
  <c r="G92" i="44" a="1"/>
  <c r="G92" i="44" s="1"/>
  <c r="Z59" i="44" a="1"/>
  <c r="Z59" i="44" s="1"/>
  <c r="I26" i="45" a="1"/>
  <c r="I26" i="45" s="1"/>
  <c r="AV10" i="46" a="1"/>
  <c r="AV10" i="46" s="1"/>
  <c r="N83" i="45" a="1"/>
  <c r="N83" i="45" s="1"/>
  <c r="AN70" i="45" a="1"/>
  <c r="AN70" i="45" s="1"/>
  <c r="AC45" i="47"/>
  <c r="AH85" i="33" a="1"/>
  <c r="AH85" i="33" s="1"/>
  <c r="O93" i="41"/>
  <c r="O100" i="33" a="1"/>
  <c r="O100" i="33" s="1"/>
  <c r="AP44" i="44" a="1"/>
  <c r="AP44" i="44" s="1"/>
  <c r="AD46" i="44" a="1"/>
  <c r="AD46" i="44" s="1"/>
  <c r="AL83" i="44" a="1"/>
  <c r="AL83" i="44" s="1"/>
  <c r="J82" i="33" a="1"/>
  <c r="J82" i="33" s="1"/>
  <c r="AF30" i="41"/>
  <c r="H41" i="45" a="1"/>
  <c r="H41" i="45" s="1"/>
  <c r="AH25" i="45" a="1"/>
  <c r="AH25" i="45" s="1"/>
  <c r="AU16" i="43" a="1"/>
  <c r="AU16" i="43" s="1"/>
  <c r="AO25" i="47" a="1"/>
  <c r="AO25" i="47" s="1"/>
  <c r="AP47" i="33" a="1"/>
  <c r="AP47" i="33" s="1"/>
  <c r="R66" i="41"/>
  <c r="N18" i="41"/>
  <c r="J43" i="44" a="1"/>
  <c r="J43" i="44" s="1"/>
  <c r="I38" i="47" a="1"/>
  <c r="I38" i="47" s="1"/>
  <c r="Z90" i="46"/>
  <c r="AC37" i="45" a="1"/>
  <c r="AC37" i="45" s="1"/>
  <c r="C61" i="46" a="1"/>
  <c r="C61" i="46" s="1"/>
  <c r="C67" i="45" a="1"/>
  <c r="C67" i="45" s="1"/>
  <c r="Z9" i="46"/>
  <c r="S11" i="33" a="1"/>
  <c r="S11" i="33" s="1"/>
  <c r="E103" i="45" a="1"/>
  <c r="E103" i="45" s="1"/>
  <c r="AP49" i="45" a="1"/>
  <c r="AP49" i="45" s="1"/>
  <c r="Z52" i="44" a="1"/>
  <c r="Z52" i="44" s="1"/>
  <c r="C74" i="41" a="1"/>
  <c r="C74" i="41" s="1"/>
  <c r="I47" i="43" a="1"/>
  <c r="I47" i="43" s="1"/>
  <c r="AK82" i="45" a="1"/>
  <c r="AK82" i="45" s="1"/>
  <c r="Y67" i="45" a="1"/>
  <c r="Y67" i="45" s="1"/>
  <c r="AN103" i="41" a="1"/>
  <c r="AN103" i="41" s="1"/>
  <c r="AL9" i="43"/>
  <c r="C50" i="33" a="1"/>
  <c r="C50" i="33" s="1"/>
  <c r="AD24" i="46"/>
  <c r="E41" i="45" a="1"/>
  <c r="E41" i="45" s="1"/>
  <c r="AF50" i="33" a="1"/>
  <c r="AF50" i="33" s="1"/>
  <c r="AF48" i="33" s="1"/>
  <c r="J92" i="44" a="1"/>
  <c r="J92" i="44" s="1"/>
  <c r="AE80" i="33" a="1"/>
  <c r="AE80" i="33" s="1"/>
  <c r="K50" i="44" a="1"/>
  <c r="K50" i="44" s="1"/>
  <c r="Q84" i="41"/>
  <c r="AE76" i="45" a="1"/>
  <c r="AE76" i="45" s="1"/>
  <c r="C103" i="47" a="1"/>
  <c r="C103" i="47" s="1"/>
  <c r="L83" i="45" a="1"/>
  <c r="L83" i="45" s="1"/>
  <c r="AF80" i="44" a="1"/>
  <c r="AF80" i="44" s="1"/>
  <c r="AF78" i="44" s="1"/>
  <c r="AO46" i="45" a="1"/>
  <c r="AO46" i="45" s="1"/>
  <c r="AU61" i="41" a="1"/>
  <c r="AU61" i="41" s="1"/>
  <c r="I59" i="45" a="1"/>
  <c r="I59" i="45" s="1"/>
  <c r="V79" i="33" a="1"/>
  <c r="V79" i="33" s="1"/>
  <c r="AL62" i="33" a="1"/>
  <c r="AL62" i="33" s="1"/>
  <c r="G74" i="33" a="1"/>
  <c r="G74" i="33" s="1"/>
  <c r="X79" i="45" a="1"/>
  <c r="X79" i="45" s="1"/>
  <c r="AA35" i="45" a="1"/>
  <c r="AA35" i="45" s="1"/>
  <c r="C46" i="44" a="1"/>
  <c r="C46" i="44" s="1"/>
  <c r="A46" i="44" s="1"/>
  <c r="AO104" i="43" a="1"/>
  <c r="AO104" i="43" s="1"/>
  <c r="T86" i="33" a="1"/>
  <c r="T86" i="33" s="1"/>
  <c r="P74" i="44" a="1"/>
  <c r="P74" i="44" s="1"/>
  <c r="I40" i="47" a="1"/>
  <c r="I40" i="47" s="1"/>
  <c r="AO11" i="45" a="1"/>
  <c r="AO11" i="45" s="1"/>
  <c r="W56" i="33" a="1"/>
  <c r="W56" i="33" s="1"/>
  <c r="V77" i="44" a="1"/>
  <c r="V77" i="44" s="1"/>
  <c r="AC10" i="33" a="1"/>
  <c r="AC10" i="33" s="1"/>
  <c r="AN23" i="41" a="1"/>
  <c r="AN23" i="41" s="1"/>
  <c r="T26" i="44" a="1"/>
  <c r="T26" i="44" s="1"/>
  <c r="C80" i="41" a="1"/>
  <c r="C80" i="41" s="1"/>
  <c r="Z79" i="44" a="1"/>
  <c r="Z79" i="44" s="1"/>
  <c r="AE82" i="33" a="1"/>
  <c r="AE82" i="33" s="1"/>
  <c r="Q62" i="44" a="1"/>
  <c r="Q62" i="44" s="1"/>
  <c r="AL31" i="33" a="1"/>
  <c r="AL31" i="33" s="1"/>
  <c r="AC70" i="44" a="1"/>
  <c r="AC70" i="44" s="1"/>
  <c r="X22" i="44" a="1"/>
  <c r="X22" i="44" s="1"/>
  <c r="I20" i="43" a="1"/>
  <c r="I20" i="43" s="1"/>
  <c r="AL94" i="45" a="1"/>
  <c r="AL94" i="45" s="1"/>
  <c r="AL93" i="45" s="1"/>
  <c r="Y63" i="43"/>
  <c r="Q56" i="33" a="1"/>
  <c r="Q56" i="33" s="1"/>
  <c r="M83" i="45" a="1"/>
  <c r="M83" i="45" s="1"/>
  <c r="AL100" i="33" a="1"/>
  <c r="AL100" i="33" s="1"/>
  <c r="X55" i="45" a="1"/>
  <c r="X55" i="45" s="1"/>
  <c r="AQ50" i="45" a="1"/>
  <c r="AQ50" i="45" s="1"/>
  <c r="AN100" i="46" a="1"/>
  <c r="AN100" i="46" s="1"/>
  <c r="AN19" i="33" a="1"/>
  <c r="AN19" i="33" s="1"/>
  <c r="AA74" i="44" a="1"/>
  <c r="AA74" i="44" s="1"/>
  <c r="S32" i="44" a="1"/>
  <c r="S32" i="44" s="1"/>
  <c r="Z62" i="44" a="1"/>
  <c r="Z62" i="44" s="1"/>
  <c r="AN41" i="47" a="1"/>
  <c r="AN41" i="47" s="1"/>
  <c r="AG83" i="44" a="1"/>
  <c r="AG83" i="44" s="1"/>
  <c r="I53" i="33" a="1"/>
  <c r="I53" i="33" s="1"/>
  <c r="W92" i="44" a="1"/>
  <c r="W92" i="44" s="1"/>
  <c r="T31" i="44" a="1"/>
  <c r="T31" i="44" s="1"/>
  <c r="AN23" i="45" a="1"/>
  <c r="AN23" i="45" s="1"/>
  <c r="U74" i="44" a="1"/>
  <c r="U74" i="44" s="1"/>
  <c r="AS69" i="46"/>
  <c r="AM100" i="44" a="1"/>
  <c r="AM100" i="44" s="1"/>
  <c r="AM99" i="44" s="1"/>
  <c r="AQ11" i="33" a="1"/>
  <c r="AQ11" i="33" s="1"/>
  <c r="AQ49" i="33" a="1"/>
  <c r="AQ49" i="33" s="1"/>
  <c r="G80" i="44" a="1"/>
  <c r="G80" i="44" s="1"/>
  <c r="AN79" i="41" a="1"/>
  <c r="AN79" i="41" s="1"/>
  <c r="AN78" i="41" s="1"/>
  <c r="E37" i="33" a="1"/>
  <c r="E37" i="33" s="1"/>
  <c r="I92" i="43" a="1"/>
  <c r="I92" i="43" s="1"/>
  <c r="X97" i="45" a="1"/>
  <c r="X97" i="45" s="1"/>
  <c r="X96" i="45" s="1"/>
  <c r="M15" i="46"/>
  <c r="M50" i="45" a="1"/>
  <c r="M50" i="45" s="1"/>
  <c r="AJ43" i="44" a="1"/>
  <c r="AJ43" i="44" s="1"/>
  <c r="AU104" i="46" a="1"/>
  <c r="AU104" i="46" s="1"/>
  <c r="AO62" i="41" a="1"/>
  <c r="AO62" i="41" s="1"/>
  <c r="AN28" i="47" a="1"/>
  <c r="AN28" i="47" s="1"/>
  <c r="AM67" i="33" a="1"/>
  <c r="AM67" i="33" s="1"/>
  <c r="I16" i="47" a="1"/>
  <c r="I16" i="47" s="1"/>
  <c r="AI92" i="44" a="1"/>
  <c r="AI92" i="44" s="1"/>
  <c r="C38" i="41" a="1"/>
  <c r="C38" i="41" s="1"/>
  <c r="M23" i="44" a="1"/>
  <c r="M23" i="44" s="1"/>
  <c r="AS51" i="46"/>
  <c r="AI19" i="44" a="1"/>
  <c r="AI19" i="44" s="1"/>
  <c r="AH103" i="44" a="1"/>
  <c r="AH103" i="44" s="1"/>
  <c r="O36" i="43"/>
  <c r="AQ85" i="45" a="1"/>
  <c r="AQ85" i="45" s="1"/>
  <c r="AG54" i="47"/>
  <c r="U96" i="46"/>
  <c r="AK50" i="44" a="1"/>
  <c r="AK50" i="44" s="1"/>
  <c r="T78" i="47"/>
  <c r="AN97" i="43" a="1"/>
  <c r="AN97" i="43" s="1"/>
  <c r="C47" i="47" a="1"/>
  <c r="C47" i="47" s="1"/>
  <c r="X58" i="33" a="1"/>
  <c r="X58" i="33" s="1"/>
  <c r="AN61" i="44" a="1"/>
  <c r="AN61" i="44" s="1"/>
  <c r="AH98" i="33" a="1"/>
  <c r="AH98" i="33" s="1"/>
  <c r="AN49" i="43" a="1"/>
  <c r="AN49" i="43" s="1"/>
  <c r="AL49" i="33" a="1"/>
  <c r="AL49" i="33" s="1"/>
  <c r="AL48" i="33" s="1"/>
  <c r="AA78" i="43"/>
  <c r="AO76" i="41" a="1"/>
  <c r="AO76" i="41" s="1"/>
  <c r="K52" i="45" a="1"/>
  <c r="K52" i="45" s="1"/>
  <c r="C47" i="42" a="1"/>
  <c r="C47" i="42" s="1"/>
  <c r="M70" i="45" a="1"/>
  <c r="M70" i="45" s="1"/>
  <c r="X89" i="33" a="1"/>
  <c r="X89" i="33" s="1"/>
  <c r="AE67" i="33" a="1"/>
  <c r="AE67" i="33" s="1"/>
  <c r="C97" i="33" a="1"/>
  <c r="C97" i="33" s="1"/>
  <c r="A97" i="33" s="1"/>
  <c r="AG100" i="45" a="1"/>
  <c r="AG100" i="45" s="1"/>
  <c r="V50" i="44" a="1"/>
  <c r="V50" i="44" s="1"/>
  <c r="AH28" i="33" a="1"/>
  <c r="AH28" i="33" s="1"/>
  <c r="J17" i="33" a="1"/>
  <c r="J17" i="33" s="1"/>
  <c r="AF89" i="45" a="1"/>
  <c r="AF89" i="45" s="1"/>
  <c r="X90" i="43"/>
  <c r="AB38" i="45" a="1"/>
  <c r="AB38" i="45" s="1"/>
  <c r="AR92" i="44" a="1"/>
  <c r="AR92" i="44" s="1"/>
  <c r="J71" i="45" a="1"/>
  <c r="J71" i="45" s="1"/>
  <c r="T16" i="45" a="1"/>
  <c r="T16" i="45" s="1"/>
  <c r="AB88" i="33" a="1"/>
  <c r="AB88" i="33" s="1"/>
  <c r="AN17" i="44" a="1"/>
  <c r="AN17" i="44" s="1"/>
  <c r="AH64" i="33" a="1"/>
  <c r="AH64" i="33" s="1"/>
  <c r="K32" i="45" a="1"/>
  <c r="K32" i="45" s="1"/>
  <c r="AG22" i="33" a="1"/>
  <c r="AG22" i="33" s="1"/>
  <c r="AP55" i="45" a="1"/>
  <c r="AP55" i="45" s="1"/>
  <c r="AU67" i="41" a="1"/>
  <c r="AU67" i="41" s="1"/>
  <c r="K16" i="33" a="1"/>
  <c r="K16" i="33" s="1"/>
  <c r="I32" i="33" a="1"/>
  <c r="I32" i="33" s="1"/>
  <c r="C76" i="33" a="1"/>
  <c r="C76" i="33" s="1"/>
  <c r="W64" i="44" a="1"/>
  <c r="W64" i="44" s="1"/>
  <c r="R77" i="33" a="1"/>
  <c r="R77" i="33" s="1"/>
  <c r="AI97" i="45" a="1"/>
  <c r="AI97" i="45" s="1"/>
  <c r="AL101" i="45" a="1"/>
  <c r="AL101" i="45" s="1"/>
  <c r="AV64" i="46" a="1"/>
  <c r="AV64" i="46" s="1"/>
  <c r="AR59" i="45" a="1"/>
  <c r="AR59" i="45" s="1"/>
  <c r="AO41" i="43" a="1"/>
  <c r="AO41" i="43" s="1"/>
  <c r="F43" i="45" a="1"/>
  <c r="F43" i="45" s="1"/>
  <c r="S94" i="33" a="1"/>
  <c r="S94" i="33" s="1"/>
  <c r="AI49" i="45" a="1"/>
  <c r="AI49" i="45" s="1"/>
  <c r="AP66" i="46"/>
  <c r="AN10" i="45" a="1"/>
  <c r="AN10" i="45" s="1"/>
  <c r="AV92" i="43" a="1"/>
  <c r="AV92" i="43" s="1"/>
  <c r="K11" i="45" a="1"/>
  <c r="K11" i="45" s="1"/>
  <c r="AO71" i="43" a="1"/>
  <c r="AO71" i="43" s="1"/>
  <c r="C104" i="44" a="1"/>
  <c r="C104" i="44" s="1"/>
  <c r="P20" i="45" a="1"/>
  <c r="P20" i="45" s="1"/>
  <c r="E38" i="44" a="1"/>
  <c r="E38" i="44" s="1"/>
  <c r="AD44" i="45" a="1"/>
  <c r="AD44" i="45" s="1"/>
  <c r="AO79" i="45" a="1"/>
  <c r="AO79" i="45" s="1"/>
  <c r="AP85" i="44" a="1"/>
  <c r="AP85" i="44" s="1"/>
  <c r="C16" i="43" a="1"/>
  <c r="C16" i="43" s="1"/>
  <c r="A16" i="43" s="1"/>
  <c r="J85" i="44" a="1"/>
  <c r="J85" i="44" s="1"/>
  <c r="AH76" i="44" a="1"/>
  <c r="AH76" i="44" s="1"/>
  <c r="AN76" i="45" a="1"/>
  <c r="AN76" i="45" s="1"/>
  <c r="Y103" i="45" a="1"/>
  <c r="Y103" i="45" s="1"/>
  <c r="C85" i="44" a="1"/>
  <c r="C85" i="44" s="1"/>
  <c r="N46" i="33" a="1"/>
  <c r="N46" i="33" s="1"/>
  <c r="I23" i="33" a="1"/>
  <c r="I23" i="33" s="1"/>
  <c r="U82" i="45" a="1"/>
  <c r="U82" i="45" s="1"/>
  <c r="AB95" i="44" a="1"/>
  <c r="AB95" i="44" s="1"/>
  <c r="N95" i="33" a="1"/>
  <c r="N95" i="33" s="1"/>
  <c r="AM40" i="33" a="1"/>
  <c r="AM40" i="33" s="1"/>
  <c r="AV44" i="46" a="1"/>
  <c r="AV44" i="46" s="1"/>
  <c r="AE65" i="33" a="1"/>
  <c r="AE65" i="33" s="1"/>
  <c r="AE63" i="33" s="1"/>
  <c r="E38" i="45" a="1"/>
  <c r="E38" i="45" s="1"/>
  <c r="AL67" i="33" a="1"/>
  <c r="AL67" i="33" s="1"/>
  <c r="AQ81" i="46"/>
  <c r="I100" i="43" a="1"/>
  <c r="I100" i="43" s="1"/>
  <c r="AQ47" i="44" a="1"/>
  <c r="AQ47" i="44" s="1"/>
  <c r="AN55" i="33" a="1"/>
  <c r="AN55" i="33" s="1"/>
  <c r="M71" i="33" a="1"/>
  <c r="M71" i="33" s="1"/>
  <c r="Z21" i="46"/>
  <c r="AQ11" i="44" a="1"/>
  <c r="AQ11" i="44" s="1"/>
  <c r="X62" i="33" a="1"/>
  <c r="X62" i="33" s="1"/>
  <c r="S79" i="45" a="1"/>
  <c r="S79" i="45" s="1"/>
  <c r="AL62" i="44" a="1"/>
  <c r="AL62" i="44" s="1"/>
  <c r="T86" i="44" a="1"/>
  <c r="T86" i="44" s="1"/>
  <c r="P104" i="33" a="1"/>
  <c r="P104" i="33" s="1"/>
  <c r="AU11" i="41" a="1"/>
  <c r="AU11" i="41" s="1"/>
  <c r="H61" i="45" a="1"/>
  <c r="H61" i="45" s="1"/>
  <c r="I47" i="45" a="1"/>
  <c r="I47" i="45" s="1"/>
  <c r="M58" i="44" a="1"/>
  <c r="M58" i="44" s="1"/>
  <c r="AM43" i="44" a="1"/>
  <c r="AM43" i="44" s="1"/>
  <c r="I37" i="43" a="1"/>
  <c r="I37" i="43" s="1"/>
  <c r="AA104" i="44" a="1"/>
  <c r="AA104" i="44" s="1"/>
  <c r="AU31" i="47" a="1"/>
  <c r="AU31" i="47" s="1"/>
  <c r="X79" i="33" a="1"/>
  <c r="X79" i="33" s="1"/>
  <c r="G83" i="44" a="1"/>
  <c r="G83" i="44" s="1"/>
  <c r="G81" i="44" s="1"/>
  <c r="AO101" i="43" a="1"/>
  <c r="AO101" i="43" s="1"/>
  <c r="V11" i="33" a="1"/>
  <c r="V11" i="33" s="1"/>
  <c r="AA49" i="45" a="1"/>
  <c r="AA49" i="45" s="1"/>
  <c r="AV68" i="43" a="1"/>
  <c r="AV68" i="43" s="1"/>
  <c r="W22" i="44" a="1"/>
  <c r="W22" i="44" s="1"/>
  <c r="W21" i="44" s="1"/>
  <c r="AQ9" i="47"/>
  <c r="Q45" i="43"/>
  <c r="F23" i="33" a="1"/>
  <c r="F23" i="33" s="1"/>
  <c r="Z75" i="43"/>
  <c r="AU23" i="46" a="1"/>
  <c r="AU23" i="46" s="1"/>
  <c r="AH36" i="47"/>
  <c r="AQ83" i="45" a="1"/>
  <c r="AQ83" i="45" s="1"/>
  <c r="Y76" i="45" a="1"/>
  <c r="Y76" i="45" s="1"/>
  <c r="Y75" i="45" s="1"/>
  <c r="AJ76" i="33" a="1"/>
  <c r="AJ76" i="33" s="1"/>
  <c r="V53" i="45" a="1"/>
  <c r="V53" i="45" s="1"/>
  <c r="AE95" i="45" a="1"/>
  <c r="AE95" i="45" s="1"/>
  <c r="AO80" i="43" a="1"/>
  <c r="AO80" i="43" s="1"/>
  <c r="J83" i="33" a="1"/>
  <c r="J83" i="33" s="1"/>
  <c r="X23" i="33" a="1"/>
  <c r="X23" i="33" s="1"/>
  <c r="O23" i="33" a="1"/>
  <c r="O23" i="33" s="1"/>
  <c r="L76" i="33" a="1"/>
  <c r="L76" i="33" s="1"/>
  <c r="X85" i="33" a="1"/>
  <c r="X85" i="33" s="1"/>
  <c r="T86" i="45" a="1"/>
  <c r="T86" i="45" s="1"/>
  <c r="AK79" i="45" a="1"/>
  <c r="AK79" i="45" s="1"/>
  <c r="AM89" i="44" a="1"/>
  <c r="AM89" i="44" s="1"/>
  <c r="AP48" i="41"/>
  <c r="T79" i="44" a="1"/>
  <c r="T79" i="44" s="1"/>
  <c r="T78" i="44" s="1"/>
  <c r="Z26" i="44" a="1"/>
  <c r="Z26" i="44" s="1"/>
  <c r="C98" i="45" a="1"/>
  <c r="C98" i="45" s="1"/>
  <c r="C55" i="47" a="1"/>
  <c r="C55" i="47" s="1"/>
  <c r="AQ23" i="44" a="1"/>
  <c r="AQ23" i="44" s="1"/>
  <c r="I101" i="44" a="1"/>
  <c r="I101" i="44" s="1"/>
  <c r="H19" i="44" a="1"/>
  <c r="H19" i="44" s="1"/>
  <c r="H18" i="44" s="1"/>
  <c r="R91" i="45" a="1"/>
  <c r="R91" i="45" s="1"/>
  <c r="Q100" i="44" a="1"/>
  <c r="Q100" i="44" s="1"/>
  <c r="W71" i="45" a="1"/>
  <c r="W71" i="45" s="1"/>
  <c r="C52" i="47" a="1"/>
  <c r="C52" i="47" s="1"/>
  <c r="J94" i="45" a="1"/>
  <c r="J94" i="45" s="1"/>
  <c r="AP40" i="33" a="1"/>
  <c r="AP40" i="33" s="1"/>
  <c r="AB58" i="45" a="1"/>
  <c r="AB58" i="45" s="1"/>
  <c r="AE89" i="45" a="1"/>
  <c r="AE89" i="45" s="1"/>
  <c r="I80" i="33" a="1"/>
  <c r="I80" i="33" s="1"/>
  <c r="AE29" i="33" a="1"/>
  <c r="AE29" i="33" s="1"/>
  <c r="AI65" i="45" a="1"/>
  <c r="AI65" i="45" s="1"/>
  <c r="J104" i="44" a="1"/>
  <c r="J104" i="44" s="1"/>
  <c r="AO19" i="46" a="1"/>
  <c r="AO19" i="46" s="1"/>
  <c r="C23" i="43" a="1"/>
  <c r="C23" i="43" s="1"/>
  <c r="P34" i="45" a="1"/>
  <c r="P34" i="45" s="1"/>
  <c r="Q11" i="33" a="1"/>
  <c r="Q11" i="33" s="1"/>
  <c r="AK54" i="46"/>
  <c r="T95" i="44" a="1"/>
  <c r="T95" i="44" s="1"/>
  <c r="W94" i="45" a="1"/>
  <c r="W94" i="45" s="1"/>
  <c r="AJ91" i="33" a="1"/>
  <c r="AJ91" i="33" s="1"/>
  <c r="Y44" i="33" a="1"/>
  <c r="Y44" i="33" s="1"/>
  <c r="Y43" i="33" a="1"/>
  <c r="Y43" i="33" s="1"/>
  <c r="AO49" i="44" a="1"/>
  <c r="AO49" i="44" s="1"/>
  <c r="AO48" i="44" s="1"/>
  <c r="H20" i="33" a="1"/>
  <c r="H20" i="33" s="1"/>
  <c r="L85" i="44" a="1"/>
  <c r="L85" i="44" s="1"/>
  <c r="L84" i="44" s="1"/>
  <c r="AH26" i="33" a="1"/>
  <c r="AH26" i="33" s="1"/>
  <c r="I17" i="44" a="1"/>
  <c r="I17" i="44" s="1"/>
  <c r="V58" i="44" a="1"/>
  <c r="V58" i="44" s="1"/>
  <c r="AN25" i="41" a="1"/>
  <c r="AN25" i="41" s="1"/>
  <c r="E97" i="44" a="1"/>
  <c r="E97" i="44" s="1"/>
  <c r="I50" i="43" a="1"/>
  <c r="I50" i="43" s="1"/>
  <c r="Z22" i="44" a="1"/>
  <c r="Z22" i="44" s="1"/>
  <c r="AE38" i="33" a="1"/>
  <c r="AE38" i="33" s="1"/>
  <c r="Z49" i="33" a="1"/>
  <c r="Z49" i="33" s="1"/>
  <c r="P45" i="46"/>
  <c r="AP41" i="33" a="1"/>
  <c r="AP41" i="33" s="1"/>
  <c r="AN10" i="47" a="1"/>
  <c r="AN10" i="47" s="1"/>
  <c r="AP103" i="45" a="1"/>
  <c r="AP103" i="45" s="1"/>
  <c r="AF78" i="43"/>
  <c r="AC94" i="44" a="1"/>
  <c r="AC94" i="44" s="1"/>
  <c r="F10" i="33" a="1"/>
  <c r="F10" i="33" s="1"/>
  <c r="AB15" i="47"/>
  <c r="AM95" i="45" a="1"/>
  <c r="AM95" i="45" s="1"/>
  <c r="T41" i="45" a="1"/>
  <c r="T41" i="45" s="1"/>
  <c r="AG47" i="33" a="1"/>
  <c r="AG47" i="33" s="1"/>
  <c r="AG45" i="33" s="1"/>
  <c r="AJ52" i="45" a="1"/>
  <c r="AJ52" i="45" s="1"/>
  <c r="P79" i="45" a="1"/>
  <c r="P79" i="45" s="1"/>
  <c r="J103" i="44" a="1"/>
  <c r="J103" i="44" s="1"/>
  <c r="R72" i="43"/>
  <c r="W71" i="33" a="1"/>
  <c r="W71" i="33" s="1"/>
  <c r="I85" i="43" a="1"/>
  <c r="I85" i="43" s="1"/>
  <c r="L95" i="44" a="1"/>
  <c r="L95" i="44" s="1"/>
  <c r="Z58" i="45" a="1"/>
  <c r="Z58" i="45" s="1"/>
  <c r="Z57" i="45" s="1"/>
  <c r="E67" i="33" a="1"/>
  <c r="E67" i="33" s="1"/>
  <c r="E66" i="33" s="1"/>
  <c r="AO58" i="43" a="1"/>
  <c r="AO58" i="43" s="1"/>
  <c r="AP75" i="46"/>
  <c r="AD49" i="45" a="1"/>
  <c r="AD49" i="45" s="1"/>
  <c r="I23" i="46" a="1"/>
  <c r="I23" i="46" s="1"/>
  <c r="C22" i="44" a="1"/>
  <c r="C22" i="44" s="1"/>
  <c r="AL71" i="33" a="1"/>
  <c r="AL71" i="33" s="1"/>
  <c r="Q88" i="33" a="1"/>
  <c r="Q88" i="33" s="1"/>
  <c r="AO68" i="43" a="1"/>
  <c r="AO68" i="43" s="1"/>
  <c r="AD22" i="45" a="1"/>
  <c r="AD22" i="45" s="1"/>
  <c r="AN28" i="41" a="1"/>
  <c r="AN28" i="41" s="1"/>
  <c r="AN27" i="41" s="1"/>
  <c r="S76" i="44" a="1"/>
  <c r="S76" i="44" s="1"/>
  <c r="Q32" i="33" a="1"/>
  <c r="Q32" i="33" s="1"/>
  <c r="N56" i="44" a="1"/>
  <c r="N56" i="44" s="1"/>
  <c r="X69" i="41"/>
  <c r="AV88" i="41" a="1"/>
  <c r="AV88" i="41" s="1"/>
  <c r="J94" i="33" a="1"/>
  <c r="J94" i="33" s="1"/>
  <c r="W80" i="44" a="1"/>
  <c r="W80" i="44" s="1"/>
  <c r="Z71" i="33" a="1"/>
  <c r="Z71" i="33" s="1"/>
  <c r="AH34" i="33" a="1"/>
  <c r="AH34" i="33" s="1"/>
  <c r="Q67" i="45" a="1"/>
  <c r="Q67" i="45" s="1"/>
  <c r="U75" i="46"/>
  <c r="K98" i="45" a="1"/>
  <c r="K98" i="45" s="1"/>
  <c r="AO20" i="41" a="1"/>
  <c r="AO20" i="41" s="1"/>
  <c r="AR75" i="46"/>
  <c r="Q76" i="44" a="1"/>
  <c r="Q76" i="44" s="1"/>
  <c r="Q23" i="33" a="1"/>
  <c r="Q23" i="33" s="1"/>
  <c r="AJ17" i="45" a="1"/>
  <c r="AJ17" i="45" s="1"/>
  <c r="AK34" i="33" a="1"/>
  <c r="AK34" i="33" s="1"/>
  <c r="AA65" i="45" a="1"/>
  <c r="AA65" i="45" s="1"/>
  <c r="AH77" i="45" a="1"/>
  <c r="AH77" i="45" s="1"/>
  <c r="C22" i="41" a="1"/>
  <c r="C22" i="41" s="1"/>
  <c r="A22" i="41" s="1"/>
  <c r="AN79" i="43" a="1"/>
  <c r="AN79" i="43"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AB61" i="45" a="1"/>
  <c r="AB61" i="45" s="1"/>
  <c r="AB26" i="44" a="1"/>
  <c r="AB26" i="44" s="1"/>
  <c r="T66" i="46"/>
  <c r="AB95" i="45" a="1"/>
  <c r="AB95" i="45" s="1"/>
  <c r="AC83" i="33" a="1"/>
  <c r="AC83" i="33" s="1"/>
  <c r="AC81" i="33" s="1"/>
  <c r="AH82" i="33" a="1"/>
  <c r="AH82" i="33" s="1"/>
  <c r="AN52" i="47" a="1"/>
  <c r="AN52" i="47" s="1"/>
  <c r="AK86" i="45" a="1"/>
  <c r="AK86" i="45" s="1"/>
  <c r="AJ82" i="45" a="1"/>
  <c r="AJ82" i="45" s="1"/>
  <c r="AV38" i="41" a="1"/>
  <c r="AV38" i="41" s="1"/>
  <c r="AH52" i="45" a="1"/>
  <c r="AH52" i="45" s="1"/>
  <c r="E65" i="44" a="1"/>
  <c r="E65" i="44" s="1"/>
  <c r="P60" i="41"/>
  <c r="AN98" i="46" a="1"/>
  <c r="AN98" i="46" s="1"/>
  <c r="V95" i="44" a="1"/>
  <c r="V95" i="44" s="1"/>
  <c r="AC94" i="45" a="1"/>
  <c r="AC94" i="45" s="1"/>
  <c r="J33" i="41"/>
  <c r="V101" i="33" a="1"/>
  <c r="V101" i="33" s="1"/>
  <c r="R88" i="33" a="1"/>
  <c r="R88" i="33" s="1"/>
  <c r="F77" i="45" a="1"/>
  <c r="F77" i="45" s="1"/>
  <c r="C40" i="33" a="1"/>
  <c r="C40" i="33" s="1"/>
  <c r="A40" i="33" s="1"/>
  <c r="V68" i="33" a="1"/>
  <c r="V68" i="33" s="1"/>
  <c r="AH92" i="44" a="1"/>
  <c r="AH92" i="44" s="1"/>
  <c r="X88" i="44" a="1"/>
  <c r="X88" i="44" s="1"/>
  <c r="AD83" i="33" a="1"/>
  <c r="AD83" i="33" s="1"/>
  <c r="S79" i="33" a="1"/>
  <c r="S79" i="33" s="1"/>
  <c r="AP97" i="33" a="1"/>
  <c r="AP97" i="33" s="1"/>
  <c r="Y56" i="45" a="1"/>
  <c r="Y56" i="45" s="1"/>
  <c r="AK64" i="33" a="1"/>
  <c r="AK64" i="33" s="1"/>
  <c r="AS30" i="41"/>
  <c r="V38" i="44" a="1"/>
  <c r="V38" i="44" s="1"/>
  <c r="V36" i="44" s="1"/>
  <c r="V74" i="45" a="1"/>
  <c r="V74" i="45" s="1"/>
  <c r="W23" i="33" a="1"/>
  <c r="W23" i="33" s="1"/>
  <c r="AP56" i="44" a="1"/>
  <c r="AP56" i="44" s="1"/>
  <c r="S85" i="44" a="1"/>
  <c r="S85" i="44" s="1"/>
  <c r="C68" i="42" a="1"/>
  <c r="C68" i="42" s="1"/>
  <c r="AA64" i="45" a="1"/>
  <c r="AA64" i="45" s="1"/>
  <c r="AO67" i="41" a="1"/>
  <c r="AO67" i="41" s="1"/>
  <c r="R50" i="44" a="1"/>
  <c r="R50" i="44" s="1"/>
  <c r="Y32" i="45" a="1"/>
  <c r="Y32" i="45" s="1"/>
  <c r="AB28" i="45" a="1"/>
  <c r="AB28" i="45" s="1"/>
  <c r="AO52" i="45" a="1"/>
  <c r="AO52" i="45" s="1"/>
  <c r="AO46" i="43" a="1"/>
  <c r="AO46" i="43" s="1"/>
  <c r="I46" i="44" a="1"/>
  <c r="I46" i="44" s="1"/>
  <c r="I45" i="44" s="1"/>
  <c r="AA89" i="45" a="1"/>
  <c r="AA89" i="45" s="1"/>
  <c r="AU86" i="43" a="1"/>
  <c r="AU86" i="43" s="1"/>
  <c r="N100" i="44" a="1"/>
  <c r="N100" i="44" s="1"/>
  <c r="N99" i="44" s="1"/>
  <c r="C100" i="45" a="1"/>
  <c r="C100" i="45" s="1"/>
  <c r="W18" i="47"/>
  <c r="V82" i="44" a="1"/>
  <c r="V82" i="44" s="1"/>
  <c r="V68" i="45" a="1"/>
  <c r="V68" i="45" s="1"/>
  <c r="AF90" i="41"/>
  <c r="T76" i="45" a="1"/>
  <c r="T76" i="45" s="1"/>
  <c r="AG86" i="33" a="1"/>
  <c r="AG86" i="33" s="1"/>
  <c r="AC24" i="47"/>
  <c r="E64" i="45" a="1"/>
  <c r="E64" i="45" s="1"/>
  <c r="E63" i="45" s="1"/>
  <c r="H64" i="44" a="1"/>
  <c r="H64" i="44" s="1"/>
  <c r="E83" i="33" a="1"/>
  <c r="E83" i="33" s="1"/>
  <c r="H71" i="33" a="1"/>
  <c r="H71" i="33" s="1"/>
  <c r="AM10" i="45" a="1"/>
  <c r="AM10" i="45" s="1"/>
  <c r="AM9" i="45" s="1"/>
  <c r="AO26" i="33" a="1"/>
  <c r="AO26" i="33" s="1"/>
  <c r="AR29" i="33" a="1"/>
  <c r="AR29" i="33" s="1"/>
  <c r="C19" i="44" a="1"/>
  <c r="C19" i="44" s="1"/>
  <c r="AJ94" i="44" a="1"/>
  <c r="AJ94" i="44" s="1"/>
  <c r="AP35" i="45" a="1"/>
  <c r="AP35" i="45" s="1"/>
  <c r="Z25" i="44" a="1"/>
  <c r="Z25" i="44" s="1"/>
  <c r="AA29" i="45" a="1"/>
  <c r="AA29" i="45" s="1"/>
  <c r="AV97" i="47" a="1"/>
  <c r="AV97" i="47" s="1"/>
  <c r="AE40" i="45" a="1"/>
  <c r="AE40" i="45" s="1"/>
  <c r="E40" i="45" a="1"/>
  <c r="E40" i="45" s="1"/>
  <c r="AG19" i="33" a="1"/>
  <c r="AG19" i="33" s="1"/>
  <c r="L43" i="44" a="1"/>
  <c r="L43" i="44" s="1"/>
  <c r="O20" i="44" a="1"/>
  <c r="O20" i="44" s="1"/>
  <c r="AA86" i="44" a="1"/>
  <c r="AA86" i="44" s="1"/>
  <c r="H92" i="44" a="1"/>
  <c r="H92" i="44" s="1"/>
  <c r="V42" i="46"/>
  <c r="Z61" i="45" a="1"/>
  <c r="Z61" i="45" s="1"/>
  <c r="H47" i="33" a="1"/>
  <c r="H47" i="33" s="1"/>
  <c r="AG97" i="33" a="1"/>
  <c r="AG97" i="33" s="1"/>
  <c r="AP78" i="46"/>
  <c r="AP80" i="45" a="1"/>
  <c r="AP80" i="45" s="1"/>
  <c r="AN26" i="41" a="1"/>
  <c r="AN26" i="41" s="1"/>
  <c r="AF61" i="33" a="1"/>
  <c r="AF61" i="33" s="1"/>
  <c r="F59" i="33" a="1"/>
  <c r="F59" i="33" s="1"/>
  <c r="H82" i="33" a="1"/>
  <c r="H82" i="33" s="1"/>
  <c r="AD59" i="45" a="1"/>
  <c r="AD59" i="45" s="1"/>
  <c r="I79" i="46" a="1"/>
  <c r="I79" i="46" s="1"/>
  <c r="C100" i="43" a="1"/>
  <c r="C100" i="43" s="1"/>
  <c r="P17" i="45" a="1"/>
  <c r="P17" i="45" s="1"/>
  <c r="Y58" i="44" a="1"/>
  <c r="Y58" i="44" s="1"/>
  <c r="AG74" i="45" a="1"/>
  <c r="AG74" i="45" s="1"/>
  <c r="K64" i="33" a="1"/>
  <c r="K64" i="33" s="1"/>
  <c r="AO73" i="44" a="1"/>
  <c r="AO73" i="44" s="1"/>
  <c r="O83" i="33" a="1"/>
  <c r="O83" i="33" s="1"/>
  <c r="P61" i="33" a="1"/>
  <c r="P61" i="33" s="1"/>
  <c r="K73" i="45" a="1"/>
  <c r="K73" i="45" s="1"/>
  <c r="K72" i="45" s="1"/>
  <c r="E100" i="44" a="1"/>
  <c r="E100" i="44" s="1"/>
  <c r="G56" i="45" a="1"/>
  <c r="G56" i="45" s="1"/>
  <c r="C73" i="43" a="1"/>
  <c r="C73" i="43" s="1"/>
  <c r="AO26" i="47" a="1"/>
  <c r="AO26" i="47" s="1"/>
  <c r="AO50" i="45" a="1"/>
  <c r="AO50" i="45" s="1"/>
  <c r="AM37" i="44" a="1"/>
  <c r="AM37" i="44" s="1"/>
  <c r="Z77" i="44" a="1"/>
  <c r="Z77" i="44" s="1"/>
  <c r="AU20" i="47" a="1"/>
  <c r="AU20" i="47" s="1"/>
  <c r="AU18" i="47" s="1"/>
  <c r="I32" i="41" a="1"/>
  <c r="I32" i="41" s="1"/>
  <c r="AK26" i="33" a="1"/>
  <c r="AK26" i="33" s="1"/>
  <c r="I88" i="44" a="1"/>
  <c r="I88" i="44" s="1"/>
  <c r="K68" i="33" a="1"/>
  <c r="K68" i="33" s="1"/>
  <c r="I62" i="47" a="1"/>
  <c r="I62" i="47" s="1"/>
  <c r="I53" i="41" a="1"/>
  <c r="I53" i="41" s="1"/>
  <c r="G37" i="44" a="1"/>
  <c r="G37" i="44" s="1"/>
  <c r="L47" i="45" a="1"/>
  <c r="L47" i="45" s="1"/>
  <c r="AB49" i="33" a="1"/>
  <c r="AB49" i="33" s="1"/>
  <c r="AB48" i="33" s="1"/>
  <c r="G11" i="44" a="1"/>
  <c r="G11" i="44" s="1"/>
  <c r="G9" i="44" s="1"/>
  <c r="AG9" i="47"/>
  <c r="AB54" i="43"/>
  <c r="AM45" i="47"/>
  <c r="R82" i="45" a="1"/>
  <c r="R82" i="45" s="1"/>
  <c r="Q103" i="44" a="1"/>
  <c r="Q103" i="44" s="1"/>
  <c r="V85" i="33" a="1"/>
  <c r="V85" i="33" s="1"/>
  <c r="AR92" i="45" a="1"/>
  <c r="AR92" i="45" s="1"/>
  <c r="V68" i="44" a="1"/>
  <c r="V68" i="44" s="1"/>
  <c r="Q95" i="33" a="1"/>
  <c r="Q95" i="33" s="1"/>
  <c r="AL92" i="44" a="1"/>
  <c r="AL92" i="44" s="1"/>
  <c r="AK85" i="33" a="1"/>
  <c r="AK85" i="33" s="1"/>
  <c r="N97" i="45" a="1"/>
  <c r="N97" i="45" s="1"/>
  <c r="P95" i="44" a="1"/>
  <c r="P95" i="44" s="1"/>
  <c r="P93" i="44" s="1"/>
  <c r="N49" i="33" a="1"/>
  <c r="N49" i="33" s="1"/>
  <c r="O32" i="45" a="1"/>
  <c r="O32" i="45" s="1"/>
  <c r="AB58" i="44" a="1"/>
  <c r="AB58" i="44" s="1"/>
  <c r="P64" i="44" a="1"/>
  <c r="P64" i="44" s="1"/>
  <c r="AF38" i="45" a="1"/>
  <c r="AF38" i="45" s="1"/>
  <c r="AI66" i="43"/>
  <c r="Q50" i="45" a="1"/>
  <c r="Q50" i="45" s="1"/>
  <c r="Q48" i="45" s="1"/>
  <c r="R31" i="44" a="1"/>
  <c r="R31" i="44" s="1"/>
  <c r="AL56" i="44" a="1"/>
  <c r="AL56" i="44" s="1"/>
  <c r="AF22" i="44" a="1"/>
  <c r="AF22" i="44" s="1"/>
  <c r="F89" i="45" a="1"/>
  <c r="F89" i="45" s="1"/>
  <c r="AK88" i="44" a="1"/>
  <c r="AK88" i="44" s="1"/>
  <c r="C59" i="42" a="1"/>
  <c r="C59" i="42" s="1"/>
  <c r="AR11" i="45" a="1"/>
  <c r="AR11" i="45" s="1"/>
  <c r="AH20" i="33" a="1"/>
  <c r="AH20" i="33" s="1"/>
  <c r="R37" i="45" a="1"/>
  <c r="R37" i="45" s="1"/>
  <c r="AV46" i="41" a="1"/>
  <c r="AV46" i="41" s="1"/>
  <c r="C68" i="43" a="1"/>
  <c r="C68" i="43" s="1"/>
  <c r="M75" i="47"/>
  <c r="S91" i="45" a="1"/>
  <c r="S91" i="45" s="1"/>
  <c r="AR25" i="45" a="1"/>
  <c r="AR25" i="45" s="1"/>
  <c r="P11" i="44" a="1"/>
  <c r="P11" i="44" s="1"/>
  <c r="Y79" i="44" a="1"/>
  <c r="Y79" i="44" s="1"/>
  <c r="I89" i="43" a="1"/>
  <c r="I89" i="43" s="1"/>
  <c r="AB99" i="43"/>
  <c r="E98" i="33" a="1"/>
  <c r="E98" i="33" s="1"/>
  <c r="AN38" i="47" a="1"/>
  <c r="AN38" i="47" s="1"/>
  <c r="AE71" i="33" a="1"/>
  <c r="AE71" i="33" s="1"/>
  <c r="M16" i="44" a="1"/>
  <c r="M16" i="44" s="1"/>
  <c r="M15" i="44" s="1"/>
  <c r="X70" i="45" a="1"/>
  <c r="X70" i="45" s="1"/>
  <c r="E80" i="45" a="1"/>
  <c r="E80" i="45" s="1"/>
  <c r="AV29" i="43" a="1"/>
  <c r="AV29" i="43" s="1"/>
  <c r="AO40" i="44" a="1"/>
  <c r="AO40" i="44" s="1"/>
  <c r="AF98" i="44" a="1"/>
  <c r="AF98" i="44" s="1"/>
  <c r="C70" i="46" a="1"/>
  <c r="C70" i="46" s="1"/>
  <c r="A70" i="46" s="1"/>
  <c r="C17" i="42" a="1"/>
  <c r="C17" i="42" s="1"/>
  <c r="P11" i="33" a="1"/>
  <c r="P11" i="33" s="1"/>
  <c r="AP36" i="41"/>
  <c r="C70" i="47" a="1"/>
  <c r="C70" i="47" s="1"/>
  <c r="AB97" i="33" a="1"/>
  <c r="AB97" i="33" s="1"/>
  <c r="T49" i="45" a="1"/>
  <c r="T49" i="45" s="1"/>
  <c r="I104" i="44" a="1"/>
  <c r="I104" i="44" s="1"/>
  <c r="AA97" i="33" a="1"/>
  <c r="AA97" i="33" s="1"/>
  <c r="L91" i="44" a="1"/>
  <c r="L91" i="44" s="1"/>
  <c r="J26" i="45" a="1"/>
  <c r="J26" i="45" s="1"/>
  <c r="S58" i="33" a="1"/>
  <c r="S58" i="33" s="1"/>
  <c r="S57" i="33" s="1"/>
  <c r="I32" i="46" a="1"/>
  <c r="I32" i="46" s="1"/>
  <c r="X94" i="33" a="1"/>
  <c r="X94" i="33" s="1"/>
  <c r="AM73" i="45" a="1"/>
  <c r="AM73" i="45" s="1"/>
  <c r="AF97" i="45" a="1"/>
  <c r="AF97" i="45" s="1"/>
  <c r="AF96" i="45" s="1"/>
  <c r="X77" i="44" a="1"/>
  <c r="X77" i="44" s="1"/>
  <c r="AD80" i="45" a="1"/>
  <c r="AD80" i="45" s="1"/>
  <c r="AL9" i="41"/>
  <c r="L77" i="33" a="1"/>
  <c r="L77" i="33" s="1"/>
  <c r="AO79" i="33" a="1"/>
  <c r="AO79" i="33" s="1"/>
  <c r="AK74" i="33" a="1"/>
  <c r="AK74" i="33" s="1"/>
  <c r="E79" i="44" a="1"/>
  <c r="E79" i="44" s="1"/>
  <c r="Y62" i="45" a="1"/>
  <c r="Y62" i="45" s="1"/>
  <c r="I62" i="41" a="1"/>
  <c r="I62" i="41" s="1"/>
  <c r="AE58" i="45" a="1"/>
  <c r="AE58" i="45" s="1"/>
  <c r="R15" i="41"/>
  <c r="AM77" i="44" a="1"/>
  <c r="AM77" i="44" s="1"/>
  <c r="AN68" i="47" a="1"/>
  <c r="AN68" i="47" s="1"/>
  <c r="AF37" i="45" a="1"/>
  <c r="AF37" i="45" s="1"/>
  <c r="I100" i="41" a="1"/>
  <c r="I100" i="41" s="1"/>
  <c r="C86" i="41" a="1"/>
  <c r="C86" i="41" s="1"/>
  <c r="AE93" i="46"/>
  <c r="V70" i="45" a="1"/>
  <c r="V70" i="45" s="1"/>
  <c r="J32" i="45" a="1"/>
  <c r="J32" i="45" s="1"/>
  <c r="AI44" i="44" a="1"/>
  <c r="AI44" i="44" s="1"/>
  <c r="AI42" i="44" s="1"/>
  <c r="Z25" i="33" a="1"/>
  <c r="Z25" i="33" s="1"/>
  <c r="AF73" i="45" a="1"/>
  <c r="AF73" i="45" s="1"/>
  <c r="AI56" i="45" a="1"/>
  <c r="AI56" i="45" s="1"/>
  <c r="K31" i="44" a="1"/>
  <c r="K31" i="44" s="1"/>
  <c r="AP51" i="43"/>
  <c r="Y23" i="45" a="1"/>
  <c r="Y23" i="45" s="1"/>
  <c r="O55" i="45" a="1"/>
  <c r="O55" i="45" s="1"/>
  <c r="O101" i="45" a="1"/>
  <c r="O101" i="45" s="1"/>
  <c r="AO10" i="41" a="1"/>
  <c r="AO10" i="41" s="1"/>
  <c r="AD104" i="45" a="1"/>
  <c r="AD104" i="45" s="1"/>
  <c r="AN59" i="43" a="1"/>
  <c r="AN59" i="43" s="1"/>
  <c r="R27" i="46"/>
  <c r="AG93" i="43"/>
  <c r="AN17" i="47" a="1"/>
  <c r="AN17" i="47" s="1"/>
  <c r="AM34" i="33" a="1"/>
  <c r="AM34" i="33" s="1"/>
  <c r="V94" i="33" a="1"/>
  <c r="V94" i="33" s="1"/>
  <c r="G61" i="45" a="1"/>
  <c r="G61" i="45" s="1"/>
  <c r="R97" i="45" a="1"/>
  <c r="R97" i="45" s="1"/>
  <c r="R96" i="45" s="1"/>
  <c r="AR82" i="44" a="1"/>
  <c r="AR82" i="44" s="1"/>
  <c r="N32" i="44" a="1"/>
  <c r="N32" i="44" s="1"/>
  <c r="H34" i="45" a="1"/>
  <c r="H34" i="45" s="1"/>
  <c r="W85" i="44" a="1"/>
  <c r="W85" i="44" s="1"/>
  <c r="X101" i="33" a="1"/>
  <c r="X101" i="33" s="1"/>
  <c r="M53" i="33" a="1"/>
  <c r="M53" i="33" s="1"/>
  <c r="AK43" i="44" a="1"/>
  <c r="AK43" i="44" s="1"/>
  <c r="AK42" i="44" s="1"/>
  <c r="R70" i="45" a="1"/>
  <c r="R70" i="45" s="1"/>
  <c r="P71" i="44" a="1"/>
  <c r="P71" i="44" s="1"/>
  <c r="AU35" i="41" a="1"/>
  <c r="AU35" i="41" s="1"/>
  <c r="AU33" i="41" s="1"/>
  <c r="AR90" i="43"/>
  <c r="AO91" i="33" a="1"/>
  <c r="AO91" i="33" s="1"/>
  <c r="AO90" i="33" s="1"/>
  <c r="AP41" i="45" a="1"/>
  <c r="AP41" i="45" s="1"/>
  <c r="F74" i="45" a="1"/>
  <c r="F74" i="45" s="1"/>
  <c r="S58" i="45" a="1"/>
  <c r="S58" i="45" s="1"/>
  <c r="U60" i="43"/>
  <c r="N64" i="44" a="1"/>
  <c r="N64" i="44" s="1"/>
  <c r="AV35" i="41" a="1"/>
  <c r="AV35" i="41" s="1"/>
  <c r="AU65" i="46" a="1"/>
  <c r="AU65" i="46" s="1"/>
  <c r="G44" i="33" a="1"/>
  <c r="G44" i="33" s="1"/>
  <c r="I74" i="46" a="1"/>
  <c r="I74" i="46" s="1"/>
  <c r="AO76" i="46" a="1"/>
  <c r="AO76" i="46" s="1"/>
  <c r="E44" i="33" a="1"/>
  <c r="E44" i="33" s="1"/>
  <c r="AO53" i="41" a="1"/>
  <c r="AO53" i="41" s="1"/>
  <c r="U42" i="43"/>
  <c r="S37" i="44" a="1"/>
  <c r="S37" i="44" s="1"/>
  <c r="P100" i="45" a="1"/>
  <c r="P100" i="45" s="1"/>
  <c r="AU83" i="41" a="1"/>
  <c r="AU83" i="41" s="1"/>
  <c r="T67" i="44" a="1"/>
  <c r="T67" i="44" s="1"/>
  <c r="AR68" i="44" a="1"/>
  <c r="AR68" i="44" s="1"/>
  <c r="I49" i="44" a="1"/>
  <c r="I49" i="44" s="1"/>
  <c r="O22" i="45" a="1"/>
  <c r="O22" i="45" s="1"/>
  <c r="AN97" i="41" a="1"/>
  <c r="AN97" i="41" s="1"/>
  <c r="R44" i="33" a="1"/>
  <c r="R44" i="33" s="1"/>
  <c r="AG22" i="44" a="1"/>
  <c r="AG22" i="44" s="1"/>
  <c r="C40" i="44" a="1"/>
  <c r="C40" i="44" s="1"/>
  <c r="A40" i="44" s="1"/>
  <c r="T70" i="44" a="1"/>
  <c r="T70" i="44" s="1"/>
  <c r="Q79" i="44" a="1"/>
  <c r="Q79" i="44" s="1"/>
  <c r="Z89" i="33" a="1"/>
  <c r="Z89" i="33" s="1"/>
  <c r="AH51" i="43"/>
  <c r="G76" i="44" a="1"/>
  <c r="G76" i="44" s="1"/>
  <c r="V66" i="46"/>
  <c r="AD19" i="33" a="1"/>
  <c r="AD19" i="33" s="1"/>
  <c r="AN104" i="44" a="1"/>
  <c r="AN104" i="44" s="1"/>
  <c r="C101" i="33" a="1"/>
  <c r="C101" i="33" s="1"/>
  <c r="AQ77" i="45" a="1"/>
  <c r="AQ77" i="45" s="1"/>
  <c r="AB78" i="43"/>
  <c r="V22" i="44" a="1"/>
  <c r="V22" i="44" s="1"/>
  <c r="Q59" i="33" a="1"/>
  <c r="Q59" i="33" s="1"/>
  <c r="AO31" i="47" a="1"/>
  <c r="AO31" i="47" s="1"/>
  <c r="AB16" i="33" a="1"/>
  <c r="AB16" i="33" s="1"/>
  <c r="AH29" i="33" a="1"/>
  <c r="AH29" i="33" s="1"/>
  <c r="AV29" i="41" a="1"/>
  <c r="AV29" i="41" s="1"/>
  <c r="AF101" i="44" a="1"/>
  <c r="AF101" i="44" s="1"/>
  <c r="W15" i="47"/>
  <c r="U40" i="44" a="1"/>
  <c r="U40" i="44" s="1"/>
  <c r="Y86" i="33" a="1"/>
  <c r="Y86" i="33" s="1"/>
  <c r="J78" i="43"/>
  <c r="I62" i="46" a="1"/>
  <c r="I62" i="46" s="1"/>
  <c r="AA20" i="33" a="1"/>
  <c r="AA20" i="33" s="1"/>
  <c r="W74" i="33" a="1"/>
  <c r="W74" i="33" s="1"/>
  <c r="I68" i="47" a="1"/>
  <c r="I68" i="47" s="1"/>
  <c r="U74" i="45" a="1"/>
  <c r="U74" i="45" s="1"/>
  <c r="AH17" i="33" a="1"/>
  <c r="AH17" i="33" s="1"/>
  <c r="AQ46" i="33" a="1"/>
  <c r="AQ46" i="33" s="1"/>
  <c r="X56" i="33" a="1"/>
  <c r="X56" i="33" s="1"/>
  <c r="AG61" i="45" a="1"/>
  <c r="AG61" i="45" s="1"/>
  <c r="AO29" i="33" a="1"/>
  <c r="AO29" i="33" s="1"/>
  <c r="AM80" i="45" a="1"/>
  <c r="AM80" i="45" s="1"/>
  <c r="AG29" i="33" a="1"/>
  <c r="AG29" i="33" s="1"/>
  <c r="AQ82" i="44" a="1"/>
  <c r="AQ82" i="44" s="1"/>
  <c r="AU68" i="47" a="1"/>
  <c r="AU68" i="47" s="1"/>
  <c r="K101" i="44" a="1"/>
  <c r="K101" i="44" s="1"/>
  <c r="AB94" i="44" a="1"/>
  <c r="AB94" i="44" s="1"/>
  <c r="O29" i="45" a="1"/>
  <c r="O29" i="45" s="1"/>
  <c r="Z20" i="45" a="1"/>
  <c r="Z20" i="45" s="1"/>
  <c r="AG75" i="46"/>
  <c r="AC80" i="33" a="1"/>
  <c r="AC80" i="33" s="1"/>
  <c r="Q71" i="45" a="1"/>
  <c r="Q71" i="45" s="1"/>
  <c r="O94" i="33" a="1"/>
  <c r="O94" i="33" s="1"/>
  <c r="C103" i="43" a="1"/>
  <c r="C103" i="43" s="1"/>
  <c r="Y16" i="44" a="1"/>
  <c r="Y16" i="44" s="1"/>
  <c r="AD44" i="44" a="1"/>
  <c r="AD44" i="44" s="1"/>
  <c r="C85" i="41" a="1"/>
  <c r="C85" i="41" s="1"/>
  <c r="AK89" i="44" a="1"/>
  <c r="AK89" i="44" s="1"/>
  <c r="O103" i="44" a="1"/>
  <c r="O103" i="44" s="1"/>
  <c r="Y26" i="44" a="1"/>
  <c r="Y26" i="44" s="1"/>
  <c r="AJ9" i="47"/>
  <c r="AR50" i="44" a="1"/>
  <c r="AR50" i="44" s="1"/>
  <c r="N38" i="44" a="1"/>
  <c r="N38" i="44" s="1"/>
  <c r="AE70" i="44" a="1"/>
  <c r="AE70" i="44" s="1"/>
  <c r="I86" i="45" a="1"/>
  <c r="I86" i="45" s="1"/>
  <c r="AN94" i="44" a="1"/>
  <c r="AN94" i="44" s="1"/>
  <c r="AV59" i="47" a="1"/>
  <c r="AV59" i="47" s="1"/>
  <c r="AA64" i="44" a="1"/>
  <c r="AA64" i="44" s="1"/>
  <c r="AB46" i="45" a="1"/>
  <c r="AB46" i="45" s="1"/>
  <c r="V80" i="45" a="1"/>
  <c r="V80" i="45" s="1"/>
  <c r="AP62" i="45" a="1"/>
  <c r="AP62" i="45" s="1"/>
  <c r="AI64" i="45" a="1"/>
  <c r="AI64" i="45" s="1"/>
  <c r="AN50" i="43" a="1"/>
  <c r="AN50" i="43" s="1"/>
  <c r="AR22" i="45" a="1"/>
  <c r="AR22" i="45" s="1"/>
  <c r="AL61" i="44" a="1"/>
  <c r="AL61" i="44" s="1"/>
  <c r="AE26" i="33" a="1"/>
  <c r="AE26" i="33" s="1"/>
  <c r="F73" i="44" a="1"/>
  <c r="F73" i="44" s="1"/>
  <c r="L49" i="44" a="1"/>
  <c r="L49" i="44" s="1"/>
  <c r="O97" i="45" a="1"/>
  <c r="O97" i="45" s="1"/>
  <c r="AH80" i="33" a="1"/>
  <c r="AH80" i="33" s="1"/>
  <c r="AI34" i="44" a="1"/>
  <c r="AI34" i="44" s="1"/>
  <c r="AG53" i="44" a="1"/>
  <c r="AG53" i="44" s="1"/>
  <c r="Y48" i="43"/>
  <c r="AB15" i="43"/>
  <c r="AP70" i="33" a="1"/>
  <c r="AP70" i="33" s="1"/>
  <c r="Y44" i="45" a="1"/>
  <c r="Y44" i="45" s="1"/>
  <c r="C23" i="47" a="1"/>
  <c r="C23" i="47" s="1"/>
  <c r="AB31" i="45" a="1"/>
  <c r="AB31" i="45" s="1"/>
  <c r="AD50" i="33" a="1"/>
  <c r="AD50" i="33" s="1"/>
  <c r="AT51" i="41"/>
  <c r="AK101" i="45" a="1"/>
  <c r="AK101" i="45" s="1"/>
  <c r="AP19" i="44" a="1"/>
  <c r="AP19" i="44" s="1"/>
  <c r="T43" i="33" a="1"/>
  <c r="T43" i="33" s="1"/>
  <c r="Q22" i="44" a="1"/>
  <c r="Q22" i="44" s="1"/>
  <c r="AG52" i="33" a="1"/>
  <c r="AG52" i="33" s="1"/>
  <c r="F19" i="33" a="1"/>
  <c r="F19" i="33" s="1"/>
  <c r="AM52" i="44" a="1"/>
  <c r="AM52" i="44" s="1"/>
  <c r="F82" i="44" a="1"/>
  <c r="F82" i="44" s="1"/>
  <c r="AO82" i="46" a="1"/>
  <c r="AO82" i="46" s="1"/>
  <c r="F35" i="33" a="1"/>
  <c r="F35" i="33" s="1"/>
  <c r="K34" i="44" a="1"/>
  <c r="K34" i="44" s="1"/>
  <c r="L40" i="45" a="1"/>
  <c r="L40" i="45" s="1"/>
  <c r="AO16" i="43" a="1"/>
  <c r="AO16" i="43" s="1"/>
  <c r="AL67" i="44" a="1"/>
  <c r="AL67" i="44" s="1"/>
  <c r="AL66" i="44" s="1"/>
  <c r="AM58" i="44" a="1"/>
  <c r="AM58" i="44" s="1"/>
  <c r="I44" i="44" a="1"/>
  <c r="I44" i="44" s="1"/>
  <c r="AN74" i="33" a="1"/>
  <c r="AN74" i="33" s="1"/>
  <c r="AN72" i="33" s="1"/>
  <c r="V98" i="44" a="1"/>
  <c r="V98" i="44" s="1"/>
  <c r="AQ37" i="33" a="1"/>
  <c r="AQ37" i="33" s="1"/>
  <c r="J56" i="45" a="1"/>
  <c r="J56" i="45" s="1"/>
  <c r="AQ60" i="46"/>
  <c r="P79" i="44" a="1"/>
  <c r="P79" i="44" s="1"/>
  <c r="U96" i="43"/>
  <c r="AB16" i="44" a="1"/>
  <c r="AB16" i="44" s="1"/>
  <c r="AB10" i="33" a="1"/>
  <c r="AB10" i="33" s="1"/>
  <c r="AE104" i="44" a="1"/>
  <c r="AE104" i="44" s="1"/>
  <c r="R64" i="33" a="1"/>
  <c r="R64" i="33" s="1"/>
  <c r="Q37" i="33" a="1"/>
  <c r="Q37" i="33" s="1"/>
  <c r="R80" i="33" a="1"/>
  <c r="R80" i="33" s="1"/>
  <c r="P16" i="45" a="1"/>
  <c r="P16" i="45" s="1"/>
  <c r="Q62" i="45" a="1"/>
  <c r="Q62" i="45" s="1"/>
  <c r="AF70" i="44" a="1"/>
  <c r="AF70" i="44" s="1"/>
  <c r="AV76" i="46" a="1"/>
  <c r="AV76" i="46" s="1"/>
  <c r="AP15" i="47"/>
  <c r="AM30" i="41"/>
  <c r="I73" i="33" a="1"/>
  <c r="I73" i="33" s="1"/>
  <c r="I72" i="33" s="1"/>
  <c r="AQ43" i="45" a="1"/>
  <c r="AQ43" i="45" s="1"/>
  <c r="AQ42" i="45" s="1"/>
  <c r="C26" i="47" a="1"/>
  <c r="C26" i="47" s="1"/>
  <c r="AG21" i="43"/>
  <c r="AV82" i="43" a="1"/>
  <c r="AV82" i="43" s="1"/>
  <c r="I44" i="41" a="1"/>
  <c r="I44" i="41" s="1"/>
  <c r="AO17" i="47" a="1"/>
  <c r="AO17" i="47" s="1"/>
  <c r="AH58" i="44" a="1"/>
  <c r="AH58" i="44" s="1"/>
  <c r="AU68" i="46" a="1"/>
  <c r="AU68" i="46" s="1"/>
  <c r="K103" i="44" a="1"/>
  <c r="K103" i="44" s="1"/>
  <c r="AN43" i="44" a="1"/>
  <c r="AN43" i="44" s="1"/>
  <c r="N78" i="46"/>
  <c r="AQ10" i="33" a="1"/>
  <c r="AQ10" i="33" s="1"/>
  <c r="C70" i="41" a="1"/>
  <c r="C70" i="41" s="1"/>
  <c r="N64" i="45" a="1"/>
  <c r="N64" i="45" s="1"/>
  <c r="C35" i="46" a="1"/>
  <c r="C35" i="46" s="1"/>
  <c r="A34" i="46" s="1"/>
  <c r="S26" i="45" a="1"/>
  <c r="S26" i="45" s="1"/>
  <c r="R35" i="45" a="1"/>
  <c r="R35" i="45" s="1"/>
  <c r="AL23" i="33" a="1"/>
  <c r="AL23" i="33" s="1"/>
  <c r="G37" i="45" a="1"/>
  <c r="G37" i="45" s="1"/>
  <c r="AQ55" i="45" a="1"/>
  <c r="AQ55" i="45" s="1"/>
  <c r="X46" i="44" a="1"/>
  <c r="X46" i="44" s="1"/>
  <c r="AI89" i="33" a="1"/>
  <c r="AI89" i="33" s="1"/>
  <c r="S78" i="47"/>
  <c r="AJ47" i="45" a="1"/>
  <c r="AJ47" i="45" s="1"/>
  <c r="AD42" i="41"/>
  <c r="AN23" i="33" a="1"/>
  <c r="AN23" i="33" s="1"/>
  <c r="N98" i="45" a="1"/>
  <c r="N98" i="45" s="1"/>
  <c r="E56" i="44" a="1"/>
  <c r="E56" i="44" s="1"/>
  <c r="AN34" i="47" a="1"/>
  <c r="AN34" i="47" s="1"/>
  <c r="AV59" i="41" a="1"/>
  <c r="AV59" i="41" s="1"/>
  <c r="P90" i="43"/>
  <c r="Z97" i="45" a="1"/>
  <c r="Z97" i="45" s="1"/>
  <c r="AL16" i="44" a="1"/>
  <c r="AL16" i="44" s="1"/>
  <c r="C56" i="46" a="1"/>
  <c r="C56" i="46" s="1"/>
  <c r="I19" i="47" a="1"/>
  <c r="I19" i="47" s="1"/>
  <c r="AH96" i="46"/>
  <c r="U30" i="43"/>
  <c r="AN28" i="44" a="1"/>
  <c r="AN28" i="44" s="1"/>
  <c r="AK28" i="45" a="1"/>
  <c r="AK28" i="45" s="1"/>
  <c r="V64" i="44" a="1"/>
  <c r="V64" i="44" s="1"/>
  <c r="F61" i="33" a="1"/>
  <c r="F61" i="33" s="1"/>
  <c r="AG23" i="44" a="1"/>
  <c r="AG23" i="44" s="1"/>
  <c r="J92" i="33" a="1"/>
  <c r="J92" i="33" s="1"/>
  <c r="AN35" i="44" a="1"/>
  <c r="AN35" i="44" s="1"/>
  <c r="Q67" i="33" a="1"/>
  <c r="Q67" i="33" s="1"/>
  <c r="P38" i="33" a="1"/>
  <c r="P38" i="33" s="1"/>
  <c r="I65" i="44" a="1"/>
  <c r="I65" i="44" s="1"/>
  <c r="V49" i="33" a="1"/>
  <c r="V49" i="33" s="1"/>
  <c r="C35" i="41" a="1"/>
  <c r="C35" i="41" s="1"/>
  <c r="H73" i="44" a="1"/>
  <c r="H73" i="44" s="1"/>
  <c r="H72" i="44" s="1"/>
  <c r="C79" i="46" a="1"/>
  <c r="C79" i="46" s="1"/>
  <c r="I77" i="41" a="1"/>
  <c r="I77" i="41" s="1"/>
  <c r="AG84" i="41"/>
  <c r="AV20" i="46" a="1"/>
  <c r="AV20" i="46" s="1"/>
  <c r="Q100" i="45" a="1"/>
  <c r="Q100" i="45" s="1"/>
  <c r="AT63" i="43"/>
  <c r="K98" i="33" a="1"/>
  <c r="K98" i="33" s="1"/>
  <c r="N70" i="45" a="1"/>
  <c r="N70" i="45" s="1"/>
  <c r="AC52" i="33" a="1"/>
  <c r="AC52" i="33" s="1"/>
  <c r="U26" i="45" a="1"/>
  <c r="U26" i="45" s="1"/>
  <c r="AP86" i="45" a="1"/>
  <c r="AP86" i="45" s="1"/>
  <c r="R57" i="41"/>
  <c r="J64" i="44" a="1"/>
  <c r="J64" i="44" s="1"/>
  <c r="AV104" i="43" a="1"/>
  <c r="AV104" i="43" s="1"/>
  <c r="AO52" i="33" a="1"/>
  <c r="AO52" i="33" s="1"/>
  <c r="AP50" i="44" a="1"/>
  <c r="AP50" i="44" s="1"/>
  <c r="AU17" i="41" a="1"/>
  <c r="AU17" i="41" s="1"/>
  <c r="N37" i="33" a="1"/>
  <c r="N37" i="33" s="1"/>
  <c r="O60" i="41"/>
  <c r="M34" i="45" a="1"/>
  <c r="M34" i="45" s="1"/>
  <c r="X31" i="44" a="1"/>
  <c r="X31" i="44" s="1"/>
  <c r="AM16" i="33" a="1"/>
  <c r="AM16" i="33" s="1"/>
  <c r="U79" i="44" a="1"/>
  <c r="U79" i="44" s="1"/>
  <c r="C32" i="42" a="1"/>
  <c r="C32" i="42" s="1"/>
  <c r="AO23" i="45" a="1"/>
  <c r="AO23" i="45" s="1"/>
  <c r="X90" i="41"/>
  <c r="AO58" i="47" a="1"/>
  <c r="AO58" i="47" s="1"/>
  <c r="C22" i="43" a="1"/>
  <c r="C22" i="43" s="1"/>
  <c r="I61" i="44" a="1"/>
  <c r="I61" i="44" s="1"/>
  <c r="I25" i="33" a="1"/>
  <c r="I25" i="33" s="1"/>
  <c r="I103" i="45" a="1"/>
  <c r="I103" i="45" s="1"/>
  <c r="AK74" i="45" a="1"/>
  <c r="AK74" i="45" s="1"/>
  <c r="AU98" i="46" a="1"/>
  <c r="AU98" i="46" s="1"/>
  <c r="N28" i="33" a="1"/>
  <c r="N28" i="33" s="1"/>
  <c r="AE34" i="45" a="1"/>
  <c r="AE34" i="45" s="1"/>
  <c r="E49" i="33" a="1"/>
  <c r="E49" i="33" s="1"/>
  <c r="AV17" i="46" a="1"/>
  <c r="AV17" i="46" s="1"/>
  <c r="AM57" i="46"/>
  <c r="AP20" i="44" a="1"/>
  <c r="AP20" i="44" s="1"/>
  <c r="AO59" i="45" a="1"/>
  <c r="AO59" i="45" s="1"/>
  <c r="AN59" i="41" a="1"/>
  <c r="AN59" i="41" s="1"/>
  <c r="X47" i="33" a="1"/>
  <c r="X47" i="33" s="1"/>
  <c r="AD47" i="45" a="1"/>
  <c r="AD47" i="45" s="1"/>
  <c r="P40" i="33" a="1"/>
  <c r="P40" i="33" s="1"/>
  <c r="Z19" i="45" a="1"/>
  <c r="Z19" i="45" s="1"/>
  <c r="AA23" i="44" a="1"/>
  <c r="AA23" i="44" s="1"/>
  <c r="K40" i="33" a="1"/>
  <c r="K40" i="33" s="1"/>
  <c r="AI40" i="45" a="1"/>
  <c r="AI40" i="45" s="1"/>
  <c r="AC73" i="33" a="1"/>
  <c r="AC73" i="33" s="1"/>
  <c r="AV26" i="47" a="1"/>
  <c r="AV26" i="47" s="1"/>
  <c r="G38" i="33" a="1"/>
  <c r="G38" i="33" s="1"/>
  <c r="V41" i="45" a="1"/>
  <c r="V41" i="45" s="1"/>
  <c r="AE103" i="45" a="1"/>
  <c r="AE103" i="45" s="1"/>
  <c r="M83" i="44" a="1"/>
  <c r="M83" i="44" s="1"/>
  <c r="X45" i="47"/>
  <c r="U19" i="45" a="1"/>
  <c r="U19" i="45" s="1"/>
  <c r="Z35" i="33" a="1"/>
  <c r="Z35" i="33" s="1"/>
  <c r="AB79" i="44" a="1"/>
  <c r="AB79" i="44" s="1"/>
  <c r="X49" i="45" a="1"/>
  <c r="X49" i="45" s="1"/>
  <c r="AV10" i="43" a="1"/>
  <c r="AV10" i="43" s="1"/>
  <c r="AR25" i="44" a="1"/>
  <c r="AR25" i="44" s="1"/>
  <c r="AN58" i="46" a="1"/>
  <c r="AN58" i="46" s="1"/>
  <c r="AR53" i="45" a="1"/>
  <c r="AR53" i="45" s="1"/>
  <c r="V53" i="44" a="1"/>
  <c r="V53" i="44" s="1"/>
  <c r="AH74" i="45" a="1"/>
  <c r="AH74" i="45" s="1"/>
  <c r="AQ29" i="33" a="1"/>
  <c r="AQ29" i="33" s="1"/>
  <c r="I95" i="41" a="1"/>
  <c r="I95" i="41" s="1"/>
  <c r="AR88" i="44" a="1"/>
  <c r="AR88" i="44" s="1"/>
  <c r="X91" i="44" a="1"/>
  <c r="X91" i="44" s="1"/>
  <c r="AN40" i="47" a="1"/>
  <c r="AN40" i="47" s="1"/>
  <c r="J91" i="33" a="1"/>
  <c r="J91" i="33" s="1"/>
  <c r="Q40" i="44" a="1"/>
  <c r="Q40" i="44" s="1"/>
  <c r="E89" i="33" a="1"/>
  <c r="E89" i="33" s="1"/>
  <c r="X51" i="43"/>
  <c r="AA47" i="33" a="1"/>
  <c r="AA47" i="33" s="1"/>
  <c r="W27" i="47"/>
  <c r="H35" i="45" a="1"/>
  <c r="H35" i="45" s="1"/>
  <c r="P48" i="41"/>
  <c r="X100" i="45" a="1"/>
  <c r="X100" i="45" s="1"/>
  <c r="X76" i="33" a="1"/>
  <c r="X76" i="33" s="1"/>
  <c r="H16" i="33" a="1"/>
  <c r="H16" i="33" s="1"/>
  <c r="C79" i="33" a="1"/>
  <c r="C79" i="33" s="1"/>
  <c r="AK29" i="44" a="1"/>
  <c r="AK29" i="44" s="1"/>
  <c r="AB34" i="45" a="1"/>
  <c r="AB34" i="45" s="1"/>
  <c r="O86" i="44" a="1"/>
  <c r="O86" i="44" s="1"/>
  <c r="I73" i="46" a="1"/>
  <c r="I73" i="46" s="1"/>
  <c r="K85" i="45" a="1"/>
  <c r="K85" i="45" s="1"/>
  <c r="T33" i="41"/>
  <c r="N50" i="45" a="1"/>
  <c r="N50" i="45" s="1"/>
  <c r="AK28" i="33" a="1"/>
  <c r="AK28" i="33" s="1"/>
  <c r="AK27" i="33" s="1"/>
  <c r="Q56" i="44" a="1"/>
  <c r="Q56" i="44" s="1"/>
  <c r="AJ86" i="45" a="1"/>
  <c r="AJ86" i="45" s="1"/>
  <c r="Z88" i="44" a="1"/>
  <c r="Z88" i="44" s="1"/>
  <c r="AU70" i="41" a="1"/>
  <c r="AU70" i="41" s="1"/>
  <c r="J17" i="44" a="1"/>
  <c r="J17" i="44" s="1"/>
  <c r="X77" i="33" a="1"/>
  <c r="X77" i="33" s="1"/>
  <c r="AR26" i="45" a="1"/>
  <c r="AR26" i="45" s="1"/>
  <c r="O79" i="33" a="1"/>
  <c r="O79" i="33" s="1"/>
  <c r="AR34" i="44" a="1"/>
  <c r="AR34" i="44" s="1"/>
  <c r="AN80" i="47" a="1"/>
  <c r="AN80" i="47" s="1"/>
  <c r="R47" i="44" a="1"/>
  <c r="R47" i="44" s="1"/>
  <c r="AV53" i="43" a="1"/>
  <c r="AV53" i="43" s="1"/>
  <c r="AO80" i="45" a="1"/>
  <c r="AO80" i="45" s="1"/>
  <c r="AD61" i="45" a="1"/>
  <c r="AD61" i="45" s="1"/>
  <c r="AO49" i="43" a="1"/>
  <c r="AO49" i="43" s="1"/>
  <c r="L32" i="45" a="1"/>
  <c r="L32" i="45" s="1"/>
  <c r="H52" i="33" a="1"/>
  <c r="H52" i="33" s="1"/>
  <c r="P65" i="45" a="1"/>
  <c r="P65" i="45" s="1"/>
  <c r="C67" i="44" a="1"/>
  <c r="C67" i="44" s="1"/>
  <c r="AO28" i="45" a="1"/>
  <c r="AO28" i="45" s="1"/>
  <c r="AU25" i="41" a="1"/>
  <c r="AU25" i="41" s="1"/>
  <c r="U31" i="45" a="1"/>
  <c r="U31" i="45" s="1"/>
  <c r="AO86" i="47" a="1"/>
  <c r="AO86" i="47" s="1"/>
  <c r="X31" i="45" a="1"/>
  <c r="X31" i="45" s="1"/>
  <c r="S87" i="46"/>
  <c r="C50" i="47" a="1"/>
  <c r="C50" i="47" s="1"/>
  <c r="AU40" i="46" a="1"/>
  <c r="AU40" i="46" s="1"/>
  <c r="G56" i="44" a="1"/>
  <c r="G56" i="44" s="1"/>
  <c r="C26" i="42" a="1"/>
  <c r="C26" i="42" s="1"/>
  <c r="AI77" i="33" a="1"/>
  <c r="AI77" i="33" s="1"/>
  <c r="AG64" i="45" a="1"/>
  <c r="AG64" i="45" s="1"/>
  <c r="M85" i="45" a="1"/>
  <c r="M85" i="45" s="1"/>
  <c r="AO97" i="45" a="1"/>
  <c r="AO97" i="45" s="1"/>
  <c r="AO96" i="45" s="1"/>
  <c r="AI59" i="45" a="1"/>
  <c r="AI59" i="45" s="1"/>
  <c r="G67" i="45" a="1"/>
  <c r="G67" i="45" s="1"/>
  <c r="Y70" i="45" a="1"/>
  <c r="Y70" i="45" s="1"/>
  <c r="AC71" i="45" a="1"/>
  <c r="AC71" i="45" s="1"/>
  <c r="M40" i="44" a="1"/>
  <c r="M40" i="44" s="1"/>
  <c r="M39" i="44" s="1"/>
  <c r="T98" i="45" a="1"/>
  <c r="T98" i="45" s="1"/>
  <c r="T96" i="45" s="1"/>
  <c r="AK78" i="47"/>
  <c r="Q91" i="45" a="1"/>
  <c r="Q91" i="45" s="1"/>
  <c r="AE27" i="43"/>
  <c r="O53" i="33" a="1"/>
  <c r="O53" i="33" s="1"/>
  <c r="AH43" i="44" a="1"/>
  <c r="AH43" i="44" s="1"/>
  <c r="AR86" i="33" a="1"/>
  <c r="AR86" i="33" s="1"/>
  <c r="AH89" i="44" a="1"/>
  <c r="AH89" i="44" s="1"/>
  <c r="AT90" i="41"/>
  <c r="AQ95" i="45" a="1"/>
  <c r="AQ95" i="45" s="1"/>
  <c r="AU32" i="43" a="1"/>
  <c r="AU32" i="43" s="1"/>
  <c r="AM23" i="33" a="1"/>
  <c r="AM23" i="33" s="1"/>
  <c r="R93" i="43"/>
  <c r="O47" i="45" a="1"/>
  <c r="O47" i="45" s="1"/>
  <c r="AD66" i="41"/>
  <c r="AN19" i="43" a="1"/>
  <c r="AN19" i="43" s="1"/>
  <c r="AI92" i="45" a="1"/>
  <c r="AI92" i="45" s="1"/>
  <c r="I64" i="44" a="1"/>
  <c r="I64" i="44" s="1"/>
  <c r="U66" i="43"/>
  <c r="Y78" i="43"/>
  <c r="K22" i="44" a="1"/>
  <c r="K22" i="44" s="1"/>
  <c r="AN34" i="44" a="1"/>
  <c r="AN34" i="44" s="1"/>
  <c r="AR68" i="33" a="1"/>
  <c r="AR68" i="33" s="1"/>
  <c r="Q61" i="45" a="1"/>
  <c r="Q61" i="45" s="1"/>
  <c r="AC88" i="33" a="1"/>
  <c r="AC88" i="33" s="1"/>
  <c r="N42" i="47"/>
  <c r="AV11" i="46" a="1"/>
  <c r="AV11" i="46" s="1"/>
  <c r="AU22" i="43" a="1"/>
  <c r="AU22" i="43" s="1"/>
  <c r="AC86" i="33" a="1"/>
  <c r="AC86" i="33" s="1"/>
  <c r="I31" i="47" a="1"/>
  <c r="I31" i="47" s="1"/>
  <c r="I30" i="47" s="1"/>
  <c r="AG58" i="44" a="1"/>
  <c r="AG58" i="44" s="1"/>
  <c r="AA97" i="44" a="1"/>
  <c r="AA97" i="44" s="1"/>
  <c r="Q10" i="44" a="1"/>
  <c r="Q10" i="44" s="1"/>
  <c r="Q9" i="44" s="1"/>
  <c r="U56" i="44" a="1"/>
  <c r="U56" i="44" s="1"/>
  <c r="AD95" i="44" a="1"/>
  <c r="AD95" i="44" s="1"/>
  <c r="AQ82" i="45" a="1"/>
  <c r="AQ82" i="45" s="1"/>
  <c r="AN94" i="47" a="1"/>
  <c r="AN94" i="47" s="1"/>
  <c r="W77" i="44" a="1"/>
  <c r="W77" i="44" s="1"/>
  <c r="Z64" i="44" a="1"/>
  <c r="Z64" i="44" s="1"/>
  <c r="AR91" i="44" a="1"/>
  <c r="AR91" i="44" s="1"/>
  <c r="V98" i="33" a="1"/>
  <c r="V98" i="33" s="1"/>
  <c r="X40" i="33" a="1"/>
  <c r="X40" i="33" s="1"/>
  <c r="AU41" i="46" a="1"/>
  <c r="AU41" i="46" s="1"/>
  <c r="AD95" i="45" a="1"/>
  <c r="AD95" i="45" s="1"/>
  <c r="AK68" i="33" a="1"/>
  <c r="AK68" i="33" s="1"/>
  <c r="S41" i="44" a="1"/>
  <c r="S41" i="44" s="1"/>
  <c r="I92" i="44" a="1"/>
  <c r="I92" i="44" s="1"/>
  <c r="AC101" i="45" a="1"/>
  <c r="AC101" i="45" s="1"/>
  <c r="W83" i="33" a="1"/>
  <c r="W83" i="33" s="1"/>
  <c r="W19" i="33" a="1"/>
  <c r="W19" i="33" s="1"/>
  <c r="AH94" i="45" a="1"/>
  <c r="AH94" i="45" s="1"/>
  <c r="AU46" i="46" a="1"/>
  <c r="AU46" i="46" s="1"/>
  <c r="AG85" i="33" a="1"/>
  <c r="AG85" i="33" s="1"/>
  <c r="AP42" i="41"/>
  <c r="AK23" i="33" a="1"/>
  <c r="AK23" i="33" s="1"/>
  <c r="AF20" i="33" a="1"/>
  <c r="AF20" i="33" s="1"/>
  <c r="AD91" i="33" a="1"/>
  <c r="AD91" i="33" s="1"/>
  <c r="K82" i="33" a="1"/>
  <c r="K82" i="33" s="1"/>
  <c r="C55" i="45" a="1"/>
  <c r="C55" i="45" s="1"/>
  <c r="E46" i="33" a="1"/>
  <c r="E46" i="33" s="1"/>
  <c r="E45" i="33" s="1"/>
  <c r="W28" i="44" a="1"/>
  <c r="W28" i="44" s="1"/>
  <c r="R55" i="44" a="1"/>
  <c r="R55" i="44" s="1"/>
  <c r="C20" i="33" a="1"/>
  <c r="C20" i="33" s="1"/>
  <c r="V55" i="33" a="1"/>
  <c r="V55" i="33" s="1"/>
  <c r="AN16" i="45" a="1"/>
  <c r="AN16" i="45" s="1"/>
  <c r="C25" i="44" a="1"/>
  <c r="C25" i="44" s="1"/>
  <c r="R97" i="33" a="1"/>
  <c r="R97" i="33" s="1"/>
  <c r="V23" i="33" a="1"/>
  <c r="V23" i="33" s="1"/>
  <c r="N73" i="33" a="1"/>
  <c r="N73" i="33" s="1"/>
  <c r="C10" i="47" a="1"/>
  <c r="C10" i="47" s="1"/>
  <c r="Y17" i="44" a="1"/>
  <c r="Y17" i="44" s="1"/>
  <c r="L75" i="46"/>
  <c r="AL97" i="33" a="1"/>
  <c r="AL97" i="33" s="1"/>
  <c r="AG55" i="45" a="1"/>
  <c r="AG55" i="45" s="1"/>
  <c r="AN44" i="33" a="1"/>
  <c r="AN44" i="33" s="1"/>
  <c r="Q34" i="44" a="1"/>
  <c r="Q34" i="44" s="1"/>
  <c r="F17" i="44" a="1"/>
  <c r="F17" i="44" s="1"/>
  <c r="M25" i="33" a="1"/>
  <c r="M25" i="33" s="1"/>
  <c r="M32" i="33" a="1"/>
  <c r="M32" i="33" s="1"/>
  <c r="F80" i="44" a="1"/>
  <c r="F80" i="44" s="1"/>
  <c r="AN104" i="41" a="1"/>
  <c r="AN104" i="41" s="1"/>
  <c r="R43" i="45" a="1"/>
  <c r="R43" i="45" s="1"/>
  <c r="S56" i="44" a="1"/>
  <c r="S56" i="44" s="1"/>
  <c r="AO20" i="33" a="1"/>
  <c r="AO20" i="33" s="1"/>
  <c r="AM70" i="45" a="1"/>
  <c r="AM70" i="45" s="1"/>
  <c r="C32" i="41" a="1"/>
  <c r="C32" i="41" s="1"/>
  <c r="K104" i="33" a="1"/>
  <c r="K104" i="33" s="1"/>
  <c r="AO25" i="33" a="1"/>
  <c r="AO25" i="33" s="1"/>
  <c r="AG58" i="33" a="1"/>
  <c r="AG58" i="33" s="1"/>
  <c r="AI40" i="33" a="1"/>
  <c r="AI40" i="33" s="1"/>
  <c r="O88" i="45" a="1"/>
  <c r="O88" i="45" s="1"/>
  <c r="AQ54" i="43"/>
  <c r="Z76" i="45" a="1"/>
  <c r="Z76" i="45" s="1"/>
  <c r="AF95" i="44" a="1"/>
  <c r="AF95" i="44" s="1"/>
  <c r="X59" i="45" a="1"/>
  <c r="X59" i="45" s="1"/>
  <c r="AH67" i="33" a="1"/>
  <c r="AH67" i="33" s="1"/>
  <c r="Y11" i="45" a="1"/>
  <c r="Y11" i="45" s="1"/>
  <c r="Y9" i="45" s="1"/>
  <c r="AI55" i="44" a="1"/>
  <c r="AI55" i="44" s="1"/>
  <c r="R35" i="44" a="1"/>
  <c r="R35" i="44" s="1"/>
  <c r="K48" i="43"/>
  <c r="V62" i="33" a="1"/>
  <c r="V62" i="33" s="1"/>
  <c r="AA74" i="33" a="1"/>
  <c r="AA74" i="33" s="1"/>
  <c r="AV103" i="41" a="1"/>
  <c r="AV103" i="41" s="1"/>
  <c r="S81" i="41"/>
  <c r="O80" i="33" a="1"/>
  <c r="O80" i="33" s="1"/>
  <c r="H37" i="33" a="1"/>
  <c r="H37" i="33" s="1"/>
  <c r="P83" i="33" a="1"/>
  <c r="P83" i="33" s="1"/>
  <c r="AR84" i="41"/>
  <c r="AG62" i="45" a="1"/>
  <c r="AG62" i="45" s="1"/>
  <c r="AS84" i="46"/>
  <c r="C28" i="42" a="1"/>
  <c r="C28" i="42" s="1"/>
  <c r="AM89" i="33" a="1"/>
  <c r="AM89" i="33" s="1"/>
  <c r="AP76" i="44" a="1"/>
  <c r="AP76" i="44" s="1"/>
  <c r="J47" i="44" a="1"/>
  <c r="J47" i="44" s="1"/>
  <c r="Y46" i="44" a="1"/>
  <c r="Y46" i="44" s="1"/>
  <c r="AG98" i="44" a="1"/>
  <c r="AG98" i="44" s="1"/>
  <c r="X61" i="44" a="1"/>
  <c r="X61" i="44" s="1"/>
  <c r="K62" i="33" a="1"/>
  <c r="K62" i="33" s="1"/>
  <c r="AQ41" i="33" a="1"/>
  <c r="AQ41" i="33" s="1"/>
  <c r="AS48" i="43"/>
  <c r="AS36" i="46"/>
  <c r="M69" i="41"/>
  <c r="R102" i="45"/>
  <c r="AG15" i="41"/>
  <c r="AD90" i="46"/>
  <c r="Z93" i="44"/>
  <c r="L102" i="47"/>
  <c r="C77" i="45" a="1"/>
  <c r="C77" i="45" s="1"/>
  <c r="Z53" i="45" a="1"/>
  <c r="Z53" i="45" s="1"/>
  <c r="AB47" i="44" a="1"/>
  <c r="AB47" i="44" s="1"/>
  <c r="C71" i="42" a="1"/>
  <c r="C71" i="42" s="1"/>
  <c r="I17" i="43" a="1"/>
  <c r="I17" i="43" s="1"/>
  <c r="AN74" i="41" a="1"/>
  <c r="AN74" i="41" s="1"/>
  <c r="AJ102" i="46"/>
  <c r="AH96" i="47"/>
  <c r="AO59" i="41" a="1"/>
  <c r="AO59" i="41" s="1"/>
  <c r="E10" i="33" a="1"/>
  <c r="E10" i="33" s="1"/>
  <c r="AL72" i="46"/>
  <c r="H32" i="45" a="1"/>
  <c r="H32" i="45" s="1"/>
  <c r="AE16" i="33" a="1"/>
  <c r="AE16" i="33" s="1"/>
  <c r="G20" i="45" a="1"/>
  <c r="G20" i="45" s="1"/>
  <c r="AQ22" i="45" a="1"/>
  <c r="AQ22" i="45" s="1"/>
  <c r="AQ21" i="45" s="1"/>
  <c r="P67" i="33" a="1"/>
  <c r="P67" i="33" s="1"/>
  <c r="AR73" i="33" a="1"/>
  <c r="AR73" i="33" s="1"/>
  <c r="F34" i="33" a="1"/>
  <c r="F34" i="33" s="1"/>
  <c r="S71" i="33" a="1"/>
  <c r="S71" i="33" s="1"/>
  <c r="S69" i="33" s="1"/>
  <c r="R88" i="44" a="1"/>
  <c r="R88" i="44" s="1"/>
  <c r="AQ19" i="33" a="1"/>
  <c r="AQ19" i="33" s="1"/>
  <c r="AA56" i="44" a="1"/>
  <c r="AA56" i="44" s="1"/>
  <c r="AA54" i="44" s="1"/>
  <c r="AO77" i="45" a="1"/>
  <c r="AO77" i="45" s="1"/>
  <c r="I11" i="41" a="1"/>
  <c r="I11" i="41" s="1"/>
  <c r="AA59" i="33" a="1"/>
  <c r="AA59" i="33" s="1"/>
  <c r="AF40" i="33" a="1"/>
  <c r="AF40" i="33" s="1"/>
  <c r="M56" i="44" a="1"/>
  <c r="M56" i="44" s="1"/>
  <c r="AF47" i="44" a="1"/>
  <c r="AF47" i="44" s="1"/>
  <c r="AO43" i="44" a="1"/>
  <c r="AO43" i="44" s="1"/>
  <c r="AD24" i="47"/>
  <c r="AP73" i="45" a="1"/>
  <c r="AP73" i="45" s="1"/>
  <c r="AD43" i="45" a="1"/>
  <c r="AD43" i="45" s="1"/>
  <c r="AR11" i="44" a="1"/>
  <c r="AR11" i="44" s="1"/>
  <c r="R39" i="46"/>
  <c r="K19" i="45" a="1"/>
  <c r="K19" i="45" s="1"/>
  <c r="Q67" i="44" a="1"/>
  <c r="Q67" i="44" s="1"/>
  <c r="AI96" i="46"/>
  <c r="AA91" i="45" a="1"/>
  <c r="AA91" i="45" s="1"/>
  <c r="V86" i="45" a="1"/>
  <c r="V86" i="45" s="1"/>
  <c r="AL23" i="45" a="1"/>
  <c r="AL23" i="45" s="1"/>
  <c r="Y98" i="45" a="1"/>
  <c r="Y98" i="45" s="1"/>
  <c r="AM47" i="45" a="1"/>
  <c r="AM47" i="45" s="1"/>
  <c r="AR85" i="44" a="1"/>
  <c r="AR85" i="44" s="1"/>
  <c r="Y28" i="44" a="1"/>
  <c r="Y28" i="44" s="1"/>
  <c r="Z34" i="33" a="1"/>
  <c r="Z34" i="33" s="1"/>
  <c r="AO82" i="47" a="1"/>
  <c r="AO82" i="47" s="1"/>
  <c r="AF90" i="43"/>
  <c r="AD82" i="45" a="1"/>
  <c r="AD82" i="45" s="1"/>
  <c r="Z36" i="46"/>
  <c r="AC99" i="47"/>
  <c r="AH33" i="47"/>
  <c r="AU71" i="46" a="1"/>
  <c r="AU71" i="46" s="1"/>
  <c r="U82" i="33" a="1"/>
  <c r="U82" i="33" s="1"/>
  <c r="U81" i="33" s="1"/>
  <c r="F88" i="45" a="1"/>
  <c r="F88" i="45" s="1"/>
  <c r="X16" i="45" a="1"/>
  <c r="X16" i="45" s="1"/>
  <c r="S80" i="45" a="1"/>
  <c r="S80" i="45" s="1"/>
  <c r="Q104" i="45" a="1"/>
  <c r="Q104" i="45" s="1"/>
  <c r="W56" i="45" a="1"/>
  <c r="W56" i="45" s="1"/>
  <c r="G41" i="44" a="1"/>
  <c r="G41" i="44" s="1"/>
  <c r="I86" i="43" a="1"/>
  <c r="I86" i="43" s="1"/>
  <c r="Q79" i="33" a="1"/>
  <c r="Q79" i="33" s="1"/>
  <c r="L44" i="44" a="1"/>
  <c r="L44" i="44" s="1"/>
  <c r="AR64" i="44" a="1"/>
  <c r="AR64" i="44" s="1"/>
  <c r="R75" i="47"/>
  <c r="P25" i="33" a="1"/>
  <c r="P25" i="33" s="1"/>
  <c r="AV101" i="43" a="1"/>
  <c r="AV101" i="43" s="1"/>
  <c r="V83" i="33" a="1"/>
  <c r="V83" i="33" s="1"/>
  <c r="W47" i="45" a="1"/>
  <c r="W47" i="45" s="1"/>
  <c r="H58" i="33" a="1"/>
  <c r="H58" i="33" s="1"/>
  <c r="K95" i="45" a="1"/>
  <c r="K95" i="45" s="1"/>
  <c r="F71" i="45" a="1"/>
  <c r="F71" i="45" s="1"/>
  <c r="K69" i="41"/>
  <c r="AG65" i="33" a="1"/>
  <c r="AG65" i="33" s="1"/>
  <c r="R83" i="44" a="1"/>
  <c r="R83" i="44" s="1"/>
  <c r="O97" i="33" a="1"/>
  <c r="O97" i="33" s="1"/>
  <c r="O96" i="33" s="1"/>
  <c r="G88" i="33" a="1"/>
  <c r="G88" i="33" s="1"/>
  <c r="AP96" i="46"/>
  <c r="AI72" i="41"/>
  <c r="AV74" i="41" a="1"/>
  <c r="AV74" i="41" s="1"/>
  <c r="AV72" i="41" s="1"/>
  <c r="K49" i="45" a="1"/>
  <c r="K49" i="45" s="1"/>
  <c r="AK63" i="41"/>
  <c r="AJ103" i="44" a="1"/>
  <c r="AJ103" i="44" s="1"/>
  <c r="Z104" i="44" a="1"/>
  <c r="Z104" i="44" s="1"/>
  <c r="V47" i="33" a="1"/>
  <c r="V47" i="33" s="1"/>
  <c r="I49" i="45" a="1"/>
  <c r="I49" i="45" s="1"/>
  <c r="T74" i="33" a="1"/>
  <c r="T74" i="33" s="1"/>
  <c r="W68" i="33" a="1"/>
  <c r="W68" i="33" s="1"/>
  <c r="W66" i="33" s="1"/>
  <c r="AO59" i="46" a="1"/>
  <c r="AO59" i="46" s="1"/>
  <c r="Q83" i="33" a="1"/>
  <c r="Q83" i="33" s="1"/>
  <c r="AJ55" i="33" a="1"/>
  <c r="AJ55" i="33" s="1"/>
  <c r="AJ28" i="44" a="1"/>
  <c r="AJ28" i="44" s="1"/>
  <c r="AF38" i="44" a="1"/>
  <c r="AF38" i="44" s="1"/>
  <c r="AO26" i="43" a="1"/>
  <c r="AO26" i="43" s="1"/>
  <c r="R92" i="33" a="1"/>
  <c r="R92" i="33" s="1"/>
  <c r="I41" i="47" a="1"/>
  <c r="I41" i="47" s="1"/>
  <c r="AK17" i="44" a="1"/>
  <c r="AK17" i="44" s="1"/>
  <c r="AG64" i="33" a="1"/>
  <c r="AG64" i="33" s="1"/>
  <c r="AD50" i="44" a="1"/>
  <c r="AD50" i="44" s="1"/>
  <c r="I71" i="33" a="1"/>
  <c r="I71" i="33" s="1"/>
  <c r="AN32" i="43" a="1"/>
  <c r="AN32" i="43" s="1"/>
  <c r="J49" i="33" a="1"/>
  <c r="J49" i="33" s="1"/>
  <c r="AJ69" i="43"/>
  <c r="AH37" i="45" a="1"/>
  <c r="AH37" i="45" s="1"/>
  <c r="AC93" i="47"/>
  <c r="AO16" i="41" a="1"/>
  <c r="AO16" i="41" s="1"/>
  <c r="I26" i="41" a="1"/>
  <c r="I26" i="41" s="1"/>
  <c r="I24" i="41" s="1"/>
  <c r="AM55" i="44" a="1"/>
  <c r="AM55" i="44" s="1"/>
  <c r="AQ22" i="33" a="1"/>
  <c r="AQ22" i="33" s="1"/>
  <c r="X89" i="44" a="1"/>
  <c r="X89" i="44" s="1"/>
  <c r="AG49" i="33" a="1"/>
  <c r="AG49" i="33" s="1"/>
  <c r="T32" i="45" a="1"/>
  <c r="T32" i="45" s="1"/>
  <c r="AV104" i="46" a="1"/>
  <c r="AV104" i="46" s="1"/>
  <c r="AB20" i="44" a="1"/>
  <c r="AB20" i="44" s="1"/>
  <c r="AR58" i="44" a="1"/>
  <c r="AR58" i="44" s="1"/>
  <c r="P86" i="45" a="1"/>
  <c r="P86" i="45" s="1"/>
  <c r="AB9" i="43"/>
  <c r="I103" i="41" a="1"/>
  <c r="I103" i="41" s="1"/>
  <c r="Z101" i="45" a="1"/>
  <c r="Z101" i="45" s="1"/>
  <c r="AG86" i="45" a="1"/>
  <c r="AG86" i="45" s="1"/>
  <c r="C103" i="41" a="1"/>
  <c r="C103" i="41" s="1"/>
  <c r="W44" i="33" a="1"/>
  <c r="W44" i="33" s="1"/>
  <c r="AK37" i="33" a="1"/>
  <c r="AK37" i="33" s="1"/>
  <c r="AU10" i="41" a="1"/>
  <c r="AU10" i="41" s="1"/>
  <c r="AD25" i="45" a="1"/>
  <c r="AD25" i="45" s="1"/>
  <c r="C86" i="43" a="1"/>
  <c r="C86" i="43" s="1"/>
  <c r="AS60" i="41"/>
  <c r="AR65" i="44" a="1"/>
  <c r="AR65" i="44" s="1"/>
  <c r="O55" i="44" a="1"/>
  <c r="O55" i="44" s="1"/>
  <c r="W22" i="45" a="1"/>
  <c r="W22" i="45" s="1"/>
  <c r="AA10" i="44" a="1"/>
  <c r="AA10" i="44" s="1"/>
  <c r="AA64" i="33" a="1"/>
  <c r="AA64" i="33" s="1"/>
  <c r="AA63" i="33" s="1"/>
  <c r="J61" i="44" a="1"/>
  <c r="J61" i="44" s="1"/>
  <c r="AM41" i="45" a="1"/>
  <c r="AM41" i="45" s="1"/>
  <c r="E95" i="44" a="1"/>
  <c r="E95" i="44" s="1"/>
  <c r="X100" i="33" a="1"/>
  <c r="X100" i="33" s="1"/>
  <c r="AV55" i="41" a="1"/>
  <c r="AV55" i="41" s="1"/>
  <c r="AG94" i="33" a="1"/>
  <c r="AG94" i="33" s="1"/>
  <c r="Y41" i="44" a="1"/>
  <c r="Y41" i="44" s="1"/>
  <c r="G97" i="33" a="1"/>
  <c r="G97" i="33" s="1"/>
  <c r="J47" i="33" a="1"/>
  <c r="J47" i="33" s="1"/>
  <c r="AJ35" i="45" a="1"/>
  <c r="AJ35" i="45" s="1"/>
  <c r="AB56" i="33" a="1"/>
  <c r="AB56" i="33" s="1"/>
  <c r="AF64" i="44" a="1"/>
  <c r="AF64" i="44" s="1"/>
  <c r="AE91" i="45" a="1"/>
  <c r="AE91" i="45" s="1"/>
  <c r="F88" i="44" a="1"/>
  <c r="F88" i="44" s="1"/>
  <c r="F87" i="44" s="1"/>
  <c r="AC82" i="44" a="1"/>
  <c r="AC82" i="44" s="1"/>
  <c r="Y51" i="47"/>
  <c r="K95" i="33" a="1"/>
  <c r="K95" i="33" s="1"/>
  <c r="S104" i="33" a="1"/>
  <c r="S104" i="33" s="1"/>
  <c r="E104" i="33" a="1"/>
  <c r="E104" i="33" s="1"/>
  <c r="S43" i="45" a="1"/>
  <c r="S43" i="45" s="1"/>
  <c r="R76" i="45" a="1"/>
  <c r="R76" i="45" s="1"/>
  <c r="AH44" i="44" a="1"/>
  <c r="AH44" i="44" s="1"/>
  <c r="AM26" i="45" a="1"/>
  <c r="AM26" i="45" s="1"/>
  <c r="AN76" i="44" a="1"/>
  <c r="AN76" i="44" s="1"/>
  <c r="O68" i="44" a="1"/>
  <c r="O68" i="44" s="1"/>
  <c r="AU29" i="46" a="1"/>
  <c r="AU29" i="46" s="1"/>
  <c r="H52" i="44" a="1"/>
  <c r="H52" i="44" s="1"/>
  <c r="H51" i="44" s="1"/>
  <c r="AO43" i="45" a="1"/>
  <c r="AO43" i="45" s="1"/>
  <c r="J68" i="33" a="1"/>
  <c r="J68" i="33" s="1"/>
  <c r="X44" i="33" a="1"/>
  <c r="X44" i="33" s="1"/>
  <c r="H104" i="33" a="1"/>
  <c r="H104" i="33" s="1"/>
  <c r="AE25" i="33" a="1"/>
  <c r="AE25" i="33" s="1"/>
  <c r="AN73" i="47" a="1"/>
  <c r="AN73" i="47" s="1"/>
  <c r="Q58" i="33" a="1"/>
  <c r="Q58" i="33" s="1"/>
  <c r="AN85" i="41" a="1"/>
  <c r="AN85" i="41" s="1"/>
  <c r="AD10" i="44" a="1"/>
  <c r="AD10" i="44" s="1"/>
  <c r="Y40" i="44" a="1"/>
  <c r="Y40" i="44" s="1"/>
  <c r="I31" i="45" a="1"/>
  <c r="I31" i="45" s="1"/>
  <c r="AF85" i="45" a="1"/>
  <c r="AF85" i="45" s="1"/>
  <c r="AF84" i="45" s="1"/>
  <c r="AO32" i="47" a="1"/>
  <c r="AO32" i="47" s="1"/>
  <c r="C80" i="46" a="1"/>
  <c r="C80" i="46" s="1"/>
  <c r="T32" i="33" a="1"/>
  <c r="T32" i="33" s="1"/>
  <c r="AJ104" i="33" a="1"/>
  <c r="AJ104" i="33" s="1"/>
  <c r="AO26" i="44" a="1"/>
  <c r="AO26" i="44" s="1"/>
  <c r="AI86" i="45" a="1"/>
  <c r="AI86" i="45" s="1"/>
  <c r="AN97" i="33" a="1"/>
  <c r="AN97" i="33" s="1"/>
  <c r="L74" i="33" a="1"/>
  <c r="L74" i="33" s="1"/>
  <c r="AQ24" i="47"/>
  <c r="Y29" i="44" a="1"/>
  <c r="Y29" i="44" s="1"/>
  <c r="N68" i="45" a="1"/>
  <c r="N68" i="45" s="1"/>
  <c r="AL74" i="44" a="1"/>
  <c r="AL74" i="44" s="1"/>
  <c r="F89" i="33" a="1"/>
  <c r="F89" i="33" s="1"/>
  <c r="W82" i="33" a="1"/>
  <c r="W82" i="33" s="1"/>
  <c r="N17" i="45" a="1"/>
  <c r="N17" i="45" s="1"/>
  <c r="I92" i="41" a="1"/>
  <c r="I92" i="41" s="1"/>
  <c r="O10" i="44" a="1"/>
  <c r="O10" i="44" s="1"/>
  <c r="K83" i="44" a="1"/>
  <c r="K83" i="44" s="1"/>
  <c r="H19" i="33" a="1"/>
  <c r="H19" i="33" s="1"/>
  <c r="W28" i="33" a="1"/>
  <c r="W28" i="33" s="1"/>
  <c r="W27" i="33" s="1"/>
  <c r="W64" i="45" a="1"/>
  <c r="W64" i="45" s="1"/>
  <c r="P9" i="43"/>
  <c r="R9" i="41"/>
  <c r="W91" i="33" a="1"/>
  <c r="W91" i="33" s="1"/>
  <c r="AJ9" i="41"/>
  <c r="M63" i="46"/>
  <c r="AA31" i="44" a="1"/>
  <c r="AA31" i="44" s="1"/>
  <c r="Y53" i="33" a="1"/>
  <c r="Y53" i="33" s="1"/>
  <c r="N95" i="44" a="1"/>
  <c r="N95" i="44" s="1"/>
  <c r="R94" i="44" a="1"/>
  <c r="R94" i="44" s="1"/>
  <c r="W49" i="45" a="1"/>
  <c r="W49" i="45" s="1"/>
  <c r="V45" i="46"/>
  <c r="V23" i="44" a="1"/>
  <c r="V23" i="44" s="1"/>
  <c r="T89" i="44" a="1"/>
  <c r="T89" i="44" s="1"/>
  <c r="Q30" i="47"/>
  <c r="S97" i="44" a="1"/>
  <c r="S97" i="44" s="1"/>
  <c r="O28" i="44" a="1"/>
  <c r="O28" i="44" s="1"/>
  <c r="I17" i="47" a="1"/>
  <c r="I17" i="47" s="1"/>
  <c r="C26" i="44" a="1"/>
  <c r="C26" i="44" s="1"/>
  <c r="AJ93" i="46"/>
  <c r="AJ22" i="33" a="1"/>
  <c r="AJ22" i="33" s="1"/>
  <c r="AR52" i="45" a="1"/>
  <c r="AR52" i="45" s="1"/>
  <c r="G47" i="33" a="1"/>
  <c r="G47" i="33" s="1"/>
  <c r="G45" i="33" s="1"/>
  <c r="AF84" i="46"/>
  <c r="AP94" i="33" a="1"/>
  <c r="AP94" i="33" s="1"/>
  <c r="AF88" i="44" a="1"/>
  <c r="AF88" i="44" s="1"/>
  <c r="AE92" i="44" a="1"/>
  <c r="AE92" i="44" s="1"/>
  <c r="C35" i="44" a="1"/>
  <c r="C35" i="44" s="1"/>
  <c r="A34" i="44" s="1"/>
  <c r="J94" i="44" a="1"/>
  <c r="J94" i="44" s="1"/>
  <c r="AB74" i="44" a="1"/>
  <c r="AB74" i="44" s="1"/>
  <c r="F10" i="44" a="1"/>
  <c r="F10" i="44" s="1"/>
  <c r="AN83" i="43" a="1"/>
  <c r="AN83" i="43" s="1"/>
  <c r="P62" i="45" a="1"/>
  <c r="P62" i="45" s="1"/>
  <c r="Q26" i="45" a="1"/>
  <c r="Q26" i="45" s="1"/>
  <c r="G65" i="45" a="1"/>
  <c r="G65" i="45" s="1"/>
  <c r="M67" i="45" a="1"/>
  <c r="M67" i="45" s="1"/>
  <c r="AJ97" i="44" a="1"/>
  <c r="AJ97" i="44" s="1"/>
  <c r="AJ96" i="44" s="1"/>
  <c r="AR41" i="33" a="1"/>
  <c r="AR41" i="33" s="1"/>
  <c r="AO95" i="45" a="1"/>
  <c r="AO95" i="45" s="1"/>
  <c r="AB62" i="44" a="1"/>
  <c r="AB62" i="44" s="1"/>
  <c r="AM20" i="44" a="1"/>
  <c r="AM20" i="44" s="1"/>
  <c r="AN82" i="44" a="1"/>
  <c r="AN82" i="44" s="1"/>
  <c r="AQ10" i="44" a="1"/>
  <c r="AQ10" i="44" s="1"/>
  <c r="P23" i="33" a="1"/>
  <c r="P23" i="33" s="1"/>
  <c r="AA91" i="33" a="1"/>
  <c r="AA91" i="33" s="1"/>
  <c r="AB94" i="45" a="1"/>
  <c r="AB94" i="45" s="1"/>
  <c r="K55" i="44" a="1"/>
  <c r="K55" i="44" s="1"/>
  <c r="AN77" i="46" a="1"/>
  <c r="AN77" i="46" s="1"/>
  <c r="AI53" i="44" a="1"/>
  <c r="AI53" i="44" s="1"/>
  <c r="I28" i="41" a="1"/>
  <c r="I28" i="41" s="1"/>
  <c r="U58" i="33" a="1"/>
  <c r="U58" i="33" s="1"/>
  <c r="AJ89" i="33" a="1"/>
  <c r="AJ89" i="33" s="1"/>
  <c r="Y47" i="33" a="1"/>
  <c r="Y47" i="33" s="1"/>
  <c r="P85" i="33" a="1"/>
  <c r="P85" i="33" s="1"/>
  <c r="E82" i="33" a="1"/>
  <c r="E82" i="33" s="1"/>
  <c r="E91" i="33" a="1"/>
  <c r="E91" i="33" s="1"/>
  <c r="AC52" i="44" a="1"/>
  <c r="AC52" i="44" s="1"/>
  <c r="AO29" i="43" a="1"/>
  <c r="AO29" i="43" s="1"/>
  <c r="C38" i="44" a="1"/>
  <c r="C38" i="44" s="1"/>
  <c r="I88" i="46" a="1"/>
  <c r="I88" i="46" s="1"/>
  <c r="AL52" i="45" a="1"/>
  <c r="AL52" i="45" s="1"/>
  <c r="C55" i="33" a="1"/>
  <c r="C55" i="33" s="1"/>
  <c r="A55" i="33" s="1"/>
  <c r="U97" i="33" a="1"/>
  <c r="U97" i="33" s="1"/>
  <c r="R20" i="33" a="1"/>
  <c r="R20" i="33" s="1"/>
  <c r="U86" i="44" a="1"/>
  <c r="U86" i="44" s="1"/>
  <c r="AE83" i="44" a="1"/>
  <c r="AE83" i="44" s="1"/>
  <c r="AT15" i="43"/>
  <c r="I16" i="33" a="1"/>
  <c r="I16" i="33" s="1"/>
  <c r="AP98" i="45" a="1"/>
  <c r="AP98" i="45" s="1"/>
  <c r="W59" i="45" a="1"/>
  <c r="W59" i="45" s="1"/>
  <c r="L43" i="33" a="1"/>
  <c r="L43" i="33" s="1"/>
  <c r="L42" i="33" s="1"/>
  <c r="AH91" i="33" a="1"/>
  <c r="AH91" i="33" s="1"/>
  <c r="L59" i="44" a="1"/>
  <c r="L59" i="44" s="1"/>
  <c r="X27" i="47"/>
  <c r="G17" i="44" a="1"/>
  <c r="G17" i="44" s="1"/>
  <c r="K50" i="33" a="1"/>
  <c r="K50" i="33" s="1"/>
  <c r="AO97" i="44" a="1"/>
  <c r="AO97" i="44" s="1"/>
  <c r="W55" i="44" a="1"/>
  <c r="W55" i="44" s="1"/>
  <c r="I44" i="47" a="1"/>
  <c r="I44" i="47" s="1"/>
  <c r="AB46" i="33" a="1"/>
  <c r="AB46" i="33" s="1"/>
  <c r="K43" i="44" a="1"/>
  <c r="K43" i="44" s="1"/>
  <c r="K42" i="44" s="1"/>
  <c r="AH38" i="45" a="1"/>
  <c r="AH38" i="45" s="1"/>
  <c r="E85" i="44" a="1"/>
  <c r="E85" i="44" s="1"/>
  <c r="E84" i="44" s="1"/>
  <c r="AJ82" i="44" a="1"/>
  <c r="AJ82" i="44" s="1"/>
  <c r="T16" i="44" a="1"/>
  <c r="T16" i="44" s="1"/>
  <c r="AD74" i="45" a="1"/>
  <c r="AD74" i="45" s="1"/>
  <c r="F55" i="44" a="1"/>
  <c r="F55" i="44" s="1"/>
  <c r="F54" i="44" s="1"/>
  <c r="AP57" i="46"/>
  <c r="U97" i="44" a="1"/>
  <c r="U97" i="44" s="1"/>
  <c r="O76" i="33" a="1"/>
  <c r="O76" i="33" s="1"/>
  <c r="AK88" i="33" a="1"/>
  <c r="AK88" i="33" s="1"/>
  <c r="O102" i="43"/>
  <c r="Z104" i="33" a="1"/>
  <c r="Z104" i="33" s="1"/>
  <c r="AD34" i="33" a="1"/>
  <c r="AD34" i="33" s="1"/>
  <c r="AD33" i="33" s="1"/>
  <c r="G52" i="44" a="1"/>
  <c r="G52" i="44" s="1"/>
  <c r="G51" i="44" s="1"/>
  <c r="AL77" i="44" a="1"/>
  <c r="AL77" i="44" s="1"/>
  <c r="F58" i="33" a="1"/>
  <c r="F58" i="33" s="1"/>
  <c r="AU41" i="47" a="1"/>
  <c r="AU41" i="47" s="1"/>
  <c r="I80" i="44" a="1"/>
  <c r="I80" i="44" s="1"/>
  <c r="I78" i="44" s="1"/>
  <c r="AU34" i="43" a="1"/>
  <c r="AU34" i="43" s="1"/>
  <c r="I25" i="43" a="1"/>
  <c r="I25" i="43" s="1"/>
  <c r="AN65" i="45" a="1"/>
  <c r="AN65" i="45" s="1"/>
  <c r="X68" i="33" a="1"/>
  <c r="X68" i="33" s="1"/>
  <c r="G20" i="33" a="1"/>
  <c r="G20" i="33" s="1"/>
  <c r="AU44" i="41" a="1"/>
  <c r="AU44" i="41" s="1"/>
  <c r="AU42" i="41" s="1"/>
  <c r="T92" i="45" a="1"/>
  <c r="T92" i="45" s="1"/>
  <c r="AN47" i="46" a="1"/>
  <c r="AN47" i="46" s="1"/>
  <c r="AB41" i="45" a="1"/>
  <c r="AB41" i="45" s="1"/>
  <c r="AN95" i="47" a="1"/>
  <c r="AN95" i="47" s="1"/>
  <c r="C46" i="47" a="1"/>
  <c r="C46" i="47" s="1"/>
  <c r="C103" i="45" a="1"/>
  <c r="C103" i="45" s="1"/>
  <c r="A103" i="45" s="1"/>
  <c r="AL53" i="44" a="1"/>
  <c r="AL53" i="44" s="1"/>
  <c r="AI100" i="33" a="1"/>
  <c r="AI100" i="33" s="1"/>
  <c r="T97" i="33" a="1"/>
  <c r="T97" i="33" s="1"/>
  <c r="Y65" i="44" a="1"/>
  <c r="Y65" i="44" s="1"/>
  <c r="AN11" i="46" a="1"/>
  <c r="AN11" i="46" s="1"/>
  <c r="H47" i="44" a="1"/>
  <c r="H47" i="44" s="1"/>
  <c r="V51" i="43"/>
  <c r="E31" i="33" a="1"/>
  <c r="E31" i="33" s="1"/>
  <c r="C100" i="44" a="1"/>
  <c r="C100" i="44" s="1"/>
  <c r="AQ88" i="44" a="1"/>
  <c r="AQ88" i="44" s="1"/>
  <c r="AD92" i="45" a="1"/>
  <c r="AD92" i="45" s="1"/>
  <c r="AO40" i="43" a="1"/>
  <c r="AO40" i="43" s="1"/>
  <c r="M34" i="44" a="1"/>
  <c r="M34" i="44" s="1"/>
  <c r="M33" i="44" s="1"/>
  <c r="AF93" i="43"/>
  <c r="N51" i="43"/>
  <c r="Y46" i="33" a="1"/>
  <c r="Y46" i="33" s="1"/>
  <c r="AA52" i="45" a="1"/>
  <c r="AA52" i="45" s="1"/>
  <c r="L30" i="41"/>
  <c r="I22" i="43" a="1"/>
  <c r="I22" i="43" s="1"/>
  <c r="I21" i="43" s="1"/>
  <c r="AH104" i="33" a="1"/>
  <c r="AH104" i="33" s="1"/>
  <c r="AI80" i="33" a="1"/>
  <c r="AI80" i="33" s="1"/>
  <c r="AN52" i="44" a="1"/>
  <c r="AN52" i="44" s="1"/>
  <c r="L82" i="45" a="1"/>
  <c r="L82" i="45" s="1"/>
  <c r="W53" i="44" a="1"/>
  <c r="W53" i="44" s="1"/>
  <c r="AG82" i="44" a="1"/>
  <c r="AG82" i="44" s="1"/>
  <c r="K90" i="41"/>
  <c r="AI76" i="44" a="1"/>
  <c r="AI76" i="44" s="1"/>
  <c r="L23" i="45" a="1"/>
  <c r="L23" i="45" s="1"/>
  <c r="AN82" i="43" a="1"/>
  <c r="AN82" i="43" s="1"/>
  <c r="AR47" i="44" a="1"/>
  <c r="AR47" i="44" s="1"/>
  <c r="F56" i="45" a="1"/>
  <c r="F56" i="45" s="1"/>
  <c r="AJ101" i="33" a="1"/>
  <c r="AJ101" i="33" s="1"/>
  <c r="J79" i="33" a="1"/>
  <c r="J79" i="33" s="1"/>
  <c r="V43" i="45" a="1"/>
  <c r="V43" i="45" s="1"/>
  <c r="AK24" i="47"/>
  <c r="K65" i="44" a="1"/>
  <c r="K65" i="44" s="1"/>
  <c r="AL103" i="45" a="1"/>
  <c r="AL103" i="45" s="1"/>
  <c r="P72" i="43"/>
  <c r="G67" i="44" a="1"/>
  <c r="G67" i="44" s="1"/>
  <c r="AH51" i="46"/>
  <c r="Q62" i="33" a="1"/>
  <c r="Q62" i="33" s="1"/>
  <c r="Q73" i="45" a="1"/>
  <c r="Q73" i="45" s="1"/>
  <c r="AP93" i="46"/>
  <c r="L66" i="41"/>
  <c r="C85" i="42" a="1"/>
  <c r="C85" i="42" s="1"/>
  <c r="A85" i="42" s="1"/>
  <c r="AD52" i="45" a="1"/>
  <c r="AD52" i="45" s="1"/>
  <c r="Q86" i="33" a="1"/>
  <c r="Q86" i="33" s="1"/>
  <c r="AN23" i="47" a="1"/>
  <c r="AN23" i="47" s="1"/>
  <c r="E59" i="33" a="1"/>
  <c r="E59" i="33" s="1"/>
  <c r="U94" i="33" a="1"/>
  <c r="U94" i="33" s="1"/>
  <c r="AN31" i="46" a="1"/>
  <c r="AN31" i="46" s="1"/>
  <c r="U34" i="33" a="1"/>
  <c r="U34" i="33" s="1"/>
  <c r="G70" i="33" a="1"/>
  <c r="G70" i="33" s="1"/>
  <c r="R94" i="33" a="1"/>
  <c r="R94" i="33" s="1"/>
  <c r="AR11" i="33" a="1"/>
  <c r="AR11" i="33" s="1"/>
  <c r="AN52" i="46" a="1"/>
  <c r="AN52" i="46" s="1"/>
  <c r="AN51" i="46" s="1"/>
  <c r="AQ77" i="33" a="1"/>
  <c r="AQ77" i="33" s="1"/>
  <c r="G59" i="45" a="1"/>
  <c r="G59" i="45" s="1"/>
  <c r="G20" i="44" a="1"/>
  <c r="G20" i="44" s="1"/>
  <c r="J22" i="45" a="1"/>
  <c r="J22" i="45" s="1"/>
  <c r="AP15" i="41"/>
  <c r="AQ100" i="44" a="1"/>
  <c r="AQ100" i="44" s="1"/>
  <c r="Z84" i="47"/>
  <c r="U98" i="44" a="1"/>
  <c r="U98" i="44" s="1"/>
  <c r="AO44" i="43" a="1"/>
  <c r="AO44" i="43" s="1"/>
  <c r="R46" i="45" a="1"/>
  <c r="R46" i="45" s="1"/>
  <c r="AP47" i="44" a="1"/>
  <c r="AP47" i="44" s="1"/>
  <c r="V40" i="33" a="1"/>
  <c r="V40" i="33" s="1"/>
  <c r="J56" i="44" a="1"/>
  <c r="J56" i="44" s="1"/>
  <c r="J31" i="33" a="1"/>
  <c r="J31" i="33" s="1"/>
  <c r="AE81" i="46"/>
  <c r="Y38" i="45" a="1"/>
  <c r="Y38" i="45" s="1"/>
  <c r="AU50" i="46" a="1"/>
  <c r="AU50" i="46" s="1"/>
  <c r="AV73" i="46" a="1"/>
  <c r="AV73" i="46" s="1"/>
  <c r="AN94" i="46" a="1"/>
  <c r="AN94" i="46" s="1"/>
  <c r="C50" i="46" a="1"/>
  <c r="C50" i="46" s="1"/>
  <c r="O56" i="45" a="1"/>
  <c r="O56" i="45" s="1"/>
  <c r="AF47" i="45" a="1"/>
  <c r="AF47" i="45" s="1"/>
  <c r="AE97" i="44" a="1"/>
  <c r="AE97" i="44" s="1"/>
  <c r="AO86" i="44" a="1"/>
  <c r="AO86" i="44" s="1"/>
  <c r="AC35" i="45" a="1"/>
  <c r="AC35" i="45" s="1"/>
  <c r="AA101" i="44" a="1"/>
  <c r="AA101" i="44" s="1"/>
  <c r="AC38" i="44" a="1"/>
  <c r="AC38" i="44" s="1"/>
  <c r="K64" i="45" a="1"/>
  <c r="K64" i="45" s="1"/>
  <c r="AP41" i="44" a="1"/>
  <c r="AP41" i="44" s="1"/>
  <c r="M30" i="46"/>
  <c r="Z91" i="44" a="1"/>
  <c r="Z91" i="44" s="1"/>
  <c r="M90" i="43"/>
  <c r="N43" i="44" a="1"/>
  <c r="N43" i="44" s="1"/>
  <c r="F92" i="44" a="1"/>
  <c r="F92" i="44" s="1"/>
  <c r="C59" i="33" a="1"/>
  <c r="C59" i="33" s="1"/>
  <c r="I91" i="46" a="1"/>
  <c r="I91" i="46" s="1"/>
  <c r="F41" i="44" a="1"/>
  <c r="F41" i="44" s="1"/>
  <c r="AO55" i="45" a="1"/>
  <c r="AO55" i="45" s="1"/>
  <c r="C65" i="44" a="1"/>
  <c r="C65" i="44" s="1"/>
  <c r="M80" i="45" a="1"/>
  <c r="M80" i="45" s="1"/>
  <c r="R89" i="44" a="1"/>
  <c r="R89" i="44" s="1"/>
  <c r="AN43" i="45" a="1"/>
  <c r="AN43" i="45" s="1"/>
  <c r="AU32" i="46" a="1"/>
  <c r="AU32" i="46" s="1"/>
  <c r="AD85" i="45" a="1"/>
  <c r="AD85" i="45" s="1"/>
  <c r="AR45" i="46"/>
  <c r="K23" i="45" a="1"/>
  <c r="K23" i="45" s="1"/>
  <c r="K21" i="45" s="1"/>
  <c r="M65" i="45" a="1"/>
  <c r="M65" i="45" s="1"/>
  <c r="AI64" i="44" a="1"/>
  <c r="AI64" i="44" s="1"/>
  <c r="X86" i="45" a="1"/>
  <c r="X86" i="45" s="1"/>
  <c r="AP49" i="44" a="1"/>
  <c r="AP49" i="44" s="1"/>
  <c r="Y95" i="45" a="1"/>
  <c r="Y95" i="45" s="1"/>
  <c r="C22" i="45" a="1"/>
  <c r="C22" i="45" s="1"/>
  <c r="A22" i="45" s="1"/>
  <c r="AK41" i="33" a="1"/>
  <c r="AK41" i="33" s="1"/>
  <c r="U20" i="44" a="1"/>
  <c r="U20" i="44" s="1"/>
  <c r="S38" i="45" a="1"/>
  <c r="S38" i="45" s="1"/>
  <c r="AR16" i="33" a="1"/>
  <c r="AR16" i="33" s="1"/>
  <c r="AN103" i="43" a="1"/>
  <c r="AN103" i="43" s="1"/>
  <c r="AD47" i="44" a="1"/>
  <c r="AD47" i="44" s="1"/>
  <c r="F61" i="45" a="1"/>
  <c r="F61" i="45" s="1"/>
  <c r="K47" i="44" a="1"/>
  <c r="K47" i="44" s="1"/>
  <c r="AV41" i="41" a="1"/>
  <c r="AV41" i="41" s="1"/>
  <c r="AP101" i="44" a="1"/>
  <c r="AP101" i="44" s="1"/>
  <c r="P92" i="45" a="1"/>
  <c r="P92" i="45" s="1"/>
  <c r="AN67" i="47" a="1"/>
  <c r="AN67" i="47" s="1"/>
  <c r="C101" i="47" a="1"/>
  <c r="C101" i="47" s="1"/>
  <c r="F62" i="33" a="1"/>
  <c r="F62" i="33" s="1"/>
  <c r="AC80" i="45" a="1"/>
  <c r="AC80" i="45" s="1"/>
  <c r="Y49" i="44" a="1"/>
  <c r="Y49" i="44" s="1"/>
  <c r="AI10" i="44" a="1"/>
  <c r="AI10" i="44" s="1"/>
  <c r="O73" i="45" a="1"/>
  <c r="O73" i="45" s="1"/>
  <c r="AQ73" i="44" a="1"/>
  <c r="AQ73" i="44" s="1"/>
  <c r="AC70" i="33" a="1"/>
  <c r="AC70" i="33" s="1"/>
  <c r="E22" i="44" a="1"/>
  <c r="E22" i="44" s="1"/>
  <c r="F31" i="45" a="1"/>
  <c r="F31" i="45" s="1"/>
  <c r="I80" i="41" a="1"/>
  <c r="I80" i="41" s="1"/>
  <c r="C101" i="46" a="1"/>
  <c r="C101" i="46" s="1"/>
  <c r="AV46" i="43" a="1"/>
  <c r="AV46" i="43" s="1"/>
  <c r="AU55" i="46" a="1"/>
  <c r="AU55" i="46" s="1"/>
  <c r="AN16" i="44" a="1"/>
  <c r="AN16" i="44" s="1"/>
  <c r="AK36" i="46"/>
  <c r="AR100" i="44" a="1"/>
  <c r="AR100" i="44" s="1"/>
  <c r="Q47" i="45" a="1"/>
  <c r="Q47" i="45" s="1"/>
  <c r="AO40" i="41" a="1"/>
  <c r="AO40" i="41" s="1"/>
  <c r="AT84" i="46"/>
  <c r="AK67" i="44" a="1"/>
  <c r="AK67" i="44" s="1"/>
  <c r="AB92" i="33" a="1"/>
  <c r="AB92" i="33" s="1"/>
  <c r="AA94" i="44" a="1"/>
  <c r="AA94" i="44" s="1"/>
  <c r="C67" i="42" a="1"/>
  <c r="C67" i="42" s="1"/>
  <c r="T47" i="45" a="1"/>
  <c r="T47" i="45" s="1"/>
  <c r="J47" i="45" a="1"/>
  <c r="J47" i="45" s="1"/>
  <c r="T50" i="33" a="1"/>
  <c r="T50" i="33" s="1"/>
  <c r="T98" i="44" a="1"/>
  <c r="T98" i="44" s="1"/>
  <c r="AH36" i="43"/>
  <c r="AK44" i="33" a="1"/>
  <c r="AK44" i="33" s="1"/>
  <c r="K83" i="33" a="1"/>
  <c r="K83" i="33" s="1"/>
  <c r="AG42" i="47"/>
  <c r="U18" i="47"/>
  <c r="O37" i="45" a="1"/>
  <c r="O37" i="45" s="1"/>
  <c r="AV40" i="43" a="1"/>
  <c r="AV40" i="43" s="1"/>
  <c r="X31" i="33" a="1"/>
  <c r="X31" i="33" s="1"/>
  <c r="AA60" i="47"/>
  <c r="W31" i="45" a="1"/>
  <c r="W31" i="45" s="1"/>
  <c r="AK90" i="41"/>
  <c r="C85" i="33" a="1"/>
  <c r="C85" i="33" s="1"/>
  <c r="A85" i="33" s="1"/>
  <c r="AD65" i="44" a="1"/>
  <c r="AD65" i="44" s="1"/>
  <c r="H97" i="33" a="1"/>
  <c r="H97" i="33" s="1"/>
  <c r="AK85" i="44" a="1"/>
  <c r="AK85" i="44" s="1"/>
  <c r="AK84" i="44" s="1"/>
  <c r="AB80" i="44" a="1"/>
  <c r="AB80" i="44" s="1"/>
  <c r="J76" i="45" a="1"/>
  <c r="J76" i="45" s="1"/>
  <c r="AN68" i="46" a="1"/>
  <c r="AN68" i="46" s="1"/>
  <c r="C94" i="45" a="1"/>
  <c r="C94" i="45" s="1"/>
  <c r="A94" i="45" s="1"/>
  <c r="O47" i="44" a="1"/>
  <c r="O47" i="44" s="1"/>
  <c r="I56" i="41" a="1"/>
  <c r="I56" i="41" s="1"/>
  <c r="T78" i="41"/>
  <c r="AR94" i="45" a="1"/>
  <c r="AR94" i="45" s="1"/>
  <c r="Y92" i="45" a="1"/>
  <c r="Y92" i="45" s="1"/>
  <c r="AV28" i="47" a="1"/>
  <c r="AV28" i="47" s="1"/>
  <c r="AJ49" i="33" a="1"/>
  <c r="AJ49" i="33" s="1"/>
  <c r="N67" i="45" a="1"/>
  <c r="N67" i="45" s="1"/>
  <c r="AD37" i="33" a="1"/>
  <c r="AD37" i="33" s="1"/>
  <c r="AD36" i="33" s="1"/>
  <c r="AR98" i="45" a="1"/>
  <c r="AR98" i="45" s="1"/>
  <c r="AR96" i="45" s="1"/>
  <c r="G53" i="33" a="1"/>
  <c r="G53" i="33" s="1"/>
  <c r="W103" i="44" a="1"/>
  <c r="W103" i="44" s="1"/>
  <c r="F46" i="44" a="1"/>
  <c r="F46" i="44" s="1"/>
  <c r="AV92" i="41" a="1"/>
  <c r="AV92" i="41" s="1"/>
  <c r="G89" i="33" a="1"/>
  <c r="G89" i="33" s="1"/>
  <c r="AL58" i="45" a="1"/>
  <c r="AL58" i="45" s="1"/>
  <c r="AL57" i="45" s="1"/>
  <c r="AN70" i="46" a="1"/>
  <c r="AN70" i="46" s="1"/>
  <c r="W35" i="44" a="1"/>
  <c r="W35" i="44" s="1"/>
  <c r="T39" i="47"/>
  <c r="AA76" i="33" a="1"/>
  <c r="AA76" i="33" s="1"/>
  <c r="V89" i="33" a="1"/>
  <c r="V89" i="33" s="1"/>
  <c r="AC88" i="45" a="1"/>
  <c r="AC88" i="45" s="1"/>
  <c r="I41" i="41" a="1"/>
  <c r="I41" i="41" s="1"/>
  <c r="J56" i="33" a="1"/>
  <c r="J56" i="33" s="1"/>
  <c r="AF62" i="45" a="1"/>
  <c r="AF62" i="45" s="1"/>
  <c r="AD40" i="33" a="1"/>
  <c r="AD40" i="33" s="1"/>
  <c r="AD39" i="33" s="1"/>
  <c r="K92" i="44" a="1"/>
  <c r="K92" i="44" s="1"/>
  <c r="R89" i="45" a="1"/>
  <c r="R89" i="45" s="1"/>
  <c r="AR73" i="45" a="1"/>
  <c r="AR73" i="45" s="1"/>
  <c r="AN64" i="44" a="1"/>
  <c r="AN64" i="44" s="1"/>
  <c r="Z47" i="33" a="1"/>
  <c r="Z47" i="33" s="1"/>
  <c r="AK91" i="45" a="1"/>
  <c r="AK91" i="45" s="1"/>
  <c r="W20" i="45" a="1"/>
  <c r="W20" i="45" s="1"/>
  <c r="I22" i="46" a="1"/>
  <c r="I22" i="46" s="1"/>
  <c r="F68" i="45" a="1"/>
  <c r="F68" i="45" s="1"/>
  <c r="V50" i="45" a="1"/>
  <c r="V50" i="45" s="1"/>
  <c r="AB95" i="33" a="1"/>
  <c r="AB95" i="33" s="1"/>
  <c r="AH70" i="45" a="1"/>
  <c r="AH70" i="45" s="1"/>
  <c r="AH69" i="45" s="1"/>
  <c r="P61" i="45" a="1"/>
  <c r="P61" i="45" s="1"/>
  <c r="C22" i="47" a="1"/>
  <c r="C22" i="47" s="1"/>
  <c r="A22" i="47" s="1"/>
  <c r="AI25" i="33" a="1"/>
  <c r="AI25" i="33" s="1"/>
  <c r="Z77" i="33" a="1"/>
  <c r="Z77" i="33" s="1"/>
  <c r="I22" i="45" a="1"/>
  <c r="I22" i="45" s="1"/>
  <c r="F26" i="44" a="1"/>
  <c r="F26" i="44" s="1"/>
  <c r="AG71" i="44" a="1"/>
  <c r="AG71" i="44" s="1"/>
  <c r="AI41" i="45" a="1"/>
  <c r="AI41" i="45" s="1"/>
  <c r="AI38" i="33" a="1"/>
  <c r="AI38" i="33" s="1"/>
  <c r="AV44" i="47" a="1"/>
  <c r="AV44" i="47" s="1"/>
  <c r="E47" i="44" a="1"/>
  <c r="E47" i="44" s="1"/>
  <c r="T56" i="45" a="1"/>
  <c r="T56" i="45" s="1"/>
  <c r="K83" i="45" a="1"/>
  <c r="K83" i="45" s="1"/>
  <c r="AD102" i="46"/>
  <c r="AH35" i="33" a="1"/>
  <c r="AH35" i="33" s="1"/>
  <c r="C50" i="45" a="1"/>
  <c r="C50" i="45" s="1"/>
  <c r="A49" i="45" s="1"/>
  <c r="AR29" i="44" a="1"/>
  <c r="AR29" i="44" s="1"/>
  <c r="X55" i="44" a="1"/>
  <c r="X55" i="44" s="1"/>
  <c r="G80" i="45" a="1"/>
  <c r="G80" i="45" s="1"/>
  <c r="AI65" i="33" a="1"/>
  <c r="AI65" i="33" s="1"/>
  <c r="AB89" i="44" a="1"/>
  <c r="AB89" i="44" s="1"/>
  <c r="AK58" i="33" a="1"/>
  <c r="AK58" i="33" s="1"/>
  <c r="Y68" i="44" a="1"/>
  <c r="Y68" i="44" s="1"/>
  <c r="AC86" i="44" a="1"/>
  <c r="AC86" i="44" s="1"/>
  <c r="E91" i="45" a="1"/>
  <c r="E91" i="45" s="1"/>
  <c r="V101" i="44" a="1"/>
  <c r="V101" i="44" s="1"/>
  <c r="AR10" i="33" a="1"/>
  <c r="AR10" i="33" s="1"/>
  <c r="AS1" i="33" s="1"/>
  <c r="AF16" i="44" a="1"/>
  <c r="AF16" i="44" s="1"/>
  <c r="AO25" i="44" a="1"/>
  <c r="AO25" i="44" s="1"/>
  <c r="U20" i="45" a="1"/>
  <c r="U20" i="45" s="1"/>
  <c r="AO62" i="47" a="1"/>
  <c r="AO62" i="47" s="1"/>
  <c r="T53" i="44" a="1"/>
  <c r="T53" i="44" s="1"/>
  <c r="AK38" i="44" a="1"/>
  <c r="AK38" i="44" s="1"/>
  <c r="AO55" i="46" a="1"/>
  <c r="AO55" i="46" s="1"/>
  <c r="AQ87" i="46"/>
  <c r="X78" i="43"/>
  <c r="AR104" i="44" a="1"/>
  <c r="AR104" i="44" s="1"/>
  <c r="Z50" i="45" a="1"/>
  <c r="Z50" i="45" s="1"/>
  <c r="J95" i="44" a="1"/>
  <c r="J95" i="44" s="1"/>
  <c r="AF46" i="33" a="1"/>
  <c r="AF46" i="33" s="1"/>
  <c r="AI30" i="41"/>
  <c r="AN32" i="41" a="1"/>
  <c r="AN32" i="41" s="1"/>
  <c r="AR87" i="47"/>
  <c r="M59" i="33" a="1"/>
  <c r="M59" i="33" s="1"/>
  <c r="M98" i="44" a="1"/>
  <c r="M98" i="44" s="1"/>
  <c r="AN44" i="46" a="1"/>
  <c r="AN44" i="46" s="1"/>
  <c r="S48" i="43"/>
  <c r="AC35" i="44" a="1"/>
  <c r="AC35" i="44" s="1"/>
  <c r="C83" i="41" a="1"/>
  <c r="C83" i="41" s="1"/>
  <c r="AF25" i="44" a="1"/>
  <c r="AF25" i="44" s="1"/>
  <c r="AN62" i="46" a="1"/>
  <c r="AN62" i="46" s="1"/>
  <c r="AD59" i="33" a="1"/>
  <c r="AD59" i="33" s="1"/>
  <c r="AN89" i="47" a="1"/>
  <c r="AN89" i="47" s="1"/>
  <c r="AG18" i="47"/>
  <c r="V49" i="44" a="1"/>
  <c r="V49" i="44" s="1"/>
  <c r="I82" i="41" a="1"/>
  <c r="I82" i="41" s="1"/>
  <c r="G16" i="44" a="1"/>
  <c r="G16" i="44" s="1"/>
  <c r="AB97" i="44" a="1"/>
  <c r="AB97" i="44" s="1"/>
  <c r="F85" i="44" a="1"/>
  <c r="F85" i="44" s="1"/>
  <c r="AO73" i="43" a="1"/>
  <c r="AO73" i="43" s="1"/>
  <c r="AO61" i="44" a="1"/>
  <c r="AO61" i="44" s="1"/>
  <c r="Q43" i="44" a="1"/>
  <c r="Q43" i="44" s="1"/>
  <c r="AC59" i="33" a="1"/>
  <c r="AC59" i="33" s="1"/>
  <c r="AG79" i="44" a="1"/>
  <c r="AG79" i="44" s="1"/>
  <c r="AH62" i="33" a="1"/>
  <c r="AH62" i="33" s="1"/>
  <c r="G101" i="44" a="1"/>
  <c r="G101" i="44" s="1"/>
  <c r="AM80" i="44" a="1"/>
  <c r="AM80" i="44" s="1"/>
  <c r="AT42" i="41"/>
  <c r="AA56" i="45" a="1"/>
  <c r="AA56" i="45" s="1"/>
  <c r="AE40" i="44" a="1"/>
  <c r="AE40" i="44" s="1"/>
  <c r="F100" i="33" a="1"/>
  <c r="F100" i="33" s="1"/>
  <c r="AN61" i="46" a="1"/>
  <c r="AN61" i="46" s="1"/>
  <c r="AC45" i="43"/>
  <c r="AA47" i="45" a="1"/>
  <c r="AA47" i="45" s="1"/>
  <c r="I29" i="41" a="1"/>
  <c r="I29" i="41" s="1"/>
  <c r="L50" i="45" a="1"/>
  <c r="L50" i="45" s="1"/>
  <c r="AR48" i="46"/>
  <c r="Q19" i="44" a="1"/>
  <c r="Q19" i="44" s="1"/>
  <c r="Q18" i="44" s="1"/>
  <c r="U43" i="44" a="1"/>
  <c r="U43" i="44" s="1"/>
  <c r="P65" i="44" a="1"/>
  <c r="P65" i="44" s="1"/>
  <c r="AC35" i="33" a="1"/>
  <c r="AC35" i="33" s="1"/>
  <c r="AP29" i="33" a="1"/>
  <c r="AP29" i="33" s="1"/>
  <c r="N58" i="44" a="1"/>
  <c r="N58" i="44" s="1"/>
  <c r="AL81" i="41"/>
  <c r="Z22" i="45" a="1"/>
  <c r="Z22" i="45" s="1"/>
  <c r="AB30" i="46"/>
  <c r="T55" i="44" a="1"/>
  <c r="T55" i="44" s="1"/>
  <c r="L61" i="33" a="1"/>
  <c r="L61" i="33" s="1"/>
  <c r="U95" i="45" a="1"/>
  <c r="U95" i="45" s="1"/>
  <c r="U93" i="45" s="1"/>
  <c r="U10" i="45" a="1"/>
  <c r="U10" i="45" s="1"/>
  <c r="AK80" i="45" a="1"/>
  <c r="AK80" i="45" s="1"/>
  <c r="AE62" i="44" a="1"/>
  <c r="AE62" i="44" s="1"/>
  <c r="Q22" i="45" a="1"/>
  <c r="Q22" i="45" s="1"/>
  <c r="V37" i="45" a="1"/>
  <c r="V37" i="45" s="1"/>
  <c r="Q50" i="33" a="1"/>
  <c r="Q50" i="33" s="1"/>
  <c r="AG23" i="45" a="1"/>
  <c r="AG23" i="45" s="1"/>
  <c r="M79" i="44" a="1"/>
  <c r="M79" i="44" s="1"/>
  <c r="T18" i="41"/>
  <c r="AU52" i="41" a="1"/>
  <c r="AU52" i="41" s="1"/>
  <c r="AA50" i="44" a="1"/>
  <c r="AA50" i="44" s="1"/>
  <c r="AM20" i="45" a="1"/>
  <c r="AM20" i="45" s="1"/>
  <c r="AD91" i="45" a="1"/>
  <c r="AD91" i="45" s="1"/>
  <c r="C50" i="42" a="1"/>
  <c r="C50" i="42" s="1"/>
  <c r="AD10" i="33" a="1"/>
  <c r="AD10" i="33" s="1"/>
  <c r="C41" i="47" a="1"/>
  <c r="C41" i="47" s="1"/>
  <c r="L34" i="44" a="1"/>
  <c r="L34" i="44" s="1"/>
  <c r="S19" i="44" a="1"/>
  <c r="S19" i="44" s="1"/>
  <c r="AH59" i="44" a="1"/>
  <c r="AH59" i="44" s="1"/>
  <c r="K78" i="43"/>
  <c r="C89" i="47" a="1"/>
  <c r="C89" i="47" s="1"/>
  <c r="R32" i="44" a="1"/>
  <c r="R32" i="44" s="1"/>
  <c r="AK66" i="46"/>
  <c r="N84" i="47"/>
  <c r="AQ71" i="44" a="1"/>
  <c r="AQ71" i="44" s="1"/>
  <c r="AD99" i="41"/>
  <c r="T44" i="45" a="1"/>
  <c r="T44" i="45" s="1"/>
  <c r="AV70" i="41" a="1"/>
  <c r="AV70" i="41" s="1"/>
  <c r="O55" i="33" a="1"/>
  <c r="O55" i="33" s="1"/>
  <c r="AH86" i="45" a="1"/>
  <c r="AH86" i="45" s="1"/>
  <c r="AM22" i="45" a="1"/>
  <c r="AM22" i="45" s="1"/>
  <c r="AH103" i="33" a="1"/>
  <c r="AH103" i="33" s="1"/>
  <c r="C62" i="33" a="1"/>
  <c r="C62" i="33" s="1"/>
  <c r="AK27" i="43"/>
  <c r="C94" i="47" a="1"/>
  <c r="C94" i="47" s="1"/>
  <c r="Q59" i="45" a="1"/>
  <c r="Q59" i="45" s="1"/>
  <c r="AR100" i="33" a="1"/>
  <c r="AR100" i="33" s="1"/>
  <c r="AN38" i="41" a="1"/>
  <c r="AN38" i="41" s="1"/>
  <c r="K65" i="33" a="1"/>
  <c r="K65" i="33" s="1"/>
  <c r="AI11" i="33" a="1"/>
  <c r="AI11" i="33" s="1"/>
  <c r="AD87" i="46"/>
  <c r="R56" i="33" a="1"/>
  <c r="R56" i="33" s="1"/>
  <c r="AB100" i="33" a="1"/>
  <c r="AB100" i="33" s="1"/>
  <c r="F67" i="33" a="1"/>
  <c r="F67" i="33" s="1"/>
  <c r="AA16" i="33" a="1"/>
  <c r="AA16" i="33" s="1"/>
  <c r="AB59" i="45" a="1"/>
  <c r="AB59" i="45" s="1"/>
  <c r="U91" i="45" a="1"/>
  <c r="U91" i="45" s="1"/>
  <c r="X88" i="33" a="1"/>
  <c r="X88" i="33" s="1"/>
  <c r="V37" i="33" a="1"/>
  <c r="V37" i="33" s="1"/>
  <c r="AO58" i="46" a="1"/>
  <c r="AO58" i="46" s="1"/>
  <c r="AO22" i="43" a="1"/>
  <c r="AO22" i="43" s="1"/>
  <c r="AP26" i="33" a="1"/>
  <c r="AP26" i="33" s="1"/>
  <c r="AP24" i="33" s="1"/>
  <c r="Y30" i="41"/>
  <c r="AO38" i="44" a="1"/>
  <c r="AO38" i="44" s="1"/>
  <c r="R100" i="44" a="1"/>
  <c r="R100" i="44" s="1"/>
  <c r="AS18" i="41"/>
  <c r="AU74" i="43" a="1"/>
  <c r="AU74" i="43" s="1"/>
  <c r="AG60" i="47"/>
  <c r="AK104" i="33" a="1"/>
  <c r="AK104" i="33" s="1"/>
  <c r="I23" i="44" a="1"/>
  <c r="I23" i="44" s="1"/>
  <c r="AP26" i="45" a="1"/>
  <c r="AP26" i="45" s="1"/>
  <c r="G35" i="33" a="1"/>
  <c r="G35" i="33" s="1"/>
  <c r="AI46" i="33" a="1"/>
  <c r="AI46" i="33" s="1"/>
  <c r="U41" i="44" a="1"/>
  <c r="U41" i="44" s="1"/>
  <c r="G43" i="44" a="1"/>
  <c r="G43" i="44" s="1"/>
  <c r="AR38" i="45" a="1"/>
  <c r="AR38" i="45" s="1"/>
  <c r="C82" i="42" a="1"/>
  <c r="C82" i="42" s="1"/>
  <c r="AB27" i="46"/>
  <c r="I74" i="41" a="1"/>
  <c r="I74" i="41" s="1"/>
  <c r="AP45" i="47"/>
  <c r="AO65" i="33" a="1"/>
  <c r="AO65" i="33" s="1"/>
  <c r="X92" i="44" a="1"/>
  <c r="X92" i="44" s="1"/>
  <c r="AJ25" i="45" a="1"/>
  <c r="AJ25" i="45" s="1"/>
  <c r="AA26" i="45" a="1"/>
  <c r="AA26" i="45" s="1"/>
  <c r="AA24" i="45" s="1"/>
  <c r="J24" i="43"/>
  <c r="AN40" i="45" a="1"/>
  <c r="AN40" i="45" s="1"/>
  <c r="AA83" i="44" a="1"/>
  <c r="AA83" i="44" s="1"/>
  <c r="AN10" i="43" a="1"/>
  <c r="AN10" i="43" s="1"/>
  <c r="P96" i="43"/>
  <c r="F44" i="33" a="1"/>
  <c r="F44" i="33" s="1"/>
  <c r="AH16" i="45" a="1"/>
  <c r="AH16" i="45" s="1"/>
  <c r="I65" i="46" a="1"/>
  <c r="I65" i="46" s="1"/>
  <c r="H101" i="45" a="1"/>
  <c r="H101" i="45" s="1"/>
  <c r="AC104" i="44" a="1"/>
  <c r="AC104" i="44" s="1"/>
  <c r="Q41" i="44" a="1"/>
  <c r="Q41" i="44" s="1"/>
  <c r="AQ19" i="45" a="1"/>
  <c r="AQ19" i="45" s="1"/>
  <c r="AO41" i="45" a="1"/>
  <c r="AO41" i="45" s="1"/>
  <c r="E80" i="44" a="1"/>
  <c r="E80" i="44" s="1"/>
  <c r="AQ25" i="33" a="1"/>
  <c r="AQ25" i="33" s="1"/>
  <c r="AQ24" i="33" s="1"/>
  <c r="N75" i="47"/>
  <c r="C55" i="43" a="1"/>
  <c r="C55" i="43" s="1"/>
  <c r="U46" i="44" a="1"/>
  <c r="U46" i="44" s="1"/>
  <c r="U45" i="44" s="1"/>
  <c r="AJ53" i="45" a="1"/>
  <c r="AJ53" i="45" s="1"/>
  <c r="AL79" i="45" a="1"/>
  <c r="AL79" i="45" s="1"/>
  <c r="AR104" i="33" a="1"/>
  <c r="AR104" i="33" s="1"/>
  <c r="W80" i="33" a="1"/>
  <c r="W80" i="33" s="1"/>
  <c r="W78" i="33" s="1"/>
  <c r="AQ102" i="47"/>
  <c r="L52" i="44" a="1"/>
  <c r="L52" i="44" s="1"/>
  <c r="L51" i="44" s="1"/>
  <c r="AF100" i="45" a="1"/>
  <c r="AF100" i="45" s="1"/>
  <c r="AK19" i="44" a="1"/>
  <c r="AK19" i="44" s="1"/>
  <c r="O82" i="45" a="1"/>
  <c r="O82" i="45" s="1"/>
  <c r="O81" i="45" s="1"/>
  <c r="T20" i="44" a="1"/>
  <c r="T20" i="44" s="1"/>
  <c r="T18" i="44" s="1"/>
  <c r="I65" i="33" a="1"/>
  <c r="I65" i="33" s="1"/>
  <c r="Y93" i="47"/>
  <c r="AQ84" i="41"/>
  <c r="AK33" i="41"/>
  <c r="AL83" i="33" a="1"/>
  <c r="AL83" i="33" s="1"/>
  <c r="P10" i="45" a="1"/>
  <c r="P10" i="45" s="1"/>
  <c r="L102" i="43"/>
  <c r="AV98" i="43" a="1"/>
  <c r="AV98" i="43" s="1"/>
  <c r="X28" i="44" a="1"/>
  <c r="X28" i="44" s="1"/>
  <c r="X27" i="44" s="1"/>
  <c r="AN100" i="43" a="1"/>
  <c r="AN100" i="43" s="1"/>
  <c r="AC74" i="33" a="1"/>
  <c r="AC74" i="33" s="1"/>
  <c r="AE71" i="45" a="1"/>
  <c r="AE71" i="45" s="1"/>
  <c r="X71" i="44" a="1"/>
  <c r="X71" i="44" s="1"/>
  <c r="X77" i="45" a="1"/>
  <c r="X77" i="45" s="1"/>
  <c r="AH17" i="45" a="1"/>
  <c r="AH17" i="45" s="1"/>
  <c r="I55" i="45" a="1"/>
  <c r="I55" i="45" s="1"/>
  <c r="AD66" i="46"/>
  <c r="I53" i="44" a="1"/>
  <c r="I53" i="44" s="1"/>
  <c r="AL96" i="46"/>
  <c r="H74" i="33" a="1"/>
  <c r="H74" i="33" s="1"/>
  <c r="P37" i="45" a="1"/>
  <c r="P37" i="45" s="1"/>
  <c r="C101" i="42" a="1"/>
  <c r="C101" i="42" s="1"/>
  <c r="L44" i="45" a="1"/>
  <c r="L44" i="45" s="1"/>
  <c r="L42" i="45" s="1"/>
  <c r="G68" i="44" a="1"/>
  <c r="G68" i="44" s="1"/>
  <c r="U77" i="33" a="1"/>
  <c r="U77" i="33" s="1"/>
  <c r="AF31" i="44" a="1"/>
  <c r="AF31" i="44" s="1"/>
  <c r="AJ100" i="45" a="1"/>
  <c r="AJ100" i="45" s="1"/>
  <c r="P97" i="33" a="1"/>
  <c r="P97" i="33" s="1"/>
  <c r="AF36" i="46"/>
  <c r="M46" i="33" a="1"/>
  <c r="M46" i="33" s="1"/>
  <c r="O31" i="44" a="1"/>
  <c r="O31" i="44" s="1"/>
  <c r="AD98" i="33" a="1"/>
  <c r="AD98" i="33" s="1"/>
  <c r="F67" i="45" a="1"/>
  <c r="F67" i="45" s="1"/>
  <c r="S96" i="41"/>
  <c r="AL29" i="33" a="1"/>
  <c r="AL29" i="33" s="1"/>
  <c r="AL27" i="33" s="1"/>
  <c r="AC39" i="46"/>
  <c r="X35" i="44" a="1"/>
  <c r="X35" i="44" s="1"/>
  <c r="I98" i="43" a="1"/>
  <c r="I98" i="43" s="1"/>
  <c r="W26" i="45" a="1"/>
  <c r="W26" i="45" s="1"/>
  <c r="AV70" i="46" a="1"/>
  <c r="AV70" i="46" s="1"/>
  <c r="V95" i="33" a="1"/>
  <c r="V95" i="33" s="1"/>
  <c r="AN55" i="46" a="1"/>
  <c r="AN55" i="46" s="1"/>
  <c r="V25" i="44" a="1"/>
  <c r="V25" i="44" s="1"/>
  <c r="J53" i="45" a="1"/>
  <c r="J53" i="45" s="1"/>
  <c r="AO10" i="46" a="1"/>
  <c r="AO10" i="46" s="1"/>
  <c r="AJ19" i="45" a="1"/>
  <c r="AJ19" i="45" s="1"/>
  <c r="N77" i="44" a="1"/>
  <c r="N77" i="44" s="1"/>
  <c r="AK64" i="45" a="1"/>
  <c r="AK64" i="45" s="1"/>
  <c r="Z46" i="45" a="1"/>
  <c r="Z46" i="45" s="1"/>
  <c r="N99" i="41"/>
  <c r="R28" i="33" a="1"/>
  <c r="R28" i="33" s="1"/>
  <c r="AC24" i="41"/>
  <c r="Z65" i="44" a="1"/>
  <c r="Z65" i="44" s="1"/>
  <c r="J41" i="44" a="1"/>
  <c r="J41" i="44" s="1"/>
  <c r="I28" i="45" a="1"/>
  <c r="I28" i="45" s="1"/>
  <c r="M11" i="45" a="1"/>
  <c r="M11" i="45" s="1"/>
  <c r="I50" i="46" a="1"/>
  <c r="I50" i="46" s="1"/>
  <c r="AP92" i="33" a="1"/>
  <c r="AP92" i="33" s="1"/>
  <c r="J58" i="45" a="1"/>
  <c r="J58" i="45" s="1"/>
  <c r="J39" i="41"/>
  <c r="AO29" i="44" a="1"/>
  <c r="AO29" i="44" s="1"/>
  <c r="AO11" i="46" a="1"/>
  <c r="AO11" i="46" s="1"/>
  <c r="C19" i="33" a="1"/>
  <c r="C19" i="33" s="1"/>
  <c r="M19" i="33" a="1"/>
  <c r="M19" i="33" s="1"/>
  <c r="Y27" i="46"/>
  <c r="AM94" i="44" a="1"/>
  <c r="AM94" i="44" s="1"/>
  <c r="AO52" i="43" a="1"/>
  <c r="AO52" i="43" s="1"/>
  <c r="P43" i="45" a="1"/>
  <c r="P43" i="45" s="1"/>
  <c r="P42" i="45" s="1"/>
  <c r="AG67" i="45" a="1"/>
  <c r="AG67" i="45" s="1"/>
  <c r="AT93" i="41"/>
  <c r="AJ34" i="45" a="1"/>
  <c r="AJ34" i="45" s="1"/>
  <c r="AV49" i="43" a="1"/>
  <c r="AV49" i="43" s="1"/>
  <c r="AV50" i="41" a="1"/>
  <c r="AV50" i="41" s="1"/>
  <c r="Z92" i="45" a="1"/>
  <c r="Z92" i="45" s="1"/>
  <c r="Q64" i="45" a="1"/>
  <c r="Q64" i="45" s="1"/>
  <c r="Q63" i="45" s="1"/>
  <c r="T15" i="47"/>
  <c r="L22" i="45" a="1"/>
  <c r="L22" i="45" s="1"/>
  <c r="X81" i="47"/>
  <c r="I103" i="33" a="1"/>
  <c r="I103" i="33" s="1"/>
  <c r="AD22" i="33" a="1"/>
  <c r="AD22" i="33" s="1"/>
  <c r="Z19" i="33" a="1"/>
  <c r="Z19" i="33" s="1"/>
  <c r="N10" i="45" a="1"/>
  <c r="N10" i="45" s="1"/>
  <c r="T37" i="45" a="1"/>
  <c r="T37" i="45" s="1"/>
  <c r="AD71" i="45" a="1"/>
  <c r="AD71" i="45" s="1"/>
  <c r="O43" i="45" a="1"/>
  <c r="O43" i="45" s="1"/>
  <c r="AD86" i="44" a="1"/>
  <c r="AD86" i="44" s="1"/>
  <c r="AJ72" i="46"/>
  <c r="AB49" i="44" a="1"/>
  <c r="AB49" i="44" s="1"/>
  <c r="AB48" i="44" s="1"/>
  <c r="AF77" i="45" a="1"/>
  <c r="AF77" i="45" s="1"/>
  <c r="O23" i="44" a="1"/>
  <c r="O23" i="44" s="1"/>
  <c r="AF77" i="33" a="1"/>
  <c r="AF77" i="33" s="1"/>
  <c r="T47" i="33" a="1"/>
  <c r="T47" i="33" s="1"/>
  <c r="AH16" i="44" a="1"/>
  <c r="AH16" i="44" s="1"/>
  <c r="AC53" i="33" a="1"/>
  <c r="AC53" i="33" s="1"/>
  <c r="H98" i="45" a="1"/>
  <c r="H98" i="45" s="1"/>
  <c r="AN89" i="46" a="1"/>
  <c r="AN89" i="46" s="1"/>
  <c r="E43" i="33" a="1"/>
  <c r="E43" i="33" s="1"/>
  <c r="AF66" i="41"/>
  <c r="P94" i="45" a="1"/>
  <c r="P94" i="45" s="1"/>
  <c r="P93" i="45" s="1"/>
  <c r="AM53" i="45" a="1"/>
  <c r="AM53" i="45" s="1"/>
  <c r="AN64" i="43" a="1"/>
  <c r="AN64" i="43" s="1"/>
  <c r="AJ22" i="45" a="1"/>
  <c r="AJ22" i="45" s="1"/>
  <c r="K73" i="44" a="1"/>
  <c r="K73" i="44" s="1"/>
  <c r="AR41" i="44" a="1"/>
  <c r="AR41" i="44" s="1"/>
  <c r="AO71" i="47" a="1"/>
  <c r="AO71" i="47" s="1"/>
  <c r="AI37" i="33" a="1"/>
  <c r="AI37" i="33" s="1"/>
  <c r="AG25" i="44" a="1"/>
  <c r="AG25" i="44" s="1"/>
  <c r="AJ76" i="45" a="1"/>
  <c r="AJ76" i="45" s="1"/>
  <c r="AN89" i="43" a="1"/>
  <c r="AN89" i="43" s="1"/>
  <c r="AS96" i="41"/>
  <c r="P73" i="33" a="1"/>
  <c r="P73" i="33" s="1"/>
  <c r="S65" i="44" a="1"/>
  <c r="S65" i="44" s="1"/>
  <c r="O88" i="44" a="1"/>
  <c r="O88" i="44" s="1"/>
  <c r="E34" i="45" a="1"/>
  <c r="E34" i="45" s="1"/>
  <c r="E33" i="45" s="1"/>
  <c r="F37" i="44" a="1"/>
  <c r="F37" i="44" s="1"/>
  <c r="AO35" i="43" a="1"/>
  <c r="AO35" i="43" s="1"/>
  <c r="AO33" i="43" s="1"/>
  <c r="AH59" i="33" a="1"/>
  <c r="AH59" i="33" s="1"/>
  <c r="AC70" i="45" a="1"/>
  <c r="AC70" i="45" s="1"/>
  <c r="AC9" i="43"/>
  <c r="AH23" i="44" a="1"/>
  <c r="AH23" i="44" s="1"/>
  <c r="I80" i="47" a="1"/>
  <c r="I80" i="47" s="1"/>
  <c r="AQ104" i="33" a="1"/>
  <c r="AQ104" i="33" s="1"/>
  <c r="AV47" i="47" a="1"/>
  <c r="AV47" i="47" s="1"/>
  <c r="F19" i="44" a="1"/>
  <c r="F19" i="44" s="1"/>
  <c r="AR71" i="45" a="1"/>
  <c r="AR71" i="45" s="1"/>
  <c r="AL76" i="33" a="1"/>
  <c r="AL76" i="33" s="1"/>
  <c r="K30" i="41"/>
  <c r="V44" i="33" a="1"/>
  <c r="V44" i="33" s="1"/>
  <c r="Y75" i="46"/>
  <c r="X21" i="46"/>
  <c r="R43" i="44" a="1"/>
  <c r="R43" i="44" s="1"/>
  <c r="V67" i="33" a="1"/>
  <c r="V67" i="33" s="1"/>
  <c r="AC25" i="44" a="1"/>
  <c r="AC25" i="44" s="1"/>
  <c r="X39" i="47"/>
  <c r="P76" i="33" a="1"/>
  <c r="P76" i="33" s="1"/>
  <c r="R48" i="43"/>
  <c r="C86" i="45" a="1"/>
  <c r="C86" i="45" s="1"/>
  <c r="AN35" i="47" a="1"/>
  <c r="AN35" i="47" s="1"/>
  <c r="S11" i="45" a="1"/>
  <c r="S11" i="45" s="1"/>
  <c r="I94" i="33" a="1"/>
  <c r="I94" i="33" s="1"/>
  <c r="AO62" i="45" a="1"/>
  <c r="AO62" i="45" s="1"/>
  <c r="V71" i="44" a="1"/>
  <c r="V71" i="44" s="1"/>
  <c r="AC98" i="45" a="1"/>
  <c r="AC98" i="45" s="1"/>
  <c r="J19" i="44" a="1"/>
  <c r="J19" i="44" s="1"/>
  <c r="AN92" i="43" a="1"/>
  <c r="AN92" i="43" s="1"/>
  <c r="AN94" i="45" a="1"/>
  <c r="AN94" i="45" s="1"/>
  <c r="O64" i="33" a="1"/>
  <c r="O64" i="33" s="1"/>
  <c r="S88" i="44" a="1"/>
  <c r="S88" i="44" s="1"/>
  <c r="H20" i="45" a="1"/>
  <c r="H20" i="45" s="1"/>
  <c r="M53" i="44" a="1"/>
  <c r="M53" i="44" s="1"/>
  <c r="AO32" i="45" a="1"/>
  <c r="AO32" i="45" s="1"/>
  <c r="Q52" i="44" a="1"/>
  <c r="Q52" i="44" s="1"/>
  <c r="Q51" i="44" s="1"/>
  <c r="AM89" i="45" a="1"/>
  <c r="AM89" i="45" s="1"/>
  <c r="L91" i="45" a="1"/>
  <c r="L91" i="45" s="1"/>
  <c r="L90" i="45" s="1"/>
  <c r="J28" i="45" a="1"/>
  <c r="J28" i="45" s="1"/>
  <c r="L89" i="45" a="1"/>
  <c r="L89" i="45" s="1"/>
  <c r="N79" i="45" a="1"/>
  <c r="N79" i="45" s="1"/>
  <c r="Y91" i="45" a="1"/>
  <c r="Y91" i="45" s="1"/>
  <c r="X46" i="33" a="1"/>
  <c r="X46" i="33" s="1"/>
  <c r="I35" i="44" a="1"/>
  <c r="I35" i="44" s="1"/>
  <c r="Y73" i="33" a="1"/>
  <c r="Y73" i="33" s="1"/>
  <c r="Y72" i="33" s="1"/>
  <c r="R100" i="33" a="1"/>
  <c r="R100" i="33" s="1"/>
  <c r="AQ52" i="33" a="1"/>
  <c r="AQ52" i="33" s="1"/>
  <c r="AU50" i="43" a="1"/>
  <c r="AU50" i="43" s="1"/>
  <c r="X25" i="45" a="1"/>
  <c r="X25" i="45" s="1"/>
  <c r="N33" i="47"/>
  <c r="W29" i="45" a="1"/>
  <c r="W29" i="45" s="1"/>
  <c r="E31" i="45" a="1"/>
  <c r="E31" i="45" s="1"/>
  <c r="E30" i="45" s="1"/>
  <c r="AI74" i="33" a="1"/>
  <c r="AI74" i="33" s="1"/>
  <c r="C44" i="44" a="1"/>
  <c r="C44" i="44" s="1"/>
  <c r="AP48" i="43"/>
  <c r="AD22" i="44" a="1"/>
  <c r="AD22" i="44" s="1"/>
  <c r="AB53" i="45" a="1"/>
  <c r="AB53" i="45" s="1"/>
  <c r="C25" i="42" a="1"/>
  <c r="C25" i="42" s="1"/>
  <c r="R50" i="45" a="1"/>
  <c r="R50" i="45" s="1"/>
  <c r="AN85" i="47" a="1"/>
  <c r="AN85" i="47" s="1"/>
  <c r="AC76" i="45" a="1"/>
  <c r="AC76" i="45" s="1"/>
  <c r="AF101" i="33" a="1"/>
  <c r="AF101" i="33" s="1"/>
  <c r="S61" i="33" a="1"/>
  <c r="S61" i="33" s="1"/>
  <c r="P26" i="33" a="1"/>
  <c r="P26" i="33" s="1"/>
  <c r="Q101" i="33" a="1"/>
  <c r="Q101" i="33" s="1"/>
  <c r="U61" i="45" a="1"/>
  <c r="U61" i="45" s="1"/>
  <c r="V26" i="44" a="1"/>
  <c r="V26" i="44" s="1"/>
  <c r="Q92" i="45" a="1"/>
  <c r="Q92" i="45" s="1"/>
  <c r="AQ91" i="44" a="1"/>
  <c r="AQ91" i="44" s="1"/>
  <c r="AN91" i="43" a="1"/>
  <c r="AN91" i="43" s="1"/>
  <c r="AI67" i="45" a="1"/>
  <c r="AI67" i="45" s="1"/>
  <c r="AN86" i="47" a="1"/>
  <c r="AN86" i="47" s="1"/>
  <c r="Y55" i="45" a="1"/>
  <c r="Y55" i="45" s="1"/>
  <c r="AE68" i="45" a="1"/>
  <c r="AE68" i="45" s="1"/>
  <c r="Q85" i="45" a="1"/>
  <c r="Q85" i="45" s="1"/>
  <c r="L88" i="33" a="1"/>
  <c r="L88" i="33" s="1"/>
  <c r="Y35" i="33" a="1"/>
  <c r="Y35" i="33" s="1"/>
  <c r="AU103" i="43" a="1"/>
  <c r="AU103" i="43" s="1"/>
  <c r="AU102" i="43" s="1"/>
  <c r="Q26" i="44" a="1"/>
  <c r="Q26" i="44" s="1"/>
  <c r="AD44" i="33" a="1"/>
  <c r="AD44" i="33" s="1"/>
  <c r="AP76" i="45" a="1"/>
  <c r="AP76" i="45" s="1"/>
  <c r="AP75" i="45" s="1"/>
  <c r="C82" i="45" a="1"/>
  <c r="C82" i="45" s="1"/>
  <c r="AL91" i="44" a="1"/>
  <c r="AL91" i="44" s="1"/>
  <c r="P64" i="45" a="1"/>
  <c r="P64" i="45" s="1"/>
  <c r="C64" i="33" a="1"/>
  <c r="C64" i="33" s="1"/>
  <c r="A64" i="33" s="1"/>
  <c r="N67" i="44" a="1"/>
  <c r="N67" i="44" s="1"/>
  <c r="L94" i="45" a="1"/>
  <c r="L94" i="45" s="1"/>
  <c r="AG46" i="45" a="1"/>
  <c r="AG46" i="45" s="1"/>
  <c r="I29" i="33" a="1"/>
  <c r="I29" i="33" s="1"/>
  <c r="E94" i="45" a="1"/>
  <c r="E94" i="45" s="1"/>
  <c r="Y32" i="44" a="1"/>
  <c r="Y32" i="44" s="1"/>
  <c r="N104" i="44" a="1"/>
  <c r="N104" i="44" s="1"/>
  <c r="O59" i="44" a="1"/>
  <c r="O59" i="44" s="1"/>
  <c r="Q61" i="44" a="1"/>
  <c r="Q61" i="44" s="1"/>
  <c r="AA52" i="44" a="1"/>
  <c r="AA52" i="44" s="1"/>
  <c r="AM76" i="45" a="1"/>
  <c r="AM76" i="45" s="1"/>
  <c r="AU65" i="43" a="1"/>
  <c r="AU65" i="43" s="1"/>
  <c r="E71" i="44" a="1"/>
  <c r="E71" i="44" s="1"/>
  <c r="AP54" i="41"/>
  <c r="F11" i="44" a="1"/>
  <c r="F11" i="44" s="1"/>
  <c r="P50" i="33" a="1"/>
  <c r="P50" i="33" s="1"/>
  <c r="P48" i="33" s="1"/>
  <c r="R80" i="45" a="1"/>
  <c r="R80" i="45" s="1"/>
  <c r="AI16" i="44" a="1"/>
  <c r="AI16" i="44" s="1"/>
  <c r="M90" i="41"/>
  <c r="AJ80" i="33" a="1"/>
  <c r="AJ80" i="33" s="1"/>
  <c r="G82" i="33" a="1"/>
  <c r="G82" i="33" s="1"/>
  <c r="G81" i="33" s="1"/>
  <c r="AQ39" i="46"/>
  <c r="AU34" i="47" a="1"/>
  <c r="AU34" i="47" s="1"/>
  <c r="H49" i="45" a="1"/>
  <c r="H49" i="45" s="1"/>
  <c r="AD78" i="46"/>
  <c r="AE92" i="45" a="1"/>
  <c r="AE92" i="45" s="1"/>
  <c r="Q68" i="33" a="1"/>
  <c r="Q68" i="33" s="1"/>
  <c r="Y36" i="47"/>
  <c r="AQ67" i="33" a="1"/>
  <c r="AQ67" i="33" s="1"/>
  <c r="I59" i="33" a="1"/>
  <c r="I59" i="33" s="1"/>
  <c r="U16" i="45" a="1"/>
  <c r="U16" i="45" s="1"/>
  <c r="N52" i="33" a="1"/>
  <c r="N52" i="33" s="1"/>
  <c r="R11" i="33" a="1"/>
  <c r="R11" i="33" s="1"/>
  <c r="AI67" i="44" a="1"/>
  <c r="AI67" i="44" s="1"/>
  <c r="AN25" i="45" a="1"/>
  <c r="AN25" i="45" s="1"/>
  <c r="F58" i="44" a="1"/>
  <c r="F58" i="44" s="1"/>
  <c r="K25" i="44" a="1"/>
  <c r="K25" i="44" s="1"/>
  <c r="AQ102" i="43"/>
  <c r="K20" i="44" a="1"/>
  <c r="K20" i="44" s="1"/>
  <c r="AN32" i="46" a="1"/>
  <c r="AN32" i="46" s="1"/>
  <c r="AC49" i="45" a="1"/>
  <c r="AC49" i="45" s="1"/>
  <c r="AB35" i="44" a="1"/>
  <c r="AB35" i="44" s="1"/>
  <c r="H35" i="33" a="1"/>
  <c r="H35" i="33" s="1"/>
  <c r="O98" i="45" a="1"/>
  <c r="O98" i="45" s="1"/>
  <c r="AF102" i="46"/>
  <c r="O35" i="45" a="1"/>
  <c r="O35" i="45" s="1"/>
  <c r="R38" i="44" a="1"/>
  <c r="R38" i="44" s="1"/>
  <c r="AN35" i="46" a="1"/>
  <c r="AN35" i="46" s="1"/>
  <c r="AB37" i="44" a="1"/>
  <c r="AB37" i="44" s="1"/>
  <c r="AE100" i="45" a="1"/>
  <c r="AE100" i="45" s="1"/>
  <c r="Y67" i="33" a="1"/>
  <c r="Y67" i="33" s="1"/>
  <c r="O103" i="33" a="1"/>
  <c r="O103" i="33" s="1"/>
  <c r="AQ93" i="46"/>
  <c r="AA33" i="43"/>
  <c r="W53" i="33" a="1"/>
  <c r="W53" i="33" s="1"/>
  <c r="G29" i="45" a="1"/>
  <c r="G29" i="45" s="1"/>
  <c r="S16" i="44" a="1"/>
  <c r="S16" i="44" s="1"/>
  <c r="S17" i="44" a="1"/>
  <c r="S17" i="44" s="1"/>
  <c r="U34" i="44" a="1"/>
  <c r="U34" i="44" s="1"/>
  <c r="I31" i="43" a="1"/>
  <c r="I31" i="43" s="1"/>
  <c r="I30" i="43" s="1"/>
  <c r="L62" i="45" a="1"/>
  <c r="L62" i="45" s="1"/>
  <c r="AG30" i="41"/>
  <c r="E34" i="44" a="1"/>
  <c r="E34" i="44" s="1"/>
  <c r="E33" i="44" s="1"/>
  <c r="L45" i="43"/>
  <c r="AK91" i="33" a="1"/>
  <c r="AK91" i="33" s="1"/>
  <c r="C98" i="41" a="1"/>
  <c r="C98" i="41" s="1"/>
  <c r="AJ53" i="33" a="1"/>
  <c r="AJ53" i="33" s="1"/>
  <c r="AK49" i="45" a="1"/>
  <c r="AK49" i="45" s="1"/>
  <c r="AU17" i="43" a="1"/>
  <c r="AU17" i="43" s="1"/>
  <c r="AD50" i="45" a="1"/>
  <c r="AD50" i="45" s="1"/>
  <c r="AN19" i="41" a="1"/>
  <c r="AN19" i="41" s="1"/>
  <c r="R58" i="44" a="1"/>
  <c r="R58" i="44" s="1"/>
  <c r="K55" i="33" a="1"/>
  <c r="K55" i="33" s="1"/>
  <c r="AQ28" i="44" a="1"/>
  <c r="AQ28" i="44" s="1"/>
  <c r="AF29" i="44" a="1"/>
  <c r="AF29" i="44" s="1"/>
  <c r="I29" i="44" a="1"/>
  <c r="I29" i="44" s="1"/>
  <c r="X34" i="45" a="1"/>
  <c r="X34" i="45" s="1"/>
  <c r="J71" i="33" a="1"/>
  <c r="J71" i="33" s="1"/>
  <c r="AJ33" i="41"/>
  <c r="AI15" i="47"/>
  <c r="AB92" i="44" a="1"/>
  <c r="AB92" i="44" s="1"/>
  <c r="AC40" i="33" a="1"/>
  <c r="AC40" i="33" s="1"/>
  <c r="AN46" i="47" a="1"/>
  <c r="AN46" i="47" s="1"/>
  <c r="M98" i="33" a="1"/>
  <c r="M98" i="33" s="1"/>
  <c r="AE32" i="45" a="1"/>
  <c r="AE32" i="45" s="1"/>
  <c r="AE54" i="46"/>
  <c r="G85" i="33" a="1"/>
  <c r="G85" i="33" s="1"/>
  <c r="AH79" i="45" a="1"/>
  <c r="AH79" i="45" s="1"/>
  <c r="G71" i="45" a="1"/>
  <c r="G71" i="45" s="1"/>
  <c r="AQ30" i="41"/>
  <c r="AQ91" i="45" a="1"/>
  <c r="AQ91" i="45" s="1"/>
  <c r="AQ90" i="45" s="1"/>
  <c r="AD47" i="33" a="1"/>
  <c r="AD47" i="33" s="1"/>
  <c r="P76" i="44" a="1"/>
  <c r="P76" i="44" s="1"/>
  <c r="C97" i="45" a="1"/>
  <c r="C97" i="45" s="1"/>
  <c r="C74" i="47" a="1"/>
  <c r="C74" i="47" s="1"/>
  <c r="A73" i="47" s="1"/>
  <c r="AV37" i="46" a="1"/>
  <c r="AV37" i="46" s="1"/>
  <c r="C68" i="33" a="1"/>
  <c r="C68" i="33" s="1"/>
  <c r="W35" i="45" a="1"/>
  <c r="W35" i="45" s="1"/>
  <c r="C20" i="45" a="1"/>
  <c r="C20" i="45" s="1"/>
  <c r="L64" i="33" a="1"/>
  <c r="L64" i="33" s="1"/>
  <c r="AJ60" i="47"/>
  <c r="AB29" i="33" a="1"/>
  <c r="AB29" i="33" s="1"/>
  <c r="AB27" i="33" s="1"/>
  <c r="C49" i="47" a="1"/>
  <c r="C49" i="47" s="1"/>
  <c r="AJ16" i="44" a="1"/>
  <c r="AJ16" i="44" s="1"/>
  <c r="AR91" i="33" a="1"/>
  <c r="AR91" i="33" s="1"/>
  <c r="AR90" i="33" s="1"/>
  <c r="AE100" i="44" a="1"/>
  <c r="AE100" i="44" s="1"/>
  <c r="AE99" i="44" s="1"/>
  <c r="AR51" i="46"/>
  <c r="Z72" i="43"/>
  <c r="Y41" i="45" a="1"/>
  <c r="Y41" i="45" s="1"/>
  <c r="AN98" i="47" a="1"/>
  <c r="AN98" i="47" s="1"/>
  <c r="AT60" i="41"/>
  <c r="P95" i="33" a="1"/>
  <c r="P95" i="33" s="1"/>
  <c r="U52" i="45" a="1"/>
  <c r="U52" i="45" s="1"/>
  <c r="C67" i="33" a="1"/>
  <c r="C67" i="33" s="1"/>
  <c r="AH10" i="33" a="1"/>
  <c r="AH10" i="33" s="1"/>
  <c r="V46" i="33" a="1"/>
  <c r="V46" i="33" s="1"/>
  <c r="AO11" i="41" a="1"/>
  <c r="AO11" i="41" s="1"/>
  <c r="AB104" i="33" a="1"/>
  <c r="AB104" i="33" s="1"/>
  <c r="C59" i="41" a="1"/>
  <c r="C59" i="41" s="1"/>
  <c r="M54" i="46"/>
  <c r="T101" i="44" a="1"/>
  <c r="T101" i="44" s="1"/>
  <c r="AA32" i="45" a="1"/>
  <c r="AA32" i="45" s="1"/>
  <c r="H68" i="33" a="1"/>
  <c r="H68" i="33" s="1"/>
  <c r="M70" i="44" a="1"/>
  <c r="M70" i="44" s="1"/>
  <c r="K91" i="33" a="1"/>
  <c r="K91" i="33" s="1"/>
  <c r="Q31" i="44" a="1"/>
  <c r="Q31" i="44" s="1"/>
  <c r="AR101" i="45" a="1"/>
  <c r="AR101" i="45" s="1"/>
  <c r="I82" i="43" a="1"/>
  <c r="I82" i="43" s="1"/>
  <c r="AH37" i="33" a="1"/>
  <c r="AH37" i="33" s="1"/>
  <c r="AE18" i="47"/>
  <c r="AP27" i="46"/>
  <c r="J61" i="33" a="1"/>
  <c r="J61" i="33" s="1"/>
  <c r="J60" i="33" s="1"/>
  <c r="Q47" i="44" a="1"/>
  <c r="Q47" i="44" s="1"/>
  <c r="AC19" i="33" a="1"/>
  <c r="AC19" i="33" s="1"/>
  <c r="AR99" i="47"/>
  <c r="AO100" i="44" a="1"/>
  <c r="AO100" i="44" s="1"/>
  <c r="AO37" i="33" a="1"/>
  <c r="AO37" i="33" s="1"/>
  <c r="AE77" i="44" a="1"/>
  <c r="AE77" i="44" s="1"/>
  <c r="AU95" i="47" a="1"/>
  <c r="AU95" i="47" s="1"/>
  <c r="AN58" i="47" a="1"/>
  <c r="AN58" i="47" s="1"/>
  <c r="I97" i="41" a="1"/>
  <c r="I97" i="41" s="1"/>
  <c r="Z104" i="45" a="1"/>
  <c r="Z104" i="45" s="1"/>
  <c r="AV40" i="41" a="1"/>
  <c r="AV40" i="41" s="1"/>
  <c r="Z56" i="33" a="1"/>
  <c r="Z56" i="33" s="1"/>
  <c r="AH32" i="45" a="1"/>
  <c r="AH32" i="45" s="1"/>
  <c r="AH30" i="45" s="1"/>
  <c r="AK21" i="47"/>
  <c r="AP32" i="44" a="1"/>
  <c r="AP32" i="44" s="1"/>
  <c r="AF11" i="33" a="1"/>
  <c r="AF11" i="33" s="1"/>
  <c r="K60" i="43"/>
  <c r="C95" i="42" a="1"/>
  <c r="C95" i="42" s="1"/>
  <c r="AI98" i="33" a="1"/>
  <c r="AI98" i="33" s="1"/>
  <c r="Z16" i="44" a="1"/>
  <c r="Z16" i="44" s="1"/>
  <c r="Z15" i="44" s="1"/>
  <c r="AN100" i="45" a="1"/>
  <c r="AN100" i="45" s="1"/>
  <c r="R104" i="33" a="1"/>
  <c r="R104" i="33" s="1"/>
  <c r="AO85" i="33" a="1"/>
  <c r="AO85" i="33" s="1"/>
  <c r="O80" i="45" a="1"/>
  <c r="O80" i="45" s="1"/>
  <c r="R84" i="47"/>
  <c r="AP60" i="41"/>
  <c r="AU47" i="41" a="1"/>
  <c r="AU47" i="41" s="1"/>
  <c r="AU45" i="41" s="1"/>
  <c r="AP43" i="33" a="1"/>
  <c r="AP43" i="33" s="1"/>
  <c r="AP42" i="33" s="1"/>
  <c r="F64" i="33" a="1"/>
  <c r="F64" i="33" s="1"/>
  <c r="F63" i="33" s="1"/>
  <c r="E100" i="45" a="1"/>
  <c r="E100" i="45" s="1"/>
  <c r="S104" i="45" a="1"/>
  <c r="S104" i="45" s="1"/>
  <c r="I101" i="41" a="1"/>
  <c r="I101" i="41" s="1"/>
  <c r="AM29" i="33" a="1"/>
  <c r="AM29" i="33" s="1"/>
  <c r="AL102" i="41"/>
  <c r="AB82" i="33" a="1"/>
  <c r="AB82" i="33" s="1"/>
  <c r="R71" i="44" a="1"/>
  <c r="R71" i="44" s="1"/>
  <c r="K67" i="33" a="1"/>
  <c r="K67" i="33" s="1"/>
  <c r="I23" i="45" a="1"/>
  <c r="I23" i="45" s="1"/>
  <c r="N62" i="33" a="1"/>
  <c r="N62" i="33" s="1"/>
  <c r="N64" i="33" a="1"/>
  <c r="N64" i="33" s="1"/>
  <c r="R18" i="47"/>
  <c r="AH65" i="45" a="1"/>
  <c r="AH65" i="45" s="1"/>
  <c r="S20" i="33" a="1"/>
  <c r="S20" i="33" s="1"/>
  <c r="S18" i="33" s="1"/>
  <c r="T77" i="44" a="1"/>
  <c r="T77" i="44" s="1"/>
  <c r="X25" i="33" a="1"/>
  <c r="X25" i="33" s="1"/>
  <c r="AI16" i="45" a="1"/>
  <c r="AI16" i="45" s="1"/>
  <c r="AA92" i="33" a="1"/>
  <c r="AA92" i="33" s="1"/>
  <c r="P31" i="45" a="1"/>
  <c r="P31" i="45" s="1"/>
  <c r="AU29" i="41" a="1"/>
  <c r="AU29" i="41" s="1"/>
  <c r="H101" i="44" a="1"/>
  <c r="H101" i="44" s="1"/>
  <c r="AH77" i="44" a="1"/>
  <c r="AH77" i="44" s="1"/>
  <c r="Q11" i="45" a="1"/>
  <c r="Q11" i="45" s="1"/>
  <c r="AB73" i="33" a="1"/>
  <c r="AB73" i="33" s="1"/>
  <c r="AB72" i="33" s="1"/>
  <c r="AD65" i="45" a="1"/>
  <c r="AD65" i="45" s="1"/>
  <c r="AD63" i="45" s="1"/>
  <c r="AA26" i="33" a="1"/>
  <c r="AA26" i="33" s="1"/>
  <c r="AR63" i="43"/>
  <c r="AP39" i="47"/>
  <c r="W47" i="33" a="1"/>
  <c r="W47" i="33" s="1"/>
  <c r="AH40" i="44" a="1"/>
  <c r="AH40" i="44" s="1"/>
  <c r="AF17" i="33" a="1"/>
  <c r="AF17" i="33" s="1"/>
  <c r="C95" i="33" a="1"/>
  <c r="C95" i="33" s="1"/>
  <c r="AI23" i="45" a="1"/>
  <c r="AI23" i="45" s="1"/>
  <c r="Z60" i="41"/>
  <c r="W16" i="44" a="1"/>
  <c r="W16" i="44" s="1"/>
  <c r="AO35" i="41" a="1"/>
  <c r="AO35" i="41" s="1"/>
  <c r="AI104" i="44" a="1"/>
  <c r="AI104" i="44" s="1"/>
  <c r="AG40" i="33" a="1"/>
  <c r="AG40" i="33" s="1"/>
  <c r="X71" i="33" a="1"/>
  <c r="X71" i="33" s="1"/>
  <c r="K44" i="33" a="1"/>
  <c r="K44" i="33" s="1"/>
  <c r="AG61" i="33" a="1"/>
  <c r="AG61" i="33" s="1"/>
  <c r="AM49" i="33" a="1"/>
  <c r="AM49" i="33" s="1"/>
  <c r="AC18" i="41"/>
  <c r="AE94" i="33" a="1"/>
  <c r="AE94" i="33" s="1"/>
  <c r="C97" i="43" a="1"/>
  <c r="C97" i="43" s="1"/>
  <c r="U69" i="46"/>
  <c r="W29" i="44" a="1"/>
  <c r="W29" i="44" s="1"/>
  <c r="S47" i="45" a="1"/>
  <c r="S47" i="45" s="1"/>
  <c r="AR78" i="43"/>
  <c r="AO65" i="47" a="1"/>
  <c r="AO65" i="47" s="1"/>
  <c r="C16" i="46" a="1"/>
  <c r="C16" i="46" s="1"/>
  <c r="AJ11" i="33" a="1"/>
  <c r="AJ11" i="33" s="1"/>
  <c r="AE94" i="45" a="1"/>
  <c r="AE94" i="45" s="1"/>
  <c r="AH103" i="45" a="1"/>
  <c r="AH103" i="45" s="1"/>
  <c r="AM103" i="45" a="1"/>
  <c r="AM103" i="45" s="1"/>
  <c r="F44" i="44" a="1"/>
  <c r="F44" i="44" s="1"/>
  <c r="S40" i="33" a="1"/>
  <c r="S40" i="33" s="1"/>
  <c r="AJ94" i="33" a="1"/>
  <c r="AJ94" i="33" s="1"/>
  <c r="F83" i="33" a="1"/>
  <c r="F83" i="33" s="1"/>
  <c r="AJ92" i="33" a="1"/>
  <c r="AJ92" i="33" s="1"/>
  <c r="Y70" i="44" a="1"/>
  <c r="Y70" i="44" s="1"/>
  <c r="AJ41" i="33" a="1"/>
  <c r="AJ41" i="33" s="1"/>
  <c r="T10" i="45" a="1"/>
  <c r="T10" i="45" s="1"/>
  <c r="AV65" i="47" a="1"/>
  <c r="AV65" i="47" s="1"/>
  <c r="I76" i="33" a="1"/>
  <c r="I76" i="33" s="1"/>
  <c r="AU56" i="41" a="1"/>
  <c r="AU56" i="41" s="1"/>
  <c r="AM74" i="44" a="1"/>
  <c r="AM74" i="44" s="1"/>
  <c r="O44" i="45" a="1"/>
  <c r="O44" i="45" s="1"/>
  <c r="AO31" i="43" a="1"/>
  <c r="AO31" i="43" s="1"/>
  <c r="AF100" i="44" a="1"/>
  <c r="AF100" i="44" s="1"/>
  <c r="K81" i="46"/>
  <c r="AK52" i="44" a="1"/>
  <c r="AK52" i="44" s="1"/>
  <c r="N32" i="33" a="1"/>
  <c r="N32" i="33" s="1"/>
  <c r="AG67" i="33" a="1"/>
  <c r="AG67" i="33" s="1"/>
  <c r="X34" i="33" a="1"/>
  <c r="X34" i="33" s="1"/>
  <c r="X33" i="33" s="1"/>
  <c r="AL25" i="44" a="1"/>
  <c r="AL25" i="44" s="1"/>
  <c r="AN98" i="41" a="1"/>
  <c r="AN98" i="41" s="1"/>
  <c r="AF26" i="45" a="1"/>
  <c r="AF26" i="45" s="1"/>
  <c r="AG54" i="46"/>
  <c r="AQ80" i="33" a="1"/>
  <c r="AQ80" i="33" s="1"/>
  <c r="AG80" i="45" a="1"/>
  <c r="AG80" i="45" s="1"/>
  <c r="I104" i="33" a="1"/>
  <c r="I104" i="33" s="1"/>
  <c r="AQ61" i="44" a="1"/>
  <c r="AQ61" i="44" s="1"/>
  <c r="Y53" i="45" a="1"/>
  <c r="Y53" i="45" s="1"/>
  <c r="AD75" i="47"/>
  <c r="AC44" i="44" a="1"/>
  <c r="AC44" i="44" s="1"/>
  <c r="H11" i="45" a="1"/>
  <c r="H11" i="45" s="1"/>
  <c r="AU20" i="43" a="1"/>
  <c r="AU20" i="43" s="1"/>
  <c r="AQ26" i="44" a="1"/>
  <c r="AQ26" i="44" s="1"/>
  <c r="AB35" i="33" a="1"/>
  <c r="AB35" i="33" s="1"/>
  <c r="AO31" i="41" a="1"/>
  <c r="AO31" i="41" s="1"/>
  <c r="AQ24" i="43"/>
  <c r="P92" i="44" a="1"/>
  <c r="P92" i="44" s="1"/>
  <c r="S54" i="47"/>
  <c r="C28" i="44" a="1"/>
  <c r="C28" i="44" s="1"/>
  <c r="C28" i="41" a="1"/>
  <c r="C28" i="41" s="1"/>
  <c r="AO62" i="44" a="1"/>
  <c r="AO62" i="44" s="1"/>
  <c r="Y101" i="33" a="1"/>
  <c r="Y101" i="33" s="1"/>
  <c r="V39" i="43"/>
  <c r="X91" i="45" a="1"/>
  <c r="X91" i="45" s="1"/>
  <c r="U29" i="33" a="1"/>
  <c r="U29" i="33" s="1"/>
  <c r="AJ28" i="45" a="1"/>
  <c r="AJ28" i="45" s="1"/>
  <c r="AU92" i="43" a="1"/>
  <c r="AU92" i="43" s="1"/>
  <c r="AB83" i="44" a="1"/>
  <c r="AB83" i="44" s="1"/>
  <c r="AJ10" i="45" a="1"/>
  <c r="AJ10" i="45" s="1"/>
  <c r="C31" i="44" a="1"/>
  <c r="C31" i="44" s="1"/>
  <c r="A31" i="44" s="1"/>
  <c r="K46" i="33" a="1"/>
  <c r="K46" i="33" s="1"/>
  <c r="K45" i="33" s="1"/>
  <c r="R37" i="33" a="1"/>
  <c r="R37" i="33" s="1"/>
  <c r="O28" i="45" a="1"/>
  <c r="O28" i="45" s="1"/>
  <c r="H40" i="44" a="1"/>
  <c r="H40" i="44" s="1"/>
  <c r="AV89" i="43" a="1"/>
  <c r="AV89" i="43" s="1"/>
  <c r="AO10" i="44" a="1"/>
  <c r="AO10" i="44" s="1"/>
  <c r="U64" i="33" a="1"/>
  <c r="U64" i="33" s="1"/>
  <c r="AD46" i="33" a="1"/>
  <c r="AD46" i="33" s="1"/>
  <c r="AA71" i="44" a="1"/>
  <c r="AA71" i="44" s="1"/>
  <c r="J20" i="44" a="1"/>
  <c r="J20" i="44" s="1"/>
  <c r="P89" i="33" a="1"/>
  <c r="P89" i="33" s="1"/>
  <c r="AC71" i="44" a="1"/>
  <c r="AC71" i="44" s="1"/>
  <c r="Z31" i="33" a="1"/>
  <c r="Z31" i="33" s="1"/>
  <c r="AN29" i="43" a="1"/>
  <c r="AN29" i="43" s="1"/>
  <c r="T11" i="45" a="1"/>
  <c r="T11" i="45" s="1"/>
  <c r="H56" i="44" a="1"/>
  <c r="H56" i="44" s="1"/>
  <c r="V29" i="44" a="1"/>
  <c r="V29" i="44" s="1"/>
  <c r="AM62" i="33" a="1"/>
  <c r="AM62" i="33" s="1"/>
  <c r="AI102" i="41"/>
  <c r="V55" i="45" a="1"/>
  <c r="V55" i="45" s="1"/>
  <c r="M93" i="46"/>
  <c r="AH88" i="45" a="1"/>
  <c r="AH88" i="45" s="1"/>
  <c r="AH87" i="45" s="1"/>
  <c r="J30" i="43"/>
  <c r="Q53" i="45" a="1"/>
  <c r="Q53" i="45" s="1"/>
  <c r="M91" i="44" a="1"/>
  <c r="M91" i="44" s="1"/>
  <c r="R38" i="33" a="1"/>
  <c r="R38" i="33" s="1"/>
  <c r="L15" i="46"/>
  <c r="AO41" i="44" a="1"/>
  <c r="AO41" i="44" s="1"/>
  <c r="F11" i="33" a="1"/>
  <c r="F11" i="33" s="1"/>
  <c r="AM62" i="45" a="1"/>
  <c r="AM62" i="45" s="1"/>
  <c r="AI28" i="44" a="1"/>
  <c r="AI28" i="44" s="1"/>
  <c r="M41" i="33" a="1"/>
  <c r="M41" i="33" s="1"/>
  <c r="J19" i="33" a="1"/>
  <c r="J19" i="33" s="1"/>
  <c r="AN98" i="45" a="1"/>
  <c r="AN98" i="45" s="1"/>
  <c r="Y25" i="33" a="1"/>
  <c r="Y25" i="33" s="1"/>
  <c r="AL98" i="33" a="1"/>
  <c r="AL98" i="33" s="1"/>
  <c r="AA41" i="45" a="1"/>
  <c r="AA41" i="45" s="1"/>
  <c r="AO38" i="33" a="1"/>
  <c r="AO38" i="33" s="1"/>
  <c r="AR104" i="45" a="1"/>
  <c r="AR104" i="45" s="1"/>
  <c r="AK48" i="43"/>
  <c r="AI61" i="33" a="1"/>
  <c r="AI61" i="33" s="1"/>
  <c r="V26" i="45" a="1"/>
  <c r="V26" i="45" s="1"/>
  <c r="Z98" i="45" a="1"/>
  <c r="Z98" i="45" s="1"/>
  <c r="J55" i="33" a="1"/>
  <c r="J55" i="33" s="1"/>
  <c r="AL80" i="45" a="1"/>
  <c r="AL80" i="45" s="1"/>
  <c r="AN64" i="46" a="1"/>
  <c r="AN64" i="46" s="1"/>
  <c r="T89" i="33" a="1"/>
  <c r="T89" i="33" s="1"/>
  <c r="AR10" i="45" a="1"/>
  <c r="AR10" i="45" s="1"/>
  <c r="AS1" i="45" s="1"/>
  <c r="H31" i="44" a="1"/>
  <c r="H31" i="44" s="1"/>
  <c r="O69" i="43"/>
  <c r="AB76" i="44" a="1"/>
  <c r="AB76" i="44" s="1"/>
  <c r="H29" i="44" a="1"/>
  <c r="H29" i="44" s="1"/>
  <c r="P17" i="44" a="1"/>
  <c r="P17" i="44" s="1"/>
  <c r="AC94" i="33" a="1"/>
  <c r="AC94" i="33" s="1"/>
  <c r="AU40" i="47" a="1"/>
  <c r="AU40" i="47" s="1"/>
  <c r="X61" i="33" a="1"/>
  <c r="X61" i="33" s="1"/>
  <c r="Y26" i="33" a="1"/>
  <c r="Y26" i="33" s="1"/>
  <c r="O76" i="44" a="1"/>
  <c r="O76" i="44" s="1"/>
  <c r="F95" i="45" a="1"/>
  <c r="F95" i="45" s="1"/>
  <c r="AG34" i="45" a="1"/>
  <c r="AG34" i="45" s="1"/>
  <c r="AJ75" i="46"/>
  <c r="AD89" i="33" a="1"/>
  <c r="AD89" i="33" s="1"/>
  <c r="N16" i="44" a="1"/>
  <c r="N16" i="44" s="1"/>
  <c r="AO44" i="44" a="1"/>
  <c r="AO44" i="44" s="1"/>
  <c r="J55" i="45" a="1"/>
  <c r="J55" i="45" s="1"/>
  <c r="AN91" i="41" a="1"/>
  <c r="AN91" i="41" s="1"/>
  <c r="N61" i="45" a="1"/>
  <c r="N61" i="45" s="1"/>
  <c r="AH23" i="33" a="1"/>
  <c r="AH23" i="33" s="1"/>
  <c r="AK80" i="44" a="1"/>
  <c r="AK80" i="44" s="1"/>
  <c r="AJ65" i="45" a="1"/>
  <c r="AJ65" i="45" s="1"/>
  <c r="AA76" i="44" a="1"/>
  <c r="AA76" i="44" s="1"/>
  <c r="AG95" i="44" a="1"/>
  <c r="AG95" i="44" s="1"/>
  <c r="AJ25" i="33" a="1"/>
  <c r="AJ25" i="33" s="1"/>
  <c r="AD40" i="44" a="1"/>
  <c r="AD40" i="44" s="1"/>
  <c r="AU55" i="47" a="1"/>
  <c r="AU55" i="47" s="1"/>
  <c r="AU54" i="47" s="1"/>
  <c r="AP74" i="44" a="1"/>
  <c r="AP74" i="44" s="1"/>
  <c r="J58" i="44" a="1"/>
  <c r="J58" i="44" s="1"/>
  <c r="K9" i="33"/>
  <c r="R36" i="47"/>
  <c r="J48" i="46"/>
  <c r="W99" i="43"/>
  <c r="O84" i="41"/>
  <c r="AB18" i="46"/>
  <c r="C68" i="41" a="1"/>
  <c r="C68" i="41" s="1"/>
  <c r="L53" i="33" a="1"/>
  <c r="L53" i="33" s="1"/>
  <c r="C35" i="47" a="1"/>
  <c r="C35" i="47" s="1"/>
  <c r="AN44" i="41" a="1"/>
  <c r="AN44" i="41" s="1"/>
  <c r="M75" i="46"/>
  <c r="AU49" i="46" a="1"/>
  <c r="AU49" i="46" s="1"/>
  <c r="AA88" i="45" a="1"/>
  <c r="AA88" i="45" s="1"/>
  <c r="Z34" i="45" a="1"/>
  <c r="Z34" i="45" s="1"/>
  <c r="Y59" i="45" a="1"/>
  <c r="Y59" i="45" s="1"/>
  <c r="AR79" i="45" a="1"/>
  <c r="AR79" i="45" s="1"/>
  <c r="AG81" i="41"/>
  <c r="W46" i="45" a="1"/>
  <c r="W46" i="45" s="1"/>
  <c r="Z53" i="33" a="1"/>
  <c r="Z53" i="33" s="1"/>
  <c r="F79" i="33" a="1"/>
  <c r="F79" i="33" s="1"/>
  <c r="AC90" i="46"/>
  <c r="AK103" i="33" a="1"/>
  <c r="AK103" i="33" s="1"/>
  <c r="I43" i="47" a="1"/>
  <c r="I43" i="47" s="1"/>
  <c r="J50" i="44" a="1"/>
  <c r="J50" i="44" s="1"/>
  <c r="AO34" i="47" a="1"/>
  <c r="AO34" i="47" s="1"/>
  <c r="T58" i="33" a="1"/>
  <c r="T58" i="33" s="1"/>
  <c r="Y77" i="44" a="1"/>
  <c r="Y77" i="44" s="1"/>
  <c r="S84" i="46"/>
  <c r="AK38" i="45" a="1"/>
  <c r="AK38" i="45" s="1"/>
  <c r="Q38" i="44" a="1"/>
  <c r="Q38" i="44" s="1"/>
  <c r="AG90" i="41"/>
  <c r="AP87" i="47"/>
  <c r="Z31" i="45" a="1"/>
  <c r="Z31" i="45" s="1"/>
  <c r="Z30" i="45" s="1"/>
  <c r="AE45" i="46"/>
  <c r="AF62" i="44" a="1"/>
  <c r="AF62" i="44" s="1"/>
  <c r="T78" i="46"/>
  <c r="AV89" i="41" a="1"/>
  <c r="AV89" i="41" s="1"/>
  <c r="AB98" i="33" a="1"/>
  <c r="AB98" i="33" s="1"/>
  <c r="O50" i="44" a="1"/>
  <c r="O50" i="44" s="1"/>
  <c r="AU76" i="41" a="1"/>
  <c r="AU76" i="41" s="1"/>
  <c r="T53" i="33" a="1"/>
  <c r="T53" i="33" s="1"/>
  <c r="AA22" i="33" a="1"/>
  <c r="AA22" i="33" s="1"/>
  <c r="E64" i="44" a="1"/>
  <c r="E64" i="44" s="1"/>
  <c r="K76" i="33" a="1"/>
  <c r="K76" i="33" s="1"/>
  <c r="AV58" i="46" a="1"/>
  <c r="AV58" i="46" s="1"/>
  <c r="AV57" i="46" s="1"/>
  <c r="AB82" i="44" a="1"/>
  <c r="AB82" i="44" s="1"/>
  <c r="AG21" i="46"/>
  <c r="N70" i="44" a="1"/>
  <c r="N70" i="44" s="1"/>
  <c r="AQ58" i="33" a="1"/>
  <c r="AQ58" i="33" s="1"/>
  <c r="AQ57" i="33" s="1"/>
  <c r="AE63" i="43"/>
  <c r="AP19" i="33" a="1"/>
  <c r="AP19" i="33" s="1"/>
  <c r="AP18" i="33" s="1"/>
  <c r="J70" i="33" a="1"/>
  <c r="J70" i="33" s="1"/>
  <c r="O35" i="44" a="1"/>
  <c r="O35" i="44" s="1"/>
  <c r="AC31" i="45" a="1"/>
  <c r="AC31" i="45" s="1"/>
  <c r="AC30" i="45" s="1"/>
  <c r="Q48" i="43"/>
  <c r="AU22" i="46" a="1"/>
  <c r="AU22" i="46" s="1"/>
  <c r="AC53" i="45" a="1"/>
  <c r="AC53" i="45" s="1"/>
  <c r="AD16" i="45" a="1"/>
  <c r="AD16" i="45" s="1"/>
  <c r="AD15" i="45" s="1"/>
  <c r="AN34" i="33" a="1"/>
  <c r="AN34" i="33" s="1"/>
  <c r="M10" i="45" a="1"/>
  <c r="M10" i="45" s="1"/>
  <c r="AN52" i="43" a="1"/>
  <c r="AN52" i="43" s="1"/>
  <c r="T90" i="47"/>
  <c r="AP80" i="44" a="1"/>
  <c r="AP80" i="44" s="1"/>
  <c r="I70" i="47" a="1"/>
  <c r="I70" i="47" s="1"/>
  <c r="AJ36" i="47"/>
  <c r="N59" i="44" a="1"/>
  <c r="N59" i="44" s="1"/>
  <c r="R20" i="45" a="1"/>
  <c r="R20" i="45" s="1"/>
  <c r="AN86" i="41" a="1"/>
  <c r="AN86" i="41" s="1"/>
  <c r="AP48" i="47"/>
  <c r="C89" i="42" a="1"/>
  <c r="C89" i="42" s="1"/>
  <c r="AQ81" i="47"/>
  <c r="AA62" i="45" a="1"/>
  <c r="AA62" i="45" s="1"/>
  <c r="M31" i="44" a="1"/>
  <c r="M31" i="44" s="1"/>
  <c r="K101" i="33" a="1"/>
  <c r="K101" i="33" s="1"/>
  <c r="C104" i="41" a="1"/>
  <c r="C104" i="41" s="1"/>
  <c r="AJ17" i="33" a="1"/>
  <c r="AJ17" i="33" s="1"/>
  <c r="V70" i="44" a="1"/>
  <c r="V70" i="44" s="1"/>
  <c r="S71" i="45" a="1"/>
  <c r="S71" i="45" s="1"/>
  <c r="AP39" i="43"/>
  <c r="AV11" i="43" a="1"/>
  <c r="AV11" i="43" s="1"/>
  <c r="I88" i="47" a="1"/>
  <c r="I88" i="47" s="1"/>
  <c r="I87" i="47" s="1"/>
  <c r="C56" i="47" a="1"/>
  <c r="C56" i="47" s="1"/>
  <c r="T88" i="45" a="1"/>
  <c r="T88" i="45" s="1"/>
  <c r="W42" i="43"/>
  <c r="O23" i="45" a="1"/>
  <c r="O23" i="45" s="1"/>
  <c r="AR17" i="45" a="1"/>
  <c r="AR17" i="45" s="1"/>
  <c r="AO101" i="45" a="1"/>
  <c r="AO101" i="45" s="1"/>
  <c r="AK71" i="45" a="1"/>
  <c r="AK71" i="45" s="1"/>
  <c r="AV20" i="41" a="1"/>
  <c r="AV20" i="41" s="1"/>
  <c r="AV18" i="41" s="1"/>
  <c r="AI23" i="33" a="1"/>
  <c r="AI23" i="33" s="1"/>
  <c r="AA68" i="33" a="1"/>
  <c r="AA68" i="33" s="1"/>
  <c r="I95" i="47" a="1"/>
  <c r="I95" i="47" s="1"/>
  <c r="O71" i="44" a="1"/>
  <c r="O71" i="44" s="1"/>
  <c r="AJ88" i="44" a="1"/>
  <c r="AJ88" i="44" s="1"/>
  <c r="AD56" i="45" a="1"/>
  <c r="AD56" i="45" s="1"/>
  <c r="I68" i="41" a="1"/>
  <c r="I68" i="41" s="1"/>
  <c r="AR102" i="47"/>
  <c r="AR64" i="45" a="1"/>
  <c r="AR64" i="45" s="1"/>
  <c r="AA26" i="44" a="1"/>
  <c r="AA26" i="44" s="1"/>
  <c r="W33" i="43"/>
  <c r="T94" i="45" a="1"/>
  <c r="T94" i="45" s="1"/>
  <c r="AQ95" i="44" a="1"/>
  <c r="AQ95" i="44" s="1"/>
  <c r="F46" i="45" a="1"/>
  <c r="F46" i="45" s="1"/>
  <c r="AK68" i="45" a="1"/>
  <c r="AK68" i="45" s="1"/>
  <c r="I83" i="45" a="1"/>
  <c r="I83" i="45" s="1"/>
  <c r="J46" i="44" a="1"/>
  <c r="J46" i="44" s="1"/>
  <c r="S25" i="33" a="1"/>
  <c r="S25" i="33" s="1"/>
  <c r="F79" i="44" a="1"/>
  <c r="F79" i="44" s="1"/>
  <c r="AH35" i="44" a="1"/>
  <c r="AH35" i="44" s="1"/>
  <c r="AM25" i="44" a="1"/>
  <c r="AM25" i="44" s="1"/>
  <c r="N66" i="41"/>
  <c r="AA95" i="44" a="1"/>
  <c r="AA95" i="44" s="1"/>
  <c r="AU16" i="41" a="1"/>
  <c r="AU16" i="41" s="1"/>
  <c r="AN58" i="33" a="1"/>
  <c r="AN58" i="33" s="1"/>
  <c r="AC91" i="45" a="1"/>
  <c r="AC91" i="45" s="1"/>
  <c r="AN71" i="46" a="1"/>
  <c r="AN71" i="46" s="1"/>
  <c r="AU73" i="41" a="1"/>
  <c r="AU73" i="41" s="1"/>
  <c r="W102" i="47"/>
  <c r="K56" i="33" a="1"/>
  <c r="K56" i="33" s="1"/>
  <c r="AN35" i="43" a="1"/>
  <c r="AN35" i="43" s="1"/>
  <c r="P76" i="45" a="1"/>
  <c r="P76" i="45" s="1"/>
  <c r="O86" i="45" a="1"/>
  <c r="O86" i="45" s="1"/>
  <c r="L37" i="45" a="1"/>
  <c r="L37" i="45" s="1"/>
  <c r="AJ27" i="46"/>
  <c r="AF48" i="41"/>
  <c r="AF83" i="44" a="1"/>
  <c r="AF83" i="44" s="1"/>
  <c r="AH43" i="45" a="1"/>
  <c r="AH43" i="45" s="1"/>
  <c r="N11" i="33" a="1"/>
  <c r="N11" i="33" s="1"/>
  <c r="T49" i="33" a="1"/>
  <c r="T49" i="33" s="1"/>
  <c r="AD58" i="44" a="1"/>
  <c r="AD58" i="44" s="1"/>
  <c r="AG76" i="45" a="1"/>
  <c r="AG76" i="45" s="1"/>
  <c r="AO95" i="46" a="1"/>
  <c r="AO95" i="46" s="1"/>
  <c r="I52" i="44" a="1"/>
  <c r="I52" i="44" s="1"/>
  <c r="O48" i="46"/>
  <c r="S86" i="44" a="1"/>
  <c r="S86" i="44" s="1"/>
  <c r="F71" i="44" a="1"/>
  <c r="F71" i="44" s="1"/>
  <c r="K69" i="47"/>
  <c r="AM31" i="33" a="1"/>
  <c r="AM31" i="33" s="1"/>
  <c r="AD71" i="33" a="1"/>
  <c r="AD71" i="33" s="1"/>
  <c r="O40" i="45" a="1"/>
  <c r="O40" i="45" s="1"/>
  <c r="AK65" i="45" a="1"/>
  <c r="AK65" i="45" s="1"/>
  <c r="L25" i="33" a="1"/>
  <c r="L25" i="33" s="1"/>
  <c r="U47" i="33" a="1"/>
  <c r="U47" i="33" s="1"/>
  <c r="U45" i="33" s="1"/>
  <c r="Y90" i="43"/>
  <c r="L65" i="45" a="1"/>
  <c r="L65" i="45" s="1"/>
  <c r="AN22" i="41" a="1"/>
  <c r="AN22" i="41" s="1"/>
  <c r="AF23" i="33" a="1"/>
  <c r="AF23" i="33" s="1"/>
  <c r="F67" i="44" a="1"/>
  <c r="F67" i="44" s="1"/>
  <c r="F66" i="44" s="1"/>
  <c r="K46" i="44" a="1"/>
  <c r="K46" i="44" s="1"/>
  <c r="K16" i="44" a="1"/>
  <c r="K16" i="44" s="1"/>
  <c r="AQ18" i="43"/>
  <c r="T41" i="33" a="1"/>
  <c r="T41" i="33" s="1"/>
  <c r="U53" i="45" a="1"/>
  <c r="U53" i="45" s="1"/>
  <c r="AR89" i="45" a="1"/>
  <c r="AR89" i="45" s="1"/>
  <c r="AC97" i="33" a="1"/>
  <c r="AC97" i="33" s="1"/>
  <c r="AO86" i="33" a="1"/>
  <c r="AO86" i="33" s="1"/>
  <c r="AB54" i="41"/>
  <c r="Y55" i="44" a="1"/>
  <c r="Y55" i="44" s="1"/>
  <c r="AJ50" i="44" a="1"/>
  <c r="AJ50" i="44" s="1"/>
  <c r="M18" i="43"/>
  <c r="AT39" i="47"/>
  <c r="V93" i="46"/>
  <c r="K79" i="44" a="1"/>
  <c r="K79" i="44" s="1"/>
  <c r="Z28" i="44" a="1"/>
  <c r="Z28" i="44" s="1"/>
  <c r="Z27" i="44" s="1"/>
  <c r="AE85" i="45" a="1"/>
  <c r="AE85" i="45" s="1"/>
  <c r="AE84" i="45" s="1"/>
  <c r="AL91" i="33" a="1"/>
  <c r="AL91" i="33" s="1"/>
  <c r="AU38" i="41" a="1"/>
  <c r="AU38" i="41" s="1"/>
  <c r="AR75" i="41"/>
  <c r="T85" i="33" a="1"/>
  <c r="T85" i="33" s="1"/>
  <c r="AE60" i="47"/>
  <c r="AQ64" i="44" a="1"/>
  <c r="AQ64" i="44" s="1"/>
  <c r="AL51" i="47"/>
  <c r="AE42" i="47"/>
  <c r="I95" i="33" a="1"/>
  <c r="I95" i="33" s="1"/>
  <c r="X49" i="33" a="1"/>
  <c r="X49" i="33" s="1"/>
  <c r="O41" i="33" a="1"/>
  <c r="O41" i="33" s="1"/>
  <c r="AD70" i="44" a="1"/>
  <c r="AD70" i="44" s="1"/>
  <c r="N26" i="33" a="1"/>
  <c r="N26" i="33" s="1"/>
  <c r="N24" i="33" s="1"/>
  <c r="L38" i="33" a="1"/>
  <c r="L38" i="33" s="1"/>
  <c r="R86" i="44" a="1"/>
  <c r="R86" i="44" s="1"/>
  <c r="J15" i="43"/>
  <c r="AU61" i="47" a="1"/>
  <c r="AU61" i="47" s="1"/>
  <c r="U43" i="33" a="1"/>
  <c r="U43" i="33" s="1"/>
  <c r="U42" i="33" s="1"/>
  <c r="AE31" i="45" a="1"/>
  <c r="AE31" i="45" s="1"/>
  <c r="I59" i="43" a="1"/>
  <c r="I59" i="43" s="1"/>
  <c r="AB97" i="45" a="1"/>
  <c r="AB97" i="45" s="1"/>
  <c r="AK52" i="33" a="1"/>
  <c r="AK52" i="33" s="1"/>
  <c r="AK51" i="33" s="1"/>
  <c r="AU77" i="41" a="1"/>
  <c r="AU77" i="41" s="1"/>
  <c r="I38" i="43" a="1"/>
  <c r="I38" i="43" s="1"/>
  <c r="AN10" i="33" a="1"/>
  <c r="AN10" i="33" s="1"/>
  <c r="AN9" i="33" s="1"/>
  <c r="T23" i="44" a="1"/>
  <c r="T23" i="44" s="1"/>
  <c r="AB28" i="44" a="1"/>
  <c r="AB28" i="44" s="1"/>
  <c r="AK32" i="44" a="1"/>
  <c r="AK32" i="44" s="1"/>
  <c r="L47" i="33" a="1"/>
  <c r="L47" i="33" s="1"/>
  <c r="AF46" i="44" a="1"/>
  <c r="AF46" i="44" s="1"/>
  <c r="AA92" i="45" a="1"/>
  <c r="AA92" i="45" s="1"/>
  <c r="AO74" i="46" a="1"/>
  <c r="AO74" i="46" s="1"/>
  <c r="H25" i="33" a="1"/>
  <c r="H25" i="33" s="1"/>
  <c r="AF17" i="45" a="1"/>
  <c r="AF17" i="45" s="1"/>
  <c r="W84" i="46"/>
  <c r="T55" i="33" a="1"/>
  <c r="T55" i="33" s="1"/>
  <c r="AU49" i="41" a="1"/>
  <c r="AU49" i="41" s="1"/>
  <c r="AU48" i="41" s="1"/>
  <c r="AN49" i="41" a="1"/>
  <c r="AN49" i="41" s="1"/>
  <c r="AL71" i="45" a="1"/>
  <c r="AL71" i="45" s="1"/>
  <c r="AN47" i="47" a="1"/>
  <c r="AN47" i="47" s="1"/>
  <c r="J23" i="33" a="1"/>
  <c r="J23" i="33" s="1"/>
  <c r="AS48" i="46"/>
  <c r="S23" i="45" a="1"/>
  <c r="S23" i="45" s="1"/>
  <c r="AV16" i="46" a="1"/>
  <c r="AV16" i="46" s="1"/>
  <c r="T88" i="44" a="1"/>
  <c r="T88" i="44" s="1"/>
  <c r="AK65" i="33" a="1"/>
  <c r="AK65" i="33" s="1"/>
  <c r="C74" i="33" a="1"/>
  <c r="C74" i="33" s="1"/>
  <c r="AF86" i="33" a="1"/>
  <c r="AF86" i="33" s="1"/>
  <c r="AV37" i="41" a="1"/>
  <c r="AV37" i="41" s="1"/>
  <c r="J75" i="47"/>
  <c r="AT63" i="41"/>
  <c r="T100" i="44" a="1"/>
  <c r="T100" i="44" s="1"/>
  <c r="R98" i="33" a="1"/>
  <c r="R98" i="33" s="1"/>
  <c r="N49" i="44" a="1"/>
  <c r="N49" i="44" s="1"/>
  <c r="AF10" i="45" a="1"/>
  <c r="AF10" i="45" s="1"/>
  <c r="AH68" i="45" a="1"/>
  <c r="AH68" i="45" s="1"/>
  <c r="AN26" i="43" a="1"/>
  <c r="AN26" i="43" s="1"/>
  <c r="H53" i="33" a="1"/>
  <c r="H53" i="33" s="1"/>
  <c r="AO46" i="41" a="1"/>
  <c r="AO46" i="41" s="1"/>
  <c r="M61" i="33" a="1"/>
  <c r="M61" i="33" s="1"/>
  <c r="AN10" i="41" a="1"/>
  <c r="AN10" i="41" s="1"/>
  <c r="X43" i="45" a="1"/>
  <c r="X43" i="45" s="1"/>
  <c r="T60" i="43"/>
  <c r="AP83" i="44" a="1"/>
  <c r="AP83" i="44" s="1"/>
  <c r="AD28" i="33" a="1"/>
  <c r="AD28" i="33" s="1"/>
  <c r="W40" i="45" a="1"/>
  <c r="W40" i="45" s="1"/>
  <c r="AJ43" i="45" a="1"/>
  <c r="AJ43" i="45" s="1"/>
  <c r="E94" i="33" a="1"/>
  <c r="E94" i="33" s="1"/>
  <c r="E93" i="33" s="1"/>
  <c r="S56" i="45" a="1"/>
  <c r="S56" i="45" s="1"/>
  <c r="W46" i="44" a="1"/>
  <c r="W46" i="44" s="1"/>
  <c r="H25" i="44" a="1"/>
  <c r="H25" i="44" s="1"/>
  <c r="H24" i="44" s="1"/>
  <c r="C68" i="47" a="1"/>
  <c r="C68" i="47" s="1"/>
  <c r="Y97" i="44" a="1"/>
  <c r="Y97" i="44" s="1"/>
  <c r="T28" i="45" a="1"/>
  <c r="T28" i="45" s="1"/>
  <c r="AN104" i="46" a="1"/>
  <c r="AN104" i="46" s="1"/>
  <c r="AJ15" i="41"/>
  <c r="AH101" i="44" a="1"/>
  <c r="AH101" i="44" s="1"/>
  <c r="G94" i="45" a="1"/>
  <c r="G94" i="45" s="1"/>
  <c r="H10" i="33" a="1"/>
  <c r="H10" i="33" s="1"/>
  <c r="Y34" i="44" a="1"/>
  <c r="Y34" i="44" s="1"/>
  <c r="AT99" i="47"/>
  <c r="AV32" i="41" a="1"/>
  <c r="AV32" i="41" s="1"/>
  <c r="P51" i="46"/>
  <c r="AJ28" i="33" a="1"/>
  <c r="AJ28" i="33" s="1"/>
  <c r="M20" i="44" a="1"/>
  <c r="M20" i="44" s="1"/>
  <c r="M18" i="44" s="1"/>
  <c r="W24" i="41"/>
  <c r="AJ19" i="44" a="1"/>
  <c r="AJ19" i="44" s="1"/>
  <c r="AO94" i="43" a="1"/>
  <c r="AO94" i="43" s="1"/>
  <c r="AL11" i="45" a="1"/>
  <c r="AL11" i="45" s="1"/>
  <c r="AB101" i="44" a="1"/>
  <c r="AB101" i="44" s="1"/>
  <c r="C22" i="33" a="1"/>
  <c r="C22" i="33" s="1"/>
  <c r="A22" i="33" s="1"/>
  <c r="I28" i="43" a="1"/>
  <c r="I28" i="43" s="1"/>
  <c r="Z70" i="33" a="1"/>
  <c r="Z70" i="33" s="1"/>
  <c r="AK66" i="41"/>
  <c r="AL30" i="47"/>
  <c r="U11" i="44" a="1"/>
  <c r="U11" i="44" s="1"/>
  <c r="AR20" i="33" a="1"/>
  <c r="AR20" i="33" s="1"/>
  <c r="V59" i="33" a="1"/>
  <c r="V59" i="33" s="1"/>
  <c r="R79" i="44" a="1"/>
  <c r="R79" i="44" s="1"/>
  <c r="L58" i="45" a="1"/>
  <c r="L58" i="45" s="1"/>
  <c r="AO52" i="47" a="1"/>
  <c r="AO52" i="47" s="1"/>
  <c r="AO51" i="47" s="1"/>
  <c r="Z50" i="44" a="1"/>
  <c r="Z50" i="44" s="1"/>
  <c r="C55" i="42" a="1"/>
  <c r="C55" i="42" s="1"/>
  <c r="A55" i="42" s="1"/>
  <c r="AC99" i="41"/>
  <c r="AV64" i="47" a="1"/>
  <c r="AV64" i="47" s="1"/>
  <c r="AA58" i="44" a="1"/>
  <c r="AA58" i="44" s="1"/>
  <c r="U85" i="33" a="1"/>
  <c r="U85" i="33" s="1"/>
  <c r="V38" i="33" a="1"/>
  <c r="V38" i="33" s="1"/>
  <c r="AO16" i="33" a="1"/>
  <c r="AO16" i="33" s="1"/>
  <c r="W91" i="45" a="1"/>
  <c r="W91" i="45" s="1"/>
  <c r="L80" i="44" a="1"/>
  <c r="L80" i="44" s="1"/>
  <c r="AA100" i="44" a="1"/>
  <c r="AA100" i="44" s="1"/>
  <c r="AR67" i="45" a="1"/>
  <c r="AR67" i="45" s="1"/>
  <c r="U16" i="44" a="1"/>
  <c r="U16" i="44" s="1"/>
  <c r="F59" i="44" a="1"/>
  <c r="F59" i="44" s="1"/>
  <c r="S35" i="33" a="1"/>
  <c r="S35" i="33" s="1"/>
  <c r="AQ30" i="46"/>
  <c r="P26" i="44" a="1"/>
  <c r="P26" i="44" s="1"/>
  <c r="AC77" i="44" a="1"/>
  <c r="AC77" i="44" s="1"/>
  <c r="N19" i="45" a="1"/>
  <c r="N19" i="45" s="1"/>
  <c r="Q33" i="43"/>
  <c r="H95" i="44" a="1"/>
  <c r="H95" i="44" s="1"/>
  <c r="V98" i="45" a="1"/>
  <c r="V98" i="45" s="1"/>
  <c r="T97" i="44" a="1"/>
  <c r="T97" i="44" s="1"/>
  <c r="X59" i="44" a="1"/>
  <c r="X59" i="44" s="1"/>
  <c r="AV100" i="46" a="1"/>
  <c r="AV100" i="46" s="1"/>
  <c r="AV99" i="46" s="1"/>
  <c r="J97" i="45" a="1"/>
  <c r="J97" i="45" s="1"/>
  <c r="J96" i="45" s="1"/>
  <c r="AR23" i="33" a="1"/>
  <c r="AR23" i="33" s="1"/>
  <c r="S88" i="33" a="1"/>
  <c r="S88" i="33" s="1"/>
  <c r="C80" i="45" a="1"/>
  <c r="C80" i="45" s="1"/>
  <c r="A79" i="45" s="1"/>
  <c r="AV82" i="46" a="1"/>
  <c r="AV82" i="46" s="1"/>
  <c r="S46" i="44" a="1"/>
  <c r="S46" i="44" s="1"/>
  <c r="S45" i="44" s="1"/>
  <c r="AO22" i="41" a="1"/>
  <c r="AO22" i="41" s="1"/>
  <c r="AP42" i="46"/>
  <c r="P34" i="44" a="1"/>
  <c r="P34" i="44" s="1"/>
  <c r="C77" i="41" a="1"/>
  <c r="C77" i="41" s="1"/>
  <c r="AE25" i="44" a="1"/>
  <c r="AE25" i="44" s="1"/>
  <c r="AO80" i="46" a="1"/>
  <c r="AO80" i="46" s="1"/>
  <c r="Q91" i="33" a="1"/>
  <c r="Q91" i="33" s="1"/>
  <c r="X97" i="33" a="1"/>
  <c r="X97" i="33" s="1"/>
  <c r="H88" i="45" a="1"/>
  <c r="H88" i="45" s="1"/>
  <c r="H87" i="45" s="1"/>
  <c r="AO92" i="43" a="1"/>
  <c r="AO92" i="43" s="1"/>
  <c r="AO90" i="43" s="1"/>
  <c r="Q89" i="45" a="1"/>
  <c r="Q89" i="45" s="1"/>
  <c r="J32" i="44" a="1"/>
  <c r="J32" i="44" s="1"/>
  <c r="J30" i="44" s="1"/>
  <c r="O70" i="44" a="1"/>
  <c r="O70" i="44" s="1"/>
  <c r="F47" i="33" a="1"/>
  <c r="F47" i="33" s="1"/>
  <c r="AO61" i="33" a="1"/>
  <c r="AO61" i="33" s="1"/>
  <c r="AF59" i="44" a="1"/>
  <c r="AF59" i="44" s="1"/>
  <c r="G86" i="44" a="1"/>
  <c r="G86" i="44" s="1"/>
  <c r="AE43" i="45" a="1"/>
  <c r="AE43" i="45" s="1"/>
  <c r="AF103" i="44" a="1"/>
  <c r="AF103" i="44" s="1"/>
  <c r="AF102" i="44" s="1"/>
  <c r="G65" i="33" a="1"/>
  <c r="G65" i="33" s="1"/>
  <c r="M97" i="33" a="1"/>
  <c r="M97" i="33" s="1"/>
  <c r="AN62" i="45" a="1"/>
  <c r="AN62" i="45" s="1"/>
  <c r="AI46" i="45" a="1"/>
  <c r="AI46" i="45" s="1"/>
  <c r="AC22" i="33" a="1"/>
  <c r="AC22" i="33" s="1"/>
  <c r="M49" i="44" a="1"/>
  <c r="M49" i="44" s="1"/>
  <c r="AP67" i="44" a="1"/>
  <c r="AP67" i="44" s="1"/>
  <c r="AP66" i="44" s="1"/>
  <c r="H70" i="45" a="1"/>
  <c r="H70" i="45" s="1"/>
  <c r="AJ83" i="44" a="1"/>
  <c r="AJ83" i="44" s="1"/>
  <c r="AN38" i="33" a="1"/>
  <c r="AN38" i="33" s="1"/>
  <c r="AH49" i="45" a="1"/>
  <c r="AH49" i="45" s="1"/>
  <c r="U75" i="43"/>
  <c r="G11" i="45" a="1"/>
  <c r="G11" i="45" s="1"/>
  <c r="G56" i="33" a="1"/>
  <c r="G56" i="33" s="1"/>
  <c r="AV98" i="46" a="1"/>
  <c r="AV98" i="46" s="1"/>
  <c r="AV96" i="46" s="1"/>
  <c r="AV104" i="47" a="1"/>
  <c r="AV104" i="47" s="1"/>
  <c r="K33" i="47"/>
  <c r="AO41" i="33" a="1"/>
  <c r="AO41" i="33" s="1"/>
  <c r="AO39" i="33" s="1"/>
  <c r="Y79" i="33" a="1"/>
  <c r="Y79" i="33" s="1"/>
  <c r="AN92" i="44" a="1"/>
  <c r="AN92" i="44" s="1"/>
  <c r="V62" i="45" a="1"/>
  <c r="V62" i="45" s="1"/>
  <c r="AI72" i="46"/>
  <c r="AC89" i="45" a="1"/>
  <c r="AC89" i="45" s="1"/>
  <c r="Z32" i="33" a="1"/>
  <c r="Z32" i="33" s="1"/>
  <c r="J24" i="41"/>
  <c r="AD101" i="45" a="1"/>
  <c r="AD101" i="45" s="1"/>
  <c r="Y67" i="44" a="1"/>
  <c r="Y67" i="44" s="1"/>
  <c r="AG29" i="45" a="1"/>
  <c r="AG29" i="45" s="1"/>
  <c r="M9" i="43"/>
  <c r="W52" i="33" a="1"/>
  <c r="W52" i="33" s="1"/>
  <c r="AO79" i="43" a="1"/>
  <c r="AO79" i="43" s="1"/>
  <c r="AF38" i="33" a="1"/>
  <c r="AF38" i="33" s="1"/>
  <c r="AD103" i="44" a="1"/>
  <c r="AD103" i="44" s="1"/>
  <c r="AM68" i="44" a="1"/>
  <c r="AM68" i="44" s="1"/>
  <c r="AC91" i="33" a="1"/>
  <c r="AC91" i="33" s="1"/>
  <c r="AU37" i="46" a="1"/>
  <c r="AU37" i="46" s="1"/>
  <c r="U104" i="45" a="1"/>
  <c r="U104" i="45" s="1"/>
  <c r="U102" i="45" s="1"/>
  <c r="K43" i="33" a="1"/>
  <c r="K43" i="33" s="1"/>
  <c r="U88" i="33" a="1"/>
  <c r="U88" i="33" s="1"/>
  <c r="AF23" i="45" a="1"/>
  <c r="AF23" i="45" s="1"/>
  <c r="AR49" i="33" a="1"/>
  <c r="AR49" i="33" s="1"/>
  <c r="AO50" i="47" a="1"/>
  <c r="AO50" i="47" s="1"/>
  <c r="Y20" i="33" a="1"/>
  <c r="Y20" i="33" s="1"/>
  <c r="AL34" i="44" a="1"/>
  <c r="AL34" i="44" s="1"/>
  <c r="AL33" i="44" s="1"/>
  <c r="C52" i="33" a="1"/>
  <c r="C52" i="33" s="1"/>
  <c r="A52" i="33" s="1"/>
  <c r="S67" i="44" a="1"/>
  <c r="S67" i="44" s="1"/>
  <c r="AC95" i="33" a="1"/>
  <c r="AC95" i="33" s="1"/>
  <c r="M64" i="44" a="1"/>
  <c r="M64" i="44" s="1"/>
  <c r="AV65" i="46" a="1"/>
  <c r="AV65" i="46" s="1"/>
  <c r="X29" i="33" a="1"/>
  <c r="X29" i="33" s="1"/>
  <c r="AN56" i="44" a="1"/>
  <c r="AN56" i="44" s="1"/>
  <c r="AU101" i="43" a="1"/>
  <c r="AU101" i="43" s="1"/>
  <c r="AM17" i="33" a="1"/>
  <c r="AM17" i="33" s="1"/>
  <c r="AU79" i="41" a="1"/>
  <c r="AU79" i="41" s="1"/>
  <c r="AP17" i="33" a="1"/>
  <c r="AP17" i="33" s="1"/>
  <c r="K104" i="44" a="1"/>
  <c r="K104" i="44" s="1"/>
  <c r="K20" i="33" a="1"/>
  <c r="K20" i="33" s="1"/>
  <c r="C47" i="43" a="1"/>
  <c r="C47" i="43" s="1"/>
  <c r="X64" i="33" a="1"/>
  <c r="X64" i="33" s="1"/>
  <c r="H10" i="45" a="1"/>
  <c r="H10" i="45" s="1"/>
  <c r="AO16" i="47" a="1"/>
  <c r="AO16" i="47" s="1"/>
  <c r="AO71" i="41" a="1"/>
  <c r="AO71" i="41" s="1"/>
  <c r="AN19" i="47" a="1"/>
  <c r="AN19" i="47" s="1"/>
  <c r="AN18" i="47" s="1"/>
  <c r="AQ29" i="44" a="1"/>
  <c r="AQ29" i="44" s="1"/>
  <c r="AG31" i="45" a="1"/>
  <c r="AG31" i="45" s="1"/>
  <c r="R54" i="43"/>
  <c r="C64" i="43" a="1"/>
  <c r="C64" i="43" s="1"/>
  <c r="A64" i="43" s="1"/>
  <c r="U54" i="43"/>
  <c r="S44" i="45" a="1"/>
  <c r="S44" i="45" s="1"/>
  <c r="E91" i="44" a="1"/>
  <c r="E91" i="44" s="1"/>
  <c r="V41" i="44" a="1"/>
  <c r="V41" i="44" s="1"/>
  <c r="AQ43" i="44" a="1"/>
  <c r="AQ43" i="44" s="1"/>
  <c r="P23" i="44" a="1"/>
  <c r="P23" i="44" s="1"/>
  <c r="O11" i="33" a="1"/>
  <c r="O11" i="33" s="1"/>
  <c r="AE101" i="33" a="1"/>
  <c r="AE101" i="33" s="1"/>
  <c r="N91" i="45" a="1"/>
  <c r="N91" i="45" s="1"/>
  <c r="AG97" i="45" a="1"/>
  <c r="AG97" i="45" s="1"/>
  <c r="AA52" i="33" a="1"/>
  <c r="AA52" i="33" s="1"/>
  <c r="AQ67" i="44" a="1"/>
  <c r="AQ67" i="44" s="1"/>
  <c r="AQ66" i="44" s="1"/>
  <c r="AT69" i="41"/>
  <c r="Z77" i="45" a="1"/>
  <c r="Z77" i="45" s="1"/>
  <c r="Y38" i="33" a="1"/>
  <c r="Y38" i="33" s="1"/>
  <c r="P35" i="45" a="1"/>
  <c r="P35" i="45" s="1"/>
  <c r="AF73" i="44" a="1"/>
  <c r="AF73" i="44" s="1"/>
  <c r="AF33" i="46"/>
  <c r="AE41" i="45" a="1"/>
  <c r="AE41" i="45" s="1"/>
  <c r="I31" i="44" a="1"/>
  <c r="I31" i="44" s="1"/>
  <c r="AP89" i="33" a="1"/>
  <c r="AP89" i="33" s="1"/>
  <c r="T37" i="44" a="1"/>
  <c r="T37" i="44" s="1"/>
  <c r="AR78" i="47"/>
  <c r="W38" i="45" a="1"/>
  <c r="W38" i="45" s="1"/>
  <c r="AP10" i="33" a="1"/>
  <c r="AP10" i="33" s="1"/>
  <c r="AH29" i="45" a="1"/>
  <c r="AH29" i="45" s="1"/>
  <c r="N89" i="45" a="1"/>
  <c r="N89" i="45" s="1"/>
  <c r="AU101" i="46" a="1"/>
  <c r="AU101" i="46" s="1"/>
  <c r="AJ29" i="45" a="1"/>
  <c r="AJ29" i="45" s="1"/>
  <c r="AO38" i="47" a="1"/>
  <c r="AO38" i="47" s="1"/>
  <c r="P37" i="44" a="1"/>
  <c r="P37" i="44" s="1"/>
  <c r="N60" i="41"/>
  <c r="AB84" i="41"/>
  <c r="AL86" i="45" a="1"/>
  <c r="AL86" i="45" s="1"/>
  <c r="AC67" i="33" a="1"/>
  <c r="AC67" i="33" s="1"/>
  <c r="AC66" i="33" s="1"/>
  <c r="E62" i="33" a="1"/>
  <c r="E62" i="33" s="1"/>
  <c r="AI83" i="45" a="1"/>
  <c r="AI83" i="45" s="1"/>
  <c r="AI81" i="45" s="1"/>
  <c r="J67" i="45" a="1"/>
  <c r="J67" i="45" s="1"/>
  <c r="H61" i="33" a="1"/>
  <c r="H61" i="33" s="1"/>
  <c r="V29" i="45" a="1"/>
  <c r="V29" i="45" s="1"/>
  <c r="R94" i="45" a="1"/>
  <c r="R94" i="45" s="1"/>
  <c r="P68" i="33" a="1"/>
  <c r="P68" i="33" s="1"/>
  <c r="AE35" i="44" a="1"/>
  <c r="AE35" i="44" s="1"/>
  <c r="AD43" i="44" a="1"/>
  <c r="AD43" i="44" s="1"/>
  <c r="K17" i="44" a="1"/>
  <c r="K17" i="44" s="1"/>
  <c r="AN23" i="43" a="1"/>
  <c r="AN23" i="43" s="1"/>
  <c r="AF82" i="45" a="1"/>
  <c r="AF82" i="45" s="1"/>
  <c r="L41" i="44" a="1"/>
  <c r="L41" i="44" s="1"/>
  <c r="G29" i="33" a="1"/>
  <c r="G29" i="33" s="1"/>
  <c r="AN76" i="47" a="1"/>
  <c r="AN76" i="47" s="1"/>
  <c r="AC15" i="43"/>
  <c r="AI51" i="43"/>
  <c r="S65" i="45" a="1"/>
  <c r="S65" i="45" s="1"/>
  <c r="AM46" i="33" a="1"/>
  <c r="AM46" i="33" s="1"/>
  <c r="AM45" i="33" s="1"/>
  <c r="T35" i="45" a="1"/>
  <c r="T35" i="45" s="1"/>
  <c r="T33" i="45" s="1"/>
  <c r="Y32" i="33" a="1"/>
  <c r="Y32" i="33" s="1"/>
  <c r="V20" i="33" a="1"/>
  <c r="V20" i="33" s="1"/>
  <c r="AA82" i="44" a="1"/>
  <c r="AA82" i="44" s="1"/>
  <c r="I76" i="45" a="1"/>
  <c r="I76" i="45" s="1"/>
  <c r="I75" i="45" s="1"/>
  <c r="K100" i="33" a="1"/>
  <c r="K100" i="33" s="1"/>
  <c r="I83" i="41" a="1"/>
  <c r="I83" i="41" s="1"/>
  <c r="AR58" i="45" a="1"/>
  <c r="AR58" i="45" s="1"/>
  <c r="W90" i="47"/>
  <c r="C91" i="44" a="1"/>
  <c r="C91" i="44" s="1"/>
  <c r="AI50" i="44" a="1"/>
  <c r="AI50" i="44" s="1"/>
  <c r="AD83" i="44" a="1"/>
  <c r="AD83" i="44" s="1"/>
  <c r="AD81" i="44" s="1"/>
  <c r="AB62" i="33" a="1"/>
  <c r="AB62" i="33" s="1"/>
  <c r="AP52" i="33" a="1"/>
  <c r="AP52" i="33" s="1"/>
  <c r="AI101" i="33" a="1"/>
  <c r="AI101" i="33" s="1"/>
  <c r="Q15" i="41"/>
  <c r="M59" i="45" a="1"/>
  <c r="M59" i="45" s="1"/>
  <c r="AN95" i="46" a="1"/>
  <c r="AN95" i="46" s="1"/>
  <c r="N20" i="33" a="1"/>
  <c r="N20" i="33" s="1"/>
  <c r="AD97" i="44" a="1"/>
  <c r="AD97" i="44" s="1"/>
  <c r="AU70" i="47" a="1"/>
  <c r="AU70" i="47" s="1"/>
  <c r="F73" i="33" a="1"/>
  <c r="F73" i="33" s="1"/>
  <c r="X39" i="41"/>
  <c r="AG73" i="33" a="1"/>
  <c r="AG73" i="33" s="1"/>
  <c r="C41" i="46" a="1"/>
  <c r="C41" i="46" s="1"/>
  <c r="I101" i="46" a="1"/>
  <c r="I101" i="46" s="1"/>
  <c r="AV31" i="46" a="1"/>
  <c r="AV31" i="46" s="1"/>
  <c r="AO40" i="45" a="1"/>
  <c r="AO40" i="45" s="1"/>
  <c r="N85" i="33" a="1"/>
  <c r="N85" i="33" s="1"/>
  <c r="R67" i="33" a="1"/>
  <c r="R67" i="33" s="1"/>
  <c r="Z43" i="44" a="1"/>
  <c r="Z43" i="44" s="1"/>
  <c r="Z42" i="44" s="1"/>
  <c r="AO50" i="33" a="1"/>
  <c r="AO50" i="33" s="1"/>
  <c r="P53" i="44" a="1"/>
  <c r="P53" i="44" s="1"/>
  <c r="N58" i="33" a="1"/>
  <c r="N58" i="33" s="1"/>
  <c r="Z58" i="33" a="1"/>
  <c r="Z58" i="33" s="1"/>
  <c r="AQ48" i="41"/>
  <c r="AV65" i="41" a="1"/>
  <c r="AV65" i="41" s="1"/>
  <c r="AG91" i="45" a="1"/>
  <c r="AG91" i="45" s="1"/>
  <c r="AC51" i="43"/>
  <c r="R92" i="45" a="1"/>
  <c r="R92" i="45" s="1"/>
  <c r="Q52" i="45" a="1"/>
  <c r="Q52" i="45" s="1"/>
  <c r="G98" i="33" a="1"/>
  <c r="G98" i="33" s="1"/>
  <c r="I55" i="41" a="1"/>
  <c r="I55" i="41" s="1"/>
  <c r="AH88" i="33" a="1"/>
  <c r="AH88" i="33" s="1"/>
  <c r="AA95" i="33" a="1"/>
  <c r="AA95" i="33" s="1"/>
  <c r="E58" i="44" a="1"/>
  <c r="E58" i="44" s="1"/>
  <c r="Y81" i="41"/>
  <c r="Y96" i="47"/>
  <c r="AQ68" i="45" a="1"/>
  <c r="AQ68" i="45" s="1"/>
  <c r="Y56" i="44" a="1"/>
  <c r="Y56" i="44" s="1"/>
  <c r="AM67" i="44" a="1"/>
  <c r="AM67" i="44" s="1"/>
  <c r="AM94" i="33" a="1"/>
  <c r="AM94" i="33" s="1"/>
  <c r="AM98" i="33" a="1"/>
  <c r="AM98" i="33" s="1"/>
  <c r="AJ44" i="45" a="1"/>
  <c r="AJ44" i="45" s="1"/>
  <c r="C89" i="41" a="1"/>
  <c r="C89" i="41" s="1"/>
  <c r="O46" i="44" a="1"/>
  <c r="O46" i="44" s="1"/>
  <c r="Q35" i="44" a="1"/>
  <c r="Q35" i="44" s="1"/>
  <c r="M31" i="45" a="1"/>
  <c r="M31" i="45" s="1"/>
  <c r="AJ86" i="44" a="1"/>
  <c r="AJ86" i="44" s="1"/>
  <c r="I85" i="44" a="1"/>
  <c r="I85" i="44" s="1"/>
  <c r="J64" i="33" a="1"/>
  <c r="J64" i="33" s="1"/>
  <c r="AN80" i="46" a="1"/>
  <c r="AN80" i="46" s="1"/>
  <c r="I16" i="43" a="1"/>
  <c r="I16" i="43" s="1"/>
  <c r="AH17" i="44" a="1"/>
  <c r="AH17" i="44" s="1"/>
  <c r="AR49" i="44" a="1"/>
  <c r="AR49" i="44" s="1"/>
  <c r="AM82" i="45" a="1"/>
  <c r="AM82" i="45" s="1"/>
  <c r="N76" i="44" a="1"/>
  <c r="N76" i="44" s="1"/>
  <c r="AA36" i="41"/>
  <c r="E32" i="44" a="1"/>
  <c r="E32" i="44" s="1"/>
  <c r="E30" i="44" s="1"/>
  <c r="AR61" i="33" a="1"/>
  <c r="AR61" i="33" s="1"/>
  <c r="Y56" i="33" a="1"/>
  <c r="Y56" i="33" s="1"/>
  <c r="Y54" i="33" s="1"/>
  <c r="E89" i="45" a="1"/>
  <c r="E89" i="45" s="1"/>
  <c r="F22" i="44" a="1"/>
  <c r="F22" i="44" s="1"/>
  <c r="X10" i="45" a="1"/>
  <c r="X10" i="45" s="1"/>
  <c r="X9" i="45" s="1"/>
  <c r="C83" i="46" a="1"/>
  <c r="C83" i="46" s="1"/>
  <c r="AE34" i="33" a="1"/>
  <c r="AE34" i="33" s="1"/>
  <c r="AP36" i="43"/>
  <c r="AA88" i="44" a="1"/>
  <c r="AA88" i="44" s="1"/>
  <c r="AA87" i="44" s="1"/>
  <c r="P88" i="33" a="1"/>
  <c r="P88" i="33" s="1"/>
  <c r="M88" i="33" a="1"/>
  <c r="M88" i="33" s="1"/>
  <c r="E53" i="44" a="1"/>
  <c r="E53" i="44" s="1"/>
  <c r="K61" i="45" a="1"/>
  <c r="K61" i="45" s="1"/>
  <c r="J44" i="44" a="1"/>
  <c r="J44" i="44" s="1"/>
  <c r="AG88" i="45" a="1"/>
  <c r="AG88" i="45" s="1"/>
  <c r="P31" i="44" a="1"/>
  <c r="P31" i="44" s="1"/>
  <c r="N17" i="44" a="1"/>
  <c r="N17" i="44" s="1"/>
  <c r="AN53" i="44" a="1"/>
  <c r="AN53" i="44" s="1"/>
  <c r="N34" i="44" a="1"/>
  <c r="N34" i="44" s="1"/>
  <c r="O67" i="33" a="1"/>
  <c r="O67" i="33" s="1"/>
  <c r="O66" i="33" s="1"/>
  <c r="J45" i="43"/>
  <c r="AF28" i="45" a="1"/>
  <c r="AF28" i="45" s="1"/>
  <c r="AA9" i="47"/>
  <c r="AO22" i="47" a="1"/>
  <c r="AO22" i="47" s="1"/>
  <c r="E88" i="33" a="1"/>
  <c r="E88" i="33" s="1"/>
  <c r="G31" i="45" a="1"/>
  <c r="G31" i="45" s="1"/>
  <c r="S46" i="45" a="1"/>
  <c r="S46" i="45" s="1"/>
  <c r="I76" i="43" a="1"/>
  <c r="I76" i="43" s="1"/>
  <c r="AN82" i="46" a="1"/>
  <c r="AN82" i="46" s="1"/>
  <c r="AN81" i="46" s="1"/>
  <c r="Q54" i="43"/>
  <c r="AM79" i="45" a="1"/>
  <c r="AM79" i="45" s="1"/>
  <c r="O78" i="47"/>
  <c r="AJ37" i="44" a="1"/>
  <c r="AJ37" i="44" s="1"/>
  <c r="AD80" i="44" a="1"/>
  <c r="AD80" i="44" s="1"/>
  <c r="N22" i="33" a="1"/>
  <c r="N22" i="33" s="1"/>
  <c r="AB50" i="45" a="1"/>
  <c r="AB50" i="45" s="1"/>
  <c r="L28" i="33" a="1"/>
  <c r="L28" i="33" s="1"/>
  <c r="AD42" i="46"/>
  <c r="AJ64" i="33" a="1"/>
  <c r="AJ64" i="33" s="1"/>
  <c r="AM56" i="44" a="1"/>
  <c r="AM56" i="44" s="1"/>
  <c r="O10" i="33" a="1"/>
  <c r="O10" i="33" s="1"/>
  <c r="P29" i="44" a="1"/>
  <c r="P29" i="44" s="1"/>
  <c r="AE89" i="33" a="1"/>
  <c r="AE89" i="33" s="1"/>
  <c r="AB103" i="45" a="1"/>
  <c r="AB103" i="45" s="1"/>
  <c r="AR35" i="44" a="1"/>
  <c r="AR35" i="44" s="1"/>
  <c r="AO38" i="45" a="1"/>
  <c r="AO38" i="45" s="1"/>
  <c r="K74" i="33" a="1"/>
  <c r="K74" i="33" s="1"/>
  <c r="AR39" i="41"/>
  <c r="AN37" i="43" a="1"/>
  <c r="AN37" i="43" s="1"/>
  <c r="AN36" i="43" s="1"/>
  <c r="C71" i="47" a="1"/>
  <c r="C71" i="47" s="1"/>
  <c r="K66" i="43"/>
  <c r="AR31" i="33" a="1"/>
  <c r="AR31" i="33" s="1"/>
  <c r="AV95" i="41" a="1"/>
  <c r="AV95" i="41" s="1"/>
  <c r="C73" i="44" a="1"/>
  <c r="C73" i="44" s="1"/>
  <c r="AP17" i="44" a="1"/>
  <c r="AP17" i="44" s="1"/>
  <c r="AB55" i="45" a="1"/>
  <c r="AB55" i="45" s="1"/>
  <c r="AV74" i="46" a="1"/>
  <c r="AV74" i="46" s="1"/>
  <c r="AS72" i="46"/>
  <c r="U79" i="33" a="1"/>
  <c r="U79" i="33" s="1"/>
  <c r="Q83" i="44" a="1"/>
  <c r="Q83" i="44" s="1"/>
  <c r="H41" i="33" a="1"/>
  <c r="H41" i="33" s="1"/>
  <c r="AO47" i="33" a="1"/>
  <c r="AO47" i="33" s="1"/>
  <c r="AM86" i="33" a="1"/>
  <c r="AM86" i="33" s="1"/>
  <c r="M28" i="45" a="1"/>
  <c r="M28" i="45" s="1"/>
  <c r="AV47" i="41" a="1"/>
  <c r="AV47" i="41" s="1"/>
  <c r="AE80" i="45" a="1"/>
  <c r="AE80" i="45" s="1"/>
  <c r="Z62" i="45" a="1"/>
  <c r="Z62" i="45" s="1"/>
  <c r="F23" i="44" a="1"/>
  <c r="F23" i="44" s="1"/>
  <c r="AK59" i="33" a="1"/>
  <c r="AK59" i="33" s="1"/>
  <c r="AR88" i="33" a="1"/>
  <c r="AR88" i="33" s="1"/>
  <c r="S46" i="33" a="1"/>
  <c r="S46" i="33" s="1"/>
  <c r="X90" i="46"/>
  <c r="AH30" i="46"/>
  <c r="AN95" i="41" a="1"/>
  <c r="AN95" i="41" s="1"/>
  <c r="AG64" i="44" a="1"/>
  <c r="AG64" i="44" s="1"/>
  <c r="E89" i="44" a="1"/>
  <c r="E89" i="44" s="1"/>
  <c r="AU11" i="47" a="1"/>
  <c r="AU11" i="47" s="1"/>
  <c r="S30" i="47"/>
  <c r="AO83" i="44" a="1"/>
  <c r="AO83" i="44" s="1"/>
  <c r="AD82" i="33" a="1"/>
  <c r="AD82" i="33" s="1"/>
  <c r="AM36" i="47"/>
  <c r="AA32" i="33" a="1"/>
  <c r="AA32" i="33" s="1"/>
  <c r="P101" i="33" a="1"/>
  <c r="P101" i="33" s="1"/>
  <c r="E59" i="45" a="1"/>
  <c r="E59" i="45" s="1"/>
  <c r="AO83" i="41" a="1"/>
  <c r="AO83" i="41" s="1"/>
  <c r="C38" i="43" a="1"/>
  <c r="C38" i="43" s="1"/>
  <c r="A37" i="43" s="1"/>
  <c r="AO83" i="45" a="1"/>
  <c r="AO83" i="45" s="1"/>
  <c r="AB61" i="33" a="1"/>
  <c r="AB61" i="33" s="1"/>
  <c r="AE64" i="45" a="1"/>
  <c r="AE64" i="45" s="1"/>
  <c r="AV61" i="43" a="1"/>
  <c r="AV61" i="43" s="1"/>
  <c r="O93" i="46"/>
  <c r="K67" i="44" a="1"/>
  <c r="K67" i="44" s="1"/>
  <c r="N46" i="44" a="1"/>
  <c r="N46" i="44" s="1"/>
  <c r="N45" i="44" s="1"/>
  <c r="AL48" i="41"/>
  <c r="X17" i="44" a="1"/>
  <c r="X17" i="44" s="1"/>
  <c r="M99" i="43"/>
  <c r="AI82" i="33" a="1"/>
  <c r="AI82" i="33" s="1"/>
  <c r="AN16" i="33" a="1"/>
  <c r="AN16" i="33" s="1"/>
  <c r="AO77" i="44" a="1"/>
  <c r="AO77" i="44" s="1"/>
  <c r="F32" i="33" a="1"/>
  <c r="F32" i="33" s="1"/>
  <c r="Q90" i="47"/>
  <c r="AA50" i="33" a="1"/>
  <c r="AA50" i="33" s="1"/>
  <c r="Y40" i="45" a="1"/>
  <c r="Y40" i="45" s="1"/>
  <c r="H86" i="44" a="1"/>
  <c r="H86" i="44" s="1"/>
  <c r="I35" i="43" a="1"/>
  <c r="I35" i="43" s="1"/>
  <c r="I33" i="43" s="1"/>
  <c r="AD27" i="46"/>
  <c r="AM65" i="33" a="1"/>
  <c r="AM65" i="33" s="1"/>
  <c r="AJ88" i="45" a="1"/>
  <c r="AJ88" i="45" s="1"/>
  <c r="M77" i="44" a="1"/>
  <c r="M77" i="44" s="1"/>
  <c r="AH25" i="33" a="1"/>
  <c r="AH25" i="33" s="1"/>
  <c r="Q28" i="44" a="1"/>
  <c r="Q28" i="44" s="1"/>
  <c r="S40" i="45" a="1"/>
  <c r="S40" i="45" s="1"/>
  <c r="AU77" i="47" a="1"/>
  <c r="AU77" i="47" s="1"/>
  <c r="AQ33" i="43"/>
  <c r="AP71" i="44" a="1"/>
  <c r="AP71" i="44" s="1"/>
  <c r="AE36" i="43"/>
  <c r="AC29" i="33" a="1"/>
  <c r="AC29" i="33" s="1"/>
  <c r="L73" i="45" a="1"/>
  <c r="L73" i="45" s="1"/>
  <c r="AJ70" i="45" a="1"/>
  <c r="AJ70" i="45" s="1"/>
  <c r="P37" i="33" a="1"/>
  <c r="P37" i="33" s="1"/>
  <c r="AF102" i="47"/>
  <c r="K84" i="41"/>
  <c r="AO58" i="45" a="1"/>
  <c r="AO58" i="45" s="1"/>
  <c r="AV22" i="43" a="1"/>
  <c r="AV22" i="43" s="1"/>
  <c r="AC98" i="44" a="1"/>
  <c r="AC98" i="44" s="1"/>
  <c r="AP40" i="44" a="1"/>
  <c r="AP40" i="44" s="1"/>
  <c r="M94" i="33" a="1"/>
  <c r="M94" i="33" s="1"/>
  <c r="M100" i="44" a="1"/>
  <c r="M100" i="44" s="1"/>
  <c r="AA11" i="33" a="1"/>
  <c r="AA11" i="33" s="1"/>
  <c r="AB65" i="33" a="1"/>
  <c r="AB65" i="33" s="1"/>
  <c r="AQ86" i="33" a="1"/>
  <c r="AQ86" i="33" s="1"/>
  <c r="AE83" i="45" a="1"/>
  <c r="AE83" i="45" s="1"/>
  <c r="AE81" i="45" s="1"/>
  <c r="V52" i="44" a="1"/>
  <c r="V52" i="44" s="1"/>
  <c r="J21" i="41"/>
  <c r="AK40" i="33" a="1"/>
  <c r="AK40" i="33" s="1"/>
  <c r="AC79" i="44" a="1"/>
  <c r="AC79" i="44" s="1"/>
  <c r="Z35" i="45" a="1"/>
  <c r="Z35" i="45" s="1"/>
  <c r="M88" i="44" a="1"/>
  <c r="M88" i="44" s="1"/>
  <c r="AH11" i="44" a="1"/>
  <c r="AH11" i="44" s="1"/>
  <c r="G28" i="33" a="1"/>
  <c r="G28" i="33" s="1"/>
  <c r="Z100" i="44" a="1"/>
  <c r="Z100" i="44" s="1"/>
  <c r="Q96" i="41"/>
  <c r="AN46" i="41" a="1"/>
  <c r="AN46" i="41" s="1"/>
  <c r="AM95" i="44" a="1"/>
  <c r="AM95" i="44" s="1"/>
  <c r="M73" i="44" a="1"/>
  <c r="M73" i="44" s="1"/>
  <c r="AP58" i="44" a="1"/>
  <c r="AP58" i="44" s="1"/>
  <c r="AO74" i="43" a="1"/>
  <c r="AO74" i="43" s="1"/>
  <c r="AN50" i="41" a="1"/>
  <c r="AN50" i="41" s="1"/>
  <c r="AE55" i="45" a="1"/>
  <c r="AE55" i="45" s="1"/>
  <c r="AL38" i="33" a="1"/>
  <c r="AL38" i="33" s="1"/>
  <c r="P43" i="44" a="1"/>
  <c r="P43" i="44" s="1"/>
  <c r="AF103" i="45" a="1"/>
  <c r="AF103" i="45" s="1"/>
  <c r="U91" i="33" a="1"/>
  <c r="U91" i="33" s="1"/>
  <c r="AB104" i="45" a="1"/>
  <c r="AB104" i="45" s="1"/>
  <c r="AJ57" i="41"/>
  <c r="AF52" i="45" a="1"/>
  <c r="AF52" i="45" s="1"/>
  <c r="C70" i="42" a="1"/>
  <c r="C70" i="42" s="1"/>
  <c r="O17" i="33" a="1"/>
  <c r="O17" i="33" s="1"/>
  <c r="Q89" i="44" a="1"/>
  <c r="Q89" i="44" s="1"/>
  <c r="F50" i="44" a="1"/>
  <c r="F50" i="44" s="1"/>
  <c r="N70" i="33" a="1"/>
  <c r="N70" i="33" s="1"/>
  <c r="N69" i="33" s="1"/>
  <c r="L64" i="45" a="1"/>
  <c r="L64" i="45" s="1"/>
  <c r="L56" i="45" a="1"/>
  <c r="L56" i="45" s="1"/>
  <c r="AH99" i="41"/>
  <c r="U51" i="46"/>
  <c r="AG85" i="45" a="1"/>
  <c r="AG85" i="45" s="1"/>
  <c r="N91" i="44" a="1"/>
  <c r="N91" i="44" s="1"/>
  <c r="O82" i="44" a="1"/>
  <c r="O82" i="44" s="1"/>
  <c r="AV52" i="43" a="1"/>
  <c r="AV52" i="43" s="1"/>
  <c r="P48" i="46"/>
  <c r="P58" i="45" a="1"/>
  <c r="P58" i="45" s="1"/>
  <c r="AG48" i="43"/>
  <c r="Y47" i="45" a="1"/>
  <c r="Y47" i="45" s="1"/>
  <c r="V69" i="41"/>
  <c r="AC17" i="45" a="1"/>
  <c r="AC17" i="45" s="1"/>
  <c r="P55" i="33" a="1"/>
  <c r="P55" i="33" s="1"/>
  <c r="AO16" i="46" a="1"/>
  <c r="AO16" i="46" s="1"/>
  <c r="AO15" i="46" s="1"/>
  <c r="K49" i="33" a="1"/>
  <c r="K49" i="33" s="1"/>
  <c r="AB11" i="45" a="1"/>
  <c r="AB11" i="45" s="1"/>
  <c r="W49" i="44" a="1"/>
  <c r="W49" i="44" s="1"/>
  <c r="AS21" i="41"/>
  <c r="Q97" i="33" a="1"/>
  <c r="Q97" i="33" s="1"/>
  <c r="Y74" i="45" a="1"/>
  <c r="Y74" i="45" s="1"/>
  <c r="Y72" i="45" s="1"/>
  <c r="AQ47" i="45" a="1"/>
  <c r="AQ47" i="45" s="1"/>
  <c r="AQ45" i="45" s="1"/>
  <c r="AU56" i="43" a="1"/>
  <c r="AU56" i="43" s="1"/>
  <c r="AF71" i="45" a="1"/>
  <c r="AF71" i="45" s="1"/>
  <c r="M68" i="45" a="1"/>
  <c r="M68" i="45" s="1"/>
  <c r="I55" i="44" a="1"/>
  <c r="I55" i="44" s="1"/>
  <c r="AJ27" i="43"/>
  <c r="AC64" i="44" a="1"/>
  <c r="AC64" i="44" s="1"/>
  <c r="AN41" i="41" a="1"/>
  <c r="AN41" i="41" s="1"/>
  <c r="M102" i="46"/>
  <c r="AT27" i="41"/>
  <c r="P24" i="47"/>
  <c r="AI60" i="43"/>
  <c r="AV92" i="46" a="1"/>
  <c r="AV92" i="46" s="1"/>
  <c r="K86" i="45" a="1"/>
  <c r="K86" i="45" s="1"/>
  <c r="L48" i="41"/>
  <c r="AM101" i="45" a="1"/>
  <c r="AM101" i="45" s="1"/>
  <c r="J77" i="44" a="1"/>
  <c r="J77" i="44" s="1"/>
  <c r="AM44" i="44" a="1"/>
  <c r="AM44" i="44" s="1"/>
  <c r="U25" i="44" a="1"/>
  <c r="U25" i="44" s="1"/>
  <c r="AD51" i="46"/>
  <c r="W66" i="46"/>
  <c r="AJ55" i="45" a="1"/>
  <c r="AJ55" i="45" s="1"/>
  <c r="C43" i="42" a="1"/>
  <c r="C43" i="42" s="1"/>
  <c r="A43" i="42" s="1"/>
  <c r="E26" i="44" a="1"/>
  <c r="E26" i="44" s="1"/>
  <c r="E24" i="44" s="1"/>
  <c r="AB22" i="44" a="1"/>
  <c r="AB22" i="44" s="1"/>
  <c r="AB21" i="44" s="1"/>
  <c r="AC100" i="44" a="1"/>
  <c r="AC100" i="44" s="1"/>
  <c r="Z43" i="45" a="1"/>
  <c r="Z43" i="45" s="1"/>
  <c r="AB52" i="45" a="1"/>
  <c r="AB52" i="45" s="1"/>
  <c r="N75" i="43"/>
  <c r="I62" i="45" a="1"/>
  <c r="I62" i="45" s="1"/>
  <c r="W81" i="47"/>
  <c r="M101" i="44" a="1"/>
  <c r="M101" i="44" s="1"/>
  <c r="AE41" i="44" a="1"/>
  <c r="AE41" i="44" s="1"/>
  <c r="AQ32" i="44" a="1"/>
  <c r="AQ32" i="44" s="1"/>
  <c r="W32" i="44" a="1"/>
  <c r="W32" i="44" s="1"/>
  <c r="W47" i="44" a="1"/>
  <c r="W47" i="44" s="1"/>
  <c r="AN55" i="41" a="1"/>
  <c r="AN55" i="41" s="1"/>
  <c r="R33" i="43"/>
  <c r="AI55" i="33" a="1"/>
  <c r="AI55" i="33" s="1"/>
  <c r="AV16" i="41" a="1"/>
  <c r="AV16" i="41" s="1"/>
  <c r="N18" i="46"/>
  <c r="AO89" i="43" a="1"/>
  <c r="AO89" i="43" s="1"/>
  <c r="C59" i="46" a="1"/>
  <c r="C59" i="46" s="1"/>
  <c r="R73" i="33" a="1"/>
  <c r="R73" i="33" s="1"/>
  <c r="R72" i="33" s="1"/>
  <c r="AK93" i="43"/>
  <c r="AE26" i="44" a="1"/>
  <c r="AE26" i="44" s="1"/>
  <c r="AQ33" i="46"/>
  <c r="M86" i="45" a="1"/>
  <c r="M86" i="45" s="1"/>
  <c r="AT72" i="41"/>
  <c r="AB88" i="45" a="1"/>
  <c r="AB88" i="45" s="1"/>
  <c r="AB87" i="45" s="1"/>
  <c r="U104" i="44" a="1"/>
  <c r="U104" i="44" s="1"/>
  <c r="G101" i="33" a="1"/>
  <c r="G101" i="33" s="1"/>
  <c r="G99" i="33" s="1"/>
  <c r="Y88" i="45" a="1"/>
  <c r="Y88" i="45" s="1"/>
  <c r="Y87" i="45" s="1"/>
  <c r="AL40" i="44" a="1"/>
  <c r="AL40" i="44" s="1"/>
  <c r="AU47" i="46" a="1"/>
  <c r="AU47" i="46" s="1"/>
  <c r="AK60" i="47"/>
  <c r="AK43" i="45" a="1"/>
  <c r="AK43" i="45" s="1"/>
  <c r="K91" i="45" a="1"/>
  <c r="K91" i="45" s="1"/>
  <c r="Y103" i="44" a="1"/>
  <c r="Y103" i="44" s="1"/>
  <c r="P89" i="45" a="1"/>
  <c r="P89" i="45" s="1"/>
  <c r="AQ41" i="45" a="1"/>
  <c r="AQ41" i="45" s="1"/>
  <c r="AK19" i="45" a="1"/>
  <c r="AK19" i="45" s="1"/>
  <c r="AK18" i="45" s="1"/>
  <c r="AP96" i="41"/>
  <c r="AI101" i="45" a="1"/>
  <c r="AI101" i="45" s="1"/>
  <c r="AJ59" i="44" a="1"/>
  <c r="AJ59" i="44" s="1"/>
  <c r="Q98" i="33" a="1"/>
  <c r="Q98" i="33" s="1"/>
  <c r="U23" i="45" a="1"/>
  <c r="U23" i="45" s="1"/>
  <c r="AN88" i="47" a="1"/>
  <c r="AN88" i="47" s="1"/>
  <c r="C95" i="47" a="1"/>
  <c r="C95" i="47" s="1"/>
  <c r="K85" i="44" a="1"/>
  <c r="K85" i="44" s="1"/>
  <c r="U17" i="45" a="1"/>
  <c r="U17" i="45" s="1"/>
  <c r="Z39" i="43"/>
  <c r="N76" i="33" a="1"/>
  <c r="N76" i="33" s="1"/>
  <c r="I49" i="46" a="1"/>
  <c r="I49" i="46" s="1"/>
  <c r="AM16" i="44" a="1"/>
  <c r="AM16" i="44" s="1"/>
  <c r="AN38" i="45" a="1"/>
  <c r="AN38" i="45" s="1"/>
  <c r="AE59" i="45" a="1"/>
  <c r="AE59" i="45" s="1"/>
  <c r="AM66" i="43"/>
  <c r="AV17" i="41" a="1"/>
  <c r="AV17" i="41" s="1"/>
  <c r="AE102" i="41"/>
  <c r="J91" i="44" a="1"/>
  <c r="J91" i="44" s="1"/>
  <c r="I77" i="46" a="1"/>
  <c r="I77" i="46" s="1"/>
  <c r="AJ73" i="44" a="1"/>
  <c r="AJ73" i="44" s="1"/>
  <c r="U89" i="33" a="1"/>
  <c r="U89" i="33" s="1"/>
  <c r="Q86" i="45" a="1"/>
  <c r="Q86" i="45" s="1"/>
  <c r="F56" i="33" a="1"/>
  <c r="F56" i="33" s="1"/>
  <c r="AD41" i="45" a="1"/>
  <c r="AD41" i="45" s="1"/>
  <c r="AT36" i="47"/>
  <c r="K80" i="45" a="1"/>
  <c r="K80" i="45" s="1"/>
  <c r="AQ71" i="45" a="1"/>
  <c r="AQ71" i="45" s="1"/>
  <c r="W33" i="41"/>
  <c r="C100" i="33" a="1"/>
  <c r="C100" i="33" s="1"/>
  <c r="Y21" i="43"/>
  <c r="L100" i="45" a="1"/>
  <c r="L100" i="45" s="1"/>
  <c r="AO64" i="46" a="1"/>
  <c r="AO64" i="46" s="1"/>
  <c r="AG76" i="33" a="1"/>
  <c r="AG76" i="33" s="1"/>
  <c r="AG75" i="33" s="1"/>
  <c r="G86" i="33" a="1"/>
  <c r="G86" i="33" s="1"/>
  <c r="H31" i="33" a="1"/>
  <c r="H31" i="33" s="1"/>
  <c r="AR99" i="46"/>
  <c r="AV31" i="47" a="1"/>
  <c r="AV31" i="47" s="1"/>
  <c r="AG57" i="41"/>
  <c r="M54" i="43"/>
  <c r="I94" i="45" a="1"/>
  <c r="I94" i="45" s="1"/>
  <c r="I93" i="45" s="1"/>
  <c r="W11" i="33" a="1"/>
  <c r="W11" i="33" s="1"/>
  <c r="AV29" i="47" a="1"/>
  <c r="AV29" i="47" s="1"/>
  <c r="AF55" i="33" a="1"/>
  <c r="AF55" i="33" s="1"/>
  <c r="AF54" i="33" s="1"/>
  <c r="AO65" i="43" a="1"/>
  <c r="AO65" i="43" s="1"/>
  <c r="O34" i="33" a="1"/>
  <c r="O34" i="33" s="1"/>
  <c r="K36" i="47"/>
  <c r="AB65" i="44" a="1"/>
  <c r="AB65" i="44" s="1"/>
  <c r="AN92" i="41" a="1"/>
  <c r="AN92" i="41" s="1"/>
  <c r="AR49" i="45" a="1"/>
  <c r="AR49" i="45" s="1"/>
  <c r="L58" i="44" a="1"/>
  <c r="L58" i="44" s="1"/>
  <c r="AB90" i="41"/>
  <c r="H37" i="45" a="1"/>
  <c r="H37" i="45" s="1"/>
  <c r="AD94" i="45" a="1"/>
  <c r="AD94" i="45" s="1"/>
  <c r="AQ45" i="41"/>
  <c r="N38" i="45" a="1"/>
  <c r="N38" i="45" s="1"/>
  <c r="AN29" i="47" a="1"/>
  <c r="AN29" i="47" s="1"/>
  <c r="AP22" i="45" a="1"/>
  <c r="AP22" i="45" s="1"/>
  <c r="AT57" i="41"/>
  <c r="I53" i="46" a="1"/>
  <c r="I53" i="46" s="1"/>
  <c r="N44" i="33" a="1"/>
  <c r="N44" i="33" s="1"/>
  <c r="R17" i="33" a="1"/>
  <c r="R17" i="33" s="1"/>
  <c r="AU80" i="43" a="1"/>
  <c r="AU80" i="43" s="1"/>
  <c r="Q61" i="33" a="1"/>
  <c r="Q61" i="33" s="1"/>
  <c r="Z45" i="47"/>
  <c r="AT15" i="47"/>
  <c r="AG24" i="46"/>
  <c r="K102" i="41"/>
  <c r="Y11" i="44" a="1"/>
  <c r="Y11" i="44" s="1"/>
  <c r="R102" i="43"/>
  <c r="S100" i="44" a="1"/>
  <c r="S100" i="44" s="1"/>
  <c r="N89" i="44" a="1"/>
  <c r="N89" i="44" s="1"/>
  <c r="AG59" i="44" a="1"/>
  <c r="AG59" i="44" s="1"/>
  <c r="Z73" i="44" a="1"/>
  <c r="Z73" i="44" s="1"/>
  <c r="AF15" i="46"/>
  <c r="P79" i="33" a="1"/>
  <c r="P79" i="33" s="1"/>
  <c r="AD78" i="41"/>
  <c r="AO29" i="41" a="1"/>
  <c r="AO29" i="41" s="1"/>
  <c r="P41" i="44" a="1"/>
  <c r="P41" i="44" s="1"/>
  <c r="P39" i="44" s="1"/>
  <c r="Z18" i="46"/>
  <c r="AJ40" i="44" a="1"/>
  <c r="AJ40" i="44" s="1"/>
  <c r="AR103" i="44" a="1"/>
  <c r="AR103" i="44" s="1"/>
  <c r="I20" i="33" a="1"/>
  <c r="I20" i="33" s="1"/>
  <c r="T17" i="44" a="1"/>
  <c r="T17" i="44" s="1"/>
  <c r="AD85" i="44" a="1"/>
  <c r="AD85" i="44" s="1"/>
  <c r="G89" i="45" a="1"/>
  <c r="G89" i="45" s="1"/>
  <c r="AG58" i="45" a="1"/>
  <c r="AG58" i="45" s="1"/>
  <c r="AA19" i="33" a="1"/>
  <c r="AA19" i="33" s="1"/>
  <c r="AV55" i="46" a="1"/>
  <c r="AV55" i="46" s="1"/>
  <c r="AL103" i="44" a="1"/>
  <c r="AL103" i="44" s="1"/>
  <c r="U35" i="44" a="1"/>
  <c r="U35" i="44" s="1"/>
  <c r="I103" i="47" a="1"/>
  <c r="I103" i="47" s="1"/>
  <c r="AE51" i="47"/>
  <c r="AA85" i="44" a="1"/>
  <c r="AA85" i="44" s="1"/>
  <c r="AU16" i="46" a="1"/>
  <c r="AU16" i="46" s="1"/>
  <c r="AP70" i="44" a="1"/>
  <c r="AP70" i="44" s="1"/>
  <c r="U20" i="33" a="1"/>
  <c r="U20" i="33" s="1"/>
  <c r="AB36" i="46"/>
  <c r="X95" i="45" a="1"/>
  <c r="X95" i="45" s="1"/>
  <c r="X93" i="45" s="1"/>
  <c r="C52" i="44" a="1"/>
  <c r="C52" i="44" s="1"/>
  <c r="A52" i="44" s="1"/>
  <c r="AH83" i="33" a="1"/>
  <c r="AH83" i="33" s="1"/>
  <c r="AN82" i="45" a="1"/>
  <c r="AN82" i="45" s="1"/>
  <c r="R55" i="33" a="1"/>
  <c r="R55" i="33" s="1"/>
  <c r="AE43" i="44" a="1"/>
  <c r="AE43" i="44" s="1"/>
  <c r="U42" i="46"/>
  <c r="AN83" i="44" a="1"/>
  <c r="AN83" i="44" s="1"/>
  <c r="U35" i="33" a="1"/>
  <c r="U35" i="33" s="1"/>
  <c r="AC85" i="33" a="1"/>
  <c r="AC85" i="33" s="1"/>
  <c r="L55" i="44" a="1"/>
  <c r="L55" i="44" s="1"/>
  <c r="AQ54" i="47"/>
  <c r="AD61" i="44" a="1"/>
  <c r="AD61" i="44" s="1"/>
  <c r="H49" i="44" a="1"/>
  <c r="H49" i="44" s="1"/>
  <c r="Q59" i="44" a="1"/>
  <c r="Q59" i="44" s="1"/>
  <c r="AU82" i="47" a="1"/>
  <c r="AU82" i="47" s="1"/>
  <c r="AU81" i="47" s="1"/>
  <c r="C65" i="45" a="1"/>
  <c r="C65" i="45" s="1"/>
  <c r="AO37" i="43" a="1"/>
  <c r="AO37" i="43" s="1"/>
  <c r="AR47" i="45" a="1"/>
  <c r="AR47" i="45" s="1"/>
  <c r="AU65" i="47" a="1"/>
  <c r="AU65" i="47" s="1"/>
  <c r="I61" i="45" a="1"/>
  <c r="I61" i="45" s="1"/>
  <c r="AE50" i="45" a="1"/>
  <c r="AE50" i="45" s="1"/>
  <c r="AM79" i="44" a="1"/>
  <c r="AM79" i="44" s="1"/>
  <c r="E59" i="44" a="1"/>
  <c r="E59" i="44" s="1"/>
  <c r="AR72" i="43"/>
  <c r="C58" i="45" a="1"/>
  <c r="C58" i="45" s="1"/>
  <c r="AN58" i="43" a="1"/>
  <c r="AN58" i="43" s="1"/>
  <c r="L65" i="44" a="1"/>
  <c r="L65" i="44" s="1"/>
  <c r="AN97" i="45" a="1"/>
  <c r="AN97" i="45" s="1"/>
  <c r="L77" i="45" a="1"/>
  <c r="L77" i="45" s="1"/>
  <c r="AF31" i="45" a="1"/>
  <c r="AF31" i="45" s="1"/>
  <c r="U103" i="44" a="1"/>
  <c r="U103" i="44" s="1"/>
  <c r="V49" i="45" a="1"/>
  <c r="V49" i="45" s="1"/>
  <c r="AO47" i="44" a="1"/>
  <c r="AO47" i="44" s="1"/>
  <c r="AA71" i="45" a="1"/>
  <c r="AA71" i="45" s="1"/>
  <c r="C38" i="46" a="1"/>
  <c r="C38" i="46" s="1"/>
  <c r="W79" i="45" a="1"/>
  <c r="W79" i="45" s="1"/>
  <c r="W78" i="45" s="1"/>
  <c r="AE75" i="41"/>
  <c r="I85" i="46" a="1"/>
  <c r="I85" i="46" s="1"/>
  <c r="AA42" i="46"/>
  <c r="AH67" i="45" a="1"/>
  <c r="AH67" i="45" s="1"/>
  <c r="I43" i="33" a="1"/>
  <c r="I43" i="33" s="1"/>
  <c r="N45" i="41"/>
  <c r="C104" i="47" a="1"/>
  <c r="C104" i="47" s="1"/>
  <c r="S103" i="33" a="1"/>
  <c r="S103" i="33" s="1"/>
  <c r="V71" i="45" a="1"/>
  <c r="V71" i="45" s="1"/>
  <c r="AE80" i="44" a="1"/>
  <c r="AE80" i="44" s="1"/>
  <c r="Y47" i="44" a="1"/>
  <c r="Y47" i="44" s="1"/>
  <c r="AA43" i="44" a="1"/>
  <c r="AA43" i="44" s="1"/>
  <c r="AI103" i="45" a="1"/>
  <c r="AI103" i="45" s="1"/>
  <c r="AM61" i="33" a="1"/>
  <c r="AM61" i="33" s="1"/>
  <c r="K73" i="33" a="1"/>
  <c r="K73" i="33" s="1"/>
  <c r="C16" i="44" a="1"/>
  <c r="C16" i="44" s="1"/>
  <c r="K28" i="33" a="1"/>
  <c r="K28" i="33" s="1"/>
  <c r="C59" i="45" a="1"/>
  <c r="C59" i="45" s="1"/>
  <c r="R87" i="41"/>
  <c r="F52" i="44" a="1"/>
  <c r="F52" i="44" s="1"/>
  <c r="T51" i="43"/>
  <c r="I64" i="46" a="1"/>
  <c r="I64" i="46" s="1"/>
  <c r="C74" i="46" a="1"/>
  <c r="C74" i="46" s="1"/>
  <c r="N92" i="44" a="1"/>
  <c r="N92" i="44" s="1"/>
  <c r="R65" i="44" a="1"/>
  <c r="R65" i="44" s="1"/>
  <c r="AR28" i="44" a="1"/>
  <c r="AR28" i="44" s="1"/>
  <c r="L19" i="44" a="1"/>
  <c r="L19" i="44" s="1"/>
  <c r="AH54" i="47"/>
  <c r="AB26" i="45" a="1"/>
  <c r="AB26" i="45" s="1"/>
  <c r="AL20" i="44" a="1"/>
  <c r="AL20" i="44" s="1"/>
  <c r="L92" i="33" a="1"/>
  <c r="L92" i="33" s="1"/>
  <c r="Q51" i="46"/>
  <c r="U47" i="45" a="1"/>
  <c r="U47" i="45" s="1"/>
  <c r="U45" i="45" s="1"/>
  <c r="AC47" i="33" a="1"/>
  <c r="AC47" i="33" s="1"/>
  <c r="AE22" i="33" a="1"/>
  <c r="AE22" i="33" s="1"/>
  <c r="AE21" i="33" s="1"/>
  <c r="AB18" i="43"/>
  <c r="AO35" i="46" a="1"/>
  <c r="AO35" i="46" s="1"/>
  <c r="AE31" i="33" a="1"/>
  <c r="AE31" i="33" s="1"/>
  <c r="AG16" i="44" a="1"/>
  <c r="AG16" i="44" s="1"/>
  <c r="M47" i="44" a="1"/>
  <c r="M47" i="44" s="1"/>
  <c r="N92" i="45" a="1"/>
  <c r="N92" i="45" s="1"/>
  <c r="N100" i="45" a="1"/>
  <c r="N100" i="45" s="1"/>
  <c r="O53" i="45" a="1"/>
  <c r="O53" i="45" s="1"/>
  <c r="AG77" i="44" a="1"/>
  <c r="AG77" i="44" s="1"/>
  <c r="AV103" i="46" a="1"/>
  <c r="AV103" i="46" s="1"/>
  <c r="AG53" i="45" a="1"/>
  <c r="AG53" i="45" s="1"/>
  <c r="X52" i="44" a="1"/>
  <c r="X52" i="44" s="1"/>
  <c r="AO52" i="41" a="1"/>
  <c r="AO52" i="41" s="1"/>
  <c r="AI26" i="45" a="1"/>
  <c r="AI26" i="45" s="1"/>
  <c r="G58" i="33" a="1"/>
  <c r="G58" i="33" s="1"/>
  <c r="G57" i="33" s="1"/>
  <c r="AA72" i="41"/>
  <c r="X20" i="45" a="1"/>
  <c r="X20" i="45" s="1"/>
  <c r="N97" i="33" a="1"/>
  <c r="N97" i="33" s="1"/>
  <c r="Q77" i="33" a="1"/>
  <c r="Q77" i="33" s="1"/>
  <c r="AR61" i="45" a="1"/>
  <c r="AR61" i="45" s="1"/>
  <c r="E23" i="45" a="1"/>
  <c r="E23" i="45" s="1"/>
  <c r="C88" i="42" a="1"/>
  <c r="C88" i="42" s="1"/>
  <c r="AL69" i="46"/>
  <c r="AL70" i="33" a="1"/>
  <c r="AL70" i="33" s="1"/>
  <c r="AC16" i="33" a="1"/>
  <c r="AC16" i="33" s="1"/>
  <c r="I67" i="46" a="1"/>
  <c r="I67" i="46" s="1"/>
  <c r="I61" i="46" a="1"/>
  <c r="I61" i="46" s="1"/>
  <c r="L25" i="45" a="1"/>
  <c r="L25" i="45" s="1"/>
  <c r="V55" i="44" a="1"/>
  <c r="V55" i="44" s="1"/>
  <c r="V54" i="44" s="1"/>
  <c r="J41" i="45" a="1"/>
  <c r="J41" i="45" s="1"/>
  <c r="AG97" i="44" a="1"/>
  <c r="AG97" i="44" s="1"/>
  <c r="AH27" i="41"/>
  <c r="AQ90" i="46"/>
  <c r="I88" i="43" a="1"/>
  <c r="I88" i="43" s="1"/>
  <c r="V27" i="41"/>
  <c r="C20" i="44" a="1"/>
  <c r="C20" i="44" s="1"/>
  <c r="F95" i="44" a="1"/>
  <c r="F95" i="44" s="1"/>
  <c r="Z92" i="33" a="1"/>
  <c r="Z92" i="33" s="1"/>
  <c r="H79" i="45" a="1"/>
  <c r="H79" i="45" s="1"/>
  <c r="H43" i="33" a="1"/>
  <c r="H43" i="33" s="1"/>
  <c r="H42" i="33" s="1"/>
  <c r="AF70" i="33" a="1"/>
  <c r="AF70" i="33" s="1"/>
  <c r="AJ63" i="41"/>
  <c r="AT39" i="46"/>
  <c r="E77" i="45" a="1"/>
  <c r="E77" i="45" s="1"/>
  <c r="E29" i="33" a="1"/>
  <c r="E29" i="33" s="1"/>
  <c r="M87" i="43"/>
  <c r="AD10" i="45" a="1"/>
  <c r="AD10" i="45" s="1"/>
  <c r="C22" i="42" a="1"/>
  <c r="C22" i="42" s="1"/>
  <c r="AO73" i="47" a="1"/>
  <c r="AO73" i="47" s="1"/>
  <c r="C38" i="33" a="1"/>
  <c r="C38" i="33" s="1"/>
  <c r="AP90" i="46"/>
  <c r="C34" i="47" a="1"/>
  <c r="C34" i="47" s="1"/>
  <c r="E101" i="44" a="1"/>
  <c r="E101" i="44" s="1"/>
  <c r="AJ23" i="33" a="1"/>
  <c r="AJ23" i="33" s="1"/>
  <c r="P32" i="45" a="1"/>
  <c r="P32" i="45" s="1"/>
  <c r="AE92" i="33" a="1"/>
  <c r="AE92" i="33" s="1"/>
  <c r="AE90" i="33" s="1"/>
  <c r="G23" i="44" a="1"/>
  <c r="G23" i="44" s="1"/>
  <c r="M10" i="33" a="1"/>
  <c r="M10" i="33" s="1"/>
  <c r="AP25" i="44" a="1"/>
  <c r="AP25" i="44" s="1"/>
  <c r="Q17" i="44" a="1"/>
  <c r="Q17" i="44" s="1"/>
  <c r="O40" i="33" a="1"/>
  <c r="O40" i="33" s="1"/>
  <c r="AO59" i="44" a="1"/>
  <c r="AO59" i="44" s="1"/>
  <c r="AA46" i="33" a="1"/>
  <c r="AA46" i="33" s="1"/>
  <c r="AO68" i="44" a="1"/>
  <c r="AO68" i="44" s="1"/>
  <c r="AL46" i="33" a="1"/>
  <c r="AL46" i="33" s="1"/>
  <c r="AH75" i="41"/>
  <c r="U23" i="33" a="1"/>
  <c r="U23" i="33" s="1"/>
  <c r="AR53" i="44" a="1"/>
  <c r="AR53" i="44" s="1"/>
  <c r="Z25" i="45" a="1"/>
  <c r="Z25" i="45" s="1"/>
  <c r="AS90" i="47"/>
  <c r="AM86" i="45" a="1"/>
  <c r="AM86" i="45" s="1"/>
  <c r="AD93" i="46"/>
  <c r="V28" i="45" a="1"/>
  <c r="V28" i="45" s="1"/>
  <c r="I17" i="33" a="1"/>
  <c r="I17" i="33" s="1"/>
  <c r="E10" i="44" a="1"/>
  <c r="E10" i="44" s="1"/>
  <c r="E9" i="44" s="1"/>
  <c r="Y39" i="47"/>
  <c r="AR38" i="44" a="1"/>
  <c r="AR38" i="44" s="1"/>
  <c r="J35" i="33" a="1"/>
  <c r="J35" i="33" s="1"/>
  <c r="R58" i="45" a="1"/>
  <c r="R58" i="45" s="1"/>
  <c r="R57" i="45" s="1"/>
  <c r="AQ65" i="45" a="1"/>
  <c r="AQ65" i="45" s="1"/>
  <c r="AK92" i="33" a="1"/>
  <c r="AK92" i="33" s="1"/>
  <c r="AP46" i="44" a="1"/>
  <c r="AP46" i="44" s="1"/>
  <c r="AN58" i="41" a="1"/>
  <c r="AN58" i="41" s="1"/>
  <c r="AB61" i="44" a="1"/>
  <c r="AB61" i="44" s="1"/>
  <c r="U103" i="33" a="1"/>
  <c r="U103" i="33" s="1"/>
  <c r="L16" i="33" a="1"/>
  <c r="L16" i="33" s="1"/>
  <c r="AT72" i="43"/>
  <c r="AN55" i="47" a="1"/>
  <c r="AN55" i="47" s="1"/>
  <c r="R97" i="44" a="1"/>
  <c r="R97" i="44" s="1"/>
  <c r="T54" i="43"/>
  <c r="AO77" i="33" a="1"/>
  <c r="AO77" i="33" s="1"/>
  <c r="G52" i="45" a="1"/>
  <c r="G52" i="45" s="1"/>
  <c r="G51" i="45" s="1"/>
  <c r="AO68" i="45" a="1"/>
  <c r="AO68" i="45" s="1"/>
  <c r="I52" i="33" a="1"/>
  <c r="I52" i="33" s="1"/>
  <c r="AQ72" i="46"/>
  <c r="L24" i="46"/>
  <c r="Z68" i="45" a="1"/>
  <c r="Z68" i="45" s="1"/>
  <c r="S76" i="33" a="1"/>
  <c r="S76" i="33" s="1"/>
  <c r="AQ70" i="44" a="1"/>
  <c r="AQ70" i="44" s="1"/>
  <c r="AE65" i="45" a="1"/>
  <c r="AE65" i="45" s="1"/>
  <c r="AO41" i="46" a="1"/>
  <c r="AO41" i="46" s="1"/>
  <c r="J65" i="44" a="1"/>
  <c r="J65" i="44" s="1"/>
  <c r="P61" i="44" a="1"/>
  <c r="P61" i="44" s="1"/>
  <c r="AH81" i="47"/>
  <c r="U100" i="45" a="1"/>
  <c r="U100" i="45" s="1"/>
  <c r="AF43" i="44" a="1"/>
  <c r="AF43" i="44" s="1"/>
  <c r="E101" i="33" a="1"/>
  <c r="E101" i="33" s="1"/>
  <c r="C26" i="46" a="1"/>
  <c r="C26" i="46" s="1"/>
  <c r="C79" i="44" a="1"/>
  <c r="C79" i="44" s="1"/>
  <c r="A79" i="44" s="1"/>
  <c r="AO10" i="43" a="1"/>
  <c r="AO10" i="43" s="1"/>
  <c r="Z78" i="41"/>
  <c r="X99" i="47"/>
  <c r="AN59" i="47" a="1"/>
  <c r="AN59" i="47" s="1"/>
  <c r="X84" i="41"/>
  <c r="AO37" i="45" a="1"/>
  <c r="AO37" i="45" s="1"/>
  <c r="AN91" i="45" a="1"/>
  <c r="AN91" i="45" s="1"/>
  <c r="AJ101" i="44" a="1"/>
  <c r="AJ101" i="44" s="1"/>
  <c r="AF71" i="44" a="1"/>
  <c r="AF71" i="44" s="1"/>
  <c r="O16" i="33" a="1"/>
  <c r="O16" i="33" s="1"/>
  <c r="C25" i="46" a="1"/>
  <c r="C25" i="46" s="1"/>
  <c r="R83" i="45" a="1"/>
  <c r="R83" i="45" s="1"/>
  <c r="AE90" i="41"/>
  <c r="U57" i="41"/>
  <c r="AH97" i="45" a="1"/>
  <c r="AH97" i="45" s="1"/>
  <c r="AH96" i="45" s="1"/>
  <c r="I64" i="43" a="1"/>
  <c r="I64" i="43" s="1"/>
  <c r="J45" i="47"/>
  <c r="V83" i="45" a="1"/>
  <c r="V83" i="45" s="1"/>
  <c r="Q93" i="46"/>
  <c r="H17" i="44" a="1"/>
  <c r="H17" i="44" s="1"/>
  <c r="S83" i="45" a="1"/>
  <c r="S83" i="45" s="1"/>
  <c r="AH52" i="33" a="1"/>
  <c r="AH52" i="33" s="1"/>
  <c r="G101" i="45" a="1"/>
  <c r="G101" i="45" s="1"/>
  <c r="AN62" i="44" a="1"/>
  <c r="AN62" i="44" s="1"/>
  <c r="G31" i="44" a="1"/>
  <c r="G31" i="44" s="1"/>
  <c r="W99" i="47"/>
  <c r="AG50" i="45" a="1"/>
  <c r="AG50" i="45" s="1"/>
  <c r="J80" i="44" a="1"/>
  <c r="J80" i="44" s="1"/>
  <c r="L82" i="33" a="1"/>
  <c r="L82" i="33" s="1"/>
  <c r="AL100" i="45" a="1"/>
  <c r="AL100" i="45" s="1"/>
  <c r="AF25" i="33" a="1"/>
  <c r="AF25" i="33" s="1"/>
  <c r="AS78" i="41"/>
  <c r="AH22" i="33" a="1"/>
  <c r="AH22" i="33" s="1"/>
  <c r="J81" i="43"/>
  <c r="AB11" i="33" a="1"/>
  <c r="AB11" i="33" s="1"/>
  <c r="E40" i="44" a="1"/>
  <c r="E40" i="44" s="1"/>
  <c r="E39" i="44" s="1"/>
  <c r="N83" i="44" a="1"/>
  <c r="N83" i="44" s="1"/>
  <c r="Y60" i="47"/>
  <c r="J82" i="44" a="1"/>
  <c r="J82" i="44" s="1"/>
  <c r="AI60" i="47"/>
  <c r="Z94" i="33" a="1"/>
  <c r="Z94" i="33" s="1"/>
  <c r="AU103" i="47" a="1"/>
  <c r="AU103" i="47" s="1"/>
  <c r="T61" i="33" a="1"/>
  <c r="T61" i="33" s="1"/>
  <c r="AJ51" i="47"/>
  <c r="AJ35" i="44" a="1"/>
  <c r="AJ35" i="44" s="1"/>
  <c r="C49" i="43" a="1"/>
  <c r="C49" i="43" s="1"/>
  <c r="P80" i="44" a="1"/>
  <c r="P80" i="44" s="1"/>
  <c r="AP46" i="33" a="1"/>
  <c r="AP46" i="33" s="1"/>
  <c r="AP65" i="44" a="1"/>
  <c r="AP65" i="44" s="1"/>
  <c r="AU35" i="47" a="1"/>
  <c r="AU35" i="47" s="1"/>
  <c r="AE79" i="44" a="1"/>
  <c r="AE79" i="44" s="1"/>
  <c r="AM64" i="33" a="1"/>
  <c r="AM64" i="33" s="1"/>
  <c r="AG46" i="44" a="1"/>
  <c r="AG46" i="44" s="1"/>
  <c r="C100" i="41" a="1"/>
  <c r="C100" i="41" s="1"/>
  <c r="A100" i="41" s="1"/>
  <c r="Y33" i="46"/>
  <c r="AQ32" i="33" a="1"/>
  <c r="AQ32" i="33" s="1"/>
  <c r="M16" i="33" a="1"/>
  <c r="M16" i="33" s="1"/>
  <c r="AN41" i="45" a="1"/>
  <c r="AN41" i="45" s="1"/>
  <c r="AQ88" i="33" a="1"/>
  <c r="AQ88" i="33" s="1"/>
  <c r="Y74" i="44" a="1"/>
  <c r="Y74" i="44" s="1"/>
  <c r="AN103" i="45" a="1"/>
  <c r="AN103" i="45" s="1"/>
  <c r="AN102" i="45" s="1"/>
  <c r="AJ38" i="33" a="1"/>
  <c r="AJ38" i="33" s="1"/>
  <c r="K88" i="44" a="1"/>
  <c r="K88" i="44" s="1"/>
  <c r="E38" i="33" a="1"/>
  <c r="E38" i="33" s="1"/>
  <c r="AO82" i="44" a="1"/>
  <c r="AO82" i="44" s="1"/>
  <c r="AK104" i="44" a="1"/>
  <c r="AK104" i="44" s="1"/>
  <c r="AM62" i="44" a="1"/>
  <c r="AM62" i="44" s="1"/>
  <c r="AJ52" i="33" a="1"/>
  <c r="AJ52" i="33" s="1"/>
  <c r="AA77" i="44" a="1"/>
  <c r="AA77" i="44" s="1"/>
  <c r="R89" i="33" a="1"/>
  <c r="R89" i="33" s="1"/>
  <c r="AU38" i="43" a="1"/>
  <c r="AU38" i="43" s="1"/>
  <c r="AK27" i="41"/>
  <c r="G80" i="33" a="1"/>
  <c r="G80" i="33" s="1"/>
  <c r="R41" i="44" a="1"/>
  <c r="R41" i="44" s="1"/>
  <c r="N62" i="45" a="1"/>
  <c r="N62" i="45" s="1"/>
  <c r="AK71" i="33" a="1"/>
  <c r="AK71" i="33" s="1"/>
  <c r="AP86" i="33" a="1"/>
  <c r="AP86" i="33" s="1"/>
  <c r="AP10" i="44" a="1"/>
  <c r="AP10" i="44" s="1"/>
  <c r="Y93" i="43"/>
  <c r="AF81" i="43"/>
  <c r="AM83" i="45" a="1"/>
  <c r="AM83" i="45" s="1"/>
  <c r="AG31" i="33" a="1"/>
  <c r="AG31" i="33" s="1"/>
  <c r="AN74" i="43" a="1"/>
  <c r="AN74" i="43" s="1"/>
  <c r="S23" i="44" a="1"/>
  <c r="S23" i="44" s="1"/>
  <c r="AR27" i="43"/>
  <c r="AN77" i="33" a="1"/>
  <c r="AN77" i="33" s="1"/>
  <c r="AO85" i="46" a="1"/>
  <c r="AO85" i="46" s="1"/>
  <c r="C44" i="33" a="1"/>
  <c r="C44" i="33" s="1"/>
  <c r="N84" i="46"/>
  <c r="V62" i="44" a="1"/>
  <c r="V62" i="44" s="1"/>
  <c r="AL93" i="46"/>
  <c r="AE46" i="45" a="1"/>
  <c r="AE46" i="45" s="1"/>
  <c r="AQ74" i="33" a="1"/>
  <c r="AQ74" i="33" s="1"/>
  <c r="C86" i="44" a="1"/>
  <c r="C86" i="44" s="1"/>
  <c r="AJ44" i="44" a="1"/>
  <c r="AJ44" i="44" s="1"/>
  <c r="J91" i="45" a="1"/>
  <c r="J91" i="45" s="1"/>
  <c r="J103" i="45" a="1"/>
  <c r="J103" i="45" s="1"/>
  <c r="AM41" i="44" a="1"/>
  <c r="AM41" i="44" s="1"/>
  <c r="AN28" i="46" a="1"/>
  <c r="AN28" i="46" s="1"/>
  <c r="AM76" i="44" a="1"/>
  <c r="AM76" i="44" s="1"/>
  <c r="P50" i="45" a="1"/>
  <c r="P50" i="45" s="1"/>
  <c r="K39" i="43"/>
  <c r="S34" i="44" a="1"/>
  <c r="S34" i="44" s="1"/>
  <c r="AO91" i="45" a="1"/>
  <c r="AO91" i="45" s="1"/>
  <c r="AD73" i="45" a="1"/>
  <c r="AD73" i="45" s="1"/>
  <c r="AO64" i="47" a="1"/>
  <c r="AO64" i="47" s="1"/>
  <c r="AV23" i="47" a="1"/>
  <c r="AV23" i="47" s="1"/>
  <c r="W89" i="45" a="1"/>
  <c r="W89" i="45" s="1"/>
  <c r="C20" i="47" a="1"/>
  <c r="C20" i="47" s="1"/>
  <c r="T21" i="41"/>
  <c r="AO44" i="45" a="1"/>
  <c r="AO44" i="45" s="1"/>
  <c r="AO95" i="44" a="1"/>
  <c r="AO95" i="44" s="1"/>
  <c r="C92" i="47" a="1"/>
  <c r="C92" i="47" s="1"/>
  <c r="R29" i="33" a="1"/>
  <c r="R29" i="33" s="1"/>
  <c r="AF83" i="33" a="1"/>
  <c r="AF83" i="33" s="1"/>
  <c r="S80" i="44" a="1"/>
  <c r="S80" i="44" s="1"/>
  <c r="S78" i="44" s="1"/>
  <c r="Z38" i="45" a="1"/>
  <c r="Z38" i="45" s="1"/>
  <c r="AA29" i="44" a="1"/>
  <c r="AA29" i="44" s="1"/>
  <c r="L74" i="45" a="1"/>
  <c r="L74" i="45" s="1"/>
  <c r="T85" i="44" a="1"/>
  <c r="T85" i="44" s="1"/>
  <c r="L33" i="46"/>
  <c r="AV56" i="41" a="1"/>
  <c r="AV56" i="41" s="1"/>
  <c r="AN53" i="41" a="1"/>
  <c r="AN53" i="41" s="1"/>
  <c r="AN51" i="41" s="1"/>
  <c r="AO67" i="33" a="1"/>
  <c r="AO67" i="33" s="1"/>
  <c r="AN20" i="43" a="1"/>
  <c r="AN20" i="43" s="1"/>
  <c r="G74" i="45" a="1"/>
  <c r="G74" i="45" s="1"/>
  <c r="C61" i="44" a="1"/>
  <c r="C61" i="44" s="1"/>
  <c r="A61" i="44" s="1"/>
  <c r="Q43" i="45" a="1"/>
  <c r="Q43" i="45" s="1"/>
  <c r="Q42" i="45" s="1"/>
  <c r="AO41" i="41" a="1"/>
  <c r="AO41" i="41" s="1"/>
  <c r="M61" i="44" a="1"/>
  <c r="M61" i="44" s="1"/>
  <c r="AH27" i="47"/>
  <c r="AV22" i="41" a="1"/>
  <c r="AV22" i="41" s="1"/>
  <c r="F77" i="33" a="1"/>
  <c r="F77" i="33" s="1"/>
  <c r="S101" i="44" a="1"/>
  <c r="S101" i="44" s="1"/>
  <c r="S62" i="44" a="1"/>
  <c r="S62" i="44" s="1"/>
  <c r="M22" i="33" a="1"/>
  <c r="M22" i="33" s="1"/>
  <c r="AV89" i="47" a="1"/>
  <c r="AV89" i="47" s="1"/>
  <c r="AC65" i="44" a="1"/>
  <c r="AC65" i="44" s="1"/>
  <c r="S10" i="45" a="1"/>
  <c r="S10" i="45" s="1"/>
  <c r="AD31" i="33" a="1"/>
  <c r="AD31" i="33" s="1"/>
  <c r="AD30" i="33" s="1"/>
  <c r="N27" i="43"/>
  <c r="AQ63" i="43"/>
  <c r="AB70" i="33" a="1"/>
  <c r="AB70" i="33" s="1"/>
  <c r="J77" i="45" a="1"/>
  <c r="J77" i="45" s="1"/>
  <c r="C43" i="45" a="1"/>
  <c r="C43" i="45" s="1"/>
  <c r="E101" i="45" a="1"/>
  <c r="E101" i="45" s="1"/>
  <c r="AD73" i="33" a="1"/>
  <c r="AD73" i="33" s="1"/>
  <c r="AD72" i="33" s="1"/>
  <c r="P11" i="45" a="1"/>
  <c r="P11" i="45" s="1"/>
  <c r="C10" i="46" a="1"/>
  <c r="C10" i="46" s="1"/>
  <c r="AK23" i="44" a="1"/>
  <c r="AK23" i="44" s="1"/>
  <c r="AK21" i="44" s="1"/>
  <c r="AV50" i="43" a="1"/>
  <c r="AV50" i="43" s="1"/>
  <c r="AF58" i="33" a="1"/>
  <c r="AF58" i="33" s="1"/>
  <c r="U48" i="47"/>
  <c r="U95" i="44" a="1"/>
  <c r="U95" i="44" s="1"/>
  <c r="AU86" i="46" a="1"/>
  <c r="AU86" i="46" s="1"/>
  <c r="R77" i="45" a="1"/>
  <c r="R77" i="45" s="1"/>
  <c r="Z55" i="45" a="1"/>
  <c r="Z55" i="45" s="1"/>
  <c r="I22" i="44" a="1"/>
  <c r="I22" i="44" s="1"/>
  <c r="Z91" i="33" a="1"/>
  <c r="Z91" i="33" s="1"/>
  <c r="Z55" i="33" a="1"/>
  <c r="Z55" i="33" s="1"/>
  <c r="S30" i="43"/>
  <c r="M25" i="44" a="1"/>
  <c r="M25" i="44" s="1"/>
  <c r="X43" i="33" a="1"/>
  <c r="X43" i="33" s="1"/>
  <c r="X16" i="44" a="1"/>
  <c r="X16" i="44" s="1"/>
  <c r="C10" i="45" a="1"/>
  <c r="C10" i="45" s="1"/>
  <c r="C47" i="46" a="1"/>
  <c r="C47" i="46" s="1"/>
  <c r="AJ24" i="43"/>
  <c r="AE25" i="45" a="1"/>
  <c r="AE25" i="45" s="1"/>
  <c r="AC73" i="44" a="1"/>
  <c r="AC73" i="44" s="1"/>
  <c r="AS33" i="43"/>
  <c r="P15" i="46"/>
  <c r="AL59" i="33" a="1"/>
  <c r="AL59" i="33" s="1"/>
  <c r="T84" i="43"/>
  <c r="Z101" i="44" a="1"/>
  <c r="Z101" i="44" s="1"/>
  <c r="Y104" i="44" a="1"/>
  <c r="Y104" i="44" s="1"/>
  <c r="AF22" i="33" a="1"/>
  <c r="AF22" i="33" s="1"/>
  <c r="AQ66" i="43"/>
  <c r="AG41" i="45" a="1"/>
  <c r="AG41" i="45" s="1"/>
  <c r="AN52" i="33" a="1"/>
  <c r="AN52" i="33" s="1"/>
  <c r="AN51" i="33" s="1"/>
  <c r="R23" i="33" a="1"/>
  <c r="R23" i="33" s="1"/>
  <c r="L79" i="33" a="1"/>
  <c r="L79" i="33" s="1"/>
  <c r="AC69" i="47"/>
  <c r="AJ10" i="44" a="1"/>
  <c r="AJ10" i="44" s="1"/>
  <c r="F86" i="45" a="1"/>
  <c r="F86" i="45" s="1"/>
  <c r="S92" i="33" a="1"/>
  <c r="S92" i="33" s="1"/>
  <c r="V100" i="33" a="1"/>
  <c r="V100" i="33" s="1"/>
  <c r="AT51" i="47"/>
  <c r="AJ65" i="44" a="1"/>
  <c r="AJ65" i="44" s="1"/>
  <c r="AF74" i="33" a="1"/>
  <c r="AF74" i="33" s="1"/>
  <c r="AE73" i="33" a="1"/>
  <c r="AE73" i="33" s="1"/>
  <c r="M33" i="47"/>
  <c r="Q103" i="45" a="1"/>
  <c r="Q103" i="45" s="1"/>
  <c r="AF54" i="47"/>
  <c r="AN85" i="43" a="1"/>
  <c r="AN85" i="43" s="1"/>
  <c r="AR101" i="44" a="1"/>
  <c r="AR101" i="44" s="1"/>
  <c r="C95" i="43" a="1"/>
  <c r="C95" i="43" s="1"/>
  <c r="A94" i="43" s="1"/>
  <c r="H58" i="44" a="1"/>
  <c r="H58" i="44" s="1"/>
  <c r="H57" i="44" s="1"/>
  <c r="U63" i="41"/>
  <c r="AE62" i="45" a="1"/>
  <c r="AE62" i="45" s="1"/>
  <c r="AK22" i="45" a="1"/>
  <c r="AK22" i="45" s="1"/>
  <c r="M26" i="33" a="1"/>
  <c r="M26" i="33" s="1"/>
  <c r="AM33" i="43"/>
  <c r="AE103" i="33" a="1"/>
  <c r="AE103" i="33" s="1"/>
  <c r="AE102" i="33" s="1"/>
  <c r="O97" i="44" a="1"/>
  <c r="O97" i="44" s="1"/>
  <c r="O96" i="44" s="1"/>
  <c r="AQ54" i="41"/>
  <c r="E50" i="45" a="1"/>
  <c r="E50" i="45" s="1"/>
  <c r="I37" i="45" a="1"/>
  <c r="I37" i="45" s="1"/>
  <c r="AJ69" i="47"/>
  <c r="AG41" i="33" a="1"/>
  <c r="AG41" i="33" s="1"/>
  <c r="F103" i="33" a="1"/>
  <c r="F103" i="33" s="1"/>
  <c r="M76" i="33" a="1"/>
  <c r="M76" i="33" s="1"/>
  <c r="Y45" i="46"/>
  <c r="M65" i="33" a="1"/>
  <c r="M65" i="33" s="1"/>
  <c r="G49" i="44" a="1"/>
  <c r="G49" i="44" s="1"/>
  <c r="P31" i="33" a="1"/>
  <c r="P31" i="33" s="1"/>
  <c r="AN76" i="33" a="1"/>
  <c r="AN76" i="33" s="1"/>
  <c r="AB34" i="44" a="1"/>
  <c r="AB34" i="44" s="1"/>
  <c r="AC89" i="44" a="1"/>
  <c r="AC89" i="44" s="1"/>
  <c r="AN20" i="41" a="1"/>
  <c r="AN20" i="41" s="1"/>
  <c r="S82" i="45" a="1"/>
  <c r="S82" i="45" s="1"/>
  <c r="AR91" i="45" a="1"/>
  <c r="AR91" i="45" s="1"/>
  <c r="AH19" i="33" a="1"/>
  <c r="AH19" i="33" s="1"/>
  <c r="H103" i="45" a="1"/>
  <c r="H103" i="45" s="1"/>
  <c r="AR45" i="43"/>
  <c r="AN88" i="44" a="1"/>
  <c r="AN88" i="44" s="1"/>
  <c r="AN87" i="44" s="1"/>
  <c r="AF90" i="46"/>
  <c r="O75" i="43"/>
  <c r="AM15" i="46"/>
  <c r="A61" i="45"/>
  <c r="AQ60" i="33"/>
  <c r="AR27" i="46"/>
  <c r="AJ84" i="41"/>
  <c r="X24" i="44"/>
  <c r="J84" i="47"/>
  <c r="L51" i="47"/>
  <c r="T48" i="46"/>
  <c r="AQ36" i="41"/>
  <c r="M63" i="43"/>
  <c r="AD30" i="41"/>
  <c r="A16" i="33"/>
  <c r="AD57" i="47"/>
  <c r="AA75" i="46"/>
  <c r="C61" i="43" a="1"/>
  <c r="C61" i="43" s="1"/>
  <c r="L36" i="47"/>
  <c r="X37" i="33" a="1"/>
  <c r="X37" i="33" s="1"/>
  <c r="X36" i="33" s="1"/>
  <c r="S49" i="45" a="1"/>
  <c r="S49" i="45" s="1"/>
  <c r="AG101" i="45" a="1"/>
  <c r="AG101" i="45" s="1"/>
  <c r="O81" i="47"/>
  <c r="AV73" i="47" a="1"/>
  <c r="AV73" i="47" s="1"/>
  <c r="AV72" i="47" s="1"/>
  <c r="K93" i="41"/>
  <c r="AE35" i="45" a="1"/>
  <c r="AE35" i="45" s="1"/>
  <c r="AT57" i="46"/>
  <c r="AM85" i="45" a="1"/>
  <c r="AM85" i="45" s="1"/>
  <c r="I44" i="46" a="1"/>
  <c r="I44" i="46" s="1"/>
  <c r="V10" i="44" a="1"/>
  <c r="V10" i="44" s="1"/>
  <c r="AL72" i="43"/>
  <c r="AO71" i="44" a="1"/>
  <c r="AO71" i="44" s="1"/>
  <c r="X85" i="45" a="1"/>
  <c r="X85" i="45" s="1"/>
  <c r="C56" i="41" a="1"/>
  <c r="C56" i="41" s="1"/>
  <c r="AK80" i="33" a="1"/>
  <c r="AK80" i="33" s="1"/>
  <c r="AI66" i="46"/>
  <c r="AB101" i="33" a="1"/>
  <c r="AB101" i="33" s="1"/>
  <c r="I43" i="41" a="1"/>
  <c r="I43" i="41" s="1"/>
  <c r="AG101" i="44" a="1"/>
  <c r="AG101" i="44" s="1"/>
  <c r="L49" i="45" a="1"/>
  <c r="L49" i="45" s="1"/>
  <c r="AK36" i="43"/>
  <c r="S49" i="44" a="1"/>
  <c r="S49" i="44" s="1"/>
  <c r="G32" i="45" a="1"/>
  <c r="G32" i="45" s="1"/>
  <c r="J53" i="33" a="1"/>
  <c r="J53" i="33" s="1"/>
  <c r="AP90" i="47"/>
  <c r="AM54" i="46"/>
  <c r="AI56" i="44" a="1"/>
  <c r="AI56" i="44" s="1"/>
  <c r="AJ24" i="47"/>
  <c r="J52" i="44" a="1"/>
  <c r="J52" i="44" s="1"/>
  <c r="AK84" i="43"/>
  <c r="AK39" i="47"/>
  <c r="AN49" i="45" a="1"/>
  <c r="AN49" i="45" s="1"/>
  <c r="L57" i="46"/>
  <c r="V100" i="44" a="1"/>
  <c r="V100" i="44" s="1"/>
  <c r="AN62" i="41" a="1"/>
  <c r="AN62" i="41" s="1"/>
  <c r="L69" i="43"/>
  <c r="AB53" i="44" a="1"/>
  <c r="AB53" i="44" s="1"/>
  <c r="J97" i="44" a="1"/>
  <c r="J97" i="44" s="1"/>
  <c r="AP74" i="33" a="1"/>
  <c r="AP74" i="33" s="1"/>
  <c r="I70" i="43" a="1"/>
  <c r="I70" i="43" s="1"/>
  <c r="I69" i="43" s="1"/>
  <c r="AG65" i="44" a="1"/>
  <c r="AG65" i="44" s="1"/>
  <c r="U73" i="33" a="1"/>
  <c r="U73" i="33" s="1"/>
  <c r="AI70" i="45" a="1"/>
  <c r="AI70" i="45" s="1"/>
  <c r="AI69" i="45" s="1"/>
  <c r="V41" i="33" a="1"/>
  <c r="V41" i="33" s="1"/>
  <c r="AA47" i="44" a="1"/>
  <c r="AA47" i="44" s="1"/>
  <c r="S89" i="44" a="1"/>
  <c r="S89" i="44" s="1"/>
  <c r="M98" i="45" a="1"/>
  <c r="M98" i="45" s="1"/>
  <c r="R86" i="45" a="1"/>
  <c r="R86" i="45" s="1"/>
  <c r="L72" i="47"/>
  <c r="C26" i="43" a="1"/>
  <c r="C26" i="43" s="1"/>
  <c r="AA38" i="45" a="1"/>
  <c r="AA38" i="45" s="1"/>
  <c r="AO89" i="47" a="1"/>
  <c r="AO89" i="47" s="1"/>
  <c r="Q29" i="44" a="1"/>
  <c r="Q29" i="44" s="1"/>
  <c r="M9" i="41"/>
  <c r="X63" i="47"/>
  <c r="AM68" i="45" a="1"/>
  <c r="AM68" i="45" s="1"/>
  <c r="AO85" i="43" a="1"/>
  <c r="AO85" i="43" s="1"/>
  <c r="AN70" i="41" a="1"/>
  <c r="AN70" i="41" s="1"/>
  <c r="AG80" i="33" a="1"/>
  <c r="AG80" i="33" s="1"/>
  <c r="K47" i="45" a="1"/>
  <c r="K47" i="45" s="1"/>
  <c r="AK92" i="45" a="1"/>
  <c r="AK92" i="45" s="1"/>
  <c r="AH34" i="45" a="1"/>
  <c r="AH34" i="45" s="1"/>
  <c r="AM65" i="44" a="1"/>
  <c r="AM65" i="44" s="1"/>
  <c r="P99" i="47"/>
  <c r="M11" i="44" a="1"/>
  <c r="M11" i="44" s="1"/>
  <c r="AB87" i="47"/>
  <c r="AN74" i="46" a="1"/>
  <c r="AN74" i="46" s="1"/>
  <c r="AQ18" i="46"/>
  <c r="AN38" i="46" a="1"/>
  <c r="AN38" i="46" s="1"/>
  <c r="G103" i="45" a="1"/>
  <c r="G103" i="45" s="1"/>
  <c r="AJ57" i="46"/>
  <c r="E95" i="45" a="1"/>
  <c r="E95" i="45" s="1"/>
  <c r="AI34" i="33" a="1"/>
  <c r="AI34" i="33" s="1"/>
  <c r="H85" i="44" a="1"/>
  <c r="H85" i="44" s="1"/>
  <c r="V87" i="46"/>
  <c r="AA44" i="45" a="1"/>
  <c r="AA44" i="45" s="1"/>
  <c r="E20" i="44" a="1"/>
  <c r="E20" i="44" s="1"/>
  <c r="P17" i="33" a="1"/>
  <c r="P17" i="33" s="1"/>
  <c r="F55" i="33" a="1"/>
  <c r="F55" i="33" s="1"/>
  <c r="AJ22" i="44" a="1"/>
  <c r="AJ22" i="44" s="1"/>
  <c r="C85" i="45" a="1"/>
  <c r="C85" i="45" s="1"/>
  <c r="AE38" i="45" a="1"/>
  <c r="AE38" i="45" s="1"/>
  <c r="AN25" i="46" a="1"/>
  <c r="AN25" i="46" s="1"/>
  <c r="AN24" i="46" s="1"/>
  <c r="AP34" i="45" a="1"/>
  <c r="AP34" i="45" s="1"/>
  <c r="H98" i="33" a="1"/>
  <c r="H98" i="33" s="1"/>
  <c r="AO49" i="47" a="1"/>
  <c r="AO49" i="47" s="1"/>
  <c r="T95" i="45" a="1"/>
  <c r="T95" i="45" s="1"/>
  <c r="L22" i="44" a="1"/>
  <c r="L22" i="44" s="1"/>
  <c r="W26" i="33" a="1"/>
  <c r="W26" i="33" s="1"/>
  <c r="AF68" i="45" a="1"/>
  <c r="AF68" i="45" s="1"/>
  <c r="I94" i="47" a="1"/>
  <c r="I94" i="47" s="1"/>
  <c r="AR16" i="44" a="1"/>
  <c r="AR16" i="44" s="1"/>
  <c r="AB86" i="45" a="1"/>
  <c r="AB86" i="45" s="1"/>
  <c r="K24" i="41"/>
  <c r="AO89" i="41" a="1"/>
  <c r="AO89" i="41" s="1"/>
  <c r="AF18" i="41"/>
  <c r="L59" i="33" a="1"/>
  <c r="L59" i="33" s="1"/>
  <c r="AA43" i="33" a="1"/>
  <c r="AA43" i="33" s="1"/>
  <c r="AH46" i="44" a="1"/>
  <c r="AH46" i="44" s="1"/>
  <c r="V16" i="33" a="1"/>
  <c r="V16" i="33" s="1"/>
  <c r="L78" i="41"/>
  <c r="AA27" i="43"/>
  <c r="AL101" i="44" a="1"/>
  <c r="AL101" i="44" s="1"/>
  <c r="AO53" i="43" a="1"/>
  <c r="AO53" i="43" s="1"/>
  <c r="AM35" i="33" a="1"/>
  <c r="AM35" i="33" s="1"/>
  <c r="L97" i="44" a="1"/>
  <c r="L97" i="44" s="1"/>
  <c r="AE66" i="46"/>
  <c r="S53" i="44" a="1"/>
  <c r="S53" i="44" s="1"/>
  <c r="C86" i="46" a="1"/>
  <c r="C86" i="46" s="1"/>
  <c r="K26" i="44" a="1"/>
  <c r="K26" i="44" s="1"/>
  <c r="AA59" i="45" a="1"/>
  <c r="AA59" i="45" s="1"/>
  <c r="M31" i="33" a="1"/>
  <c r="M31" i="33" s="1"/>
  <c r="X67" i="33" a="1"/>
  <c r="X67" i="33" s="1"/>
  <c r="AG47" i="44" a="1"/>
  <c r="AG47" i="44" s="1"/>
  <c r="AN62" i="47" a="1"/>
  <c r="AN62" i="47" s="1"/>
  <c r="P86" i="33" a="1"/>
  <c r="P86" i="33" s="1"/>
  <c r="AB40" i="33" a="1"/>
  <c r="AB40" i="33" s="1"/>
  <c r="AB39" i="33" s="1"/>
  <c r="AJ59" i="45" a="1"/>
  <c r="AJ59" i="45" s="1"/>
  <c r="AB37" i="45" a="1"/>
  <c r="AB37" i="45" s="1"/>
  <c r="G83" i="45" a="1"/>
  <c r="G83" i="45" s="1"/>
  <c r="AJ84" i="47"/>
  <c r="AN43" i="43" a="1"/>
  <c r="AN43" i="43" s="1"/>
  <c r="R16" i="45" a="1"/>
  <c r="R16" i="45" s="1"/>
  <c r="AN56" i="43" a="1"/>
  <c r="AN56" i="43" s="1"/>
  <c r="N17" i="33" a="1"/>
  <c r="N17" i="33" s="1"/>
  <c r="AR98" i="33" a="1"/>
  <c r="AR98" i="33" s="1"/>
  <c r="AK62" i="44" a="1"/>
  <c r="AK62" i="44" s="1"/>
  <c r="I64" i="33" a="1"/>
  <c r="I64" i="33" s="1"/>
  <c r="AU44" i="43" a="1"/>
  <c r="AU44" i="43" s="1"/>
  <c r="V52" i="33" a="1"/>
  <c r="V52" i="33" s="1"/>
  <c r="AA28" i="44" a="1"/>
  <c r="AA28" i="44" s="1"/>
  <c r="AU88" i="47" a="1"/>
  <c r="AU88" i="47" s="1"/>
  <c r="J60" i="43"/>
  <c r="AJ97" i="33" a="1"/>
  <c r="AJ97" i="33" s="1"/>
  <c r="P34" i="33" a="1"/>
  <c r="P34" i="33" s="1"/>
  <c r="AV29" i="46" a="1"/>
  <c r="AV29" i="46" s="1"/>
  <c r="T70" i="45" a="1"/>
  <c r="T70" i="45" s="1"/>
  <c r="AP11" i="33" a="1"/>
  <c r="AP11" i="33" s="1"/>
  <c r="AD18" i="43"/>
  <c r="L29" i="33" a="1"/>
  <c r="L29" i="33" s="1"/>
  <c r="P45" i="41"/>
  <c r="AI79" i="45" a="1"/>
  <c r="AI79" i="45" s="1"/>
  <c r="AD16" i="33" a="1"/>
  <c r="AD16" i="33" s="1"/>
  <c r="Q36" i="46"/>
  <c r="AP85" i="45" a="1"/>
  <c r="AP85" i="45" s="1"/>
  <c r="E86" i="45" a="1"/>
  <c r="E86" i="45" s="1"/>
  <c r="AO56" i="33" a="1"/>
  <c r="AO56" i="33" s="1"/>
  <c r="AK23" i="45" a="1"/>
  <c r="AK23" i="45" s="1"/>
  <c r="R71" i="33" a="1"/>
  <c r="R71" i="33" s="1"/>
  <c r="P47" i="45" a="1"/>
  <c r="P47" i="45" s="1"/>
  <c r="P45" i="45" s="1"/>
  <c r="AR73" i="44" a="1"/>
  <c r="AR73" i="44" s="1"/>
  <c r="W55" i="33" a="1"/>
  <c r="W55" i="33" s="1"/>
  <c r="M53" i="45" a="1"/>
  <c r="M53" i="45" s="1"/>
  <c r="W86" i="44" a="1"/>
  <c r="W86" i="44" s="1"/>
  <c r="T62" i="33" a="1"/>
  <c r="T62" i="33" s="1"/>
  <c r="AF11" i="45" a="1"/>
  <c r="AF11" i="45" s="1"/>
  <c r="AN59" i="33" a="1"/>
  <c r="AN59" i="33" s="1"/>
  <c r="M36" i="43"/>
  <c r="AQ76" i="33" a="1"/>
  <c r="AQ76" i="33" s="1"/>
  <c r="E52" i="33" a="1"/>
  <c r="E52" i="33" s="1"/>
  <c r="AF50" i="44" a="1"/>
  <c r="AF50" i="44" s="1"/>
  <c r="G23" i="45" a="1"/>
  <c r="G23" i="45" s="1"/>
  <c r="Z26" i="33" a="1"/>
  <c r="Z26" i="33" s="1"/>
  <c r="AN80" i="43" a="1"/>
  <c r="AN80" i="43" s="1"/>
  <c r="AC46" i="44" a="1"/>
  <c r="AC46" i="44" s="1"/>
  <c r="AE88" i="44" a="1"/>
  <c r="AE88" i="44" s="1"/>
  <c r="AE87" i="44" s="1"/>
  <c r="AN37" i="45" a="1"/>
  <c r="AN37" i="45" s="1"/>
  <c r="C71" i="44" a="1"/>
  <c r="C71" i="44" s="1"/>
  <c r="Q78" i="46"/>
  <c r="AB20" i="45" a="1"/>
  <c r="AB20" i="45" s="1"/>
  <c r="Z24" i="47"/>
  <c r="AQ87" i="43"/>
  <c r="AL68" i="33" a="1"/>
  <c r="AL68" i="33" s="1"/>
  <c r="E46" i="44" a="1"/>
  <c r="E46" i="44" s="1"/>
  <c r="AL51" i="46"/>
  <c r="O41" i="44" a="1"/>
  <c r="O41" i="44" s="1"/>
  <c r="AF19" i="44" a="1"/>
  <c r="AF19" i="44" s="1"/>
  <c r="AF18" i="44" s="1"/>
  <c r="G73" i="33" a="1"/>
  <c r="G73" i="33" s="1"/>
  <c r="G72" i="33" s="1"/>
  <c r="AO88" i="33" a="1"/>
  <c r="AO88" i="33" s="1"/>
  <c r="V89" i="45" a="1"/>
  <c r="V89" i="45" s="1"/>
  <c r="AN22" i="45" a="1"/>
  <c r="AN22" i="45" s="1"/>
  <c r="W58" i="44" a="1"/>
  <c r="W58" i="44" s="1"/>
  <c r="AU73" i="47" a="1"/>
  <c r="AU73" i="47" s="1"/>
  <c r="Y88" i="44" a="1"/>
  <c r="Y88" i="44" s="1"/>
  <c r="Z60" i="46"/>
  <c r="Y54" i="46"/>
  <c r="AD46" i="45" a="1"/>
  <c r="AD46" i="45" s="1"/>
  <c r="AJ40" i="45" a="1"/>
  <c r="AJ40" i="45" s="1"/>
  <c r="W93" i="41"/>
  <c r="W85" i="33" a="1"/>
  <c r="W85" i="33" s="1"/>
  <c r="E55" i="44" a="1"/>
  <c r="E55" i="44" s="1"/>
  <c r="I55" i="46" a="1"/>
  <c r="I55" i="46" s="1"/>
  <c r="I54" i="46" s="1"/>
  <c r="R19" i="44" a="1"/>
  <c r="R19" i="44" s="1"/>
  <c r="K52" i="33" a="1"/>
  <c r="K52" i="33" s="1"/>
  <c r="X65" i="33" a="1"/>
  <c r="X65" i="33" s="1"/>
  <c r="N31" i="44" a="1"/>
  <c r="N31" i="44" s="1"/>
  <c r="AM64" i="45" a="1"/>
  <c r="AM64" i="45" s="1"/>
  <c r="AM63" i="45" s="1"/>
  <c r="AG104" i="44" a="1"/>
  <c r="AG104" i="44" s="1"/>
  <c r="AG102" i="44" s="1"/>
  <c r="AJ21" i="47"/>
  <c r="Z15" i="43"/>
  <c r="S52" i="44" a="1"/>
  <c r="S52" i="44" s="1"/>
  <c r="AR76" i="45" a="1"/>
  <c r="AR76" i="45" s="1"/>
  <c r="AR75" i="45" s="1"/>
  <c r="AO32" i="46" a="1"/>
  <c r="AO32" i="46" s="1"/>
  <c r="AU73" i="46" a="1"/>
  <c r="AU73" i="46" s="1"/>
  <c r="W37" i="33" a="1"/>
  <c r="W37" i="33" s="1"/>
  <c r="W36" i="33" s="1"/>
  <c r="J65" i="45" a="1"/>
  <c r="J65" i="45" s="1"/>
  <c r="AC92" i="33" a="1"/>
  <c r="AC92" i="33" s="1"/>
  <c r="AE74" i="44" a="1"/>
  <c r="AE74" i="44" s="1"/>
  <c r="Y22" i="44" a="1"/>
  <c r="Y22" i="44" s="1"/>
  <c r="AG21" i="47"/>
  <c r="Q34" i="45" a="1"/>
  <c r="Q34" i="45" s="1"/>
  <c r="AN25" i="47" a="1"/>
  <c r="AN25" i="47" s="1"/>
  <c r="AN24" i="47" s="1"/>
  <c r="R53" i="45" a="1"/>
  <c r="R53" i="45" s="1"/>
  <c r="AS72" i="41"/>
  <c r="U92" i="33" a="1"/>
  <c r="U92" i="33" s="1"/>
  <c r="AN70" i="43" a="1"/>
  <c r="AN70" i="43" s="1"/>
  <c r="AC85" i="45" a="1"/>
  <c r="AC85" i="45" s="1"/>
  <c r="AC84" i="45" s="1"/>
  <c r="P82" i="45" a="1"/>
  <c r="P82" i="45" s="1"/>
  <c r="Z83" i="45" a="1"/>
  <c r="Z83" i="45" s="1"/>
  <c r="AG86" i="44" a="1"/>
  <c r="AG86" i="44" s="1"/>
  <c r="Q91" i="44" a="1"/>
  <c r="Q91" i="44" s="1"/>
  <c r="Q90" i="44" s="1"/>
  <c r="AB56" i="44" a="1"/>
  <c r="AB56" i="44" s="1"/>
  <c r="J90" i="47"/>
  <c r="AF81" i="47"/>
  <c r="AP101" i="45" a="1"/>
  <c r="AP101" i="45" s="1"/>
  <c r="X48" i="43"/>
  <c r="H56" i="45" a="1"/>
  <c r="H56" i="45" s="1"/>
  <c r="O68" i="45" a="1"/>
  <c r="O68" i="45" s="1"/>
  <c r="AK104" i="45" a="1"/>
  <c r="AK104" i="45" s="1"/>
  <c r="I49" i="47" a="1"/>
  <c r="I49" i="47" s="1"/>
  <c r="I48" i="47" s="1"/>
  <c r="AB17" i="44" a="1"/>
  <c r="AB17" i="44" s="1"/>
  <c r="R86" i="33" a="1"/>
  <c r="R86" i="33" s="1"/>
  <c r="S103" i="45" a="1"/>
  <c r="S103" i="45" s="1"/>
  <c r="AM50" i="44" a="1"/>
  <c r="AM50" i="44" s="1"/>
  <c r="C32" i="47" a="1"/>
  <c r="C32" i="47" s="1"/>
  <c r="R49" i="33" a="1"/>
  <c r="R49" i="33" s="1"/>
  <c r="W31" i="44" a="1"/>
  <c r="W31" i="44" s="1"/>
  <c r="AM69" i="47"/>
  <c r="X41" i="45" a="1"/>
  <c r="X41" i="45" s="1"/>
  <c r="O38" i="45" a="1"/>
  <c r="O38" i="45" s="1"/>
  <c r="R49" i="44" a="1"/>
  <c r="R49" i="44" s="1"/>
  <c r="AN98" i="44" a="1"/>
  <c r="AN98" i="44" s="1"/>
  <c r="W67" i="45" a="1"/>
  <c r="W67" i="45" s="1"/>
  <c r="AC19" i="45" a="1"/>
  <c r="AC19" i="45" s="1"/>
  <c r="AN100" i="33" a="1"/>
  <c r="AN100" i="33" s="1"/>
  <c r="AN99" i="33" s="1"/>
  <c r="AR45" i="41"/>
  <c r="AC20" i="45" a="1"/>
  <c r="AC20" i="45" s="1"/>
  <c r="S84" i="41"/>
  <c r="AN65" i="47" a="1"/>
  <c r="AN65" i="47" s="1"/>
  <c r="U67" i="44" a="1"/>
  <c r="U67" i="44" s="1"/>
  <c r="E86" i="33" a="1"/>
  <c r="E86" i="33" s="1"/>
  <c r="AJ101" i="45" a="1"/>
  <c r="AJ101" i="45" s="1"/>
  <c r="AB98" i="44" a="1"/>
  <c r="AB98" i="44" s="1"/>
  <c r="W27" i="41"/>
  <c r="Z71" i="45" a="1"/>
  <c r="Z71" i="45" s="1"/>
  <c r="S94" i="44" a="1"/>
  <c r="S94" i="44" s="1"/>
  <c r="AR59" i="33" a="1"/>
  <c r="AR59" i="33" s="1"/>
  <c r="AR57" i="33" s="1"/>
  <c r="AU10" i="46" a="1"/>
  <c r="AU10" i="46" s="1"/>
  <c r="AM42" i="46"/>
  <c r="AG56" i="45" a="1"/>
  <c r="AG56" i="45" s="1"/>
  <c r="AK73" i="33" a="1"/>
  <c r="AK73" i="33" s="1"/>
  <c r="AL20" i="45" a="1"/>
  <c r="AL20" i="45" s="1"/>
  <c r="AN26" i="33" a="1"/>
  <c r="AN26" i="33" s="1"/>
  <c r="AJ84" i="43"/>
  <c r="AM25" i="45" a="1"/>
  <c r="AM25" i="45" s="1"/>
  <c r="AR22" i="44" a="1"/>
  <c r="AR22" i="44" s="1"/>
  <c r="AR21" i="44" s="1"/>
  <c r="S44" i="33" a="1"/>
  <c r="S44" i="33" s="1"/>
  <c r="AQ104" i="45" a="1"/>
  <c r="AQ104" i="45" s="1"/>
  <c r="AQ102" i="45" s="1"/>
  <c r="AV53" i="41" a="1"/>
  <c r="AV53" i="41" s="1"/>
  <c r="C94" i="33" a="1"/>
  <c r="C94" i="33" s="1"/>
  <c r="A94" i="33" s="1"/>
  <c r="AP23" i="44" a="1"/>
  <c r="AP23" i="44" s="1"/>
  <c r="I94" i="44" a="1"/>
  <c r="I94" i="44" s="1"/>
  <c r="AO20" i="43" a="1"/>
  <c r="AO20" i="43" s="1"/>
  <c r="AO88" i="47" a="1"/>
  <c r="AO88" i="47" s="1"/>
  <c r="H11" i="33" a="1"/>
  <c r="H11" i="33" s="1"/>
  <c r="AR50" i="45" a="1"/>
  <c r="AR50" i="45" s="1"/>
  <c r="X103" i="45" a="1"/>
  <c r="X103" i="45" s="1"/>
  <c r="I97" i="46" a="1"/>
  <c r="I97" i="46" s="1"/>
  <c r="F50" i="33" a="1"/>
  <c r="F50" i="33" s="1"/>
  <c r="AR36" i="43"/>
  <c r="AJ85" i="45" a="1"/>
  <c r="AJ85" i="45" s="1"/>
  <c r="N96" i="43"/>
  <c r="H50" i="44" a="1"/>
  <c r="H50" i="44" s="1"/>
  <c r="F70" i="33" a="1"/>
  <c r="F70" i="33" s="1"/>
  <c r="AQ44" i="33" a="1"/>
  <c r="AQ44" i="33" s="1"/>
  <c r="AV83" i="47" a="1"/>
  <c r="AV83" i="47" s="1"/>
  <c r="N49" i="45" a="1"/>
  <c r="N49" i="45" s="1"/>
  <c r="AF72" i="46"/>
  <c r="AM103" i="44" a="1"/>
  <c r="AM103" i="44" s="1"/>
  <c r="AM102" i="44" s="1"/>
  <c r="F86" i="44" a="1"/>
  <c r="F86" i="44" s="1"/>
  <c r="E62" i="45" a="1"/>
  <c r="E62" i="45" s="1"/>
  <c r="AC44" i="45" a="1"/>
  <c r="AC44" i="45" s="1"/>
  <c r="L66" i="47"/>
  <c r="AC28" i="45" a="1"/>
  <c r="AC28" i="45" s="1"/>
  <c r="Y71" i="44" a="1"/>
  <c r="Y71" i="44" s="1"/>
  <c r="K27" i="41"/>
  <c r="I83" i="44" a="1"/>
  <c r="I83" i="44" s="1"/>
  <c r="I81" i="44" s="1"/>
  <c r="AG87" i="43"/>
  <c r="AD102" i="41"/>
  <c r="I71" i="45" a="1"/>
  <c r="I71" i="45" s="1"/>
  <c r="T25" i="33" a="1"/>
  <c r="T25" i="33" s="1"/>
  <c r="T24" i="33" s="1"/>
  <c r="F28" i="33" a="1"/>
  <c r="F28" i="33" s="1"/>
  <c r="AO97" i="46" a="1"/>
  <c r="AO97" i="46" s="1"/>
  <c r="AO96" i="46" s="1"/>
  <c r="AL88" i="33" a="1"/>
  <c r="AL88" i="33" s="1"/>
  <c r="AI60" i="46"/>
  <c r="AO49" i="46" a="1"/>
  <c r="AO49" i="46" s="1"/>
  <c r="AO48" i="46" s="1"/>
  <c r="AK32" i="45" a="1"/>
  <c r="AK32" i="45" s="1"/>
  <c r="AO77" i="43" a="1"/>
  <c r="AO77" i="43" s="1"/>
  <c r="AV56" i="46" a="1"/>
  <c r="AV56" i="46" s="1"/>
  <c r="AH85" i="45" a="1"/>
  <c r="AH85" i="45" s="1"/>
  <c r="I29" i="46" a="1"/>
  <c r="I29" i="46" s="1"/>
  <c r="AD62" i="44" a="1"/>
  <c r="AD62" i="44" s="1"/>
  <c r="Y20" i="44" a="1"/>
  <c r="Y20" i="44" s="1"/>
  <c r="AA39" i="43"/>
  <c r="E37" i="44" a="1"/>
  <c r="E37" i="44" s="1"/>
  <c r="AI44" i="45" a="1"/>
  <c r="AI44" i="45" s="1"/>
  <c r="Q64" i="33" a="1"/>
  <c r="Q64" i="33" s="1"/>
  <c r="AI44" i="33" a="1"/>
  <c r="AI44" i="33" s="1"/>
  <c r="AC95" i="45" a="1"/>
  <c r="AC95" i="45" s="1"/>
  <c r="AI77" i="44" a="1"/>
  <c r="AI77" i="44" s="1"/>
  <c r="AN104" i="47" a="1"/>
  <c r="AN104" i="47" s="1"/>
  <c r="W83" i="44" a="1"/>
  <c r="W83" i="44" s="1"/>
  <c r="AJ77" i="33" a="1"/>
  <c r="AJ77" i="33" s="1"/>
  <c r="AK96" i="43"/>
  <c r="AK29" i="45" a="1"/>
  <c r="AK29" i="45" s="1"/>
  <c r="AD62" i="33" a="1"/>
  <c r="AD62" i="33" s="1"/>
  <c r="O74" i="33" a="1"/>
  <c r="O74" i="33" s="1"/>
  <c r="AP103" i="44" a="1"/>
  <c r="AP103" i="44" s="1"/>
  <c r="H22" i="45" a="1"/>
  <c r="H22" i="45" s="1"/>
  <c r="AN88" i="45" a="1"/>
  <c r="AN88" i="45" s="1"/>
  <c r="H67" i="33" a="1"/>
  <c r="H67" i="33" s="1"/>
  <c r="AI24" i="43"/>
  <c r="N37" i="45" a="1"/>
  <c r="N37" i="45" s="1"/>
  <c r="AP102" i="47"/>
  <c r="AQ31" i="33" a="1"/>
  <c r="AQ31" i="33" s="1"/>
  <c r="X38" i="45" a="1"/>
  <c r="X38" i="45" s="1"/>
  <c r="AQ94" i="44" a="1"/>
  <c r="AQ94" i="44" s="1"/>
  <c r="W65" i="45" a="1"/>
  <c r="W65" i="45" s="1"/>
  <c r="Q35" i="33" a="1"/>
  <c r="Q35" i="33" s="1"/>
  <c r="AS45" i="46"/>
  <c r="AQ68" i="33" a="1"/>
  <c r="AQ68" i="33" s="1"/>
  <c r="M95" i="33" a="1"/>
  <c r="M95" i="33" s="1"/>
  <c r="AR36" i="46"/>
  <c r="K68" i="44" a="1"/>
  <c r="K68" i="44" s="1"/>
  <c r="AL87" i="43"/>
  <c r="T84" i="47"/>
  <c r="AI27" i="43"/>
  <c r="M76" i="45" a="1"/>
  <c r="M76" i="45" s="1"/>
  <c r="X40" i="44" a="1"/>
  <c r="X40" i="44" s="1"/>
  <c r="AN67" i="33" a="1"/>
  <c r="AN67" i="33" s="1"/>
  <c r="AV67" i="41" a="1"/>
  <c r="AV67" i="41" s="1"/>
  <c r="AV66" i="41" s="1"/>
  <c r="I11" i="45" a="1"/>
  <c r="I11" i="45" s="1"/>
  <c r="AV43" i="41" a="1"/>
  <c r="AV43" i="41" s="1"/>
  <c r="AP67" i="45" a="1"/>
  <c r="AP67" i="45" s="1"/>
  <c r="AP66" i="45" s="1"/>
  <c r="AU59" i="43" a="1"/>
  <c r="AU59" i="43" s="1"/>
  <c r="AP28" i="44" a="1"/>
  <c r="AP28" i="44" s="1"/>
  <c r="AP27" i="44" s="1"/>
  <c r="U60" i="41"/>
  <c r="C32" i="46" a="1"/>
  <c r="C32" i="46" s="1"/>
  <c r="C20" i="46" a="1"/>
  <c r="C20" i="46" s="1"/>
  <c r="H56" i="33" a="1"/>
  <c r="H56" i="33" s="1"/>
  <c r="X44" i="44" a="1"/>
  <c r="X44" i="44" s="1"/>
  <c r="AU79" i="47" a="1"/>
  <c r="AU79" i="47" s="1"/>
  <c r="AN59" i="44" a="1"/>
  <c r="AN59" i="44" s="1"/>
  <c r="AO28" i="47" a="1"/>
  <c r="AO28" i="47" s="1"/>
  <c r="AN40" i="44" a="1"/>
  <c r="AN40" i="44" s="1"/>
  <c r="AN39" i="44" s="1"/>
  <c r="C83" i="47" a="1"/>
  <c r="C83" i="47" s="1"/>
  <c r="AK10" i="45" a="1"/>
  <c r="AK10" i="45" s="1"/>
  <c r="U55" i="33" a="1"/>
  <c r="U55" i="33" s="1"/>
  <c r="U54" i="33" s="1"/>
  <c r="I62" i="33" a="1"/>
  <c r="I62" i="33" s="1"/>
  <c r="AL43" i="44" a="1"/>
  <c r="AL43" i="44" s="1"/>
  <c r="AV47" i="46" a="1"/>
  <c r="AV47" i="46" s="1"/>
  <c r="AL46" i="45" a="1"/>
  <c r="AL46" i="45" s="1"/>
  <c r="AO29" i="45" a="1"/>
  <c r="AO29" i="45" s="1"/>
  <c r="AO104" i="46" a="1"/>
  <c r="AO104" i="46" s="1"/>
  <c r="E71" i="45" a="1"/>
  <c r="E71" i="45" s="1"/>
  <c r="AP89" i="44" a="1"/>
  <c r="AP89" i="44" s="1"/>
  <c r="L26" i="44" a="1"/>
  <c r="L26" i="44" s="1"/>
  <c r="AG104" i="45" a="1"/>
  <c r="AG104" i="45" s="1"/>
  <c r="AD23" i="45" a="1"/>
  <c r="AD23" i="45" s="1"/>
  <c r="AU46" i="43" a="1"/>
  <c r="AU46" i="43" s="1"/>
  <c r="AP73" i="33" a="1"/>
  <c r="AP73" i="33" s="1"/>
  <c r="AV77" i="43" a="1"/>
  <c r="AV77" i="43" s="1"/>
  <c r="AN40" i="46" a="1"/>
  <c r="AN40" i="46" s="1"/>
  <c r="AV86" i="46" a="1"/>
  <c r="AV86" i="46" s="1"/>
  <c r="P101" i="44" a="1"/>
  <c r="P101" i="44" s="1"/>
  <c r="R48" i="41"/>
  <c r="K68" i="45" a="1"/>
  <c r="K68" i="45" s="1"/>
  <c r="AQ21" i="43"/>
  <c r="J90" i="41"/>
  <c r="AK55" i="44" a="1"/>
  <c r="AK55" i="44" s="1"/>
  <c r="AK54" i="44" s="1"/>
  <c r="AC85" i="44" a="1"/>
  <c r="AC85" i="44" s="1"/>
  <c r="AJ59" i="33" a="1"/>
  <c r="AJ59" i="33" s="1"/>
  <c r="Q38" i="45" a="1"/>
  <c r="Q38" i="45" s="1"/>
  <c r="N18" i="47"/>
  <c r="AN22" i="44" a="1"/>
  <c r="AN22" i="44" s="1"/>
  <c r="AN21" i="44" s="1"/>
  <c r="AU19" i="43" a="1"/>
  <c r="AU19" i="43" s="1"/>
  <c r="AN11" i="44" a="1"/>
  <c r="AN11" i="44" s="1"/>
  <c r="E61" i="44" a="1"/>
  <c r="E61" i="44" s="1"/>
  <c r="E60" i="44" s="1"/>
  <c r="I103" i="46" a="1"/>
  <c r="I103" i="46" s="1"/>
  <c r="I102" i="46" s="1"/>
  <c r="R16" i="33" a="1"/>
  <c r="R16" i="33" s="1"/>
  <c r="AA55" i="33" a="1"/>
  <c r="AA55" i="33" s="1"/>
  <c r="Q58" i="45" a="1"/>
  <c r="Q58" i="45" s="1"/>
  <c r="X50" i="33" a="1"/>
  <c r="X50" i="33" s="1"/>
  <c r="V61" i="33" a="1"/>
  <c r="V61" i="33" s="1"/>
  <c r="S31" i="44" a="1"/>
  <c r="S31" i="44" s="1"/>
  <c r="AV64" i="43" a="1"/>
  <c r="AV64" i="43" s="1"/>
  <c r="T44" i="33" a="1"/>
  <c r="T44" i="33" s="1"/>
  <c r="F85" i="45" a="1"/>
  <c r="F85" i="45" s="1"/>
  <c r="AO83" i="47" a="1"/>
  <c r="AO83" i="47" s="1"/>
  <c r="X21" i="43"/>
  <c r="G55" i="45" a="1"/>
  <c r="G55" i="45" s="1"/>
  <c r="AH68" i="44" a="1"/>
  <c r="AH68" i="44" s="1"/>
  <c r="AI54" i="47"/>
  <c r="H79" i="33" a="1"/>
  <c r="H79" i="33" s="1"/>
  <c r="H78" i="33" s="1"/>
  <c r="AP47" i="45" a="1"/>
  <c r="AP47" i="45" s="1"/>
  <c r="K80" i="33" a="1"/>
  <c r="K80" i="33" s="1"/>
  <c r="E70" i="44" a="1"/>
  <c r="E70" i="44" s="1"/>
  <c r="H55" i="44" a="1"/>
  <c r="H55" i="44" s="1"/>
  <c r="AL95" i="33" a="1"/>
  <c r="AL95" i="33" s="1"/>
  <c r="AC104" i="45" a="1"/>
  <c r="AC104" i="45" s="1"/>
  <c r="AQ16" i="45" a="1"/>
  <c r="AQ16" i="45" s="1"/>
  <c r="AC87" i="47"/>
  <c r="C32" i="43" a="1"/>
  <c r="C32" i="43" s="1"/>
  <c r="G88" i="44" a="1"/>
  <c r="G88" i="44" s="1"/>
  <c r="G87" i="44" s="1"/>
  <c r="O31" i="33" a="1"/>
  <c r="O31" i="33" s="1"/>
  <c r="Q71" i="44" a="1"/>
  <c r="Q71" i="44" s="1"/>
  <c r="AA19" i="45" a="1"/>
  <c r="AA19" i="45" s="1"/>
  <c r="AA18" i="45" s="1"/>
  <c r="R95" i="45" a="1"/>
  <c r="R95" i="45" s="1"/>
  <c r="AK67" i="45" a="1"/>
  <c r="AK67" i="45" s="1"/>
  <c r="Y99" i="43"/>
  <c r="T56" i="33" a="1"/>
  <c r="T56" i="33" s="1"/>
  <c r="AS21" i="47"/>
  <c r="AF74" i="44" a="1"/>
  <c r="AF74" i="44" s="1"/>
  <c r="AP99" i="41"/>
  <c r="AN28" i="45" a="1"/>
  <c r="AN28" i="45" s="1"/>
  <c r="P42" i="43"/>
  <c r="AF17" i="44" a="1"/>
  <c r="AF17" i="44" s="1"/>
  <c r="AU71" i="41" a="1"/>
  <c r="AU71" i="41" s="1"/>
  <c r="Q71" i="33" a="1"/>
  <c r="Q71" i="33" s="1"/>
  <c r="AC102" i="46"/>
  <c r="L26" i="33" a="1"/>
  <c r="L26" i="33" s="1"/>
  <c r="L95" i="45" a="1"/>
  <c r="L95" i="45" s="1"/>
  <c r="E11" i="45" a="1"/>
  <c r="E11" i="45" s="1"/>
  <c r="AO91" i="44" a="1"/>
  <c r="AO91" i="44" s="1"/>
  <c r="AO90" i="44" s="1"/>
  <c r="G76" i="33" a="1"/>
  <c r="G76" i="33" s="1"/>
  <c r="L48" i="43"/>
  <c r="R65" i="33" a="1"/>
  <c r="R65" i="33" s="1"/>
  <c r="AA61" i="45" a="1"/>
  <c r="AA61" i="45" s="1"/>
  <c r="Q75" i="47"/>
  <c r="AC57" i="41"/>
  <c r="Z100" i="45" a="1"/>
  <c r="Z100" i="45" s="1"/>
  <c r="AU65" i="41" a="1"/>
  <c r="AU65" i="41" s="1"/>
  <c r="AU63" i="41" s="1"/>
  <c r="Y37" i="33" a="1"/>
  <c r="Y37" i="33" s="1"/>
  <c r="AP16" i="33" a="1"/>
  <c r="AP16" i="33" s="1"/>
  <c r="G11" i="33" a="1"/>
  <c r="G11" i="33" s="1"/>
  <c r="AH101" i="33" a="1"/>
  <c r="AH101" i="33" s="1"/>
  <c r="AV10" i="41" a="1"/>
  <c r="AV10" i="41" s="1"/>
  <c r="Z33" i="47"/>
  <c r="Y71" i="33" a="1"/>
  <c r="Y71" i="33" s="1"/>
  <c r="M82" i="44" a="1"/>
  <c r="M82" i="44" s="1"/>
  <c r="T82" i="33" a="1"/>
  <c r="T82" i="33" s="1"/>
  <c r="AF53" i="44" a="1"/>
  <c r="AF53" i="44" s="1"/>
  <c r="AJ79" i="44" a="1"/>
  <c r="AJ79" i="44" s="1"/>
  <c r="Q43" i="33" a="1"/>
  <c r="Q43" i="33" s="1"/>
  <c r="L86" i="33" a="1"/>
  <c r="L86" i="33" s="1"/>
  <c r="L84" i="33" s="1"/>
  <c r="AR55" i="33" a="1"/>
  <c r="AR55" i="33" s="1"/>
  <c r="AR54" i="33" s="1"/>
  <c r="P32" i="44" a="1"/>
  <c r="P32" i="44" s="1"/>
  <c r="AU89" i="47" a="1"/>
  <c r="AU89" i="47" s="1"/>
  <c r="AI52" i="33" a="1"/>
  <c r="AI52" i="33" s="1"/>
  <c r="V46" i="45" a="1"/>
  <c r="V46" i="45" s="1"/>
  <c r="V45" i="45" s="1"/>
  <c r="C19" i="45" a="1"/>
  <c r="C19" i="45" s="1"/>
  <c r="A19" i="45" s="1"/>
  <c r="AB25" i="44" a="1"/>
  <c r="AB25" i="44" s="1"/>
  <c r="Z38" i="44" a="1"/>
  <c r="Z38" i="44" s="1"/>
  <c r="AK48" i="46"/>
  <c r="S18" i="41"/>
  <c r="AV46" i="47" a="1"/>
  <c r="AV46" i="47" s="1"/>
  <c r="AK58" i="45" a="1"/>
  <c r="AK58" i="45" s="1"/>
  <c r="Q49" i="44" a="1"/>
  <c r="Q49" i="44" s="1"/>
  <c r="AF37" i="44" a="1"/>
  <c r="AF37" i="44" s="1"/>
  <c r="AP104" i="44" a="1"/>
  <c r="AP104" i="44" s="1"/>
  <c r="AA70" i="33" a="1"/>
  <c r="AA70" i="33" s="1"/>
  <c r="AA69" i="33" s="1"/>
  <c r="I56" i="33" a="1"/>
  <c r="I56" i="33" s="1"/>
  <c r="AR90" i="46"/>
  <c r="J93" i="41"/>
  <c r="AL101" i="33" a="1"/>
  <c r="AL101" i="33" s="1"/>
  <c r="AH47" i="33" a="1"/>
  <c r="AH47" i="33" s="1"/>
  <c r="P29" i="33" a="1"/>
  <c r="P29" i="33" s="1"/>
  <c r="Y33" i="41"/>
  <c r="W91" i="44" a="1"/>
  <c r="W91" i="44" s="1"/>
  <c r="Z86" i="33" a="1"/>
  <c r="Z86" i="33" s="1"/>
  <c r="I40" i="41" a="1"/>
  <c r="I40" i="41" s="1"/>
  <c r="J103" i="33" a="1"/>
  <c r="J103" i="33" s="1"/>
  <c r="AP52" i="45" a="1"/>
  <c r="AP52" i="45" s="1"/>
  <c r="AP51" i="45" s="1"/>
  <c r="AI37" i="44" a="1"/>
  <c r="AI37" i="44" s="1"/>
  <c r="AI36" i="44" s="1"/>
  <c r="AP94" i="44" a="1"/>
  <c r="AP94" i="44" s="1"/>
  <c r="AP93" i="44" s="1"/>
  <c r="AS57" i="47"/>
  <c r="AC10" i="44" a="1"/>
  <c r="AC10" i="44" s="1"/>
  <c r="J87" i="41"/>
  <c r="AP88" i="33" a="1"/>
  <c r="AP88" i="33" s="1"/>
  <c r="X87" i="46"/>
  <c r="AB91" i="45" a="1"/>
  <c r="AB91" i="45" s="1"/>
  <c r="AB90" i="45" s="1"/>
  <c r="M27" i="43"/>
  <c r="U76" i="44" a="1"/>
  <c r="U76" i="44" s="1"/>
  <c r="AA46" i="44" a="1"/>
  <c r="AA46" i="44" s="1"/>
  <c r="AR35" i="33" a="1"/>
  <c r="AR35" i="33" s="1"/>
  <c r="N103" i="44" a="1"/>
  <c r="N103" i="44" s="1"/>
  <c r="AL52" i="33" a="1"/>
  <c r="AL52" i="33" s="1"/>
  <c r="AL51" i="33" s="1"/>
  <c r="C62" i="43" a="1"/>
  <c r="C62" i="43" s="1"/>
  <c r="V26" i="33" a="1"/>
  <c r="V26" i="33" s="1"/>
  <c r="J38" i="44" a="1"/>
  <c r="J38" i="44" s="1"/>
  <c r="AO59" i="33" a="1"/>
  <c r="AO59" i="33" s="1"/>
  <c r="AD37" i="45" a="1"/>
  <c r="AD37" i="45" s="1"/>
  <c r="N42" i="43"/>
  <c r="W99" i="46"/>
  <c r="AH31" i="44" a="1"/>
  <c r="AH31" i="44" s="1"/>
  <c r="R68" i="45" a="1"/>
  <c r="R68" i="45" s="1"/>
  <c r="H104" i="45" a="1"/>
  <c r="H104" i="45" s="1"/>
  <c r="AE33" i="43"/>
  <c r="AQ41" i="44" a="1"/>
  <c r="AQ41" i="44" s="1"/>
  <c r="M10" i="44" a="1"/>
  <c r="M10" i="44" s="1"/>
  <c r="AS54" i="46"/>
  <c r="AT42" i="47"/>
  <c r="AR85" i="33" a="1"/>
  <c r="AR85" i="33" s="1"/>
  <c r="AN97" i="46" a="1"/>
  <c r="AN97" i="46" s="1"/>
  <c r="M55" i="33" a="1"/>
  <c r="M55" i="33" s="1"/>
  <c r="I11" i="46" a="1"/>
  <c r="I11" i="46" s="1"/>
  <c r="W86" i="45" a="1"/>
  <c r="W86" i="45" s="1"/>
  <c r="AM38" i="33" a="1"/>
  <c r="AM38" i="33" s="1"/>
  <c r="C55" i="44" a="1"/>
  <c r="C55" i="44" s="1"/>
  <c r="A55" i="44" s="1"/>
  <c r="AU79" i="46" a="1"/>
  <c r="AU79" i="46" s="1"/>
  <c r="AU31" i="41" a="1"/>
  <c r="AU31" i="41" s="1"/>
  <c r="C94" i="42" a="1"/>
  <c r="C94" i="42" s="1"/>
  <c r="N19" i="33" a="1"/>
  <c r="N19" i="33" s="1"/>
  <c r="V74" i="44" a="1"/>
  <c r="V74" i="44" s="1"/>
  <c r="W28" i="45" a="1"/>
  <c r="W28" i="45" s="1"/>
  <c r="AL25" i="45" a="1"/>
  <c r="AL25" i="45" s="1"/>
  <c r="K62" i="45" a="1"/>
  <c r="K62" i="45" s="1"/>
  <c r="AL73" i="45" a="1"/>
  <c r="AL73" i="45" s="1"/>
  <c r="AH62" i="45" a="1"/>
  <c r="AH62" i="45" s="1"/>
  <c r="AN17" i="45" a="1"/>
  <c r="AN17" i="45" s="1"/>
  <c r="G29" i="44" a="1"/>
  <c r="G29" i="44" s="1"/>
  <c r="S81" i="47"/>
  <c r="I100" i="47" a="1"/>
  <c r="I100" i="47" s="1"/>
  <c r="I99" i="47" s="1"/>
  <c r="AT66" i="41"/>
  <c r="AB44" i="44" a="1"/>
  <c r="AB44" i="44" s="1"/>
  <c r="T82" i="45" a="1"/>
  <c r="T82" i="45" s="1"/>
  <c r="AC37" i="44" a="1"/>
  <c r="AC37" i="44" s="1"/>
  <c r="AJ88" i="33" a="1"/>
  <c r="AJ88" i="33" s="1"/>
  <c r="S65" i="33" a="1"/>
  <c r="S65" i="33" s="1"/>
  <c r="K29" i="33" a="1"/>
  <c r="K29" i="33" s="1"/>
  <c r="AN16" i="47" a="1"/>
  <c r="AN16" i="47" s="1"/>
  <c r="AC40" i="45" a="1"/>
  <c r="AC40" i="45" s="1"/>
  <c r="P85" i="44" a="1"/>
  <c r="P85" i="44" s="1"/>
  <c r="P84" i="44" s="1"/>
  <c r="N66" i="43"/>
  <c r="P72" i="41"/>
  <c r="AV95" i="43" a="1"/>
  <c r="AV95" i="43" s="1"/>
  <c r="AV93" i="43" s="1"/>
  <c r="AE37" i="44" a="1"/>
  <c r="AE37" i="44" s="1"/>
  <c r="F97" i="33" a="1"/>
  <c r="F97" i="33" s="1"/>
  <c r="F96" i="33" s="1"/>
  <c r="AQ40" i="45" a="1"/>
  <c r="AQ40" i="45" s="1"/>
  <c r="I55" i="43" a="1"/>
  <c r="I55" i="43" s="1"/>
  <c r="N54" i="46"/>
  <c r="AJ10" i="33" a="1"/>
  <c r="AJ10" i="33" s="1"/>
  <c r="AL56" i="45" a="1"/>
  <c r="AL56" i="45" s="1"/>
  <c r="I47" i="47" a="1"/>
  <c r="I47" i="47" s="1"/>
  <c r="AD17" i="33" a="1"/>
  <c r="AD17" i="33" s="1"/>
  <c r="AD53" i="45" a="1"/>
  <c r="AD53" i="45" s="1"/>
  <c r="N103" i="33" a="1"/>
  <c r="N103" i="33" s="1"/>
  <c r="C101" i="43" a="1"/>
  <c r="C101" i="43" s="1"/>
  <c r="K30" i="46"/>
  <c r="R48" i="46"/>
  <c r="R64" i="44" a="1"/>
  <c r="R64" i="44" s="1"/>
  <c r="AC34" i="45" a="1"/>
  <c r="AC34" i="45" s="1"/>
  <c r="M20" i="45" a="1"/>
  <c r="M20" i="45" s="1"/>
  <c r="AB48" i="47"/>
  <c r="AD72" i="46"/>
  <c r="AD101" i="33" a="1"/>
  <c r="AD101" i="33" s="1"/>
  <c r="AD99" i="33" s="1"/>
  <c r="AG43" i="45" a="1"/>
  <c r="AG43" i="45" s="1"/>
  <c r="Y68" i="45" a="1"/>
  <c r="Y68" i="45" s="1"/>
  <c r="AH95" i="45" a="1"/>
  <c r="AH95" i="45" s="1"/>
  <c r="U64" i="44" a="1"/>
  <c r="U64" i="44" s="1"/>
  <c r="AK70" i="45" a="1"/>
  <c r="AK70" i="45" s="1"/>
  <c r="AG52" i="44" a="1"/>
  <c r="AG52" i="44" s="1"/>
  <c r="AD59" i="44" a="1"/>
  <c r="AD59" i="44" s="1"/>
  <c r="AD75" i="41"/>
  <c r="V81" i="46"/>
  <c r="AU29" i="47" a="1"/>
  <c r="AU29" i="47" s="1"/>
  <c r="AL66" i="46"/>
  <c r="AA22" i="44" a="1"/>
  <c r="AA22" i="44" s="1"/>
  <c r="C101" i="45" a="1"/>
  <c r="C101" i="45" s="1"/>
  <c r="AE61" i="45" a="1"/>
  <c r="AE61" i="45" s="1"/>
  <c r="AO17" i="45" a="1"/>
  <c r="AO17" i="45" s="1"/>
  <c r="N85" i="44" a="1"/>
  <c r="N85" i="44" s="1"/>
  <c r="N84" i="44" s="1"/>
  <c r="AJ16" i="33" a="1"/>
  <c r="AJ16" i="33" s="1"/>
  <c r="AQ98" i="33" a="1"/>
  <c r="AQ98" i="33" s="1"/>
  <c r="AQ78" i="43"/>
  <c r="AT33" i="41"/>
  <c r="AA44" i="33" a="1"/>
  <c r="AA44" i="33" s="1"/>
  <c r="L37" i="44" a="1"/>
  <c r="L37" i="44" s="1"/>
  <c r="AA101" i="33" a="1"/>
  <c r="AA101" i="33" s="1"/>
  <c r="AN34" i="46" a="1"/>
  <c r="AN34" i="46" s="1"/>
  <c r="P60" i="47"/>
  <c r="T71" i="33" a="1"/>
  <c r="T71" i="33" s="1"/>
  <c r="T69" i="33" s="1"/>
  <c r="AO100" i="33" a="1"/>
  <c r="AO100" i="33" s="1"/>
  <c r="AO99" i="33" s="1"/>
  <c r="AR96" i="46"/>
  <c r="AR69" i="41"/>
  <c r="AN86" i="43" a="1"/>
  <c r="AN86" i="43" s="1"/>
  <c r="I68" i="46" a="1"/>
  <c r="I68" i="46" s="1"/>
  <c r="AI74" i="45" a="1"/>
  <c r="AI74" i="45" s="1"/>
  <c r="R30" i="46"/>
  <c r="C20" i="41" a="1"/>
  <c r="C20" i="41" s="1"/>
  <c r="A19" i="41" s="1"/>
  <c r="AM31" i="44" a="1"/>
  <c r="AM31" i="44" s="1"/>
  <c r="S28" i="45" a="1"/>
  <c r="S28" i="45" s="1"/>
  <c r="AH46" i="45" a="1"/>
  <c r="AH46" i="45" s="1"/>
  <c r="AE52" i="44" a="1"/>
  <c r="AE52" i="44" s="1"/>
  <c r="K31" i="45" a="1"/>
  <c r="K31" i="45" s="1"/>
  <c r="I71" i="47" a="1"/>
  <c r="I71" i="47" s="1"/>
  <c r="AR81" i="41"/>
  <c r="AG100" i="44" a="1"/>
  <c r="AG100" i="44" s="1"/>
  <c r="AV28" i="46" a="1"/>
  <c r="AV28" i="46" s="1"/>
  <c r="AL47" i="45" a="1"/>
  <c r="AL47" i="45" s="1"/>
  <c r="AV83" i="43" a="1"/>
  <c r="AV83" i="43" s="1"/>
  <c r="AU88" i="46" a="1"/>
  <c r="AU88" i="46" s="1"/>
  <c r="I79" i="43" a="1"/>
  <c r="I79" i="43" s="1"/>
  <c r="I78" i="43" s="1"/>
  <c r="AK77" i="45" a="1"/>
  <c r="AK77" i="45" s="1"/>
  <c r="AO64" i="41" a="1"/>
  <c r="AO64" i="41" s="1"/>
  <c r="Z83" i="33" a="1"/>
  <c r="Z83" i="33" s="1"/>
  <c r="C23" i="42" a="1"/>
  <c r="C23" i="42" s="1"/>
  <c r="AR43" i="45" a="1"/>
  <c r="AR43" i="45" s="1"/>
  <c r="AR42" i="45" s="1"/>
  <c r="W32" i="33" a="1"/>
  <c r="W32" i="33" s="1"/>
  <c r="E49" i="45" a="1"/>
  <c r="E49" i="45" s="1"/>
  <c r="AJ103" i="33" a="1"/>
  <c r="AJ103" i="33" s="1"/>
  <c r="AL26" i="44" a="1"/>
  <c r="AL26" i="44" s="1"/>
  <c r="AO32" i="33" a="1"/>
  <c r="AO32" i="33" s="1"/>
  <c r="I25" i="45" a="1"/>
  <c r="I25" i="45" s="1"/>
  <c r="AL98" i="44" a="1"/>
  <c r="AL98" i="44" s="1"/>
  <c r="AL61" i="45" a="1"/>
  <c r="AL61" i="45" s="1"/>
  <c r="O22" i="44" a="1"/>
  <c r="O22" i="44" s="1"/>
  <c r="AJ89" i="44" a="1"/>
  <c r="AJ89" i="44" s="1"/>
  <c r="Z35" i="44" a="1"/>
  <c r="Z35" i="44" s="1"/>
  <c r="AV41" i="43" a="1"/>
  <c r="AV41" i="43" s="1"/>
  <c r="J95" i="33" a="1"/>
  <c r="J95" i="33" s="1"/>
  <c r="AI22" i="45" a="1"/>
  <c r="AI22" i="45" s="1"/>
  <c r="Z74" i="45" a="1"/>
  <c r="Z74" i="45" s="1"/>
  <c r="AF93" i="47"/>
  <c r="C17" i="41" a="1"/>
  <c r="C17" i="41" s="1"/>
  <c r="AJ38" i="45" a="1"/>
  <c r="AJ38" i="45" s="1"/>
  <c r="I19" i="41" a="1"/>
  <c r="I19" i="41" s="1"/>
  <c r="I18" i="41" s="1"/>
  <c r="AO43" i="43" a="1"/>
  <c r="AO43" i="43" s="1"/>
  <c r="W59" i="44" a="1"/>
  <c r="W59" i="44" s="1"/>
  <c r="AE60" i="46"/>
  <c r="T22" i="45" a="1"/>
  <c r="T22" i="45" s="1"/>
  <c r="AN35" i="33" a="1"/>
  <c r="AN35" i="33" s="1"/>
  <c r="V40" i="44" a="1"/>
  <c r="V40" i="44" s="1"/>
  <c r="AC44" i="33" a="1"/>
  <c r="AC44" i="33" s="1"/>
  <c r="AG11" i="44" a="1"/>
  <c r="AG11" i="44" s="1"/>
  <c r="AR16" i="45" a="1"/>
  <c r="AR16" i="45" s="1"/>
  <c r="AI33" i="46"/>
  <c r="K40" i="45" a="1"/>
  <c r="K40" i="45" s="1"/>
  <c r="AM10" i="33" a="1"/>
  <c r="AM10" i="33" s="1"/>
  <c r="AT66" i="46"/>
  <c r="AD32" i="45" a="1"/>
  <c r="AD32" i="45" s="1"/>
  <c r="J18" i="41"/>
  <c r="AC55" i="44" a="1"/>
  <c r="AC55" i="44" s="1"/>
  <c r="AF91" i="45" a="1"/>
  <c r="AF91" i="45" s="1"/>
  <c r="AF94" i="33" a="1"/>
  <c r="AF94" i="33" s="1"/>
  <c r="AF93" i="33" s="1"/>
  <c r="AN67" i="44" a="1"/>
  <c r="AN67" i="44" s="1"/>
  <c r="AC23" i="44" a="1"/>
  <c r="AC23" i="44" s="1"/>
  <c r="AC21" i="44" s="1"/>
  <c r="E73" i="44" a="1"/>
  <c r="E73" i="44" s="1"/>
  <c r="L22" i="33" a="1"/>
  <c r="L22" i="33" s="1"/>
  <c r="AI87" i="46"/>
  <c r="AN91" i="47" a="1"/>
  <c r="AN91" i="47" s="1"/>
  <c r="AN90" i="47" s="1"/>
  <c r="S15" i="47"/>
  <c r="AO95" i="33" a="1"/>
  <c r="AO95" i="33" s="1"/>
  <c r="AC59" i="45" a="1"/>
  <c r="AC59" i="45" s="1"/>
  <c r="AF95" i="45" a="1"/>
  <c r="AF95" i="45" s="1"/>
  <c r="R61" i="45" a="1"/>
  <c r="R61" i="45" s="1"/>
  <c r="AA69" i="41"/>
  <c r="I97" i="43" a="1"/>
  <c r="I97" i="43" s="1"/>
  <c r="K90" i="47"/>
  <c r="P26" i="45" a="1"/>
  <c r="P26" i="45" s="1"/>
  <c r="V19" i="33" a="1"/>
  <c r="V19" i="33" s="1"/>
  <c r="AV34" i="46" a="1"/>
  <c r="AV34" i="46" s="1"/>
  <c r="AK49" i="44" a="1"/>
  <c r="AK49" i="44" s="1"/>
  <c r="AU97" i="47" a="1"/>
  <c r="AU97" i="47" s="1"/>
  <c r="Y15" i="43"/>
  <c r="AJ30" i="46"/>
  <c r="W104" i="33" a="1"/>
  <c r="W104" i="33" s="1"/>
  <c r="AN52" i="45" a="1"/>
  <c r="AN52" i="45" s="1"/>
  <c r="AT96" i="47"/>
  <c r="C92" i="42" a="1"/>
  <c r="C92" i="42" s="1"/>
  <c r="AB83" i="45" a="1"/>
  <c r="AB83" i="45" s="1"/>
  <c r="Z61" i="44" a="1"/>
  <c r="Z61" i="44" s="1"/>
  <c r="M42" i="43"/>
  <c r="E28" i="45" a="1"/>
  <c r="E28" i="45" s="1"/>
  <c r="W44" i="44" a="1"/>
  <c r="W44" i="44" s="1"/>
  <c r="C56" i="43" a="1"/>
  <c r="C56" i="43" s="1"/>
  <c r="I76" i="41" a="1"/>
  <c r="I76" i="41" s="1"/>
  <c r="AH24" i="43"/>
  <c r="O91" i="45" a="1"/>
  <c r="O91" i="45" s="1"/>
  <c r="O90" i="45" s="1"/>
  <c r="U84" i="46"/>
  <c r="T76" i="44" a="1"/>
  <c r="T76" i="44" s="1"/>
  <c r="T102" i="46"/>
  <c r="AP102" i="46"/>
  <c r="AU56" i="46" a="1"/>
  <c r="AU56" i="46" s="1"/>
  <c r="V44" i="45" a="1"/>
  <c r="V44" i="45" s="1"/>
  <c r="AJ21" i="46"/>
  <c r="I19" i="44" a="1"/>
  <c r="I19" i="44" s="1"/>
  <c r="AA103" i="33" a="1"/>
  <c r="AA103" i="33" s="1"/>
  <c r="AA102" i="33" s="1"/>
  <c r="L41" i="33" a="1"/>
  <c r="L41" i="33" s="1"/>
  <c r="AI100" i="45" a="1"/>
  <c r="AI100" i="45" s="1"/>
  <c r="F77" i="44" a="1"/>
  <c r="F77" i="44" s="1"/>
  <c r="N39" i="43"/>
  <c r="I86" i="46" a="1"/>
  <c r="I86" i="46" s="1"/>
  <c r="S69" i="43"/>
  <c r="W82" i="44" a="1"/>
  <c r="W82" i="44" s="1"/>
  <c r="AA17" i="33" a="1"/>
  <c r="AA17" i="33" s="1"/>
  <c r="AI26" i="33" a="1"/>
  <c r="AI26" i="33" s="1"/>
  <c r="C43" i="44" a="1"/>
  <c r="C43" i="44" s="1"/>
  <c r="AV98" i="41" a="1"/>
  <c r="AV98" i="41" s="1"/>
  <c r="N45" i="46"/>
  <c r="L55" i="45" a="1"/>
  <c r="L55" i="45" s="1"/>
  <c r="J57" i="46"/>
  <c r="AR86" i="44" a="1"/>
  <c r="AR86" i="44" s="1"/>
  <c r="S50" i="33" a="1"/>
  <c r="S50" i="33" s="1"/>
  <c r="S40" i="44" a="1"/>
  <c r="S40" i="44" s="1"/>
  <c r="C41" i="45" a="1"/>
  <c r="C41" i="45" s="1"/>
  <c r="C74" i="45" a="1"/>
  <c r="C74" i="45" s="1"/>
  <c r="M81" i="47"/>
  <c r="O89" i="44" a="1"/>
  <c r="O89" i="44" s="1"/>
  <c r="AJ89" i="45" a="1"/>
  <c r="AJ89" i="45" s="1"/>
  <c r="Y54" i="43"/>
  <c r="Q31" i="45" a="1"/>
  <c r="Q31" i="45" s="1"/>
  <c r="Q30" i="45" s="1"/>
  <c r="Z24" i="43"/>
  <c r="S70" i="44" a="1"/>
  <c r="S70" i="44" s="1"/>
  <c r="AF92" i="33" a="1"/>
  <c r="AF92" i="33" s="1"/>
  <c r="P72" i="46"/>
  <c r="AJ58" i="44" a="1"/>
  <c r="AJ58" i="44" s="1"/>
  <c r="AC104" i="33" a="1"/>
  <c r="AC104" i="33" s="1"/>
  <c r="T38" i="45" a="1"/>
  <c r="T38" i="45" s="1"/>
  <c r="J74" i="33" a="1"/>
  <c r="J74" i="33" s="1"/>
  <c r="C76" i="43" a="1"/>
  <c r="C76" i="43" s="1"/>
  <c r="A76" i="43" s="1"/>
  <c r="AH45" i="46"/>
  <c r="F104" i="33" a="1"/>
  <c r="F104" i="33" s="1"/>
  <c r="AV83" i="46" a="1"/>
  <c r="AV83" i="46" s="1"/>
  <c r="AL102" i="46"/>
  <c r="W51" i="41"/>
  <c r="O54" i="41"/>
  <c r="S72" i="47"/>
  <c r="K97" i="44" a="1"/>
  <c r="K97" i="44" s="1"/>
  <c r="K96" i="44" s="1"/>
  <c r="AP50" i="33" a="1"/>
  <c r="AP50" i="33" s="1"/>
  <c r="AH73" i="45" a="1"/>
  <c r="AH73" i="45" s="1"/>
  <c r="AO35" i="47" a="1"/>
  <c r="AO35" i="47" s="1"/>
  <c r="W94" i="44" a="1"/>
  <c r="W94" i="44" s="1"/>
  <c r="AA57" i="47"/>
  <c r="I56" i="45" a="1"/>
  <c r="I56" i="45" s="1"/>
  <c r="AT48" i="46"/>
  <c r="C55" i="41" a="1"/>
  <c r="C55" i="41" s="1"/>
  <c r="AN29" i="44" a="1"/>
  <c r="AN29" i="44" s="1"/>
  <c r="O50" i="45" a="1"/>
  <c r="O50" i="45" s="1"/>
  <c r="X29" i="45" a="1"/>
  <c r="X29" i="45" s="1"/>
  <c r="J18" i="43"/>
  <c r="Q29" i="33" a="1"/>
  <c r="Q29" i="33" s="1"/>
  <c r="I17" i="41" a="1"/>
  <c r="I17" i="41" s="1"/>
  <c r="AK37" i="45" a="1"/>
  <c r="AK37" i="45" s="1"/>
  <c r="AR71" i="44" a="1"/>
  <c r="AR71" i="44" s="1"/>
  <c r="AH19" i="45" a="1"/>
  <c r="AH19" i="45" s="1"/>
  <c r="AC16" i="44" a="1"/>
  <c r="AC16" i="44" s="1"/>
  <c r="AF10" i="44" a="1"/>
  <c r="AF10" i="44" s="1"/>
  <c r="AD70" i="45" a="1"/>
  <c r="AD70" i="45" s="1"/>
  <c r="K55" i="45" a="1"/>
  <c r="K55" i="45" s="1"/>
  <c r="K54" i="45" s="1"/>
  <c r="AO59" i="43" a="1"/>
  <c r="AO59" i="43" s="1"/>
  <c r="C38" i="47" a="1"/>
  <c r="C38" i="47" s="1"/>
  <c r="AS15" i="41"/>
  <c r="H23" i="44" a="1"/>
  <c r="H23" i="44" s="1"/>
  <c r="X103" i="44" a="1"/>
  <c r="X103" i="44" s="1"/>
  <c r="AO91" i="47" a="1"/>
  <c r="AO91" i="47" s="1"/>
  <c r="AO90" i="47" s="1"/>
  <c r="AF55" i="45" a="1"/>
  <c r="AF55" i="45" s="1"/>
  <c r="AF54" i="45" s="1"/>
  <c r="AG90" i="47"/>
  <c r="N23" i="44" a="1"/>
  <c r="N23" i="44" s="1"/>
  <c r="W51" i="43"/>
  <c r="W97" i="45" a="1"/>
  <c r="W97" i="45" s="1"/>
  <c r="W96" i="45" s="1"/>
  <c r="V31" i="33" a="1"/>
  <c r="V31" i="33" s="1"/>
  <c r="L68" i="44" a="1"/>
  <c r="L68" i="44" s="1"/>
  <c r="AH95" i="44" a="1"/>
  <c r="AH95" i="44" s="1"/>
  <c r="W59" i="33" a="1"/>
  <c r="W59" i="33" s="1"/>
  <c r="AC77" i="33" a="1"/>
  <c r="AC77" i="33" s="1"/>
  <c r="W34" i="45" a="1"/>
  <c r="W34" i="45" s="1"/>
  <c r="AC21" i="43"/>
  <c r="AD88" i="45" a="1"/>
  <c r="AD88" i="45" s="1"/>
  <c r="AK63" i="47"/>
  <c r="AU46" i="47" a="1"/>
  <c r="AU46" i="47" s="1"/>
  <c r="V100" i="45" a="1"/>
  <c r="V100" i="45" s="1"/>
  <c r="V99" i="45" s="1"/>
  <c r="AC32" i="44" a="1"/>
  <c r="AC32" i="44" s="1"/>
  <c r="T52" i="44" a="1"/>
  <c r="T52" i="44" s="1"/>
  <c r="AR37" i="45" a="1"/>
  <c r="AR37" i="45" s="1"/>
  <c r="Y37" i="45" a="1"/>
  <c r="Y37" i="45" s="1"/>
  <c r="U98" i="45" a="1"/>
  <c r="U98" i="45" s="1"/>
  <c r="R51" i="46"/>
  <c r="P73" i="44" a="1"/>
  <c r="P73" i="44" s="1"/>
  <c r="AH55" i="33" a="1"/>
  <c r="AH55" i="33" s="1"/>
  <c r="AH54" i="33" s="1"/>
  <c r="AO61" i="45" a="1"/>
  <c r="AO61" i="45" s="1"/>
  <c r="AC63" i="47"/>
  <c r="AO82" i="33" a="1"/>
  <c r="AO82" i="33" s="1"/>
  <c r="S89" i="33" a="1"/>
  <c r="S89" i="33" s="1"/>
  <c r="AC42" i="46"/>
  <c r="AG70" i="45" a="1"/>
  <c r="AG70" i="45" s="1"/>
  <c r="AG69" i="45" s="1"/>
  <c r="AJ40" i="33" a="1"/>
  <c r="AJ40" i="33" s="1"/>
  <c r="M104" i="45" a="1"/>
  <c r="M104" i="45" s="1"/>
  <c r="I89" i="46" a="1"/>
  <c r="I89" i="46" s="1"/>
  <c r="AD55" i="33" a="1"/>
  <c r="AD55" i="33" s="1"/>
  <c r="AD68" i="45" a="1"/>
  <c r="AD68" i="45" s="1"/>
  <c r="U17" i="33" a="1"/>
  <c r="U17" i="33" s="1"/>
  <c r="AB60" i="43"/>
  <c r="O11" i="44" a="1"/>
  <c r="O11" i="44" s="1"/>
  <c r="L103" i="33" a="1"/>
  <c r="L103" i="33" s="1"/>
  <c r="L102" i="33" s="1"/>
  <c r="AB56" i="45" a="1"/>
  <c r="AB56" i="45" s="1"/>
  <c r="I20" i="46" a="1"/>
  <c r="I20" i="46" s="1"/>
  <c r="I18" i="46" s="1"/>
  <c r="X94" i="44" a="1"/>
  <c r="X94" i="44" s="1"/>
  <c r="AG102" i="43"/>
  <c r="AJ82" i="33" a="1"/>
  <c r="AJ82" i="33" s="1"/>
  <c r="AJ81" i="33" s="1"/>
  <c r="AU38" i="47" a="1"/>
  <c r="AU38" i="47" s="1"/>
  <c r="W65" i="33" a="1"/>
  <c r="W65" i="33" s="1"/>
  <c r="C62" i="47" a="1"/>
  <c r="C62" i="47" s="1"/>
  <c r="AQ100" i="45" a="1"/>
  <c r="AQ100" i="45" s="1"/>
  <c r="Y64" i="44" a="1"/>
  <c r="Y64" i="44" s="1"/>
  <c r="AE104" i="45" a="1"/>
  <c r="AE104" i="45" s="1"/>
  <c r="P66" i="47"/>
  <c r="AI45" i="43"/>
  <c r="E16" i="33" a="1"/>
  <c r="E16" i="33" s="1"/>
  <c r="AF94" i="44" a="1"/>
  <c r="AF94" i="44" s="1"/>
  <c r="AP42" i="43"/>
  <c r="R99" i="41"/>
  <c r="X57" i="43"/>
  <c r="R67" i="45" a="1"/>
  <c r="R67" i="45" s="1"/>
  <c r="AV50" i="46" a="1"/>
  <c r="AV50" i="46" s="1"/>
  <c r="Z20" i="44" a="1"/>
  <c r="Z20" i="44" s="1"/>
  <c r="I22" i="33" a="1"/>
  <c r="I22" i="33" s="1"/>
  <c r="C19" i="47" a="1"/>
  <c r="C19" i="47" s="1"/>
  <c r="T22" i="33" a="1"/>
  <c r="T22" i="33" s="1"/>
  <c r="J104" i="45" a="1"/>
  <c r="J104" i="45" s="1"/>
  <c r="AA49" i="33" a="1"/>
  <c r="AA49" i="33" s="1"/>
  <c r="AC23" i="33" a="1"/>
  <c r="AC23" i="33" s="1"/>
  <c r="R40" i="33" a="1"/>
  <c r="R40" i="33" s="1"/>
  <c r="AC28" i="44" a="1"/>
  <c r="AC28" i="44" s="1"/>
  <c r="Z36" i="47"/>
  <c r="AJ46" i="45" a="1"/>
  <c r="AJ46" i="45" s="1"/>
  <c r="Y92" i="44" a="1"/>
  <c r="Y92" i="44" s="1"/>
  <c r="W82" i="45" a="1"/>
  <c r="W82" i="45" s="1"/>
  <c r="G10" i="33" a="1"/>
  <c r="G10" i="33" s="1"/>
  <c r="AM18" i="47"/>
  <c r="V25" i="45" a="1"/>
  <c r="V25" i="45" s="1"/>
  <c r="AM64" i="44" a="1"/>
  <c r="AM64" i="44" s="1"/>
  <c r="AV73" i="43" a="1"/>
  <c r="AV73" i="43" s="1"/>
  <c r="G31" i="33" a="1"/>
  <c r="G31" i="33" s="1"/>
  <c r="AG89" i="45" a="1"/>
  <c r="AG89" i="45" s="1"/>
  <c r="AG92" i="33" a="1"/>
  <c r="AG92" i="33" s="1"/>
  <c r="I38" i="33" a="1"/>
  <c r="I38" i="33" s="1"/>
  <c r="AH32" i="33" a="1"/>
  <c r="AH32" i="33" s="1"/>
  <c r="C77" i="47" a="1"/>
  <c r="C77" i="47" s="1"/>
  <c r="A76" i="47" s="1"/>
  <c r="O60" i="46"/>
  <c r="AV97" i="41" a="1"/>
  <c r="AV97" i="41" s="1"/>
  <c r="I23" i="41" a="1"/>
  <c r="I23" i="41" s="1"/>
  <c r="P49" i="45" a="1"/>
  <c r="P49" i="45" s="1"/>
  <c r="AM73" i="33" a="1"/>
  <c r="AM73" i="33" s="1"/>
  <c r="AM72" i="33" s="1"/>
  <c r="G41" i="45" a="1"/>
  <c r="G41" i="45" s="1"/>
  <c r="C22" i="46" a="1"/>
  <c r="C22" i="46" s="1"/>
  <c r="A22" i="46" s="1"/>
  <c r="X68" i="44" a="1"/>
  <c r="X68" i="44" s="1"/>
  <c r="T49" i="44" a="1"/>
  <c r="T49" i="44" s="1"/>
  <c r="O76" i="45" a="1"/>
  <c r="O76" i="45" s="1"/>
  <c r="V96" i="47"/>
  <c r="AA36" i="43"/>
  <c r="AR29" i="45" a="1"/>
  <c r="AR29" i="45" s="1"/>
  <c r="R20" i="44" a="1"/>
  <c r="R20" i="44" s="1"/>
  <c r="AD38" i="45" a="1"/>
  <c r="AD38" i="45" s="1"/>
  <c r="AH73" i="33" a="1"/>
  <c r="AH73" i="33" s="1"/>
  <c r="AE79" i="45" a="1"/>
  <c r="AE79" i="45" s="1"/>
  <c r="J78" i="46"/>
  <c r="L35" i="45" a="1"/>
  <c r="L35" i="45" s="1"/>
  <c r="AV11" i="41" a="1"/>
  <c r="AV11" i="41" s="1"/>
  <c r="Q24" i="43"/>
  <c r="I19" i="43" a="1"/>
  <c r="I19" i="43" s="1"/>
  <c r="AO98" i="41" a="1"/>
  <c r="AO98" i="41" s="1"/>
  <c r="AG9" i="41"/>
  <c r="E19" i="33" a="1"/>
  <c r="E19" i="33" s="1"/>
  <c r="O75" i="46"/>
  <c r="AN29" i="46" a="1"/>
  <c r="AN29" i="46" s="1"/>
  <c r="AI48" i="46"/>
  <c r="T59" i="33" a="1"/>
  <c r="T59" i="33" s="1"/>
  <c r="U69" i="43"/>
  <c r="AQ70" i="33" a="1"/>
  <c r="AQ70" i="33" s="1"/>
  <c r="O39" i="43"/>
  <c r="AL39" i="47"/>
  <c r="P55" i="45" a="1"/>
  <c r="P55" i="45" s="1"/>
  <c r="Q46" i="45" a="1"/>
  <c r="Q46" i="45" s="1"/>
  <c r="Z92" i="44" a="1"/>
  <c r="Z92" i="44" s="1"/>
  <c r="AJ16" i="45" a="1"/>
  <c r="AJ16" i="45" s="1"/>
  <c r="L102" i="41"/>
  <c r="X96" i="46"/>
  <c r="P49" i="44" a="1"/>
  <c r="P49" i="44" s="1"/>
  <c r="AR18" i="43"/>
  <c r="Y10" i="33" a="1"/>
  <c r="Y10" i="33" s="1"/>
  <c r="AF29" i="33" a="1"/>
  <c r="AF29" i="33" s="1"/>
  <c r="AF27" i="33" s="1"/>
  <c r="AK55" i="33" a="1"/>
  <c r="AK55" i="33" s="1"/>
  <c r="AK54" i="33" s="1"/>
  <c r="T29" i="45" a="1"/>
  <c r="T29" i="45" s="1"/>
  <c r="AD67" i="45" a="1"/>
  <c r="AD67" i="45" s="1"/>
  <c r="Z16" i="33" a="1"/>
  <c r="Z16" i="33" s="1"/>
  <c r="Z15" i="33" s="1"/>
  <c r="K57" i="47"/>
  <c r="AN100" i="44" a="1"/>
  <c r="AN100" i="44" s="1"/>
  <c r="K35" i="45" a="1"/>
  <c r="K35" i="45" s="1"/>
  <c r="G10" i="45" a="1"/>
  <c r="G10" i="45" s="1"/>
  <c r="AQ62" i="44" a="1"/>
  <c r="AQ62" i="44" s="1"/>
  <c r="AN79" i="44" a="1"/>
  <c r="AN79" i="44" s="1"/>
  <c r="AJ61" i="44" a="1"/>
  <c r="AJ61" i="44" s="1"/>
  <c r="F41" i="33" a="1"/>
  <c r="F41" i="33" s="1"/>
  <c r="N82" i="33" a="1"/>
  <c r="N82" i="33" s="1"/>
  <c r="H40" i="45" a="1"/>
  <c r="H40" i="45" s="1"/>
  <c r="AO34" i="33" a="1"/>
  <c r="AO34" i="33" s="1"/>
  <c r="O16" i="44" a="1"/>
  <c r="O16" i="44" s="1"/>
  <c r="O15" i="44" s="1"/>
  <c r="Z62" i="33" a="1"/>
  <c r="Z62" i="33" s="1"/>
  <c r="AB41" i="44" a="1"/>
  <c r="AB41" i="44" s="1"/>
  <c r="H34" i="33" a="1"/>
  <c r="H34" i="33" s="1"/>
  <c r="AQ92" i="44" a="1"/>
  <c r="AQ92" i="44" s="1"/>
  <c r="W23" i="45" a="1"/>
  <c r="W23" i="45" s="1"/>
  <c r="AO17" i="41" a="1"/>
  <c r="AO17" i="41" s="1"/>
  <c r="AO37" i="46" a="1"/>
  <c r="AO37" i="46" s="1"/>
  <c r="Q101" i="45" a="1"/>
  <c r="Q101" i="45" s="1"/>
  <c r="AO73" i="33" a="1"/>
  <c r="AO73" i="33" s="1"/>
  <c r="AO72" i="33" s="1"/>
  <c r="AG59" i="33" a="1"/>
  <c r="AG59" i="33" s="1"/>
  <c r="Z21" i="41"/>
  <c r="C38" i="42" a="1"/>
  <c r="C38" i="42" s="1"/>
  <c r="U25" i="33" a="1"/>
  <c r="U25" i="33" s="1"/>
  <c r="AI43" i="45" a="1"/>
  <c r="AI43" i="45" s="1"/>
  <c r="AH32" i="44" a="1"/>
  <c r="AH32" i="44" s="1"/>
  <c r="AB101" i="45" a="1"/>
  <c r="AB101" i="45" s="1"/>
  <c r="AB99" i="45" s="1"/>
  <c r="AL17" i="45" a="1"/>
  <c r="AL17" i="45" s="1"/>
  <c r="O61" i="44" a="1"/>
  <c r="O61" i="44" s="1"/>
  <c r="S16" i="45" a="1"/>
  <c r="S16" i="45" s="1"/>
  <c r="S15" i="45" s="1"/>
  <c r="AU58" i="46" a="1"/>
  <c r="AU58" i="46" s="1"/>
  <c r="AN82" i="33" a="1"/>
  <c r="AN82" i="33" s="1"/>
  <c r="I34" i="33" a="1"/>
  <c r="I34" i="33" s="1"/>
  <c r="AG78" i="46"/>
  <c r="AV56" i="43" a="1"/>
  <c r="AV56" i="43" s="1"/>
  <c r="AK28" i="44" a="1"/>
  <c r="AK28" i="44" s="1"/>
  <c r="AK27" i="44" s="1"/>
  <c r="AE17" i="44" a="1"/>
  <c r="AE17" i="44" s="1"/>
  <c r="W70" i="44" a="1"/>
  <c r="W70" i="44" s="1"/>
  <c r="AT42" i="46"/>
  <c r="AO10" i="47" a="1"/>
  <c r="AO10" i="47" s="1"/>
  <c r="AH43" i="33" a="1"/>
  <c r="AH43" i="33" s="1"/>
  <c r="AM83" i="33" a="1"/>
  <c r="AM83" i="33" s="1"/>
  <c r="Y87" i="41"/>
  <c r="Y88" i="33" a="1"/>
  <c r="Y88" i="33" s="1"/>
  <c r="I49" i="41" a="1"/>
  <c r="I49" i="41" s="1"/>
  <c r="V88" i="33" a="1"/>
  <c r="V88" i="33" s="1"/>
  <c r="F25" i="44" a="1"/>
  <c r="F25" i="44" s="1"/>
  <c r="AE17" i="33" a="1"/>
  <c r="AE17" i="33" s="1"/>
  <c r="AC65" i="45" a="1"/>
  <c r="AC65" i="45" s="1"/>
  <c r="T28" i="44" a="1"/>
  <c r="T28" i="44" s="1"/>
  <c r="M29" i="44" a="1"/>
  <c r="M29" i="44" s="1"/>
  <c r="M27" i="44" s="1"/>
  <c r="I53" i="45" a="1"/>
  <c r="I53" i="45" s="1"/>
  <c r="P35" i="33" a="1"/>
  <c r="P35" i="33" s="1"/>
  <c r="P27" i="46"/>
  <c r="AV101" i="47" a="1"/>
  <c r="AV101" i="47" s="1"/>
  <c r="AN77" i="45" a="1"/>
  <c r="AN77" i="45" s="1"/>
  <c r="K48" i="47"/>
  <c r="AF35" i="44" a="1"/>
  <c r="AF35" i="44" s="1"/>
  <c r="AV79" i="43" a="1"/>
  <c r="AV79" i="43" s="1"/>
  <c r="H83" i="44" a="1"/>
  <c r="H83" i="44" s="1"/>
  <c r="J96" i="46"/>
  <c r="AA48" i="41"/>
  <c r="I58" i="43" a="1"/>
  <c r="I58" i="43" s="1"/>
  <c r="C85" i="47" a="1"/>
  <c r="C85" i="47" s="1"/>
  <c r="A85" i="47" s="1"/>
  <c r="Y103" i="33" a="1"/>
  <c r="Y103" i="33" s="1"/>
  <c r="Y102" i="33" s="1"/>
  <c r="AM92" i="45" a="1"/>
  <c r="AM92" i="45" s="1"/>
  <c r="AB76" i="33" a="1"/>
  <c r="AB76" i="33" s="1"/>
  <c r="J25" i="33" a="1"/>
  <c r="J25" i="33" s="1"/>
  <c r="AF22" i="45" a="1"/>
  <c r="AF22" i="45" s="1"/>
  <c r="H46" i="44" a="1"/>
  <c r="H46" i="44" s="1"/>
  <c r="R74" i="44" a="1"/>
  <c r="R74" i="44" s="1"/>
  <c r="Y102" i="41"/>
  <c r="U93" i="43"/>
  <c r="G32" i="44" a="1"/>
  <c r="G32" i="44" s="1"/>
  <c r="M26" i="45" a="1"/>
  <c r="M26" i="45" s="1"/>
  <c r="O70" i="45" a="1"/>
  <c r="O70" i="45" s="1"/>
  <c r="O69" i="45" s="1"/>
  <c r="T30" i="41"/>
  <c r="J26" i="33" a="1"/>
  <c r="J26" i="33" s="1"/>
  <c r="AK83" i="44" a="1"/>
  <c r="AK83" i="44" s="1"/>
  <c r="AI84" i="43"/>
  <c r="AA34" i="45" a="1"/>
  <c r="AA34" i="45" s="1"/>
  <c r="V18" i="46"/>
  <c r="P68" i="44" a="1"/>
  <c r="P68" i="44" s="1"/>
  <c r="G44" i="44" a="1"/>
  <c r="G44" i="44" s="1"/>
  <c r="AN53" i="43" a="1"/>
  <c r="AN53" i="43" s="1"/>
  <c r="AH48" i="46"/>
  <c r="AM38" i="45" a="1"/>
  <c r="AM38" i="45" s="1"/>
  <c r="AQ97" i="33" a="1"/>
  <c r="AQ97" i="33" s="1"/>
  <c r="Z57" i="47"/>
  <c r="I73" i="43" a="1"/>
  <c r="I73" i="43" s="1"/>
  <c r="AG37" i="44" a="1"/>
  <c r="AG37" i="44" s="1"/>
  <c r="Y71" i="45" a="1"/>
  <c r="Y71" i="45" s="1"/>
  <c r="AS27" i="43"/>
  <c r="N59" i="33" a="1"/>
  <c r="N59" i="33" s="1"/>
  <c r="N11" i="44" a="1"/>
  <c r="N11" i="44" s="1"/>
  <c r="AK17" i="45" a="1"/>
  <c r="AK17" i="45" s="1"/>
  <c r="AK15" i="45" s="1"/>
  <c r="S11" i="44" a="1"/>
  <c r="S11" i="44" s="1"/>
  <c r="E82" i="45" a="1"/>
  <c r="E82" i="45" s="1"/>
  <c r="AK65" i="44" a="1"/>
  <c r="AK65" i="44" s="1"/>
  <c r="M37" i="45" a="1"/>
  <c r="M37" i="45" s="1"/>
  <c r="AK59" i="45" a="1"/>
  <c r="AK59" i="45" s="1"/>
  <c r="F20" i="44" a="1"/>
  <c r="F20" i="44" s="1"/>
  <c r="AN97" i="47" a="1"/>
  <c r="AN97" i="47" s="1"/>
  <c r="M50" i="44" a="1"/>
  <c r="M50" i="44" s="1"/>
  <c r="AF62" i="33" a="1"/>
  <c r="AF62" i="33" s="1"/>
  <c r="AD98" i="44" a="1"/>
  <c r="AD98" i="44" s="1"/>
  <c r="AB64" i="44" a="1"/>
  <c r="AB64" i="44" s="1"/>
  <c r="T79" i="33" a="1"/>
  <c r="T79" i="33" s="1"/>
  <c r="H46" i="33" a="1"/>
  <c r="H46" i="33" s="1"/>
  <c r="AR42" i="41"/>
  <c r="AQ16" i="33" a="1"/>
  <c r="AQ16" i="33" s="1"/>
  <c r="AH65" i="33" a="1"/>
  <c r="AH65" i="33" s="1"/>
  <c r="AR74" i="44" a="1"/>
  <c r="AR74" i="44" s="1"/>
  <c r="AD77" i="44" a="1"/>
  <c r="AD77" i="44" s="1"/>
  <c r="L57" i="47"/>
  <c r="AF53" i="33" a="1"/>
  <c r="AF53" i="33" s="1"/>
  <c r="N41" i="45" a="1"/>
  <c r="N41" i="45" s="1"/>
  <c r="X67" i="45" a="1"/>
  <c r="X67" i="45" s="1"/>
  <c r="AJ44" i="33" a="1"/>
  <c r="AJ44" i="33" s="1"/>
  <c r="AJ32" i="33" a="1"/>
  <c r="AJ32" i="33" s="1"/>
  <c r="X92" i="33" a="1"/>
  <c r="X92" i="33" s="1"/>
  <c r="AI19" i="33" a="1"/>
  <c r="AI19" i="33" s="1"/>
  <c r="AI18" i="33" s="1"/>
  <c r="I65" i="47" a="1"/>
  <c r="I65" i="47" s="1"/>
  <c r="AH53" i="33" a="1"/>
  <c r="AH53" i="33" s="1"/>
  <c r="AD97" i="33" a="1"/>
  <c r="AD97" i="33" s="1"/>
  <c r="AG44" i="45" a="1"/>
  <c r="AG44" i="45" s="1"/>
  <c r="AN88" i="41" a="1"/>
  <c r="AN88" i="41" s="1"/>
  <c r="AN87" i="41" s="1"/>
  <c r="S26" i="33" a="1"/>
  <c r="S26" i="33" s="1"/>
  <c r="AQ36" i="46"/>
  <c r="C92" i="41" a="1"/>
  <c r="C92" i="41" s="1"/>
  <c r="AJ41" i="44" a="1"/>
  <c r="AJ41" i="44" s="1"/>
  <c r="AV34" i="43" a="1"/>
  <c r="AV34" i="43" s="1"/>
  <c r="C50" i="43" a="1"/>
  <c r="C50" i="43" s="1"/>
  <c r="AT78" i="43"/>
  <c r="V20" i="44" a="1"/>
  <c r="V20" i="44" s="1"/>
  <c r="V18" i="44" s="1"/>
  <c r="AG74" i="44" a="1"/>
  <c r="AG74" i="44" s="1"/>
  <c r="AQ52" i="45" a="1"/>
  <c r="AQ52" i="45" s="1"/>
  <c r="AK25" i="45" a="1"/>
  <c r="AK25" i="45" s="1"/>
  <c r="AK24" i="45" s="1"/>
  <c r="AE48" i="47"/>
  <c r="AR70" i="45" a="1"/>
  <c r="AR70" i="45" s="1"/>
  <c r="J11" i="45" a="1"/>
  <c r="J11" i="45" s="1"/>
  <c r="Q29" i="45" a="1"/>
  <c r="Q29" i="45" s="1"/>
  <c r="AA82" i="33" a="1"/>
  <c r="AA82" i="33" s="1"/>
  <c r="AO100" i="43" a="1"/>
  <c r="AO100" i="43" s="1"/>
  <c r="AM11" i="44" a="1"/>
  <c r="AM11" i="44" s="1"/>
  <c r="AH15" i="41"/>
  <c r="C83" i="42" a="1"/>
  <c r="C83" i="42" s="1"/>
  <c r="AG51" i="43"/>
  <c r="AO29" i="46" a="1"/>
  <c r="AO29" i="46" s="1"/>
  <c r="AP100" i="33" a="1"/>
  <c r="AP100" i="33" s="1"/>
  <c r="AP99" i="33" s="1"/>
  <c r="AA80" i="33" a="1"/>
  <c r="AA80" i="33" s="1"/>
  <c r="I74" i="45" a="1"/>
  <c r="I74" i="45" s="1"/>
  <c r="I26" i="33" a="1"/>
  <c r="I26" i="33" s="1"/>
  <c r="AJ32" i="45" a="1"/>
  <c r="AJ32" i="45" s="1"/>
  <c r="C104" i="43" a="1"/>
  <c r="C104" i="43" s="1"/>
  <c r="U74" i="33" a="1"/>
  <c r="U74" i="33" s="1"/>
  <c r="AH64" i="45" a="1"/>
  <c r="AH64" i="45" s="1"/>
  <c r="P22" i="45" a="1"/>
  <c r="P22" i="45" s="1"/>
  <c r="I10" i="45" a="1"/>
  <c r="I10" i="45" s="1"/>
  <c r="AG79" i="33" a="1"/>
  <c r="AG79" i="33" s="1"/>
  <c r="AB93" i="43"/>
  <c r="W68" i="45" a="1"/>
  <c r="W68" i="45" s="1"/>
  <c r="Z70" i="44" a="1"/>
  <c r="Z70" i="44" s="1"/>
  <c r="Z69" i="44" s="1"/>
  <c r="AD64" i="33" a="1"/>
  <c r="AD64" i="33" s="1"/>
  <c r="AB77" i="44" a="1"/>
  <c r="AB77" i="44" s="1"/>
  <c r="F65" i="44" a="1"/>
  <c r="F65" i="44" s="1"/>
  <c r="AP22" i="44" a="1"/>
  <c r="AP22" i="44" s="1"/>
  <c r="AG34" i="33" a="1"/>
  <c r="AG34" i="33" s="1"/>
  <c r="AE32" i="33" a="1"/>
  <c r="AE32" i="33" s="1"/>
  <c r="AD77" i="33" a="1"/>
  <c r="AD77" i="33" s="1"/>
  <c r="AP79" i="45" a="1"/>
  <c r="AP79" i="45" s="1"/>
  <c r="AA62" i="33" a="1"/>
  <c r="AA62" i="33" s="1"/>
  <c r="AT102" i="47"/>
  <c r="K41" i="44" a="1"/>
  <c r="K41" i="44" s="1"/>
  <c r="X75" i="43"/>
  <c r="J100" i="45" a="1"/>
  <c r="J100" i="45" s="1"/>
  <c r="X50" i="45" a="1"/>
  <c r="X50" i="45" s="1"/>
  <c r="AM11" i="33" a="1"/>
  <c r="AM11" i="33" s="1"/>
  <c r="AV53" i="47" a="1"/>
  <c r="AV53" i="47" s="1"/>
  <c r="X104" i="33" a="1"/>
  <c r="X104" i="33" s="1"/>
  <c r="U65" i="44" a="1"/>
  <c r="U65" i="44" s="1"/>
  <c r="Q28" i="33" a="1"/>
  <c r="Q28" i="33" s="1"/>
  <c r="AE37" i="33" a="1"/>
  <c r="AE37" i="33" s="1"/>
  <c r="X26" i="45" a="1"/>
  <c r="X26" i="45" s="1"/>
  <c r="AU52" i="46" a="1"/>
  <c r="AU52" i="46" s="1"/>
  <c r="AU51" i="46" s="1"/>
  <c r="AA89" i="33" a="1"/>
  <c r="AA89" i="33" s="1"/>
  <c r="E74" i="44" a="1"/>
  <c r="E74" i="44" s="1"/>
  <c r="AT102" i="41"/>
  <c r="K58" i="44" a="1"/>
  <c r="K58" i="44" s="1"/>
  <c r="AJ48" i="41"/>
  <c r="L98" i="44" a="1"/>
  <c r="L98" i="44" s="1"/>
  <c r="H104" i="44" a="1"/>
  <c r="H104" i="44" s="1"/>
  <c r="S80" i="33" a="1"/>
  <c r="S80" i="33" s="1"/>
  <c r="T74" i="44" a="1"/>
  <c r="T74" i="44" s="1"/>
  <c r="H65" i="44" a="1"/>
  <c r="H65" i="44" s="1"/>
  <c r="AD81" i="47"/>
  <c r="R104" i="44" a="1"/>
  <c r="R104" i="44" s="1"/>
  <c r="F94" i="44" a="1"/>
  <c r="F94" i="44" s="1"/>
  <c r="AA32" i="44" a="1"/>
  <c r="AA32" i="44" s="1"/>
  <c r="AM19" i="33" a="1"/>
  <c r="AM19" i="33" s="1"/>
  <c r="Y89" i="33" a="1"/>
  <c r="Y89" i="33" s="1"/>
  <c r="L20" i="44" a="1"/>
  <c r="L20" i="44" s="1"/>
  <c r="AE70" i="33" a="1"/>
  <c r="AE70" i="33" s="1"/>
  <c r="AR81" i="43"/>
  <c r="AM32" i="44" a="1"/>
  <c r="AM32" i="44" s="1"/>
  <c r="AC22" i="45" a="1"/>
  <c r="AC22" i="45" s="1"/>
  <c r="AC21" i="45" s="1"/>
  <c r="N34" i="33" a="1"/>
  <c r="N34" i="33" s="1"/>
  <c r="AP74" i="45" a="1"/>
  <c r="AP74" i="45" s="1"/>
  <c r="V83" i="44" a="1"/>
  <c r="V83" i="44" s="1"/>
  <c r="U67" i="45" a="1"/>
  <c r="U67" i="45" s="1"/>
  <c r="U66" i="45" s="1"/>
  <c r="C53" i="43" a="1"/>
  <c r="C53" i="43" s="1"/>
  <c r="M29" i="33" a="1"/>
  <c r="M29" i="33" s="1"/>
  <c r="S35" i="45" a="1"/>
  <c r="S35" i="45" s="1"/>
  <c r="AN77" i="44" a="1"/>
  <c r="AN77" i="44" s="1"/>
  <c r="AH63" i="43"/>
  <c r="Q104" i="33" a="1"/>
  <c r="Q104" i="33" s="1"/>
  <c r="Z22" i="33" a="1"/>
  <c r="Z22" i="33" s="1"/>
  <c r="Z21" i="33" s="1"/>
  <c r="AM104" i="45" a="1"/>
  <c r="AM104" i="45" s="1"/>
  <c r="L63" i="47"/>
  <c r="N46" i="45" a="1"/>
  <c r="N46" i="45" s="1"/>
  <c r="N45" i="45" s="1"/>
  <c r="J59" i="33" a="1"/>
  <c r="J59" i="33" s="1"/>
  <c r="Q68" i="45" a="1"/>
  <c r="Q68" i="45" s="1"/>
  <c r="AN89" i="45" a="1"/>
  <c r="AN89" i="45" s="1"/>
  <c r="AD26" i="45" a="1"/>
  <c r="AD26" i="45" s="1"/>
  <c r="AO11" i="47" a="1"/>
  <c r="AO11" i="47" s="1"/>
  <c r="AE26" i="45" a="1"/>
  <c r="AE26" i="45" s="1"/>
  <c r="AN73" i="45" a="1"/>
  <c r="AN73" i="45" s="1"/>
  <c r="C94" i="46" a="1"/>
  <c r="C94" i="46" s="1"/>
  <c r="J79" i="45" a="1"/>
  <c r="J79" i="45" s="1"/>
  <c r="G91" i="45" a="1"/>
  <c r="G91" i="45" s="1"/>
  <c r="AV43" i="46" a="1"/>
  <c r="AV43" i="46" s="1"/>
  <c r="J100" i="33" a="1"/>
  <c r="J100" i="33" s="1"/>
  <c r="J99" i="33" s="1"/>
  <c r="Q76" i="45" a="1"/>
  <c r="Q76" i="45" s="1"/>
  <c r="AJ70" i="44" a="1"/>
  <c r="AJ70" i="44" s="1"/>
  <c r="AO19" i="33" a="1"/>
  <c r="AO19" i="33" s="1"/>
  <c r="AG83" i="45" a="1"/>
  <c r="AG83" i="45" s="1"/>
  <c r="Z26" i="45" a="1"/>
  <c r="Z26" i="45" s="1"/>
  <c r="X101" i="45" a="1"/>
  <c r="X101" i="45" s="1"/>
  <c r="J45" i="41"/>
  <c r="M77" i="33" a="1"/>
  <c r="M77" i="33" s="1"/>
  <c r="AS75" i="43"/>
  <c r="AO97" i="47" a="1"/>
  <c r="AO97" i="47" s="1"/>
  <c r="AO96" i="47" s="1"/>
  <c r="E32" i="33" a="1"/>
  <c r="E32" i="33" s="1"/>
  <c r="AR63" i="41"/>
  <c r="W18" i="43"/>
  <c r="AV28" i="41" a="1"/>
  <c r="AV28" i="41" s="1"/>
  <c r="P91" i="33" a="1"/>
  <c r="P91" i="33" s="1"/>
  <c r="E19" i="44" a="1"/>
  <c r="E19" i="44" s="1"/>
  <c r="AK46" i="45" a="1"/>
  <c r="AK46" i="45" s="1"/>
  <c r="AK45" i="45" s="1"/>
  <c r="AO38" i="41" a="1"/>
  <c r="AO38" i="41" s="1"/>
  <c r="AO36" i="41" s="1"/>
  <c r="AQ38" i="44" a="1"/>
  <c r="AQ38" i="44" s="1"/>
  <c r="AJ38" i="44" a="1"/>
  <c r="AJ38" i="44" s="1"/>
  <c r="AR81" i="47"/>
  <c r="AU97" i="43" a="1"/>
  <c r="AU97" i="43" s="1"/>
  <c r="AK35" i="45" a="1"/>
  <c r="AK35" i="45" s="1"/>
  <c r="Q96" i="47"/>
  <c r="L63" i="43"/>
  <c r="AK40" i="44" a="1"/>
  <c r="AK40" i="44" s="1"/>
  <c r="AP24" i="46"/>
  <c r="W16" i="45" a="1"/>
  <c r="W16" i="45" s="1"/>
  <c r="W15" i="45" s="1"/>
  <c r="AN104" i="33" a="1"/>
  <c r="AN104" i="33" s="1"/>
  <c r="AD87" i="41"/>
  <c r="AN20" i="33" a="1"/>
  <c r="AN20" i="33" s="1"/>
  <c r="AQ92" i="33" a="1"/>
  <c r="AQ92" i="33" s="1"/>
  <c r="M45" i="41"/>
  <c r="AR93" i="41"/>
  <c r="C37" i="33" a="1"/>
  <c r="C37" i="33" s="1"/>
  <c r="G44" i="45" a="1"/>
  <c r="G44" i="45" s="1"/>
  <c r="AH40" i="45" a="1"/>
  <c r="AH40" i="45" s="1"/>
  <c r="J29" i="45" a="1"/>
  <c r="J29" i="45" s="1"/>
  <c r="S74" i="45" a="1"/>
  <c r="S74" i="45" s="1"/>
  <c r="AB86" i="44" a="1"/>
  <c r="AB86" i="44" s="1"/>
  <c r="AN53" i="45" a="1"/>
  <c r="AN53" i="45" s="1"/>
  <c r="L84" i="41"/>
  <c r="AG79" i="45" a="1"/>
  <c r="AG79" i="45" s="1"/>
  <c r="Y94" i="45" a="1"/>
  <c r="Y94" i="45" s="1"/>
  <c r="L38" i="45" a="1"/>
  <c r="L38" i="45" s="1"/>
  <c r="J23" i="45" a="1"/>
  <c r="J23" i="45" s="1"/>
  <c r="Z18" i="43"/>
  <c r="AN32" i="47" a="1"/>
  <c r="AN32" i="47" s="1"/>
  <c r="AL24" i="43"/>
  <c r="C49" i="33" a="1"/>
  <c r="C49" i="33" s="1"/>
  <c r="AH92" i="45" a="1"/>
  <c r="AH92" i="45" s="1"/>
  <c r="K76" i="45" a="1"/>
  <c r="K76" i="45" s="1"/>
  <c r="K75" i="45" s="1"/>
  <c r="H89" i="33" a="1"/>
  <c r="H89" i="33" s="1"/>
  <c r="AS39" i="41"/>
  <c r="C17" i="44" a="1"/>
  <c r="C17" i="44" s="1"/>
  <c r="I40" i="45" a="1"/>
  <c r="I40" i="45" s="1"/>
  <c r="I39" i="45" s="1"/>
  <c r="AC73" i="45" a="1"/>
  <c r="AC73" i="45" s="1"/>
  <c r="AC72" i="45" s="1"/>
  <c r="W93" i="46"/>
  <c r="I83" i="46" a="1"/>
  <c r="I83" i="46" s="1"/>
  <c r="H101" i="33" a="1"/>
  <c r="H101" i="33" s="1"/>
  <c r="H99" i="33" s="1"/>
  <c r="N76" i="45" a="1"/>
  <c r="N76" i="45" s="1"/>
  <c r="AU28" i="43" a="1"/>
  <c r="AU28" i="43" s="1"/>
  <c r="AU27" i="43" s="1"/>
  <c r="AG62" i="44" a="1"/>
  <c r="AG62" i="44" s="1"/>
  <c r="AV40" i="46" a="1"/>
  <c r="AV40" i="46" s="1"/>
  <c r="AV39" i="46" s="1"/>
  <c r="AL92" i="33" a="1"/>
  <c r="AL92" i="33" s="1"/>
  <c r="AE39" i="46"/>
  <c r="K70" i="44" a="1"/>
  <c r="K70" i="44" s="1"/>
  <c r="F85" i="33" a="1"/>
  <c r="F85" i="33" s="1"/>
  <c r="F84" i="33" s="1"/>
  <c r="AI98" i="45" a="1"/>
  <c r="AI98" i="45" s="1"/>
  <c r="J67" i="33" a="1"/>
  <c r="J67" i="33" s="1"/>
  <c r="AE68" i="33" a="1"/>
  <c r="AE68" i="33" s="1"/>
  <c r="AV62" i="47" a="1"/>
  <c r="AV62" i="47" s="1"/>
  <c r="V24" i="41"/>
  <c r="AN101" i="46" a="1"/>
  <c r="AN101" i="46" s="1"/>
  <c r="AM92" i="33" a="1"/>
  <c r="AM92" i="33" s="1"/>
  <c r="Z93" i="46"/>
  <c r="AM20" i="33" a="1"/>
  <c r="AM20" i="33" s="1"/>
  <c r="N40" i="44" a="1"/>
  <c r="N40" i="44" s="1"/>
  <c r="AU28" i="46" a="1"/>
  <c r="AU28" i="46" s="1"/>
  <c r="V78" i="43"/>
  <c r="AJ87" i="43"/>
  <c r="AF52" i="33" a="1"/>
  <c r="AF52" i="33" s="1"/>
  <c r="L76" i="44" a="1"/>
  <c r="L76" i="44" s="1"/>
  <c r="AP62" i="44" a="1"/>
  <c r="AP62" i="44" s="1"/>
  <c r="W22" i="33" a="1"/>
  <c r="W22" i="33" s="1"/>
  <c r="P100" i="33" a="1"/>
  <c r="P100" i="33" s="1"/>
  <c r="O52" i="33" a="1"/>
  <c r="O52" i="33" s="1"/>
  <c r="AI17" i="45" a="1"/>
  <c r="AI17" i="45" s="1"/>
  <c r="C89" i="46" a="1"/>
  <c r="C89" i="46" s="1"/>
  <c r="M34" i="33" a="1"/>
  <c r="M34" i="33" s="1"/>
  <c r="AN70" i="33" a="1"/>
  <c r="AN70" i="33" s="1"/>
  <c r="AC56" i="44" a="1"/>
  <c r="AC56" i="44" s="1"/>
  <c r="Z80" i="45" a="1"/>
  <c r="Z80" i="45" s="1"/>
  <c r="AM17" i="44" a="1"/>
  <c r="AM17" i="44" s="1"/>
  <c r="U51" i="41"/>
  <c r="F41" i="45" a="1"/>
  <c r="F41" i="45" s="1"/>
  <c r="N39" i="41"/>
  <c r="Y83" i="33" a="1"/>
  <c r="Y83" i="33" s="1"/>
  <c r="O47" i="33" a="1"/>
  <c r="O47" i="33" s="1"/>
  <c r="AN71" i="47" a="1"/>
  <c r="AN71" i="47" s="1"/>
  <c r="F19" i="45" a="1"/>
  <c r="F19" i="45" s="1"/>
  <c r="F18" i="45" s="1"/>
  <c r="U59" i="45" a="1"/>
  <c r="U59" i="45" s="1"/>
  <c r="AN80" i="45" a="1"/>
  <c r="AN80" i="45" s="1"/>
  <c r="I11" i="43" a="1"/>
  <c r="I11" i="43" s="1"/>
  <c r="S60" i="47"/>
  <c r="Q25" i="33" a="1"/>
  <c r="Q25" i="33" s="1"/>
  <c r="AU92" i="46" a="1"/>
  <c r="AU92" i="46" s="1"/>
  <c r="AU90" i="46" s="1"/>
  <c r="H88" i="44" a="1"/>
  <c r="H88" i="44" s="1"/>
  <c r="H87" i="44" s="1"/>
  <c r="J73" i="44" a="1"/>
  <c r="J73" i="44" s="1"/>
  <c r="W46" i="33" a="1"/>
  <c r="W46" i="33" s="1"/>
  <c r="E23" i="33" a="1"/>
  <c r="E23" i="33" s="1"/>
  <c r="Y62" i="33" a="1"/>
  <c r="Y62" i="33" s="1"/>
  <c r="Y60" i="33" s="1"/>
  <c r="AB102" i="46"/>
  <c r="Z64" i="45" a="1"/>
  <c r="Z64" i="45" s="1"/>
  <c r="H55" i="33" a="1"/>
  <c r="H55" i="33" s="1"/>
  <c r="AA73" i="33" a="1"/>
  <c r="AA73" i="33" s="1"/>
  <c r="O17" i="45" a="1"/>
  <c r="O17" i="45" s="1"/>
  <c r="O15" i="45" s="1"/>
  <c r="V57" i="47"/>
  <c r="AV85" i="47" a="1"/>
  <c r="AV85" i="47" s="1"/>
  <c r="AV84" i="47" s="1"/>
  <c r="AE44" i="33" a="1"/>
  <c r="AE44" i="33" s="1"/>
  <c r="G94" i="33" a="1"/>
  <c r="G94" i="33" s="1"/>
  <c r="F38" i="44" a="1"/>
  <c r="F38" i="44" s="1"/>
  <c r="R66" i="46"/>
  <c r="AB11" i="44" a="1"/>
  <c r="AB11" i="44" s="1"/>
  <c r="O95" i="33" a="1"/>
  <c r="O95" i="33" s="1"/>
  <c r="C44" i="43" a="1"/>
  <c r="C44" i="43" s="1"/>
  <c r="O29" i="44" a="1"/>
  <c r="O29" i="44" s="1"/>
  <c r="O43" i="44" a="1"/>
  <c r="O43" i="44" s="1"/>
  <c r="M74" i="33" a="1"/>
  <c r="M74" i="33" s="1"/>
  <c r="M72" i="33" s="1"/>
  <c r="Z86" i="44" a="1"/>
  <c r="Z86" i="44" s="1"/>
  <c r="AF97" i="33" a="1"/>
  <c r="AF97" i="33" s="1"/>
  <c r="AF96" i="33" s="1"/>
  <c r="AD100" i="45" a="1"/>
  <c r="AD100" i="45" s="1"/>
  <c r="AP98" i="33" a="1"/>
  <c r="AP98" i="33" s="1"/>
  <c r="U19" i="44" a="1"/>
  <c r="U19" i="44" s="1"/>
  <c r="AO89" i="45" a="1"/>
  <c r="AO89" i="45" s="1"/>
  <c r="AU31" i="46" a="1"/>
  <c r="AU31" i="46" s="1"/>
  <c r="AN92" i="46" a="1"/>
  <c r="AN92" i="46" s="1"/>
  <c r="AN44" i="43" a="1"/>
  <c r="AN44" i="43" s="1"/>
  <c r="J59" i="45" a="1"/>
  <c r="J59" i="45" s="1"/>
  <c r="C100" i="46" a="1"/>
  <c r="C100" i="46" s="1"/>
  <c r="E43" i="45" a="1"/>
  <c r="E43" i="45" s="1"/>
  <c r="E42" i="45" s="1"/>
  <c r="AP82" i="33" a="1"/>
  <c r="AP82" i="33" s="1"/>
  <c r="AG73" i="45" a="1"/>
  <c r="AG73" i="45" s="1"/>
  <c r="W19" i="44" a="1"/>
  <c r="W19" i="44" s="1"/>
  <c r="W18" i="44" s="1"/>
  <c r="T104" i="33" a="1"/>
  <c r="T104" i="33" s="1"/>
  <c r="AN79" i="47" a="1"/>
  <c r="AN79" i="47" s="1"/>
  <c r="AN50" i="44" a="1"/>
  <c r="AN50" i="44" s="1"/>
  <c r="AF59" i="33" a="1"/>
  <c r="AF59" i="33" s="1"/>
  <c r="AN43" i="46" a="1"/>
  <c r="AN43" i="46" s="1"/>
  <c r="L99" i="46"/>
  <c r="Y90" i="46"/>
  <c r="H16" i="45" a="1"/>
  <c r="H16" i="45" s="1"/>
  <c r="Q37" i="45" a="1"/>
  <c r="Q37" i="45" s="1"/>
  <c r="AA16" i="44" a="1"/>
  <c r="AA16" i="44" s="1"/>
  <c r="M29" i="45" a="1"/>
  <c r="M29" i="45" s="1"/>
  <c r="K89" i="33" a="1"/>
  <c r="K89" i="33" s="1"/>
  <c r="C40" i="43" a="1"/>
  <c r="C40" i="43" s="1"/>
  <c r="A40" i="43" s="1"/>
  <c r="P71" i="33" a="1"/>
  <c r="P71" i="33" s="1"/>
  <c r="N41" i="44" a="1"/>
  <c r="N41" i="44" s="1"/>
  <c r="AM99" i="47"/>
  <c r="J15" i="41"/>
  <c r="S83" i="33" a="1"/>
  <c r="S83" i="33" s="1"/>
  <c r="S39" i="41"/>
  <c r="X24" i="41"/>
  <c r="M37" i="44" a="1"/>
  <c r="M37" i="44" s="1"/>
  <c r="C103" i="33" a="1"/>
  <c r="C103" i="33" s="1"/>
  <c r="A103" i="33" s="1"/>
  <c r="AE47" i="45" a="1"/>
  <c r="AE47" i="45" s="1"/>
  <c r="G74" i="44" a="1"/>
  <c r="G74" i="44" s="1"/>
  <c r="AU23" i="47" a="1"/>
  <c r="AU23" i="47" s="1"/>
  <c r="AV43" i="43" a="1"/>
  <c r="AV43" i="43" s="1"/>
  <c r="I100" i="46" a="1"/>
  <c r="I100" i="46" s="1"/>
  <c r="AO67" i="47" a="1"/>
  <c r="AO67" i="47" s="1"/>
  <c r="AF34" i="44" a="1"/>
  <c r="AF34" i="44" s="1"/>
  <c r="AL19" i="45" a="1"/>
  <c r="AL19" i="45" s="1"/>
  <c r="L89" i="44" a="1"/>
  <c r="L89" i="44" s="1"/>
  <c r="AH47" i="44" a="1"/>
  <c r="AH47" i="44" s="1"/>
  <c r="AM23" i="45" a="1"/>
  <c r="AM23" i="45" s="1"/>
  <c r="R25" i="45" a="1"/>
  <c r="R25" i="45" s="1"/>
  <c r="U101" i="44" a="1"/>
  <c r="U101" i="44" s="1"/>
  <c r="N87" i="47"/>
  <c r="AB62" i="45" a="1"/>
  <c r="AB62" i="45" s="1"/>
  <c r="AA79" i="33" a="1"/>
  <c r="AA79" i="33" s="1"/>
  <c r="AT42" i="43"/>
  <c r="Y31" i="33" a="1"/>
  <c r="Y31" i="33" s="1"/>
  <c r="Z83" i="44" a="1"/>
  <c r="Z83" i="44" s="1"/>
  <c r="AN86" i="46" a="1"/>
  <c r="AN86" i="46" s="1"/>
  <c r="X53" i="45" a="1"/>
  <c r="X53" i="45" s="1"/>
  <c r="S78" i="46"/>
  <c r="AC43" i="45" a="1"/>
  <c r="AC43" i="45" s="1"/>
  <c r="E29" i="45" a="1"/>
  <c r="E29" i="45" s="1"/>
  <c r="AM103" i="33" a="1"/>
  <c r="AM103" i="33" s="1"/>
  <c r="AJ67" i="33" a="1"/>
  <c r="AJ67" i="33" s="1"/>
  <c r="P98" i="45" a="1"/>
  <c r="P98" i="45" s="1"/>
  <c r="AN77" i="41" a="1"/>
  <c r="AN77" i="41" s="1"/>
  <c r="M71" i="44" a="1"/>
  <c r="M71" i="44" s="1"/>
  <c r="T100" i="33" a="1"/>
  <c r="T100" i="33" s="1"/>
  <c r="T99" i="33" s="1"/>
  <c r="C35" i="43" a="1"/>
  <c r="C35" i="43" s="1"/>
  <c r="AR80" i="44" a="1"/>
  <c r="AR80" i="44" s="1"/>
  <c r="AA79" i="45" a="1"/>
  <c r="AA79" i="45" s="1"/>
  <c r="S98" i="33" a="1"/>
  <c r="S98" i="33" s="1"/>
  <c r="S82" i="33" a="1"/>
  <c r="S82" i="33" s="1"/>
  <c r="AJ27" i="47"/>
  <c r="L52" i="33" a="1"/>
  <c r="L52" i="33" s="1"/>
  <c r="AC66" i="46"/>
  <c r="Y65" i="33" a="1"/>
  <c r="Y65" i="33" s="1"/>
  <c r="AU35" i="46" a="1"/>
  <c r="AU35" i="46" s="1"/>
  <c r="AV62" i="46" a="1"/>
  <c r="AV62" i="46" s="1"/>
  <c r="C10" i="44" a="1"/>
  <c r="C10" i="44" s="1"/>
  <c r="P59" i="33" a="1"/>
  <c r="P59" i="33" s="1"/>
  <c r="AG25" i="33" a="1"/>
  <c r="AG25" i="33" s="1"/>
  <c r="AE101" i="45" a="1"/>
  <c r="AE101" i="45" s="1"/>
  <c r="AL75" i="46"/>
  <c r="W85" i="45" a="1"/>
  <c r="W85" i="45" s="1"/>
  <c r="E28" i="44" a="1"/>
  <c r="E28" i="44" s="1"/>
  <c r="F46" i="33" a="1"/>
  <c r="F46" i="33" s="1"/>
  <c r="AE18" i="43"/>
  <c r="T52" i="33" a="1"/>
  <c r="T52" i="33" s="1"/>
  <c r="AI89" i="44" a="1"/>
  <c r="AI89" i="44" s="1"/>
  <c r="AQ48" i="46"/>
  <c r="AB73" i="45" a="1"/>
  <c r="AB73" i="45" s="1"/>
  <c r="C28" i="46" a="1"/>
  <c r="C28" i="46" s="1"/>
  <c r="X60" i="47"/>
  <c r="O57" i="43"/>
  <c r="AV67" i="47" a="1"/>
  <c r="AV67" i="47" s="1"/>
  <c r="AV76" i="41" a="1"/>
  <c r="AV76" i="41" s="1"/>
  <c r="I70" i="44" a="1"/>
  <c r="I70" i="44" s="1"/>
  <c r="K42" i="41"/>
  <c r="J73" i="45" a="1"/>
  <c r="J73" i="45" s="1"/>
  <c r="J72" i="45" s="1"/>
  <c r="C76" i="42" a="1"/>
  <c r="C76" i="42" s="1"/>
  <c r="A76" i="42" s="1"/>
  <c r="AB23" i="45" a="1"/>
  <c r="AB23" i="45" s="1"/>
  <c r="F44" i="45" a="1"/>
  <c r="F44" i="45"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A28" i="45" s="1"/>
  <c r="C29" i="42" a="1"/>
  <c r="C29" i="42" s="1"/>
  <c r="A28" i="42" s="1"/>
  <c r="C29" i="47" a="1"/>
  <c r="C29" i="47" s="1"/>
  <c r="A28" i="47" s="1"/>
  <c r="C29" i="44" a="1"/>
  <c r="C29" i="44" s="1"/>
  <c r="C29" i="41" a="1"/>
  <c r="C29" i="41" s="1"/>
  <c r="A28"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AW1" i="43" l="1"/>
  <c r="AS1" i="44"/>
  <c r="AW1" i="46"/>
  <c r="AW1" i="41"/>
  <c r="E9" i="33"/>
  <c r="E87" i="33"/>
  <c r="AH18" i="44"/>
  <c r="A46" i="47"/>
  <c r="A67" i="44"/>
  <c r="P54" i="44"/>
  <c r="AU45" i="43"/>
  <c r="AU39" i="41"/>
  <c r="AU72" i="41"/>
  <c r="AE75" i="33"/>
  <c r="I9" i="47"/>
  <c r="O51" i="44"/>
  <c r="E45" i="44"/>
  <c r="A58" i="47"/>
  <c r="A57" i="47" s="1"/>
  <c r="AO36" i="46"/>
  <c r="Z93" i="45"/>
  <c r="AC72" i="44"/>
  <c r="AJ60" i="44"/>
  <c r="A100" i="44"/>
  <c r="A101" i="44" s="1"/>
  <c r="E90" i="44"/>
  <c r="A70" i="42"/>
  <c r="A71" i="42" s="1"/>
  <c r="A61" i="42"/>
  <c r="A62" i="42" s="1"/>
  <c r="A67" i="42"/>
  <c r="A68" i="42" s="1"/>
  <c r="Z72" i="33"/>
  <c r="A55" i="41"/>
  <c r="A54" i="41" s="1"/>
  <c r="A76" i="33"/>
  <c r="A75" i="33" s="1"/>
  <c r="E48" i="45"/>
  <c r="E75" i="44"/>
  <c r="A79" i="42"/>
  <c r="O30" i="33"/>
  <c r="Y21" i="44"/>
  <c r="W93" i="44"/>
  <c r="U42" i="45"/>
  <c r="V21" i="45"/>
  <c r="M81" i="33"/>
  <c r="AO96" i="33"/>
  <c r="AV33" i="43"/>
  <c r="J90" i="45"/>
  <c r="AU24" i="46"/>
  <c r="AE69" i="33"/>
  <c r="AN15" i="47"/>
  <c r="AJ78" i="44"/>
  <c r="J81" i="44"/>
  <c r="AR60" i="45"/>
  <c r="P57" i="45"/>
  <c r="U78" i="33"/>
  <c r="AE93" i="33"/>
  <c r="Z21" i="45"/>
  <c r="AO15" i="43"/>
  <c r="F78" i="33"/>
  <c r="AO21" i="43"/>
  <c r="AB45" i="33"/>
  <c r="X102" i="45"/>
  <c r="AP69" i="33"/>
  <c r="J99" i="45"/>
  <c r="M75" i="45"/>
  <c r="AC78" i="44"/>
  <c r="AM39" i="33"/>
  <c r="AN99" i="41"/>
  <c r="P42" i="44"/>
  <c r="I84" i="44"/>
  <c r="AJ27" i="33"/>
  <c r="M78" i="44"/>
  <c r="I81" i="43"/>
  <c r="AJ15" i="44"/>
  <c r="AK66" i="44"/>
  <c r="W93" i="45"/>
  <c r="AE30" i="44"/>
  <c r="K39" i="33"/>
  <c r="P72" i="45"/>
  <c r="AJ63" i="33"/>
  <c r="I27" i="43"/>
  <c r="L15" i="45"/>
  <c r="Y78" i="33"/>
  <c r="W39" i="45"/>
  <c r="AR69" i="45"/>
  <c r="AO42" i="43"/>
  <c r="AL102" i="44"/>
  <c r="AD69" i="44"/>
  <c r="X63" i="45"/>
  <c r="P54" i="45"/>
  <c r="AQ42" i="44"/>
  <c r="Q87" i="45"/>
  <c r="K75" i="33"/>
  <c r="AN69" i="45"/>
  <c r="AL24" i="33"/>
  <c r="F15" i="33"/>
  <c r="K21" i="33"/>
  <c r="AC96" i="33"/>
  <c r="I72" i="45"/>
  <c r="K78" i="45"/>
  <c r="G18" i="33"/>
  <c r="AA60" i="44"/>
  <c r="AP81" i="33"/>
  <c r="M60" i="44"/>
  <c r="AD9" i="45"/>
  <c r="AN102" i="46"/>
  <c r="AB27" i="44"/>
  <c r="AO18" i="41"/>
  <c r="P18" i="45"/>
  <c r="V42" i="44"/>
  <c r="P51" i="33"/>
  <c r="N60" i="44"/>
  <c r="K84" i="44"/>
  <c r="AL39" i="44"/>
  <c r="F45" i="45"/>
  <c r="P84" i="45"/>
  <c r="X27" i="33"/>
  <c r="H48" i="45"/>
  <c r="W72" i="33"/>
  <c r="AV66" i="43"/>
  <c r="AE18" i="33"/>
  <c r="AI84" i="44"/>
  <c r="R90" i="44"/>
  <c r="AP45" i="45"/>
  <c r="AU72" i="47"/>
  <c r="AO36" i="44"/>
  <c r="S18" i="45"/>
  <c r="AI57" i="44"/>
  <c r="R60" i="45"/>
  <c r="AU72" i="46"/>
  <c r="F72" i="33"/>
  <c r="U60" i="45"/>
  <c r="AC51" i="44"/>
  <c r="O75" i="33"/>
  <c r="AA78" i="45"/>
  <c r="P90" i="33"/>
  <c r="AD54" i="33"/>
  <c r="AO87" i="33"/>
  <c r="AU78" i="41"/>
  <c r="AM30" i="33"/>
  <c r="AR63" i="45"/>
  <c r="N42" i="44"/>
  <c r="AG54" i="44"/>
  <c r="X51" i="33"/>
  <c r="T18" i="45"/>
  <c r="M36" i="44"/>
  <c r="AQ99" i="45"/>
  <c r="AU102" i="47"/>
  <c r="AR87" i="33"/>
  <c r="S39" i="33"/>
  <c r="O63" i="33"/>
  <c r="AF24" i="44"/>
  <c r="AE96" i="44"/>
  <c r="AN48" i="46"/>
  <c r="AN69" i="33"/>
  <c r="AB75" i="33"/>
  <c r="U75" i="44"/>
  <c r="AO99" i="44"/>
  <c r="Z45" i="45"/>
  <c r="Z78" i="44"/>
  <c r="T15" i="33"/>
  <c r="Q24" i="33"/>
  <c r="AJ69" i="44"/>
  <c r="AO33" i="33"/>
  <c r="L36" i="44"/>
  <c r="Q48" i="44"/>
  <c r="AN66" i="33"/>
  <c r="W84" i="33"/>
  <c r="S48" i="44"/>
  <c r="S33" i="44"/>
  <c r="X51" i="44"/>
  <c r="M87" i="33"/>
  <c r="AR48" i="33"/>
  <c r="AC87" i="33"/>
  <c r="AE72" i="45"/>
  <c r="AE36" i="33"/>
  <c r="H30" i="33"/>
  <c r="AG90" i="45"/>
  <c r="AL78" i="44"/>
  <c r="Y51" i="44"/>
  <c r="AP36" i="45"/>
  <c r="I18" i="43"/>
  <c r="K39" i="45"/>
  <c r="AU78" i="46"/>
  <c r="AL45" i="33"/>
  <c r="AN63" i="43"/>
  <c r="X66" i="45"/>
  <c r="I48" i="45"/>
  <c r="K21" i="44"/>
  <c r="AI54" i="33"/>
  <c r="U84" i="33"/>
  <c r="L33" i="44"/>
  <c r="I24" i="43"/>
  <c r="Z63" i="45"/>
  <c r="AV72" i="43"/>
  <c r="AJ96" i="33"/>
  <c r="J96" i="44"/>
  <c r="AK9" i="45"/>
  <c r="AI51" i="33"/>
  <c r="X39" i="44"/>
  <c r="AG30" i="45"/>
  <c r="AG33" i="45"/>
  <c r="I75" i="41"/>
  <c r="AO51" i="33"/>
  <c r="AL15" i="44"/>
  <c r="AO30" i="41"/>
  <c r="AN102" i="43"/>
  <c r="M60" i="33"/>
  <c r="K69" i="44"/>
  <c r="AC15" i="44"/>
  <c r="M24" i="44"/>
  <c r="P60" i="44"/>
  <c r="AU36" i="46"/>
  <c r="AN24" i="45"/>
  <c r="AJ75" i="45"/>
  <c r="AG18" i="33"/>
  <c r="AP102" i="45"/>
  <c r="AR24" i="33"/>
  <c r="K24" i="45"/>
  <c r="AN48" i="45"/>
  <c r="I69" i="44"/>
  <c r="T27" i="44"/>
  <c r="AH42" i="45"/>
  <c r="U63" i="33"/>
  <c r="AI66" i="44"/>
  <c r="AI66" i="45"/>
  <c r="Z42" i="33"/>
  <c r="AK99" i="33"/>
  <c r="AK39" i="44"/>
  <c r="G93" i="33"/>
  <c r="AH45" i="45"/>
  <c r="AV75" i="46"/>
  <c r="X57" i="33"/>
  <c r="N96" i="44"/>
  <c r="U33" i="45"/>
  <c r="R54" i="45"/>
  <c r="P51" i="45"/>
  <c r="AK33" i="44"/>
  <c r="AU96" i="43"/>
  <c r="AN66" i="44"/>
  <c r="G93" i="45"/>
  <c r="P72" i="33"/>
  <c r="F60" i="45"/>
  <c r="AD60" i="45"/>
  <c r="AB30" i="45"/>
  <c r="M42" i="44"/>
  <c r="AP51" i="44"/>
  <c r="V84" i="44"/>
  <c r="U48" i="45"/>
  <c r="H24" i="45"/>
  <c r="I9" i="33"/>
  <c r="AC9" i="44"/>
  <c r="Q75" i="45"/>
  <c r="AG21" i="33"/>
  <c r="AC9" i="33"/>
  <c r="AI93" i="45"/>
  <c r="AQ18" i="33"/>
  <c r="AR81" i="33"/>
  <c r="AV75" i="47"/>
  <c r="AL45" i="44"/>
  <c r="T90" i="33"/>
  <c r="AL9" i="33"/>
  <c r="AA78" i="44"/>
  <c r="X81" i="45"/>
  <c r="AU90" i="41"/>
  <c r="H81" i="45"/>
  <c r="AJ66" i="45"/>
  <c r="Z45" i="44"/>
  <c r="AD24" i="44"/>
  <c r="I87" i="45"/>
  <c r="K15" i="45"/>
  <c r="AN75" i="47"/>
  <c r="AN21" i="45"/>
  <c r="AU15" i="46"/>
  <c r="AJ27" i="44"/>
  <c r="AV27" i="41"/>
  <c r="Y63" i="44"/>
  <c r="AF87" i="33"/>
  <c r="X36" i="44"/>
  <c r="N57" i="45"/>
  <c r="AB30" i="33"/>
  <c r="Z99" i="45"/>
  <c r="W21" i="33"/>
  <c r="AD99" i="44"/>
  <c r="AG78" i="45"/>
  <c r="AF36" i="44"/>
  <c r="I30" i="45"/>
  <c r="I42" i="41"/>
  <c r="AN18" i="46"/>
  <c r="F33" i="44"/>
  <c r="AQ42" i="33"/>
  <c r="AU51" i="41"/>
  <c r="Q21" i="44"/>
  <c r="AJ93" i="44"/>
  <c r="T33" i="44"/>
  <c r="AU69" i="43"/>
  <c r="K93" i="44"/>
  <c r="P75" i="45"/>
  <c r="AV75" i="41"/>
  <c r="H15" i="45"/>
  <c r="I69" i="45"/>
  <c r="V15" i="33"/>
  <c r="I63" i="43"/>
  <c r="AV21" i="43"/>
  <c r="P36" i="44"/>
  <c r="AM24" i="44"/>
  <c r="AA51" i="44"/>
  <c r="AV84" i="41"/>
  <c r="AV18" i="43"/>
  <c r="AH18" i="33"/>
  <c r="H36" i="45"/>
  <c r="AJ72" i="44"/>
  <c r="U24" i="44"/>
  <c r="H69" i="45"/>
  <c r="AV45" i="43"/>
  <c r="F39" i="44"/>
  <c r="W90" i="33"/>
  <c r="AK36" i="33"/>
  <c r="X45" i="44"/>
  <c r="AH39" i="45"/>
  <c r="AB42" i="44"/>
  <c r="AV42" i="41"/>
  <c r="Z54" i="45"/>
  <c r="AJ33" i="44"/>
  <c r="H21" i="33"/>
  <c r="AB72" i="45"/>
  <c r="G42" i="45"/>
  <c r="I93" i="44"/>
  <c r="AE72" i="44"/>
  <c r="AC15" i="33"/>
  <c r="F51" i="44"/>
  <c r="P54" i="33"/>
  <c r="AO21" i="47"/>
  <c r="AN9" i="41"/>
  <c r="AC18" i="33"/>
  <c r="Q30" i="44"/>
  <c r="W102" i="44"/>
  <c r="AD81" i="45"/>
  <c r="AI33" i="44"/>
  <c r="L90" i="44"/>
  <c r="AO75" i="41"/>
  <c r="AM78" i="33"/>
  <c r="P102" i="45"/>
  <c r="AP21" i="45"/>
  <c r="O75" i="44"/>
  <c r="X33" i="45"/>
  <c r="AH66" i="33"/>
  <c r="AB15" i="33"/>
  <c r="R30" i="33"/>
  <c r="AN15" i="41"/>
  <c r="AV78" i="43"/>
  <c r="X102" i="44"/>
  <c r="AC27" i="45"/>
  <c r="AH33" i="45"/>
  <c r="AF30" i="45"/>
  <c r="AO60" i="33"/>
  <c r="S96" i="44"/>
  <c r="AL75" i="45"/>
  <c r="AV36" i="41"/>
  <c r="AA84" i="44"/>
  <c r="AB33" i="45"/>
  <c r="AQ81" i="44"/>
  <c r="Q57" i="45"/>
  <c r="W48" i="45"/>
  <c r="AA9" i="44"/>
  <c r="AH84" i="45"/>
  <c r="M81" i="44"/>
  <c r="AP45" i="33"/>
  <c r="AR57" i="45"/>
  <c r="N72" i="33"/>
  <c r="G36" i="44"/>
  <c r="AQ27" i="45"/>
  <c r="AV78" i="47"/>
  <c r="G15" i="33"/>
  <c r="L99" i="33"/>
  <c r="AO81" i="46"/>
  <c r="AO24" i="41"/>
  <c r="G48" i="45"/>
  <c r="Y93" i="45"/>
  <c r="W54" i="33"/>
  <c r="AO21" i="41"/>
  <c r="F45" i="44"/>
  <c r="AG30" i="44"/>
  <c r="AG66" i="44"/>
  <c r="N90" i="33"/>
  <c r="Y42" i="44"/>
  <c r="N78" i="45"/>
  <c r="M93" i="45"/>
  <c r="I45" i="41"/>
  <c r="U48" i="44"/>
  <c r="AC36" i="44"/>
  <c r="AM69" i="45"/>
  <c r="R69" i="45"/>
  <c r="X93" i="33"/>
  <c r="W45" i="33"/>
  <c r="X69" i="33"/>
  <c r="AI72" i="33"/>
  <c r="AF39" i="33"/>
  <c r="U99" i="45"/>
  <c r="AU69" i="47"/>
  <c r="AE33" i="44"/>
  <c r="AE93" i="45"/>
  <c r="T48" i="44"/>
  <c r="AR78" i="33"/>
  <c r="N24" i="45"/>
  <c r="AH63" i="44"/>
  <c r="R27" i="44"/>
  <c r="AN81" i="33"/>
  <c r="AE78" i="44"/>
  <c r="O51" i="45"/>
  <c r="AV39" i="41"/>
  <c r="AD21" i="33"/>
  <c r="Y48" i="44"/>
  <c r="P39" i="33"/>
  <c r="A22" i="43"/>
  <c r="A21" i="43" s="1"/>
  <c r="I30" i="46"/>
  <c r="AE48" i="44"/>
  <c r="Z63" i="33"/>
  <c r="AB21" i="33"/>
  <c r="AU18" i="46"/>
  <c r="Y39" i="33"/>
  <c r="I93" i="43"/>
  <c r="I18" i="45"/>
  <c r="AU30" i="41"/>
  <c r="A73" i="44"/>
  <c r="A74" i="44" s="1"/>
  <c r="N69" i="44"/>
  <c r="K48" i="45"/>
  <c r="AO57" i="47"/>
  <c r="AE81" i="33"/>
  <c r="Z51" i="44"/>
  <c r="AD87" i="44"/>
  <c r="AP66" i="33"/>
  <c r="G33" i="44"/>
  <c r="E39" i="33"/>
  <c r="X81" i="33"/>
  <c r="A34" i="33"/>
  <c r="A35" i="33" s="1"/>
  <c r="AU51" i="43"/>
  <c r="AU78" i="47"/>
  <c r="P81" i="45"/>
  <c r="K51" i="33"/>
  <c r="A43" i="45"/>
  <c r="A44" i="45" s="1"/>
  <c r="AC27" i="33"/>
  <c r="M30" i="45"/>
  <c r="A91" i="44"/>
  <c r="A90" i="44" s="1"/>
  <c r="AA57" i="44"/>
  <c r="AD39" i="44"/>
  <c r="AM27" i="33"/>
  <c r="K90" i="33"/>
  <c r="A82" i="45"/>
  <c r="A81" i="45" s="1"/>
  <c r="AJ18" i="45"/>
  <c r="R45" i="45"/>
  <c r="A79" i="33"/>
  <c r="A78" i="33" s="1"/>
  <c r="AB87" i="33"/>
  <c r="AK87" i="45"/>
  <c r="A43" i="41"/>
  <c r="A42" i="41" s="1"/>
  <c r="T66" i="33"/>
  <c r="S51" i="33"/>
  <c r="A64" i="41"/>
  <c r="A63" i="41" s="1"/>
  <c r="A28" i="44"/>
  <c r="A27" i="44" s="1"/>
  <c r="J72" i="44"/>
  <c r="N75" i="45"/>
  <c r="AO63" i="41"/>
  <c r="A85" i="45"/>
  <c r="A86" i="45" s="1"/>
  <c r="I75" i="43"/>
  <c r="A40" i="46"/>
  <c r="A41" i="46" s="1"/>
  <c r="M90" i="44"/>
  <c r="AI63" i="33"/>
  <c r="E21" i="44"/>
  <c r="AA51" i="45"/>
  <c r="AP75" i="44"/>
  <c r="AU96" i="46"/>
  <c r="S90" i="45"/>
  <c r="I81" i="33"/>
  <c r="M78" i="33"/>
  <c r="T27" i="33"/>
  <c r="W66" i="44"/>
  <c r="K24" i="33"/>
  <c r="AO54" i="44"/>
  <c r="AQ69" i="33"/>
  <c r="A94" i="46"/>
  <c r="A95" i="46" s="1"/>
  <c r="A61" i="47"/>
  <c r="A62" i="47" s="1"/>
  <c r="I54" i="43"/>
  <c r="E51" i="33"/>
  <c r="AJ21" i="44"/>
  <c r="I36" i="45"/>
  <c r="K87" i="44"/>
  <c r="AN90" i="45"/>
  <c r="L24" i="45"/>
  <c r="AN21" i="47"/>
  <c r="AO93" i="45"/>
  <c r="AA96" i="44"/>
  <c r="O72" i="44"/>
  <c r="AK45" i="33"/>
  <c r="X18" i="33"/>
  <c r="AO72" i="41"/>
  <c r="AP57" i="45"/>
  <c r="AO66" i="47"/>
  <c r="A52" i="43"/>
  <c r="A53" i="43" s="1"/>
  <c r="AN39" i="46"/>
  <c r="AP24" i="44"/>
  <c r="AP57" i="44"/>
  <c r="AE75" i="44"/>
  <c r="M63" i="45"/>
  <c r="AN84" i="44"/>
  <c r="S99" i="45"/>
  <c r="A82" i="44"/>
  <c r="A81" i="44" s="1"/>
  <c r="AK93" i="33"/>
  <c r="I45" i="46"/>
  <c r="AV42" i="43"/>
  <c r="AU87" i="46"/>
  <c r="N81" i="44"/>
  <c r="L81" i="33"/>
  <c r="AC99" i="44"/>
  <c r="AP51" i="33"/>
  <c r="AG102" i="33"/>
  <c r="K99" i="45"/>
  <c r="AI33" i="45"/>
  <c r="A91" i="33"/>
  <c r="A92" i="33" s="1"/>
  <c r="Z9" i="33"/>
  <c r="AD54" i="44"/>
  <c r="Z9" i="45"/>
  <c r="AU87" i="41"/>
  <c r="AV27" i="46"/>
  <c r="AC48" i="33"/>
  <c r="AV69" i="43"/>
  <c r="H54" i="44"/>
  <c r="U9" i="41"/>
  <c r="Z9" i="44"/>
  <c r="AL30" i="33"/>
  <c r="AG99" i="44"/>
  <c r="X24" i="47"/>
  <c r="Y27" i="47"/>
  <c r="X18" i="46"/>
  <c r="AO45" i="41"/>
  <c r="AF21" i="47"/>
  <c r="O18" i="33"/>
  <c r="R57" i="46"/>
  <c r="AJ39" i="45"/>
  <c r="M72" i="44"/>
  <c r="W81" i="46"/>
  <c r="J63" i="33"/>
  <c r="X84" i="46"/>
  <c r="AC90" i="45"/>
  <c r="AD9" i="33"/>
  <c r="G66" i="45"/>
  <c r="R36" i="45"/>
  <c r="H81" i="33"/>
  <c r="AD63" i="33"/>
  <c r="AD87" i="43"/>
  <c r="AL27" i="46"/>
  <c r="AC63" i="41"/>
  <c r="Q81" i="43"/>
  <c r="AA39" i="47"/>
  <c r="X63" i="44"/>
  <c r="AL21" i="44"/>
  <c r="I96" i="33"/>
  <c r="Q60" i="41"/>
  <c r="AB15" i="45"/>
  <c r="U36" i="45"/>
  <c r="H51" i="45"/>
  <c r="J33" i="43"/>
  <c r="S27" i="45"/>
  <c r="AC39" i="45"/>
  <c r="AA81" i="33"/>
  <c r="AL60" i="46"/>
  <c r="O93" i="47"/>
  <c r="AF9" i="44"/>
  <c r="AN27" i="45"/>
  <c r="V51" i="33"/>
  <c r="S9" i="47"/>
  <c r="Q96" i="46"/>
  <c r="N36" i="33"/>
  <c r="Q66" i="43"/>
  <c r="AM48" i="45"/>
  <c r="S63" i="47"/>
  <c r="AQ15" i="33"/>
  <c r="T78" i="33"/>
  <c r="K24" i="46"/>
  <c r="X60" i="43"/>
  <c r="AO84" i="46"/>
  <c r="I51" i="33"/>
  <c r="M63" i="47"/>
  <c r="AG15" i="44"/>
  <c r="AF51" i="45"/>
  <c r="H24" i="33"/>
  <c r="AM75" i="45"/>
  <c r="AH21" i="46"/>
  <c r="AF87" i="44"/>
  <c r="N102" i="47"/>
  <c r="P78" i="45"/>
  <c r="AP48" i="45"/>
  <c r="K57" i="45"/>
  <c r="Z27" i="43"/>
  <c r="AA72" i="33"/>
  <c r="K96" i="41"/>
  <c r="U24" i="33"/>
  <c r="AL87" i="33"/>
  <c r="AF24" i="33"/>
  <c r="L54" i="44"/>
  <c r="AA9" i="43"/>
  <c r="AV66" i="47"/>
  <c r="AL96" i="47"/>
  <c r="AN78" i="44"/>
  <c r="AQ63" i="47"/>
  <c r="AM99" i="43"/>
  <c r="S69" i="44"/>
  <c r="R48" i="44"/>
  <c r="G102" i="45"/>
  <c r="AV21" i="41"/>
  <c r="M15" i="33"/>
  <c r="AI102" i="45"/>
  <c r="S60" i="33"/>
  <c r="Z96" i="47"/>
  <c r="AB54" i="46"/>
  <c r="S9" i="46"/>
  <c r="AA18" i="41"/>
  <c r="AG33" i="33"/>
  <c r="J51" i="43"/>
  <c r="X27" i="46"/>
  <c r="AQ15" i="45"/>
  <c r="Y87" i="44"/>
  <c r="AE42" i="44"/>
  <c r="S42" i="43"/>
  <c r="I21" i="33"/>
  <c r="AG60" i="41"/>
  <c r="N57" i="41"/>
  <c r="Q42" i="33"/>
  <c r="AE93" i="47"/>
  <c r="Q93" i="47"/>
  <c r="AV69" i="46"/>
  <c r="AD99" i="47"/>
  <c r="Q21" i="45"/>
  <c r="AM48" i="46"/>
  <c r="AG93" i="33"/>
  <c r="X93" i="46"/>
  <c r="T66" i="44"/>
  <c r="AS75" i="47"/>
  <c r="X36" i="41"/>
  <c r="Q78" i="41"/>
  <c r="AM69" i="46"/>
  <c r="O66" i="41"/>
  <c r="V99" i="43"/>
  <c r="M9" i="44"/>
  <c r="AG69" i="46"/>
  <c r="AQ60" i="47"/>
  <c r="AM48" i="47"/>
  <c r="AP45" i="44"/>
  <c r="P33" i="47"/>
  <c r="AC48" i="47"/>
  <c r="L57" i="44"/>
  <c r="L96" i="46"/>
  <c r="AH102" i="47"/>
  <c r="Z42" i="47"/>
  <c r="O42" i="47"/>
  <c r="AD42" i="43"/>
  <c r="AO51" i="41"/>
  <c r="AB66" i="41"/>
  <c r="Q51" i="43"/>
  <c r="R66" i="33"/>
  <c r="AN15" i="44"/>
  <c r="AC84" i="41"/>
  <c r="AH63" i="45"/>
  <c r="T27" i="47"/>
  <c r="N30" i="44"/>
  <c r="X96" i="47"/>
  <c r="AN57" i="43"/>
  <c r="K78" i="44"/>
  <c r="AO96" i="44"/>
  <c r="AS69" i="47"/>
  <c r="N27" i="41"/>
  <c r="AO99" i="43"/>
  <c r="Y36" i="45"/>
  <c r="AD69" i="45"/>
  <c r="AA21" i="44"/>
  <c r="L81" i="45"/>
  <c r="AI42" i="43"/>
  <c r="K102" i="45"/>
  <c r="H27" i="45"/>
  <c r="P99" i="46"/>
  <c r="AO93" i="41"/>
  <c r="AP93" i="47"/>
  <c r="N84" i="41"/>
  <c r="AG27" i="47"/>
  <c r="W81" i="41"/>
  <c r="L30" i="43"/>
  <c r="AR90" i="45"/>
  <c r="AI63" i="45"/>
  <c r="Z66" i="33"/>
  <c r="S81" i="33"/>
  <c r="AM99" i="46"/>
  <c r="L51" i="46"/>
  <c r="AD69" i="41"/>
  <c r="AM30" i="43"/>
  <c r="AD60" i="41"/>
  <c r="AH81" i="41"/>
  <c r="Z30" i="46"/>
  <c r="W33" i="47"/>
  <c r="AK84" i="33"/>
  <c r="AL72" i="47"/>
  <c r="AL21" i="47"/>
  <c r="AF48" i="46"/>
  <c r="AC48" i="44"/>
  <c r="V69" i="33"/>
  <c r="M93" i="44"/>
  <c r="O30" i="47"/>
  <c r="J42" i="43"/>
  <c r="AE30" i="46"/>
  <c r="AJ75" i="44"/>
  <c r="AD51" i="47"/>
  <c r="W81" i="45"/>
  <c r="AR15" i="44"/>
  <c r="T87" i="45"/>
  <c r="AI27" i="44"/>
  <c r="R30" i="47"/>
  <c r="AH99" i="43"/>
  <c r="AV69" i="41"/>
  <c r="AQ9" i="46"/>
  <c r="N30" i="47"/>
  <c r="AN78" i="47"/>
  <c r="U72" i="47"/>
  <c r="H45" i="33"/>
  <c r="L81" i="41"/>
  <c r="AG36" i="44"/>
  <c r="S39" i="44"/>
  <c r="AC33" i="45"/>
  <c r="AE36" i="44"/>
  <c r="Z63" i="46"/>
  <c r="I39" i="41"/>
  <c r="AK66" i="45"/>
  <c r="M78" i="41"/>
  <c r="L21" i="44"/>
  <c r="S48" i="45"/>
  <c r="R96" i="44"/>
  <c r="AF69" i="33"/>
  <c r="S87" i="47"/>
  <c r="N99" i="45"/>
  <c r="O81" i="44"/>
  <c r="J102" i="41"/>
  <c r="AF66" i="47"/>
  <c r="Y72" i="41"/>
  <c r="J57" i="44"/>
  <c r="AN63" i="46"/>
  <c r="N36" i="47"/>
  <c r="I75" i="33"/>
  <c r="P75" i="46"/>
  <c r="AC24" i="44"/>
  <c r="S24" i="41"/>
  <c r="Y90" i="41"/>
  <c r="R27" i="43"/>
  <c r="AN99" i="43"/>
  <c r="AQ99" i="44"/>
  <c r="R33" i="46"/>
  <c r="AM78" i="47"/>
  <c r="T81" i="41"/>
  <c r="N63" i="44"/>
  <c r="K69" i="43"/>
  <c r="H60" i="45"/>
  <c r="T15" i="45"/>
  <c r="K51" i="45"/>
  <c r="N93" i="47"/>
  <c r="Y30" i="46"/>
  <c r="I72" i="47"/>
  <c r="AA42" i="43"/>
  <c r="AB84" i="33"/>
  <c r="AA57" i="46"/>
  <c r="Q54" i="47"/>
  <c r="R51" i="33"/>
  <c r="M42" i="47"/>
  <c r="AR63" i="33"/>
  <c r="M102" i="43"/>
  <c r="AU9" i="43"/>
  <c r="AK102" i="47"/>
  <c r="AL42" i="44"/>
  <c r="AM24" i="45"/>
  <c r="L72" i="43"/>
  <c r="N99" i="47"/>
  <c r="S69" i="47"/>
  <c r="W36" i="43"/>
  <c r="T51" i="44"/>
  <c r="R48" i="33"/>
  <c r="Z81" i="47"/>
  <c r="K81" i="47"/>
  <c r="J51" i="44"/>
  <c r="L72" i="41"/>
  <c r="N15" i="41"/>
  <c r="AM39" i="47"/>
  <c r="I60" i="46"/>
  <c r="AN54" i="41"/>
  <c r="W45" i="43"/>
  <c r="K45" i="44"/>
  <c r="AA87" i="45"/>
  <c r="AK33" i="46"/>
  <c r="X27" i="41"/>
  <c r="G15" i="44"/>
  <c r="AP75" i="47"/>
  <c r="AG96" i="33"/>
  <c r="J93" i="45"/>
  <c r="AH102" i="44"/>
  <c r="X21" i="44"/>
  <c r="AJ69" i="33"/>
  <c r="AC93" i="46"/>
  <c r="N54" i="47"/>
  <c r="J81" i="41"/>
  <c r="AD24" i="33"/>
  <c r="AL9" i="47"/>
  <c r="AN45" i="43"/>
  <c r="W63" i="43"/>
  <c r="K69" i="45"/>
  <c r="T72" i="47"/>
  <c r="AR60" i="44"/>
  <c r="K27" i="44"/>
  <c r="AK54" i="47"/>
  <c r="AN45" i="41"/>
  <c r="M36" i="41"/>
  <c r="S66" i="44"/>
  <c r="T9" i="41"/>
  <c r="U18" i="44"/>
  <c r="AE42" i="43"/>
  <c r="AK96" i="47"/>
  <c r="AB75" i="41"/>
  <c r="M36" i="47"/>
  <c r="R39" i="33"/>
  <c r="AO81" i="33"/>
  <c r="O48" i="43"/>
  <c r="V27" i="43"/>
  <c r="AK69" i="45"/>
  <c r="AM42" i="43"/>
  <c r="H21" i="45"/>
  <c r="M45" i="46"/>
  <c r="L87" i="46"/>
  <c r="P66" i="41"/>
  <c r="AI24" i="46"/>
  <c r="AC81" i="43"/>
  <c r="L27" i="47"/>
  <c r="R75" i="46"/>
  <c r="W78" i="47"/>
  <c r="O27" i="43"/>
  <c r="AR30" i="33"/>
  <c r="Z57" i="33"/>
  <c r="J66" i="45"/>
  <c r="U84" i="41"/>
  <c r="X96" i="33"/>
  <c r="U15" i="44"/>
  <c r="AJ66" i="41"/>
  <c r="AF60" i="43"/>
  <c r="AM84" i="41"/>
  <c r="AQ51" i="33"/>
  <c r="AJ33" i="45"/>
  <c r="AF30" i="44"/>
  <c r="P36" i="45"/>
  <c r="AD66" i="47"/>
  <c r="AI39" i="33"/>
  <c r="U57" i="47"/>
  <c r="J27" i="41"/>
  <c r="N93" i="46"/>
  <c r="L36" i="46"/>
  <c r="X72" i="45"/>
  <c r="R9" i="44"/>
  <c r="U84" i="43"/>
  <c r="AS63" i="47"/>
  <c r="AA90" i="44"/>
  <c r="AC93" i="41"/>
  <c r="T21" i="33"/>
  <c r="J75" i="41"/>
  <c r="AL24" i="45"/>
  <c r="AK69" i="46"/>
  <c r="G30" i="33"/>
  <c r="AU45" i="47"/>
  <c r="AV33" i="46"/>
  <c r="O30" i="43"/>
  <c r="AO27" i="47"/>
  <c r="AO9" i="43"/>
  <c r="AG72" i="33"/>
  <c r="AD9" i="41"/>
  <c r="V63" i="46"/>
  <c r="AR87" i="44"/>
  <c r="P39" i="46"/>
  <c r="AO45" i="45"/>
  <c r="AM18" i="43"/>
  <c r="U36" i="43"/>
  <c r="J18" i="45"/>
  <c r="N69" i="46"/>
  <c r="M78" i="43"/>
  <c r="AQ33" i="44"/>
  <c r="AO30" i="44"/>
  <c r="AE96" i="43"/>
  <c r="AI60" i="41"/>
  <c r="I90" i="47"/>
  <c r="Y9" i="33"/>
  <c r="V30" i="33"/>
  <c r="M30" i="33"/>
  <c r="O30" i="44"/>
  <c r="AK18" i="44"/>
  <c r="AJ99" i="47"/>
  <c r="X30" i="33"/>
  <c r="F45" i="33"/>
  <c r="AJ66" i="33"/>
  <c r="M21" i="41"/>
  <c r="AG72" i="45"/>
  <c r="N33" i="33"/>
  <c r="AK75" i="47"/>
  <c r="I33" i="33"/>
  <c r="K102" i="43"/>
  <c r="P48" i="44"/>
  <c r="Q81" i="47"/>
  <c r="AV81" i="43"/>
  <c r="AJ87" i="33"/>
  <c r="R84" i="41"/>
  <c r="AD36" i="47"/>
  <c r="U33" i="46"/>
  <c r="O75" i="47"/>
  <c r="R48" i="47"/>
  <c r="Z54" i="47"/>
  <c r="AJ69" i="45"/>
  <c r="AH24" i="33"/>
  <c r="N21" i="33"/>
  <c r="AF27" i="45"/>
  <c r="Q90" i="33"/>
  <c r="V81" i="43"/>
  <c r="AK51" i="44"/>
  <c r="AN99" i="45"/>
  <c r="J81" i="46"/>
  <c r="K33" i="44"/>
  <c r="AB27" i="45"/>
  <c r="V33" i="46"/>
  <c r="K78" i="46"/>
  <c r="AN84" i="33"/>
  <c r="M42" i="33"/>
  <c r="AJ66" i="46"/>
  <c r="AB39" i="41"/>
  <c r="W18" i="46"/>
  <c r="G90" i="45"/>
  <c r="X93" i="44"/>
  <c r="T21" i="45"/>
  <c r="Q33" i="45"/>
  <c r="AL99" i="43"/>
  <c r="P78" i="33"/>
  <c r="AH21" i="41"/>
  <c r="U42" i="41"/>
  <c r="AD69" i="47"/>
  <c r="AN42" i="46"/>
  <c r="J78" i="45"/>
  <c r="N60" i="46"/>
  <c r="T69" i="45"/>
  <c r="R15" i="45"/>
  <c r="P63" i="43"/>
  <c r="Q42" i="46"/>
  <c r="T45" i="47"/>
  <c r="Z72" i="44"/>
  <c r="I54" i="44"/>
  <c r="AO81" i="41"/>
  <c r="AF27" i="43"/>
  <c r="AJ54" i="47"/>
  <c r="L57" i="45"/>
  <c r="L21" i="43"/>
  <c r="AD9" i="46"/>
  <c r="M93" i="41"/>
  <c r="J18" i="33"/>
  <c r="H39" i="44"/>
  <c r="AA51" i="46"/>
  <c r="R69" i="47"/>
  <c r="N99" i="43"/>
  <c r="AD96" i="46"/>
  <c r="AH63" i="41"/>
  <c r="U81" i="47"/>
  <c r="AQ84" i="45"/>
  <c r="M78" i="47"/>
  <c r="AH48" i="33"/>
  <c r="AU60" i="43"/>
  <c r="AQ87" i="45"/>
  <c r="Z36" i="33"/>
  <c r="Z39" i="33"/>
  <c r="S93" i="45"/>
  <c r="M51" i="47"/>
  <c r="T81" i="44"/>
  <c r="Y51" i="46"/>
  <c r="AL45" i="41"/>
  <c r="AF48" i="47"/>
  <c r="AB51" i="33"/>
  <c r="AL39" i="33"/>
  <c r="AC36" i="46"/>
  <c r="X15" i="44"/>
  <c r="R39" i="47"/>
  <c r="M9" i="45"/>
  <c r="F72" i="44"/>
  <c r="R99" i="45"/>
  <c r="AF42" i="45"/>
  <c r="AH63" i="47"/>
  <c r="P27" i="33"/>
  <c r="T75" i="46"/>
  <c r="AC18" i="46"/>
  <c r="AH33" i="46"/>
  <c r="AM63" i="43"/>
  <c r="V87" i="44"/>
  <c r="AS9" i="47"/>
  <c r="X69" i="45"/>
  <c r="N27" i="47"/>
  <c r="S51" i="47"/>
  <c r="AO66" i="41"/>
  <c r="AM27" i="47"/>
  <c r="S9" i="45"/>
  <c r="I42" i="47"/>
  <c r="P96" i="33"/>
  <c r="O30" i="41"/>
  <c r="K63" i="45"/>
  <c r="AE66" i="44"/>
  <c r="U78" i="41"/>
  <c r="X87" i="47"/>
  <c r="F51" i="33"/>
  <c r="T99" i="45"/>
  <c r="AB36" i="41"/>
  <c r="AN63" i="41"/>
  <c r="Q18" i="33"/>
  <c r="U69" i="47"/>
  <c r="AH78" i="43"/>
  <c r="AC54" i="33"/>
  <c r="AG30" i="47"/>
  <c r="U72" i="46"/>
  <c r="AA54" i="46"/>
  <c r="X66" i="46"/>
  <c r="AE60" i="33"/>
  <c r="AT75" i="47"/>
  <c r="Z87" i="45"/>
  <c r="AQ24" i="45"/>
  <c r="AA18" i="44"/>
  <c r="I93" i="46"/>
  <c r="AH63" i="46"/>
  <c r="T39" i="44"/>
  <c r="J102" i="46"/>
  <c r="H84" i="33"/>
  <c r="O18" i="44"/>
  <c r="W90" i="46"/>
  <c r="T72" i="43"/>
  <c r="AP9" i="46"/>
  <c r="Y66" i="47"/>
  <c r="AK42" i="43"/>
  <c r="X72" i="33"/>
  <c r="L21" i="46"/>
  <c r="AK18" i="33"/>
  <c r="AH39" i="33"/>
  <c r="X36" i="46"/>
  <c r="L30" i="45"/>
  <c r="AU42" i="46"/>
  <c r="O99" i="44"/>
  <c r="AU18" i="41"/>
  <c r="M21" i="33"/>
  <c r="AO90" i="45"/>
  <c r="AL102" i="43"/>
  <c r="Z81" i="43"/>
  <c r="Q39" i="43"/>
  <c r="O33" i="33"/>
  <c r="AH60" i="47"/>
  <c r="AG102" i="46"/>
  <c r="AA51" i="33"/>
  <c r="AA84" i="46"/>
  <c r="O63" i="46"/>
  <c r="N18" i="45"/>
  <c r="P33" i="43"/>
  <c r="V42" i="41"/>
  <c r="P96" i="41"/>
  <c r="L102" i="46"/>
  <c r="AJ24" i="33"/>
  <c r="O27" i="45"/>
  <c r="AK18" i="41"/>
  <c r="AL45" i="47"/>
  <c r="U24" i="41"/>
  <c r="T66" i="43"/>
  <c r="T30" i="46"/>
  <c r="AD18" i="46"/>
  <c r="AM54" i="41"/>
  <c r="R60" i="46"/>
  <c r="AK45" i="41"/>
  <c r="W42" i="47"/>
  <c r="R93" i="33"/>
  <c r="U93" i="33"/>
  <c r="Q72" i="45"/>
  <c r="O15" i="41"/>
  <c r="AQ21" i="33"/>
  <c r="F33" i="33"/>
  <c r="AR57" i="47"/>
  <c r="AA66" i="43"/>
  <c r="AM63" i="46"/>
  <c r="AR93" i="47"/>
  <c r="AR81" i="44"/>
  <c r="AF87" i="43"/>
  <c r="U54" i="41"/>
  <c r="AS99" i="47"/>
  <c r="Z18" i="41"/>
  <c r="N45" i="33"/>
  <c r="AP9" i="47"/>
  <c r="L99" i="43"/>
  <c r="AP75" i="33"/>
  <c r="Z81" i="41"/>
  <c r="AA42" i="41"/>
  <c r="AA27" i="47"/>
  <c r="F48" i="45"/>
  <c r="AJ72" i="47"/>
  <c r="AG42" i="33"/>
  <c r="AI39" i="41"/>
  <c r="AM33" i="47"/>
  <c r="V39" i="41"/>
  <c r="P102" i="44"/>
  <c r="AJ51" i="46"/>
  <c r="AR69" i="47"/>
  <c r="AC39" i="44"/>
  <c r="S21" i="33"/>
  <c r="G60" i="44"/>
  <c r="K102" i="46"/>
  <c r="AI69" i="44"/>
  <c r="AI18" i="45"/>
  <c r="T21" i="46"/>
  <c r="Z63" i="47"/>
  <c r="N87" i="41"/>
  <c r="R69" i="41"/>
  <c r="L60" i="33"/>
  <c r="W30" i="45"/>
  <c r="I90" i="46"/>
  <c r="AI18" i="47"/>
  <c r="X39" i="33"/>
  <c r="U54" i="44"/>
  <c r="AG81" i="46"/>
  <c r="R87" i="46"/>
  <c r="P60" i="33"/>
  <c r="AV96" i="47"/>
  <c r="AH93" i="41"/>
  <c r="AA30" i="47"/>
  <c r="Q21" i="47"/>
  <c r="U81" i="45"/>
  <c r="AJ81" i="43"/>
  <c r="AR54" i="47"/>
  <c r="Z57" i="41"/>
  <c r="AF84" i="44"/>
  <c r="AM24" i="33"/>
  <c r="AG87" i="44"/>
  <c r="AF36" i="43"/>
  <c r="X99" i="43"/>
  <c r="V57" i="46"/>
  <c r="AN30" i="33"/>
  <c r="AU93" i="43"/>
  <c r="AM96" i="45"/>
  <c r="AM21" i="44"/>
  <c r="J63" i="43"/>
  <c r="AL57" i="43"/>
  <c r="T33" i="33"/>
  <c r="T102" i="44"/>
  <c r="AG30" i="33"/>
  <c r="AK15" i="47"/>
  <c r="AA78" i="41"/>
  <c r="AC39" i="41"/>
  <c r="AL81" i="43"/>
  <c r="AI57" i="41"/>
  <c r="AD84" i="44"/>
  <c r="AK42" i="45"/>
  <c r="AA15" i="43"/>
  <c r="N33" i="44"/>
  <c r="Z72" i="47"/>
  <c r="AC102" i="41"/>
  <c r="AI45" i="45"/>
  <c r="AE42" i="45"/>
  <c r="AR66" i="45"/>
  <c r="T87" i="44"/>
  <c r="AB96" i="45"/>
  <c r="S48" i="41"/>
  <c r="Q24" i="46"/>
  <c r="Z42" i="41"/>
  <c r="AG60" i="33"/>
  <c r="AI15" i="44"/>
  <c r="AL102" i="47"/>
  <c r="I27" i="45"/>
  <c r="AN54" i="46"/>
  <c r="AC69" i="33"/>
  <c r="X99" i="41"/>
  <c r="S102" i="47"/>
  <c r="Q48" i="47"/>
  <c r="AB63" i="47"/>
  <c r="AG48" i="33"/>
  <c r="AR72" i="33"/>
  <c r="R63" i="43"/>
  <c r="U30" i="45"/>
  <c r="AL54" i="46"/>
  <c r="AM96" i="43"/>
  <c r="AG90" i="44"/>
  <c r="AE9" i="45"/>
  <c r="AJ96" i="45"/>
  <c r="U39" i="33"/>
  <c r="J39" i="47"/>
  <c r="AA27" i="46"/>
  <c r="AM27" i="44"/>
  <c r="K33" i="33"/>
  <c r="AU75" i="46"/>
  <c r="I48" i="33"/>
  <c r="M39" i="46"/>
  <c r="I15" i="46"/>
  <c r="H93" i="45"/>
  <c r="AE63" i="46"/>
  <c r="AR30" i="44"/>
  <c r="AC72" i="47"/>
  <c r="AG39" i="46"/>
  <c r="AQ9" i="44"/>
  <c r="AF63" i="44"/>
  <c r="AR57" i="44"/>
  <c r="H57" i="33"/>
  <c r="AV102" i="41"/>
  <c r="Q60" i="45"/>
  <c r="L57" i="41"/>
  <c r="P84" i="41"/>
  <c r="R42" i="47"/>
  <c r="X72" i="43"/>
  <c r="V90" i="45"/>
  <c r="AU66" i="43"/>
  <c r="AG54" i="41"/>
  <c r="AE27" i="44"/>
  <c r="J9" i="33"/>
  <c r="W93" i="43"/>
  <c r="U66" i="33"/>
  <c r="S102" i="44"/>
  <c r="X63" i="41"/>
  <c r="K96" i="46"/>
  <c r="O57" i="45"/>
  <c r="L24" i="47"/>
  <c r="S18" i="47"/>
  <c r="AD81" i="43"/>
  <c r="Y48" i="33"/>
  <c r="N54" i="43"/>
  <c r="I84" i="47"/>
  <c r="P81" i="44"/>
  <c r="AR96" i="44"/>
  <c r="M21" i="46"/>
  <c r="AL66" i="45"/>
  <c r="AD51" i="43"/>
  <c r="AV78" i="46"/>
  <c r="R72" i="46"/>
  <c r="R27" i="45"/>
  <c r="AD87" i="47"/>
  <c r="AD27" i="45"/>
  <c r="W21" i="41"/>
  <c r="Z42" i="45"/>
  <c r="AD75" i="46"/>
  <c r="AE33" i="33"/>
  <c r="AR60" i="33"/>
  <c r="L39" i="44"/>
  <c r="T36" i="44"/>
  <c r="AO15" i="47"/>
  <c r="AN90" i="44"/>
  <c r="Y72" i="47"/>
  <c r="AL75" i="41"/>
  <c r="H30" i="44"/>
  <c r="AL24" i="47"/>
  <c r="AO9" i="44"/>
  <c r="AH102" i="45"/>
  <c r="AH36" i="33"/>
  <c r="AD21" i="44"/>
  <c r="AI99" i="46"/>
  <c r="AI69" i="43"/>
  <c r="AA75" i="33"/>
  <c r="W96" i="41"/>
  <c r="AL102" i="45"/>
  <c r="J78" i="33"/>
  <c r="R60" i="47"/>
  <c r="AB87" i="41"/>
  <c r="Q66" i="44"/>
  <c r="S18" i="43"/>
  <c r="W48" i="46"/>
  <c r="M33" i="45"/>
  <c r="L39" i="43"/>
  <c r="AE102" i="46"/>
  <c r="T24" i="43"/>
  <c r="Q36" i="33"/>
  <c r="Y99" i="47"/>
  <c r="AO78" i="33"/>
  <c r="Y75" i="41"/>
  <c r="N93" i="41"/>
  <c r="V63" i="41"/>
  <c r="AH93" i="47"/>
  <c r="AJ15" i="43"/>
  <c r="X102" i="43"/>
  <c r="AI90" i="41"/>
  <c r="AF54" i="44"/>
  <c r="I78" i="45"/>
  <c r="AM36" i="43"/>
  <c r="AJ33" i="47"/>
  <c r="AP30" i="45"/>
  <c r="K102" i="47"/>
  <c r="AJ24" i="41"/>
  <c r="AL72" i="33"/>
  <c r="AJ39" i="47"/>
  <c r="AH33" i="41"/>
  <c r="AK24" i="41"/>
  <c r="V30" i="47"/>
  <c r="U18" i="43"/>
  <c r="T87" i="41"/>
  <c r="AI24" i="41"/>
  <c r="L30" i="44"/>
  <c r="AC42" i="47"/>
  <c r="AC24" i="43"/>
  <c r="AA36" i="33"/>
  <c r="AJ66" i="43"/>
  <c r="AE42" i="33"/>
  <c r="M33" i="33"/>
  <c r="AE51" i="46"/>
  <c r="AB99" i="47"/>
  <c r="S60" i="43"/>
  <c r="AB57" i="47"/>
  <c r="K87" i="43"/>
  <c r="AK9" i="41"/>
  <c r="J72" i="43"/>
  <c r="I102" i="47"/>
  <c r="AV60" i="43"/>
  <c r="N84" i="33"/>
  <c r="AF81" i="45"/>
  <c r="AJ18" i="44"/>
  <c r="X42" i="45"/>
  <c r="V63" i="47"/>
  <c r="AI102" i="47"/>
  <c r="R57" i="44"/>
  <c r="AD96" i="47"/>
  <c r="AJ21" i="45"/>
  <c r="Z18" i="33"/>
  <c r="AG66" i="45"/>
  <c r="AK39" i="43"/>
  <c r="U9" i="45"/>
  <c r="N51" i="41"/>
  <c r="R54" i="44"/>
  <c r="AB93" i="44"/>
  <c r="L60" i="47"/>
  <c r="AA81" i="45"/>
  <c r="W21" i="43"/>
  <c r="AM39" i="41"/>
  <c r="AQ63" i="33"/>
  <c r="J48" i="45"/>
  <c r="K18" i="41"/>
  <c r="U9" i="33"/>
  <c r="AD48" i="43"/>
  <c r="AC69" i="46"/>
  <c r="L84" i="45"/>
  <c r="AM90" i="44"/>
  <c r="AR18" i="45"/>
  <c r="R24" i="45"/>
  <c r="AA15" i="44"/>
  <c r="L81" i="43"/>
  <c r="AE15" i="44"/>
  <c r="V27" i="46"/>
  <c r="K96" i="47"/>
  <c r="AJ84" i="45"/>
  <c r="R72" i="41"/>
  <c r="AK60" i="44"/>
  <c r="AH51" i="47"/>
  <c r="AJ9" i="44"/>
  <c r="AE66" i="41"/>
  <c r="AO36" i="43"/>
  <c r="O33" i="41"/>
  <c r="K21" i="43"/>
  <c r="P33" i="44"/>
  <c r="AU21" i="46"/>
  <c r="AJ93" i="33"/>
  <c r="AI15" i="46"/>
  <c r="AH78" i="45"/>
  <c r="S78" i="43"/>
  <c r="Y15" i="46"/>
  <c r="P75" i="33"/>
  <c r="K87" i="41"/>
  <c r="AI45" i="33"/>
  <c r="Q48" i="33"/>
  <c r="AN63" i="44"/>
  <c r="N57" i="46"/>
  <c r="T69" i="46"/>
  <c r="O87" i="45"/>
  <c r="AQ81" i="45"/>
  <c r="Q54" i="44"/>
  <c r="AO72" i="44"/>
  <c r="I78" i="46"/>
  <c r="AQ9" i="45"/>
  <c r="Z93" i="41"/>
  <c r="AH9" i="45"/>
  <c r="AU81" i="43"/>
  <c r="X42" i="43"/>
  <c r="AJ36" i="43"/>
  <c r="Q96" i="45"/>
  <c r="AS54" i="47"/>
  <c r="AI15" i="33"/>
  <c r="K57" i="33"/>
  <c r="T63" i="47"/>
  <c r="L81" i="44"/>
  <c r="AJ75" i="41"/>
  <c r="R57" i="43"/>
  <c r="W60" i="46"/>
  <c r="U27" i="46"/>
  <c r="H45" i="44"/>
  <c r="AI99" i="41"/>
  <c r="V87" i="33"/>
  <c r="W30" i="47"/>
  <c r="K54" i="47"/>
  <c r="I18" i="44"/>
  <c r="AA42" i="47"/>
  <c r="AN33" i="46"/>
  <c r="N102" i="33"/>
  <c r="AV63" i="43"/>
  <c r="AJ81" i="46"/>
  <c r="I96" i="46"/>
  <c r="S93" i="44"/>
  <c r="K48" i="41"/>
  <c r="N72" i="47"/>
  <c r="S75" i="33"/>
  <c r="AR27" i="44"/>
  <c r="N75" i="33"/>
  <c r="AR72" i="47"/>
  <c r="AO78" i="43"/>
  <c r="W90" i="45"/>
  <c r="T60" i="47"/>
  <c r="AA21" i="33"/>
  <c r="AM48" i="33"/>
  <c r="Q60" i="44"/>
  <c r="AB39" i="43"/>
  <c r="F66" i="33"/>
  <c r="L54" i="47"/>
  <c r="AI9" i="44"/>
  <c r="J30" i="33"/>
  <c r="T96" i="33"/>
  <c r="AM102" i="41"/>
  <c r="R93" i="44"/>
  <c r="H36" i="33"/>
  <c r="AL96" i="41"/>
  <c r="P78" i="43"/>
  <c r="AF72" i="45"/>
  <c r="J30" i="46"/>
  <c r="AP102" i="33"/>
  <c r="Z30" i="43"/>
  <c r="AB78" i="41"/>
  <c r="Y99" i="46"/>
  <c r="G39" i="33"/>
  <c r="N93" i="43"/>
  <c r="R45" i="33"/>
  <c r="AB33" i="43"/>
  <c r="AC27" i="47"/>
  <c r="L9" i="45"/>
  <c r="AI27" i="33"/>
  <c r="M60" i="41"/>
  <c r="U102" i="43"/>
  <c r="H75" i="45"/>
  <c r="Q15" i="33"/>
  <c r="J42" i="45"/>
  <c r="AM102" i="33"/>
  <c r="L36" i="41"/>
  <c r="M96" i="46"/>
  <c r="AQ96" i="33"/>
  <c r="P72" i="44"/>
  <c r="AN96" i="46"/>
  <c r="J102" i="33"/>
  <c r="AA69" i="47"/>
  <c r="W36" i="41"/>
  <c r="U30" i="47"/>
  <c r="AF60" i="41"/>
  <c r="M90" i="47"/>
  <c r="Y75" i="47"/>
  <c r="AE54" i="43"/>
  <c r="AK87" i="41"/>
  <c r="AE54" i="45"/>
  <c r="V81" i="41"/>
  <c r="AH87" i="33"/>
  <c r="S39" i="47"/>
  <c r="AF42" i="43"/>
  <c r="O96" i="43"/>
  <c r="AI99" i="43"/>
  <c r="M60" i="43"/>
  <c r="AG45" i="45"/>
  <c r="I21" i="46"/>
  <c r="AN96" i="33"/>
  <c r="X99" i="33"/>
  <c r="I102" i="41"/>
  <c r="K99" i="44"/>
  <c r="Q78" i="44"/>
  <c r="V21" i="41"/>
  <c r="N48" i="33"/>
  <c r="AE87" i="47"/>
  <c r="U99" i="43"/>
  <c r="AE42" i="41"/>
  <c r="F51" i="45"/>
  <c r="AN33" i="41"/>
  <c r="AB75" i="47"/>
  <c r="R21" i="44"/>
  <c r="O93" i="44"/>
  <c r="G48" i="33"/>
  <c r="X72" i="44"/>
  <c r="J36" i="45"/>
  <c r="AE45" i="41"/>
  <c r="AU93" i="46"/>
  <c r="T75" i="47"/>
  <c r="AJ63" i="46"/>
  <c r="G102" i="33"/>
  <c r="AK69" i="41"/>
  <c r="H78" i="45"/>
  <c r="O57" i="47"/>
  <c r="R54" i="41"/>
  <c r="AJ102" i="44"/>
  <c r="K63" i="47"/>
  <c r="T75" i="45"/>
  <c r="AK33" i="33"/>
  <c r="AN9" i="45"/>
  <c r="AU66" i="41"/>
  <c r="AM66" i="33"/>
  <c r="AC66" i="43"/>
  <c r="AO69" i="46"/>
  <c r="AB15" i="41"/>
  <c r="U75" i="45"/>
  <c r="AG69" i="47"/>
  <c r="X99" i="44"/>
  <c r="X51" i="41"/>
  <c r="Q54" i="45"/>
  <c r="AR33" i="45"/>
  <c r="AM27" i="45"/>
  <c r="W36" i="47"/>
  <c r="AJ33" i="33"/>
  <c r="I42" i="45"/>
  <c r="N24" i="44"/>
  <c r="AC84" i="43"/>
  <c r="J21" i="47"/>
  <c r="I48" i="41"/>
  <c r="I96" i="43"/>
  <c r="AR84" i="33"/>
  <c r="AG48" i="46"/>
  <c r="AU9" i="46"/>
  <c r="N15" i="33"/>
  <c r="AM51" i="41"/>
  <c r="AB96" i="41"/>
  <c r="T81" i="47"/>
  <c r="AS72" i="47"/>
  <c r="T102" i="33"/>
  <c r="S54" i="41"/>
  <c r="V93" i="47"/>
  <c r="AD30" i="47"/>
  <c r="N63" i="46"/>
  <c r="U45" i="46"/>
  <c r="AH66" i="43"/>
  <c r="AC27" i="44"/>
  <c r="AD63" i="41"/>
  <c r="AL60" i="45"/>
  <c r="T81" i="33"/>
  <c r="AN9" i="44"/>
  <c r="U66" i="44"/>
  <c r="AG36" i="43"/>
  <c r="AN69" i="41"/>
  <c r="AG81" i="47"/>
  <c r="P30" i="33"/>
  <c r="AJ78" i="46"/>
  <c r="AO39" i="46"/>
  <c r="AN57" i="41"/>
  <c r="U78" i="43"/>
  <c r="AV30" i="47"/>
  <c r="W24" i="43"/>
  <c r="AI81" i="33"/>
  <c r="AR9" i="46"/>
  <c r="Y96" i="44"/>
  <c r="N81" i="47"/>
  <c r="AK60" i="43"/>
  <c r="AI60" i="33"/>
  <c r="AG66" i="33"/>
  <c r="N63" i="33"/>
  <c r="O102" i="33"/>
  <c r="L87" i="33"/>
  <c r="AB51" i="46"/>
  <c r="L99" i="41"/>
  <c r="G69" i="33"/>
  <c r="AG81" i="44"/>
  <c r="AP93" i="33"/>
  <c r="G60" i="45"/>
  <c r="AC30" i="41"/>
  <c r="X42" i="46"/>
  <c r="AA15" i="46"/>
  <c r="Q24" i="41"/>
  <c r="AK18" i="43"/>
  <c r="J87" i="33"/>
  <c r="W81" i="43"/>
  <c r="AA96" i="45"/>
  <c r="P18" i="44"/>
  <c r="AB18" i="33"/>
  <c r="AV93" i="47"/>
  <c r="K87" i="47"/>
  <c r="AH78" i="44"/>
  <c r="V54" i="47"/>
  <c r="AH24" i="44"/>
  <c r="AL69" i="44"/>
  <c r="AK75" i="33"/>
  <c r="M36" i="45"/>
  <c r="U90" i="46"/>
  <c r="U24" i="43"/>
  <c r="AN15" i="33"/>
  <c r="AM60" i="47"/>
  <c r="Y21" i="41"/>
  <c r="N66" i="47"/>
  <c r="AR96" i="47"/>
  <c r="Z60" i="44"/>
  <c r="AJ15" i="33"/>
  <c r="AC84" i="44"/>
  <c r="AA42" i="45"/>
  <c r="AE72" i="33"/>
  <c r="AG39" i="47"/>
  <c r="L99" i="45"/>
  <c r="AF51" i="43"/>
  <c r="I54" i="41"/>
  <c r="AG27" i="45"/>
  <c r="AA90" i="46"/>
  <c r="W15" i="44"/>
  <c r="AV36" i="46"/>
  <c r="AC48" i="45"/>
  <c r="AD30" i="43"/>
  <c r="AK87" i="33"/>
  <c r="X30" i="44"/>
  <c r="AD84" i="47"/>
  <c r="AN42" i="44"/>
  <c r="T69" i="44"/>
  <c r="Y27" i="43"/>
  <c r="J99" i="46"/>
  <c r="T84" i="46"/>
  <c r="AK9" i="47"/>
  <c r="Z93" i="47"/>
  <c r="AK84" i="47"/>
  <c r="AK18" i="47"/>
  <c r="AE18" i="44"/>
  <c r="O57" i="46"/>
  <c r="Z48" i="43"/>
  <c r="AG39" i="41"/>
  <c r="AR69" i="33"/>
  <c r="AA36" i="44"/>
  <c r="AB21" i="47"/>
  <c r="J66" i="44"/>
  <c r="P42" i="46"/>
  <c r="P27" i="45"/>
  <c r="Z63" i="43"/>
  <c r="AG39" i="44"/>
  <c r="O57" i="33"/>
  <c r="AM30" i="46"/>
  <c r="J21" i="44"/>
  <c r="V72" i="46"/>
  <c r="AR42" i="46"/>
  <c r="P90" i="46"/>
  <c r="AS60" i="46"/>
  <c r="O102" i="46"/>
  <c r="AT78" i="46"/>
  <c r="AS102" i="46"/>
  <c r="Q48" i="46"/>
  <c r="J54" i="46"/>
  <c r="AG51" i="46"/>
  <c r="AF54" i="46"/>
  <c r="AR69" i="46"/>
  <c r="V36" i="46"/>
  <c r="AD63" i="46"/>
  <c r="AB96" i="46"/>
  <c r="AH27" i="46"/>
  <c r="X72" i="46"/>
  <c r="AB93" i="46"/>
  <c r="O45" i="43"/>
  <c r="AI39" i="44"/>
  <c r="AQ72" i="41"/>
  <c r="AB36" i="44"/>
  <c r="K72" i="44"/>
  <c r="T54" i="44"/>
  <c r="F99" i="33"/>
  <c r="AK96" i="41"/>
  <c r="AD9" i="44"/>
  <c r="AM102" i="46"/>
  <c r="AC93" i="44"/>
  <c r="AF90" i="45"/>
  <c r="AK75" i="41"/>
  <c r="AR15" i="43"/>
  <c r="AO66" i="33"/>
  <c r="M75" i="43"/>
  <c r="AI15" i="43"/>
  <c r="AB45" i="46"/>
  <c r="AK51" i="43"/>
  <c r="U102" i="41"/>
  <c r="S60" i="46"/>
  <c r="T51" i="33"/>
  <c r="AH72" i="33"/>
  <c r="AD87" i="45"/>
  <c r="AE69" i="41"/>
  <c r="M15" i="43"/>
  <c r="AH9" i="33"/>
  <c r="K36" i="46"/>
  <c r="Z66" i="43"/>
  <c r="AJ24" i="45"/>
  <c r="R99" i="44"/>
  <c r="AR99" i="33"/>
  <c r="AI96" i="43"/>
  <c r="U36" i="47"/>
  <c r="AG24" i="47"/>
  <c r="R45" i="47"/>
  <c r="AH18" i="45"/>
  <c r="Q102" i="44"/>
  <c r="AE9" i="41"/>
  <c r="Y81" i="45"/>
  <c r="O90" i="44"/>
  <c r="I36" i="46"/>
  <c r="X57" i="46"/>
  <c r="AJ99" i="41"/>
  <c r="AN72" i="45"/>
  <c r="K93" i="47"/>
  <c r="E18" i="33"/>
  <c r="W90" i="44"/>
  <c r="AA54" i="33"/>
  <c r="AM78" i="43"/>
  <c r="G48" i="44"/>
  <c r="Z93" i="33"/>
  <c r="AF39" i="46"/>
  <c r="I42" i="33"/>
  <c r="V48" i="45"/>
  <c r="AG84" i="45"/>
  <c r="V21" i="47"/>
  <c r="AM45" i="43"/>
  <c r="R78" i="44"/>
  <c r="AG57" i="43"/>
  <c r="AU60" i="47"/>
  <c r="AJ18" i="41"/>
  <c r="E63" i="44"/>
  <c r="AR78" i="45"/>
  <c r="W102" i="46"/>
  <c r="AK48" i="45"/>
  <c r="Y66" i="33"/>
  <c r="AH24" i="46"/>
  <c r="AF45" i="33"/>
  <c r="AR72" i="45"/>
  <c r="AC84" i="46"/>
  <c r="AD72" i="47"/>
  <c r="AU33" i="43"/>
  <c r="Q57" i="41"/>
  <c r="A55" i="45"/>
  <c r="A56" i="45" s="1"/>
  <c r="U78" i="44"/>
  <c r="V63" i="44"/>
  <c r="Y60" i="41"/>
  <c r="AA63" i="44"/>
  <c r="W96" i="46"/>
  <c r="AP84" i="44"/>
  <c r="L69" i="44"/>
  <c r="L90" i="43"/>
  <c r="AK93" i="47"/>
  <c r="Z45" i="41"/>
  <c r="U51" i="33"/>
  <c r="AA36" i="46"/>
  <c r="P18" i="33"/>
  <c r="S9" i="41"/>
  <c r="AC39" i="43"/>
  <c r="S66" i="46"/>
  <c r="L63" i="41"/>
  <c r="AU30" i="46"/>
  <c r="O42" i="44"/>
  <c r="O51" i="33"/>
  <c r="N75" i="41"/>
  <c r="AU57" i="46"/>
  <c r="O75" i="45"/>
  <c r="AF93" i="44"/>
  <c r="J99" i="41"/>
  <c r="W69" i="43"/>
  <c r="T51" i="47"/>
  <c r="T81" i="45"/>
  <c r="N102" i="44"/>
  <c r="G54" i="45"/>
  <c r="E36" i="44"/>
  <c r="F27" i="33"/>
  <c r="AM36" i="46"/>
  <c r="AH72" i="43"/>
  <c r="N57" i="43"/>
  <c r="X66" i="33"/>
  <c r="AS36" i="41"/>
  <c r="S90" i="41"/>
  <c r="AB69" i="33"/>
  <c r="L84" i="47"/>
  <c r="Q69" i="46"/>
  <c r="AG57" i="45"/>
  <c r="AF21" i="46"/>
  <c r="M63" i="44"/>
  <c r="P24" i="46"/>
  <c r="AD78" i="47"/>
  <c r="AO15" i="33"/>
  <c r="M30" i="44"/>
  <c r="AL90" i="47"/>
  <c r="AQ69" i="47"/>
  <c r="X90" i="45"/>
  <c r="AE57" i="47"/>
  <c r="A16" i="46"/>
  <c r="A15" i="46" s="1"/>
  <c r="X51" i="47"/>
  <c r="AF99" i="45"/>
  <c r="F30" i="45"/>
  <c r="AN42" i="45"/>
  <c r="V48" i="47"/>
  <c r="AC81" i="44"/>
  <c r="AQ21" i="46"/>
  <c r="AJ54" i="33"/>
  <c r="AF33" i="41"/>
  <c r="AG66" i="43"/>
  <c r="AG63" i="45"/>
  <c r="W87" i="46"/>
  <c r="AP99" i="43"/>
  <c r="X18" i="47"/>
  <c r="S69" i="46"/>
  <c r="X45" i="45"/>
  <c r="AR60" i="47"/>
  <c r="Q9" i="43"/>
  <c r="S75" i="45"/>
  <c r="Y24" i="45"/>
  <c r="U48" i="46"/>
  <c r="AD99" i="43"/>
  <c r="AD45" i="47"/>
  <c r="AG24" i="33"/>
  <c r="AF99" i="41"/>
  <c r="K39" i="41"/>
  <c r="AI42" i="45"/>
  <c r="AN99" i="44"/>
  <c r="E15" i="33"/>
  <c r="AR72" i="46"/>
  <c r="W33" i="45"/>
  <c r="AR84" i="46"/>
  <c r="O18" i="46"/>
  <c r="AJ102" i="33"/>
  <c r="AM21" i="46"/>
  <c r="N102" i="46"/>
  <c r="AA60" i="45"/>
  <c r="S30" i="44"/>
  <c r="AK33" i="43"/>
  <c r="AI21" i="46"/>
  <c r="AH69" i="43"/>
  <c r="L15" i="33"/>
  <c r="L81" i="46"/>
  <c r="N96" i="33"/>
  <c r="AH9" i="47"/>
  <c r="AN81" i="45"/>
  <c r="R27" i="41"/>
  <c r="AD102" i="44"/>
  <c r="AR24" i="43"/>
  <c r="O42" i="41"/>
  <c r="AD102" i="43"/>
  <c r="O39" i="45"/>
  <c r="AK75" i="43"/>
  <c r="AU21" i="43"/>
  <c r="Z87" i="44"/>
  <c r="AN93" i="44"/>
  <c r="AC30" i="47"/>
  <c r="AI36" i="41"/>
  <c r="A73" i="43"/>
  <c r="A74" i="43" s="1"/>
  <c r="Q99" i="44"/>
  <c r="W63" i="44"/>
  <c r="AD54" i="46"/>
  <c r="J60" i="47"/>
  <c r="Q75" i="43"/>
  <c r="Z30" i="44"/>
  <c r="Y36" i="43"/>
  <c r="A97" i="46"/>
  <c r="A98" i="46" s="1"/>
  <c r="P102" i="41"/>
  <c r="AU90" i="47"/>
  <c r="E27" i="44"/>
  <c r="L75" i="44"/>
  <c r="AK99" i="46"/>
  <c r="AQ51" i="45"/>
  <c r="AT75" i="43"/>
  <c r="AH42" i="33"/>
  <c r="O60" i="44"/>
  <c r="AJ15" i="45"/>
  <c r="AD75" i="43"/>
  <c r="Q36" i="43"/>
  <c r="V18" i="33"/>
  <c r="AR15" i="45"/>
  <c r="AF75" i="41"/>
  <c r="AE51" i="44"/>
  <c r="AL72" i="45"/>
  <c r="R96" i="43"/>
  <c r="I63" i="33"/>
  <c r="AO48" i="47"/>
  <c r="AF72" i="47"/>
  <c r="I21" i="44"/>
  <c r="AQ87" i="33"/>
  <c r="U102" i="33"/>
  <c r="M9" i="33"/>
  <c r="P93" i="47"/>
  <c r="T36" i="46"/>
  <c r="AK81" i="47"/>
  <c r="AI9" i="43"/>
  <c r="AF102" i="45"/>
  <c r="S45" i="33"/>
  <c r="S63" i="46"/>
  <c r="AV30" i="46"/>
  <c r="I30" i="44"/>
  <c r="AF21" i="43"/>
  <c r="AT66" i="47"/>
  <c r="AP18" i="41"/>
  <c r="N66" i="44"/>
  <c r="AJ54" i="41"/>
  <c r="AM27" i="43"/>
  <c r="S18" i="44"/>
  <c r="P9" i="47"/>
  <c r="AK30" i="46"/>
  <c r="AR93" i="45"/>
  <c r="AQ87" i="44"/>
  <c r="AJ39" i="41"/>
  <c r="X60" i="44"/>
  <c r="Y63" i="46"/>
  <c r="H15" i="33"/>
  <c r="AR24" i="44"/>
  <c r="L39" i="45"/>
  <c r="O18" i="43"/>
  <c r="AN9" i="47"/>
  <c r="V102" i="47"/>
  <c r="K15" i="33"/>
  <c r="M69" i="45"/>
  <c r="AO42" i="46"/>
  <c r="O9" i="45"/>
  <c r="J75" i="33"/>
  <c r="O60" i="47"/>
  <c r="W27" i="43"/>
  <c r="AP93" i="43"/>
  <c r="Y15" i="47"/>
  <c r="AH54" i="44"/>
  <c r="AH81" i="44"/>
  <c r="X30" i="46"/>
  <c r="AU15" i="47"/>
  <c r="U45" i="47"/>
  <c r="Z102" i="46"/>
  <c r="AB75" i="46"/>
  <c r="W78" i="43"/>
  <c r="Z69" i="47"/>
  <c r="AQ90" i="47"/>
  <c r="AJ54" i="43"/>
  <c r="AD99" i="45"/>
  <c r="U63" i="47"/>
  <c r="T42" i="41"/>
  <c r="M39" i="47"/>
  <c r="I72" i="43"/>
  <c r="P27" i="47"/>
  <c r="T99" i="46"/>
  <c r="H39" i="45"/>
  <c r="AE30" i="41"/>
  <c r="J69" i="43"/>
  <c r="V27" i="47"/>
  <c r="G75" i="33"/>
  <c r="F69" i="33"/>
  <c r="T18" i="46"/>
  <c r="AF42" i="44"/>
  <c r="M24" i="46"/>
  <c r="AG96" i="45"/>
  <c r="J75" i="43"/>
  <c r="K60" i="41"/>
  <c r="N9" i="47"/>
  <c r="AP33" i="41"/>
  <c r="AB81" i="33"/>
  <c r="L63" i="33"/>
  <c r="Z57" i="43"/>
  <c r="AT81" i="41"/>
  <c r="T24" i="47"/>
  <c r="N63" i="45"/>
  <c r="AE69" i="44"/>
  <c r="P96" i="46"/>
  <c r="AI57" i="46"/>
  <c r="AE9" i="47"/>
  <c r="AL60" i="41"/>
  <c r="K39" i="46"/>
  <c r="T30" i="44"/>
  <c r="AJ72" i="43"/>
  <c r="AG57" i="46"/>
  <c r="AD93" i="33"/>
  <c r="U60" i="46"/>
  <c r="AQ102" i="44"/>
  <c r="K42" i="45"/>
  <c r="AD96" i="45"/>
  <c r="P42" i="47"/>
  <c r="AG33" i="47"/>
  <c r="O9" i="41"/>
  <c r="G96" i="45"/>
  <c r="G45" i="45"/>
  <c r="AJ45" i="46"/>
  <c r="AB63" i="45"/>
  <c r="AH39" i="41"/>
  <c r="W69" i="44"/>
  <c r="N81" i="33"/>
  <c r="AP24" i="43"/>
  <c r="AI99" i="45"/>
  <c r="P48" i="43"/>
  <c r="Z87" i="41"/>
  <c r="Q63" i="33"/>
  <c r="AI30" i="47"/>
  <c r="AC45" i="44"/>
  <c r="AE84" i="47"/>
  <c r="L78" i="33"/>
  <c r="AO72" i="47"/>
  <c r="Q78" i="47"/>
  <c r="AJ21" i="43"/>
  <c r="AO63" i="46"/>
  <c r="AA45" i="41"/>
  <c r="AJ87" i="47"/>
  <c r="T57" i="41"/>
  <c r="AA66" i="47"/>
  <c r="AH48" i="45"/>
  <c r="AR93" i="43"/>
  <c r="AD27" i="33"/>
  <c r="N48" i="44"/>
  <c r="L27" i="46"/>
  <c r="O15" i="43"/>
  <c r="AM60" i="43"/>
  <c r="AH39" i="44"/>
  <c r="AS9" i="46"/>
  <c r="M81" i="43"/>
  <c r="AE39" i="41"/>
  <c r="AC75" i="45"/>
  <c r="AN93" i="45"/>
  <c r="AN9" i="43"/>
  <c r="U90" i="45"/>
  <c r="S90" i="47"/>
  <c r="O54" i="33"/>
  <c r="AO54" i="46"/>
  <c r="AR15" i="33"/>
  <c r="AD84" i="45"/>
  <c r="O102" i="44"/>
  <c r="AC66" i="47"/>
  <c r="O78" i="44"/>
  <c r="AF18" i="46"/>
  <c r="Y102" i="43"/>
  <c r="AO63" i="45"/>
  <c r="Q78" i="43"/>
  <c r="AE9" i="43"/>
  <c r="AC60" i="44"/>
  <c r="AM15" i="43"/>
  <c r="Z99" i="46"/>
  <c r="AS96" i="43"/>
  <c r="AG33" i="43"/>
  <c r="P99" i="33"/>
  <c r="AP60" i="43"/>
  <c r="AK60" i="41"/>
  <c r="AA48" i="33"/>
  <c r="AJ39" i="33"/>
  <c r="V39" i="44"/>
  <c r="AL51" i="43"/>
  <c r="Q84" i="47"/>
  <c r="M57" i="46"/>
  <c r="AK24" i="43"/>
  <c r="R93" i="46"/>
  <c r="AM9" i="46"/>
  <c r="T30" i="43"/>
  <c r="X30" i="45"/>
  <c r="AM36" i="44"/>
  <c r="R96" i="46"/>
  <c r="O69" i="47"/>
  <c r="AH93" i="43"/>
  <c r="Z27" i="41"/>
  <c r="I66" i="44"/>
  <c r="O60" i="43"/>
  <c r="AL30" i="44"/>
  <c r="X72" i="41"/>
  <c r="I54" i="47"/>
  <c r="AI63" i="43"/>
  <c r="Y96" i="33"/>
  <c r="Q15" i="45"/>
  <c r="O48" i="47"/>
  <c r="J42" i="47"/>
  <c r="Q93" i="45"/>
  <c r="AI72" i="44"/>
  <c r="U54" i="46"/>
  <c r="AI27" i="45"/>
  <c r="AT9" i="43"/>
  <c r="W75" i="33"/>
  <c r="V63" i="45"/>
  <c r="I36" i="44"/>
  <c r="AI27" i="47"/>
  <c r="Y30" i="33"/>
  <c r="I99" i="46"/>
  <c r="AR51" i="41"/>
  <c r="T18" i="47"/>
  <c r="AP15" i="33"/>
  <c r="A34" i="47"/>
  <c r="A35" i="47" s="1"/>
  <c r="T54" i="46"/>
  <c r="W57" i="43"/>
  <c r="U21" i="46"/>
  <c r="AT15" i="41"/>
  <c r="P54" i="46"/>
  <c r="AA24" i="47"/>
  <c r="AH42" i="43"/>
  <c r="AQ45" i="33"/>
  <c r="I48" i="44"/>
  <c r="U33" i="41"/>
  <c r="W45" i="41"/>
  <c r="V45" i="44"/>
  <c r="R36" i="43"/>
  <c r="AI66" i="33"/>
  <c r="AR75" i="44"/>
  <c r="AB42" i="45"/>
  <c r="X69" i="43"/>
  <c r="AJ51" i="44"/>
  <c r="O96" i="47"/>
  <c r="W54" i="46"/>
  <c r="AP90" i="43"/>
  <c r="AT75" i="41"/>
  <c r="N93" i="45"/>
  <c r="V102" i="44"/>
  <c r="AU99" i="47"/>
  <c r="K9" i="44"/>
  <c r="L66" i="33"/>
  <c r="AM81" i="44"/>
  <c r="T57" i="43"/>
  <c r="J66" i="41"/>
  <c r="AQ96" i="44"/>
  <c r="AQ84" i="43"/>
  <c r="M48" i="41"/>
  <c r="AC27" i="41"/>
  <c r="AO99" i="47"/>
  <c r="L15" i="47"/>
  <c r="A37" i="33"/>
  <c r="A36" i="33" s="1"/>
  <c r="AP45" i="43"/>
  <c r="Q33" i="47"/>
  <c r="AJ51" i="41"/>
  <c r="AR36" i="45"/>
  <c r="A97" i="45"/>
  <c r="A98" i="45" s="1"/>
  <c r="AJ48" i="33"/>
  <c r="V72" i="43"/>
  <c r="G63" i="45"/>
  <c r="AU9" i="41"/>
  <c r="V69" i="46"/>
  <c r="AH84" i="41"/>
  <c r="AM57" i="44"/>
  <c r="AB45" i="45"/>
  <c r="AH84" i="33"/>
  <c r="AE21" i="45"/>
  <c r="U99" i="46"/>
  <c r="K96" i="43"/>
  <c r="P30" i="46"/>
  <c r="AE21" i="41"/>
  <c r="H36" i="44"/>
  <c r="AN87" i="33"/>
  <c r="U57" i="44"/>
  <c r="A88" i="33"/>
  <c r="A87" i="33" s="1"/>
  <c r="I24" i="47"/>
  <c r="N63" i="41"/>
  <c r="V30" i="41"/>
  <c r="AD15" i="43"/>
  <c r="Z66" i="46"/>
  <c r="W60" i="44"/>
  <c r="V66" i="41"/>
  <c r="AI21" i="44"/>
  <c r="W72" i="47"/>
  <c r="AI60" i="45"/>
  <c r="AG15" i="33"/>
  <c r="AQ36" i="45"/>
  <c r="T60" i="41"/>
  <c r="AL69" i="33"/>
  <c r="R99" i="33"/>
  <c r="L42" i="41"/>
  <c r="AE54" i="47"/>
  <c r="A22" i="44"/>
  <c r="A23" i="44" s="1"/>
  <c r="J66" i="33"/>
  <c r="AF57" i="46"/>
  <c r="AO84" i="43"/>
  <c r="AD72" i="45"/>
  <c r="R21" i="46"/>
  <c r="K72" i="33"/>
  <c r="M51" i="46"/>
  <c r="R99" i="46"/>
  <c r="AV51" i="43"/>
  <c r="AI21" i="43"/>
  <c r="AD42" i="44"/>
  <c r="Y66" i="44"/>
  <c r="AA99" i="44"/>
  <c r="T84" i="33"/>
  <c r="AG66" i="46"/>
  <c r="J87" i="43"/>
  <c r="K54" i="44"/>
  <c r="K21" i="47"/>
  <c r="I60" i="44"/>
  <c r="AC36" i="45"/>
  <c r="AA39" i="46"/>
  <c r="AC63" i="43"/>
  <c r="AR54" i="45"/>
  <c r="Q54" i="46"/>
  <c r="AP78" i="45"/>
  <c r="L51" i="33"/>
  <c r="P84" i="46"/>
  <c r="AK54" i="43"/>
  <c r="AE78" i="45"/>
  <c r="AI21" i="45"/>
  <c r="AI81" i="41"/>
  <c r="AM60" i="33"/>
  <c r="J90" i="44"/>
  <c r="S39" i="45"/>
  <c r="X84" i="43"/>
  <c r="AK33" i="47"/>
  <c r="Z69" i="33"/>
  <c r="AO93" i="43"/>
  <c r="AF45" i="44"/>
  <c r="AE30" i="45"/>
  <c r="M18" i="33"/>
  <c r="Z54" i="43"/>
  <c r="AQ81" i="41"/>
  <c r="AM51" i="44"/>
  <c r="K42" i="47"/>
  <c r="V78" i="46"/>
  <c r="AO18" i="46"/>
  <c r="AT27" i="43"/>
  <c r="AH57" i="47"/>
  <c r="AJ102" i="45"/>
  <c r="AK78" i="46"/>
  <c r="H42" i="45"/>
  <c r="AC90" i="44"/>
  <c r="Z54" i="41"/>
  <c r="Y18" i="43"/>
  <c r="AN96" i="47"/>
  <c r="AK72" i="33"/>
  <c r="AN69" i="43"/>
  <c r="X42" i="33"/>
  <c r="K90" i="45"/>
  <c r="AI87" i="47"/>
  <c r="AA72" i="43"/>
  <c r="AD81" i="33"/>
  <c r="T63" i="43"/>
  <c r="I15" i="43"/>
  <c r="AQ36" i="47"/>
  <c r="AS84" i="41"/>
  <c r="J60" i="46"/>
  <c r="M51" i="43"/>
  <c r="X87" i="33"/>
  <c r="Y42" i="43"/>
  <c r="O39" i="47"/>
  <c r="AH51" i="45"/>
  <c r="AK45" i="46"/>
  <c r="AJ66" i="44"/>
  <c r="AL87" i="44"/>
  <c r="AM96" i="46"/>
  <c r="AV78" i="41"/>
  <c r="AC90" i="47"/>
  <c r="AA78" i="46"/>
  <c r="Q9" i="46"/>
  <c r="AO78" i="44"/>
  <c r="AM42" i="41"/>
  <c r="L78" i="46"/>
  <c r="R81" i="41"/>
  <c r="AA33" i="45"/>
  <c r="X27" i="43"/>
  <c r="X60" i="41"/>
  <c r="S72" i="43"/>
  <c r="O21" i="44"/>
  <c r="AJ9" i="33"/>
  <c r="AI33" i="33"/>
  <c r="M96" i="43"/>
  <c r="AJ51" i="33"/>
  <c r="Q51" i="47"/>
  <c r="AL99" i="45"/>
  <c r="N75" i="44"/>
  <c r="AI45" i="41"/>
  <c r="AS57" i="43"/>
  <c r="AA45" i="43"/>
  <c r="M63" i="41"/>
  <c r="AK84" i="41"/>
  <c r="R42" i="44"/>
  <c r="AO54" i="45"/>
  <c r="AG27" i="43"/>
  <c r="P102" i="47"/>
  <c r="AR24" i="47"/>
  <c r="T9" i="43"/>
  <c r="N54" i="45"/>
  <c r="P66" i="46"/>
  <c r="J36" i="47"/>
  <c r="AV102" i="46"/>
  <c r="AM78" i="44"/>
  <c r="P36" i="33"/>
  <c r="AF99" i="44"/>
  <c r="AC87" i="43"/>
  <c r="AQ75" i="43"/>
  <c r="M33" i="41"/>
  <c r="AH72" i="45"/>
  <c r="AE99" i="41"/>
  <c r="AP87" i="33"/>
  <c r="AI75" i="43"/>
  <c r="N21" i="41"/>
  <c r="N57" i="47"/>
  <c r="AG96" i="44"/>
  <c r="M15" i="41"/>
  <c r="P93" i="41"/>
  <c r="J60" i="44"/>
  <c r="W18" i="33"/>
  <c r="T48" i="45"/>
  <c r="L24" i="41"/>
  <c r="L30" i="33"/>
  <c r="AL18" i="45"/>
  <c r="AG51" i="44"/>
  <c r="N48" i="45"/>
  <c r="AQ75" i="33"/>
  <c r="AL18" i="47"/>
  <c r="L54" i="41"/>
  <c r="M99" i="47"/>
  <c r="AL93" i="47"/>
  <c r="AT87" i="47"/>
  <c r="S84" i="33"/>
  <c r="AA39" i="44"/>
  <c r="AQ33" i="33"/>
  <c r="AQ21" i="41"/>
  <c r="AQ96" i="41"/>
  <c r="AF48" i="45"/>
  <c r="AQ18" i="44"/>
  <c r="AH9" i="43"/>
  <c r="AA90" i="47"/>
  <c r="AH54" i="45"/>
  <c r="AN48" i="47"/>
  <c r="AL63" i="43"/>
  <c r="J69" i="44"/>
  <c r="J48" i="47"/>
  <c r="G57" i="44"/>
  <c r="AF42" i="41"/>
  <c r="M15" i="47"/>
  <c r="Y63" i="45"/>
  <c r="A58" i="44"/>
  <c r="A57" i="44" s="1"/>
  <c r="I42" i="43"/>
  <c r="AB75" i="43"/>
  <c r="AR78" i="46"/>
  <c r="X18" i="44"/>
  <c r="U21" i="43"/>
  <c r="G63" i="44"/>
  <c r="S39" i="46"/>
  <c r="I66" i="33"/>
  <c r="AK45" i="44"/>
  <c r="I57" i="41"/>
  <c r="W48" i="41"/>
  <c r="X45" i="46"/>
  <c r="AH27" i="44"/>
  <c r="W54" i="43"/>
  <c r="M72" i="43"/>
  <c r="AE48" i="45"/>
  <c r="Q9" i="47"/>
  <c r="AT39" i="43"/>
  <c r="X36" i="43"/>
  <c r="W57" i="46"/>
  <c r="AA81" i="47"/>
  <c r="I48" i="46"/>
  <c r="AP39" i="44"/>
  <c r="AR48" i="44"/>
  <c r="AF54" i="43"/>
  <c r="AI78" i="43"/>
  <c r="AK36" i="45"/>
  <c r="AL21" i="43"/>
  <c r="AJ9" i="46"/>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101" i="46" s="1"/>
  <c r="AI81" i="46"/>
  <c r="X63" i="43"/>
  <c r="AD96" i="33"/>
  <c r="V24" i="45"/>
  <c r="AT45" i="43"/>
  <c r="A43" i="44"/>
  <c r="A44" i="44" s="1"/>
  <c r="AE60" i="43"/>
  <c r="AM75" i="44"/>
  <c r="AR51" i="47"/>
  <c r="AC84" i="33"/>
  <c r="X45" i="33"/>
  <c r="M42" i="46"/>
  <c r="Q45" i="45"/>
  <c r="AE84" i="41"/>
  <c r="AA18" i="33"/>
  <c r="L93" i="47"/>
  <c r="T93" i="41"/>
  <c r="AE33" i="46"/>
  <c r="Q57" i="33"/>
  <c r="I87" i="43"/>
  <c r="O81" i="46"/>
  <c r="Y54" i="45"/>
  <c r="E42" i="33"/>
  <c r="K57" i="44"/>
  <c r="AB33" i="41"/>
  <c r="A19" i="47"/>
  <c r="A18" i="47" s="1"/>
  <c r="K30" i="45"/>
  <c r="AB24" i="44"/>
  <c r="AJ48" i="43"/>
  <c r="L21" i="33"/>
  <c r="V48" i="33"/>
  <c r="J18" i="47"/>
  <c r="AP42" i="44"/>
  <c r="F96" i="45"/>
  <c r="O51" i="46"/>
  <c r="U66" i="47"/>
  <c r="AP84" i="45"/>
  <c r="AE102" i="47"/>
  <c r="G21" i="44"/>
  <c r="S45" i="45"/>
  <c r="AU15" i="41"/>
  <c r="F78" i="44"/>
  <c r="Q63" i="43"/>
  <c r="M54" i="33"/>
  <c r="V24" i="33"/>
  <c r="V60" i="33"/>
  <c r="AB21" i="46"/>
  <c r="AI18" i="46"/>
  <c r="AK48" i="41"/>
  <c r="S90" i="33"/>
  <c r="AM72" i="46"/>
  <c r="K72" i="46"/>
  <c r="R18" i="43"/>
  <c r="AD48" i="44"/>
  <c r="AD57" i="41"/>
  <c r="AT90" i="47"/>
  <c r="AJ45" i="45"/>
  <c r="AF93" i="46"/>
  <c r="T84" i="44"/>
  <c r="AM39" i="44"/>
  <c r="AA42" i="44"/>
  <c r="U9" i="43"/>
  <c r="W48" i="44"/>
  <c r="J54" i="45"/>
  <c r="AM60" i="44"/>
  <c r="N87" i="43"/>
  <c r="AD93" i="45"/>
  <c r="W69" i="47"/>
  <c r="AG75" i="45"/>
  <c r="V54" i="45"/>
  <c r="M45" i="33"/>
  <c r="J36" i="46"/>
  <c r="M96" i="44"/>
  <c r="P45" i="47"/>
  <c r="AM93" i="46"/>
  <c r="A49" i="33"/>
  <c r="A50" i="33" s="1"/>
  <c r="AG33" i="41"/>
  <c r="AC51" i="41"/>
  <c r="AF99" i="47"/>
  <c r="Q78" i="33"/>
  <c r="N9" i="45"/>
  <c r="AB90" i="33"/>
  <c r="J69" i="47"/>
  <c r="X69" i="46"/>
  <c r="AJ30" i="41"/>
  <c r="AL78" i="33"/>
  <c r="AN66" i="41"/>
  <c r="AJ60" i="33"/>
  <c r="W15" i="33"/>
  <c r="S96" i="45"/>
  <c r="R75" i="41"/>
  <c r="AO51" i="44"/>
  <c r="AR45" i="33"/>
  <c r="A31" i="33"/>
  <c r="A32" i="33" s="1"/>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W36" i="45"/>
  <c r="AB93" i="47"/>
  <c r="AA81" i="41"/>
  <c r="Y33" i="44"/>
  <c r="V9" i="46"/>
  <c r="AQ63" i="44"/>
  <c r="J45" i="44"/>
  <c r="AJ9" i="45"/>
  <c r="AD18" i="41"/>
  <c r="A97" i="43"/>
  <c r="A96" i="43" s="1"/>
  <c r="AH45" i="47"/>
  <c r="AC39" i="33"/>
  <c r="AG93" i="41"/>
  <c r="V66" i="33"/>
  <c r="AF60" i="46"/>
  <c r="E90" i="45"/>
  <c r="X54" i="44"/>
  <c r="AQ72" i="44"/>
  <c r="AH90" i="33"/>
  <c r="P21" i="46"/>
  <c r="J45" i="33"/>
  <c r="P45" i="43"/>
  <c r="AI78" i="45"/>
  <c r="V9" i="44"/>
  <c r="S84" i="43"/>
  <c r="AG27" i="46"/>
  <c r="AG75" i="44"/>
  <c r="A100" i="33"/>
  <c r="A101" i="33" s="1"/>
  <c r="AN87" i="47"/>
  <c r="Y78" i="47"/>
  <c r="AN21" i="41"/>
  <c r="AL24" i="41"/>
  <c r="Y24" i="33"/>
  <c r="AS42" i="43"/>
  <c r="N60" i="33"/>
  <c r="T39" i="46"/>
  <c r="V45" i="33"/>
  <c r="P75" i="44"/>
  <c r="M42" i="41"/>
  <c r="Q24" i="44"/>
  <c r="AQ18" i="45"/>
  <c r="AG78" i="44"/>
  <c r="AC33" i="44"/>
  <c r="O72" i="45"/>
  <c r="AN66" i="47"/>
  <c r="AI63" i="44"/>
  <c r="AA63" i="47"/>
  <c r="V90" i="41"/>
  <c r="AH42" i="46"/>
  <c r="AQ42" i="43"/>
  <c r="J78" i="41"/>
  <c r="AT69" i="46"/>
  <c r="AA72" i="47"/>
  <c r="AB57" i="33"/>
  <c r="AA66" i="46"/>
  <c r="AS87" i="43"/>
  <c r="AO42" i="33"/>
  <c r="K81" i="41"/>
  <c r="M21" i="43"/>
  <c r="AI84" i="46"/>
  <c r="K30" i="33"/>
  <c r="W99" i="45"/>
  <c r="V15" i="43"/>
  <c r="Q36" i="45"/>
  <c r="AU27" i="46"/>
  <c r="L39" i="41"/>
  <c r="K51" i="47"/>
  <c r="AO18" i="33"/>
  <c r="AV42" i="46"/>
  <c r="P24" i="41"/>
  <c r="L27" i="41"/>
  <c r="K63" i="43"/>
  <c r="E81" i="45"/>
  <c r="I57" i="43"/>
  <c r="H33" i="33"/>
  <c r="F39" i="33"/>
  <c r="AL78" i="41"/>
  <c r="AQ39" i="45"/>
  <c r="N18" i="33"/>
  <c r="AJ57" i="43"/>
  <c r="AG99" i="46"/>
  <c r="AM75" i="47"/>
  <c r="E54" i="44"/>
  <c r="AL99" i="44"/>
  <c r="AB33" i="44"/>
  <c r="V99" i="33"/>
  <c r="X30" i="43"/>
  <c r="AO63" i="47"/>
  <c r="AP9" i="44"/>
  <c r="AA45" i="33"/>
  <c r="W9" i="43"/>
  <c r="Y78" i="41"/>
  <c r="M87" i="44"/>
  <c r="AE72" i="43"/>
  <c r="H60" i="33"/>
  <c r="AS39" i="46"/>
  <c r="AB21" i="43"/>
  <c r="O63" i="41"/>
  <c r="AQ60" i="41"/>
  <c r="AD87" i="33"/>
  <c r="AU39" i="47"/>
  <c r="AN27" i="43"/>
  <c r="AH69" i="47"/>
  <c r="R24" i="47"/>
  <c r="Q102" i="47"/>
  <c r="K75" i="47"/>
  <c r="AN84" i="47"/>
  <c r="Y90" i="45"/>
  <c r="AL75" i="33"/>
  <c r="AF78" i="41"/>
  <c r="AG24" i="44"/>
  <c r="AK81" i="46"/>
  <c r="V36" i="45"/>
  <c r="T45" i="45"/>
  <c r="J72" i="41"/>
  <c r="AH45" i="43"/>
  <c r="U96" i="33"/>
  <c r="E90" i="33"/>
  <c r="AP69" i="46"/>
  <c r="AM39" i="45"/>
  <c r="J48" i="33"/>
  <c r="X15" i="45"/>
  <c r="AB36" i="45"/>
  <c r="A85" i="46"/>
  <c r="A84" i="46" s="1"/>
  <c r="AP18" i="46"/>
  <c r="U72" i="41"/>
  <c r="V99" i="44"/>
  <c r="T45" i="46"/>
  <c r="AF21" i="33"/>
  <c r="AJ78" i="47"/>
  <c r="AH21" i="33"/>
  <c r="AB60" i="44"/>
  <c r="E21" i="45"/>
  <c r="R24" i="46"/>
  <c r="W87" i="41"/>
  <c r="AU75" i="47"/>
  <c r="O93" i="43"/>
  <c r="L27" i="43"/>
  <c r="R78" i="46"/>
  <c r="I51" i="44"/>
  <c r="X24" i="33"/>
  <c r="AK57" i="47"/>
  <c r="U42" i="44"/>
  <c r="Q42" i="44"/>
  <c r="K18" i="45"/>
  <c r="AH66" i="46"/>
  <c r="U75" i="41"/>
  <c r="AB36" i="47"/>
  <c r="AH51" i="41"/>
  <c r="AP21" i="33"/>
  <c r="AP63" i="43"/>
  <c r="T57" i="44"/>
  <c r="AM42" i="33"/>
  <c r="AM24" i="47"/>
  <c r="AQ84" i="44"/>
  <c r="I84" i="33"/>
  <c r="AO69" i="45"/>
  <c r="Q30" i="43"/>
  <c r="S39" i="43"/>
  <c r="O45" i="45"/>
  <c r="AR21" i="45"/>
  <c r="I87" i="44"/>
  <c r="S75" i="44"/>
  <c r="T93" i="44"/>
  <c r="I78" i="33"/>
  <c r="F21" i="33"/>
  <c r="S84" i="47"/>
  <c r="J84" i="44"/>
  <c r="AR21" i="47"/>
  <c r="L54" i="43"/>
  <c r="X54" i="45"/>
  <c r="AU60" i="41"/>
  <c r="AT78" i="41"/>
  <c r="AL63" i="33"/>
  <c r="AK48" i="33"/>
  <c r="E66" i="45"/>
  <c r="M39" i="43"/>
  <c r="I99" i="45"/>
  <c r="AM96" i="44"/>
  <c r="W15" i="41"/>
  <c r="AP36" i="33"/>
  <c r="T30" i="47"/>
  <c r="N99" i="33"/>
  <c r="L33" i="41"/>
  <c r="X81" i="41"/>
  <c r="AI72" i="47"/>
  <c r="P87" i="41"/>
  <c r="AR33" i="41"/>
  <c r="AP99" i="47"/>
  <c r="AD54" i="41"/>
  <c r="AB66" i="33"/>
  <c r="F9" i="45"/>
  <c r="A34" i="42"/>
  <c r="A35" i="42" s="1"/>
  <c r="AE9" i="44"/>
  <c r="V102" i="33"/>
  <c r="Z51" i="41"/>
  <c r="P9" i="46"/>
  <c r="AB66" i="45"/>
  <c r="Q51" i="41"/>
  <c r="V90" i="33"/>
  <c r="AG48" i="41"/>
  <c r="AD66" i="43"/>
  <c r="AK72" i="44"/>
  <c r="AT96" i="41"/>
  <c r="AI90" i="45"/>
  <c r="I18" i="47"/>
  <c r="Q39" i="47"/>
  <c r="U39" i="43"/>
  <c r="X93" i="47"/>
  <c r="AC96" i="41"/>
  <c r="F18" i="33"/>
  <c r="T93" i="43"/>
  <c r="AA96" i="33"/>
  <c r="K36" i="41"/>
  <c r="AO45" i="43"/>
  <c r="AN51" i="47"/>
  <c r="X78" i="33"/>
  <c r="AE75" i="45"/>
  <c r="AB45" i="47"/>
  <c r="R39" i="45"/>
  <c r="P21" i="43"/>
  <c r="AF78" i="33"/>
  <c r="AL60" i="43"/>
  <c r="AD45" i="41"/>
  <c r="V24" i="46"/>
  <c r="AP90" i="44"/>
  <c r="K69" i="46"/>
  <c r="AJ30" i="44"/>
  <c r="Q99" i="41"/>
  <c r="T81" i="43"/>
  <c r="AD90" i="47"/>
  <c r="AE81" i="43"/>
  <c r="AA9" i="41"/>
  <c r="AF24" i="41"/>
  <c r="M54" i="45"/>
  <c r="AE39" i="43"/>
  <c r="AO48" i="41"/>
  <c r="M72" i="41"/>
  <c r="AS42" i="47"/>
  <c r="P87" i="44"/>
  <c r="W42" i="41"/>
  <c r="J36" i="33"/>
  <c r="AL63" i="47"/>
  <c r="T9" i="33"/>
  <c r="V93" i="45"/>
  <c r="S21" i="47"/>
  <c r="AC24" i="33"/>
  <c r="AC36" i="41"/>
  <c r="AE57" i="33"/>
  <c r="AJ45" i="43"/>
  <c r="AF63" i="33"/>
  <c r="AU39" i="43"/>
  <c r="AK87" i="47"/>
  <c r="AD15" i="41"/>
  <c r="AE57" i="43"/>
  <c r="H90" i="33"/>
  <c r="AS84" i="43"/>
  <c r="V54" i="33"/>
  <c r="AS93" i="41"/>
  <c r="U51" i="43"/>
  <c r="Q30" i="41"/>
  <c r="N24" i="47"/>
  <c r="AT33" i="47"/>
  <c r="S36" i="44"/>
  <c r="AO75" i="46"/>
  <c r="X66" i="41"/>
  <c r="AP9" i="43"/>
  <c r="S99" i="46"/>
  <c r="AE63" i="47"/>
  <c r="AE75" i="46"/>
  <c r="V57" i="44"/>
  <c r="AN54" i="33"/>
  <c r="AQ27" i="46"/>
  <c r="AQ30" i="47"/>
  <c r="AB90" i="43"/>
  <c r="AI18" i="44"/>
  <c r="V45" i="43"/>
  <c r="AR27" i="47"/>
  <c r="AC9" i="47"/>
  <c r="AR18" i="44"/>
  <c r="AV69" i="47"/>
  <c r="H45" i="45"/>
  <c r="A64" i="42"/>
  <c r="A65" i="42" s="1"/>
  <c r="AR42" i="44"/>
  <c r="O72" i="41"/>
  <c r="AQ72" i="45"/>
  <c r="M42" i="45"/>
  <c r="AE33" i="41"/>
  <c r="T78" i="45"/>
  <c r="F27" i="45"/>
  <c r="AD42" i="47"/>
  <c r="F27" i="44"/>
  <c r="R66" i="44"/>
  <c r="AR93" i="44"/>
  <c r="T96" i="41"/>
  <c r="AN33" i="45"/>
  <c r="AH48" i="43"/>
  <c r="AP30" i="41"/>
  <c r="AO42" i="41"/>
  <c r="O102" i="41"/>
  <c r="Y99" i="41"/>
  <c r="N30" i="43"/>
  <c r="AG69" i="33"/>
  <c r="I33" i="45"/>
  <c r="AP36" i="46"/>
  <c r="R33" i="33"/>
  <c r="Y99" i="45"/>
  <c r="S27" i="41"/>
  <c r="AE78" i="46"/>
  <c r="AN57" i="46"/>
  <c r="E48" i="33"/>
  <c r="I102" i="45"/>
  <c r="Z69" i="43"/>
  <c r="U15" i="46"/>
  <c r="AQ54" i="45"/>
  <c r="AU66" i="46"/>
  <c r="AQ36" i="33"/>
  <c r="AG90" i="46"/>
  <c r="S57" i="45"/>
  <c r="AM51" i="46"/>
  <c r="AP66" i="43"/>
  <c r="AJ81" i="45"/>
  <c r="L75" i="41"/>
  <c r="Z48" i="33"/>
  <c r="E96" i="44"/>
  <c r="AN96" i="43"/>
  <c r="K75" i="46"/>
  <c r="E102" i="45"/>
  <c r="AH24" i="45"/>
  <c r="O99" i="33"/>
  <c r="AI78" i="41"/>
  <c r="AR75" i="47"/>
  <c r="AS63" i="41"/>
  <c r="AH48" i="44"/>
  <c r="AH81" i="46"/>
  <c r="P39" i="45"/>
  <c r="AB30" i="44"/>
  <c r="AR57" i="41"/>
  <c r="E72" i="33"/>
  <c r="AO60" i="46"/>
  <c r="AQ54" i="46"/>
  <c r="AH96" i="44"/>
  <c r="O9" i="46"/>
  <c r="U36" i="44"/>
  <c r="N78" i="44"/>
  <c r="O21" i="46"/>
  <c r="S30" i="33"/>
  <c r="X75" i="41"/>
  <c r="U30" i="46"/>
  <c r="M102" i="44"/>
  <c r="L30" i="46"/>
  <c r="AT72" i="47"/>
  <c r="X87" i="45"/>
  <c r="L24" i="43"/>
  <c r="F30" i="44"/>
  <c r="Q21" i="43"/>
  <c r="U69" i="44"/>
  <c r="AQ90" i="43"/>
  <c r="AS99" i="41"/>
  <c r="AK87" i="43"/>
  <c r="K66" i="46"/>
  <c r="Q27" i="43"/>
  <c r="AT87" i="41"/>
  <c r="X42" i="47"/>
  <c r="J87" i="45"/>
  <c r="AO102" i="47"/>
  <c r="T102" i="47"/>
  <c r="AF30" i="46"/>
  <c r="K36" i="43"/>
  <c r="R75" i="43"/>
  <c r="AF84" i="43"/>
  <c r="AP102" i="43"/>
  <c r="P39" i="47"/>
  <c r="AB57" i="44"/>
  <c r="V84" i="33"/>
  <c r="Y57" i="44"/>
  <c r="AQ75" i="47"/>
  <c r="AK54" i="41"/>
  <c r="AU30" i="47"/>
  <c r="M57" i="44"/>
  <c r="S93" i="33"/>
  <c r="V21" i="46"/>
  <c r="AG63" i="43"/>
  <c r="M39" i="41"/>
  <c r="S54" i="33"/>
  <c r="AK63" i="43"/>
  <c r="AO72" i="45"/>
  <c r="Y60" i="43"/>
  <c r="X48" i="47"/>
  <c r="Q45" i="33"/>
  <c r="K45" i="47"/>
  <c r="AN30" i="45"/>
  <c r="AF90" i="44"/>
  <c r="O54" i="47"/>
  <c r="U90" i="43"/>
  <c r="AL54" i="33"/>
  <c r="K45" i="43"/>
  <c r="N99" i="46"/>
  <c r="AE27" i="45"/>
  <c r="V30" i="45"/>
  <c r="W9" i="44"/>
  <c r="V48" i="46"/>
  <c r="N18" i="44"/>
  <c r="Y84" i="41"/>
  <c r="U54" i="45"/>
  <c r="AL27" i="45"/>
  <c r="AV9" i="47"/>
  <c r="Q96" i="44"/>
  <c r="K9" i="46"/>
  <c r="AE84" i="44"/>
  <c r="Z84" i="45"/>
  <c r="H66" i="45"/>
  <c r="AJ72" i="45"/>
  <c r="S75" i="46"/>
  <c r="AQ96" i="43"/>
  <c r="S18" i="46"/>
  <c r="N27" i="33"/>
  <c r="AD33" i="46"/>
  <c r="AL21" i="33"/>
  <c r="F81" i="44"/>
  <c r="AG51" i="33"/>
  <c r="AH66" i="41"/>
  <c r="T96" i="46"/>
  <c r="K30" i="44"/>
  <c r="AT21" i="47"/>
  <c r="T15" i="43"/>
  <c r="AF21" i="44"/>
  <c r="N24" i="43"/>
  <c r="AM63" i="47"/>
  <c r="AB78" i="47"/>
  <c r="Q30" i="33"/>
  <c r="AJ45" i="41"/>
  <c r="AP78" i="41"/>
  <c r="AK81" i="45"/>
  <c r="M93" i="47"/>
  <c r="A61" i="46"/>
  <c r="A60" i="46" s="1"/>
  <c r="AK27" i="46"/>
  <c r="AQ96" i="45"/>
  <c r="P30" i="47"/>
  <c r="Y45" i="43"/>
  <c r="T90" i="41"/>
  <c r="AD60" i="47"/>
  <c r="K30" i="43"/>
  <c r="T60" i="45"/>
  <c r="AE75" i="47"/>
  <c r="G66" i="33"/>
  <c r="H33" i="44"/>
  <c r="J33" i="46"/>
  <c r="F60" i="44"/>
  <c r="AQ33" i="41"/>
  <c r="M27" i="46"/>
  <c r="U27" i="45"/>
  <c r="AB57" i="46"/>
  <c r="F33" i="45"/>
  <c r="AM81" i="46"/>
  <c r="AM45" i="44"/>
  <c r="T36" i="47"/>
  <c r="X33" i="47"/>
  <c r="AI51" i="46"/>
  <c r="AK69" i="44"/>
  <c r="AE69" i="46"/>
  <c r="N27" i="44"/>
  <c r="AB78" i="33"/>
  <c r="Z27" i="47"/>
  <c r="AA84" i="33"/>
  <c r="AL96" i="45"/>
  <c r="AK24" i="44"/>
  <c r="Q57" i="46"/>
  <c r="AJ102" i="47"/>
  <c r="AD33" i="45"/>
  <c r="AM78" i="46"/>
  <c r="T15" i="46"/>
  <c r="AO39" i="43"/>
  <c r="E81" i="33"/>
  <c r="AN54" i="45"/>
  <c r="AA39" i="33"/>
  <c r="U69" i="33"/>
  <c r="T90" i="44"/>
  <c r="AL48" i="44"/>
  <c r="E24" i="45"/>
  <c r="AI33" i="41"/>
  <c r="N24" i="41"/>
  <c r="S102" i="45"/>
  <c r="AK39" i="33"/>
  <c r="AM78" i="45"/>
  <c r="U78" i="47"/>
  <c r="AV15" i="46"/>
  <c r="AA33" i="47"/>
  <c r="AF18" i="47"/>
  <c r="J54" i="33"/>
  <c r="AT81" i="46"/>
  <c r="AO30" i="43"/>
  <c r="AE69" i="43"/>
  <c r="V48" i="44"/>
  <c r="AR9" i="33"/>
  <c r="AN72" i="47"/>
  <c r="AB30" i="43"/>
  <c r="R42" i="45"/>
  <c r="AD90" i="33"/>
  <c r="G36" i="45"/>
  <c r="Z42" i="46"/>
  <c r="Q87" i="33"/>
  <c r="U36" i="33"/>
  <c r="AM57" i="41"/>
  <c r="R15" i="44"/>
  <c r="AO99" i="41"/>
  <c r="O27" i="33"/>
  <c r="Z99" i="47"/>
  <c r="F54" i="33"/>
  <c r="AK102" i="43"/>
  <c r="P78" i="41"/>
  <c r="AK66" i="43"/>
  <c r="AL33" i="46"/>
  <c r="U9" i="47"/>
  <c r="AN96" i="45"/>
  <c r="AQ45" i="46"/>
  <c r="AD21" i="41"/>
  <c r="O48" i="41"/>
  <c r="T15" i="41"/>
  <c r="K66" i="33"/>
  <c r="AL90" i="44"/>
  <c r="AA93" i="47"/>
  <c r="AF33" i="43"/>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J63" i="41"/>
  <c r="Z72" i="46"/>
  <c r="V51" i="44"/>
  <c r="AK42" i="47"/>
  <c r="Z33" i="41"/>
  <c r="X60" i="33"/>
  <c r="AG9" i="46"/>
  <c r="V72" i="41"/>
  <c r="AH102" i="33"/>
  <c r="O54" i="44"/>
  <c r="AA48" i="47"/>
  <c r="U48" i="41"/>
  <c r="T63" i="45"/>
  <c r="AB63" i="41"/>
  <c r="AN90" i="43"/>
  <c r="S36" i="41"/>
  <c r="AO24" i="44"/>
  <c r="P99" i="45"/>
  <c r="AA21" i="46"/>
  <c r="AG99" i="33"/>
  <c r="R51" i="44"/>
  <c r="I84" i="41"/>
  <c r="N51" i="44"/>
  <c r="AA84" i="41"/>
  <c r="AD45" i="33"/>
  <c r="AO57" i="46"/>
  <c r="R96" i="41"/>
  <c r="AU24" i="41"/>
  <c r="AO51" i="45"/>
  <c r="AI48" i="45"/>
  <c r="AH21" i="45"/>
  <c r="AG21" i="41"/>
  <c r="AB66" i="43"/>
  <c r="AG75" i="41"/>
  <c r="Z102" i="43"/>
  <c r="AA21" i="47"/>
  <c r="V57" i="45"/>
  <c r="Y30" i="47"/>
  <c r="N15" i="46"/>
  <c r="AT36" i="41"/>
  <c r="X48" i="41"/>
  <c r="L51" i="43"/>
  <c r="J93" i="44"/>
  <c r="U69" i="45"/>
  <c r="P60" i="46"/>
  <c r="L57" i="43"/>
  <c r="W75" i="43"/>
  <c r="E81" i="44"/>
  <c r="AH99" i="47"/>
  <c r="Q72" i="33"/>
  <c r="K54" i="43"/>
  <c r="Y96" i="46"/>
  <c r="L15" i="44"/>
  <c r="L93" i="46"/>
  <c r="S36" i="47"/>
  <c r="H42" i="44"/>
  <c r="A61" i="41"/>
  <c r="A60" i="41" s="1"/>
  <c r="M36" i="33"/>
  <c r="AI42" i="46"/>
  <c r="Y78" i="46"/>
  <c r="P18" i="41"/>
  <c r="L96" i="41"/>
  <c r="J15" i="45"/>
  <c r="L9" i="41"/>
  <c r="Q27" i="47"/>
  <c r="AG102" i="41"/>
  <c r="S87" i="43"/>
  <c r="O45" i="47"/>
  <c r="W84" i="45"/>
  <c r="AL63" i="46"/>
  <c r="P87" i="33"/>
  <c r="AP81" i="47"/>
  <c r="AC15" i="46"/>
  <c r="AF36" i="45"/>
  <c r="P84" i="43"/>
  <c r="AD39" i="47"/>
  <c r="R33" i="41"/>
  <c r="K72" i="47"/>
  <c r="AD36" i="46"/>
  <c r="AH78" i="47"/>
  <c r="M57" i="41"/>
  <c r="AK102" i="33"/>
  <c r="A28" i="46"/>
  <c r="A29" i="46" s="1"/>
  <c r="X9" i="41"/>
  <c r="AP21" i="44"/>
  <c r="N69" i="43"/>
  <c r="P48" i="45"/>
  <c r="AG42" i="46"/>
  <c r="AT54" i="41"/>
  <c r="AH75" i="43"/>
  <c r="AD51" i="41"/>
  <c r="AH96" i="43"/>
  <c r="AR30" i="43"/>
  <c r="AL45" i="45"/>
  <c r="N45" i="47"/>
  <c r="AC18" i="45"/>
  <c r="AF24" i="46"/>
  <c r="X84" i="45"/>
  <c r="AH66" i="45"/>
  <c r="R54" i="33"/>
  <c r="AR102" i="44"/>
  <c r="AM18" i="41"/>
  <c r="AO57" i="45"/>
  <c r="O9" i="33"/>
  <c r="K42" i="33"/>
  <c r="AK102" i="46"/>
  <c r="Y54" i="44"/>
  <c r="AU75" i="41"/>
  <c r="M33" i="46"/>
  <c r="AA24" i="46"/>
  <c r="AP30" i="43"/>
  <c r="AC69" i="45"/>
  <c r="F66" i="45"/>
  <c r="AL51" i="45"/>
  <c r="R15" i="46"/>
  <c r="AE24" i="33"/>
  <c r="AM87" i="43"/>
  <c r="AH36" i="41"/>
  <c r="AE99" i="43"/>
  <c r="AI9" i="47"/>
  <c r="P99" i="41"/>
  <c r="AQ9" i="33"/>
  <c r="G75" i="44"/>
  <c r="J30" i="47"/>
  <c r="A88" i="43"/>
  <c r="A87" i="43" s="1"/>
  <c r="AQ57" i="41"/>
  <c r="AF18" i="45"/>
  <c r="M102" i="47"/>
  <c r="AE63" i="44"/>
  <c r="AP33" i="46"/>
  <c r="AV18" i="47"/>
  <c r="O36" i="46"/>
  <c r="AG36" i="46"/>
  <c r="AH78" i="46"/>
  <c r="A73" i="42"/>
  <c r="A74" i="42" s="1"/>
  <c r="P69" i="47"/>
  <c r="AQ57" i="47"/>
  <c r="AR48" i="41"/>
  <c r="O36" i="33"/>
  <c r="T39" i="43"/>
  <c r="N87" i="33"/>
  <c r="X30" i="41"/>
  <c r="L72" i="44"/>
  <c r="R39" i="41"/>
  <c r="V75" i="33"/>
  <c r="U84" i="45"/>
  <c r="W96" i="33"/>
  <c r="AG63" i="46"/>
  <c r="U15" i="47"/>
  <c r="AO39" i="45"/>
  <c r="M69" i="46"/>
  <c r="AB93" i="45"/>
  <c r="L48" i="44"/>
  <c r="V102" i="46"/>
  <c r="Z84" i="46"/>
  <c r="AT24" i="46"/>
  <c r="Y72" i="46"/>
  <c r="AT30" i="43"/>
  <c r="G9" i="33"/>
  <c r="P102" i="43"/>
  <c r="AG75" i="43"/>
  <c r="T60" i="33"/>
  <c r="AO36" i="45"/>
  <c r="A19" i="33"/>
  <c r="A20" i="33" s="1"/>
  <c r="Y27" i="44"/>
  <c r="AA63" i="45"/>
  <c r="AD33" i="44"/>
  <c r="AF63" i="43"/>
  <c r="AI39" i="43"/>
  <c r="H57" i="45"/>
  <c r="AA93" i="43"/>
  <c r="E69" i="44"/>
  <c r="Y93" i="46"/>
  <c r="AF9" i="47"/>
  <c r="AF96" i="41"/>
  <c r="I63" i="46"/>
  <c r="AP57" i="41"/>
  <c r="P15" i="47"/>
  <c r="AM81" i="43"/>
  <c r="T99" i="43"/>
  <c r="N66" i="45"/>
  <c r="W54" i="44"/>
  <c r="I45" i="33"/>
  <c r="AT18" i="46"/>
  <c r="AK60" i="33"/>
  <c r="T45" i="44"/>
  <c r="AE21" i="47"/>
  <c r="AH30" i="43"/>
  <c r="AG72" i="46"/>
  <c r="M66" i="33"/>
  <c r="U21" i="44"/>
  <c r="AR15" i="46"/>
  <c r="AR66" i="47"/>
  <c r="AC51" i="47"/>
  <c r="Q45" i="46"/>
  <c r="F24" i="44"/>
  <c r="AG84" i="43"/>
  <c r="AO60" i="45"/>
  <c r="Q60" i="43"/>
  <c r="AV45" i="47"/>
  <c r="AU87" i="47"/>
  <c r="AQ30" i="33"/>
  <c r="H84" i="44"/>
  <c r="L48" i="45"/>
  <c r="U27" i="41"/>
  <c r="AS81" i="47"/>
  <c r="W66" i="47"/>
  <c r="AR63" i="46"/>
  <c r="Z30" i="33"/>
  <c r="Q9" i="41"/>
  <c r="A49" i="47"/>
  <c r="A50" i="47" s="1"/>
  <c r="N51" i="33"/>
  <c r="Z27" i="46"/>
  <c r="W81" i="33"/>
  <c r="F87" i="45"/>
  <c r="AD42" i="45"/>
  <c r="AG84" i="33"/>
  <c r="AR90" i="44"/>
  <c r="I63" i="44"/>
  <c r="K93" i="43"/>
  <c r="AJ63" i="47"/>
  <c r="X21" i="47"/>
  <c r="P15" i="45"/>
  <c r="AA51" i="41"/>
  <c r="AC48" i="41"/>
  <c r="AL60" i="44"/>
  <c r="K66" i="47"/>
  <c r="Z24" i="44"/>
  <c r="Z21" i="44"/>
  <c r="S57" i="43"/>
  <c r="AL54" i="41"/>
  <c r="AE51" i="41"/>
  <c r="AH96" i="41"/>
  <c r="AR51" i="33"/>
  <c r="AD27" i="43"/>
  <c r="AH51" i="44"/>
  <c r="Z48" i="41"/>
  <c r="AO87" i="47"/>
  <c r="S90" i="43"/>
  <c r="Q51" i="45"/>
  <c r="AD57" i="46"/>
  <c r="M57" i="47"/>
  <c r="J69" i="33"/>
  <c r="P63" i="45"/>
  <c r="AH69" i="33"/>
  <c r="W87" i="44"/>
  <c r="A40" i="41"/>
  <c r="A41" i="41" s="1"/>
  <c r="AF33" i="44"/>
  <c r="N39" i="44"/>
  <c r="AM18" i="33"/>
  <c r="Q27" i="33"/>
  <c r="AJ51" i="43"/>
  <c r="G9" i="45"/>
  <c r="AA30" i="43"/>
  <c r="L18" i="43"/>
  <c r="V36" i="41"/>
  <c r="A94" i="42"/>
  <c r="A95" i="42" s="1"/>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P54" i="47"/>
  <c r="L72" i="45"/>
  <c r="Y81" i="43"/>
  <c r="AE63" i="45"/>
  <c r="AF27" i="47"/>
  <c r="M27" i="45"/>
  <c r="AA72" i="46"/>
  <c r="E57" i="44"/>
  <c r="AR18" i="46"/>
  <c r="AA90" i="43"/>
  <c r="P57" i="41"/>
  <c r="AO84" i="33"/>
  <c r="K54" i="33"/>
  <c r="N15" i="44"/>
  <c r="R90" i="41"/>
  <c r="AP72" i="33"/>
  <c r="W66" i="45"/>
  <c r="I93" i="47"/>
  <c r="A88" i="42"/>
  <c r="A89" i="42" s="1"/>
  <c r="AQ69" i="46"/>
  <c r="Z99" i="44"/>
  <c r="R36" i="33"/>
  <c r="AB27" i="47"/>
  <c r="AT84" i="47"/>
  <c r="AC69" i="41"/>
  <c r="AS21" i="46"/>
  <c r="AM9" i="41"/>
  <c r="S45" i="46"/>
  <c r="J24" i="33"/>
  <c r="AD66" i="45"/>
  <c r="AN27" i="46"/>
  <c r="AJ57" i="44"/>
  <c r="AD84" i="46"/>
  <c r="P54" i="43"/>
  <c r="AG45" i="46"/>
  <c r="AB81" i="43"/>
  <c r="AP9" i="33"/>
  <c r="S93" i="41"/>
  <c r="P60" i="45"/>
  <c r="AJ48" i="46"/>
  <c r="AC42" i="45"/>
  <c r="V15" i="46"/>
  <c r="AG78" i="33"/>
  <c r="P18" i="47"/>
  <c r="AM63" i="44"/>
  <c r="L54" i="45"/>
  <c r="AM9" i="47"/>
  <c r="AQ93" i="44"/>
  <c r="N36" i="45"/>
  <c r="AP102" i="44"/>
  <c r="AA42" i="33"/>
  <c r="AJ24" i="46"/>
  <c r="Z90" i="33"/>
  <c r="AL84" i="43"/>
  <c r="O45" i="44"/>
  <c r="AA81" i="44"/>
  <c r="T48" i="33"/>
  <c r="AU48" i="46"/>
  <c r="M84" i="46"/>
  <c r="I9" i="45"/>
  <c r="AB63" i="44"/>
  <c r="AC45" i="46"/>
  <c r="AT99" i="46"/>
  <c r="AF75" i="43"/>
  <c r="R84" i="43"/>
  <c r="R60" i="41"/>
  <c r="AK21" i="45"/>
  <c r="V48" i="43"/>
  <c r="AC93" i="33"/>
  <c r="AR63" i="47"/>
  <c r="AL54" i="43"/>
  <c r="S15" i="44"/>
  <c r="X78" i="46"/>
  <c r="Y57" i="47"/>
  <c r="AN60" i="46"/>
  <c r="U96" i="44"/>
  <c r="U57" i="33"/>
  <c r="AK21" i="46"/>
  <c r="AN39" i="47"/>
  <c r="U18" i="45"/>
  <c r="A85" i="41"/>
  <c r="A86" i="41" s="1"/>
  <c r="Y78" i="44"/>
  <c r="AQ39" i="43"/>
  <c r="V99" i="46"/>
  <c r="AP54" i="45"/>
  <c r="AA18" i="46"/>
  <c r="AA45" i="47"/>
  <c r="AK51" i="47"/>
  <c r="Z30" i="47"/>
  <c r="AD39" i="43"/>
  <c r="F90" i="33"/>
  <c r="J99" i="44"/>
  <c r="J69" i="41"/>
  <c r="O48" i="33"/>
  <c r="AJ45" i="33"/>
  <c r="AP27" i="45"/>
  <c r="U18" i="41"/>
  <c r="P81" i="41"/>
  <c r="Z42" i="43"/>
  <c r="AB72" i="46"/>
  <c r="AP54" i="43"/>
  <c r="L96" i="47"/>
  <c r="AC54" i="45"/>
  <c r="H75" i="33"/>
  <c r="AF69" i="46"/>
  <c r="V24" i="44"/>
  <c r="F57" i="33"/>
  <c r="AR51" i="45"/>
  <c r="Y39" i="44"/>
  <c r="AH36" i="45"/>
  <c r="AN33" i="44"/>
  <c r="O24" i="41"/>
  <c r="AD48" i="41"/>
  <c r="AA60" i="46"/>
  <c r="X84" i="33"/>
  <c r="X33" i="41"/>
  <c r="V78" i="33"/>
  <c r="AI84" i="33"/>
  <c r="N102" i="43"/>
  <c r="H63" i="45"/>
  <c r="O87" i="33"/>
  <c r="AC60" i="43"/>
  <c r="J30" i="41"/>
  <c r="M72" i="46"/>
  <c r="AI9" i="46"/>
  <c r="AD27" i="41"/>
  <c r="AI78" i="44"/>
  <c r="AL18" i="33"/>
  <c r="AA60" i="41"/>
  <c r="X18" i="41"/>
  <c r="AB45" i="41"/>
  <c r="AN21" i="46"/>
  <c r="A103" i="42"/>
  <c r="A104" i="42" s="1"/>
  <c r="AO84" i="45"/>
  <c r="AT81" i="47"/>
  <c r="S15" i="41"/>
  <c r="AP33" i="33"/>
  <c r="Y84" i="45"/>
  <c r="AF57" i="47"/>
  <c r="X48" i="44"/>
  <c r="K75" i="44"/>
  <c r="R33" i="47"/>
  <c r="O45" i="41"/>
  <c r="AQ51" i="47"/>
  <c r="Z18" i="45"/>
  <c r="AC51" i="33"/>
  <c r="J102" i="44"/>
  <c r="AE54" i="33"/>
  <c r="Y9" i="46"/>
  <c r="J99" i="43"/>
  <c r="S72" i="41"/>
  <c r="M99" i="33"/>
  <c r="AS81" i="43"/>
  <c r="AD90" i="45"/>
  <c r="H18" i="33"/>
  <c r="AO24" i="33"/>
  <c r="P90" i="47"/>
  <c r="AB78" i="44"/>
  <c r="N69" i="45"/>
  <c r="P66" i="43"/>
  <c r="AT54" i="43"/>
  <c r="AD18" i="33"/>
  <c r="AM72" i="45"/>
  <c r="AC48" i="46"/>
  <c r="A52" i="47"/>
  <c r="A53" i="47" s="1"/>
  <c r="AI54" i="41"/>
  <c r="P102" i="46"/>
  <c r="X78" i="45"/>
  <c r="AH39" i="43"/>
  <c r="AL36" i="44"/>
  <c r="AH48" i="47"/>
  <c r="G84" i="45"/>
  <c r="AV24" i="43"/>
  <c r="Y81" i="46"/>
  <c r="AL102" i="33"/>
  <c r="AS27" i="41"/>
  <c r="AL42" i="45"/>
  <c r="AT69" i="43"/>
  <c r="AK30" i="41"/>
  <c r="AP63" i="33"/>
  <c r="AL33" i="41"/>
  <c r="AO18" i="47"/>
  <c r="AE90" i="47"/>
  <c r="I96" i="45"/>
  <c r="W21" i="46"/>
  <c r="AA63" i="43"/>
  <c r="R24" i="44"/>
  <c r="AH57" i="45"/>
  <c r="K69" i="33"/>
  <c r="AC24" i="45"/>
  <c r="AL39" i="46"/>
  <c r="AN36" i="44"/>
  <c r="AI30" i="44"/>
  <c r="L96" i="33"/>
  <c r="N78" i="41"/>
  <c r="Z33" i="43"/>
  <c r="AM99" i="41"/>
  <c r="AD51" i="33"/>
  <c r="U30" i="44"/>
  <c r="N33" i="45"/>
  <c r="AL33" i="33"/>
  <c r="S21" i="43"/>
  <c r="AH36" i="44"/>
  <c r="X42" i="41"/>
  <c r="P78" i="47"/>
  <c r="I33" i="46"/>
  <c r="AN30" i="44"/>
  <c r="Q60" i="47"/>
  <c r="Y99" i="44"/>
  <c r="A76" i="46"/>
  <c r="A75" i="46" s="1"/>
  <c r="N78" i="47"/>
  <c r="AN39" i="43"/>
  <c r="P81" i="46"/>
  <c r="AG45" i="47"/>
  <c r="AL93" i="44"/>
  <c r="AC54" i="46"/>
  <c r="AE72" i="46"/>
  <c r="AC96" i="46"/>
  <c r="G102" i="44"/>
  <c r="AT51" i="43"/>
  <c r="AO96" i="43"/>
  <c r="W9" i="41"/>
  <c r="AI87" i="45"/>
  <c r="W72" i="44"/>
  <c r="AV24" i="46"/>
  <c r="AJ78" i="43"/>
  <c r="Y90" i="33"/>
  <c r="Z18" i="47"/>
  <c r="V15" i="47"/>
  <c r="L69" i="41"/>
  <c r="Z27" i="33"/>
  <c r="Z33" i="33"/>
  <c r="K81" i="33"/>
  <c r="I72" i="46"/>
  <c r="AA24" i="41"/>
  <c r="E39" i="45"/>
  <c r="Q75" i="44"/>
  <c r="AA48" i="45"/>
  <c r="AQ48" i="33"/>
  <c r="A67" i="45"/>
  <c r="A68" i="45" s="1"/>
  <c r="AI21" i="47"/>
  <c r="AE18" i="45"/>
  <c r="AM84" i="44"/>
  <c r="U27" i="47"/>
  <c r="V90" i="44"/>
  <c r="Z87" i="46"/>
  <c r="AG18" i="44"/>
  <c r="K45" i="46"/>
  <c r="AO87" i="44"/>
  <c r="R63" i="47"/>
  <c r="AI36" i="47"/>
  <c r="AG51" i="47"/>
  <c r="F63" i="45"/>
  <c r="O24" i="45"/>
  <c r="AA21" i="45"/>
  <c r="U33" i="47"/>
  <c r="AF69" i="43"/>
  <c r="AN48" i="43"/>
  <c r="O36" i="44"/>
  <c r="L48" i="33"/>
  <c r="AR84" i="47"/>
  <c r="AL63" i="45"/>
  <c r="AH99" i="45"/>
  <c r="L96" i="43"/>
  <c r="T63" i="44"/>
  <c r="F24" i="45"/>
  <c r="F57" i="45"/>
  <c r="AB75" i="45"/>
  <c r="AR36" i="33"/>
  <c r="AA75" i="45"/>
  <c r="M18" i="47"/>
  <c r="AQ15" i="44"/>
  <c r="P84" i="47"/>
  <c r="A20" i="41"/>
  <c r="A18" i="41"/>
  <c r="A81" i="43"/>
  <c r="A83" i="43"/>
  <c r="A41" i="42"/>
  <c r="A39" i="42"/>
  <c r="A50" i="45"/>
  <c r="A48" i="45"/>
  <c r="A35" i="44"/>
  <c r="A33" i="44"/>
  <c r="A36" i="43"/>
  <c r="A38" i="43"/>
  <c r="A75" i="47"/>
  <c r="A77" i="47"/>
  <c r="A95" i="43"/>
  <c r="A93" i="43"/>
  <c r="A69" i="33"/>
  <c r="A71" i="33"/>
  <c r="A74" i="47"/>
  <c r="A72" i="47"/>
  <c r="A78" i="45"/>
  <c r="A80" i="45"/>
  <c r="AF51" i="33"/>
  <c r="P21" i="45"/>
  <c r="Y87" i="33"/>
  <c r="AA54" i="41"/>
  <c r="AM9" i="33"/>
  <c r="AE60" i="45"/>
  <c r="AR60" i="46"/>
  <c r="AK57" i="45"/>
  <c r="F84" i="45"/>
  <c r="AS93" i="47"/>
  <c r="L93" i="43"/>
  <c r="O75" i="41"/>
  <c r="AA27" i="44"/>
  <c r="AD21" i="46"/>
  <c r="AQ93" i="43"/>
  <c r="G30" i="44"/>
  <c r="AC99" i="46"/>
  <c r="U102" i="46"/>
  <c r="V90" i="46"/>
  <c r="O21" i="43"/>
  <c r="Z48" i="46"/>
  <c r="A69" i="42"/>
  <c r="U90" i="33"/>
  <c r="M93" i="33"/>
  <c r="K66" i="44"/>
  <c r="AA18" i="43"/>
  <c r="AM81" i="45"/>
  <c r="AM66" i="44"/>
  <c r="S81" i="43"/>
  <c r="AF72" i="44"/>
  <c r="U69" i="41"/>
  <c r="AT27" i="47"/>
  <c r="T27" i="45"/>
  <c r="AF9" i="45"/>
  <c r="X48" i="33"/>
  <c r="AN51" i="43"/>
  <c r="AA96" i="43"/>
  <c r="AA75" i="44"/>
  <c r="U51" i="47"/>
  <c r="AG36" i="47"/>
  <c r="S81" i="46"/>
  <c r="O42" i="43"/>
  <c r="Y69" i="44"/>
  <c r="W39" i="43"/>
  <c r="U33" i="44"/>
  <c r="AI36" i="33"/>
  <c r="T36" i="45"/>
  <c r="L21" i="45"/>
  <c r="AO51" i="43"/>
  <c r="AK63" i="45"/>
  <c r="AO9" i="46"/>
  <c r="AL78" i="45"/>
  <c r="AH9" i="46"/>
  <c r="Y57" i="46"/>
  <c r="A82" i="42"/>
  <c r="AE45" i="47"/>
  <c r="AJ18" i="46"/>
  <c r="I81" i="41"/>
  <c r="AK57" i="33"/>
  <c r="AK90" i="45"/>
  <c r="M33" i="43"/>
  <c r="AC81" i="41"/>
  <c r="AI36" i="43"/>
  <c r="AA57" i="41"/>
  <c r="W72" i="43"/>
  <c r="I15" i="33"/>
  <c r="O27" i="44"/>
  <c r="W63" i="45"/>
  <c r="P57" i="43"/>
  <c r="AI81" i="43"/>
  <c r="R75" i="45"/>
  <c r="M90" i="46"/>
  <c r="AO42" i="44"/>
  <c r="L36" i="43"/>
  <c r="A25" i="44"/>
  <c r="AS54" i="43"/>
  <c r="AN93" i="47"/>
  <c r="AH42" i="44"/>
  <c r="L87" i="43"/>
  <c r="AE33" i="45"/>
  <c r="AN27" i="44"/>
  <c r="AE48" i="43"/>
  <c r="AR66" i="41"/>
  <c r="AB9" i="33"/>
  <c r="J54" i="47"/>
  <c r="T42" i="33"/>
  <c r="AS63" i="43"/>
  <c r="AK96" i="46"/>
  <c r="AO9" i="41"/>
  <c r="AR60" i="41"/>
  <c r="E78" i="44"/>
  <c r="N96" i="45"/>
  <c r="AC87" i="41"/>
  <c r="AK9" i="46"/>
  <c r="Z60" i="45"/>
  <c r="A19" i="44"/>
  <c r="X87" i="44"/>
  <c r="V42" i="47"/>
  <c r="AA54" i="43"/>
  <c r="AN78" i="43"/>
  <c r="AB18" i="41"/>
  <c r="AO57" i="43"/>
  <c r="K24" i="47"/>
  <c r="AK72" i="43"/>
  <c r="V30" i="43"/>
  <c r="AV63" i="46"/>
  <c r="T84" i="41"/>
  <c r="AC69" i="44"/>
  <c r="AH75" i="47"/>
  <c r="Y66" i="45"/>
  <c r="X87" i="43"/>
  <c r="AO24" i="47"/>
  <c r="AB84" i="44"/>
  <c r="O24" i="46"/>
  <c r="AI48" i="41"/>
  <c r="AE27" i="46"/>
  <c r="AA27" i="45"/>
  <c r="AP84" i="47"/>
  <c r="AF30" i="47"/>
  <c r="AP42" i="47"/>
  <c r="R87" i="45"/>
  <c r="AR102" i="45"/>
  <c r="P51" i="44"/>
  <c r="S27" i="46"/>
  <c r="AR102" i="33"/>
  <c r="Y42" i="45"/>
  <c r="Y66" i="41"/>
  <c r="AO75" i="44"/>
  <c r="Q69" i="47"/>
  <c r="V78" i="45"/>
  <c r="S93" i="47"/>
  <c r="AR21" i="33"/>
  <c r="L87" i="44"/>
  <c r="AL84" i="46"/>
  <c r="AP99" i="45"/>
  <c r="R84" i="46"/>
  <c r="G51" i="33"/>
  <c r="U75" i="33"/>
  <c r="AV57" i="41"/>
  <c r="M9" i="46"/>
  <c r="V69" i="47"/>
  <c r="J90" i="43"/>
  <c r="AK72" i="47"/>
  <c r="Z15" i="46"/>
  <c r="J36" i="44"/>
  <c r="AH102" i="41"/>
  <c r="AN87" i="46"/>
  <c r="Y24" i="46"/>
  <c r="Y33" i="43"/>
  <c r="AH84" i="47"/>
  <c r="Q9" i="45"/>
  <c r="W75" i="41"/>
  <c r="A90" i="33"/>
  <c r="E36" i="45"/>
  <c r="Z15" i="47"/>
  <c r="I69" i="33"/>
  <c r="AK78" i="33"/>
  <c r="Z69" i="45"/>
  <c r="AA39" i="41"/>
  <c r="AH93" i="44"/>
  <c r="W57" i="41"/>
  <c r="G99" i="44"/>
  <c r="K66" i="45"/>
  <c r="AU90" i="43"/>
  <c r="U72" i="44"/>
  <c r="A100" i="47"/>
  <c r="A55" i="46"/>
  <c r="L57" i="33"/>
  <c r="AV45" i="46"/>
  <c r="T45" i="33"/>
  <c r="AM72" i="47"/>
  <c r="O24" i="43"/>
  <c r="S36" i="43"/>
  <c r="I30" i="33"/>
  <c r="AD54" i="47"/>
  <c r="AQ102" i="46"/>
  <c r="AA51" i="47"/>
  <c r="AJ72" i="41"/>
  <c r="Z33" i="46"/>
  <c r="J78" i="44"/>
  <c r="AL18" i="43"/>
  <c r="L90" i="41"/>
  <c r="AK93" i="46"/>
  <c r="A51" i="42"/>
  <c r="A53" i="42"/>
  <c r="AB9" i="47"/>
  <c r="AO75" i="45"/>
  <c r="O99" i="41"/>
  <c r="AI9" i="41"/>
  <c r="O39" i="44"/>
  <c r="V75" i="46"/>
  <c r="AD24" i="41"/>
  <c r="AL57" i="33"/>
  <c r="AM21" i="47"/>
  <c r="AD99" i="46"/>
  <c r="K57" i="46"/>
  <c r="J54" i="43"/>
  <c r="AH60" i="45"/>
  <c r="AK33" i="45"/>
  <c r="R69" i="44"/>
  <c r="M27" i="41"/>
  <c r="X90" i="33"/>
  <c r="I27" i="46"/>
  <c r="L33" i="43"/>
  <c r="AG84" i="47"/>
  <c r="A67" i="43"/>
  <c r="AL87" i="47"/>
  <c r="W27" i="46"/>
  <c r="AT75" i="46"/>
  <c r="S42" i="47"/>
  <c r="I15" i="41"/>
  <c r="S9" i="44"/>
  <c r="G33" i="33"/>
  <c r="V81" i="45"/>
  <c r="R21" i="45"/>
  <c r="AS87" i="46"/>
  <c r="AM87" i="41"/>
  <c r="M21" i="47"/>
  <c r="AG81" i="45"/>
  <c r="Q84" i="33"/>
  <c r="AP90" i="33"/>
  <c r="AM69" i="43"/>
  <c r="V75" i="43"/>
  <c r="K15" i="43"/>
  <c r="H66" i="44"/>
  <c r="AE81" i="44"/>
  <c r="AO33" i="41"/>
  <c r="S54" i="45"/>
  <c r="AO21" i="45"/>
  <c r="S27" i="43"/>
  <c r="Q15" i="44"/>
  <c r="W96" i="47"/>
  <c r="AR42" i="33"/>
  <c r="AF63" i="41"/>
  <c r="AI102" i="44"/>
  <c r="R66" i="43"/>
  <c r="X9" i="46"/>
  <c r="AM90" i="43"/>
  <c r="AU51" i="47"/>
  <c r="AJ42" i="47"/>
  <c r="T39" i="45"/>
  <c r="H75" i="44"/>
  <c r="AE27" i="33"/>
  <c r="AJ30" i="45"/>
  <c r="J57" i="47"/>
  <c r="AI63" i="46"/>
  <c r="AF24" i="43"/>
  <c r="S63" i="45"/>
  <c r="AF69" i="47"/>
  <c r="Y87" i="46"/>
  <c r="AM87" i="33"/>
  <c r="AU36" i="41"/>
  <c r="Z72" i="41"/>
  <c r="AH60" i="33"/>
  <c r="AM51" i="43"/>
  <c r="AS33" i="41"/>
  <c r="Q42" i="41"/>
  <c r="AP84" i="33"/>
  <c r="F48" i="44"/>
  <c r="S78" i="41"/>
  <c r="AQ84" i="47"/>
  <c r="V72" i="45"/>
  <c r="Z90" i="43"/>
  <c r="AB99" i="44"/>
  <c r="A67" i="41"/>
  <c r="J27" i="47"/>
  <c r="I45" i="45"/>
  <c r="L69" i="33"/>
  <c r="AS75" i="46"/>
  <c r="I27" i="47"/>
  <c r="U78" i="46"/>
  <c r="AR36" i="44"/>
  <c r="U48" i="43"/>
  <c r="N72" i="46"/>
  <c r="T60" i="46"/>
  <c r="N45" i="43"/>
  <c r="AF9" i="33"/>
  <c r="A31" i="41"/>
  <c r="AQ96" i="47"/>
  <c r="U72" i="45"/>
  <c r="AF9" i="43"/>
  <c r="AU63" i="47"/>
  <c r="Y63" i="33"/>
  <c r="AH75" i="45"/>
  <c r="K27" i="43"/>
  <c r="AU27" i="47"/>
  <c r="AI48" i="33"/>
  <c r="Q33" i="33"/>
  <c r="M45" i="44"/>
  <c r="AM87" i="47"/>
  <c r="AB18" i="44"/>
  <c r="A40" i="47"/>
  <c r="A19" i="46"/>
  <c r="Q57" i="44"/>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58" i="41"/>
  <c r="W75" i="47"/>
  <c r="Z81" i="46"/>
  <c r="J84" i="43"/>
  <c r="AT66" i="43"/>
  <c r="AB72" i="43"/>
  <c r="AE36" i="45"/>
  <c r="AA78" i="47"/>
  <c r="AD18" i="45"/>
  <c r="U75" i="47"/>
  <c r="AG36" i="33"/>
  <c r="AP24" i="41"/>
  <c r="X51" i="45"/>
  <c r="AF42" i="46"/>
  <c r="W60" i="43"/>
  <c r="AM27" i="41"/>
  <c r="AQ75" i="45"/>
  <c r="W63" i="41"/>
  <c r="AO33" i="46"/>
  <c r="J66" i="46"/>
  <c r="K84" i="46"/>
  <c r="Q63" i="46"/>
  <c r="AR36" i="47"/>
  <c r="AI63" i="47"/>
  <c r="AK90" i="44"/>
  <c r="AM30" i="47"/>
  <c r="AI75" i="47"/>
  <c r="H93" i="33"/>
  <c r="AO78" i="41"/>
  <c r="AL33" i="43"/>
  <c r="AL84" i="33"/>
  <c r="Z96" i="44"/>
  <c r="AR45" i="45"/>
  <c r="H21" i="44"/>
  <c r="J63" i="45"/>
  <c r="V39" i="45"/>
  <c r="K93" i="45"/>
  <c r="Y48" i="47"/>
  <c r="AV33" i="41"/>
  <c r="AD93" i="44"/>
  <c r="AM84" i="33"/>
  <c r="N72" i="45"/>
  <c r="AR18" i="47"/>
  <c r="AE51" i="33"/>
  <c r="K102" i="33"/>
  <c r="AK57" i="46"/>
  <c r="AI30" i="46"/>
  <c r="O84" i="46"/>
  <c r="V18" i="43"/>
  <c r="F99" i="45"/>
  <c r="J60" i="41"/>
  <c r="AS60" i="43"/>
  <c r="L27" i="44"/>
  <c r="AK90" i="47"/>
  <c r="P96" i="47"/>
  <c r="AB33" i="33"/>
  <c r="K51" i="44"/>
  <c r="AI90" i="47"/>
  <c r="N87" i="46"/>
  <c r="AB45" i="43"/>
  <c r="I24" i="44"/>
  <c r="AC18" i="47"/>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93" i="33"/>
  <c r="AV99" i="43"/>
  <c r="Y18" i="44"/>
  <c r="AC96" i="45"/>
  <c r="I81" i="47"/>
  <c r="AG84" i="44"/>
  <c r="A103" i="46"/>
  <c r="AK24" i="46"/>
  <c r="AO69" i="33"/>
  <c r="V33" i="43"/>
  <c r="AL96" i="43"/>
  <c r="G39" i="44"/>
  <c r="AM99" i="33"/>
  <c r="Q21" i="46"/>
  <c r="K75" i="43"/>
  <c r="AD54" i="43"/>
  <c r="AR60" i="43"/>
  <c r="V87" i="43"/>
  <c r="L102" i="45"/>
  <c r="AT9" i="46"/>
  <c r="AU102" i="41"/>
  <c r="Q18" i="41"/>
  <c r="J60" i="45"/>
  <c r="AA63" i="46"/>
  <c r="AF51" i="44"/>
  <c r="P99" i="43"/>
  <c r="K72" i="43"/>
  <c r="L45" i="33"/>
  <c r="Y75" i="33"/>
  <c r="AK84" i="46"/>
  <c r="AV87" i="43"/>
  <c r="AD63" i="43"/>
  <c r="I51" i="45"/>
  <c r="AG51" i="41"/>
  <c r="A58" i="43"/>
  <c r="Q81" i="44"/>
  <c r="AP54" i="44"/>
  <c r="AI75" i="45"/>
  <c r="AN57" i="44"/>
  <c r="AR48" i="47"/>
  <c r="O30" i="46"/>
  <c r="H84" i="45"/>
  <c r="AA72" i="44"/>
  <c r="AG21" i="45"/>
  <c r="J15" i="47"/>
  <c r="L66" i="44"/>
  <c r="Y15" i="45"/>
  <c r="P24" i="43"/>
  <c r="Y24" i="47"/>
  <c r="P63" i="46"/>
  <c r="T39" i="33"/>
  <c r="AO69" i="44"/>
  <c r="R81" i="47"/>
  <c r="Y57" i="33"/>
  <c r="R84" i="44"/>
  <c r="Y9" i="43"/>
  <c r="J48" i="43"/>
  <c r="AK39" i="46"/>
  <c r="AM36" i="41"/>
  <c r="V69" i="43"/>
  <c r="AC60" i="45"/>
  <c r="AJ87" i="46"/>
  <c r="AN75" i="41"/>
  <c r="L54" i="33"/>
  <c r="Y18" i="46"/>
  <c r="AU81" i="41"/>
  <c r="I90" i="41"/>
  <c r="Z84" i="33"/>
  <c r="AC45" i="33"/>
  <c r="I81" i="46"/>
  <c r="H90" i="45"/>
  <c r="AH15" i="47"/>
  <c r="W24" i="47"/>
  <c r="AM30" i="44"/>
  <c r="R18" i="46"/>
  <c r="AV9" i="41"/>
  <c r="N78" i="43"/>
  <c r="S87" i="41"/>
  <c r="K54" i="41"/>
  <c r="J9" i="47"/>
  <c r="AJ81" i="41"/>
  <c r="A49" i="43"/>
  <c r="A25" i="46"/>
  <c r="V27" i="45"/>
  <c r="A16" i="44"/>
  <c r="H48" i="44"/>
  <c r="AP69" i="44"/>
  <c r="AR48" i="45"/>
  <c r="AC15" i="47"/>
  <c r="AB54" i="45"/>
  <c r="L27" i="33"/>
  <c r="AE48" i="46"/>
  <c r="AH15" i="43"/>
  <c r="N57" i="33"/>
  <c r="Q57" i="47"/>
  <c r="H9" i="45"/>
  <c r="M96" i="33"/>
  <c r="H9" i="33"/>
  <c r="R42" i="43"/>
  <c r="AN57" i="33"/>
  <c r="AJ87" i="44"/>
  <c r="Z33" i="45"/>
  <c r="AB75" i="44"/>
  <c r="AJ75" i="43"/>
  <c r="A67" i="33"/>
  <c r="E93" i="45"/>
  <c r="AG30" i="46"/>
  <c r="J18" i="44"/>
  <c r="F18" i="44"/>
  <c r="O42" i="45"/>
  <c r="AV48" i="43"/>
  <c r="W30" i="43"/>
  <c r="V60" i="43"/>
  <c r="AT54" i="46"/>
  <c r="AG39" i="43"/>
  <c r="U39" i="41"/>
  <c r="AM84" i="43"/>
  <c r="AH15" i="45"/>
  <c r="AJ60" i="41"/>
  <c r="AP69" i="41"/>
  <c r="AB99" i="33"/>
  <c r="A94" i="47"/>
  <c r="N57" i="44"/>
  <c r="AD45" i="46"/>
  <c r="AO60" i="44"/>
  <c r="AC48" i="43"/>
  <c r="AC87" i="45"/>
  <c r="AV27" i="47"/>
  <c r="L30" i="47"/>
  <c r="AA93" i="44"/>
  <c r="T57" i="46"/>
  <c r="AD57" i="43"/>
  <c r="Z90" i="44"/>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V18" i="47"/>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2" i="46"/>
  <c r="AU15" i="43"/>
  <c r="AV9" i="46"/>
  <c r="U57" i="45"/>
  <c r="P21" i="33"/>
  <c r="AO57" i="33"/>
  <c r="AG24" i="45"/>
  <c r="G78" i="44"/>
  <c r="AE87" i="45"/>
  <c r="Y60" i="45"/>
  <c r="V90" i="47"/>
  <c r="AN78" i="46"/>
  <c r="AQ84" i="33"/>
  <c r="AE30" i="43"/>
  <c r="S51" i="43"/>
  <c r="AF48" i="43"/>
  <c r="T90" i="45"/>
  <c r="AJ21" i="41"/>
  <c r="AB54" i="44"/>
  <c r="Q42" i="43"/>
  <c r="G39" i="45"/>
  <c r="N48" i="47"/>
  <c r="L87" i="41"/>
  <c r="AF75" i="46"/>
  <c r="AH90" i="44"/>
  <c r="AP27" i="43"/>
  <c r="AV57" i="47"/>
  <c r="X81" i="43"/>
  <c r="AG96" i="47"/>
  <c r="W63" i="47"/>
  <c r="AD72" i="44"/>
  <c r="W75" i="46"/>
  <c r="AN72" i="43"/>
  <c r="W18" i="41"/>
  <c r="AO60" i="47"/>
  <c r="P75" i="41"/>
  <c r="AF60" i="44"/>
  <c r="AT78" i="47"/>
  <c r="Y81" i="44"/>
  <c r="Z66" i="45"/>
  <c r="AC15" i="45"/>
  <c r="AK30" i="44"/>
  <c r="AF30" i="43"/>
  <c r="AM72" i="43"/>
  <c r="O84" i="45"/>
  <c r="AH42" i="41"/>
  <c r="AG99" i="43"/>
  <c r="A73" i="33"/>
  <c r="E9" i="45"/>
  <c r="AH90" i="41"/>
  <c r="AR27" i="41"/>
  <c r="N96" i="46"/>
  <c r="AK36" i="44"/>
  <c r="H93" i="44"/>
  <c r="Q81" i="45"/>
  <c r="AE9" i="46"/>
  <c r="AH18" i="47"/>
  <c r="T9" i="44"/>
  <c r="Q45" i="41"/>
  <c r="AM66" i="45"/>
  <c r="T75" i="43"/>
  <c r="F54" i="45"/>
  <c r="AJ15" i="47"/>
  <c r="A69" i="43"/>
  <c r="A71" i="43"/>
  <c r="Z102" i="41"/>
  <c r="R90" i="46"/>
  <c r="Q18" i="43"/>
  <c r="AS24" i="46"/>
  <c r="AC96" i="47"/>
  <c r="AN93" i="41"/>
  <c r="AN36" i="46"/>
  <c r="M81" i="41"/>
  <c r="AQ15" i="46"/>
  <c r="A97" i="44"/>
  <c r="W48" i="33"/>
  <c r="I96" i="44"/>
  <c r="AM57" i="45"/>
  <c r="AF15" i="45"/>
  <c r="AE84" i="33"/>
  <c r="AF45" i="43"/>
  <c r="AT15" i="46"/>
  <c r="I36" i="47"/>
  <c r="L60" i="45"/>
  <c r="AL42" i="33"/>
  <c r="AG87" i="46"/>
  <c r="V9" i="41"/>
  <c r="I36" i="33"/>
  <c r="AN9" i="46"/>
  <c r="K21" i="46"/>
  <c r="AL30" i="46"/>
  <c r="AA15" i="47"/>
  <c r="R72" i="45"/>
  <c r="Z54" i="46"/>
  <c r="AR99" i="41"/>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O60" i="33"/>
  <c r="A96" i="47"/>
  <c r="A98" i="47"/>
  <c r="AG9" i="44"/>
  <c r="A88" i="46"/>
  <c r="AK102" i="41"/>
  <c r="G27" i="44"/>
  <c r="K51" i="46"/>
  <c r="AD27" i="47"/>
  <c r="M51" i="41"/>
  <c r="AB48" i="46"/>
  <c r="Q69" i="43"/>
  <c r="V60" i="45"/>
  <c r="K18" i="33"/>
  <c r="AS45" i="43"/>
  <c r="V102" i="45"/>
  <c r="AK15" i="44"/>
  <c r="S99" i="43"/>
  <c r="U54" i="47"/>
  <c r="AL72" i="44"/>
  <c r="F42" i="33"/>
  <c r="S27" i="33"/>
  <c r="I9" i="43"/>
  <c r="L72" i="33"/>
  <c r="AB51" i="44"/>
  <c r="V84" i="43"/>
  <c r="U63" i="43"/>
  <c r="AD48" i="47"/>
  <c r="I9" i="41"/>
  <c r="Q93" i="33"/>
  <c r="U96" i="41"/>
  <c r="AM75" i="43"/>
  <c r="J15" i="33"/>
  <c r="N21" i="45"/>
  <c r="N51" i="45"/>
  <c r="AD75" i="45"/>
  <c r="AO24" i="43"/>
  <c r="AH69" i="41"/>
  <c r="M78" i="45"/>
  <c r="M54" i="44"/>
  <c r="AE90" i="46"/>
  <c r="A58" i="42"/>
  <c r="Y69" i="46"/>
  <c r="AB87" i="43"/>
  <c r="AM21" i="33"/>
  <c r="W24" i="45"/>
  <c r="AH78" i="33"/>
  <c r="H81" i="44"/>
  <c r="S81" i="44"/>
  <c r="AN72" i="41"/>
  <c r="T48" i="41"/>
  <c r="O45" i="46"/>
  <c r="L60" i="44"/>
  <c r="O102" i="45"/>
  <c r="A25" i="45"/>
  <c r="AG72" i="41"/>
  <c r="AA9" i="45"/>
  <c r="AS78" i="43"/>
  <c r="R102" i="41"/>
  <c r="AF96" i="44"/>
  <c r="AB90" i="46"/>
  <c r="AO69" i="43"/>
  <c r="AE87" i="43"/>
  <c r="N51" i="46"/>
  <c r="W30" i="46"/>
  <c r="AA72" i="45"/>
  <c r="AB57" i="41"/>
  <c r="G93" i="44"/>
  <c r="AQ9" i="43"/>
  <c r="A31" i="45"/>
  <c r="O84" i="33"/>
  <c r="R75" i="44"/>
  <c r="AL36" i="43"/>
  <c r="I57" i="47"/>
  <c r="AA24" i="44"/>
  <c r="M48" i="47"/>
  <c r="AR84" i="43"/>
  <c r="Y24" i="44"/>
  <c r="F15" i="45"/>
  <c r="W45" i="46"/>
  <c r="AQ81" i="43"/>
  <c r="N102" i="41"/>
  <c r="N72" i="44"/>
  <c r="AL96" i="44"/>
  <c r="V33" i="41"/>
  <c r="I60" i="47"/>
  <c r="AS42" i="41"/>
  <c r="AA48" i="44"/>
  <c r="T21" i="47"/>
  <c r="AR39" i="46"/>
  <c r="AK60" i="46"/>
  <c r="AC42" i="33"/>
  <c r="Y69" i="41"/>
  <c r="T96" i="47"/>
  <c r="AA90" i="41"/>
  <c r="L60" i="41"/>
  <c r="X87" i="41"/>
  <c r="Y30" i="43"/>
  <c r="R81" i="43"/>
  <c r="Q18" i="46"/>
  <c r="P18" i="43"/>
  <c r="AH69" i="44"/>
  <c r="AL81" i="47"/>
  <c r="P36" i="43"/>
  <c r="E69" i="33"/>
  <c r="R51" i="45"/>
  <c r="AI75" i="41"/>
  <c r="N33" i="41"/>
  <c r="AM51" i="33"/>
  <c r="AE66" i="45"/>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AO39" i="47"/>
  <c r="F30" i="33"/>
  <c r="AQ21" i="47"/>
  <c r="AI96" i="44"/>
  <c r="A46" i="42"/>
  <c r="W93" i="33"/>
  <c r="K81" i="45"/>
  <c r="AQ81" i="33"/>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Z99" i="33"/>
  <c r="W39" i="46"/>
  <c r="AS102" i="41"/>
  <c r="AQ57" i="45"/>
  <c r="AP96" i="43"/>
  <c r="AO75" i="47"/>
  <c r="AK48" i="47"/>
  <c r="AE27" i="47"/>
  <c r="O30" i="45"/>
  <c r="M60" i="45"/>
  <c r="L18" i="46"/>
  <c r="AN21" i="33"/>
  <c r="N42" i="46"/>
  <c r="AC102" i="43"/>
  <c r="V39" i="46"/>
  <c r="AB93" i="41"/>
  <c r="AG27" i="33"/>
  <c r="AO45" i="47"/>
  <c r="U102" i="47"/>
  <c r="F21" i="45"/>
  <c r="E78" i="33"/>
  <c r="AV36" i="43"/>
  <c r="Y18" i="45"/>
  <c r="AD93" i="43"/>
  <c r="K9" i="43"/>
  <c r="K39" i="44"/>
  <c r="L99" i="44"/>
  <c r="I69" i="41"/>
  <c r="U42" i="47"/>
  <c r="M15" i="45"/>
  <c r="AV48" i="47"/>
  <c r="AS99" i="43"/>
  <c r="AC18" i="44"/>
  <c r="P93" i="46"/>
  <c r="X15" i="41"/>
  <c r="AP81" i="44"/>
  <c r="Z39" i="41"/>
  <c r="A102" i="33"/>
  <c r="A104" i="33"/>
  <c r="A41" i="43"/>
  <c r="A39" i="43"/>
  <c r="A20" i="45"/>
  <c r="A18" i="45"/>
  <c r="AS18" i="46"/>
  <c r="AN87" i="45"/>
  <c r="AR72" i="44"/>
  <c r="P33" i="33"/>
  <c r="A84" i="45"/>
  <c r="A61" i="43"/>
  <c r="A59" i="44"/>
  <c r="H102" i="45"/>
  <c r="A60" i="44"/>
  <c r="A62" i="44"/>
  <c r="Z24" i="45"/>
  <c r="S30" i="41"/>
  <c r="P15" i="43"/>
  <c r="W78" i="46"/>
  <c r="I84" i="46"/>
  <c r="I60" i="45"/>
  <c r="AD60" i="44"/>
  <c r="A51" i="44"/>
  <c r="A53" i="44"/>
  <c r="AV54" i="46"/>
  <c r="S99" i="44"/>
  <c r="Y81" i="47"/>
  <c r="AG63" i="44"/>
  <c r="AJ60" i="46"/>
  <c r="AJ36" i="44"/>
  <c r="K60" i="45"/>
  <c r="AK27" i="47"/>
  <c r="X63" i="33"/>
  <c r="M48" i="44"/>
  <c r="O69" i="44"/>
  <c r="AJ42" i="45"/>
  <c r="T54" i="33"/>
  <c r="AB42" i="46"/>
  <c r="K15" i="44"/>
  <c r="Q102" i="41"/>
  <c r="AQ42" i="41"/>
  <c r="AB81" i="44"/>
  <c r="T57" i="33"/>
  <c r="T72" i="46"/>
  <c r="J66" i="43"/>
  <c r="M87" i="46"/>
  <c r="AM102" i="45"/>
  <c r="Q36" i="47"/>
  <c r="AE99" i="45"/>
  <c r="AD72" i="43"/>
  <c r="F36" i="44"/>
  <c r="AM93" i="44"/>
  <c r="R69" i="43"/>
  <c r="O72" i="47"/>
  <c r="S96" i="43"/>
  <c r="AO72" i="43"/>
  <c r="K63" i="41"/>
  <c r="AG99" i="47"/>
  <c r="AC9" i="46"/>
  <c r="J75" i="45"/>
  <c r="H96" i="33"/>
  <c r="O78" i="43"/>
  <c r="AB66" i="46"/>
  <c r="V39" i="33"/>
  <c r="AK36" i="47"/>
  <c r="AD51" i="45"/>
  <c r="G66" i="44"/>
  <c r="J9" i="41"/>
  <c r="A45" i="47"/>
  <c r="A47" i="47"/>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V69" i="45"/>
  <c r="AE57" i="45"/>
  <c r="AO39" i="44"/>
  <c r="AK21" i="43"/>
  <c r="U57" i="43"/>
  <c r="V81" i="44"/>
  <c r="AK63" i="33"/>
  <c r="AP96" i="33"/>
  <c r="AI93" i="41"/>
  <c r="AH72" i="46"/>
  <c r="Q66" i="45"/>
  <c r="AV87" i="41"/>
  <c r="AM87" i="46"/>
  <c r="R51" i="43"/>
  <c r="AN60" i="44"/>
  <c r="AJ42" i="44"/>
  <c r="AA81" i="46"/>
  <c r="AC27" i="43"/>
  <c r="AD15" i="46"/>
  <c r="Y96" i="45"/>
  <c r="AQ27" i="33"/>
  <c r="O33" i="43"/>
  <c r="AS45" i="41"/>
  <c r="Q72" i="47"/>
  <c r="AU63" i="43"/>
  <c r="Z24" i="46"/>
  <c r="AE66" i="47"/>
  <c r="AB54" i="33"/>
  <c r="AK51" i="41"/>
  <c r="S48" i="33"/>
  <c r="A73" i="45"/>
  <c r="Z18" i="44"/>
  <c r="G54" i="44"/>
  <c r="K60" i="33"/>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Q81" i="41"/>
  <c r="AO15" i="45"/>
  <c r="R78" i="33"/>
  <c r="Q81" i="46"/>
  <c r="AQ90" i="41"/>
  <c r="AO75" i="43"/>
  <c r="AQ69" i="45"/>
  <c r="AF102" i="43"/>
  <c r="AU36" i="47"/>
  <c r="AV99" i="47"/>
  <c r="Y75" i="43"/>
  <c r="H69" i="33"/>
  <c r="Z48" i="44"/>
  <c r="W48" i="47"/>
  <c r="AD33" i="43"/>
  <c r="AB60" i="47"/>
  <c r="V51" i="45"/>
  <c r="AA33" i="41"/>
  <c r="I60" i="41"/>
  <c r="AQ66" i="41"/>
  <c r="Q102" i="33"/>
  <c r="K45" i="45"/>
  <c r="AK57" i="41"/>
  <c r="AA57" i="45"/>
  <c r="AJ99" i="33"/>
  <c r="AP45" i="41"/>
  <c r="AP51" i="41"/>
  <c r="AG30" i="43"/>
  <c r="K75" i="41"/>
  <c r="AE90" i="43"/>
  <c r="AM42" i="47"/>
  <c r="AE24" i="47"/>
  <c r="V96" i="33"/>
  <c r="Q36" i="41"/>
  <c r="AR93" i="46"/>
  <c r="R21" i="33"/>
  <c r="U18" i="46"/>
  <c r="F93" i="45"/>
  <c r="AB24" i="41"/>
  <c r="Y45" i="45"/>
  <c r="A34" i="43"/>
  <c r="V96" i="46"/>
  <c r="W90" i="43"/>
  <c r="AB39" i="44"/>
  <c r="W39" i="41"/>
  <c r="E51" i="45"/>
  <c r="Z102" i="33"/>
  <c r="AD15" i="44"/>
  <c r="AV60" i="47"/>
  <c r="A52" i="46"/>
  <c r="AE33" i="47"/>
  <c r="AO87" i="45"/>
  <c r="AK39" i="41"/>
  <c r="AC78" i="46"/>
  <c r="T42" i="44"/>
  <c r="X84" i="44"/>
  <c r="L60" i="43"/>
  <c r="T36" i="41"/>
  <c r="K60" i="46"/>
  <c r="AV24" i="47"/>
  <c r="AE96" i="46"/>
  <c r="O9" i="47"/>
  <c r="AK15" i="46"/>
  <c r="AK99" i="43"/>
  <c r="W84" i="41"/>
  <c r="Z84" i="43"/>
  <c r="AS66" i="46"/>
  <c r="AF21" i="41"/>
  <c r="AI66" i="41"/>
  <c r="M24" i="47"/>
  <c r="AC57" i="33"/>
  <c r="AO102" i="46"/>
  <c r="AG75" i="47"/>
  <c r="L75" i="47"/>
  <c r="AC75" i="41"/>
  <c r="Y99" i="33"/>
  <c r="AI81" i="44"/>
  <c r="M75" i="44"/>
  <c r="AQ78" i="47"/>
  <c r="Q93" i="41"/>
  <c r="AT87" i="46"/>
  <c r="AN93" i="43"/>
  <c r="W84" i="47"/>
  <c r="I51" i="41"/>
  <c r="X69" i="44"/>
  <c r="G33" i="45"/>
  <c r="AV60" i="46"/>
  <c r="O57" i="41"/>
  <c r="AE15" i="41"/>
  <c r="AO45" i="33"/>
  <c r="AL57" i="46"/>
  <c r="W102" i="41"/>
  <c r="AC102" i="44"/>
  <c r="AL54" i="44"/>
  <c r="AC30" i="44"/>
  <c r="Y36" i="44"/>
  <c r="R48" i="45"/>
  <c r="G36" i="33"/>
  <c r="N36" i="44"/>
  <c r="Q96" i="43"/>
  <c r="N39" i="45"/>
  <c r="R60" i="44"/>
  <c r="L93" i="44"/>
  <c r="AF9" i="46"/>
  <c r="K60" i="47"/>
  <c r="AD60" i="46"/>
  <c r="M69" i="47"/>
  <c r="AM87" i="45"/>
  <c r="R15" i="47"/>
  <c r="J72" i="33"/>
  <c r="W60" i="33"/>
  <c r="AV90" i="43"/>
  <c r="AT102" i="46"/>
  <c r="AU33" i="46"/>
  <c r="AL21" i="41"/>
  <c r="AO57" i="41"/>
  <c r="AA27" i="33"/>
  <c r="AJ48" i="45"/>
  <c r="AC42" i="43"/>
  <c r="AH84" i="46"/>
  <c r="AG9" i="45"/>
  <c r="F48" i="33"/>
  <c r="AI87" i="33"/>
  <c r="AE60" i="41"/>
  <c r="I15" i="44"/>
  <c r="AH9" i="44"/>
  <c r="N90" i="46"/>
  <c r="AR33" i="46"/>
  <c r="Q99" i="47"/>
  <c r="AO27" i="41"/>
  <c r="I75" i="44"/>
  <c r="AG18" i="46"/>
  <c r="A83" i="44"/>
  <c r="G24" i="44"/>
  <c r="A43" i="47"/>
  <c r="T87" i="46"/>
  <c r="J21" i="33"/>
  <c r="Z78" i="45"/>
  <c r="K18" i="43"/>
  <c r="AJ18" i="33"/>
  <c r="E93" i="44"/>
  <c r="R15" i="43"/>
  <c r="AE39" i="47"/>
  <c r="O84" i="47"/>
  <c r="AG18" i="45"/>
  <c r="A40" i="45"/>
  <c r="AH57" i="46"/>
  <c r="AG96" i="43"/>
  <c r="O45" i="33"/>
  <c r="A64" i="46"/>
  <c r="G27" i="45"/>
  <c r="AC78" i="41"/>
  <c r="AK57" i="43"/>
  <c r="AQ90" i="33"/>
  <c r="AQ99" i="33"/>
  <c r="AP42" i="45"/>
  <c r="AS18" i="47"/>
  <c r="X75" i="46"/>
  <c r="U87" i="44"/>
  <c r="AR9" i="41"/>
  <c r="AR45" i="44"/>
  <c r="AK36" i="41"/>
  <c r="W18" i="45"/>
  <c r="AE96" i="47"/>
  <c r="S42" i="33"/>
  <c r="A46" i="43"/>
  <c r="AG78" i="47"/>
  <c r="U33" i="43"/>
  <c r="R42" i="33"/>
  <c r="G96" i="44"/>
  <c r="K87" i="33"/>
  <c r="AH54" i="46"/>
  <c r="W78" i="41"/>
  <c r="AV15" i="47"/>
  <c r="K48" i="44"/>
  <c r="T51" i="45"/>
  <c r="I39" i="44"/>
  <c r="F90" i="44"/>
  <c r="R90" i="47"/>
  <c r="I90" i="43"/>
  <c r="M48" i="45"/>
  <c r="AO48" i="33"/>
  <c r="AC45" i="45"/>
  <c r="AS15" i="43"/>
  <c r="AO102" i="44"/>
  <c r="M18" i="45"/>
  <c r="AO90" i="41"/>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L39" i="47"/>
  <c r="A25" i="41"/>
  <c r="AA102" i="47"/>
  <c r="Y51" i="45"/>
  <c r="P96" i="44"/>
  <c r="AL57" i="47"/>
  <c r="AH21" i="44"/>
  <c r="M39" i="45"/>
  <c r="AI84" i="47"/>
  <c r="Z45" i="43"/>
  <c r="N30" i="45"/>
  <c r="AS9" i="41"/>
  <c r="K36" i="44"/>
  <c r="L18" i="45"/>
  <c r="Z39" i="47"/>
  <c r="T69" i="41"/>
  <c r="AF78" i="45"/>
  <c r="AR18" i="33"/>
  <c r="AO87" i="41"/>
  <c r="J45" i="46"/>
  <c r="AL15" i="47"/>
  <c r="W42" i="46"/>
  <c r="AN60" i="47"/>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AA102" i="45"/>
  <c r="W96" i="44"/>
  <c r="AL54" i="47"/>
  <c r="K84" i="43"/>
  <c r="AP87" i="44"/>
  <c r="AN93" i="33"/>
  <c r="AI42" i="47"/>
  <c r="AN69" i="47"/>
  <c r="AF60" i="45"/>
  <c r="AR84" i="45"/>
  <c r="AP33" i="44"/>
  <c r="W57" i="33"/>
  <c r="AM18" i="46"/>
  <c r="AL36" i="33"/>
  <c r="Y27" i="33"/>
  <c r="AK72" i="46"/>
  <c r="Q42" i="47"/>
  <c r="AM48" i="44"/>
  <c r="AG18" i="41"/>
  <c r="Z102" i="45"/>
  <c r="T45" i="43"/>
  <c r="W84" i="43"/>
  <c r="A16" i="47"/>
  <c r="T33" i="46"/>
  <c r="V33" i="33"/>
  <c r="U96" i="45"/>
  <c r="AF69" i="41"/>
  <c r="AH45" i="41"/>
  <c r="Y57" i="41"/>
  <c r="AJ84" i="33"/>
  <c r="P36" i="47"/>
  <c r="P69" i="41"/>
  <c r="R18" i="44"/>
  <c r="AE24" i="45"/>
  <c r="AE45" i="45"/>
  <c r="A101" i="41"/>
  <c r="A99" i="41"/>
  <c r="A59" i="45"/>
  <c r="A57" i="45"/>
  <c r="R9" i="46"/>
  <c r="AM15" i="44"/>
  <c r="Y102" i="44"/>
  <c r="J33" i="47"/>
  <c r="AS33" i="47"/>
  <c r="AD96" i="44"/>
  <c r="AC21" i="33"/>
  <c r="AF27" i="41"/>
  <c r="O33" i="47"/>
  <c r="AN33" i="33"/>
  <c r="N30" i="46"/>
  <c r="AO33" i="47"/>
  <c r="AJ27" i="45"/>
  <c r="AL42" i="43"/>
  <c r="AI15" i="45"/>
  <c r="AO36" i="33"/>
  <c r="U51" i="45"/>
  <c r="AJ42" i="46"/>
  <c r="Y42" i="47"/>
  <c r="K24" i="44"/>
  <c r="U15" i="45"/>
  <c r="AU33" i="47"/>
  <c r="P48" i="47"/>
  <c r="S87" i="44"/>
  <c r="O90" i="46"/>
  <c r="AM39" i="43"/>
  <c r="AI54" i="46"/>
  <c r="Z51" i="46"/>
  <c r="AJ99" i="45"/>
  <c r="AN39" i="45"/>
  <c r="G42" i="44"/>
  <c r="Q57" i="43"/>
  <c r="F84" i="44"/>
  <c r="O27" i="41"/>
  <c r="J75" i="46"/>
  <c r="AU54" i="46"/>
  <c r="AS36" i="43"/>
  <c r="W51" i="46"/>
  <c r="AT69" i="47"/>
  <c r="A86" i="42"/>
  <c r="A84" i="42"/>
  <c r="AI75" i="44"/>
  <c r="AG96" i="41"/>
  <c r="AD24" i="45"/>
  <c r="A103" i="41"/>
  <c r="AM54" i="44"/>
  <c r="AJ36" i="46"/>
  <c r="AP51" i="47"/>
  <c r="AG54" i="45"/>
  <c r="AK81" i="43"/>
  <c r="Z63" i="44"/>
  <c r="AG57" i="44"/>
  <c r="A66" i="44"/>
  <c r="A68" i="44"/>
  <c r="J81" i="47"/>
  <c r="X90" i="44"/>
  <c r="AI39" i="45"/>
  <c r="Y24" i="43"/>
  <c r="AE36" i="41"/>
  <c r="U9" i="46"/>
  <c r="X84" i="47"/>
  <c r="AE78" i="47"/>
  <c r="AB81" i="46"/>
  <c r="AC99" i="43"/>
  <c r="Q27" i="41"/>
  <c r="N96" i="47"/>
  <c r="Y15" i="44"/>
  <c r="AG21" i="44"/>
  <c r="AD33" i="41"/>
  <c r="O54" i="45"/>
  <c r="AB96" i="33"/>
  <c r="T33" i="43"/>
  <c r="AB84" i="46"/>
  <c r="A100" i="43"/>
  <c r="AB36" i="43"/>
  <c r="AT87" i="43"/>
  <c r="AB60" i="45"/>
  <c r="J87" i="46"/>
  <c r="AD21" i="45"/>
  <c r="AH84" i="43"/>
  <c r="AS90" i="46"/>
  <c r="AF51" i="46"/>
  <c r="F9" i="33"/>
  <c r="AF84" i="47"/>
  <c r="J21" i="46"/>
  <c r="L75" i="33"/>
  <c r="AI96" i="45"/>
  <c r="AH63" i="33"/>
  <c r="K27" i="47"/>
  <c r="L54" i="46"/>
  <c r="AG90" i="43"/>
  <c r="AD45" i="44"/>
  <c r="AG93" i="47"/>
  <c r="AO69" i="47"/>
  <c r="AP81" i="41"/>
  <c r="O51" i="41"/>
  <c r="AE36" i="47"/>
  <c r="AE99" i="33"/>
  <c r="AH90" i="47"/>
  <c r="AD48" i="33"/>
  <c r="AC60" i="47"/>
  <c r="AB81" i="45"/>
  <c r="T48" i="47"/>
  <c r="AO27" i="43"/>
  <c r="AC57" i="45"/>
  <c r="AM84" i="46"/>
  <c r="F69" i="44"/>
  <c r="U27" i="33"/>
  <c r="AM78" i="41"/>
  <c r="R18" i="33"/>
  <c r="AC30" i="43"/>
  <c r="W87" i="45"/>
  <c r="AN96" i="44"/>
  <c r="R75" i="33"/>
  <c r="W51" i="44"/>
  <c r="AH57" i="43"/>
  <c r="S48" i="47"/>
  <c r="AO45" i="44"/>
  <c r="W90" i="41"/>
  <c r="AL69" i="41"/>
  <c r="AM99" i="45"/>
  <c r="T69" i="43"/>
  <c r="E96" i="33"/>
  <c r="Y96" i="43"/>
  <c r="O21" i="33"/>
  <c r="AN45" i="46"/>
  <c r="K63" i="44"/>
  <c r="AR33" i="33"/>
  <c r="R60" i="43"/>
  <c r="Y39" i="46"/>
  <c r="P15" i="44"/>
  <c r="H99" i="45"/>
  <c r="P87" i="46"/>
  <c r="R84" i="33"/>
  <c r="T84" i="45"/>
  <c r="AN30" i="43"/>
  <c r="A63" i="42"/>
  <c r="AO36" i="47"/>
  <c r="AN75" i="46"/>
  <c r="W66" i="43"/>
  <c r="AQ102" i="41"/>
  <c r="AM21" i="43"/>
  <c r="AK81" i="33"/>
  <c r="AS60" i="47"/>
  <c r="K33" i="45"/>
  <c r="I99" i="44"/>
  <c r="I63" i="47"/>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AI90" i="43"/>
  <c r="AF18" i="33"/>
  <c r="E45" i="45"/>
  <c r="AL78" i="43"/>
  <c r="AC45" i="41"/>
  <c r="AF54" i="41"/>
  <c r="AL69" i="45"/>
  <c r="M63" i="33"/>
  <c r="E84" i="45"/>
  <c r="Z87" i="33"/>
  <c r="U99" i="44"/>
  <c r="AM21" i="41"/>
  <c r="AO48" i="45"/>
  <c r="H90" i="44"/>
  <c r="T69" i="47"/>
  <c r="M72" i="45"/>
  <c r="L9" i="47"/>
  <c r="AE99" i="46"/>
  <c r="AE45" i="44"/>
  <c r="AF81" i="33"/>
  <c r="R36" i="46"/>
  <c r="AJ63" i="43"/>
  <c r="AR39" i="45"/>
  <c r="Q15" i="43"/>
  <c r="U15" i="33"/>
  <c r="AD93" i="41"/>
  <c r="AB27" i="43"/>
  <c r="AK102" i="44"/>
  <c r="AJ102" i="41"/>
  <c r="AN18" i="44"/>
  <c r="AD21" i="43"/>
  <c r="M66" i="43"/>
  <c r="AG54" i="33"/>
  <c r="AL9" i="44"/>
  <c r="V42" i="33"/>
  <c r="V60" i="46"/>
  <c r="U84" i="44"/>
  <c r="AB9" i="45"/>
  <c r="V27" i="33"/>
  <c r="F75" i="45"/>
  <c r="AP39" i="45"/>
  <c r="AO21" i="33"/>
  <c r="Y90" i="44"/>
  <c r="AG15" i="47"/>
  <c r="A82" i="46"/>
  <c r="G81" i="45"/>
  <c r="AA99" i="33"/>
  <c r="AL78" i="47"/>
  <c r="AI54" i="45"/>
  <c r="AH87" i="47"/>
  <c r="AL90" i="43"/>
  <c r="P36" i="41"/>
  <c r="N87" i="45"/>
  <c r="W9" i="47"/>
  <c r="W69" i="41"/>
  <c r="Z75" i="33"/>
  <c r="AP72" i="44"/>
  <c r="W24" i="46"/>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V81" i="41"/>
  <c r="W102" i="33"/>
  <c r="AO9" i="45"/>
  <c r="G42" i="33"/>
  <c r="P102" i="33"/>
  <c r="U9" i="44"/>
  <c r="AB39" i="45"/>
  <c r="AF87" i="45"/>
  <c r="AQ39" i="44"/>
  <c r="I78" i="47"/>
  <c r="Q39" i="46"/>
  <c r="AK9" i="33"/>
  <c r="AF57" i="44"/>
  <c r="R30" i="41"/>
  <c r="AE51" i="43"/>
  <c r="AO9" i="33"/>
  <c r="AU54" i="43"/>
  <c r="U81" i="41"/>
  <c r="U87" i="43"/>
  <c r="AM30" i="45"/>
  <c r="AH81" i="45"/>
  <c r="AD81" i="41"/>
  <c r="U27" i="44"/>
  <c r="AJ87" i="41"/>
  <c r="AQ72" i="33"/>
  <c r="AO75" i="33"/>
  <c r="O63" i="43"/>
  <c r="AO30" i="45"/>
  <c r="N87" i="44"/>
  <c r="AQ69" i="41"/>
  <c r="AP18" i="47"/>
  <c r="AD90" i="41"/>
  <c r="N18" i="43"/>
  <c r="AO54" i="33"/>
  <c r="AN57" i="45"/>
  <c r="AQ93" i="45"/>
  <c r="AT48" i="47"/>
  <c r="AP84" i="43"/>
  <c r="Y69" i="33"/>
  <c r="O48" i="44"/>
  <c r="L90" i="47"/>
  <c r="N39" i="33"/>
  <c r="AG60" i="43"/>
  <c r="AA84" i="43"/>
  <c r="A51" i="41"/>
  <c r="A53" i="41"/>
  <c r="R45" i="44"/>
  <c r="N69" i="47"/>
  <c r="T72" i="33"/>
  <c r="AQ93" i="33"/>
  <c r="AO54" i="47"/>
  <c r="P90" i="45"/>
  <c r="AU24" i="43"/>
  <c r="A48" i="44"/>
  <c r="A50" i="44"/>
  <c r="I66" i="43"/>
  <c r="A46" i="33"/>
  <c r="T102" i="43"/>
  <c r="AV36" i="47"/>
  <c r="AL21" i="45"/>
  <c r="AA69" i="45"/>
  <c r="AJ18" i="47"/>
  <c r="AA87" i="33"/>
  <c r="AK30" i="47"/>
  <c r="N93" i="33"/>
  <c r="AQ63" i="46"/>
  <c r="AB9" i="41"/>
  <c r="AK30" i="43"/>
  <c r="Y51" i="33"/>
  <c r="AM75" i="33"/>
  <c r="AP27" i="41"/>
  <c r="AN42" i="33"/>
  <c r="K90" i="44"/>
  <c r="AI93" i="47"/>
  <c r="P51" i="43"/>
  <c r="J39" i="43"/>
  <c r="O15" i="46"/>
  <c r="A88" i="45"/>
  <c r="V15" i="44"/>
  <c r="AA36" i="45"/>
  <c r="I42" i="44"/>
  <c r="M54" i="47"/>
  <c r="R81" i="33"/>
  <c r="M21" i="44"/>
  <c r="AO93" i="47"/>
  <c r="Q63" i="44"/>
  <c r="AN45" i="33"/>
  <c r="AS54" i="41"/>
  <c r="O81" i="33"/>
  <c r="AU84" i="47"/>
  <c r="AN36" i="47"/>
  <c r="AL99" i="47"/>
  <c r="A76" i="41"/>
  <c r="M30" i="41"/>
  <c r="AJ75" i="47"/>
  <c r="G15" i="45"/>
  <c r="V9" i="43"/>
  <c r="S102" i="46"/>
  <c r="O84" i="44"/>
  <c r="AC30" i="33"/>
  <c r="AH72" i="44"/>
  <c r="U96" i="47"/>
  <c r="AB18" i="45"/>
  <c r="G18" i="44"/>
  <c r="AQ30" i="44"/>
  <c r="AN102" i="44"/>
  <c r="AD102" i="33"/>
  <c r="Z9" i="47"/>
  <c r="AN66" i="46"/>
  <c r="AC72" i="46"/>
  <c r="AJ93" i="47"/>
  <c r="U30" i="33"/>
  <c r="L24" i="44"/>
  <c r="AP54" i="46"/>
  <c r="AM60" i="46"/>
  <c r="R57" i="47"/>
  <c r="AP57" i="43"/>
  <c r="AD69" i="46"/>
  <c r="V63" i="33"/>
  <c r="AC51" i="45"/>
  <c r="AK78" i="44"/>
  <c r="Q84" i="43"/>
  <c r="A76" i="45"/>
  <c r="AI57" i="43"/>
  <c r="AA99" i="41"/>
  <c r="R78" i="45"/>
  <c r="A82" i="33"/>
  <c r="AN39" i="33"/>
  <c r="P87" i="43"/>
  <c r="P69" i="44"/>
  <c r="X57" i="47"/>
  <c r="AQ30" i="45"/>
  <c r="AC96" i="43"/>
  <c r="Y15" i="33"/>
  <c r="AQ39" i="47"/>
  <c r="A73" i="46"/>
  <c r="K96" i="45"/>
  <c r="A34" i="41"/>
  <c r="A37" i="41"/>
  <c r="AM93" i="47"/>
  <c r="S66" i="33"/>
  <c r="AE54" i="44"/>
  <c r="AR99" i="43"/>
  <c r="S60" i="44"/>
  <c r="P9" i="41"/>
  <c r="T87" i="43"/>
  <c r="J81" i="45"/>
  <c r="R21" i="47"/>
  <c r="A91" i="46"/>
  <c r="A82" i="41"/>
  <c r="AM45" i="45"/>
  <c r="AF57" i="45"/>
  <c r="AL30" i="41"/>
  <c r="Z69" i="46"/>
  <c r="AT96" i="43"/>
  <c r="AO18" i="43"/>
  <c r="H15" i="44"/>
  <c r="Q99" i="43"/>
  <c r="W39" i="33"/>
  <c r="AC57" i="44"/>
  <c r="AK21" i="33"/>
  <c r="AD75" i="44"/>
  <c r="A58" i="46"/>
  <c r="AC75" i="47"/>
  <c r="AI57" i="45"/>
  <c r="R9" i="33"/>
  <c r="I87" i="41"/>
  <c r="AB84" i="45"/>
  <c r="AB21" i="41"/>
  <c r="AQ99" i="43"/>
  <c r="AI51" i="47"/>
  <c r="AA9" i="33"/>
  <c r="E72" i="44"/>
  <c r="AC54" i="44"/>
  <c r="M75" i="33"/>
  <c r="AE30" i="33"/>
  <c r="L18" i="44"/>
  <c r="H54" i="33"/>
  <c r="V36" i="43"/>
  <c r="E18" i="44"/>
  <c r="F93" i="44"/>
  <c r="O90" i="41"/>
  <c r="A77" i="43"/>
  <c r="A75" i="43"/>
  <c r="W81" i="44"/>
  <c r="AI30" i="43"/>
  <c r="R63" i="44"/>
  <c r="AH30" i="44"/>
  <c r="AA45" i="44"/>
  <c r="AI54" i="43"/>
  <c r="AB81" i="41"/>
  <c r="J69" i="46"/>
  <c r="AN36" i="45"/>
  <c r="P81" i="47"/>
  <c r="AG87" i="41"/>
  <c r="N72" i="41"/>
  <c r="AO81" i="44"/>
  <c r="AP87" i="43"/>
  <c r="AH51" i="33"/>
  <c r="O15" i="33"/>
  <c r="AH60" i="41"/>
  <c r="O39" i="33"/>
  <c r="T42" i="43"/>
  <c r="M75" i="41"/>
  <c r="AG102" i="47"/>
  <c r="AJ39" i="44"/>
  <c r="V39" i="47"/>
  <c r="AF81" i="41"/>
  <c r="L63" i="45"/>
  <c r="AL36" i="41"/>
  <c r="Q27" i="44"/>
  <c r="Y39" i="45"/>
  <c r="AK81" i="41"/>
  <c r="AB102" i="45"/>
  <c r="K99" i="33"/>
  <c r="AQ99" i="41"/>
  <c r="X18" i="43"/>
  <c r="A53" i="33"/>
  <c r="A51" i="33"/>
  <c r="AC90" i="33"/>
  <c r="W51" i="33"/>
  <c r="AL66" i="47"/>
  <c r="AV63" i="47"/>
  <c r="L24" i="33"/>
  <c r="S24" i="33"/>
  <c r="L66" i="43"/>
  <c r="I69" i="47"/>
  <c r="W45" i="45"/>
  <c r="AH18" i="43"/>
  <c r="AQ45" i="43"/>
  <c r="A32" i="44"/>
  <c r="A30" i="44"/>
  <c r="AL93" i="43"/>
  <c r="AQ60" i="44"/>
  <c r="T9" i="45"/>
  <c r="P30" i="45"/>
  <c r="AB60" i="46"/>
  <c r="V102" i="43"/>
  <c r="M69" i="44"/>
  <c r="AS96" i="46"/>
  <c r="AN45" i="47"/>
  <c r="AQ27" i="44"/>
  <c r="AK90" i="33"/>
  <c r="P51" i="47"/>
  <c r="A25" i="42"/>
  <c r="AG15" i="43"/>
  <c r="J27" i="45"/>
  <c r="AL90" i="41"/>
  <c r="AP90" i="41"/>
  <c r="O87" i="44"/>
  <c r="P9" i="45"/>
  <c r="V36" i="33"/>
  <c r="AA15" i="33"/>
  <c r="R45" i="41"/>
  <c r="AB96" i="44"/>
  <c r="AI24" i="33"/>
  <c r="Q15" i="46"/>
  <c r="AP48" i="44"/>
  <c r="AT60" i="47"/>
  <c r="AR78" i="41"/>
  <c r="AP78" i="47"/>
  <c r="Y21" i="47"/>
  <c r="R54" i="46"/>
  <c r="I27" i="41"/>
  <c r="AN81" i="44"/>
  <c r="AJ21" i="33"/>
  <c r="Z63" i="41"/>
  <c r="W21" i="45"/>
  <c r="Z51" i="43"/>
  <c r="AG63" i="33"/>
  <c r="AC42" i="41"/>
  <c r="AP72" i="45"/>
  <c r="P66" i="33"/>
  <c r="AD39" i="46"/>
  <c r="AL96" i="33"/>
  <c r="AU45" i="46"/>
  <c r="W15" i="46"/>
  <c r="R81" i="46"/>
  <c r="AT84" i="43"/>
  <c r="AF15" i="41"/>
  <c r="AO48" i="43"/>
  <c r="AR33" i="44"/>
  <c r="K84" i="45"/>
  <c r="AV9" i="43"/>
  <c r="AJ36" i="41"/>
  <c r="F60" i="33"/>
  <c r="P33" i="46"/>
  <c r="AH57" i="44"/>
  <c r="Z21" i="47"/>
  <c r="U39" i="44"/>
  <c r="AO30" i="47"/>
  <c r="N63" i="47"/>
  <c r="AH48" i="41"/>
  <c r="A70" i="47"/>
  <c r="AC33" i="47"/>
  <c r="R81" i="45"/>
  <c r="AA87" i="47"/>
  <c r="AF60" i="33"/>
  <c r="J72" i="47"/>
  <c r="AG66" i="41"/>
  <c r="H63" i="44"/>
  <c r="S84" i="44"/>
  <c r="AB102" i="43"/>
  <c r="AH90" i="45"/>
  <c r="AJ93" i="41"/>
  <c r="AB87" i="46"/>
  <c r="AN24" i="41"/>
  <c r="P33" i="45"/>
  <c r="AJ81" i="47"/>
  <c r="J51" i="46"/>
  <c r="S78" i="45"/>
  <c r="I99" i="43"/>
  <c r="AL66" i="33"/>
  <c r="Y102" i="45"/>
  <c r="A15" i="43"/>
  <c r="A17" i="43"/>
  <c r="O54" i="46"/>
  <c r="AG99" i="45"/>
  <c r="I15" i="47"/>
  <c r="W66" i="41"/>
  <c r="AL99" i="33"/>
  <c r="A103" i="47"/>
  <c r="J81" i="33"/>
  <c r="A66" i="46"/>
  <c r="A68" i="46"/>
  <c r="V60" i="44"/>
  <c r="AP30" i="44"/>
  <c r="AC87" i="46"/>
  <c r="U21" i="41"/>
  <c r="AS63" i="46"/>
  <c r="M99" i="46"/>
  <c r="AD48" i="46"/>
  <c r="AG102" i="45"/>
  <c r="Q54" i="33"/>
  <c r="AV87" i="47"/>
  <c r="AB93" i="33"/>
  <c r="AA87" i="43"/>
  <c r="J57" i="33"/>
  <c r="J36" i="41"/>
  <c r="AE48" i="41"/>
  <c r="M96" i="45"/>
  <c r="AM18" i="45"/>
  <c r="AL42" i="47"/>
  <c r="AJ15" i="46"/>
  <c r="O48" i="45"/>
  <c r="AG45" i="41"/>
  <c r="AC90" i="43"/>
  <c r="A31" i="47"/>
  <c r="K48" i="46"/>
  <c r="Z36" i="45"/>
  <c r="AR21" i="46"/>
  <c r="M24" i="43"/>
  <c r="AM66" i="46"/>
  <c r="AK96" i="33"/>
  <c r="S96" i="33"/>
  <c r="W87" i="43"/>
  <c r="AB57" i="43"/>
  <c r="I84" i="45"/>
  <c r="R81" i="44"/>
  <c r="AI9" i="33"/>
  <c r="N42" i="45"/>
  <c r="M78" i="46"/>
  <c r="W33" i="46"/>
  <c r="M45" i="45"/>
  <c r="AL51" i="44"/>
  <c r="AU36" i="43"/>
  <c r="AH99" i="46"/>
  <c r="AR39" i="44"/>
  <c r="AS39" i="47"/>
  <c r="AM9" i="44"/>
  <c r="AH90" i="46"/>
  <c r="T63" i="41"/>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L87" i="41"/>
  <c r="AF45" i="45"/>
  <c r="I75" i="46"/>
  <c r="J87" i="44"/>
  <c r="T72" i="41"/>
  <c r="G78" i="45"/>
  <c r="T33" i="47"/>
  <c r="A46" i="46"/>
  <c r="AA24" i="33"/>
  <c r="AC27" i="46"/>
  <c r="AB63" i="33"/>
  <c r="AS33" i="46"/>
  <c r="W57" i="45"/>
  <c r="Y51" i="41"/>
  <c r="AB36" i="33"/>
  <c r="V72" i="47"/>
  <c r="AG78" i="41"/>
  <c r="AO72" i="46"/>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J51" i="41"/>
  <c r="F36" i="33"/>
  <c r="AC81" i="47"/>
  <c r="AB66" i="47"/>
  <c r="L42" i="47"/>
  <c r="AM51" i="45"/>
  <c r="A88" i="41"/>
  <c r="AQ48" i="45"/>
  <c r="K99" i="43"/>
  <c r="S42" i="44"/>
  <c r="O72" i="33"/>
  <c r="J96" i="33"/>
  <c r="AI84" i="45"/>
  <c r="AS51" i="41"/>
  <c r="AQ36" i="44"/>
  <c r="Y81" i="33"/>
  <c r="Z96" i="33"/>
  <c r="AN90" i="33"/>
  <c r="AL48" i="45"/>
  <c r="Z15" i="41"/>
  <c r="AI48" i="43"/>
  <c r="AO24" i="46"/>
  <c r="Q69" i="44"/>
  <c r="AO81" i="45"/>
  <c r="P69" i="43"/>
  <c r="AR102" i="41"/>
  <c r="Y72" i="43"/>
  <c r="P9" i="44"/>
  <c r="AR75" i="33"/>
  <c r="T24" i="41"/>
  <c r="AU96" i="47"/>
  <c r="R42" i="41"/>
  <c r="AH75" i="33"/>
  <c r="AM90" i="45"/>
  <c r="L48" i="46"/>
  <c r="I51" i="47"/>
  <c r="AR57" i="43"/>
  <c r="AD57" i="45"/>
  <c r="M99" i="41"/>
  <c r="AV21" i="47"/>
  <c r="T21" i="44"/>
  <c r="L87" i="47"/>
  <c r="E24" i="33"/>
  <c r="O99" i="43"/>
  <c r="AO93" i="33"/>
  <c r="S72" i="44"/>
  <c r="AJ33" i="43"/>
  <c r="M60" i="47"/>
  <c r="Q48" i="41"/>
  <c r="Z78" i="33"/>
  <c r="P75" i="43"/>
  <c r="AS75" i="41"/>
  <c r="E99" i="33"/>
  <c r="U87" i="45"/>
  <c r="O15" i="47"/>
  <c r="AA33" i="46"/>
  <c r="X39" i="46"/>
  <c r="V15" i="45"/>
  <c r="AH60" i="43"/>
  <c r="AF99" i="43"/>
  <c r="AA39" i="45"/>
  <c r="V87" i="47"/>
  <c r="M30" i="47"/>
  <c r="AN48" i="33"/>
  <c r="P57" i="33"/>
  <c r="AF66" i="44"/>
  <c r="AP60" i="33"/>
  <c r="AC24" i="46"/>
  <c r="AF39" i="45"/>
  <c r="AU66" i="47"/>
  <c r="W102" i="43"/>
  <c r="G90" i="44"/>
  <c r="AI90" i="33"/>
  <c r="N81" i="41"/>
  <c r="K93" i="33"/>
  <c r="W75" i="45"/>
  <c r="A103" i="44"/>
  <c r="AJ96" i="41"/>
  <c r="AE48" i="33"/>
  <c r="X15" i="46"/>
  <c r="T30" i="45"/>
  <c r="F102" i="45"/>
  <c r="AG57" i="47"/>
  <c r="N75" i="46"/>
  <c r="AH57" i="41"/>
  <c r="AI102" i="46"/>
  <c r="Y57" i="45"/>
  <c r="T45" i="41"/>
  <c r="S102" i="43"/>
  <c r="T99" i="47"/>
  <c r="Z81" i="45"/>
  <c r="A67" i="47"/>
  <c r="R9" i="47"/>
  <c r="AF81" i="44"/>
  <c r="O102" i="47"/>
  <c r="Y21" i="45"/>
  <c r="W9" i="46"/>
  <c r="R78" i="47"/>
  <c r="AI33" i="47"/>
  <c r="AL18" i="46"/>
  <c r="T90" i="46"/>
  <c r="AE27" i="41"/>
  <c r="Q99" i="46"/>
  <c r="AD51" i="44"/>
  <c r="AJ63" i="45"/>
  <c r="AU87" i="43"/>
  <c r="AV75" i="43"/>
  <c r="AD84" i="33"/>
  <c r="Y9" i="41"/>
  <c r="AB9" i="44"/>
  <c r="O99" i="45"/>
  <c r="R60" i="33"/>
  <c r="AR21" i="41"/>
  <c r="E69" i="45"/>
  <c r="AV30" i="41"/>
  <c r="L15" i="43"/>
  <c r="AF36" i="33"/>
  <c r="AQ21" i="44"/>
  <c r="L63" i="44"/>
  <c r="AV21" i="46"/>
  <c r="AL75" i="43"/>
  <c r="AJ90" i="47"/>
  <c r="AH84" i="44"/>
  <c r="O21" i="47"/>
  <c r="P18" i="46"/>
  <c r="AH57" i="33"/>
  <c r="T66" i="41"/>
  <c r="P69" i="33"/>
  <c r="AE18" i="46"/>
  <c r="AH93" i="46"/>
  <c r="L9" i="33"/>
  <c r="AI30" i="45"/>
  <c r="AM90" i="47"/>
  <c r="E18" i="45"/>
  <c r="AN54" i="43"/>
  <c r="AC81" i="45"/>
  <c r="W39" i="44"/>
  <c r="A16" i="41"/>
  <c r="AN78" i="45"/>
  <c r="T54" i="45"/>
  <c r="Y9" i="44"/>
  <c r="AR48" i="43"/>
  <c r="I24" i="46"/>
  <c r="AF24" i="45"/>
  <c r="AE96" i="33"/>
  <c r="AC99" i="45"/>
  <c r="Q87" i="41"/>
  <c r="AQ78" i="33"/>
  <c r="AH60" i="46"/>
  <c r="AL84" i="47"/>
  <c r="AR87" i="43"/>
  <c r="X102" i="46"/>
  <c r="AK63" i="44"/>
  <c r="AJ90" i="43"/>
  <c r="AP54" i="33"/>
  <c r="AB72" i="47"/>
  <c r="AT81" i="43"/>
  <c r="AB81" i="47"/>
  <c r="AP72" i="47"/>
  <c r="AU102" i="46"/>
  <c r="AN60" i="41"/>
  <c r="AR66" i="43"/>
  <c r="X57" i="45"/>
  <c r="I66" i="41"/>
  <c r="K60" i="44"/>
  <c r="J42" i="33"/>
  <c r="AO99" i="46"/>
  <c r="AB87" i="44"/>
  <c r="AU63" i="46"/>
  <c r="AQ78" i="44"/>
  <c r="V21" i="43"/>
  <c r="R33" i="45"/>
  <c r="AE57" i="46"/>
  <c r="Q87" i="46"/>
  <c r="AP72" i="46"/>
  <c r="AO99" i="45"/>
  <c r="AM69" i="33"/>
  <c r="AI48" i="47"/>
  <c r="AB66" i="44"/>
  <c r="X27" i="45"/>
  <c r="AQ66" i="45"/>
  <c r="AK96" i="44"/>
  <c r="AK18" i="46"/>
  <c r="Q72" i="44"/>
  <c r="V84" i="41"/>
  <c r="R42" i="46"/>
  <c r="Q93" i="44"/>
  <c r="P36" i="46"/>
  <c r="AJ60" i="45"/>
  <c r="AC102" i="47"/>
  <c r="P66" i="44"/>
  <c r="AI72" i="45"/>
  <c r="AG72" i="44"/>
  <c r="Y21" i="33"/>
  <c r="P69" i="46"/>
  <c r="S99" i="47"/>
  <c r="I63" i="41"/>
  <c r="S57" i="41"/>
  <c r="AL48" i="47"/>
  <c r="AN60" i="43"/>
  <c r="Y33" i="33"/>
  <c r="W24" i="44"/>
  <c r="J45" i="45"/>
  <c r="Y54" i="41"/>
  <c r="V66" i="44"/>
  <c r="AC57" i="46"/>
  <c r="AN21" i="43"/>
  <c r="H72" i="33"/>
  <c r="AM54" i="43"/>
  <c r="AH39" i="46"/>
  <c r="AB48" i="43"/>
  <c r="A86" i="47"/>
  <c r="A84" i="47"/>
  <c r="AO9" i="47"/>
  <c r="AM66" i="41"/>
  <c r="AV96" i="41"/>
  <c r="AQ93" i="47"/>
  <c r="AG42" i="45"/>
  <c r="AR57" i="46"/>
  <c r="A95" i="33"/>
  <c r="A93" i="33"/>
  <c r="S51" i="44"/>
  <c r="AG45" i="43"/>
  <c r="W57" i="44"/>
  <c r="L96" i="44"/>
  <c r="AH45" i="44"/>
  <c r="AN84" i="43"/>
  <c r="AF57" i="33"/>
  <c r="X99" i="46"/>
  <c r="AG45" i="44"/>
  <c r="AR42" i="43"/>
  <c r="A80" i="44"/>
  <c r="A78" i="44"/>
  <c r="A22" i="42"/>
  <c r="K27" i="33"/>
  <c r="AA27" i="41"/>
  <c r="AL27" i="43"/>
  <c r="N90" i="44"/>
  <c r="AI96" i="47"/>
  <c r="G30" i="45"/>
  <c r="P30" i="44"/>
  <c r="F21" i="44"/>
  <c r="N90" i="45"/>
  <c r="S87" i="33"/>
  <c r="W45" i="44"/>
  <c r="M87" i="47"/>
  <c r="U39" i="47"/>
  <c r="Z90" i="47"/>
  <c r="O78" i="41"/>
  <c r="J93" i="46"/>
  <c r="N60" i="45"/>
  <c r="AL24" i="44"/>
  <c r="AH87" i="43"/>
  <c r="AC63" i="46"/>
  <c r="E99" i="45"/>
  <c r="AC36" i="47"/>
  <c r="AF39" i="47"/>
  <c r="X24" i="45"/>
  <c r="AA93" i="46"/>
  <c r="I102" i="33"/>
  <c r="AM45" i="41"/>
  <c r="AL63" i="41"/>
  <c r="I54" i="45"/>
  <c r="AE39" i="44"/>
  <c r="M27" i="47"/>
  <c r="AV39" i="43"/>
  <c r="AF78" i="46"/>
  <c r="T27" i="43"/>
  <c r="A23" i="45"/>
  <c r="A21" i="45"/>
  <c r="AN93" i="46"/>
  <c r="U33" i="33"/>
  <c r="AN81" i="43"/>
  <c r="AI99" i="33"/>
  <c r="K51" i="43"/>
  <c r="AA30" i="44"/>
  <c r="AF81" i="46"/>
  <c r="AG63" i="47"/>
  <c r="AE90" i="45"/>
  <c r="AV54" i="41"/>
  <c r="AA66" i="41"/>
  <c r="AT24" i="41"/>
  <c r="T90" i="43"/>
  <c r="AR96" i="41"/>
  <c r="S24" i="47"/>
  <c r="N9" i="41"/>
  <c r="R96" i="47"/>
  <c r="Z75" i="45"/>
  <c r="AQ24" i="46"/>
  <c r="AH93" i="45"/>
  <c r="M84" i="45"/>
  <c r="AU39" i="46"/>
  <c r="AL39" i="43"/>
  <c r="AU69" i="41"/>
  <c r="AH39" i="47"/>
  <c r="R30" i="43"/>
  <c r="Q39" i="44"/>
  <c r="X48" i="45"/>
  <c r="AE102" i="45"/>
  <c r="AH33" i="43"/>
  <c r="R63" i="33"/>
  <c r="AQ99" i="47"/>
  <c r="A103" i="43"/>
  <c r="AN96" i="41"/>
  <c r="Z24" i="33"/>
  <c r="V78" i="47"/>
  <c r="R30" i="44"/>
  <c r="E99" i="44"/>
  <c r="K63" i="33"/>
  <c r="AR42" i="47"/>
  <c r="O66" i="46"/>
  <c r="S78" i="33"/>
  <c r="E57" i="33"/>
  <c r="AE102" i="44"/>
  <c r="AH33" i="33"/>
  <c r="AD48" i="45"/>
  <c r="AJ51" i="45"/>
  <c r="AA87" i="46"/>
  <c r="AB57" i="45"/>
  <c r="AJ75" i="33"/>
  <c r="AA75" i="41"/>
  <c r="S51" i="46"/>
  <c r="V57" i="41"/>
  <c r="A98" i="33"/>
  <c r="A96" i="33"/>
  <c r="AE93" i="41"/>
  <c r="K15" i="47"/>
  <c r="P21" i="41"/>
  <c r="AP63" i="46"/>
  <c r="J75" i="44"/>
  <c r="M60" i="46"/>
  <c r="N54" i="41"/>
  <c r="K90" i="43"/>
  <c r="Y30" i="44"/>
  <c r="J15" i="44"/>
  <c r="AJ63" i="44"/>
  <c r="Z75" i="44"/>
  <c r="AP90" i="45"/>
  <c r="K33" i="41"/>
  <c r="Z51" i="47"/>
  <c r="L33" i="45"/>
  <c r="AF51" i="47"/>
  <c r="J57" i="43"/>
  <c r="Z36" i="44"/>
  <c r="AJ54" i="46"/>
  <c r="P42" i="33"/>
  <c r="AS69" i="43"/>
  <c r="AR27" i="45"/>
  <c r="AN39" i="41"/>
  <c r="AO57" i="44"/>
  <c r="Q21" i="41"/>
  <c r="AT18" i="41"/>
  <c r="J51" i="33"/>
  <c r="M102" i="41"/>
  <c r="AM90" i="41"/>
  <c r="AO66" i="45"/>
  <c r="AP39" i="46"/>
  <c r="AA30" i="46"/>
  <c r="AA93" i="41"/>
  <c r="AR87" i="45"/>
  <c r="AM93" i="41"/>
  <c r="AC90" i="41"/>
  <c r="J39" i="44"/>
  <c r="F42" i="44"/>
  <c r="X78" i="47"/>
  <c r="AJ48" i="44"/>
  <c r="AM57" i="47"/>
  <c r="AE96" i="41"/>
  <c r="L75" i="45"/>
  <c r="K78" i="33"/>
  <c r="AP66" i="41"/>
  <c r="S33" i="46"/>
  <c r="A90" i="45"/>
  <c r="A92" i="45"/>
  <c r="O90" i="47"/>
  <c r="AP96" i="44"/>
  <c r="AJ39" i="43"/>
  <c r="AD78" i="45"/>
  <c r="A43" i="43"/>
  <c r="N90" i="47"/>
  <c r="Y48" i="46"/>
  <c r="L81" i="47"/>
  <c r="AC78" i="45"/>
  <c r="X102" i="47"/>
  <c r="AG90" i="33"/>
  <c r="R90" i="33"/>
  <c r="AU54" i="41"/>
  <c r="AM72" i="44"/>
  <c r="AF72" i="43"/>
  <c r="AH42" i="47"/>
  <c r="AC72" i="41"/>
  <c r="AP30" i="33"/>
  <c r="AD60" i="33"/>
  <c r="J54" i="41"/>
  <c r="P99" i="44"/>
  <c r="Y102" i="47"/>
  <c r="S21" i="44"/>
  <c r="AI42" i="33"/>
  <c r="AH36" i="46"/>
  <c r="Z72" i="45"/>
  <c r="S15" i="43"/>
  <c r="I60" i="33"/>
  <c r="AU84" i="43"/>
  <c r="AA75" i="43"/>
  <c r="AG72" i="43"/>
  <c r="E102" i="33"/>
  <c r="AQ57" i="44"/>
  <c r="AM33" i="46"/>
  <c r="AN63" i="45"/>
  <c r="AP99" i="46"/>
  <c r="AP57" i="47"/>
  <c r="X60" i="46"/>
  <c r="AG60" i="44"/>
  <c r="AU42" i="47"/>
  <c r="R21" i="41"/>
  <c r="AF69" i="45"/>
  <c r="Q69" i="33"/>
  <c r="AK9" i="43"/>
  <c r="AL75" i="44"/>
  <c r="L48" i="47"/>
  <c r="AK96" i="45"/>
  <c r="I45" i="43"/>
  <c r="M57" i="43"/>
  <c r="M48" i="46"/>
  <c r="AD72" i="41"/>
  <c r="E84" i="33"/>
  <c r="L36" i="33"/>
  <c r="Z66" i="47"/>
  <c r="AD42" i="33"/>
  <c r="AF93" i="45"/>
  <c r="AG36" i="41"/>
  <c r="O24" i="47"/>
  <c r="W30" i="41"/>
  <c r="O42" i="46"/>
  <c r="AO30" i="33"/>
  <c r="I21" i="41"/>
  <c r="O9" i="43"/>
  <c r="AM15" i="41"/>
  <c r="AN72" i="46"/>
  <c r="Y18" i="47"/>
  <c r="T9" i="46"/>
  <c r="AF63" i="47"/>
  <c r="AG60" i="46"/>
  <c r="F78" i="45"/>
  <c r="AI57" i="47"/>
  <c r="AQ60" i="45"/>
  <c r="AQ27" i="43"/>
  <c r="O72" i="46"/>
  <c r="AA99" i="46"/>
  <c r="AQ27" i="47"/>
  <c r="AC66" i="45"/>
  <c r="AV102" i="47"/>
  <c r="AT99" i="43"/>
  <c r="AM57" i="43"/>
  <c r="F87" i="33"/>
  <c r="P69" i="45"/>
  <c r="V21" i="33"/>
  <c r="W45" i="47"/>
  <c r="AL54" i="45"/>
  <c r="AG81" i="43"/>
  <c r="L51" i="41"/>
  <c r="A64" i="47"/>
  <c r="AP15" i="44"/>
  <c r="AO27" i="44"/>
  <c r="M48" i="33"/>
  <c r="AU57" i="41"/>
  <c r="S33" i="43"/>
  <c r="AD30" i="46"/>
  <c r="V24" i="43"/>
  <c r="F90" i="45"/>
  <c r="AB102" i="33"/>
  <c r="X102" i="41"/>
  <c r="AL15" i="45"/>
  <c r="Y75" i="44"/>
  <c r="AF15" i="47"/>
  <c r="F72" i="45"/>
  <c r="AF51" i="41"/>
  <c r="U72" i="43"/>
  <c r="AA30" i="45"/>
  <c r="AH102" i="43"/>
  <c r="O78" i="46"/>
  <c r="AS21" i="43"/>
  <c r="AI42" i="41"/>
  <c r="S21" i="46"/>
  <c r="Q21" i="33"/>
  <c r="N48" i="43"/>
  <c r="AE9" i="33"/>
  <c r="AH69" i="46"/>
  <c r="AP60" i="45"/>
  <c r="AD93" i="47"/>
  <c r="I78" i="41"/>
  <c r="Z36" i="43"/>
  <c r="X66" i="44"/>
  <c r="F63" i="44"/>
  <c r="AH102" i="46"/>
  <c r="AT36" i="46"/>
  <c r="S75" i="47"/>
  <c r="AJ30" i="47"/>
  <c r="R36" i="44"/>
  <c r="V75" i="44"/>
  <c r="AE36" i="46"/>
  <c r="AI69" i="47"/>
  <c r="S9" i="43"/>
  <c r="R39" i="44"/>
  <c r="A76" i="44"/>
  <c r="AV90" i="46"/>
  <c r="AA57" i="33"/>
  <c r="V75" i="45"/>
  <c r="W72" i="46"/>
  <c r="U99" i="47"/>
  <c r="AQ45" i="44"/>
  <c r="Y39" i="41"/>
  <c r="N15" i="45"/>
  <c r="AN60" i="33"/>
  <c r="AL30" i="43"/>
  <c r="AG24" i="43"/>
  <c r="AP81" i="45"/>
  <c r="I39" i="46"/>
  <c r="AP30" i="47"/>
  <c r="AH45" i="33"/>
  <c r="AV84" i="46"/>
  <c r="AN36" i="33"/>
  <c r="AG66" i="47"/>
  <c r="Q87" i="43"/>
  <c r="E102" i="44"/>
  <c r="Z69" i="41"/>
  <c r="AT60" i="46"/>
  <c r="R45" i="43"/>
  <c r="N84" i="45"/>
  <c r="W60" i="47"/>
  <c r="A97" i="42"/>
  <c r="W69" i="33"/>
  <c r="O99" i="47"/>
  <c r="Z60" i="33"/>
  <c r="O90" i="33"/>
  <c r="J48" i="44"/>
  <c r="H9" i="44"/>
  <c r="AN84" i="45"/>
  <c r="AL90" i="45"/>
  <c r="AP9" i="45"/>
  <c r="Z102" i="47"/>
  <c r="A37" i="42"/>
  <c r="AG69" i="43"/>
  <c r="J24" i="45"/>
  <c r="AN66" i="45"/>
  <c r="AQ36" i="43"/>
  <c r="J66" i="47"/>
  <c r="V9" i="47"/>
  <c r="T78" i="43"/>
  <c r="L45" i="45"/>
  <c r="AN45" i="45"/>
  <c r="AJ84" i="44"/>
  <c r="Y57" i="43"/>
  <c r="AQ78" i="41"/>
  <c r="AS87" i="47"/>
  <c r="V93" i="41"/>
  <c r="L39" i="33"/>
  <c r="AO96" i="41"/>
  <c r="O27" i="46"/>
  <c r="AQ48" i="44"/>
  <c r="AA87" i="41"/>
  <c r="P9" i="33"/>
  <c r="O18" i="41"/>
  <c r="T51" i="46"/>
  <c r="M66" i="44"/>
  <c r="AQ42" i="47"/>
  <c r="AA21" i="41"/>
  <c r="AJ90" i="45"/>
  <c r="AN36" i="41"/>
  <c r="N93" i="44"/>
  <c r="Z96" i="43"/>
  <c r="AQ24" i="44"/>
  <c r="AO102" i="43"/>
  <c r="W72" i="41"/>
  <c r="W33" i="44"/>
  <c r="A19" i="43"/>
  <c r="I36" i="41"/>
  <c r="AO90" i="46"/>
  <c r="A91" i="42"/>
  <c r="AH21" i="43"/>
  <c r="AI84" i="41"/>
  <c r="O51" i="47"/>
  <c r="X75" i="47"/>
  <c r="AC75" i="33"/>
  <c r="AL9" i="45"/>
  <c r="U51" i="44"/>
  <c r="AI18" i="41"/>
  <c r="V45" i="41"/>
  <c r="A79" i="43"/>
  <c r="Q33" i="46"/>
  <c r="K84" i="47"/>
  <c r="AQ75" i="41"/>
  <c r="Z81" i="44"/>
  <c r="AF42" i="47"/>
  <c r="AJ69" i="41"/>
  <c r="N72" i="43"/>
  <c r="X78" i="44"/>
  <c r="J27" i="46"/>
  <c r="U81" i="46"/>
  <c r="G21" i="33"/>
  <c r="Q102" i="43"/>
  <c r="AI24" i="44"/>
  <c r="AA54" i="47"/>
  <c r="I75" i="47"/>
  <c r="M45" i="47"/>
  <c r="R87" i="47"/>
  <c r="J30" i="45"/>
  <c r="AF45" i="46"/>
  <c r="AN90" i="46"/>
  <c r="AK51" i="45"/>
  <c r="Q15" i="47"/>
  <c r="Z45" i="33"/>
  <c r="AK66" i="33"/>
  <c r="J96" i="47"/>
  <c r="AA66" i="33"/>
  <c r="V66" i="45"/>
  <c r="AU75" i="43"/>
  <c r="AS27" i="47"/>
  <c r="G84" i="44"/>
  <c r="X51" i="46"/>
  <c r="AT21" i="41"/>
  <c r="U87" i="41"/>
  <c r="AF39" i="43"/>
  <c r="AL15" i="33"/>
  <c r="AQ99" i="46"/>
  <c r="A43" i="46"/>
  <c r="Q39" i="45"/>
  <c r="AQ15" i="47"/>
  <c r="L69" i="45"/>
  <c r="AB42" i="33"/>
  <c r="AA33" i="44"/>
  <c r="AB51" i="47"/>
  <c r="H27" i="44"/>
  <c r="V54" i="46"/>
  <c r="AI51" i="41"/>
  <c r="L18" i="47"/>
  <c r="AC33" i="41"/>
  <c r="AN42" i="41"/>
  <c r="AS93" i="43"/>
  <c r="T42" i="46"/>
  <c r="AB51" i="41"/>
  <c r="AI87" i="41"/>
  <c r="H39" i="33"/>
  <c r="S54" i="44"/>
  <c r="AE93" i="43"/>
  <c r="H102" i="33"/>
  <c r="AA45" i="45"/>
  <c r="AM54" i="45"/>
  <c r="AD78" i="44"/>
  <c r="X57" i="44"/>
  <c r="AE78" i="33"/>
  <c r="P27" i="43"/>
  <c r="AL84" i="45"/>
  <c r="Z81" i="33"/>
  <c r="F36" i="45"/>
  <c r="N81" i="45"/>
  <c r="O33" i="44"/>
  <c r="A61" i="33"/>
  <c r="S66" i="47"/>
  <c r="L15" i="41"/>
  <c r="AR66" i="46"/>
  <c r="M66" i="46"/>
  <c r="V9" i="45"/>
  <c r="AQ93" i="41"/>
  <c r="Y36" i="41"/>
  <c r="X48" i="46"/>
  <c r="A85" i="43"/>
  <c r="AK63" i="46"/>
  <c r="A21" i="46"/>
  <c r="A23" i="46"/>
  <c r="R66" i="45"/>
  <c r="AN51" i="45"/>
  <c r="AL36" i="47"/>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L36" i="45"/>
  <c r="AI99" i="47"/>
  <c r="AN90" i="41"/>
  <c r="AL66" i="43"/>
  <c r="AA84" i="47"/>
  <c r="L84" i="46"/>
  <c r="F57" i="44"/>
  <c r="Y36" i="46"/>
  <c r="A65" i="33"/>
  <c r="A63" i="33"/>
  <c r="Q84" i="45"/>
  <c r="AP33" i="47"/>
  <c r="I93" i="33"/>
  <c r="Q18" i="47"/>
  <c r="T36" i="43"/>
  <c r="J57" i="45"/>
  <c r="AL45" i="46"/>
  <c r="AS87" i="41"/>
  <c r="P63" i="41"/>
  <c r="N60" i="47"/>
  <c r="A21" i="47"/>
  <c r="A23" i="47"/>
  <c r="AN69" i="46"/>
  <c r="X54" i="47"/>
  <c r="A93" i="45"/>
  <c r="A95" i="45"/>
  <c r="A86" i="33"/>
  <c r="A84" i="33"/>
  <c r="AV72" i="46"/>
  <c r="J21" i="45"/>
  <c r="V42" i="45"/>
  <c r="E30" i="33"/>
  <c r="T87" i="47"/>
  <c r="AT18" i="47"/>
  <c r="AP60" i="47"/>
  <c r="Q60" i="46"/>
  <c r="O90" i="43"/>
  <c r="AN84" i="41"/>
  <c r="AH21" i="47"/>
  <c r="AO15" i="41"/>
  <c r="L75" i="43"/>
  <c r="AT63" i="46"/>
  <c r="AI54" i="44"/>
  <c r="W63" i="46"/>
  <c r="AN18" i="43"/>
  <c r="J42" i="46"/>
  <c r="AH30" i="47"/>
  <c r="AP63" i="41"/>
  <c r="A23" i="43"/>
  <c r="AM15" i="33"/>
  <c r="AB15" i="46"/>
  <c r="Q99" i="45"/>
  <c r="AK27" i="45"/>
  <c r="Z96" i="45"/>
  <c r="N9" i="43"/>
  <c r="K102" i="44"/>
  <c r="P78" i="46"/>
  <c r="AF69" i="44"/>
  <c r="P78" i="44"/>
  <c r="O93" i="33"/>
  <c r="AL24" i="46"/>
  <c r="V21" i="44"/>
  <c r="AM51" i="47"/>
  <c r="O21" i="45"/>
  <c r="U93" i="41"/>
  <c r="I99" i="41"/>
  <c r="AR24" i="45"/>
  <c r="AV45" i="41"/>
  <c r="AE69" i="47"/>
  <c r="V90" i="43"/>
  <c r="AH27" i="43"/>
  <c r="Q66" i="46"/>
  <c r="M45" i="43"/>
  <c r="I84" i="43"/>
  <c r="S66" i="41"/>
  <c r="AK78" i="45"/>
  <c r="I36" i="43"/>
  <c r="AM93" i="43"/>
  <c r="AN75" i="45"/>
  <c r="AM72" i="41"/>
  <c r="AE66" i="33"/>
  <c r="AN27" i="47"/>
  <c r="E36" i="33"/>
  <c r="AN99" i="46"/>
  <c r="AN102" i="41"/>
  <c r="Q66" i="47"/>
  <c r="Q75" i="33"/>
  <c r="AH27" i="45"/>
  <c r="X93" i="41"/>
  <c r="U99" i="41"/>
  <c r="N66" i="33"/>
  <c r="V81" i="47"/>
  <c r="AJ84" i="46"/>
  <c r="AD30" i="45"/>
  <c r="P15" i="33"/>
  <c r="AC84" i="47"/>
  <c r="Q99" i="33"/>
  <c r="AC87" i="44"/>
  <c r="AE87" i="33"/>
  <c r="AL57" i="41"/>
  <c r="AI45" i="47"/>
  <c r="J21" i="43"/>
  <c r="AI78" i="46"/>
  <c r="J93" i="47"/>
  <c r="AP87" i="45"/>
  <c r="H96" i="44"/>
  <c r="P24" i="44"/>
  <c r="N90" i="43"/>
  <c r="AB45" i="44"/>
  <c r="W36" i="46"/>
  <c r="Y45" i="47"/>
  <c r="M96" i="47"/>
  <c r="J33" i="33"/>
  <c r="AL69" i="43"/>
  <c r="X39" i="45"/>
  <c r="A64" i="44"/>
  <c r="K45" i="41"/>
  <c r="AQ66" i="47"/>
  <c r="M24" i="45"/>
  <c r="AP93" i="41"/>
  <c r="T63" i="46"/>
  <c r="AP75" i="41"/>
  <c r="S54" i="46"/>
  <c r="K63" i="46"/>
  <c r="AK69" i="33"/>
  <c r="V27" i="44"/>
  <c r="O81" i="43"/>
  <c r="R39" i="43"/>
  <c r="AE93" i="44"/>
  <c r="AD9" i="47"/>
  <c r="AN24" i="43"/>
  <c r="AI69" i="41"/>
  <c r="V30" i="46"/>
  <c r="AI24" i="45"/>
  <c r="AB42" i="41"/>
  <c r="AJ96" i="47"/>
  <c r="AK102" i="45"/>
  <c r="N30" i="41"/>
  <c r="E60" i="45"/>
  <c r="AL39" i="45"/>
  <c r="A47" i="41"/>
  <c r="A45" i="41"/>
  <c r="AU42" i="43"/>
  <c r="AA84" i="45"/>
  <c r="AM24" i="43"/>
  <c r="AF15" i="43"/>
  <c r="V51" i="47"/>
  <c r="AU99" i="43"/>
  <c r="R51" i="41"/>
  <c r="AK72" i="45"/>
  <c r="AF15" i="33"/>
  <c r="T60" i="44"/>
  <c r="W54" i="45"/>
  <c r="W51" i="47"/>
  <c r="AQ72" i="47"/>
  <c r="G21" i="45"/>
  <c r="V9" i="33"/>
  <c r="AR75" i="43"/>
  <c r="AD81" i="46"/>
  <c r="P39" i="41"/>
  <c r="G99" i="45"/>
  <c r="AF99" i="33"/>
  <c r="AF45" i="41"/>
  <c r="V72" i="44"/>
  <c r="J39" i="45"/>
  <c r="AC42" i="44"/>
  <c r="O66" i="43"/>
  <c r="A79" i="47"/>
  <c r="X75" i="45"/>
  <c r="S36" i="45"/>
  <c r="AF33" i="33"/>
  <c r="AJ54" i="44"/>
  <c r="N21" i="46"/>
  <c r="AB90" i="47"/>
  <c r="AG96" i="46"/>
  <c r="AG48" i="45"/>
  <c r="L84" i="43"/>
  <c r="AB48" i="41"/>
  <c r="AP48" i="33"/>
  <c r="AP93" i="45"/>
  <c r="U93" i="44"/>
  <c r="L90" i="33"/>
  <c r="AV42" i="47"/>
  <c r="AD66" i="33"/>
  <c r="AT54" i="47"/>
  <c r="I66" i="47"/>
  <c r="H30" i="45"/>
  <c r="H96" i="45"/>
  <c r="AI69" i="33"/>
  <c r="M84" i="43"/>
  <c r="AQ51" i="44"/>
  <c r="AC63" i="33"/>
  <c r="AR51" i="44"/>
  <c r="S63" i="33"/>
  <c r="T72" i="45"/>
  <c r="AB24" i="45"/>
  <c r="AF45" i="47"/>
  <c r="E15" i="45"/>
  <c r="AI48" i="44"/>
  <c r="AV51" i="41"/>
  <c r="AC78" i="47"/>
  <c r="AQ39" i="33"/>
  <c r="R63" i="46"/>
  <c r="T21" i="43"/>
  <c r="P87" i="47"/>
  <c r="AK81" i="44"/>
  <c r="AB39" i="46"/>
  <c r="AL33" i="47"/>
  <c r="Q69" i="41"/>
  <c r="S30" i="46"/>
  <c r="M93" i="43"/>
  <c r="AV60" i="41"/>
  <c r="M51" i="45"/>
  <c r="AL36" i="45"/>
  <c r="AQ102" i="33"/>
  <c r="Q72" i="46"/>
  <c r="U87" i="46"/>
  <c r="AJ78" i="45"/>
  <c r="AL78" i="46"/>
  <c r="AR78" i="44"/>
  <c r="AM69" i="44"/>
  <c r="O36" i="47"/>
  <c r="G63" i="33"/>
  <c r="AP78" i="43"/>
  <c r="S30" i="45"/>
  <c r="M84" i="44"/>
  <c r="AD39" i="41"/>
  <c r="E87" i="45"/>
  <c r="J57" i="41"/>
  <c r="A69" i="45"/>
  <c r="A71" i="45"/>
  <c r="I42" i="46"/>
  <c r="AI21" i="33"/>
  <c r="R45" i="46"/>
  <c r="R102" i="47"/>
  <c r="AT72" i="46"/>
  <c r="AV48" i="46"/>
  <c r="T75" i="41"/>
  <c r="AK99" i="41"/>
  <c r="AM66" i="47"/>
  <c r="J93" i="43"/>
  <c r="AR102" i="43"/>
  <c r="Y69" i="43"/>
  <c r="AH66" i="44"/>
  <c r="O66" i="47"/>
  <c r="AM48" i="41"/>
  <c r="AB69" i="44"/>
  <c r="U84" i="47"/>
  <c r="V93" i="44"/>
  <c r="AR87" i="41"/>
  <c r="E78" i="45"/>
  <c r="Q81" i="33"/>
  <c r="X33" i="44"/>
  <c r="AS18" i="43"/>
  <c r="Q63" i="41"/>
  <c r="G24" i="45"/>
  <c r="H54" i="45"/>
  <c r="AL42" i="41"/>
  <c r="T24" i="44"/>
  <c r="U87" i="47"/>
  <c r="L99" i="47"/>
  <c r="AI39" i="47"/>
  <c r="AK90" i="46"/>
  <c r="S24" i="44"/>
  <c r="AN81" i="41"/>
  <c r="AP63" i="45"/>
  <c r="AN63" i="33"/>
  <c r="L78" i="44"/>
  <c r="AS51" i="47"/>
  <c r="AL33" i="45"/>
  <c r="AN60" i="45"/>
  <c r="AE69" i="45"/>
  <c r="AR9" i="43"/>
  <c r="X15" i="33"/>
  <c r="AD15" i="47"/>
  <c r="AE57" i="44"/>
  <c r="K42" i="46"/>
  <c r="AN15" i="43"/>
  <c r="S33" i="45"/>
  <c r="N33" i="43"/>
  <c r="X66" i="43"/>
  <c r="O66" i="44"/>
  <c r="AJ69" i="46"/>
  <c r="M51" i="44"/>
  <c r="AU69" i="46"/>
  <c r="AS48" i="41"/>
  <c r="AC96" i="44"/>
  <c r="AA15" i="41"/>
  <c r="AR66" i="33"/>
  <c r="Q72" i="41"/>
  <c r="M39" i="33"/>
  <c r="AM84" i="47"/>
  <c r="N27" i="46"/>
  <c r="F102" i="44"/>
  <c r="T93" i="47"/>
  <c r="AS45" i="47"/>
  <c r="Z84" i="44"/>
  <c r="AR18" i="41"/>
  <c r="AL57" i="44"/>
  <c r="Z48" i="45"/>
  <c r="AR30" i="46"/>
  <c r="P81" i="33"/>
  <c r="AT18" i="43"/>
  <c r="R18" i="41"/>
  <c r="S27" i="44"/>
  <c r="AP96" i="45"/>
  <c r="AU84" i="46"/>
  <c r="AI60" i="44"/>
  <c r="AQ69" i="43"/>
  <c r="AO87" i="43"/>
  <c r="G24" i="33"/>
  <c r="N9" i="44"/>
  <c r="AL27" i="47"/>
  <c r="AR30" i="47"/>
  <c r="W30" i="33"/>
  <c r="U39" i="46"/>
  <c r="AO21" i="46"/>
  <c r="Q30" i="46"/>
  <c r="AD33" i="47"/>
  <c r="AL9" i="46"/>
  <c r="P90" i="44"/>
  <c r="AF102" i="33"/>
  <c r="L18" i="41"/>
  <c r="N90" i="41"/>
  <c r="Z60" i="43"/>
  <c r="AR93" i="33"/>
  <c r="AJ36" i="33"/>
  <c r="S33" i="33"/>
  <c r="Y18" i="41"/>
  <c r="AD24" i="43"/>
  <c r="AM39" i="46"/>
  <c r="AO84" i="44"/>
  <c r="AB69" i="47"/>
  <c r="AP81" i="43"/>
  <c r="AD102" i="45"/>
  <c r="R102" i="44"/>
  <c r="AJ96" i="46"/>
  <c r="AE21" i="46"/>
  <c r="V57" i="43"/>
  <c r="AH87" i="44"/>
  <c r="V57" i="33"/>
  <c r="S75" i="43"/>
  <c r="AR66" i="44"/>
  <c r="K21" i="41"/>
  <c r="V36" i="47"/>
  <c r="S69" i="41"/>
  <c r="AO18" i="45"/>
  <c r="E27" i="33"/>
  <c r="AH99" i="33"/>
  <c r="A79" i="41"/>
  <c r="AK39" i="45"/>
  <c r="A49" i="41"/>
  <c r="R51" i="47"/>
  <c r="AO87" i="46"/>
  <c r="AF84" i="33"/>
  <c r="Q102" i="46"/>
  <c r="AG36" i="45"/>
  <c r="AO33" i="45"/>
  <c r="A94" i="41"/>
  <c r="AF27" i="44"/>
  <c r="N42" i="33"/>
  <c r="AD96" i="41"/>
  <c r="AU27" i="41"/>
  <c r="K84" i="33"/>
  <c r="AO21" i="44"/>
  <c r="Y84" i="33"/>
  <c r="V96" i="44"/>
  <c r="P63" i="33"/>
  <c r="R33" i="44"/>
  <c r="N78" i="33"/>
  <c r="R63" i="41"/>
  <c r="G60" i="33"/>
  <c r="P24" i="45"/>
  <c r="A88" i="44"/>
  <c r="AI75" i="46"/>
  <c r="U63" i="46"/>
  <c r="J51" i="45"/>
  <c r="AV81" i="47"/>
  <c r="AV33" i="47"/>
  <c r="S33" i="47"/>
  <c r="O60" i="45"/>
  <c r="N36" i="41"/>
  <c r="J27" i="44"/>
  <c r="AC81" i="46"/>
  <c r="W99" i="33"/>
  <c r="AB99" i="46"/>
  <c r="I39" i="43"/>
  <c r="AD9" i="43"/>
  <c r="AC69" i="43"/>
  <c r="AO27" i="33"/>
  <c r="J63" i="47"/>
  <c r="I96" i="47"/>
  <c r="K99" i="41"/>
  <c r="AE99" i="47"/>
  <c r="AD66" i="44"/>
  <c r="AP18" i="43"/>
  <c r="AR81" i="45"/>
  <c r="AI96" i="33"/>
  <c r="AL69" i="47"/>
  <c r="AG54" i="43"/>
  <c r="E33" i="33"/>
  <c r="AN24" i="33"/>
  <c r="T18" i="33"/>
  <c r="AB30" i="47"/>
  <c r="W102" i="45"/>
  <c r="AB72" i="41"/>
  <c r="AH66" i="47"/>
  <c r="E57" i="45"/>
  <c r="W75" i="44"/>
  <c r="AH87" i="41"/>
  <c r="AP78" i="33"/>
  <c r="AE15" i="47"/>
  <c r="AC33" i="33"/>
  <c r="O39" i="46"/>
  <c r="AQ87" i="47"/>
  <c r="U21" i="33"/>
  <c r="AE42" i="46"/>
  <c r="P93" i="43"/>
  <c r="A77" i="42"/>
  <c r="A75" i="42"/>
  <c r="AA78" i="33"/>
  <c r="AK69" i="43"/>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P90" i="41"/>
  <c r="AI15" i="41"/>
  <c r="AD57" i="44"/>
  <c r="T93" i="45"/>
  <c r="L21" i="41"/>
  <c r="AQ57" i="43"/>
  <c r="V66" i="43"/>
  <c r="O81" i="41"/>
  <c r="AG39" i="33"/>
  <c r="AN57" i="47"/>
  <c r="G84" i="33"/>
  <c r="AN18" i="41"/>
  <c r="AQ66" i="33"/>
  <c r="L93" i="45"/>
  <c r="AQ90" i="44"/>
  <c r="AM15" i="47"/>
  <c r="AH15" i="44"/>
  <c r="R27" i="33"/>
  <c r="P51" i="41"/>
  <c r="A55" i="43"/>
  <c r="AM21" i="45"/>
  <c r="AT57" i="43"/>
  <c r="AF15" i="44"/>
  <c r="AT24" i="43"/>
  <c r="I21" i="45"/>
  <c r="O36" i="45"/>
  <c r="AO39" i="41"/>
  <c r="AR99" i="44"/>
  <c r="AN30" i="46"/>
  <c r="AG42" i="41"/>
  <c r="AS99" i="46"/>
  <c r="X33" i="43"/>
  <c r="O51" i="43"/>
  <c r="N24" i="46"/>
  <c r="I87" i="46"/>
  <c r="AA90" i="33"/>
  <c r="R36" i="41"/>
  <c r="O9" i="44"/>
  <c r="AO42" i="45"/>
  <c r="AN75" i="44"/>
  <c r="X78" i="41"/>
  <c r="G96" i="33"/>
  <c r="P24" i="33"/>
  <c r="AO81" i="47"/>
  <c r="AR84" i="44"/>
  <c r="A35" i="46"/>
  <c r="A33" i="46"/>
  <c r="A35" i="45"/>
  <c r="A33" i="45"/>
  <c r="M24" i="33"/>
  <c r="AJ18" i="43"/>
  <c r="R96" i="33"/>
  <c r="AK45" i="43"/>
  <c r="AO27" i="45"/>
  <c r="O78" i="33"/>
  <c r="AD36" i="41"/>
  <c r="J90" i="33"/>
  <c r="AA102" i="43"/>
  <c r="A79" i="46"/>
  <c r="AS57" i="41"/>
  <c r="AT45" i="47"/>
  <c r="AN33" i="47"/>
  <c r="V93" i="33"/>
  <c r="AP84" i="46"/>
  <c r="R72" i="47"/>
  <c r="A69" i="46"/>
  <c r="A71" i="46"/>
  <c r="AP48" i="46"/>
  <c r="AK87" i="44"/>
  <c r="P63" i="44"/>
  <c r="AB24" i="43"/>
  <c r="X90" i="47"/>
  <c r="AE39" i="45"/>
  <c r="A100" i="45"/>
  <c r="A41" i="33"/>
  <c r="A39" i="33"/>
  <c r="AC93" i="45"/>
  <c r="AH81" i="33"/>
  <c r="AD45" i="43"/>
  <c r="AL66" i="41"/>
  <c r="T99" i="41"/>
  <c r="AK78" i="41"/>
  <c r="Y42" i="33"/>
  <c r="AS66" i="43"/>
  <c r="AT93" i="43"/>
  <c r="AM42" i="44"/>
  <c r="AH75" i="44"/>
  <c r="AO78" i="45"/>
  <c r="AA69" i="43"/>
  <c r="A47" i="44"/>
  <c r="A45" i="44"/>
  <c r="J42" i="44"/>
  <c r="AO66" i="44"/>
  <c r="AE87" i="41"/>
  <c r="AP78" i="44"/>
  <c r="AR9" i="47"/>
  <c r="AB48" i="45"/>
  <c r="AB18" i="47"/>
  <c r="J84" i="41"/>
  <c r="AF48" i="44"/>
  <c r="S63" i="44"/>
  <c r="AC102" i="45"/>
  <c r="AL48" i="46"/>
  <c r="H99" i="44"/>
  <c r="AE78" i="41"/>
  <c r="AC66" i="41"/>
  <c r="E87" i="44"/>
  <c r="AR87" i="46"/>
  <c r="A24" i="33"/>
  <c r="A26" i="33"/>
  <c r="Y84" i="43"/>
  <c r="U18" i="33"/>
  <c r="AM36" i="45"/>
  <c r="K96" i="33"/>
  <c r="M57" i="45"/>
  <c r="N33" i="46"/>
  <c r="W99" i="41"/>
  <c r="AL45" i="43"/>
  <c r="AR45" i="47"/>
  <c r="AA60" i="33"/>
  <c r="G18" i="45"/>
  <c r="M102" i="45"/>
  <c r="AI75" i="33"/>
  <c r="AP87" i="46"/>
  <c r="AR81" i="46"/>
  <c r="Z9" i="43"/>
  <c r="H102" i="44"/>
  <c r="W42" i="33"/>
  <c r="K18" i="44"/>
  <c r="A88" i="47"/>
  <c r="Z51" i="33"/>
  <c r="W69" i="46"/>
  <c r="AT51" i="46"/>
  <c r="AN99" i="47"/>
  <c r="O99" i="46"/>
  <c r="S9" i="33"/>
  <c r="T81" i="46"/>
  <c r="AL81" i="46"/>
  <c r="AF9" i="41"/>
  <c r="AM36" i="33"/>
  <c r="AV27" i="43"/>
  <c r="AM81" i="33"/>
  <c r="AJ42" i="33"/>
  <c r="AQ9" i="41"/>
  <c r="Q72" i="43"/>
  <c r="AI90" i="46"/>
  <c r="AC54" i="41"/>
  <c r="M69" i="33"/>
  <c r="O57" i="44"/>
  <c r="AV54" i="43"/>
  <c r="AO63" i="33"/>
  <c r="AG63" i="41"/>
  <c r="A58" i="33"/>
  <c r="N30" i="33"/>
  <c r="AB33" i="47"/>
  <c r="Q54" i="41"/>
  <c r="AC75" i="44"/>
  <c r="AU93" i="47"/>
  <c r="AF72" i="41"/>
  <c r="AR69" i="43"/>
  <c r="K15" i="46"/>
  <c r="AN30" i="41"/>
  <c r="AE90" i="44"/>
  <c r="I102" i="44"/>
  <c r="AA48" i="43"/>
  <c r="AN24" i="44"/>
  <c r="AQ63" i="45"/>
  <c r="U81" i="43"/>
  <c r="AA93" i="45"/>
  <c r="L63" i="46"/>
  <c r="Q33" i="41"/>
  <c r="AC54" i="47"/>
  <c r="AM57" i="33"/>
  <c r="AB24" i="47"/>
  <c r="AF39" i="41"/>
  <c r="P87" i="45"/>
  <c r="Y78" i="45"/>
  <c r="T30" i="33"/>
  <c r="AM69" i="41"/>
  <c r="U30" i="41"/>
  <c r="W63" i="33"/>
  <c r="S24" i="46"/>
  <c r="AO30" i="46"/>
  <c r="R72" i="44"/>
  <c r="E21" i="33"/>
  <c r="AK72" i="41"/>
  <c r="Y84" i="47"/>
  <c r="Z45" i="46"/>
  <c r="AU96" i="41"/>
  <c r="Q63" i="47"/>
  <c r="AH15" i="33"/>
  <c r="AP99" i="44"/>
  <c r="AP102" i="41"/>
  <c r="AU24" i="47"/>
  <c r="K66" i="41"/>
  <c r="AS84" i="47"/>
  <c r="AO93" i="44"/>
  <c r="J102" i="47"/>
  <c r="AU78" i="43"/>
  <c r="L33" i="47"/>
  <c r="AM90" i="46"/>
  <c r="U24" i="47"/>
  <c r="S96" i="47"/>
  <c r="Y66" i="46"/>
  <c r="I54" i="33"/>
  <c r="S63" i="43"/>
  <c r="AT90" i="46"/>
  <c r="AN33" i="43"/>
  <c r="U90" i="41"/>
  <c r="A47" i="45"/>
  <c r="A45" i="45"/>
  <c r="AB72" i="44"/>
  <c r="A64" i="45"/>
  <c r="AI90" i="44"/>
  <c r="K36" i="33"/>
  <c r="AH33" i="44"/>
  <c r="Z36" i="41"/>
  <c r="AJ90" i="46"/>
  <c r="AT93" i="46"/>
  <c r="AE24" i="43"/>
  <c r="AF75" i="45"/>
  <c r="AO93" i="46"/>
  <c r="AQ66" i="46"/>
  <c r="M24" i="41"/>
  <c r="S24" i="45"/>
  <c r="AB99" i="41"/>
  <c r="S45" i="47"/>
  <c r="AP51" i="46"/>
  <c r="S99" i="41"/>
  <c r="AC72" i="43"/>
  <c r="A25" i="47"/>
  <c r="A37" i="46"/>
  <c r="Q66" i="41"/>
  <c r="AJ66" i="47"/>
  <c r="AF78" i="47"/>
  <c r="Y87" i="43"/>
  <c r="AC78" i="43"/>
  <c r="AG39" i="45"/>
  <c r="I57" i="45"/>
  <c r="AU9" i="47"/>
  <c r="R69" i="33"/>
  <c r="AU21" i="47"/>
  <c r="E51" i="44"/>
  <c r="I27" i="33"/>
  <c r="A52" i="45"/>
  <c r="L18" i="33"/>
  <c r="AC21" i="46"/>
  <c r="AG69" i="44"/>
  <c r="W54" i="47"/>
  <c r="M81" i="46"/>
  <c r="V48" i="41"/>
  <c r="Z24" i="41"/>
  <c r="AU57" i="43"/>
  <c r="AG27" i="44"/>
  <c r="L27" i="45"/>
  <c r="AO45" i="46"/>
  <c r="X60" i="45"/>
  <c r="I81" i="45"/>
  <c r="I66" i="45"/>
  <c r="AV51" i="47"/>
  <c r="A25" i="43"/>
  <c r="F93" i="33"/>
  <c r="AB69" i="45"/>
  <c r="AG99" i="41"/>
  <c r="AQ78" i="46"/>
  <c r="E15" i="44"/>
  <c r="A97" i="41"/>
  <c r="Q87" i="44"/>
  <c r="AI33" i="43"/>
  <c r="V96" i="43"/>
  <c r="X36" i="45"/>
  <c r="Z39" i="45"/>
  <c r="Y93" i="41"/>
  <c r="AT93" i="47"/>
  <c r="Y93" i="44"/>
  <c r="L66" i="45"/>
  <c r="AO69" i="41"/>
  <c r="AH96" i="33"/>
  <c r="AM15" i="45"/>
  <c r="Z66" i="41"/>
  <c r="Z39" i="46"/>
  <c r="AA69" i="44"/>
  <c r="Z57" i="44"/>
  <c r="AR9" i="44"/>
  <c r="R84" i="45"/>
  <c r="S15" i="33"/>
  <c r="AK9" i="44"/>
  <c r="L45" i="47"/>
  <c r="AK54" i="45"/>
  <c r="AH30" i="33"/>
  <c r="AT57" i="47"/>
  <c r="K54" i="46"/>
  <c r="H18" i="45"/>
  <c r="J9" i="46"/>
  <c r="AI45" i="44"/>
  <c r="N54" i="44"/>
  <c r="AA63" i="41"/>
  <c r="F15" i="44"/>
  <c r="Q18" i="45"/>
  <c r="AR21" i="43"/>
  <c r="P75" i="47"/>
  <c r="AU72" i="43"/>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N21" i="44"/>
  <c r="V75" i="41"/>
  <c r="AQ96" i="46"/>
  <c r="AS27" i="46"/>
  <c r="AE60" i="44"/>
  <c r="AA45" i="46"/>
  <c r="K57" i="41"/>
  <c r="J33" i="44"/>
  <c r="R90" i="43"/>
  <c r="Y42" i="41"/>
  <c r="N66" i="46"/>
  <c r="AO42" i="47"/>
  <c r="H78" i="44"/>
  <c r="AI30" i="33"/>
  <c r="X18" i="45"/>
  <c r="L9" i="46"/>
  <c r="AF57" i="43"/>
  <c r="AM75" i="41"/>
  <c r="U90" i="44"/>
  <c r="Z9" i="41"/>
  <c r="U60" i="44"/>
  <c r="S102" i="41"/>
  <c r="AC51" i="46"/>
  <c r="AR27" i="33"/>
  <c r="AD57" i="33"/>
  <c r="AK15" i="33"/>
  <c r="AP69" i="47"/>
  <c r="AM90" i="33"/>
  <c r="N96" i="41"/>
  <c r="S21" i="45"/>
  <c r="Q27" i="45"/>
  <c r="M81" i="45"/>
  <c r="O33" i="46"/>
  <c r="R57" i="33"/>
  <c r="U36" i="46"/>
  <c r="AJ78" i="33"/>
  <c r="G90" i="33"/>
  <c r="AQ57" i="46"/>
  <c r="L9" i="44"/>
  <c r="T66" i="45"/>
  <c r="N81" i="46"/>
  <c r="H63" i="33"/>
  <c r="AD60" i="43"/>
  <c r="R93" i="41"/>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Y90" i="47"/>
  <c r="O66" i="45"/>
  <c r="K18" i="47"/>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1"/>
  <c r="A27" i="41"/>
  <c r="A29" i="47"/>
  <c r="A27" i="47"/>
  <c r="A27" i="42"/>
  <c r="A29" i="42"/>
  <c r="A27" i="45"/>
  <c r="A29" i="45"/>
  <c r="A27" i="33"/>
  <c r="A29" i="33"/>
  <c r="A89" i="43" l="1"/>
  <c r="A87" i="42"/>
  <c r="A96" i="45"/>
  <c r="A17" i="46"/>
  <c r="A51" i="43"/>
  <c r="A99" i="46"/>
  <c r="A65" i="41"/>
  <c r="A56" i="41"/>
  <c r="A72" i="42"/>
  <c r="A77" i="33"/>
  <c r="A48" i="47"/>
  <c r="A99" i="33"/>
  <c r="A29" i="44"/>
  <c r="A27" i="46"/>
  <c r="A39" i="41"/>
  <c r="A44" i="41"/>
  <c r="A59" i="47"/>
  <c r="A80" i="33"/>
  <c r="A89" i="33"/>
  <c r="A42" i="44"/>
  <c r="A66" i="42"/>
  <c r="A102" i="42"/>
  <c r="A33" i="33"/>
  <c r="A98" i="43"/>
  <c r="A92" i="44"/>
  <c r="A18" i="33"/>
  <c r="A33" i="42"/>
  <c r="A20" i="47"/>
  <c r="A99" i="44"/>
  <c r="A51" i="47"/>
  <c r="A72" i="44"/>
  <c r="A42" i="45"/>
  <c r="A93" i="46"/>
  <c r="A39" i="46"/>
  <c r="A60" i="47"/>
  <c r="A71" i="41"/>
  <c r="A83" i="45"/>
  <c r="A30" i="33"/>
  <c r="A93" i="42"/>
  <c r="A84" i="41"/>
  <c r="A33" i="47"/>
  <c r="A62" i="41"/>
  <c r="A80" i="42"/>
  <c r="A78" i="42"/>
  <c r="A72" i="43"/>
  <c r="A54" i="45"/>
  <c r="A96" i="46"/>
  <c r="A38" i="33"/>
  <c r="A86" i="46"/>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600-000001000000}">
      <text>
        <r>
          <rPr>
            <b/>
            <sz val="9"/>
            <color indexed="81"/>
            <rFont val="Calibri"/>
            <family val="2"/>
            <scheme val="minor"/>
          </rPr>
          <t>Nº de ids diferentes</t>
        </r>
      </text>
    </comment>
    <comment ref="D8" authorId="0" shapeId="0" xr:uid="{00000000-0006-0000-0600-000002000000}">
      <text>
        <r>
          <rPr>
            <b/>
            <sz val="9"/>
            <color indexed="81"/>
            <rFont val="Calibri"/>
            <family val="2"/>
            <scheme val="minor"/>
          </rPr>
          <t>nº de SC diferentes dentro del periodo de referencia de la Hoja DATOS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700-000001000000}">
      <text>
        <r>
          <rPr>
            <b/>
            <sz val="9"/>
            <color indexed="81"/>
            <rFont val="Calibri"/>
            <family val="2"/>
            <scheme val="minor"/>
          </rPr>
          <t>Nº de ids diferentes</t>
        </r>
      </text>
    </comment>
    <comment ref="D8" authorId="0" shapeId="0" xr:uid="{00000000-0006-0000-0700-000002000000}">
      <text>
        <r>
          <rPr>
            <b/>
            <sz val="9"/>
            <color indexed="81"/>
            <rFont val="Calibri"/>
            <family val="2"/>
            <scheme val="minor"/>
          </rPr>
          <t>nº de SC diferentes dentro del periodo de referencia de la Hoja DATOS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800-000001000000}">
      <text>
        <r>
          <rPr>
            <b/>
            <sz val="9"/>
            <color indexed="81"/>
            <rFont val="Calibri"/>
            <family val="2"/>
            <scheme val="minor"/>
          </rPr>
          <t>Nº de ids diferentes</t>
        </r>
      </text>
    </comment>
    <comment ref="D8" authorId="0" shapeId="0" xr:uid="{00000000-0006-0000-0800-000002000000}">
      <text>
        <r>
          <rPr>
            <b/>
            <sz val="9"/>
            <color indexed="81"/>
            <rFont val="Calibri"/>
            <family val="2"/>
            <scheme val="minor"/>
          </rPr>
          <t>nº de SC diferentes dentro del periodo de referencia de la Hoja DATOS</t>
        </r>
      </text>
    </comment>
    <comment ref="H8" authorId="0" shapeId="0" xr:uid="{00000000-0006-0000-0800-000003000000}">
      <text>
        <r>
          <rPr>
            <b/>
            <sz val="9"/>
            <color indexed="81"/>
            <rFont val="Calibri"/>
            <family val="2"/>
            <scheme val="minor"/>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900-000001000000}">
      <text>
        <r>
          <rPr>
            <b/>
            <sz val="9"/>
            <color indexed="81"/>
            <rFont val="Calibri"/>
            <family val="2"/>
            <scheme val="minor"/>
          </rPr>
          <t>Nº de ids diferentes</t>
        </r>
      </text>
    </comment>
    <comment ref="D8" authorId="0" shapeId="0" xr:uid="{00000000-0006-0000-0900-000002000000}">
      <text>
        <r>
          <rPr>
            <b/>
            <sz val="9"/>
            <color indexed="81"/>
            <rFont val="Calibri"/>
            <family val="2"/>
            <scheme val="minor"/>
          </rPr>
          <t>nº de SC diferentes dentro del periodo de referencia de la Hoja DATOS</t>
        </r>
      </text>
    </comment>
    <comment ref="H8" authorId="0" shapeId="0" xr:uid="{00000000-0006-0000-0900-000003000000}">
      <text>
        <r>
          <rPr>
            <b/>
            <sz val="9"/>
            <color indexed="81"/>
            <rFont val="Calibri"/>
            <family val="2"/>
            <scheme val="minor"/>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A00-000001000000}">
      <text>
        <r>
          <rPr>
            <b/>
            <sz val="9"/>
            <color indexed="81"/>
            <rFont val="Calibri"/>
            <family val="2"/>
            <scheme val="minor"/>
          </rPr>
          <t>Nº de ids diferentes</t>
        </r>
      </text>
    </comment>
    <comment ref="D8" authorId="0" shapeId="0" xr:uid="{00000000-0006-0000-0A00-000002000000}">
      <text>
        <r>
          <rPr>
            <b/>
            <sz val="9"/>
            <color indexed="81"/>
            <rFont val="Calibri"/>
            <family val="2"/>
            <scheme val="minor"/>
          </rPr>
          <t>nº de SC diferentes dentro del periodo de referencia de la Hoja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B00-000001000000}">
      <text>
        <r>
          <rPr>
            <b/>
            <sz val="9"/>
            <color indexed="81"/>
            <rFont val="Calibri"/>
            <family val="2"/>
            <scheme val="minor"/>
          </rPr>
          <t>Nº de ids diferentes</t>
        </r>
      </text>
    </comment>
    <comment ref="D8" authorId="0" shapeId="0" xr:uid="{00000000-0006-0000-0B00-000002000000}">
      <text>
        <r>
          <rPr>
            <b/>
            <sz val="9"/>
            <color indexed="81"/>
            <rFont val="Calibri"/>
            <family val="2"/>
            <scheme val="minor"/>
          </rPr>
          <t>nº de SC diferentes dentro del periodo de referencia de la Hoja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C00-000001000000}">
      <text>
        <r>
          <rPr>
            <b/>
            <sz val="9"/>
            <color indexed="81"/>
            <rFont val="Calibri"/>
            <family val="2"/>
            <scheme val="minor"/>
          </rPr>
          <t>Nº de ids diferentes</t>
        </r>
      </text>
    </comment>
    <comment ref="D8" authorId="0" shapeId="0" xr:uid="{00000000-0006-0000-0C00-000002000000}">
      <text>
        <r>
          <rPr>
            <b/>
            <sz val="9"/>
            <color indexed="81"/>
            <rFont val="Calibri"/>
            <family val="2"/>
            <scheme val="minor"/>
          </rPr>
          <t>nº de SC diferentes dentro del periodo de referencia de la Hoja DATOS</t>
        </r>
      </text>
    </comment>
    <comment ref="H8" authorId="0" shapeId="0" xr:uid="{00000000-0006-0000-0C00-000003000000}">
      <text>
        <r>
          <rPr>
            <b/>
            <sz val="9"/>
            <color indexed="81"/>
            <rFont val="Calibri"/>
            <family val="2"/>
            <scheme val="minor"/>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D00-000001000000}">
      <text>
        <r>
          <rPr>
            <b/>
            <sz val="9"/>
            <color indexed="81"/>
            <rFont val="Calibri"/>
            <family val="2"/>
            <scheme val="minor"/>
          </rPr>
          <t>Nº de ids diferentes</t>
        </r>
      </text>
    </comment>
    <comment ref="D8" authorId="0" shapeId="0" xr:uid="{00000000-0006-0000-0D00-000002000000}">
      <text>
        <r>
          <rPr>
            <b/>
            <sz val="9"/>
            <color indexed="81"/>
            <rFont val="Calibri"/>
            <family val="2"/>
            <scheme val="minor"/>
          </rPr>
          <t>nº de SC diferentes dentro del periodo de referencia de la Hoja DATOS</t>
        </r>
      </text>
    </comment>
    <comment ref="H8" authorId="0" shapeId="0" xr:uid="{00000000-0006-0000-0D00-000003000000}">
      <text>
        <r>
          <rPr>
            <b/>
            <sz val="9"/>
            <color indexed="81"/>
            <rFont val="Calibri"/>
            <family val="2"/>
            <scheme val="minor"/>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<sst xmlns="http://schemas.openxmlformats.org/spreadsheetml/2006/main" count="5091" uniqueCount="446">
  <si>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</si>
  <si>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</si>
  <si>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</si>
  <si>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</si>
  <si>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</si>
  <si>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</si>
  <si>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</si>
  <si>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</si>
  <si>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</si>
  <si>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</si>
  <si>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</si>
  <si>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</si>
  <si>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</si>
  <si>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</si>
  <si>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</si>
  <si>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</si>
  <si>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</si>
  <si>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</si>
  <si>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</si>
  <si>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</si>
  <si>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</si>
  <si>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</si>
  <si>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</si>
  <si>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</si>
  <si>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</si>
  <si>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</si>
  <si>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</si>
  <si>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</si>
  <si>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</si>
  <si>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</si>
  <si>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</si>
  <si>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</si>
  <si>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</si>
  <si>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</si>
  <si>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</si>
  <si>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</si>
  <si>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</si>
  <si>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</si>
  <si>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</si>
  <si>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</si>
  <si>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</si>
  <si>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</si>
  <si>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</si>
  <si>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</si>
  <si>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</si>
  <si>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</si>
  <si>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</si>
  <si>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</si>
  <si>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</si>
  <si>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</si>
  <si>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</si>
  <si>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</si>
  <si>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</si>
  <si>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</si>
  <si>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</si>
  <si>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</si>
  <si>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</si>
  <si>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</si>
  <si>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</si>
  <si>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</si>
  <si>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</si>
  <si>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</si>
  <si>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</si>
  <si>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</si>
  <si>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</si>
  <si>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</si>
  <si>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</si>
  <si>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</si>
  <si>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</si>
  <si>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</si>
  <si>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</si>
  <si>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</si>
  <si>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</si>
  <si>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</si>
  <si>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</si>
  <si>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</si>
  <si>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</si>
  <si>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</si>
  <si>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</si>
  <si>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</si>
  <si>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</si>
  <si>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</si>
  <si>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</si>
  <si>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</si>
  <si>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</si>
  <si>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</si>
  <si>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</si>
  <si>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</si>
  <si>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</si>
  <si>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</si>
  <si>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</si>
  <si>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</si>
  <si>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</si>
  <si>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</si>
  <si>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</si>
  <si>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</si>
  <si>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</si>
  <si>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</si>
  <si>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</si>
  <si>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</si>
  <si>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</si>
  <si>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</si>
  <si>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</si>
  <si>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</si>
  <si>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</si>
  <si>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</si>
  <si>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</si>
  <si>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</si>
  <si>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</si>
  <si>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</si>
  <si>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</si>
  <si>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</si>
  <si>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</si>
  <si>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</si>
  <si>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</si>
  <si>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</si>
  <si>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</si>
  <si>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</si>
  <si>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</si>
  <si>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</si>
  <si>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</si>
  <si>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</si>
  <si>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</si>
  <si>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</si>
  <si>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</si>
  <si>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</si>
  <si>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</si>
  <si>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</si>
  <si>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</si>
  <si>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</si>
  <si>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</si>
  <si>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</si>
  <si>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</si>
  <si>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</si>
  <si>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</si>
  <si>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</si>
  <si>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</si>
  <si>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</si>
  <si>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</si>
  <si>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</si>
  <si>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</si>
  <si>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</si>
  <si>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</si>
  <si>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</si>
  <si>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</si>
  <si>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</si>
  <si>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</si>
  <si>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</si>
  <si>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</si>
  <si>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</si>
  <si>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</si>
  <si>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</si>
  <si>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</si>
  <si>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</si>
  <si>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</si>
  <si>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</si>
  <si>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</si>
  <si>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</si>
  <si>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</si>
  <si>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</si>
  <si>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</si>
  <si>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</si>
  <si>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</si>
  <si>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</si>
  <si>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</si>
  <si>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</si>
  <si>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</si>
  <si>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</si>
  <si>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</si>
  <si>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</si>
  <si>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</si>
  <si>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</si>
  <si>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</si>
  <si>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</si>
  <si>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</si>
  <si>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</si>
  <si>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</si>
  <si>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</si>
  <si>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</si>
  <si>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</si>
  <si>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</si>
  <si>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</si>
  <si>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</si>
  <si>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</si>
  <si>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</si>
  <si>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</si>
  <si>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</si>
  <si>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</si>
  <si>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</si>
  <si>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</si>
  <si>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</si>
  <si>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</si>
  <si>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</si>
  <si>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</si>
  <si>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</si>
  <si>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</si>
  <si>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</si>
  <si>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</si>
  <si>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</si>
  <si>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</si>
  <si>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</si>
  <si>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</si>
  <si>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</si>
  <si>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</si>
  <si>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</si>
  <si>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</si>
  <si>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</si>
  <si>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</si>
  <si>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</si>
  <si>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</si>
  <si>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</si>
  <si>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</si>
  <si>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</si>
  <si>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</si>
  <si>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</si>
  <si>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</si>
  <si>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</si>
  <si>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</si>
  <si>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</si>
  <si>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</si>
  <si>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</si>
  <si>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</si>
  <si>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</si>
  <si>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</si>
  <si>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</si>
  <si>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</si>
  <si>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</si>
  <si>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</si>
  <si>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</si>
  <si>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</si>
  <si>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</si>
  <si>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</si>
  <si>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</si>
  <si>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</si>
  <si>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</si>
  <si>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</si>
  <si>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</si>
  <si>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</si>
  <si>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</si>
  <si>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</si>
  <si>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</si>
  <si>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</si>
  <si>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</si>
  <si>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</si>
  <si>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</si>
  <si>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</si>
  <si>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</si>
  <si>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</si>
  <si>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</si>
  <si>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</si>
  <si>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</si>
  <si>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</si>
  <si>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</si>
  <si>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</si>
  <si>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</si>
  <si>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</si>
  <si>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</si>
  <si>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</si>
  <si>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</si>
  <si>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</si>
  <si>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</si>
  <si>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</si>
  <si>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</si>
  <si>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</si>
  <si>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</si>
  <si>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</si>
  <si>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</si>
  <si>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</si>
  <si>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</si>
  <si>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</si>
  <si>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</si>
  <si>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</si>
  <si>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</si>
  <si>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</si>
  <si>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</si>
  <si>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</si>
  <si>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</si>
  <si>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</si>
  <si>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</si>
  <si>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</si>
  <si>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</si>
  <si>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</si>
  <si>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</si>
  <si>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</si>
  <si>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</si>
  <si>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</si>
  <si>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</si>
  <si>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</si>
  <si>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</si>
  <si>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</si>
  <si>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</si>
  <si>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</si>
  <si>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</si>
  <si>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</si>
  <si>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</si>
  <si>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</si>
  <si>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</si>
  <si>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</si>
  <si>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</si>
  <si>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</si>
  <si>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</si>
  <si>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</si>
  <si>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</si>
  <si>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</si>
  <si>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</si>
  <si>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</si>
  <si>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</si>
  <si>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</si>
  <si>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</si>
  <si>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</si>
  <si>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</si>
  <si>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</si>
  <si>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</si>
  <si>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</si>
  <si>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</si>
  <si>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</si>
  <si>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</si>
  <si>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</si>
  <si>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</si>
  <si>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</si>
  <si>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</si>
  <si>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</si>
  <si>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</si>
  <si>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</si>
  <si>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</si>
  <si>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</si>
  <si>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</si>
  <si>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</si>
  <si>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</si>
  <si>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</si>
  <si>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</si>
  <si>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</si>
  <si>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</si>
  <si>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</si>
  <si>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</si>
  <si>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</si>
  <si>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</si>
  <si>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</si>
  <si>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</si>
  <si>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</si>
  <si>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</si>
  <si>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</si>
  <si>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</si>
  <si>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</si>
  <si>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</si>
  <si>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</si>
  <si>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</si>
  <si>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</si>
  <si>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</si>
  <si>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</si>
  <si>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</si>
  <si>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</si>
  <si>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</si>
  <si>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</si>
  <si>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</si>
  <si>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</si>
  <si>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</si>
  <si>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</si>
  <si>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</si>
  <si>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</si>
  <si>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</si>
  <si>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</si>
  <si>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</si>
  <si>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</si>
  <si>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</si>
  <si>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</si>
  <si>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</si>
  <si>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</si>
  <si>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</si>
  <si>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</si>
  <si>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</si>
  <si>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</si>
  <si>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</si>
  <si>
    <t>Fecha de fin de la Situación contractual. Se emplea exclusivamente en el caso de fin de Situación contractual con fecha anterior al fin del periodo de referencia. Si es posterior, puede dejarse en blanco. 1/1/1900 = 0.</t>
  </si>
  <si>
    <t>X</t>
  </si>
  <si>
    <t>*Toda la información contenida en este ejemplo de uso es ficticia, para su desarrollo no se ha tenido en cuenta ningún convenio colectivo en particular. La referencia en la Hoja DATOS al convenio colectivo “Of.Desp.MAD” se realiza solamente a modo de ejemplo.</t>
  </si>
  <si>
    <t>ERTE</t>
  </si>
  <si>
    <t>IT</t>
  </si>
  <si>
    <t>S.Base</t>
  </si>
  <si>
    <t>Salario base conforme a Convenio</t>
  </si>
  <si>
    <t>Antig.</t>
  </si>
  <si>
    <t>Complemento por Antigüedad</t>
  </si>
  <si>
    <t>Complemento de Transporte</t>
  </si>
  <si>
    <t>Ventas</t>
  </si>
  <si>
    <t>Complemento por Comisiones sobre ventas</t>
  </si>
  <si>
    <t>Bonus</t>
  </si>
  <si>
    <t>Bonus por resultados de la empresa</t>
  </si>
  <si>
    <t>Coche</t>
  </si>
  <si>
    <t>Vehículo para uso privativo</t>
  </si>
  <si>
    <t>Cesta</t>
  </si>
  <si>
    <t>Cesta de Navidad</t>
  </si>
  <si>
    <t>Dietas</t>
  </si>
  <si>
    <t>Dietas por pernoctación y manutención por desempeño del trabajo</t>
  </si>
  <si>
    <t>Indem</t>
  </si>
  <si>
    <t>Indemnización por despido</t>
  </si>
  <si>
    <t>Complemento empresa prestación por desempleo en ERTE</t>
  </si>
  <si>
    <t>Complemento empresa por incapacidad temporal</t>
  </si>
  <si>
    <t>MejVol</t>
  </si>
  <si>
    <t>Mejora Voluntaria</t>
  </si>
  <si>
    <t>Sí</t>
  </si>
  <si>
    <t>No</t>
  </si>
  <si>
    <t>Empresa Ejemplo Ficticio 3</t>
  </si>
  <si>
    <t>B55512345</t>
  </si>
  <si>
    <t>Licenciatura</t>
  </si>
  <si>
    <t>1.Admin</t>
  </si>
  <si>
    <t>1.1.Direccion</t>
  </si>
  <si>
    <t>Director/a</t>
  </si>
  <si>
    <t>partido</t>
  </si>
  <si>
    <t>A</t>
  </si>
  <si>
    <t>Of.Desp.MAD</t>
  </si>
  <si>
    <t>I</t>
  </si>
  <si>
    <t>1.2.Finanzas</t>
  </si>
  <si>
    <t>2.Sistemas</t>
  </si>
  <si>
    <t>4.2.Logistica</t>
  </si>
  <si>
    <t>3.Comercial</t>
  </si>
  <si>
    <t>3.1.Venta</t>
  </si>
  <si>
    <t>1.3.Contabilidad</t>
  </si>
  <si>
    <t>2.1.SW</t>
  </si>
  <si>
    <t>2.2.HW</t>
  </si>
  <si>
    <t>4.1.Factoria</t>
  </si>
  <si>
    <t>3.2.Postventa</t>
  </si>
  <si>
    <t>1.4.RRHH</t>
  </si>
  <si>
    <t>Gerente</t>
  </si>
  <si>
    <t>B</t>
  </si>
  <si>
    <t>Analista</t>
  </si>
  <si>
    <t>D</t>
  </si>
  <si>
    <t>II</t>
  </si>
  <si>
    <t>Diplomatura</t>
  </si>
  <si>
    <t>Bachillerato/BUP</t>
  </si>
  <si>
    <t>Soporte</t>
  </si>
  <si>
    <t>III</t>
  </si>
  <si>
    <t>4.Operaciones</t>
  </si>
  <si>
    <t>continuo</t>
  </si>
  <si>
    <t>Operador/a</t>
  </si>
  <si>
    <t>IV</t>
  </si>
  <si>
    <t>Administrativo/a</t>
  </si>
  <si>
    <t>F</t>
  </si>
  <si>
    <t>Conserje</t>
  </si>
  <si>
    <t>G</t>
  </si>
  <si>
    <t>V</t>
  </si>
  <si>
    <t>Aux.Admvo.</t>
  </si>
  <si>
    <t>ERTE tiempo parcial</t>
  </si>
  <si>
    <t>Transporte</t>
  </si>
  <si>
    <t>Nocturnidad</t>
  </si>
  <si>
    <t>Realización de turnos nocturnos</t>
  </si>
  <si>
    <t>Recuerde: Cuando la media aritmética o la mediana de las retribuciones totales en la empresa de las personas trabajadoras de un sexo sea superior a las del otro en, al menos un 25%, se deberá incluir la justificación a la que se refiere el art. 28.3 del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</si>
</sst>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dd\-mm\-yy;@"/>
    <numFmt numFmtId="166" formatCode="[$-C0A]dddd\,\ d&quot; de &quot;mmmm&quot; de &quot;yyyy"/>
    <numFmt numFmtId="167" formatCode="_-* #,##0\ _€_-;\-* #,##0\ _€_-;_-* &quot;-&quot;??\ _€_-;_-@_-"/>
  </numFmts>
  <fonts count="71"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
      <sz val="11"/>
      <color rgb="FF7030A0"/>
      <name val="Calibri"/>
      <family val="2"/>
      <scheme val="minor"/>
    </font>
    <font>
      <sz val="8"/>
      <color theme="1"/>
      <name val="Calibri"/>
      <family val="2"/>
      <scheme val="minor"/>
    </font>
    <font>
      <sz val="8"/>
      <color rgb="FF000000"/>
      <name val="Calibri"/>
      <family val="2"/>
      <scheme val="minor"/>
    </font>
    <font>
      <sz val="11"/>
      <color rgb="FF0070C0"/>
      <name val="Calibri"/>
      <family val="2"/>
      <scheme val="minor"/>
    </font>
    <font>
      <b/>
      <u/>
      <sz val="16"/>
      <color theme="10"/>
      <name val="Calibri"/>
      <family val="2"/>
      <scheme val="minor"/>
    </font>
    <font>
      <b/>
      <sz val="9"/>
      <color indexed="81"/>
      <name val="Calibri"/>
      <family val="2"/>
      <scheme val="minor"/>
    </font>
    <font>
      <sz val="11"/>
      <color theme="0"/>
      <name val="Arial Narrow"/>
      <family val="2"/>
    </font>
  </fonts>
  <fills count="59">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
      <patternFill patternType="solid">
        <fgColor rgb="FFFF0000"/>
        <bgColor indexed="64"/>
      </patternFill>
    </fill>
    <fill>
      <patternFill patternType="solid">
        <fgColor theme="2"/>
        <bgColor indexed="64"/>
      </patternFill>
    </fill>
  </fills>
  <borders count="21">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
      <left style="thin">
        <color indexed="64"/>
      </left>
      <right/>
      <top/>
      <bottom/>
      <diagonal/>
    </border>
    <border>
      <left/>
      <right style="thin">
        <color indexed="64"/>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345">
    <xf numFmtId="0" fontId="0" fillId="0" borderId="0" xfId="0"/>
    <xf numFmtId="0" fontId="0" fillId="0" borderId="0" xfId="0" pivotButton="1"/>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4" borderId="0" xfId="0" applyFill="1"/>
    <xf numFmtId="0" fontId="0" fillId="3" borderId="0" xfId="0" applyFill="1"/>
    <xf numFmtId="0" fontId="0" fillId="23" borderId="3" xfId="0" applyFill="1" applyBorder="1" applyAlignment="1">
      <alignment horizontal="right"/>
    </xf>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Alignment="1">
      <alignment horizontal="left" vertical="top"/>
    </xf>
    <xf numFmtId="165" fontId="0" fillId="0" borderId="3" xfId="0" applyNumberFormat="1" applyBorder="1"/>
    <xf numFmtId="0" fontId="0" fillId="0" borderId="0" xfId="0" applyAlignment="1">
      <alignment vertical="center"/>
    </xf>
    <xf numFmtId="0" fontId="2" fillId="0" borderId="0" xfId="0" applyFont="1"/>
    <xf numFmtId="0" fontId="13" fillId="0" borderId="0" xfId="0" applyFont="1" applyAlignment="1">
      <alignment horizontal="left"/>
    </xf>
    <xf numFmtId="0" fontId="14"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Alignment="1">
      <alignment horizontal="left" wrapText="1"/>
    </xf>
    <xf numFmtId="0" fontId="5" fillId="33" borderId="0" xfId="0" applyFont="1" applyFill="1"/>
    <xf numFmtId="0" fontId="15" fillId="0" borderId="0" xfId="3" applyFont="1" applyAlignment="1">
      <alignment horizontal="left"/>
    </xf>
    <xf numFmtId="0" fontId="16" fillId="34" borderId="0" xfId="2" applyFont="1" applyFill="1" applyAlignment="1">
      <alignment horizontal="center" vertical="center" wrapText="1"/>
    </xf>
    <xf numFmtId="0" fontId="16" fillId="34" borderId="0" xfId="2" quotePrefix="1" applyFont="1" applyFill="1" applyAlignment="1">
      <alignment horizontal="center" vertical="center" wrapText="1"/>
    </xf>
    <xf numFmtId="0" fontId="6" fillId="0" borderId="0" xfId="0" applyFont="1" applyAlignment="1">
      <alignment horizontal="left"/>
    </xf>
    <xf numFmtId="0" fontId="7" fillId="0" borderId="0" xfId="0" applyFont="1"/>
    <xf numFmtId="0" fontId="23" fillId="0" borderId="0" xfId="0" applyFont="1"/>
    <xf numFmtId="0" fontId="25" fillId="0" borderId="0" xfId="0" applyFont="1" applyAlignment="1">
      <alignment vertical="top"/>
    </xf>
    <xf numFmtId="0" fontId="26" fillId="38" borderId="0" xfId="0" applyFont="1" applyFill="1" applyAlignment="1">
      <alignment horizontal="center" vertical="center" wrapText="1"/>
    </xf>
    <xf numFmtId="0" fontId="27" fillId="13" borderId="0" xfId="0" applyFont="1" applyFill="1" applyAlignment="1">
      <alignment horizontal="center" vertical="center" wrapText="1"/>
    </xf>
    <xf numFmtId="0" fontId="26" fillId="8" borderId="0" xfId="0" applyFont="1" applyFill="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right" vertical="center"/>
    </xf>
    <xf numFmtId="0" fontId="28" fillId="0" borderId="0" xfId="0" applyFont="1" applyAlignment="1">
      <alignment horizontal="center" vertical="center" wrapText="1"/>
    </xf>
    <xf numFmtId="0" fontId="28" fillId="0" borderId="0" xfId="0" applyFont="1"/>
    <xf numFmtId="0" fontId="29" fillId="0" borderId="0" xfId="0" applyFont="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vertical="center" wrapText="1"/>
    </xf>
    <xf numFmtId="0" fontId="26" fillId="0" borderId="11" xfId="0" applyFont="1" applyBorder="1" applyAlignment="1">
      <alignment horizontal="right" vertical="center"/>
    </xf>
    <xf numFmtId="0" fontId="26" fillId="0" borderId="11" xfId="0" applyFont="1" applyBorder="1" applyAlignment="1">
      <alignment horizontal="center" vertical="center" wrapText="1"/>
    </xf>
    <xf numFmtId="0" fontId="31" fillId="0" borderId="0" xfId="0" applyFont="1"/>
    <xf numFmtId="0" fontId="32" fillId="38" borderId="0" xfId="0" applyFont="1" applyFill="1" applyAlignment="1">
      <alignment horizontal="center" vertical="center" wrapText="1"/>
    </xf>
    <xf numFmtId="0" fontId="33" fillId="13" borderId="0" xfId="0" applyFont="1" applyFill="1"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center" vertical="center" wrapText="1"/>
    </xf>
    <xf numFmtId="0" fontId="34" fillId="0" borderId="0" xfId="0" applyFont="1"/>
    <xf numFmtId="0" fontId="35" fillId="0" borderId="0" xfId="0" applyFont="1" applyAlignment="1">
      <alignment horizontal="center" vertical="center" wrapText="1"/>
    </xf>
    <xf numFmtId="0" fontId="35" fillId="0" borderId="0" xfId="0" applyFont="1" applyAlignment="1">
      <alignment vertical="center" wrapText="1"/>
    </xf>
    <xf numFmtId="0" fontId="32" fillId="0" borderId="11" xfId="0" applyFont="1" applyBorder="1" applyAlignment="1">
      <alignment horizontal="right" vertical="center"/>
    </xf>
    <xf numFmtId="0" fontId="32" fillId="0" borderId="11" xfId="0" applyFont="1" applyBorder="1" applyAlignment="1">
      <alignment horizontal="center" vertical="center" wrapText="1"/>
    </xf>
    <xf numFmtId="0" fontId="36" fillId="0" borderId="0" xfId="0" applyFont="1"/>
    <xf numFmtId="0" fontId="37" fillId="38" borderId="0" xfId="0" applyFont="1" applyFill="1" applyAlignment="1">
      <alignment horizontal="center" vertical="center" wrapText="1"/>
    </xf>
    <xf numFmtId="0" fontId="37" fillId="8" borderId="0" xfId="0" applyFont="1" applyFill="1" applyAlignment="1">
      <alignment horizontal="center" vertical="center" wrapText="1"/>
    </xf>
    <xf numFmtId="0" fontId="36" fillId="0" borderId="0" xfId="0" applyFont="1" applyAlignment="1">
      <alignment horizontal="center" vertical="center"/>
    </xf>
    <xf numFmtId="0" fontId="36" fillId="0" borderId="0" xfId="0" applyFont="1" applyAlignment="1">
      <alignment horizontal="right" vertical="center"/>
    </xf>
    <xf numFmtId="0" fontId="36" fillId="0" borderId="0" xfId="0" applyFont="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9" fillId="0" borderId="0" xfId="0" applyFont="1" applyAlignment="1">
      <alignment vertical="center" wrapText="1"/>
    </xf>
    <xf numFmtId="0" fontId="37" fillId="0" borderId="11" xfId="0" applyFont="1" applyBorder="1" applyAlignment="1">
      <alignment horizontal="right" vertical="center"/>
    </xf>
    <xf numFmtId="0" fontId="37" fillId="0" borderId="11" xfId="0" applyFont="1" applyBorder="1" applyAlignment="1">
      <alignment horizontal="center" vertical="center" wrapText="1"/>
    </xf>
    <xf numFmtId="0" fontId="37" fillId="44" borderId="0" xfId="0" applyFont="1" applyFill="1" applyAlignment="1">
      <alignment horizontal="center" vertical="center" wrapText="1"/>
    </xf>
    <xf numFmtId="0" fontId="37" fillId="45" borderId="4" xfId="0" applyFont="1" applyFill="1" applyBorder="1" applyAlignment="1">
      <alignment horizontal="center" vertical="top" wrapText="1"/>
    </xf>
    <xf numFmtId="0" fontId="37" fillId="6" borderId="0" xfId="0" applyFont="1" applyFill="1" applyAlignment="1">
      <alignment horizontal="center" vertical="top" wrapText="1"/>
    </xf>
    <xf numFmtId="0" fontId="37" fillId="14" borderId="0" xfId="0" applyFont="1" applyFill="1" applyAlignment="1">
      <alignment horizontal="center" vertical="top" wrapText="1"/>
    </xf>
    <xf numFmtId="0" fontId="37" fillId="43" borderId="0" xfId="0" applyFont="1" applyFill="1" applyAlignment="1">
      <alignment horizontal="center" vertical="top" wrapText="1"/>
    </xf>
    <xf numFmtId="0" fontId="32" fillId="14" borderId="0" xfId="0" applyFont="1" applyFill="1" applyAlignment="1">
      <alignment horizontal="center" vertical="top" wrapText="1"/>
    </xf>
    <xf numFmtId="0" fontId="32" fillId="43" borderId="0" xfId="0" applyFont="1" applyFill="1" applyAlignment="1">
      <alignment horizontal="center" vertical="top" wrapText="1"/>
    </xf>
    <xf numFmtId="0" fontId="32" fillId="45" borderId="4" xfId="0" applyFont="1" applyFill="1" applyBorder="1" applyAlignment="1">
      <alignment horizontal="center" vertical="top" wrapText="1"/>
    </xf>
    <xf numFmtId="0" fontId="32" fillId="6" borderId="0" xfId="0" applyFont="1" applyFill="1" applyAlignment="1">
      <alignment horizontal="center" vertical="top" wrapText="1"/>
    </xf>
    <xf numFmtId="0" fontId="26" fillId="14" borderId="0" xfId="0" applyFont="1" applyFill="1" applyAlignment="1">
      <alignment horizontal="center" vertical="top" wrapText="1"/>
    </xf>
    <xf numFmtId="0" fontId="26" fillId="43" borderId="0" xfId="0" applyFont="1" applyFill="1" applyAlignment="1">
      <alignment horizontal="center" vertical="top" wrapText="1"/>
    </xf>
    <xf numFmtId="0" fontId="26" fillId="44" borderId="0" xfId="0" applyFont="1" applyFill="1" applyAlignment="1">
      <alignment horizontal="center" vertical="center" wrapText="1"/>
    </xf>
    <xf numFmtId="0" fontId="26" fillId="45" borderId="4" xfId="0" applyFont="1" applyFill="1" applyBorder="1" applyAlignment="1">
      <alignment horizontal="center" vertical="top" wrapText="1"/>
    </xf>
    <xf numFmtId="0" fontId="26" fillId="6" borderId="0" xfId="0" applyFont="1" applyFill="1" applyAlignment="1">
      <alignment horizontal="center" vertical="top" wrapText="1"/>
    </xf>
    <xf numFmtId="0" fontId="41" fillId="38" borderId="0" xfId="0" applyFont="1" applyFill="1" applyAlignment="1">
      <alignment horizontal="center" vertical="center" wrapText="1"/>
    </xf>
    <xf numFmtId="0" fontId="41" fillId="8" borderId="0" xfId="0" applyFont="1" applyFill="1" applyAlignment="1">
      <alignment horizontal="center" vertical="center" wrapText="1"/>
    </xf>
    <xf numFmtId="0" fontId="41" fillId="14" borderId="0" xfId="0" applyFont="1" applyFill="1" applyAlignment="1">
      <alignment horizontal="center" vertical="top" wrapText="1"/>
    </xf>
    <xf numFmtId="0" fontId="41" fillId="43" borderId="0" xfId="0" applyFont="1" applyFill="1" applyAlignment="1">
      <alignment horizontal="center" vertical="top" wrapText="1"/>
    </xf>
    <xf numFmtId="0" fontId="41" fillId="44" borderId="0" xfId="0" applyFont="1" applyFill="1" applyAlignment="1">
      <alignment horizontal="center" vertical="center" wrapText="1"/>
    </xf>
    <xf numFmtId="0" fontId="41" fillId="45" borderId="4" xfId="0" applyFont="1" applyFill="1" applyBorder="1" applyAlignment="1">
      <alignment horizontal="center" vertical="top" wrapText="1"/>
    </xf>
    <xf numFmtId="0" fontId="41" fillId="6" borderId="0" xfId="0" applyFont="1" applyFill="1" applyAlignment="1">
      <alignment horizontal="center" vertical="top" wrapText="1"/>
    </xf>
    <xf numFmtId="0" fontId="31" fillId="0" borderId="0" xfId="0" applyFont="1" applyAlignment="1">
      <alignment horizontal="center" vertical="center"/>
    </xf>
    <xf numFmtId="0" fontId="31" fillId="0" borderId="0" xfId="0" applyFont="1" applyAlignment="1">
      <alignment horizontal="right" vertical="center"/>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vertical="center" wrapText="1"/>
    </xf>
    <xf numFmtId="0" fontId="41" fillId="0" borderId="11" xfId="0" applyFont="1" applyBorder="1" applyAlignment="1">
      <alignment horizontal="right" vertical="center"/>
    </xf>
    <xf numFmtId="0" fontId="34" fillId="0" borderId="11" xfId="0" applyFont="1" applyBorder="1" applyAlignment="1">
      <alignment vertical="center"/>
    </xf>
    <xf numFmtId="3" fontId="34" fillId="39" borderId="0" xfId="0" applyNumberFormat="1" applyFont="1" applyFill="1" applyAlignment="1">
      <alignment horizontal="right" vertical="center"/>
    </xf>
    <xf numFmtId="3" fontId="35" fillId="35" borderId="0" xfId="0" applyNumberFormat="1" applyFont="1" applyFill="1" applyAlignment="1">
      <alignment horizontal="right" vertical="center"/>
    </xf>
    <xf numFmtId="3" fontId="34" fillId="36" borderId="0" xfId="0" applyNumberFormat="1" applyFont="1" applyFill="1" applyAlignment="1">
      <alignment horizontal="right" vertical="center"/>
    </xf>
    <xf numFmtId="3" fontId="34" fillId="41" borderId="0" xfId="0" applyNumberFormat="1" applyFont="1" applyFill="1" applyAlignment="1">
      <alignment horizontal="right" vertical="center" wrapText="1" indent="1"/>
    </xf>
    <xf numFmtId="3" fontId="32" fillId="40" borderId="0" xfId="0" applyNumberFormat="1" applyFont="1" applyFill="1" applyAlignment="1">
      <alignment horizontal="right" vertical="center"/>
    </xf>
    <xf numFmtId="3" fontId="34" fillId="12" borderId="0" xfId="0" applyNumberFormat="1" applyFont="1" applyFill="1" applyAlignment="1">
      <alignment horizontal="right" vertical="center"/>
    </xf>
    <xf numFmtId="3" fontId="32" fillId="5" borderId="0" xfId="0" applyNumberFormat="1" applyFont="1" applyFill="1" applyAlignment="1">
      <alignment horizontal="right" vertical="center"/>
    </xf>
    <xf numFmtId="0" fontId="36" fillId="0" borderId="11" xfId="0" applyFont="1" applyBorder="1" applyAlignment="1">
      <alignment vertical="center"/>
    </xf>
    <xf numFmtId="3" fontId="36" fillId="39" borderId="0" xfId="0" applyNumberFormat="1" applyFont="1" applyFill="1" applyAlignment="1">
      <alignment horizontal="right" vertical="center"/>
    </xf>
    <xf numFmtId="3" fontId="39" fillId="35" borderId="0" xfId="0" applyNumberFormat="1" applyFont="1" applyFill="1" applyAlignment="1">
      <alignment horizontal="right" vertical="center"/>
    </xf>
    <xf numFmtId="3" fontId="36" fillId="36" borderId="0" xfId="0" applyNumberFormat="1" applyFont="1" applyFill="1" applyAlignment="1">
      <alignment horizontal="right" vertical="center"/>
    </xf>
    <xf numFmtId="3" fontId="37" fillId="40" borderId="0" xfId="0" applyNumberFormat="1" applyFont="1" applyFill="1" applyAlignment="1">
      <alignment horizontal="right" vertical="center"/>
    </xf>
    <xf numFmtId="3" fontId="36" fillId="42" borderId="0" xfId="0" applyNumberFormat="1" applyFont="1" applyFill="1" applyAlignment="1">
      <alignment horizontal="right" vertical="center" wrapText="1"/>
    </xf>
    <xf numFmtId="3" fontId="36" fillId="12" borderId="0" xfId="0" applyNumberFormat="1" applyFont="1" applyFill="1" applyAlignment="1">
      <alignment horizontal="right" vertical="center"/>
    </xf>
    <xf numFmtId="3" fontId="37" fillId="5" borderId="0" xfId="0" applyNumberFormat="1" applyFont="1" applyFill="1" applyAlignment="1">
      <alignment horizontal="right" vertical="center"/>
    </xf>
    <xf numFmtId="3" fontId="36" fillId="41" borderId="0" xfId="0" applyNumberFormat="1" applyFont="1" applyFill="1" applyAlignment="1">
      <alignment horizontal="right" vertical="center" wrapText="1" indent="1"/>
    </xf>
    <xf numFmtId="3" fontId="39" fillId="35" borderId="0" xfId="0" quotePrefix="1" applyNumberFormat="1" applyFont="1" applyFill="1" applyAlignment="1">
      <alignment horizontal="right" vertical="center" wrapText="1"/>
    </xf>
    <xf numFmtId="0" fontId="28" fillId="0" borderId="11" xfId="0" applyFont="1" applyBorder="1" applyAlignment="1">
      <alignment vertical="center"/>
    </xf>
    <xf numFmtId="3" fontId="28" fillId="39" borderId="0" xfId="0" applyNumberFormat="1" applyFont="1" applyFill="1" applyAlignment="1">
      <alignment horizontal="right" vertical="center"/>
    </xf>
    <xf numFmtId="3" fontId="29" fillId="35" borderId="0" xfId="0" applyNumberFormat="1" applyFont="1" applyFill="1" applyAlignment="1">
      <alignment horizontal="right" vertical="center"/>
    </xf>
    <xf numFmtId="3" fontId="28" fillId="36" borderId="0" xfId="0" applyNumberFormat="1" applyFont="1" applyFill="1" applyAlignment="1">
      <alignment horizontal="right" vertical="center"/>
    </xf>
    <xf numFmtId="3" fontId="26" fillId="40" borderId="0" xfId="0" applyNumberFormat="1" applyFont="1" applyFill="1" applyAlignment="1">
      <alignment horizontal="right" vertical="center"/>
    </xf>
    <xf numFmtId="3" fontId="28" fillId="42" borderId="0" xfId="0" applyNumberFormat="1" applyFont="1" applyFill="1" applyAlignment="1">
      <alignment horizontal="right" vertical="center" wrapText="1"/>
    </xf>
    <xf numFmtId="3" fontId="28" fillId="12" borderId="0" xfId="0" applyNumberFormat="1" applyFont="1" applyFill="1" applyAlignment="1">
      <alignment horizontal="right" vertical="center"/>
    </xf>
    <xf numFmtId="3" fontId="26" fillId="5" borderId="0" xfId="0" applyNumberFormat="1" applyFont="1" applyFill="1" applyAlignment="1">
      <alignment horizontal="right" vertical="center"/>
    </xf>
    <xf numFmtId="3" fontId="28" fillId="41" borderId="0" xfId="0" applyNumberFormat="1" applyFont="1" applyFill="1" applyAlignment="1">
      <alignment horizontal="right" vertical="center" wrapText="1" indent="1"/>
    </xf>
    <xf numFmtId="0" fontId="36" fillId="0" borderId="0" xfId="0" applyFont="1" applyAlignment="1">
      <alignment vertical="top" wrapText="1"/>
    </xf>
    <xf numFmtId="9" fontId="26" fillId="39" borderId="11" xfId="0" applyNumberFormat="1" applyFont="1" applyFill="1" applyBorder="1" applyAlignment="1">
      <alignment vertical="center"/>
    </xf>
    <xf numFmtId="9" fontId="30" fillId="35" borderId="11" xfId="1" applyFont="1" applyFill="1" applyBorder="1" applyAlignment="1">
      <alignment horizontal="center"/>
    </xf>
    <xf numFmtId="9" fontId="30" fillId="35" borderId="11" xfId="0" applyNumberFormat="1" applyFont="1" applyFill="1" applyBorder="1"/>
    <xf numFmtId="9" fontId="30" fillId="35" borderId="11" xfId="0" applyNumberFormat="1" applyFont="1" applyFill="1" applyBorder="1" applyAlignment="1">
      <alignment horizontal="center" vertical="center" wrapText="1"/>
    </xf>
    <xf numFmtId="9" fontId="30" fillId="35" borderId="11" xfId="0" applyNumberFormat="1" applyFont="1" applyFill="1" applyBorder="1" applyAlignment="1">
      <alignment vertical="center" wrapText="1"/>
    </xf>
    <xf numFmtId="9" fontId="26" fillId="36" borderId="11" xfId="0" applyNumberFormat="1" applyFont="1" applyFill="1" applyBorder="1" applyAlignment="1">
      <alignment vertical="center"/>
    </xf>
    <xf numFmtId="9" fontId="30" fillId="42" borderId="11" xfId="0" applyNumberFormat="1" applyFont="1" applyFill="1" applyBorder="1" applyAlignment="1">
      <alignment vertical="center" wrapText="1"/>
    </xf>
    <xf numFmtId="9" fontId="26" fillId="12" borderId="11" xfId="0" applyNumberFormat="1" applyFont="1" applyFill="1" applyBorder="1"/>
    <xf numFmtId="9" fontId="27" fillId="5" borderId="11" xfId="0" applyNumberFormat="1" applyFont="1" applyFill="1" applyBorder="1" applyAlignment="1">
      <alignment vertical="center"/>
    </xf>
    <xf numFmtId="9" fontId="26" fillId="40" borderId="11" xfId="0" applyNumberFormat="1" applyFont="1" applyFill="1" applyBorder="1" applyAlignment="1">
      <alignment vertical="center"/>
    </xf>
    <xf numFmtId="9" fontId="37" fillId="39" borderId="11" xfId="0" applyNumberFormat="1" applyFont="1" applyFill="1" applyBorder="1" applyAlignment="1">
      <alignment vertical="center"/>
    </xf>
    <xf numFmtId="9" fontId="40" fillId="35" borderId="11" xfId="1" applyFont="1" applyFill="1" applyBorder="1" applyAlignment="1">
      <alignment horizontal="center"/>
    </xf>
    <xf numFmtId="9" fontId="40" fillId="35" borderId="11" xfId="0" applyNumberFormat="1" applyFont="1" applyFill="1" applyBorder="1"/>
    <xf numFmtId="9" fontId="40" fillId="35" borderId="11" xfId="0" applyNumberFormat="1" applyFont="1" applyFill="1" applyBorder="1" applyAlignment="1">
      <alignment horizontal="center" vertical="center" wrapText="1"/>
    </xf>
    <xf numFmtId="9" fontId="40" fillId="35" borderId="11" xfId="0" applyNumberFormat="1" applyFont="1" applyFill="1" applyBorder="1" applyAlignment="1">
      <alignment vertical="center" wrapText="1"/>
    </xf>
    <xf numFmtId="9" fontId="37" fillId="36" borderId="11" xfId="0" applyNumberFormat="1" applyFont="1" applyFill="1" applyBorder="1" applyAlignment="1">
      <alignment vertical="center"/>
    </xf>
    <xf numFmtId="9" fontId="40" fillId="42" borderId="11" xfId="0" applyNumberFormat="1" applyFont="1" applyFill="1" applyBorder="1" applyAlignment="1">
      <alignment vertical="center" wrapText="1"/>
    </xf>
    <xf numFmtId="9" fontId="37" fillId="12" borderId="11" xfId="0" applyNumberFormat="1" applyFont="1" applyFill="1" applyBorder="1"/>
    <xf numFmtId="9" fontId="38" fillId="5" borderId="11" xfId="0" applyNumberFormat="1" applyFont="1" applyFill="1" applyBorder="1" applyAlignment="1">
      <alignment vertical="center"/>
    </xf>
    <xf numFmtId="9" fontId="37" fillId="40" borderId="11" xfId="0" applyNumberFormat="1" applyFont="1" applyFill="1" applyBorder="1" applyAlignment="1">
      <alignment vertical="center"/>
    </xf>
    <xf numFmtId="9" fontId="32" fillId="39" borderId="11" xfId="0" applyNumberFormat="1" applyFont="1" applyFill="1" applyBorder="1" applyAlignment="1">
      <alignment vertical="center"/>
    </xf>
    <xf numFmtId="9" fontId="32" fillId="36" borderId="11" xfId="0" applyNumberFormat="1" applyFont="1" applyFill="1" applyBorder="1" applyAlignment="1">
      <alignment vertical="center"/>
    </xf>
    <xf numFmtId="9" fontId="32" fillId="12" borderId="11" xfId="0" applyNumberFormat="1" applyFont="1" applyFill="1" applyBorder="1"/>
    <xf numFmtId="9" fontId="33" fillId="5" borderId="11" xfId="0" applyNumberFormat="1" applyFont="1" applyFill="1" applyBorder="1" applyAlignment="1">
      <alignment vertical="center"/>
    </xf>
    <xf numFmtId="9" fontId="32" fillId="40" borderId="11" xfId="0" applyNumberFormat="1" applyFont="1" applyFill="1" applyBorder="1" applyAlignment="1">
      <alignment vertical="center"/>
    </xf>
    <xf numFmtId="0" fontId="38" fillId="13" borderId="0" xfId="0" applyFont="1" applyFill="1" applyAlignment="1">
      <alignment horizontal="center" vertical="center" wrapText="1"/>
    </xf>
    <xf numFmtId="0" fontId="42" fillId="13" borderId="0" xfId="0" applyFont="1" applyFill="1" applyAlignment="1">
      <alignment horizontal="center" vertical="center" wrapText="1"/>
    </xf>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12" borderId="0" xfId="0" applyFill="1" applyAlignment="1">
      <alignment vertical="center"/>
    </xf>
    <xf numFmtId="165" fontId="36" fillId="0" borderId="0" xfId="0" applyNumberFormat="1" applyFont="1"/>
    <xf numFmtId="165" fontId="0" fillId="0" borderId="0" xfId="0" applyNumberFormat="1"/>
    <xf numFmtId="0" fontId="37" fillId="0" borderId="0" xfId="0" applyFont="1"/>
    <xf numFmtId="0" fontId="45" fillId="0" borderId="0" xfId="0" applyFont="1" applyAlignment="1">
      <alignment horizontal="left"/>
    </xf>
    <xf numFmtId="0" fontId="46" fillId="0" borderId="0" xfId="0" applyFont="1"/>
    <xf numFmtId="165" fontId="34" fillId="0" borderId="0" xfId="0" applyNumberFormat="1" applyFont="1"/>
    <xf numFmtId="0" fontId="34" fillId="0" borderId="0" xfId="0" applyFont="1" applyAlignment="1">
      <alignment horizontal="left"/>
    </xf>
    <xf numFmtId="0" fontId="47" fillId="0" borderId="0" xfId="0" applyFont="1" applyAlignment="1">
      <alignment horizontal="left"/>
    </xf>
    <xf numFmtId="0" fontId="26" fillId="0" borderId="0" xfId="0" applyFont="1" applyAlignment="1">
      <alignment horizontal="left"/>
    </xf>
    <xf numFmtId="0" fontId="26" fillId="0" borderId="0" xfId="0" applyFont="1"/>
    <xf numFmtId="0" fontId="48" fillId="0" borderId="0" xfId="0" applyFont="1"/>
    <xf numFmtId="0" fontId="26" fillId="0" borderId="0" xfId="0" applyFont="1" applyAlignment="1">
      <alignment horizontal="left" vertical="top"/>
    </xf>
    <xf numFmtId="165" fontId="28" fillId="0" borderId="0" xfId="0" applyNumberFormat="1" applyFont="1"/>
    <xf numFmtId="0" fontId="28" fillId="0" borderId="0" xfId="0" applyFont="1" applyAlignment="1">
      <alignment horizontal="left"/>
    </xf>
    <xf numFmtId="0" fontId="37" fillId="0" borderId="0" xfId="0" applyFont="1" applyAlignment="1">
      <alignment horizontal="left"/>
    </xf>
    <xf numFmtId="0" fontId="49" fillId="0" borderId="0" xfId="0" applyFont="1"/>
    <xf numFmtId="0" fontId="37" fillId="0" borderId="0" xfId="0" applyFont="1" applyAlignment="1">
      <alignment horizontal="left" vertical="top"/>
    </xf>
    <xf numFmtId="0" fontId="36" fillId="0" borderId="0" xfId="0" applyFont="1" applyAlignment="1">
      <alignment horizontal="left"/>
    </xf>
    <xf numFmtId="0" fontId="41" fillId="0" borderId="0" xfId="0" applyFont="1" applyAlignment="1">
      <alignment horizontal="left"/>
    </xf>
    <xf numFmtId="0" fontId="41" fillId="0" borderId="0" xfId="0" applyFont="1"/>
    <xf numFmtId="0" fontId="50" fillId="0" borderId="0" xfId="0" applyFont="1"/>
    <xf numFmtId="0" fontId="41" fillId="0" borderId="0" xfId="0" applyFont="1" applyAlignment="1">
      <alignment horizontal="left" vertical="top"/>
    </xf>
    <xf numFmtId="165" fontId="31" fillId="0" borderId="0" xfId="0" applyNumberFormat="1" applyFont="1"/>
    <xf numFmtId="0" fontId="31" fillId="0" borderId="0" xfId="0" applyFont="1" applyAlignment="1">
      <alignment horizontal="left"/>
    </xf>
    <xf numFmtId="0" fontId="47" fillId="0" borderId="0" xfId="0" applyFont="1" applyAlignment="1">
      <alignment horizontal="left" vertical="top"/>
    </xf>
    <xf numFmtId="0" fontId="34" fillId="8" borderId="0" xfId="0" applyFont="1" applyFill="1" applyAlignment="1">
      <alignment horizontal="center" vertical="center" wrapText="1"/>
    </xf>
    <xf numFmtId="9" fontId="35" fillId="35" borderId="11" xfId="1" applyFont="1" applyFill="1" applyBorder="1" applyAlignment="1">
      <alignment horizontal="center"/>
    </xf>
    <xf numFmtId="9" fontId="35" fillId="35" borderId="11" xfId="0" applyNumberFormat="1" applyFont="1" applyFill="1" applyBorder="1"/>
    <xf numFmtId="9" fontId="35" fillId="35" borderId="11" xfId="0" applyNumberFormat="1" applyFont="1" applyFill="1" applyBorder="1" applyAlignment="1">
      <alignment horizontal="center" vertical="center" wrapText="1"/>
    </xf>
    <xf numFmtId="9" fontId="35" fillId="35" borderId="11" xfId="0" applyNumberFormat="1" applyFont="1" applyFill="1" applyBorder="1" applyAlignment="1">
      <alignment vertical="center" wrapText="1"/>
    </xf>
    <xf numFmtId="0" fontId="34" fillId="44" borderId="0" xfId="0" applyFont="1" applyFill="1" applyAlignment="1">
      <alignment horizontal="center" vertical="center" wrapText="1"/>
    </xf>
    <xf numFmtId="9" fontId="35" fillId="42" borderId="11" xfId="0" applyNumberFormat="1" applyFont="1" applyFill="1" applyBorder="1" applyAlignment="1">
      <alignment vertical="center" wrapText="1"/>
    </xf>
    <xf numFmtId="0" fontId="0" fillId="0" borderId="0" xfId="0" pivotButton="1" applyAlignment="1">
      <alignment wrapText="1"/>
    </xf>
    <xf numFmtId="0" fontId="54" fillId="4" borderId="0" xfId="0" applyFont="1" applyFill="1"/>
    <xf numFmtId="0" fontId="54" fillId="3" borderId="0" xfId="0" applyFont="1" applyFill="1"/>
    <xf numFmtId="0" fontId="8" fillId="0" borderId="17" xfId="4" applyBorder="1" applyAlignment="1">
      <alignment horizontal="center" vertical="center" wrapText="1"/>
    </xf>
    <xf numFmtId="0" fontId="55" fillId="48" borderId="16" xfId="0" applyFont="1" applyFill="1" applyBorder="1" applyAlignment="1">
      <alignment horizontal="center" vertical="center" wrapText="1"/>
    </xf>
    <xf numFmtId="0" fontId="55" fillId="48" borderId="17" xfId="0" applyFont="1" applyFill="1" applyBorder="1" applyAlignment="1">
      <alignment horizontal="center" vertical="center" wrapText="1"/>
    </xf>
    <xf numFmtId="0" fontId="55" fillId="26" borderId="15" xfId="0" applyFont="1" applyFill="1" applyBorder="1" applyAlignment="1">
      <alignment vertical="center" wrapText="1"/>
    </xf>
    <xf numFmtId="0" fontId="56" fillId="49" borderId="17" xfId="0" applyFont="1" applyFill="1" applyBorder="1" applyAlignment="1">
      <alignment horizontal="center" vertical="center" wrapText="1"/>
    </xf>
    <xf numFmtId="0" fontId="56" fillId="49" borderId="17" xfId="0" applyFont="1" applyFill="1" applyBorder="1" applyAlignment="1">
      <alignment vertical="center" wrapText="1"/>
    </xf>
    <xf numFmtId="0" fontId="14" fillId="49" borderId="17" xfId="0" applyFont="1" applyFill="1" applyBorder="1" applyAlignment="1">
      <alignment vertical="center" wrapText="1"/>
    </xf>
    <xf numFmtId="0" fontId="56" fillId="0" borderId="17" xfId="0" applyFont="1" applyBorder="1" applyAlignment="1">
      <alignment horizontal="center" vertical="center" wrapText="1"/>
    </xf>
    <xf numFmtId="0" fontId="56" fillId="0" borderId="17" xfId="0" applyFont="1" applyBorder="1" applyAlignment="1">
      <alignment vertical="center" wrapText="1"/>
    </xf>
    <xf numFmtId="0" fontId="14" fillId="0" borderId="17" xfId="0" applyFont="1" applyBorder="1" applyAlignment="1">
      <alignment vertical="center" wrapText="1"/>
    </xf>
    <xf numFmtId="0" fontId="55" fillId="27" borderId="15" xfId="0" applyFont="1" applyFill="1" applyBorder="1" applyAlignment="1">
      <alignment vertical="center" wrapText="1"/>
    </xf>
    <xf numFmtId="0" fontId="14" fillId="49" borderId="17" xfId="0" applyFont="1" applyFill="1" applyBorder="1" applyAlignment="1">
      <alignment horizontal="center" vertical="center" wrapText="1"/>
    </xf>
    <xf numFmtId="0" fontId="55" fillId="28" borderId="15" xfId="0" applyFont="1" applyFill="1" applyBorder="1" applyAlignment="1">
      <alignment vertical="center" wrapText="1"/>
    </xf>
    <xf numFmtId="0" fontId="55" fillId="29" borderId="15" xfId="0" applyFont="1" applyFill="1" applyBorder="1" applyAlignment="1">
      <alignment vertical="center" wrapText="1"/>
    </xf>
    <xf numFmtId="0" fontId="56" fillId="49" borderId="18" xfId="0" applyFont="1" applyFill="1" applyBorder="1" applyAlignment="1">
      <alignment horizontal="center" vertical="center" wrapText="1"/>
    </xf>
    <xf numFmtId="0" fontId="55" fillId="31" borderId="15" xfId="0" applyFont="1" applyFill="1" applyBorder="1" applyAlignment="1">
      <alignment vertical="center" wrapText="1"/>
    </xf>
    <xf numFmtId="0" fontId="59" fillId="31" borderId="15" xfId="0" applyFont="1" applyFill="1" applyBorder="1" applyAlignment="1">
      <alignment vertical="center" wrapText="1"/>
    </xf>
    <xf numFmtId="0" fontId="55" fillId="20" borderId="15" xfId="0" applyFont="1" applyFill="1" applyBorder="1" applyAlignment="1">
      <alignment vertical="center" wrapText="1"/>
    </xf>
    <xf numFmtId="0" fontId="60" fillId="0" borderId="17" xfId="4" applyFont="1" applyBorder="1" applyAlignment="1">
      <alignment horizontal="center" vertical="center" wrapText="1"/>
    </xf>
    <xf numFmtId="0" fontId="55" fillId="50" borderId="15" xfId="0" applyFont="1" applyFill="1" applyBorder="1" applyAlignment="1">
      <alignment vertical="center" wrapText="1"/>
    </xf>
    <xf numFmtId="0" fontId="55" fillId="51" borderId="15" xfId="0" applyFont="1" applyFill="1" applyBorder="1" applyAlignment="1">
      <alignment vertical="center" wrapText="1"/>
    </xf>
    <xf numFmtId="0" fontId="58" fillId="49" borderId="17" xfId="0" applyFont="1" applyFill="1" applyBorder="1" applyAlignment="1">
      <alignment horizontal="center" vertical="center" wrapText="1"/>
    </xf>
    <xf numFmtId="0" fontId="55" fillId="52" borderId="15" xfId="0" applyFont="1" applyFill="1" applyBorder="1" applyAlignment="1">
      <alignment vertical="center" wrapText="1"/>
    </xf>
    <xf numFmtId="0" fontId="55" fillId="16" borderId="15" xfId="0" applyFont="1" applyFill="1" applyBorder="1" applyAlignment="1">
      <alignment vertical="center"/>
    </xf>
    <xf numFmtId="0" fontId="14" fillId="0" borderId="17" xfId="0" applyFont="1" applyBorder="1" applyAlignment="1">
      <alignment horizontal="center" vertical="center" wrapText="1"/>
    </xf>
    <xf numFmtId="0" fontId="55" fillId="25" borderId="15" xfId="0" applyFont="1" applyFill="1" applyBorder="1" applyAlignment="1">
      <alignment vertical="center"/>
    </xf>
    <xf numFmtId="0" fontId="61" fillId="46" borderId="15" xfId="0" applyFont="1" applyFill="1" applyBorder="1" applyAlignment="1">
      <alignment vertical="center" wrapText="1"/>
    </xf>
    <xf numFmtId="0" fontId="56" fillId="53" borderId="17" xfId="0" applyFont="1" applyFill="1" applyBorder="1" applyAlignment="1">
      <alignment horizontal="center" vertical="center" wrapText="1"/>
    </xf>
    <xf numFmtId="0" fontId="56" fillId="53" borderId="17" xfId="0" applyFont="1" applyFill="1" applyBorder="1" applyAlignment="1">
      <alignment vertical="center" wrapText="1"/>
    </xf>
    <xf numFmtId="0" fontId="14" fillId="53" borderId="17" xfId="0" applyFont="1" applyFill="1" applyBorder="1" applyAlignment="1">
      <alignment vertical="center" wrapText="1"/>
    </xf>
    <xf numFmtId="0" fontId="55" fillId="54" borderId="15" xfId="0" applyFont="1" applyFill="1" applyBorder="1" applyAlignment="1">
      <alignment vertical="center" wrapText="1"/>
    </xf>
    <xf numFmtId="0" fontId="55" fillId="55" borderId="15" xfId="0" applyFont="1" applyFill="1" applyBorder="1" applyAlignment="1">
      <alignment vertical="center" wrapText="1"/>
    </xf>
    <xf numFmtId="0" fontId="55" fillId="56" borderId="15" xfId="0" applyFont="1" applyFill="1" applyBorder="1" applyAlignment="1">
      <alignment vertical="center" wrapText="1"/>
    </xf>
    <xf numFmtId="0" fontId="55" fillId="11" borderId="15" xfId="0" applyFont="1" applyFill="1" applyBorder="1" applyAlignment="1">
      <alignment vertical="center" wrapText="1"/>
    </xf>
    <xf numFmtId="0" fontId="59" fillId="50" borderId="15" xfId="0" applyFont="1" applyFill="1" applyBorder="1" applyAlignment="1">
      <alignment vertical="center" wrapText="1"/>
    </xf>
    <xf numFmtId="0" fontId="62" fillId="49" borderId="17" xfId="0" applyFont="1" applyFill="1" applyBorder="1" applyAlignment="1">
      <alignment horizontal="center" vertical="center" wrapText="1"/>
    </xf>
    <xf numFmtId="0" fontId="62" fillId="49" borderId="17" xfId="0" applyFont="1" applyFill="1" applyBorder="1" applyAlignment="1">
      <alignment vertical="center" wrapText="1"/>
    </xf>
    <xf numFmtId="0" fontId="59" fillId="54" borderId="15" xfId="0" applyFont="1" applyFill="1" applyBorder="1" applyAlignment="1">
      <alignment vertical="center" wrapText="1"/>
    </xf>
    <xf numFmtId="0" fontId="62" fillId="53" borderId="17" xfId="0" applyFont="1" applyFill="1" applyBorder="1" applyAlignment="1">
      <alignment horizontal="center" vertical="center" wrapText="1"/>
    </xf>
    <xf numFmtId="0" fontId="62" fillId="53" borderId="17" xfId="0" applyFont="1" applyFill="1" applyBorder="1" applyAlignment="1">
      <alignment vertical="center" wrapText="1"/>
    </xf>
    <xf numFmtId="0" fontId="59" fillId="55" borderId="15" xfId="0" applyFont="1" applyFill="1" applyBorder="1" applyAlignment="1">
      <alignment vertical="center" wrapText="1"/>
    </xf>
    <xf numFmtId="0" fontId="59" fillId="56" borderId="15" xfId="0" applyFont="1" applyFill="1" applyBorder="1" applyAlignment="1">
      <alignment vertical="center" wrapText="1"/>
    </xf>
    <xf numFmtId="0" fontId="59" fillId="11" borderId="15" xfId="0" applyFont="1" applyFill="1" applyBorder="1" applyAlignment="1">
      <alignment vertical="center" wrapText="1"/>
    </xf>
    <xf numFmtId="0" fontId="8" fillId="49" borderId="17" xfId="4" applyFill="1" applyBorder="1" applyAlignment="1">
      <alignment horizontal="center" vertical="center" wrapText="1"/>
    </xf>
    <xf numFmtId="0" fontId="55" fillId="30" borderId="14" xfId="0" applyFont="1" applyFill="1" applyBorder="1" applyAlignment="1">
      <alignment vertical="center" wrapText="1"/>
    </xf>
    <xf numFmtId="0" fontId="56" fillId="0" borderId="14" xfId="0" applyFont="1" applyBorder="1" applyAlignment="1">
      <alignment horizontal="center" vertical="center" wrapText="1"/>
    </xf>
    <xf numFmtId="0" fontId="56" fillId="0" borderId="14" xfId="0" applyFont="1" applyBorder="1" applyAlignment="1">
      <alignment vertical="center" wrapText="1"/>
    </xf>
    <xf numFmtId="0" fontId="56" fillId="49" borderId="14" xfId="0" applyFont="1" applyFill="1" applyBorder="1" applyAlignment="1">
      <alignment horizontal="center" vertical="center" wrapText="1"/>
    </xf>
    <xf numFmtId="0" fontId="56" fillId="49" borderId="14" xfId="0" applyFont="1" applyFill="1" applyBorder="1" applyAlignment="1">
      <alignment vertical="center" wrapText="1"/>
    </xf>
    <xf numFmtId="0" fontId="63" fillId="0" borderId="0" xfId="0" applyFont="1" applyAlignment="1">
      <alignment vertical="center"/>
    </xf>
    <xf numFmtId="0" fontId="0" fillId="0" borderId="0" xfId="0" applyAlignment="1">
      <alignment horizontal="left" vertical="center" wrapText="1"/>
    </xf>
    <xf numFmtId="0" fontId="1" fillId="0" borderId="0" xfId="0" applyFont="1"/>
    <xf numFmtId="0" fontId="0" fillId="0" borderId="0" xfId="0" applyAlignment="1">
      <alignment horizontal="center"/>
    </xf>
    <xf numFmtId="0" fontId="0" fillId="0" borderId="0" xfId="0" applyAlignment="1">
      <alignment wrapText="1"/>
    </xf>
    <xf numFmtId="0" fontId="0" fillId="23" borderId="3" xfId="0" applyFill="1" applyBorder="1" applyAlignment="1">
      <alignment horizontal="right" wrapText="1"/>
    </xf>
    <xf numFmtId="165" fontId="0" fillId="23" borderId="3" xfId="0" applyNumberFormat="1" applyFill="1" applyBorder="1" applyAlignment="1">
      <alignment wrapText="1"/>
    </xf>
    <xf numFmtId="166" fontId="0" fillId="0" borderId="0" xfId="6" applyNumberFormat="1" applyFont="1" applyAlignment="1" applyProtection="1">
      <alignment horizontal="left" wrapText="1"/>
    </xf>
    <xf numFmtId="0" fontId="4" fillId="0" borderId="0" xfId="0" applyFont="1" applyAlignment="1">
      <alignment horizontal="center" wrapText="1"/>
    </xf>
    <xf numFmtId="0" fontId="10" fillId="12" borderId="3" xfId="0" applyFont="1" applyFill="1" applyBorder="1" applyAlignment="1">
      <alignment horizontal="center" vertical="center" wrapText="1"/>
    </xf>
    <xf numFmtId="0" fontId="0" fillId="0" borderId="3" xfId="0"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wrapText="1"/>
    </xf>
    <xf numFmtId="0" fontId="0" fillId="0" borderId="0" xfId="0" applyAlignment="1">
      <alignment horizontal="center" wrapText="1"/>
    </xf>
    <xf numFmtId="165" fontId="0" fillId="23" borderId="3" xfId="0" applyNumberFormat="1" applyFill="1" applyBorder="1"/>
    <xf numFmtId="0" fontId="4" fillId="0" borderId="0" xfId="0" applyFont="1" applyAlignment="1">
      <alignment horizontal="center"/>
    </xf>
    <xf numFmtId="0" fontId="10" fillId="16" borderId="3" xfId="0" applyFont="1" applyFill="1" applyBorder="1" applyAlignment="1">
      <alignment horizontal="center" vertical="center"/>
    </xf>
    <xf numFmtId="0" fontId="0" fillId="0" borderId="0" xfId="0" applyAlignment="1">
      <alignment horizontal="right" vertical="top"/>
    </xf>
    <xf numFmtId="167" fontId="0" fillId="0" borderId="0" xfId="6" applyNumberFormat="1" applyFont="1" applyAlignment="1" applyProtection="1">
      <alignment horizontal="center" vertical="top"/>
    </xf>
    <xf numFmtId="0" fontId="10" fillId="25" borderId="3" xfId="0" applyFont="1" applyFill="1" applyBorder="1" applyAlignment="1">
      <alignment horizontal="center" vertical="center"/>
    </xf>
    <xf numFmtId="0" fontId="10" fillId="0" borderId="0" xfId="0" applyFont="1" applyAlignment="1">
      <alignment horizontal="center"/>
    </xf>
    <xf numFmtId="0" fontId="10" fillId="47" borderId="13" xfId="0" applyFont="1" applyFill="1" applyBorder="1" applyAlignment="1">
      <alignment vertical="center"/>
    </xf>
    <xf numFmtId="0" fontId="3" fillId="0" borderId="3" xfId="0" applyFont="1" applyBorder="1" applyAlignment="1">
      <alignment horizontal="center" vertical="center" wrapText="1"/>
    </xf>
    <xf numFmtId="0" fontId="3" fillId="0" borderId="0" xfId="0" applyFont="1" applyAlignment="1">
      <alignment horizontal="center"/>
    </xf>
    <xf numFmtId="0" fontId="4" fillId="0" borderId="0" xfId="0" applyFont="1"/>
    <xf numFmtId="0" fontId="4" fillId="0" borderId="0" xfId="0" applyFont="1" applyAlignment="1">
      <alignment vertical="top" wrapText="1"/>
    </xf>
    <xf numFmtId="0" fontId="4" fillId="8" borderId="0" xfId="0" applyFont="1" applyFill="1" applyAlignment="1">
      <alignment vertical="top" wrapText="1"/>
    </xf>
    <xf numFmtId="0" fontId="10" fillId="27" borderId="0" xfId="0" applyFont="1" applyFill="1" applyAlignment="1">
      <alignment vertical="top" wrapText="1"/>
    </xf>
    <xf numFmtId="0" fontId="4" fillId="9" borderId="0" xfId="0" applyFont="1" applyFill="1" applyAlignment="1">
      <alignment vertical="top" wrapText="1"/>
    </xf>
    <xf numFmtId="0" fontId="4" fillId="4" borderId="0" xfId="0" applyFont="1" applyFill="1" applyAlignment="1">
      <alignment vertical="top" wrapText="1"/>
    </xf>
    <xf numFmtId="0" fontId="10" fillId="2" borderId="0" xfId="0" applyFont="1" applyFill="1" applyAlignment="1">
      <alignment vertical="top" wrapText="1"/>
    </xf>
    <xf numFmtId="0" fontId="4" fillId="3" borderId="0" xfId="0" applyFont="1" applyFill="1" applyAlignment="1">
      <alignment vertical="top" wrapText="1"/>
    </xf>
    <xf numFmtId="0" fontId="17" fillId="3" borderId="0" xfId="0" applyFont="1" applyFill="1" applyAlignment="1">
      <alignment vertical="top" wrapText="1"/>
    </xf>
    <xf numFmtId="0" fontId="4" fillId="20" borderId="0" xfId="0" applyFont="1" applyFill="1" applyAlignment="1">
      <alignment vertical="top" wrapText="1"/>
    </xf>
    <xf numFmtId="0" fontId="4" fillId="13" borderId="0" xfId="0" applyFont="1" applyFill="1" applyAlignment="1">
      <alignment vertical="top" wrapText="1"/>
    </xf>
    <xf numFmtId="0" fontId="4" fillId="37" borderId="0" xfId="0" applyFont="1" applyFill="1" applyAlignment="1">
      <alignment vertical="top" wrapText="1"/>
    </xf>
    <xf numFmtId="0" fontId="4" fillId="37" borderId="12" xfId="0" applyFont="1" applyFill="1" applyBorder="1" applyAlignment="1">
      <alignment vertical="top" wrapText="1"/>
    </xf>
    <xf numFmtId="0" fontId="4" fillId="15" borderId="0" xfId="0" applyFont="1" applyFill="1" applyAlignment="1">
      <alignment vertical="top" wrapText="1"/>
    </xf>
    <xf numFmtId="0" fontId="10" fillId="16" borderId="3" xfId="0" applyFont="1" applyFill="1" applyBorder="1" applyAlignment="1">
      <alignment horizontal="center" vertical="top"/>
    </xf>
    <xf numFmtId="0" fontId="10" fillId="25" borderId="3" xfId="0" applyFont="1" applyFill="1" applyBorder="1" applyAlignment="1">
      <alignment horizontal="center" vertical="top"/>
    </xf>
    <xf numFmtId="0" fontId="24" fillId="46" borderId="0" xfId="0" applyFont="1" applyFill="1" applyAlignment="1">
      <alignment horizontal="center" vertical="top" wrapText="1"/>
    </xf>
    <xf numFmtId="0" fontId="53" fillId="46" borderId="0" xfId="0" applyFont="1" applyFill="1" applyAlignment="1">
      <alignment horizontal="center" vertical="top" wrapText="1"/>
    </xf>
    <xf numFmtId="0" fontId="18" fillId="13" borderId="0" xfId="0" applyFont="1" applyFill="1" applyAlignment="1">
      <alignment vertical="top" wrapText="1"/>
    </xf>
    <xf numFmtId="0" fontId="4" fillId="14" borderId="0" xfId="0" applyFont="1" applyFill="1" applyAlignment="1">
      <alignment horizontal="center" vertical="top" wrapText="1"/>
    </xf>
    <xf numFmtId="0" fontId="4" fillId="7" borderId="0" xfId="0" applyFont="1" applyFill="1" applyAlignment="1">
      <alignment horizontal="center" vertical="top" wrapText="1"/>
    </xf>
    <xf numFmtId="0" fontId="4" fillId="10" borderId="0" xfId="0" applyFont="1" applyFill="1" applyAlignment="1">
      <alignment horizontal="center" vertical="top" wrapText="1"/>
    </xf>
    <xf numFmtId="0" fontId="4" fillId="11" borderId="10" xfId="0" applyFont="1" applyFill="1" applyBorder="1" applyAlignment="1">
      <alignment horizontal="center" vertical="top" wrapText="1"/>
    </xf>
    <xf numFmtId="0" fontId="22" fillId="13" borderId="1" xfId="0" applyFont="1" applyFill="1" applyBorder="1" applyAlignment="1">
      <alignment vertical="top" wrapText="1"/>
    </xf>
    <xf numFmtId="0" fontId="17" fillId="14" borderId="0" xfId="0" applyFont="1" applyFill="1" applyAlignment="1">
      <alignment horizontal="center" vertical="top" wrapText="1"/>
    </xf>
    <xf numFmtId="0" fontId="17" fillId="7" borderId="0" xfId="0" applyFont="1" applyFill="1" applyAlignment="1">
      <alignment horizontal="center" vertical="top" wrapText="1"/>
    </xf>
    <xf numFmtId="0" fontId="17" fillId="10" borderId="0" xfId="0" applyFont="1" applyFill="1" applyAlignment="1">
      <alignment horizontal="center" vertical="top" wrapText="1"/>
    </xf>
    <xf numFmtId="0" fontId="17" fillId="11" borderId="10" xfId="0" applyFont="1" applyFill="1" applyBorder="1" applyAlignment="1">
      <alignment horizontal="center" vertical="top" wrapText="1"/>
    </xf>
    <xf numFmtId="0" fontId="4" fillId="19" borderId="0" xfId="0" applyFont="1" applyFill="1" applyAlignment="1">
      <alignment horizontal="center" vertical="center" wrapText="1"/>
    </xf>
    <xf numFmtId="0" fontId="0" fillId="0" borderId="0" xfId="0" applyAlignment="1">
      <alignment vertical="top" wrapText="1"/>
    </xf>
    <xf numFmtId="165" fontId="0" fillId="18" borderId="0" xfId="0" applyNumberFormat="1" applyFill="1"/>
    <xf numFmtId="9" fontId="0" fillId="18" borderId="0" xfId="1" applyFont="1" applyFill="1" applyAlignment="1" applyProtection="1">
      <alignment horizontal="center"/>
    </xf>
    <xf numFmtId="0" fontId="1" fillId="0" borderId="0" xfId="0" applyFont="1" applyProtection="1">
      <protection locked="0"/>
    </xf>
    <xf numFmtId="0" fontId="0" fillId="0" borderId="0" xfId="0" applyAlignment="1" applyProtection="1">
      <alignment horizontal="center"/>
      <protection locked="0"/>
    </xf>
    <xf numFmtId="165" fontId="19" fillId="0" borderId="0" xfId="0" applyNumberFormat="1" applyFont="1" applyProtection="1">
      <protection locked="0"/>
    </xf>
    <xf numFmtId="0" fontId="19" fillId="0" borderId="0" xfId="0" applyFont="1" applyProtection="1">
      <protection locked="0"/>
    </xf>
    <xf numFmtId="165" fontId="0" fillId="0" borderId="0" xfId="0" applyNumberFormat="1" applyProtection="1">
      <protection locked="0"/>
    </xf>
    <xf numFmtId="165" fontId="52" fillId="0" borderId="0" xfId="0" applyNumberFormat="1" applyFont="1" applyProtection="1">
      <protection locked="0"/>
    </xf>
    <xf numFmtId="9" fontId="0" fillId="0" borderId="0" xfId="1" applyFont="1" applyProtection="1">
      <protection locked="0"/>
    </xf>
    <xf numFmtId="9" fontId="20" fillId="0" borderId="0" xfId="1" applyFont="1" applyProtection="1">
      <protection locked="0"/>
    </xf>
    <xf numFmtId="3" fontId="0" fillId="0" borderId="0" xfId="0" applyNumberFormat="1" applyProtection="1">
      <protection locked="0"/>
    </xf>
    <xf numFmtId="3" fontId="0" fillId="0" borderId="12" xfId="0" applyNumberFormat="1" applyBorder="1" applyProtection="1">
      <protection locked="0"/>
    </xf>
    <xf numFmtId="3" fontId="0" fillId="18" borderId="0" xfId="0" applyNumberFormat="1" applyFill="1" applyAlignment="1" applyProtection="1">
      <alignment horizontal="center"/>
      <protection locked="0"/>
    </xf>
    <xf numFmtId="3" fontId="0" fillId="18" borderId="0" xfId="0" applyNumberFormat="1" applyFill="1" applyProtection="1">
      <protection locked="0"/>
    </xf>
    <xf numFmtId="0" fontId="36" fillId="0" borderId="0" xfId="0" applyFont="1" applyProtection="1">
      <protection locked="0"/>
    </xf>
    <xf numFmtId="0" fontId="63" fillId="0" borderId="0" xfId="0" applyFont="1" applyAlignment="1" applyProtection="1">
      <alignment vertical="center"/>
      <protection locked="0"/>
    </xf>
    <xf numFmtId="0" fontId="36" fillId="0" borderId="0" xfId="0" applyFont="1" applyAlignment="1" applyProtection="1">
      <alignment vertical="top" wrapText="1"/>
      <protection locked="0"/>
    </xf>
    <xf numFmtId="0" fontId="34" fillId="0" borderId="0" xfId="0" applyFont="1" applyAlignment="1" applyProtection="1">
      <alignment horizontal="center" vertical="center"/>
      <protection locked="0"/>
    </xf>
    <xf numFmtId="0" fontId="34" fillId="0" borderId="0" xfId="0" applyFont="1" applyProtection="1">
      <protection locked="0"/>
    </xf>
    <xf numFmtId="9" fontId="35" fillId="35" borderId="11" xfId="1" applyFont="1" applyFill="1" applyBorder="1" applyAlignment="1" applyProtection="1">
      <alignment horizontal="center"/>
    </xf>
    <xf numFmtId="0" fontId="0" fillId="16" borderId="0" xfId="0" applyFill="1" applyAlignment="1" applyProtection="1">
      <alignment vertical="center" wrapText="1"/>
      <protection locked="0"/>
    </xf>
    <xf numFmtId="0" fontId="0" fillId="57" borderId="0" xfId="0" applyFill="1" applyAlignment="1" applyProtection="1">
      <alignment vertical="center" wrapText="1"/>
      <protection locked="0"/>
    </xf>
    <xf numFmtId="0" fontId="64" fillId="0" borderId="0" xfId="0" applyFont="1" applyAlignment="1" applyProtection="1">
      <alignment horizontal="center"/>
      <protection locked="0"/>
    </xf>
    <xf numFmtId="0" fontId="23" fillId="0" borderId="0" xfId="0" applyFont="1" applyAlignment="1" applyProtection="1">
      <alignment horizontal="center"/>
      <protection locked="0"/>
    </xf>
    <xf numFmtId="0" fontId="64" fillId="0" borderId="3" xfId="0" applyFont="1" applyBorder="1" applyAlignment="1">
      <alignment horizontal="center" vertical="center"/>
    </xf>
    <xf numFmtId="0" fontId="23" fillId="0" borderId="3" xfId="0" applyFont="1" applyBorder="1" applyAlignment="1">
      <alignment horizontal="center" vertical="center"/>
    </xf>
    <xf numFmtId="0" fontId="65" fillId="49" borderId="17" xfId="0" applyFont="1" applyFill="1" applyBorder="1" applyAlignment="1">
      <alignment horizontal="center" vertical="center" wrapText="1"/>
    </xf>
    <xf numFmtId="0" fontId="66" fillId="49" borderId="17" xfId="0" applyFont="1" applyFill="1" applyBorder="1" applyAlignment="1">
      <alignment horizontal="center" vertical="center" wrapText="1"/>
    </xf>
    <xf numFmtId="0" fontId="1" fillId="0" borderId="0" xfId="0" applyFont="1" applyAlignment="1">
      <alignment horizontal="justify" vertical="center"/>
    </xf>
    <xf numFmtId="0" fontId="67" fillId="0" borderId="0" xfId="0" applyFont="1" applyAlignment="1">
      <alignment wrapText="1"/>
    </xf>
    <xf numFmtId="0" fontId="64" fillId="0" borderId="0" xfId="0" applyFont="1" applyAlignment="1" applyProtection="1">
      <alignment horizontal="center" vertical="center"/>
      <protection locked="0"/>
    </xf>
    <xf numFmtId="9" fontId="0" fillId="0" borderId="0" xfId="1" applyFont="1" applyAlignment="1" applyProtection="1">
      <alignment horizontal="center"/>
    </xf>
    <xf numFmtId="3" fontId="0" fillId="58" borderId="0" xfId="0" applyNumberFormat="1" applyFill="1"/>
    <xf numFmtId="3" fontId="1" fillId="58" borderId="0" xfId="0" applyNumberFormat="1" applyFont="1" applyFill="1"/>
    <xf numFmtId="3" fontId="0" fillId="58" borderId="0" xfId="0" applyNumberFormat="1" applyFill="1" applyProtection="1">
      <protection locked="0"/>
    </xf>
    <xf numFmtId="165" fontId="51" fillId="0" borderId="0" xfId="0" applyNumberFormat="1" applyFont="1" applyProtection="1">
      <protection locked="0"/>
    </xf>
    <xf numFmtId="3" fontId="1" fillId="58" borderId="19" xfId="0" applyNumberFormat="1" applyFont="1" applyFill="1" applyBorder="1"/>
    <xf numFmtId="0" fontId="25" fillId="0" borderId="0" xfId="0" applyFont="1"/>
    <xf numFmtId="0" fontId="68" fillId="0" borderId="0" xfId="4" applyFont="1"/>
    <xf numFmtId="3" fontId="1" fillId="58" borderId="20" xfId="0" applyNumberFormat="1" applyFont="1" applyFill="1" applyBorder="1"/>
    <xf numFmtId="9" fontId="4" fillId="0" borderId="0" xfId="0" applyNumberFormat="1" applyFont="1"/>
    <xf numFmtId="0" fontId="70" fillId="0" borderId="0" xfId="0" applyFont="1" applyProtection="1">
      <protection locked="0"/>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67" fillId="0" borderId="0" xfId="0" applyFont="1" applyAlignment="1">
      <alignment horizontal="center" wrapText="1"/>
    </xf>
    <xf numFmtId="0" fontId="55" fillId="48" borderId="14" xfId="0" applyFont="1" applyFill="1" applyBorder="1" applyAlignment="1">
      <alignment horizontal="center" vertical="center" wrapText="1"/>
    </xf>
    <xf numFmtId="0" fontId="55"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xf numFmtId="0" fontId="61" fillId="0" borderId="0" xfId="0" applyFont="1" applyAlignment="1">
      <alignment horizontal="left" wrapText="1"/>
    </xf>
  </cellXfs>
  <cellStyles count="8">
    <cellStyle name="Énfasis5" xfId="2" builtinId="45"/>
    <cellStyle name="Hipervínculo" xfId="4" builtinId="8"/>
    <cellStyle name="Millares" xfId="6" builtinId="3"/>
    <cellStyle name="Normal" xfId="0" builtinId="0"/>
    <cellStyle name="Normal 2" xfId="3" xr:uid="{00000000-0005-0000-0000-000004000000}"/>
    <cellStyle name="Normal 3" xfId="5" xr:uid="{00000000-0005-0000-0000-000005000000}"/>
    <cellStyle name="Porcentaje" xfId="1" builtinId="5"/>
    <cellStyle name="Porcentaje 2" xfId="7" xr:uid="{00000000-0005-0000-0000-000007000000}"/>
  </cellStyles>
  <dxfs count="139">
    <dxf>
      <font>
        <color rgb="FF9C0006"/>
      </font>
      <fill>
        <patternFill>
          <bgColor rgb="FFFFC7CE"/>
        </patternFill>
      </fill>
    </dxf>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wrapText="1"/>
    </dxf>
    <dxf>
      <alignment wrapText="1"/>
    </dxf>
    <dxf>
      <alignment wrapText="0"/>
    </dxf>
    <dxf>
      <alignment wrapText="0"/>
    </dxf>
    <dxf>
      <alignment wrapText="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7" tint="0.79998168889431442"/>
        </patternFill>
      </fill>
      <protection locked="0" hidden="0"/>
    </dxf>
    <dxf>
      <numFmt numFmtId="3" formatCode="#,##0"/>
      <fill>
        <patternFill patternType="solid">
          <fgColor indexed="64"/>
          <bgColor theme="7" tint="0.79998168889431442"/>
        </patternFill>
      </fill>
      <alignment horizontal="center" textRotation="0" indent="0" justifyLastLine="0" shrinkToFit="0" readingOrder="0"/>
      <protection locked="0" hidden="0"/>
    </dxf>
    <dxf>
      <font>
        <i/>
      </font>
      <numFmt numFmtId="3" formatCode="#,##0"/>
      <fill>
        <patternFill patternType="solid">
          <fgColor indexed="64"/>
          <bgColor theme="2"/>
        </patternFill>
      </fill>
      <border diagonalUp="0" diagonalDown="0">
        <left/>
        <right style="thin">
          <color indexed="64"/>
        </right>
        <top/>
        <bottom/>
        <vertical/>
        <horizontal/>
      </border>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border diagonalUp="0" diagonalDown="0">
        <left style="thin">
          <color indexed="64"/>
        </left>
        <right/>
        <top/>
        <bottom/>
        <vertical/>
        <horizontal/>
      </border>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numFmt numFmtId="165" formatCode="dd\-mm\-yy;@"/>
      <fill>
        <patternFill patternType="solid">
          <fgColor indexed="64"/>
          <bgColor theme="7" tint="0.79998168889431442"/>
        </patternFill>
      </fill>
      <protection locked="1" hidden="0"/>
    </dxf>
    <dxf>
      <numFmt numFmtId="165" formatCode="dd\-mm\-yy;@"/>
      <fill>
        <patternFill patternType="solid">
          <fgColor indexed="64"/>
          <bgColor theme="7" tint="0.79998168889431442"/>
        </patternFill>
      </fill>
      <protection locked="1" hidden="0"/>
    </dxf>
    <dxf>
      <numFmt numFmtId="3" formatCode="#,##0"/>
      <border diagonalUp="0" diagonalDown="0">
        <left/>
        <right style="double">
          <color auto="1"/>
        </right>
        <top/>
        <bottom/>
        <vertical/>
        <horizontal/>
      </border>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none">
          <fgColor indexed="64"/>
          <bgColor auto="1"/>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none">
          <fgColor indexed="64"/>
          <bgColor auto="1"/>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font>
        <strike val="0"/>
        <outline val="0"/>
        <shadow val="0"/>
        <u val="none"/>
        <vertAlign val="baseline"/>
        <sz val="11"/>
        <color theme="0" tint="-0.499984740745262"/>
        <name val="Calibri"/>
        <scheme val="minor"/>
      </font>
      <protection locked="0" hidden="0"/>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font>
        <i/>
      </font>
      <protection locked="0" hidden="0"/>
    </dxf>
    <dxf>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0" tint="-0.499984740745262"/>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protection locked="0" hidden="0"/>
    </dxf>
    <dxf>
      <font>
        <b val="0"/>
        <i val="0"/>
        <strike val="0"/>
        <condense val="0"/>
        <extend val="0"/>
        <outline val="0"/>
        <shadow val="0"/>
        <u val="none"/>
        <vertAlign val="baseline"/>
        <sz val="11"/>
        <color auto="1"/>
        <name val="Calibri"/>
        <scheme val="minor"/>
      </font>
      <numFmt numFmtId="165" formatCode="dd\-mm\-yy;@"/>
      <fill>
        <patternFill patternType="none">
          <fgColor indexed="64"/>
          <bgColor auto="1"/>
        </patternFill>
      </fill>
      <protection locked="0" hidden="0"/>
    </dxf>
    <dxf>
      <font>
        <b val="0"/>
        <i val="0"/>
        <strike val="0"/>
        <condense val="0"/>
        <extend val="0"/>
        <outline val="0"/>
        <shadow val="0"/>
        <u val="none"/>
        <vertAlign val="baseline"/>
        <sz val="11"/>
        <color auto="1"/>
        <name val="Calibri"/>
        <scheme val="minor"/>
      </font>
      <numFmt numFmtId="165" formatCode="dd\-mm\-yy;@"/>
      <fill>
        <patternFill patternType="none">
          <fgColor indexed="64"/>
          <bgColor auto="1"/>
        </patternFill>
      </fill>
      <protection locked="0" hidden="0"/>
    </dxf>
    <dxf>
      <font>
        <strike val="0"/>
        <outline val="0"/>
        <shadow val="0"/>
        <u val="none"/>
        <vertAlign val="baseline"/>
        <sz val="11"/>
        <color theme="0" tint="-0.499984740745262"/>
        <name val="Calibri"/>
        <scheme val="minor"/>
      </font>
      <numFmt numFmtId="165" formatCode="dd\-mm\-yy;@"/>
      <protection locked="0" hidden="0"/>
    </dxf>
    <dxf>
      <font>
        <b/>
        <strike val="0"/>
        <outline val="0"/>
        <shadow val="0"/>
        <u val="none"/>
        <vertAlign val="baseline"/>
        <sz val="11"/>
        <color auto="1"/>
        <name val="Calibri"/>
        <scheme val="minor"/>
      </font>
      <numFmt numFmtId="165" formatCode="dd\-mm\-yy;@"/>
      <protection locked="0" hidden="0"/>
    </dxf>
    <dxf>
      <numFmt numFmtId="165" formatCode="dd\-mm\-yy;@"/>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numFmt numFmtId="165" formatCode="dd\-mm\-yy;@"/>
      <protection locked="0" hidden="0"/>
    </dxf>
    <dxf>
      <protection locked="0" hidden="0"/>
    </dxf>
    <dxf>
      <protection locked="0" hidden="0"/>
    </dxf>
    <dxf>
      <protection locked="0" hidden="0"/>
    </dxf>
    <dxf>
      <font>
        <b val="0"/>
        <i val="0"/>
        <strike val="0"/>
        <outline val="0"/>
        <shadow val="0"/>
        <u val="none"/>
        <vertAlign val="baseline"/>
        <sz val="11"/>
        <color theme="0"/>
        <name val="Calibri"/>
        <scheme val="minor"/>
      </font>
      <alignment horizontal="general" vertical="top" textRotation="0" wrapText="1" indent="0" justifyLastLine="0" shrinkToFit="0" readingOrder="0"/>
      <protection locked="1" hidden="0"/>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rgb="FFFF0000"/>
        <name val="Calibri"/>
        <scheme val="minor"/>
      </font>
      <alignment horizontal="center" vertical="bottom" textRotation="0" wrapText="0" indent="0" justifyLastLine="0" shrinkToFit="0" readingOrder="0"/>
      <protection locked="0" hidden="0"/>
    </dxf>
    <dxf>
      <font>
        <strike val="0"/>
        <outline val="0"/>
        <shadow val="0"/>
        <u val="none"/>
        <vertAlign val="baseline"/>
        <sz val="11"/>
        <color rgb="FF7030A0"/>
        <name val="Calibri"/>
        <scheme val="minor"/>
      </font>
      <fill>
        <patternFill patternType="none">
          <fgColor indexed="64"/>
          <bgColor auto="1"/>
        </patternFill>
      </fill>
      <alignment horizontal="center" textRotation="0" wrapText="0" indent="0" justifyLastLine="0" shrinkToFit="0" readingOrder="0"/>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xr9:uid="{00000000-0011-0000-FFFF-FFFF00000000}">
      <tableStyleElement type="firstSubtotalRow" dxfId="138"/>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116649</xdr:rowOff>
    </xdr:to>
    <xdr:pic>
      <xdr:nvPicPr>
        <xdr:cNvPr id="37" name="Imagen 36">
          <a:hlinkClick xmlns:r="http://schemas.openxmlformats.org/officeDocument/2006/relationships" r:id="rId1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122746</xdr:rowOff>
    </xdr:to>
    <xdr:pic>
      <xdr:nvPicPr>
        <xdr:cNvPr id="38" name="Imagen 37">
          <a:hlinkClick xmlns:r="http://schemas.openxmlformats.org/officeDocument/2006/relationships" r:id="rId2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122746</xdr:rowOff>
    </xdr:to>
    <xdr:pic>
      <xdr:nvPicPr>
        <xdr:cNvPr id="39" name="Imagen 38">
          <a:hlinkClick xmlns:r="http://schemas.openxmlformats.org/officeDocument/2006/relationships" r:id="rId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122746</xdr:rowOff>
    </xdr:to>
    <xdr:pic>
      <xdr:nvPicPr>
        <xdr:cNvPr id="40" name="Imagen 39">
          <a:hlinkClick xmlns:r="http://schemas.openxmlformats.org/officeDocument/2006/relationships" r:id="rId2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828675</xdr:colOff>
      <xdr:row>0</xdr:row>
      <xdr:rowOff>152400</xdr:rowOff>
    </xdr:from>
    <xdr:to>
      <xdr:col>11</xdr:col>
      <xdr:colOff>142875</xdr:colOff>
      <xdr:row>1</xdr:row>
      <xdr:rowOff>504639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7"/>
        <a:srcRect r="361"/>
        <a:stretch/>
      </xdr:blipFill>
      <xdr:spPr>
        <a:xfrm>
          <a:off x="2514600" y="152400"/>
          <a:ext cx="7629525" cy="1485714"/>
        </a:xfrm>
        <a:prstGeom prst="rect">
          <a:avLst/>
        </a:prstGeom>
      </xdr:spPr>
    </xdr:pic>
    <xdr:clientData/>
  </xdr:twoCellAnchor>
  <xdr:twoCellAnchor>
    <xdr:from>
      <xdr:col>1</xdr:col>
      <xdr:colOff>3810</xdr:colOff>
      <xdr:row>1</xdr:row>
      <xdr:rowOff>601980</xdr:rowOff>
    </xdr:from>
    <xdr:to>
      <xdr:col>13</xdr:col>
      <xdr:colOff>22860</xdr:colOff>
      <xdr:row>4</xdr:row>
      <xdr:rowOff>60960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65810" y="1733074"/>
          <a:ext cx="11163300" cy="518636"/>
          <a:chOff x="765810" y="1734397"/>
          <a:chExt cx="11068050" cy="517313"/>
        </a:xfrm>
      </xdr:grpSpPr>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765810" y="1734397"/>
            <a:ext cx="11068050" cy="517313"/>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8650140" y="1847428"/>
            <a:ext cx="3066618" cy="311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600" b="1">
                <a:solidFill>
                  <a:schemeClr val="accent5">
                    <a:lumMod val="50000"/>
                  </a:schemeClr>
                </a:solidFill>
                <a:effectLst/>
                <a:latin typeface="+mn-lt"/>
                <a:ea typeface="+mn-ea"/>
                <a:cs typeface="+mn-cs"/>
              </a:rPr>
              <a:t>Ejemplo</a:t>
            </a:r>
            <a:r>
              <a:rPr lang="es-ES" sz="1600" b="1" baseline="0">
                <a:solidFill>
                  <a:schemeClr val="accent5">
                    <a:lumMod val="50000"/>
                  </a:schemeClr>
                </a:solidFill>
                <a:effectLst/>
                <a:latin typeface="+mn-lt"/>
                <a:ea typeface="+mn-ea"/>
                <a:cs typeface="+mn-cs"/>
              </a:rPr>
              <a:t> de Uso - </a:t>
            </a:r>
            <a:r>
              <a:rPr lang="es-ES" sz="1600" b="1">
                <a:solidFill>
                  <a:schemeClr val="accent5">
                    <a:lumMod val="50000"/>
                  </a:schemeClr>
                </a:solidFill>
                <a:effectLst/>
                <a:latin typeface="+mn-lt"/>
                <a:ea typeface="+mn-ea"/>
                <a:cs typeface="+mn-cs"/>
              </a:rPr>
              <a:t>Noviembre 2025</a:t>
            </a:r>
            <a:endParaRPr lang="es-ES" sz="1600">
              <a:solidFill>
                <a:schemeClr val="accent5">
                  <a:lumMod val="50000"/>
                </a:schemeClr>
              </a:solidFill>
              <a:effectLst/>
            </a:endParaRPr>
          </a:p>
          <a:p>
            <a:pPr algn="ctr"/>
            <a:endParaRPr lang="es-E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00000000-0008-0000-0200-000003000000}"/>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00000000-0008-0000-0300-000004000000}"/>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00000000-0008-0000-0300-000005000000}"/>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0</xdr:row>
      <xdr:rowOff>346595</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38</xdr:col>
      <xdr:colOff>152606</xdr:colOff>
      <xdr:row>6</xdr:row>
      <xdr:rowOff>134184</xdr:rowOff>
    </xdr:to>
    <xdr:pic>
      <xdr:nvPicPr>
        <xdr:cNvPr id="16" name="Imagen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11</xdr:col>
      <xdr:colOff>480060</xdr:colOff>
      <xdr:row>1</xdr:row>
      <xdr:rowOff>114300</xdr:rowOff>
    </xdr:from>
    <xdr:to>
      <xdr:col>38</xdr:col>
      <xdr:colOff>135843</xdr:colOff>
      <xdr:row>6</xdr:row>
      <xdr:rowOff>73224</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6438900" y="655320"/>
          <a:ext cx="2383743" cy="835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329354</xdr:colOff>
      <xdr:row>6</xdr:row>
      <xdr:rowOff>18350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41</xdr:col>
      <xdr:colOff>128222</xdr:colOff>
      <xdr:row>6</xdr:row>
      <xdr:rowOff>134184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41</xdr:col>
      <xdr:colOff>158703</xdr:colOff>
      <xdr:row>6</xdr:row>
      <xdr:rowOff>134184</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38</xdr:col>
      <xdr:colOff>152606</xdr:colOff>
      <xdr:row>6</xdr:row>
      <xdr:rowOff>134184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38</xdr:col>
      <xdr:colOff>158703</xdr:colOff>
      <xdr:row>6</xdr:row>
      <xdr:rowOff>134184</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00000000-0008-0000-0C00-000005000000}"/>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42</xdr:col>
      <xdr:colOff>143463</xdr:colOff>
      <xdr:row>6</xdr:row>
      <xdr:rowOff>134184</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42</xdr:col>
      <xdr:colOff>44403</xdr:colOff>
      <xdr:row>6</xdr:row>
      <xdr:rowOff>134184</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F" refreshedDate="44488.961313541666" createdVersion="6" refreshedVersion="6" minRefreshableVersion="3" recordCount="274" xr:uid="{00000000-000A-0000-FFFF-FFFF00000000}">
  <cacheSource type="worksheet">
    <worksheetSource name="DATOS_[[Puesto-empresa]:[Nivel]]"/>
  </cacheSource>
  <cacheFields count="10">
    <cacheField name="Puesto-empresa" numFmtId="0">
      <sharedItems containsBlank="1" count="104">
        <s v="Director/a"/>
        <s v="Gerente"/>
        <s v="Analista"/>
        <s v="Soporte"/>
        <s v="Operador/a"/>
        <s v="Administrativo/a"/>
        <s v="Conserje"/>
        <s v="Aux.Admvo."/>
        <s v="DIR.COM.INDUSTRIA" u="1"/>
        <s v="PS SOFTWARE FACTORY" u="1"/>
        <m u="1"/>
        <s v="AMS TIME&amp;MATERIAL" u="1"/>
        <s v="Directivo Nivel 2" u="1"/>
        <s v="CONSEJERO DELEGADO" u="1"/>
        <s v="DIR.COM.TELCOS Y MEDIA" u="1"/>
        <s v="Puesto 3" u="1"/>
        <s v="DIR.COM. ESTRATEGIA" u="1"/>
        <s v="EUS END USER SERVICES" u="1"/>
        <s v="HRB" u="1"/>
        <s v="Puesto 8" u="1"/>
        <s v="ID D/OPS DIGITAL" u="1"/>
        <s v="DIS COMPRAS" u="1"/>
        <s v="AE MICROSOFT IBERPER" u="1"/>
        <s v="DEF ECONOMICO - FINANCIERO" u="1"/>
        <s v="Analista.IT" u="1"/>
        <s v="PS DIRECCION DE PRODUCCION" u="1"/>
        <s v="IMM MANTENIMIENTO" u="1"/>
        <s v="DC&amp;MI IBERDROLA USA" u="1"/>
        <s v="PS QUALITY MANAGEMENT SYSTEM INTEGRATED" u="1"/>
        <s v="ID D/LAB" u="1"/>
        <s v="INV.INDUSTRIA" u="1"/>
        <s v="ID D/OPS CYBERSECURITY" u="1"/>
        <s v="EUS SISTEMAS DISTRIBUIDOS ONCE" u="1"/>
        <s v="DIR.COM.SERV.FINANCIEROS / SEGUROS" u="1"/>
        <s v="ID D/OPS INTERFLEX" u="1"/>
        <s v="DC&amp;MI MANAGED SERVICES" u="1"/>
        <s v="Resp. Nivel 1" u="1"/>
        <s v="Puesto 2" u="1"/>
        <s v="Puesto 7" u="1"/>
        <s v="Administrativa/o" u="1"/>
        <s v="Directivo Nivel 1" u="1"/>
        <s v="EUS END USER SERVICES GRUPO ONCE" u="1"/>
        <s v="DC&amp;MI OPERATION&amp;MONITORING GRUPO ONCE" u="1"/>
        <s v="IMM DIRECCION MID-MARKET" u="1"/>
        <s v="EQUIPO SOPORTE A LOS NEGOCIOS" u="1"/>
        <s v="IMM CONSULTORIA RPS" u="1"/>
        <s v="Puesto 1" u="1"/>
        <s v="BPS WI-FI SOLUTIONS" u="1"/>
        <s v="IMM CONSULTORIA MES" u="1"/>
        <s v="Puesto 6" u="1"/>
        <s v="ID D/BIZ" u="1"/>
        <s v="PROCESOS ORGANIZATIVOS" u="1"/>
        <s v="DIS / EDA" u="1"/>
        <s v="DC&amp;MI OPERATION&amp;MONITORING" u="1"/>
        <s v="Directivo Nivel I" u="1"/>
        <s v="DEF ASESORIA JURIDICA" u="1"/>
        <s v="AMS APLICATION MANAGEMENT ONCE" u="1"/>
        <s v="AE SAP" u="1"/>
        <s v="Aux.Admvo" u="1"/>
        <s v="Aux.Admvo.ERTE" u="1"/>
        <s v="AE DIR.COM. SAP" u="1"/>
        <s v="Directivo Nivel 4" u="1"/>
        <s v="AE MICROSOFT NAVISION CRM" u="1"/>
        <s v="AE MICROSOFT SERVICIOS DE DOCUMENTACION" u="1"/>
        <s v="DIR.COM.SERVICIOS" u="1"/>
        <s v="DIR.COM.DIRECCION ZONA NORTE" u="1"/>
        <s v="BPS MANAGED COMUNICATION SERVICES" u="1"/>
        <s v="DC&amp;MI MANAGED SERVICES GRUPO ONCE" u="1"/>
        <s v="RECURSOS HUMANOS" u="1"/>
        <s v="IMM COMERCIAL" u="1"/>
        <s v="Resp. Nivel 2" u="1"/>
        <s v="DC&amp;MI DATA CENTRE COMUNICATIONS" u="1"/>
        <s v="IMM CONSULTORIA RPS INTERNACIONAL" u="1"/>
        <s v="BPS CONTACT CENTER" u="1"/>
        <s v="DIR.COM.SALUD" u="1"/>
        <s v="Puesto 5" u="1"/>
        <s v="DPC y CCC" u="1"/>
        <s v="AE MICROSOFT NAVISION GyC" u="1"/>
        <s v="DIS INFRAESTRUCTURAS" u="1"/>
        <s v="DIR.COM.ADM.PUBLICA " u="1"/>
        <s v="Puesto I" u="1"/>
        <s v="DC&amp;MI DATA CENTRE COMUNICATIONS GRUPO ON" u="1"/>
        <s v="DIR.COM.ZONA CATALUÑA" u="1"/>
        <s v="AE MICROSOFT NAVISION OPERACIONES" u="1"/>
        <s v="IMM INGENIERIA" u="1"/>
        <s v="AMS APLICATION MANAGEMENT" u="1"/>
        <s v="DIS INSTALACIONES" u="1"/>
        <s v="Directivo Nivel 3" u="1"/>
        <s v="AE CLOUTURE IMPLEMENTATION PROJECTS" u="1"/>
        <s v="PS CAPACITY MANAGEMENT" u="1"/>
        <s v="ID D/OPS I3B" u="1"/>
        <s v="Puesto 4" u="1"/>
        <s v="Puesto 9" u="1"/>
        <s v="AE CLOUTURE DATA CENTER SERVICES" u="1"/>
        <s v="Operaria/o" u="1"/>
        <s v="Teleoperador/a" u="1"/>
        <s v="MK MARKETING Y COMUNICACION" u="1"/>
        <s v="DC&amp;MI IBERDROLA" u="1"/>
        <s v="AD&amp;SI DEVELOPMENT MANAGEMENT PLATFORM" u="1"/>
        <s v="DIR.COM.UTILITIES" u="1"/>
        <s v="CONSULTORIA Y PREVENTA" u="1"/>
        <s v="DIR.COM. MARKETING DIGITAL" u="1"/>
        <s v="Mantenimiento" u="1"/>
        <s v="AE MICROSOFT NAVISION CSC" u="1"/>
      </sharedItems>
    </cacheField>
    <cacheField name="Horario (continuo/partido)" numFmtId="0">
      <sharedItems/>
    </cacheField>
    <cacheField name="Trabajo a turnos" numFmtId="0">
      <sharedItems/>
    </cacheField>
    <cacheField name="Escala-empresa" numFmtId="0">
      <sharedItems containsMixedTypes="1" containsNumber="1" containsInteger="1" minValue="9" maxValue="10" count="8">
        <s v="A"/>
        <s v="B"/>
        <s v="D"/>
        <s v="E"/>
        <s v="F"/>
        <s v="G"/>
        <n v="9" u="1"/>
        <n v="10" u="1"/>
      </sharedItems>
    </cacheField>
    <cacheField name="AGRUP. CLAS. PROF." numFmtId="0">
      <sharedItems containsBlank="1" count="8">
        <s v="GRUPO 01"/>
        <s v="GRUPO 02"/>
        <s v="GRUPO 03"/>
        <s v="GRUPO 04"/>
        <s v="GRUPO 05"/>
        <m u="1"/>
        <s v="GRUPO 08" u="1"/>
        <s v="GRUPO 30" u="1"/>
      </sharedItems>
    </cacheField>
    <cacheField name="AGRUP. VALOR. PTO." numFmtId="0">
      <sharedItems containsBlank="1" count="21">
        <s v="ESCALA 01"/>
        <s v="ESCALA 02"/>
        <s v="ESCALA 03"/>
        <s v="ESCALA 04"/>
        <s v="ESCALA 05"/>
        <m u="1"/>
        <s v="ESCALA 1" u="1"/>
        <s v="ESCALA 6" u="1"/>
        <s v="ESCALA 10" u="1"/>
        <s v="ESCALA 07" u="1"/>
        <s v="ESCALA 5" u="1"/>
        <s v="ESCALA 4" u="1"/>
        <s v="ESCALA 9" u="1"/>
        <s v="ESCALA 06" u="1"/>
        <s v="ESCALA 09" u="1"/>
        <s v="ESCALA 3" u="1"/>
        <s v="ESCALA 8" u="1"/>
        <s v="ESCALA 30" u="1"/>
        <s v="ESCALA 2" u="1"/>
        <s v="ESCALA 7" u="1"/>
        <s v="ESCALA 08" u="1"/>
      </sharedItems>
    </cacheField>
    <cacheField name="Convenio/Área" numFmtId="0">
      <sharedItems containsBlank="1" count="8">
        <s v="Of.Desp.MAD"/>
        <m u="1"/>
        <s v="A1" u="1"/>
        <s v="A3" u="1"/>
        <s v="No def." u="1"/>
        <s v="A2" u="1"/>
        <s v="A4" u="1"/>
        <s v="OF.DESP." u="1"/>
      </sharedItems>
    </cacheField>
    <cacheField name="Categoría profesional" numFmtId="0">
      <sharedItems containsNonDate="0" containsString="0" containsBlank="1"/>
    </cacheField>
    <cacheField name="Grupo profesional" numFmtId="0">
      <sharedItems containsBlank="1" count="12">
        <s v="I"/>
        <s v="II"/>
        <s v="III"/>
        <s v="IV"/>
        <s v="V"/>
        <m u="1"/>
        <s v="E" u="1"/>
        <s v="Sin Gr." u="1"/>
        <s v="C" u="1"/>
        <s v="A" u="1"/>
        <s v="D" u="1"/>
        <s v="B" u="1"/>
      </sharedItems>
    </cacheField>
    <cacheField name="Nivel" numFmtId="0">
      <sharedItems containsSemiMixedTypes="0" containsString="0" containsNumber="1" containsInteger="1" minValue="1" maxValue="9" count="9">
        <n v="1"/>
        <n v="2"/>
        <n v="4"/>
        <n v="5"/>
        <n v="7"/>
        <n v="8"/>
        <n v="9"/>
        <n v="6" u="1"/>
        <n v="3"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4">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1"/>
    <s v="partido"/>
    <s v="No"/>
    <x v="1"/>
    <x v="0"/>
    <x v="1"/>
    <x v="0"/>
    <m/>
    <x v="0"/>
    <x v="1"/>
  </r>
  <r>
    <x v="0"/>
    <s v="partido"/>
    <s v="No"/>
    <x v="0"/>
    <x v="0"/>
    <x v="0"/>
    <x v="0"/>
    <m/>
    <x v="0"/>
    <x v="0"/>
  </r>
  <r>
    <x v="1"/>
    <s v="partido"/>
    <s v="No"/>
    <x v="1"/>
    <x v="0"/>
    <x v="1"/>
    <x v="0"/>
    <m/>
    <x v="0"/>
    <x v="1"/>
  </r>
  <r>
    <x v="1"/>
    <s v="partido"/>
    <s v="No"/>
    <x v="1"/>
    <x v="0"/>
    <x v="1"/>
    <x v="0"/>
    <m/>
    <x v="0"/>
    <x v="1"/>
  </r>
  <r>
    <x v="1"/>
    <s v="partido"/>
    <s v="No"/>
    <x v="1"/>
    <x v="0"/>
    <x v="1"/>
    <x v="0"/>
    <m/>
    <x v="0"/>
    <x v="1"/>
  </r>
  <r>
    <x v="1"/>
    <s v="partido"/>
    <s v="No"/>
    <x v="1"/>
    <x v="0"/>
    <x v="1"/>
    <x v="0"/>
    <m/>
    <x v="0"/>
    <x v="1"/>
  </r>
  <r>
    <x v="1"/>
    <s v="partido"/>
    <s v="No"/>
    <x v="1"/>
    <x v="0"/>
    <x v="1"/>
    <x v="0"/>
    <m/>
    <x v="0"/>
    <x v="1"/>
  </r>
  <r>
    <x v="1"/>
    <s v="partido"/>
    <s v="No"/>
    <x v="1"/>
    <x v="0"/>
    <x v="1"/>
    <x v="0"/>
    <m/>
    <x v="0"/>
    <x v="1"/>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3"/>
    <s v="partido"/>
    <s v="No"/>
    <x v="3"/>
    <x v="2"/>
    <x v="3"/>
    <x v="0"/>
    <m/>
    <x v="2"/>
    <x v="3"/>
  </r>
  <r>
    <x v="2"/>
    <s v="partido"/>
    <s v="No"/>
    <x v="2"/>
    <x v="1"/>
    <x v="2"/>
    <x v="0"/>
    <m/>
    <x v="1"/>
    <x v="2"/>
  </r>
  <r>
    <x v="2"/>
    <s v="partido"/>
    <s v="No"/>
    <x v="2"/>
    <x v="1"/>
    <x v="2"/>
    <x v="0"/>
    <m/>
    <x v="1"/>
    <x v="2"/>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Sí"/>
    <x v="3"/>
    <x v="2"/>
    <x v="3"/>
    <x v="0"/>
    <m/>
    <x v="2"/>
    <x v="3"/>
  </r>
  <r>
    <x v="3"/>
    <s v="partido"/>
    <s v="Sí"/>
    <x v="3"/>
    <x v="2"/>
    <x v="3"/>
    <x v="0"/>
    <m/>
    <x v="2"/>
    <x v="3"/>
  </r>
  <r>
    <x v="3"/>
    <s v="partido"/>
    <s v="Sí"/>
    <x v="3"/>
    <x v="2"/>
    <x v="3"/>
    <x v="0"/>
    <m/>
    <x v="2"/>
    <x v="3"/>
  </r>
  <r>
    <x v="3"/>
    <s v="partido"/>
    <s v="Sí"/>
    <x v="3"/>
    <x v="2"/>
    <x v="3"/>
    <x v="0"/>
    <m/>
    <x v="2"/>
    <x v="3"/>
  </r>
  <r>
    <x v="3"/>
    <s v="partido"/>
    <s v="Sí"/>
    <x v="3"/>
    <x v="2"/>
    <x v="3"/>
    <x v="0"/>
    <m/>
    <x v="2"/>
    <x v="3"/>
  </r>
  <r>
    <x v="3"/>
    <s v="partido"/>
    <s v="Sí"/>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continuo"/>
    <s v="No"/>
    <x v="3"/>
    <x v="2"/>
    <x v="3"/>
    <x v="0"/>
    <m/>
    <x v="2"/>
    <x v="3"/>
  </r>
  <r>
    <x v="3"/>
    <s v="continuo"/>
    <s v="No"/>
    <x v="3"/>
    <x v="2"/>
    <x v="3"/>
    <x v="0"/>
    <m/>
    <x v="2"/>
    <x v="3"/>
  </r>
  <r>
    <x v="3"/>
    <s v="continuo"/>
    <s v="No"/>
    <x v="3"/>
    <x v="2"/>
    <x v="3"/>
    <x v="0"/>
    <m/>
    <x v="2"/>
    <x v="3"/>
  </r>
  <r>
    <x v="3"/>
    <s v="continuo"/>
    <s v="No"/>
    <x v="3"/>
    <x v="2"/>
    <x v="3"/>
    <x v="0"/>
    <m/>
    <x v="2"/>
    <x v="3"/>
  </r>
  <r>
    <x v="3"/>
    <s v="continuo"/>
    <s v="No"/>
    <x v="3"/>
    <x v="2"/>
    <x v="3"/>
    <x v="0"/>
    <m/>
    <x v="2"/>
    <x v="3"/>
  </r>
  <r>
    <x v="3"/>
    <s v="continuo"/>
    <s v="No"/>
    <x v="3"/>
    <x v="2"/>
    <x v="3"/>
    <x v="0"/>
    <m/>
    <x v="2"/>
    <x v="3"/>
  </r>
  <r>
    <x v="3"/>
    <s v="continuo"/>
    <s v="No"/>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Sí"/>
    <x v="3"/>
    <x v="3"/>
    <x v="3"/>
    <x v="0"/>
    <m/>
    <x v="3"/>
    <x v="4"/>
  </r>
  <r>
    <x v="4"/>
    <s v="continuo"/>
    <s v="Sí"/>
    <x v="3"/>
    <x v="3"/>
    <x v="3"/>
    <x v="0"/>
    <m/>
    <x v="3"/>
    <x v="4"/>
  </r>
  <r>
    <x v="4"/>
    <s v="partido"/>
    <s v="Sí"/>
    <x v="3"/>
    <x v="3"/>
    <x v="3"/>
    <x v="0"/>
    <m/>
    <x v="3"/>
    <x v="4"/>
  </r>
  <r>
    <x v="4"/>
    <s v="partido"/>
    <s v="Sí"/>
    <x v="3"/>
    <x v="3"/>
    <x v="3"/>
    <x v="0"/>
    <m/>
    <x v="3"/>
    <x v="4"/>
  </r>
  <r>
    <x v="4"/>
    <s v="partido"/>
    <s v="Sí"/>
    <x v="3"/>
    <x v="3"/>
    <x v="3"/>
    <x v="0"/>
    <m/>
    <x v="3"/>
    <x v="4"/>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6"/>
    <s v="partido"/>
    <s v="Sí"/>
    <x v="5"/>
    <x v="4"/>
    <x v="4"/>
    <x v="0"/>
    <m/>
    <x v="4"/>
    <x v="6"/>
  </r>
  <r>
    <x v="7"/>
    <s v="partido"/>
    <s v="No"/>
    <x v="5"/>
    <x v="4"/>
    <x v="4"/>
    <x v="0"/>
    <m/>
    <x v="4"/>
    <x v="6"/>
  </r>
  <r>
    <x v="6"/>
    <s v="partido"/>
    <s v="Sí"/>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Sí"/>
    <x v="5"/>
    <x v="4"/>
    <x v="4"/>
    <x v="0"/>
    <m/>
    <x v="4"/>
    <x v="6"/>
  </r>
  <r>
    <x v="7"/>
    <s v="partido"/>
    <s v="Sí"/>
    <x v="5"/>
    <x v="4"/>
    <x v="4"/>
    <x v="0"/>
    <m/>
    <x v="4"/>
    <x v="6"/>
  </r>
  <r>
    <x v="7"/>
    <s v="partido"/>
    <s v="Sí"/>
    <x v="5"/>
    <x v="4"/>
    <x v="4"/>
    <x v="0"/>
    <m/>
    <x v="4"/>
    <x v="6"/>
  </r>
  <r>
    <x v="7"/>
    <s v="partido"/>
    <s v="Sí"/>
    <x v="5"/>
    <x v="4"/>
    <x v="4"/>
    <x v="0"/>
    <m/>
    <x v="4"/>
    <x v="6"/>
  </r>
  <r>
    <x v="7"/>
    <s v="partido"/>
    <s v="Sí"/>
    <x v="5"/>
    <x v="4"/>
    <x v="4"/>
    <x v="0"/>
    <m/>
    <x v="4"/>
    <x v="6"/>
  </r>
  <r>
    <x v="7"/>
    <s v="partido"/>
    <s v="Sí"/>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6"/>
    <s v="partido"/>
    <s v="Sí"/>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3"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I110" firstHeaderRow="1" firstDataRow="2" firstDataCol="2"/>
  <pivotFields count="10">
    <pivotField axis="axisRow" dataField="1" compact="0" outline="0" subtotalTop="0" showAll="0" defaultSubtotal="0">
      <items count="104">
        <item m="1" x="98"/>
        <item m="1" x="39"/>
        <item m="1" x="93"/>
        <item m="1" x="88"/>
        <item m="1" x="60"/>
        <item m="1" x="22"/>
        <item m="1" x="62"/>
        <item m="1" x="103"/>
        <item m="1" x="77"/>
        <item m="1" x="83"/>
        <item m="1" x="63"/>
        <item m="1" x="57"/>
        <item m="1" x="85"/>
        <item m="1" x="56"/>
        <item m="1" x="11"/>
        <item m="1" x="73"/>
        <item m="1" x="66"/>
        <item m="1" x="47"/>
        <item m="1" x="13"/>
        <item m="1" x="100"/>
        <item m="1" x="71"/>
        <item m="1" x="81"/>
        <item m="1" x="97"/>
        <item m="1" x="27"/>
        <item m="1" x="35"/>
        <item m="1" x="67"/>
        <item m="1" x="53"/>
        <item m="1" x="42"/>
        <item m="1" x="55"/>
        <item m="1" x="23"/>
        <item m="1" x="16"/>
        <item m="1" x="101"/>
        <item m="1" x="79"/>
        <item m="1" x="65"/>
        <item m="1" x="8"/>
        <item m="1" x="74"/>
        <item m="1" x="33"/>
        <item m="1" x="64"/>
        <item m="1" x="14"/>
        <item m="1" x="99"/>
        <item m="1" x="82"/>
        <item m="1" x="40"/>
        <item m="1" x="12"/>
        <item m="1" x="87"/>
        <item m="1" x="61"/>
        <item m="1" x="54"/>
        <item m="1" x="52"/>
        <item m="1" x="21"/>
        <item m="1" x="78"/>
        <item m="1" x="86"/>
        <item m="1" x="76"/>
        <item m="1" x="44"/>
        <item m="1" x="17"/>
        <item m="1" x="41"/>
        <item m="1" x="32"/>
        <item m="1" x="18"/>
        <item m="1" x="50"/>
        <item m="1" x="29"/>
        <item m="1" x="31"/>
        <item m="1" x="20"/>
        <item m="1" x="90"/>
        <item m="1" x="34"/>
        <item m="1" x="69"/>
        <item m="1" x="48"/>
        <item m="1" x="45"/>
        <item m="1" x="72"/>
        <item m="1" x="43"/>
        <item m="1" x="84"/>
        <item m="1" x="26"/>
        <item m="1" x="30"/>
        <item m="1" x="102"/>
        <item m="1" x="96"/>
        <item m="1" x="94"/>
        <item m="1" x="51"/>
        <item m="1" x="89"/>
        <item m="1" x="25"/>
        <item m="1" x="28"/>
        <item m="1" x="9"/>
        <item m="1" x="46"/>
        <item m="1" x="37"/>
        <item m="1" x="15"/>
        <item m="1" x="91"/>
        <item m="1" x="75"/>
        <item m="1" x="49"/>
        <item m="1" x="38"/>
        <item m="1" x="19"/>
        <item m="1" x="92"/>
        <item m="1" x="80"/>
        <item m="1" x="68"/>
        <item m="1" x="36"/>
        <item m="1" x="70"/>
        <item m="1" x="10"/>
        <item m="1" x="95"/>
        <item x="0"/>
        <item x="1"/>
        <item x="2"/>
        <item x="3"/>
        <item x="4"/>
        <item x="5"/>
        <item x="6"/>
        <item x="7"/>
        <item m="1" x="59"/>
        <item m="1" x="24"/>
        <item m="1" x="58"/>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8">
        <item m="1" x="6"/>
        <item m="1" x="7"/>
        <item x="0"/>
        <item x="1"/>
        <item x="2"/>
        <item x="3"/>
        <item x="4"/>
        <item x="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1">
        <item x="0"/>
        <item x="1"/>
        <item x="2"/>
        <item x="3"/>
        <item x="4"/>
        <item m="1" x="13"/>
        <item m="1" x="9"/>
        <item m="1" x="20"/>
        <item m="1" x="14"/>
        <item m="1" x="6"/>
        <item m="1" x="8"/>
        <item m="1" x="18"/>
        <item m="1" x="15"/>
        <item m="1" x="17"/>
        <item m="1" x="11"/>
        <item m="1" x="10"/>
        <item m="1" x="7"/>
        <item m="1" x="19"/>
        <item m="1" x="16"/>
        <item m="1" x="12"/>
        <item m="1" x="5"/>
      </items>
      <extLst>
        <ext xmlns:x14="http://schemas.microsoft.com/office/spreadsheetml/2009/9/main" uri="{2946ED86-A175-432a-8AC1-64E0C546D7DE}">
          <x14:pivotField fillDownLabels="1"/>
        </ext>
      </extLst>
    </pivotField>
    <pivotField compact="0" outline="0" subtotalTop="0" showAll="0" defaultSubtotal="0">
      <items count="8">
        <item m="1" x="7"/>
        <item m="1" x="1"/>
        <item m="1" x="5"/>
        <item m="1" x="3"/>
        <item m="1" x="2"/>
        <item m="1" x="6"/>
        <item m="1" x="4"/>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2">
        <item x="0"/>
        <item x="1"/>
        <item x="2"/>
        <item x="3"/>
        <item m="1" x="5"/>
        <item m="1" x="9"/>
        <item m="1" x="11"/>
        <item m="1" x="6"/>
        <item m="1" x="8"/>
        <item m="1" x="10"/>
        <item m="1" x="7"/>
        <item x="4"/>
      </items>
      <extLst>
        <ext xmlns:x14="http://schemas.microsoft.com/office/spreadsheetml/2009/9/main" uri="{2946ED86-A175-432a-8AC1-64E0C546D7DE}">
          <x14:pivotField fillDownLabels="1"/>
        </ext>
      </extLst>
    </pivotField>
    <pivotField compact="0" outline="0" subtotalTop="0" showAll="0" defaultSubtotal="0">
      <items count="9">
        <item x="0"/>
        <item x="1"/>
        <item m="1" x="8"/>
        <item x="2"/>
        <item x="3"/>
        <item m="1" x="7"/>
        <item x="4"/>
        <item x="5"/>
        <item x="6"/>
      </items>
      <extLst>
        <ext xmlns:x14="http://schemas.microsoft.com/office/spreadsheetml/2009/9/main" uri="{2946ED86-A175-432a-8AC1-64E0C546D7DE}">
          <x14:pivotField fillDownLabels="1"/>
        </ext>
      </extLst>
    </pivotField>
  </pivotFields>
  <rowFields count="2">
    <field x="3"/>
    <field x="0"/>
  </rowFields>
  <rowItems count="8">
    <i>
      <x v="2"/>
      <x v="93"/>
    </i>
    <i>
      <x v="3"/>
      <x v="94"/>
    </i>
    <i>
      <x v="4"/>
      <x v="95"/>
    </i>
    <i>
      <x v="5"/>
      <x v="96"/>
    </i>
    <i r="1">
      <x v="97"/>
    </i>
    <i>
      <x v="6"/>
      <x v="98"/>
    </i>
    <i>
      <x v="7"/>
      <x v="99"/>
    </i>
    <i r="1">
      <x v="100"/>
    </i>
  </rowItems>
  <colFields count="1">
    <field x="5"/>
  </colFields>
  <colItems count="5">
    <i>
      <x/>
    </i>
    <i>
      <x v="1"/>
    </i>
    <i>
      <x v="2"/>
    </i>
    <i>
      <x v="3"/>
    </i>
    <i>
      <x v="4"/>
    </i>
  </colItems>
  <dataFields count="1">
    <dataField name="    " fld="0" subtotal="count" baseField="0" baseItem="0"/>
  </dataFields>
  <formats count="4">
    <format dxfId="21">
      <pivotArea field="6" type="button" dataOnly="0" labelOnly="1" outline="0"/>
    </format>
    <format dxfId="20">
      <pivotArea field="9" type="button" dataOnly="0" labelOnly="1" outline="0"/>
    </format>
    <format dxfId="19">
      <pivotArea field="8" type="button" dataOnly="0" labelOnly="1" outline="0"/>
    </format>
    <format dxfId="18">
      <pivotArea field="5"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I19" firstHeaderRow="1" firstDataRow="2" firstDataCol="2"/>
  <pivotFields count="10">
    <pivotField axis="axisRow" dataField="1" compact="0" outline="0" subtotalTop="0" showAll="0" sortType="ascending" defaultSubtotal="0">
      <items count="104">
        <item m="1" x="98"/>
        <item m="1" x="39"/>
        <item x="5"/>
        <item m="1" x="93"/>
        <item m="1" x="88"/>
        <item m="1" x="60"/>
        <item m="1" x="22"/>
        <item m="1" x="62"/>
        <item m="1" x="103"/>
        <item m="1" x="77"/>
        <item m="1" x="83"/>
        <item m="1" x="63"/>
        <item m="1" x="57"/>
        <item m="1" x="85"/>
        <item m="1" x="56"/>
        <item m="1" x="11"/>
        <item x="2"/>
        <item m="1" x="24"/>
        <item m="1" x="58"/>
        <item x="7"/>
        <item m="1" x="59"/>
        <item m="1" x="73"/>
        <item m="1" x="66"/>
        <item m="1" x="47"/>
        <item m="1" x="13"/>
        <item x="6"/>
        <item m="1" x="100"/>
        <item m="1" x="71"/>
        <item m="1" x="81"/>
        <item m="1" x="97"/>
        <item m="1" x="27"/>
        <item m="1" x="35"/>
        <item m="1" x="67"/>
        <item m="1" x="53"/>
        <item m="1" x="42"/>
        <item m="1" x="55"/>
        <item m="1" x="23"/>
        <item m="1" x="16"/>
        <item m="1" x="101"/>
        <item m="1" x="79"/>
        <item m="1" x="65"/>
        <item m="1" x="8"/>
        <item m="1" x="74"/>
        <item m="1" x="33"/>
        <item m="1" x="64"/>
        <item m="1" x="14"/>
        <item m="1" x="99"/>
        <item m="1" x="82"/>
        <item m="1" x="40"/>
        <item m="1" x="12"/>
        <item m="1" x="87"/>
        <item m="1" x="61"/>
        <item m="1" x="54"/>
        <item x="0"/>
        <item m="1" x="52"/>
        <item m="1" x="21"/>
        <item m="1" x="78"/>
        <item m="1" x="86"/>
        <item m="1" x="76"/>
        <item m="1" x="44"/>
        <item m="1" x="17"/>
        <item m="1" x="41"/>
        <item m="1" x="32"/>
        <item x="1"/>
        <item m="1" x="18"/>
        <item m="1" x="50"/>
        <item m="1" x="29"/>
        <item m="1" x="31"/>
        <item m="1" x="20"/>
        <item m="1" x="90"/>
        <item m="1" x="34"/>
        <item m="1" x="69"/>
        <item m="1" x="48"/>
        <item m="1" x="45"/>
        <item m="1" x="72"/>
        <item m="1" x="43"/>
        <item m="1" x="84"/>
        <item m="1" x="26"/>
        <item m="1" x="30"/>
        <item m="1" x="102"/>
        <item m="1" x="96"/>
        <item x="4"/>
        <item m="1" x="94"/>
        <item m="1" x="51"/>
        <item m="1" x="89"/>
        <item m="1" x="25"/>
        <item m="1" x="28"/>
        <item m="1" x="9"/>
        <item m="1" x="46"/>
        <item m="1" x="37"/>
        <item m="1" x="15"/>
        <item m="1" x="91"/>
        <item m="1" x="75"/>
        <item m="1" x="49"/>
        <item m="1" x="38"/>
        <item m="1" x="19"/>
        <item m="1" x="92"/>
        <item m="1" x="80"/>
        <item m="1" x="68"/>
        <item m="1" x="36"/>
        <item m="1" x="70"/>
        <item x="3"/>
        <item m="1" x="95"/>
        <item m="1" x="1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8">
        <item m="1" x="6"/>
        <item m="1" x="7"/>
        <item x="0"/>
        <item x="1"/>
        <item x="2"/>
        <item x="3"/>
        <item x="4"/>
        <item x="5"/>
      </items>
      <extLst>
        <ext xmlns:x14="http://schemas.microsoft.com/office/spreadsheetml/2009/9/main" uri="{2946ED86-A175-432a-8AC1-64E0C546D7DE}">
          <x14:pivotField fillDownLabels="1"/>
        </ext>
      </extLst>
    </pivotField>
    <pivotField axis="axisCol" compact="0" outline="0" subtotalTop="0" showAll="0" defaultSubtotal="0">
      <items count="8">
        <item m="1" x="5"/>
        <item x="0"/>
        <item x="1"/>
        <item x="2"/>
        <item m="1" x="6"/>
        <item x="3"/>
        <item x="4"/>
        <item m="1" x="7"/>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8">
    <i>
      <x v="2"/>
      <x v="53"/>
    </i>
    <i>
      <x v="3"/>
      <x v="63"/>
    </i>
    <i>
      <x v="4"/>
      <x v="16"/>
    </i>
    <i>
      <x v="5"/>
      <x v="81"/>
    </i>
    <i r="1">
      <x v="101"/>
    </i>
    <i>
      <x v="6"/>
      <x v="2"/>
    </i>
    <i>
      <x v="7"/>
      <x v="19"/>
    </i>
    <i r="1">
      <x v="25"/>
    </i>
  </rowItems>
  <colFields count="1">
    <field x="4"/>
  </colFields>
  <colItems count="5">
    <i>
      <x v="1"/>
    </i>
    <i>
      <x v="2"/>
    </i>
    <i>
      <x v="3"/>
    </i>
    <i>
      <x v="5"/>
    </i>
    <i>
      <x v="6"/>
    </i>
  </colItems>
  <dataFields count="1">
    <dataField name="Cuenta de Puesto-empresa" fld="0" subtotal="count" baseField="0" baseItem="0"/>
  </dataFields>
  <formats count="1">
    <format dxfId="22">
      <pivotArea field="0" type="button" dataOnly="0" labelOnly="1" outline="0" axis="axisRow" fieldPosition="1"/>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Complem" displayName="TblComplem" ref="B11:H47" totalsRowShown="0" headerRowDxfId="137" dataDxfId="136">
  <autoFilter ref="B11:H47" xr:uid="{00000000-0009-0000-0100-000004000000}"/>
  <tableColumns count="7">
    <tableColumn id="1" xr3:uid="{00000000-0010-0000-0000-000001000000}" name="Valor" dataDxfId="135"/>
    <tableColumn id="2" xr3:uid="{00000000-0010-0000-0000-000002000000}" name="Nombre Corto" dataDxfId="134"/>
    <tableColumn id="3" xr3:uid="{00000000-0010-0000-0000-000003000000}" name="Descripción" dataDxfId="133"/>
    <tableColumn id="6" xr3:uid="{00000000-0010-0000-0000-000006000000}" name="Retrib" dataDxfId="132"/>
    <tableColumn id="4" xr3:uid="{00000000-0010-0000-0000-000004000000}" name="Tipo" dataDxfId="131"/>
    <tableColumn id="9" xr3:uid="{00000000-0010-0000-0000-000009000000}" name="Normalizable" dataDxfId="130"/>
    <tableColumn id="7" xr3:uid="{00000000-0010-0000-0000-000007000000}" name="Anualizable" dataDxfId="129"/>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FormRetrib" displayName="TblFormRetrib" ref="E6:E8" totalsRowShown="0" headerRowDxfId="128" dataDxfId="127">
  <autoFilter ref="E6:E8" xr:uid="{00000000-0009-0000-0100-000005000000}">
    <filterColumn colId="0" hiddenButton="1"/>
  </autoFilter>
  <tableColumns count="1">
    <tableColumn id="1" xr3:uid="{00000000-0010-0000-0100-000001000000}" name="Retrib" dataDxfId="126"/>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TIPOS_RETRIB" displayName="TblTIPOS_RETRIB" ref="G6:G9" totalsRowShown="0" headerRowDxfId="125" dataDxfId="124">
  <autoFilter ref="G6:G9" xr:uid="{00000000-0009-0000-0100-000003000000}">
    <filterColumn colId="0" hiddenButton="1"/>
  </autoFilter>
  <tableColumns count="1">
    <tableColumn id="2" xr3:uid="{00000000-0010-0000-0200-000002000000}" name="Nombre" dataDxfId="123"/>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AGR_CL_EMP" displayName="TblAGR_CL_EMP" ref="J11:J41" totalsRowShown="0" headerRowDxfId="122" dataDxfId="121">
  <autoFilter ref="J11:J41" xr:uid="{00000000-0009-0000-0100-000006000000}"/>
  <tableColumns count="1">
    <tableColumn id="1" xr3:uid="{00000000-0010-0000-0300-000001000000}" name="AGRUP. CLAS. PROF. " dataDxfId="120"/>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GR_VAL_PTO" displayName="TblAGR_VAL_PTO" ref="L11:L41" totalsRowShown="0" headerRowDxfId="119" dataDxfId="118">
  <autoFilter ref="L11:L41" xr:uid="{00000000-0009-0000-0100-000007000000}"/>
  <tableColumns count="1">
    <tableColumn id="1" xr3:uid="{00000000-0010-0000-0400-000001000000}" name="AGRUP. VALOR. PTO" dataDxfId="117"/>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ATOS_" displayName="DATOS_" ref="B8:CO282" totalsRowShown="0" headerRowDxfId="116" dataDxfId="115">
  <autoFilter ref="B8:CO282" xr:uid="{00000000-0009-0000-0100-000002000000}"/>
  <sortState xmlns:xlrd2="http://schemas.microsoft.com/office/spreadsheetml/2017/richdata2" ref="B9:CO282">
    <sortCondition ref="B8:B282"/>
  </sortState>
  <tableColumns count="92">
    <tableColumn id="1" xr3:uid="{00000000-0010-0000-0500-000001000000}" name="id" dataDxfId="114"/>
    <tableColumn id="2" xr3:uid="{00000000-0010-0000-0500-000002000000}" name="Sexo" dataDxfId="113"/>
    <tableColumn id="3" xr3:uid="{00000000-0010-0000-0500-000003000000}" name="Fecha Nacimiento" dataDxfId="112"/>
    <tableColumn id="4" xr3:uid="{00000000-0010-0000-0500-000004000000}" name="Nivel de Estudios" dataDxfId="111"/>
    <tableColumn id="5" xr3:uid="{00000000-0010-0000-0500-000005000000}" name="Situación Familiar" dataDxfId="110"/>
    <tableColumn id="6" xr3:uid="{00000000-0010-0000-0500-000006000000}" name="Hijos/as" dataDxfId="109"/>
    <tableColumn id="7" xr3:uid="{00000000-0010-0000-0500-000007000000}" name="Fecha de Contratación" dataDxfId="108"/>
    <tableColumn id="8" xr3:uid="{00000000-0010-0000-0500-000008000000}" name="Fecha Fin Contrato" dataDxfId="107"/>
    <tableColumn id="34" xr3:uid="{00000000-0010-0000-0500-000022000000}" name="Fecha de Antigüedad" dataDxfId="106"/>
    <tableColumn id="255" xr3:uid="{00000000-0010-0000-0500-0000FF000000}" name="Fecha Inicio Sit. Contract." dataDxfId="105"/>
    <tableColumn id="256" xr3:uid="{00000000-0010-0000-0500-000000010000}" name="Fecha Fin Sit. Contract." dataDxfId="104"/>
    <tableColumn id="10" xr3:uid="{00000000-0010-0000-0500-00000A000000}" name="% de jornada" dataDxfId="103" dataCellStyle="Porcentaje"/>
    <tableColumn id="45" xr3:uid="{00000000-0010-0000-0500-00002D000000}" name="% jornada reducida" dataDxfId="102" dataCellStyle="Porcentaje"/>
    <tableColumn id="46" xr3:uid="{00000000-0010-0000-0500-00002E000000}" name="motivo reducción" dataDxfId="101" dataCellStyle="Porcentaje"/>
    <tableColumn id="9" xr3:uid="{00000000-0010-0000-0500-000009000000}" name="Clave de Contrato" dataDxfId="100"/>
    <tableColumn id="41" xr3:uid="{00000000-0010-0000-0500-000029000000}" name="Area-empresa" dataDxfId="99"/>
    <tableColumn id="14" xr3:uid="{00000000-0010-0000-0500-00000E000000}" name="Dpto-empresa" dataDxfId="98"/>
    <tableColumn id="13" xr3:uid="{00000000-0010-0000-0500-00000D000000}" name="Puesto-empresa" dataDxfId="97"/>
    <tableColumn id="47" xr3:uid="{00000000-0010-0000-0500-00002F000000}" name="Horario (continuo/partido)" dataDxfId="96"/>
    <tableColumn id="48" xr3:uid="{00000000-0010-0000-0500-000030000000}" name="Trabajo a turnos" dataDxfId="95"/>
    <tableColumn id="23" xr3:uid="{00000000-0010-0000-0500-000017000000}" name="Escala-empresa" dataDxfId="94"/>
    <tableColumn id="25" xr3:uid="{00000000-0010-0000-0500-000019000000}" name="AGRUP. CLAS. PROF." dataDxfId="93"/>
    <tableColumn id="32" xr3:uid="{00000000-0010-0000-0500-000020000000}" name="AGRUP. VALOR. PTO." dataDxfId="92"/>
    <tableColumn id="20" xr3:uid="{00000000-0010-0000-0500-000014000000}" name="Convenio/Área" dataDxfId="91"/>
    <tableColumn id="18" xr3:uid="{00000000-0010-0000-0500-000012000000}" name="Categoría profesional" dataDxfId="90"/>
    <tableColumn id="19" xr3:uid="{00000000-0010-0000-0500-000013000000}" name="Grupo profesional" dataDxfId="89"/>
    <tableColumn id="40" xr3:uid="{00000000-0010-0000-0500-000028000000}" name="Nivel" dataDxfId="88"/>
    <tableColumn id="24" xr3:uid="{00000000-0010-0000-0500-000018000000}" name="Grupo de Cotización Seg.Social." dataDxfId="87"/>
    <tableColumn id="26" xr3:uid="{00000000-0010-0000-0500-00001A000000}" name="S.BASE" dataDxfId="86"/>
    <tableColumn id="12" xr3:uid="{00000000-0010-0000-0500-00000C000000}" name="Conc.Sal.01" dataDxfId="85"/>
    <tableColumn id="15" xr3:uid="{00000000-0010-0000-0500-00000F000000}" name="Conc.Sal.02" dataDxfId="84"/>
    <tableColumn id="16" xr3:uid="{00000000-0010-0000-0500-000010000000}" name="Conc.Sal.03" dataDxfId="83"/>
    <tableColumn id="17" xr3:uid="{00000000-0010-0000-0500-000011000000}" name="Conc.Sal.04" dataDxfId="82"/>
    <tableColumn id="21" xr3:uid="{00000000-0010-0000-0500-000015000000}" name="Conc.Sal.05" dataDxfId="81"/>
    <tableColumn id="22" xr3:uid="{00000000-0010-0000-0500-000016000000}" name="Conc.Sal.06" dataDxfId="80"/>
    <tableColumn id="35" xr3:uid="{00000000-0010-0000-0500-000023000000}" name="Conc.Sal.07" dataDxfId="79"/>
    <tableColumn id="36" xr3:uid="{00000000-0010-0000-0500-000024000000}" name="Conc.Sal.08" dataDxfId="78"/>
    <tableColumn id="37" xr3:uid="{00000000-0010-0000-0500-000025000000}" name="Conc.Sal.09" dataDxfId="77"/>
    <tableColumn id="55" xr3:uid="{00000000-0010-0000-0500-000037000000}" name="Conc.Sal.10" dataDxfId="76"/>
    <tableColumn id="56" xr3:uid="{00000000-0010-0000-0500-000038000000}" name="Conc.Sal.11" dataDxfId="75"/>
    <tableColumn id="57" xr3:uid="{00000000-0010-0000-0500-000039000000}" name="Conc.Sal.12" dataDxfId="74"/>
    <tableColumn id="58" xr3:uid="{00000000-0010-0000-0500-00003A000000}" name="Conc.Sal.13" dataDxfId="73"/>
    <tableColumn id="59" xr3:uid="{00000000-0010-0000-0500-00003B000000}" name="Conc.Sal.14" dataDxfId="72"/>
    <tableColumn id="60" xr3:uid="{00000000-0010-0000-0500-00003C000000}" name="Conc.Sal.15" dataDxfId="71"/>
    <tableColumn id="61" xr3:uid="{00000000-0010-0000-0500-00003D000000}" name="Conc.Sal.16" dataDxfId="70"/>
    <tableColumn id="62" xr3:uid="{00000000-0010-0000-0500-00003E000000}" name="Conc.Sal.17" dataDxfId="69"/>
    <tableColumn id="63" xr3:uid="{00000000-0010-0000-0500-00003F000000}" name="Conc.Sal.18" dataDxfId="68"/>
    <tableColumn id="64" xr3:uid="{00000000-0010-0000-0500-000040000000}" name="Conc.Sal.19" dataDxfId="67"/>
    <tableColumn id="65" xr3:uid="{00000000-0010-0000-0500-000041000000}" name="Conc.Sal.20" dataDxfId="66"/>
    <tableColumn id="66" xr3:uid="{00000000-0010-0000-0500-000042000000}" name="Conc.Sal.21" dataDxfId="65"/>
    <tableColumn id="67" xr3:uid="{00000000-0010-0000-0500-000043000000}" name="Conc.Sal.22" dataDxfId="64"/>
    <tableColumn id="68" xr3:uid="{00000000-0010-0000-0500-000044000000}" name="Conc.Sal.23" dataDxfId="63"/>
    <tableColumn id="69" xr3:uid="{00000000-0010-0000-0500-000045000000}" name="Conc.Sal.24" dataDxfId="62"/>
    <tableColumn id="70" xr3:uid="{00000000-0010-0000-0500-000046000000}" name="Conc.Sal.25" dataDxfId="61"/>
    <tableColumn id="71" xr3:uid="{00000000-0010-0000-0500-000047000000}" name="Conc.Sal.26" dataDxfId="60"/>
    <tableColumn id="72" xr3:uid="{00000000-0010-0000-0500-000048000000}" name="Conc.Sal.27" dataDxfId="59"/>
    <tableColumn id="73" xr3:uid="{00000000-0010-0000-0500-000049000000}" name="Conc.Sal.28" dataDxfId="58"/>
    <tableColumn id="74" xr3:uid="{00000000-0010-0000-0500-00004A000000}" name="Conc.Sal.29" dataDxfId="57"/>
    <tableColumn id="75" xr3:uid="{00000000-0010-0000-0500-00004B000000}" name="Conc.Sal.30" dataDxfId="56"/>
    <tableColumn id="76" xr3:uid="{00000000-0010-0000-0500-00004C000000}" name="C.Extra.01" dataDxfId="55"/>
    <tableColumn id="77" xr3:uid="{00000000-0010-0000-0500-00004D000000}" name="C.Extra.02" dataDxfId="54"/>
    <tableColumn id="78" xr3:uid="{00000000-0010-0000-0500-00004E000000}" name="C.Extra.03" dataDxfId="53"/>
    <tableColumn id="79" xr3:uid="{00000000-0010-0000-0500-00004F000000}" name="C.Extra.04" dataDxfId="52"/>
    <tableColumn id="80" xr3:uid="{00000000-0010-0000-0500-000050000000}" name="C.Extra.05" dataDxfId="51"/>
    <tableColumn id="257" xr3:uid="{00000000-0010-0000-0500-000001010000}" name="F.ini.cal" dataDxfId="50">
      <calculatedColumnFormula>+MAX($D$3,DATOS_[[#This Row],[Fecha Inicio Sit. Contract.]])</calculatedColumnFormula>
    </tableColumn>
    <tableColumn id="258" xr3:uid="{00000000-0010-0000-0500-000002010000}" name="F.fin.cal" dataDxfId="49">
      <calculatedColumnFormula>+MIN($D$4,DATOS_[[#This Row],[Fecha Fin Sit. Contract.]])</calculatedColumnFormula>
    </tableColumn>
    <tableColumn id="259" xr3:uid="{00000000-0010-0000-0500-000003010000}" name="% normaliz" dataDxfId="48" dataCellStyle="Porcentaje">
      <calculatedColumnFormula>+DATOS_[[#This Row],[% de jornada]]*IF(DATOS_[[#This Row],[% jornada reducida]]="",1,DATOS_[[#This Row],[% jornada reducida]])</calculatedColumnFormula>
    </tableColumn>
    <tableColumn id="260" xr3:uid="{00000000-0010-0000-0500-000004010000}" name="% anualiz" dataDxfId="47" dataCellStyle="Porcentaje">
      <calculatedColumnFormula>+(DATOS_[[#This Row],[F.fin.cal]]-DATOS_[[#This Row],[F.ini.cal]]+1)/($D$4-$D$3+1)</calculatedColumnFormula>
    </tableColumn>
    <tableColumn id="28" xr3:uid="{00000000-0010-0000-0500-00001C000000}" name="Check Periodo Ref." dataDxfId="46" dataCellStyle="Porcentaje">
      <calculatedColumnFormula>IF(OR(AND(DATOS_[[#This Row],[Fecha Fin Contrato]]&lt;$D$3,DATOS_[[#This Row],[Fecha Fin Contrato]]&lt;&gt;""),DATOS_[[#This Row],[Fecha de Contratación]]&gt;$D$4),"Fuera","Dentro")</calculatedColumnFormula>
    </tableColumn>
    <tableColumn id="27" xr3:uid="{00000000-0010-0000-0500-00001B000000}" name="Check Equiparado" dataDxfId="45" dataCellStyle="Porcentaje">
      <calculatedColumnFormula array="1">IF(MAX(IF(DATOS_[id]=DATOS_[[#This Row],[id]],DATOS_[F.fin.cal]))=DATOS_[[#This Row],[F.fin.cal]],"Sí","NO")</calculatedColumnFormula>
    </tableColumn>
    <tableColumn id="81" xr3:uid="{00000000-0010-0000-0500-000051000000}" name="Check Nº SC Norm" dataDxfId="44" dataCellStyle="Porcentaje">
      <calculatedColumnFormula>IF(AND(DATOS_[[#This Row],[% normaliz]]&lt;&gt;1,DATOS_[[#This Row],[% anualiz]]=1),"Sí","NO")</calculatedColumnFormula>
    </tableColumn>
    <tableColumn id="44" xr3:uid="{00000000-0010-0000-0500-00002C000000}" name="Check Nº SC Anualiz" dataDxfId="43" dataCellStyle="Porcentaje">
      <calculatedColumnFormula>IF(AND(DATOS_[[#This Row],[% normaliz]]=1,DATOS_[[#This Row],[% anualiz]]&lt;&gt;1),"Sí","NO")</calculatedColumnFormula>
    </tableColumn>
    <tableColumn id="38" xr3:uid="{00000000-0010-0000-0500-000026000000}" name="Check Nº SC Norm y Anualiz" dataDxfId="42" dataCellStyle="Porcentaje">
      <calculatedColumnFormula>IF(AND(DATOS_[[#This Row],[% normaliz]]&lt;&gt;1,DATOS_[[#This Row],[% anualiz]]&lt;&gt;1),"Sí","NO")</calculatedColumnFormula>
    </tableColumn>
    <tableColumn id="29" xr3:uid="{00000000-0010-0000-0500-00001D000000}" name="Check Equiparación" dataDxfId="41" dataCellStyle="Porcentaje">
      <calculatedColumnFormula>+IF(DATOS_[[#This Row],[% normaliz]]*DATOS_[[#This Row],[% anualiz]]=1,"NO","Sí")</calculatedColumnFormula>
    </tableColumn>
    <tableColumn id="39" xr3:uid="{00000000-0010-0000-0500-000027000000}" name="SALARIO BASE Eq" dataDxfId="40">
      <calculatedColumnFormula>(DATOS_[[#This Row],[S.BASE]]*(1/DATOS_[[#This Row],[% normaliz]])*(1/DATOS_[[#This Row],[% anualiz]]))*IF(DATOS_[[#This Row],[Check Equiparado]]="Sí",1,0)</calculatedColumnFormula>
    </tableColumn>
    <tableColumn id="33" xr3:uid="{00000000-0010-0000-0500-000021000000}" name="Tot COMPL.SAL Eq" dataDxfId="39">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xr3:uid="{00000000-0010-0000-0500-00000B000000}" name="TOTAL SALARIO Eq" dataDxfId="38">
      <calculatedColumnFormula>+DATOS_[[#This Row],[SALARIO BASE Eq]]+DATOS_[[#This Row],[Tot COMPL.SAL Eq]]</calculatedColumnFormula>
    </tableColumn>
    <tableColumn id="30" xr3:uid="{00000000-0010-0000-0500-00001E000000}" name="Tot Extrasalarial Eq" dataDxfId="37">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xr3:uid="{00000000-0010-0000-0500-00001F000000}" name="TOTAL Retrib Eq" dataDxfId="36">
      <calculatedColumnFormula>+DATOS_[[#This Row],[TOTAL SALARIO Eq]]+DATOS_[[#This Row],[Tot Extrasalarial Eq]]</calculatedColumnFormula>
    </tableColumn>
    <tableColumn id="246" xr3:uid="{00000000-0010-0000-0500-0000F6000000}" name="SALARIO BASE Ef" dataDxfId="35">
      <calculatedColumnFormula>DATOS_[[#This Row],[S.BASE]]</calculatedColumnFormula>
    </tableColumn>
    <tableColumn id="248" xr3:uid="{00000000-0010-0000-0500-0000F8000000}" name="Tot COMPL.SAL Ef" dataDxfId="34">
      <calculatedColumnFormula>+SUM(DATOS_[[#This Row],[Conc.Sal.01]:[Conc.Sal.30]])</calculatedColumnFormula>
    </tableColumn>
    <tableColumn id="249" xr3:uid="{00000000-0010-0000-0500-0000F9000000}" name="TOTAL SALARIO Ef" dataDxfId="33">
      <calculatedColumnFormula>+DATOS_[[#This Row],[SALARIO BASE Ef]]+DATOS_[[#This Row],[Tot COMPL.SAL Ef]]</calculatedColumnFormula>
    </tableColumn>
    <tableColumn id="250" xr3:uid="{00000000-0010-0000-0500-0000FA000000}" name="Tot Extrasalarial Ef" dataDxfId="32">
      <calculatedColumnFormula>+SUM(DATOS_[[#This Row],[C.Extra.01]:[C.Extra.05]])</calculatedColumnFormula>
    </tableColumn>
    <tableColumn id="251" xr3:uid="{00000000-0010-0000-0500-0000FB000000}" name="TOTAL Retrib Ef" dataDxfId="31">
      <calculatedColumnFormula>+DATOS_[[#This Row],[TOTAL SALARIO Ef]]+DATOS_[[#This Row],[Tot Extrasalarial Ef]]</calculatedColumnFormula>
    </tableColumn>
    <tableColumn id="42" xr3:uid="{00000000-0010-0000-0500-00002A000000}" name="DIAS TRABAJ. EN EL AÑO" dataDxfId="30">
      <calculatedColumnFormula>MIN(IF(DATOS_[[#This Row],[Fecha Fin Contrato]]="",$D$4,DATOS_[[#This Row],[Fecha Fin Contrato]]),$D$4)-MAX(DATOS_[[#This Row],[Fecha de Contratación]],$D$3)+1</calculatedColumnFormula>
    </tableColumn>
    <tableColumn id="43" xr3:uid="{00000000-0010-0000-0500-00002B000000}" name="REPET." dataDxfId="29">
      <calculatedColumnFormula>IF(COUNTIFS(DATOS_[id],DATOS_[[#This Row],[id]])&gt;1,DATOS_[[#This Row],[id]],"")</calculatedColumnFormula>
    </tableColumn>
    <tableColumn id="49" xr3:uid="{00000000-0010-0000-0500-000031000000}" name="Edad" dataDxfId="28">
      <calculatedColumnFormula>(Inicio!$G$10-DATOS_[[#This Row],[Fecha Nacimiento]])/365.25</calculatedColumnFormula>
    </tableColumn>
    <tableColumn id="50" xr3:uid="{00000000-0010-0000-0500-000032000000}" name="Antigüedad" dataDxfId="27">
      <calculatedColumnFormula>(Inicio!$G$10-DATOS_[[#This Row],[Fecha de Antigüedad]])/365.25</calculatedColumnFormula>
    </tableColumn>
    <tableColumn id="51" xr3:uid="{00000000-0010-0000-0500-000033000000}" name="Jornada" dataDxfId="26">
      <calculatedColumnFormula>+VLOOKUP(DATOS_[[#This Row],[Clave de Contrato]],TblTiposContrato13[],3,FALSE)</calculatedColumnFormula>
    </tableColumn>
    <tableColumn id="52" xr3:uid="{00000000-0010-0000-0500-000034000000}" name="Contrato" dataDxfId="25">
      <calculatedColumnFormula>+VLOOKUP(DATOS_[[#This Row],[Clave de Contrato]],TblTiposContrato13[],4,FALSE)</calculatedColumnFormula>
    </tableColumn>
    <tableColumn id="53" xr3:uid="{00000000-0010-0000-0500-000035000000}" name="Intervalo Edad" dataDxfId="24">
      <calculatedColumnFormula>VLOOKUP(DATOS_[[#This Row],[Edad]],CONTRATOS!TblRngEdad,2,TRUE)</calculatedColumnFormula>
    </tableColumn>
    <tableColumn id="54" xr3:uid="{00000000-0010-0000-0500-000036000000}" name="Intervalo Antigüedad" dataDxfId="23">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blTiposContrato13" displayName="TblTiposContrato13" ref="D4:G47" totalsRowShown="0" headerRowDxfId="17" dataDxfId="16" tableBorderDxfId="15">
  <autoFilter ref="D4:G47" xr:uid="{00000000-0009-0000-0100-00000C000000}"/>
  <sortState xmlns:xlrd2="http://schemas.microsoft.com/office/spreadsheetml/2017/richdata2" ref="D5:G47">
    <sortCondition ref="D4:D47"/>
  </sortState>
  <tableColumns count="4">
    <tableColumn id="1" xr3:uid="{00000000-0010-0000-0600-000001000000}" name="Valor" dataDxfId="14"/>
    <tableColumn id="2" xr3:uid="{00000000-0010-0000-0600-000002000000}" name="Descripción" dataDxfId="13"/>
    <tableColumn id="3" xr3:uid="{00000000-0010-0000-0600-000003000000}" name="Jornada" dataDxfId="12"/>
    <tableColumn id="4" xr3:uid="{00000000-0010-0000-0600-000004000000}" name="Contrato" dataDxfId="11"/>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blRngAntg14" displayName="TblRngAntg14" ref="J4:K10" totalsRowShown="0" headerRowDxfId="10" dataDxfId="9">
  <autoFilter ref="J4:K10" xr:uid="{00000000-0009-0000-0100-00000D000000}"/>
  <sortState xmlns:xlrd2="http://schemas.microsoft.com/office/spreadsheetml/2017/richdata2" ref="J5:K9">
    <sortCondition ref="J3:J8"/>
  </sortState>
  <tableColumns count="2">
    <tableColumn id="3" xr3:uid="{00000000-0010-0000-0700-000003000000}" name="límite inferior" dataDxfId="8"/>
    <tableColumn id="1" xr3:uid="{00000000-0010-0000-0700-000001000000}" name="Nombre Rango" dataDxfId="7"/>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blRangEdad15" displayName="TblRangEdad15" ref="M4:N14" totalsRowShown="0">
  <autoFilter ref="M4:N14" xr:uid="{00000000-0009-0000-0100-00000E000000}"/>
  <tableColumns count="2">
    <tableColumn id="1" xr3:uid="{00000000-0010-0000-0800-000001000000}" name="límite inferior" dataDxfId="6"/>
    <tableColumn id="2" xr3:uid="{00000000-0010-0000-0800-000002000000}" name="Nombre Rango" dataDxfId="5"/>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blReduccionJorn16" displayName="TblReduccionJorn16" ref="P4:Q10" totalsRowShown="0" headerRowDxfId="4" dataDxfId="3" headerRowCellStyle="Énfasis5">
  <autoFilter ref="P4:Q10" xr:uid="{00000000-0009-0000-0100-00000F000000}"/>
  <tableColumns count="2">
    <tableColumn id="1" xr3:uid="{00000000-0010-0000-0900-000001000000}" name="Valor" dataDxfId="2"/>
    <tableColumn id="2" xr3:uid="{00000000-0010-0000-0900-000002000000}" name="Descripción"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L34"/>
  <sheetViews>
    <sheetView showGridLines="0" tabSelected="1" zoomScale="80" zoomScaleNormal="80" workbookViewId="0">
      <selection activeCell="O25" sqref="O25"/>
    </sheetView>
  </sheetViews>
  <sheetFormatPr baseColWidth="10" defaultRowHeight="15" x14ac:dyDescent="0.25"/>
  <cols>
    <col min="2" max="13" width="13.85546875" customWidth="1"/>
  </cols>
  <sheetData>
    <row r="1" spans="2:10" ht="89.25" customHeight="1" x14ac:dyDescent="0.25"/>
    <row r="2" spans="2:10" ht="53.45" customHeight="1" x14ac:dyDescent="0.25"/>
    <row r="6" spans="2:10" x14ac:dyDescent="0.25">
      <c r="B6" s="2" t="s">
        <v>101</v>
      </c>
      <c r="C6" s="333" t="s">
        <v>401</v>
      </c>
      <c r="D6" s="334"/>
      <c r="E6" s="334"/>
      <c r="F6" s="334"/>
      <c r="G6" s="334"/>
      <c r="H6" s="335"/>
    </row>
    <row r="7" spans="2:10" ht="5.45" customHeight="1" x14ac:dyDescent="0.25">
      <c r="B7" s="2"/>
      <c r="C7" s="12"/>
      <c r="D7" s="12"/>
      <c r="E7" s="13"/>
      <c r="F7" s="13"/>
      <c r="G7" s="13"/>
      <c r="H7" s="13"/>
    </row>
    <row r="8" spans="2:10" x14ac:dyDescent="0.25">
      <c r="B8" s="11" t="s">
        <v>102</v>
      </c>
      <c r="C8" s="336" t="s">
        <v>402</v>
      </c>
      <c r="D8" s="337"/>
      <c r="J8" s="28"/>
    </row>
    <row r="9" spans="2:10" ht="5.45" customHeight="1" x14ac:dyDescent="0.25"/>
    <row r="10" spans="2:10" x14ac:dyDescent="0.25">
      <c r="B10" s="3" t="s">
        <v>97</v>
      </c>
      <c r="D10" s="10" t="s">
        <v>93</v>
      </c>
      <c r="E10" s="14">
        <v>45292</v>
      </c>
      <c r="F10" s="10" t="s">
        <v>94</v>
      </c>
      <c r="G10" s="14">
        <v>45657</v>
      </c>
      <c r="J10" s="28"/>
    </row>
    <row r="11" spans="2:10" ht="8.4499999999999993" customHeight="1" x14ac:dyDescent="0.25"/>
    <row r="12" spans="2:10" hidden="1" x14ac:dyDescent="0.25"/>
    <row r="16" spans="2:10" ht="25.9" customHeight="1" x14ac:dyDescent="0.25">
      <c r="B16" s="29" t="s">
        <v>248</v>
      </c>
    </row>
    <row r="22" spans="2:12" ht="21" x14ac:dyDescent="0.25">
      <c r="B22" s="29" t="s">
        <v>367</v>
      </c>
    </row>
    <row r="28" spans="2:12" hidden="1" x14ac:dyDescent="0.25"/>
    <row r="29" spans="2:12" hidden="1" x14ac:dyDescent="0.25"/>
    <row r="30" spans="2:12" ht="28.9" customHeight="1" x14ac:dyDescent="0.25">
      <c r="B30" s="338" t="s">
        <v>375</v>
      </c>
      <c r="C30" s="338"/>
      <c r="D30" s="338"/>
      <c r="E30" s="338"/>
      <c r="F30" s="338"/>
      <c r="G30" s="338"/>
      <c r="H30" s="338"/>
      <c r="I30" s="338"/>
      <c r="J30" s="338"/>
      <c r="K30" s="338"/>
      <c r="L30" s="338"/>
    </row>
    <row r="32" spans="2:12" s="328" customFormat="1" ht="21" x14ac:dyDescent="0.35">
      <c r="C32" s="329"/>
      <c r="H32" s="329"/>
      <c r="K32" s="329"/>
    </row>
    <row r="34" spans="6:6" x14ac:dyDescent="0.25">
      <c r="F34" s="319"/>
    </row>
  </sheetData>
  <mergeCells count="3">
    <mergeCell ref="C6:H6"/>
    <mergeCell ref="C8:D8"/>
    <mergeCell ref="B30:L30"/>
  </mergeCells>
  <pageMargins left="0.25" right="0.25"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pageSetUpPr fitToPage="1"/>
  </sheetPr>
  <dimension ref="D2:I63"/>
  <sheetViews>
    <sheetView showGridLines="0" workbookViewId="0"/>
  </sheetViews>
  <sheetFormatPr baseColWidth="10" defaultColWidth="11.5703125" defaultRowHeight="15" x14ac:dyDescent="0.25"/>
  <cols>
    <col min="1" max="1" width="8.7109375" style="16" customWidth="1"/>
    <col min="2" max="3" width="3.7109375" style="16" customWidth="1"/>
    <col min="4" max="4" width="16.140625" style="16" customWidth="1"/>
    <col min="5" max="5" width="19.42578125" style="16" customWidth="1"/>
    <col min="6" max="6" width="4.7109375" style="16" bestFit="1" customWidth="1"/>
    <col min="7" max="7" width="109.140625" style="16" customWidth="1"/>
    <col min="8" max="8" width="16.7109375" style="16" customWidth="1"/>
    <col min="9" max="9" width="16.85546875" style="16" customWidth="1"/>
    <col min="10" max="16384" width="11.5703125" style="16"/>
  </cols>
  <sheetData>
    <row r="2" spans="4:9" ht="15.75" thickBot="1" x14ac:dyDescent="0.3"/>
    <row r="3" spans="4:9" x14ac:dyDescent="0.25">
      <c r="D3" s="339" t="s">
        <v>78</v>
      </c>
      <c r="E3" s="339" t="s">
        <v>14</v>
      </c>
      <c r="F3" s="189" t="s">
        <v>319</v>
      </c>
      <c r="G3" s="339" t="s">
        <v>13</v>
      </c>
      <c r="H3" s="339" t="s">
        <v>79</v>
      </c>
      <c r="I3" s="339" t="s">
        <v>80</v>
      </c>
    </row>
    <row r="4" spans="4:9" ht="15.75" thickBot="1" x14ac:dyDescent="0.3">
      <c r="D4" s="340"/>
      <c r="E4" s="340"/>
      <c r="F4" s="190" t="s">
        <v>320</v>
      </c>
      <c r="G4" s="340"/>
      <c r="H4" s="340"/>
      <c r="I4" s="340"/>
    </row>
    <row r="5" spans="4:9" ht="15.75" thickBot="1" x14ac:dyDescent="0.3">
      <c r="D5" s="191" t="s">
        <v>0</v>
      </c>
      <c r="E5" s="192" t="s">
        <v>81</v>
      </c>
      <c r="F5" s="192" t="s">
        <v>82</v>
      </c>
      <c r="G5" s="193" t="s">
        <v>83</v>
      </c>
      <c r="H5" s="192" t="s">
        <v>84</v>
      </c>
      <c r="I5" s="194"/>
    </row>
    <row r="6" spans="4:9" ht="15.75" thickBot="1" x14ac:dyDescent="0.3">
      <c r="D6" s="191" t="s">
        <v>1</v>
      </c>
      <c r="E6" s="195" t="s">
        <v>81</v>
      </c>
      <c r="F6" s="195" t="s">
        <v>82</v>
      </c>
      <c r="G6" s="196" t="s">
        <v>85</v>
      </c>
      <c r="H6" s="195" t="s">
        <v>86</v>
      </c>
      <c r="I6" s="195" t="s">
        <v>103</v>
      </c>
    </row>
    <row r="7" spans="4:9" ht="15.75" thickBot="1" x14ac:dyDescent="0.3">
      <c r="D7" s="191" t="s">
        <v>2</v>
      </c>
      <c r="E7" s="192" t="s">
        <v>81</v>
      </c>
      <c r="F7" s="194"/>
      <c r="G7" s="193" t="s">
        <v>87</v>
      </c>
      <c r="H7" s="192" t="s">
        <v>88</v>
      </c>
      <c r="I7" s="192" t="s">
        <v>104</v>
      </c>
    </row>
    <row r="8" spans="4:9" ht="15.75" thickBot="1" x14ac:dyDescent="0.3">
      <c r="D8" s="191" t="s">
        <v>3</v>
      </c>
      <c r="E8" s="195" t="s">
        <v>81</v>
      </c>
      <c r="F8" s="197"/>
      <c r="G8" s="196" t="s">
        <v>89</v>
      </c>
      <c r="H8" s="195" t="s">
        <v>86</v>
      </c>
      <c r="I8" s="197"/>
    </row>
    <row r="9" spans="4:9" ht="26.25" thickBot="1" x14ac:dyDescent="0.3">
      <c r="D9" s="191" t="s">
        <v>4</v>
      </c>
      <c r="E9" s="192" t="s">
        <v>81</v>
      </c>
      <c r="F9" s="194"/>
      <c r="G9" s="193" t="s">
        <v>90</v>
      </c>
      <c r="H9" s="192" t="s">
        <v>84</v>
      </c>
      <c r="I9" s="192" t="s">
        <v>105</v>
      </c>
    </row>
    <row r="10" spans="4:9" ht="15.75" thickBot="1" x14ac:dyDescent="0.3">
      <c r="D10" s="191" t="s">
        <v>5</v>
      </c>
      <c r="E10" s="195" t="s">
        <v>81</v>
      </c>
      <c r="F10" s="197"/>
      <c r="G10" s="196" t="s">
        <v>158</v>
      </c>
      <c r="H10" s="195" t="s">
        <v>84</v>
      </c>
      <c r="I10" s="197"/>
    </row>
    <row r="11" spans="4:9" ht="26.25" thickBot="1" x14ac:dyDescent="0.3">
      <c r="D11" s="198" t="s">
        <v>6</v>
      </c>
      <c r="E11" s="192" t="s">
        <v>252</v>
      </c>
      <c r="F11" s="192" t="s">
        <v>82</v>
      </c>
      <c r="G11" s="193" t="s">
        <v>321</v>
      </c>
      <c r="H11" s="192" t="s">
        <v>88</v>
      </c>
      <c r="I11" s="192" t="s">
        <v>104</v>
      </c>
    </row>
    <row r="12" spans="4:9" ht="26.25" thickBot="1" x14ac:dyDescent="0.3">
      <c r="D12" s="198" t="s">
        <v>7</v>
      </c>
      <c r="E12" s="195" t="s">
        <v>252</v>
      </c>
      <c r="F12" s="195" t="s">
        <v>82</v>
      </c>
      <c r="G12" s="196" t="s">
        <v>322</v>
      </c>
      <c r="H12" s="195" t="s">
        <v>88</v>
      </c>
      <c r="I12" s="195" t="s">
        <v>104</v>
      </c>
    </row>
    <row r="13" spans="4:9" ht="26.25" thickBot="1" x14ac:dyDescent="0.3">
      <c r="D13" s="198" t="s">
        <v>77</v>
      </c>
      <c r="E13" s="192" t="s">
        <v>252</v>
      </c>
      <c r="F13" s="194"/>
      <c r="G13" s="193" t="s">
        <v>159</v>
      </c>
      <c r="H13" s="192" t="s">
        <v>88</v>
      </c>
      <c r="I13" s="192" t="s">
        <v>104</v>
      </c>
    </row>
    <row r="14" spans="4:9" ht="26.25" thickBot="1" x14ac:dyDescent="0.3">
      <c r="D14" s="198" t="s">
        <v>166</v>
      </c>
      <c r="E14" s="195" t="s">
        <v>252</v>
      </c>
      <c r="F14" s="195" t="s">
        <v>82</v>
      </c>
      <c r="G14" s="196" t="s">
        <v>323</v>
      </c>
      <c r="H14" s="195" t="s">
        <v>88</v>
      </c>
      <c r="I14" s="195" t="s">
        <v>104</v>
      </c>
    </row>
    <row r="15" spans="4:9" ht="26.25" thickBot="1" x14ac:dyDescent="0.3">
      <c r="D15" s="198" t="s">
        <v>165</v>
      </c>
      <c r="E15" s="192" t="s">
        <v>252</v>
      </c>
      <c r="F15" s="192" t="s">
        <v>82</v>
      </c>
      <c r="G15" s="193" t="s">
        <v>373</v>
      </c>
      <c r="H15" s="192" t="s">
        <v>88</v>
      </c>
      <c r="I15" s="192" t="s">
        <v>104</v>
      </c>
    </row>
    <row r="16" spans="4:9" ht="51.75" thickBot="1" x14ac:dyDescent="0.3">
      <c r="D16" s="198" t="s">
        <v>9</v>
      </c>
      <c r="E16" s="195" t="s">
        <v>252</v>
      </c>
      <c r="F16" s="195" t="s">
        <v>82</v>
      </c>
      <c r="G16" s="196" t="s">
        <v>358</v>
      </c>
      <c r="H16" s="195" t="s">
        <v>91</v>
      </c>
      <c r="I16" s="195" t="s">
        <v>106</v>
      </c>
    </row>
    <row r="17" spans="4:9" ht="39" thickBot="1" x14ac:dyDescent="0.3">
      <c r="D17" s="198" t="s">
        <v>119</v>
      </c>
      <c r="E17" s="192" t="s">
        <v>252</v>
      </c>
      <c r="F17" s="199" t="s">
        <v>82</v>
      </c>
      <c r="G17" s="194" t="s">
        <v>359</v>
      </c>
      <c r="H17" s="199" t="s">
        <v>91</v>
      </c>
      <c r="I17" s="199" t="s">
        <v>106</v>
      </c>
    </row>
    <row r="18" spans="4:9" ht="45.75" thickBot="1" x14ac:dyDescent="0.3">
      <c r="D18" s="198" t="s">
        <v>118</v>
      </c>
      <c r="E18" s="195" t="s">
        <v>252</v>
      </c>
      <c r="F18" s="197"/>
      <c r="G18" s="196" t="s">
        <v>324</v>
      </c>
      <c r="H18" s="195" t="s">
        <v>86</v>
      </c>
      <c r="I18" s="188" t="s">
        <v>265</v>
      </c>
    </row>
    <row r="19" spans="4:9" ht="30.75" thickBot="1" x14ac:dyDescent="0.3">
      <c r="D19" s="200" t="s">
        <v>8</v>
      </c>
      <c r="E19" s="192" t="s">
        <v>252</v>
      </c>
      <c r="F19" s="194"/>
      <c r="G19" s="193" t="s">
        <v>325</v>
      </c>
      <c r="H19" s="192" t="s">
        <v>84</v>
      </c>
      <c r="I19" s="231" t="s">
        <v>364</v>
      </c>
    </row>
    <row r="20" spans="4:9" ht="26.25" thickBot="1" x14ac:dyDescent="0.3">
      <c r="D20" s="201" t="s">
        <v>73</v>
      </c>
      <c r="E20" s="195" t="s">
        <v>92</v>
      </c>
      <c r="F20" s="197"/>
      <c r="G20" s="196" t="s">
        <v>326</v>
      </c>
      <c r="H20" s="195" t="s">
        <v>86</v>
      </c>
      <c r="I20" s="195" t="s">
        <v>107</v>
      </c>
    </row>
    <row r="21" spans="4:9" ht="15.75" thickBot="1" x14ac:dyDescent="0.3">
      <c r="D21" s="201" t="s">
        <v>74</v>
      </c>
      <c r="E21" s="192" t="s">
        <v>92</v>
      </c>
      <c r="F21" s="194"/>
      <c r="G21" s="193" t="s">
        <v>327</v>
      </c>
      <c r="H21" s="192" t="s">
        <v>86</v>
      </c>
      <c r="I21" s="192" t="s">
        <v>107</v>
      </c>
    </row>
    <row r="22" spans="4:9" ht="26.25" thickBot="1" x14ac:dyDescent="0.3">
      <c r="D22" s="201" t="s">
        <v>75</v>
      </c>
      <c r="E22" s="195" t="s">
        <v>92</v>
      </c>
      <c r="F22" s="195" t="s">
        <v>82</v>
      </c>
      <c r="G22" s="196" t="s">
        <v>328</v>
      </c>
      <c r="H22" s="195" t="s">
        <v>86</v>
      </c>
      <c r="I22" s="195" t="s">
        <v>107</v>
      </c>
    </row>
    <row r="23" spans="4:9" ht="26.25" thickBot="1" x14ac:dyDescent="0.3">
      <c r="D23" s="201" t="s">
        <v>160</v>
      </c>
      <c r="E23" s="192" t="s">
        <v>92</v>
      </c>
      <c r="F23" s="194"/>
      <c r="G23" s="193" t="s">
        <v>329</v>
      </c>
      <c r="H23" s="192" t="s">
        <v>86</v>
      </c>
      <c r="I23" s="192" t="s">
        <v>156</v>
      </c>
    </row>
    <row r="24" spans="4:9" ht="15.75" thickBot="1" x14ac:dyDescent="0.3">
      <c r="D24" s="201" t="s">
        <v>120</v>
      </c>
      <c r="E24" s="195" t="s">
        <v>92</v>
      </c>
      <c r="F24" s="197"/>
      <c r="G24" s="196" t="s">
        <v>330</v>
      </c>
      <c r="H24" s="195" t="s">
        <v>86</v>
      </c>
      <c r="I24" s="195" t="s">
        <v>157</v>
      </c>
    </row>
    <row r="25" spans="4:9" ht="15.75" thickBot="1" x14ac:dyDescent="0.3">
      <c r="D25" s="201" t="s">
        <v>76</v>
      </c>
      <c r="E25" s="192" t="s">
        <v>92</v>
      </c>
      <c r="F25" s="317" t="s">
        <v>374</v>
      </c>
      <c r="G25" s="193" t="s">
        <v>331</v>
      </c>
      <c r="H25" s="192" t="s">
        <v>86</v>
      </c>
      <c r="I25" s="192" t="s">
        <v>107</v>
      </c>
    </row>
    <row r="26" spans="4:9" ht="51.75" thickBot="1" x14ac:dyDescent="0.3">
      <c r="D26" s="232" t="s">
        <v>369</v>
      </c>
      <c r="E26" s="233" t="s">
        <v>92</v>
      </c>
      <c r="F26" s="233" t="s">
        <v>82</v>
      </c>
      <c r="G26" s="234" t="s">
        <v>368</v>
      </c>
      <c r="H26" s="233" t="s">
        <v>86</v>
      </c>
      <c r="I26" s="195" t="s">
        <v>365</v>
      </c>
    </row>
    <row r="27" spans="4:9" ht="51" x14ac:dyDescent="0.25">
      <c r="D27" s="232" t="s">
        <v>290</v>
      </c>
      <c r="E27" s="235" t="s">
        <v>92</v>
      </c>
      <c r="F27" s="235" t="s">
        <v>332</v>
      </c>
      <c r="G27" s="236" t="s">
        <v>360</v>
      </c>
      <c r="H27" s="235" t="s">
        <v>86</v>
      </c>
      <c r="I27" s="202" t="s">
        <v>366</v>
      </c>
    </row>
    <row r="28" spans="4:9" ht="26.25" thickBot="1" x14ac:dyDescent="0.3">
      <c r="D28" s="203" t="s">
        <v>12</v>
      </c>
      <c r="E28" s="195" t="s">
        <v>98</v>
      </c>
      <c r="F28" s="195" t="s">
        <v>82</v>
      </c>
      <c r="G28" s="196" t="s">
        <v>109</v>
      </c>
      <c r="H28" s="195" t="s">
        <v>86</v>
      </c>
      <c r="I28" s="195" t="s">
        <v>108</v>
      </c>
    </row>
    <row r="29" spans="4:9" ht="26.25" thickBot="1" x14ac:dyDescent="0.3">
      <c r="D29" s="204" t="s">
        <v>11</v>
      </c>
      <c r="E29" s="192" t="s">
        <v>98</v>
      </c>
      <c r="F29" s="235" t="s">
        <v>332</v>
      </c>
      <c r="G29" s="193" t="s">
        <v>333</v>
      </c>
      <c r="H29" s="192" t="s">
        <v>86</v>
      </c>
      <c r="I29" s="192" t="s">
        <v>108</v>
      </c>
    </row>
    <row r="30" spans="4:9" ht="26.25" thickBot="1" x14ac:dyDescent="0.3">
      <c r="D30" s="203" t="s">
        <v>10</v>
      </c>
      <c r="E30" s="195" t="s">
        <v>98</v>
      </c>
      <c r="F30" s="195" t="s">
        <v>82</v>
      </c>
      <c r="G30" s="196" t="s">
        <v>334</v>
      </c>
      <c r="H30" s="195" t="s">
        <v>86</v>
      </c>
      <c r="I30" s="195" t="s">
        <v>108</v>
      </c>
    </row>
    <row r="31" spans="4:9" ht="26.25" thickBot="1" x14ac:dyDescent="0.3">
      <c r="D31" s="203" t="s">
        <v>99</v>
      </c>
      <c r="E31" s="192" t="s">
        <v>98</v>
      </c>
      <c r="F31" s="318" t="s">
        <v>374</v>
      </c>
      <c r="G31" s="193" t="s">
        <v>335</v>
      </c>
      <c r="H31" s="192" t="s">
        <v>86</v>
      </c>
      <c r="I31" s="192" t="s">
        <v>108</v>
      </c>
    </row>
    <row r="32" spans="4:9" ht="39" thickBot="1" x14ac:dyDescent="0.3">
      <c r="D32" s="205" t="s">
        <v>20</v>
      </c>
      <c r="E32" s="195" t="s">
        <v>111</v>
      </c>
      <c r="F32" s="197"/>
      <c r="G32" s="196" t="s">
        <v>161</v>
      </c>
      <c r="H32" s="195" t="s">
        <v>84</v>
      </c>
      <c r="I32" s="206" t="s">
        <v>110</v>
      </c>
    </row>
    <row r="33" spans="4:9" ht="26.25" thickBot="1" x14ac:dyDescent="0.3">
      <c r="D33" s="207" t="s">
        <v>171</v>
      </c>
      <c r="E33" s="192" t="s">
        <v>113</v>
      </c>
      <c r="F33" s="192" t="s">
        <v>82</v>
      </c>
      <c r="G33" s="193" t="s">
        <v>336</v>
      </c>
      <c r="H33" s="192" t="s">
        <v>112</v>
      </c>
      <c r="I33" s="194"/>
    </row>
    <row r="34" spans="4:9" ht="26.25" thickBot="1" x14ac:dyDescent="0.3">
      <c r="D34" s="198" t="s">
        <v>176</v>
      </c>
      <c r="E34" s="195" t="s">
        <v>113</v>
      </c>
      <c r="F34" s="195" t="s">
        <v>82</v>
      </c>
      <c r="G34" s="196" t="s">
        <v>337</v>
      </c>
      <c r="H34" s="195" t="s">
        <v>112</v>
      </c>
      <c r="I34" s="197"/>
    </row>
    <row r="35" spans="4:9" ht="26.25" thickBot="1" x14ac:dyDescent="0.3">
      <c r="D35" s="198" t="s">
        <v>177</v>
      </c>
      <c r="E35" s="192" t="s">
        <v>113</v>
      </c>
      <c r="F35" s="192" t="s">
        <v>82</v>
      </c>
      <c r="G35" s="193" t="s">
        <v>338</v>
      </c>
      <c r="H35" s="192" t="s">
        <v>112</v>
      </c>
      <c r="I35" s="194"/>
    </row>
    <row r="36" spans="4:9" ht="26.25" thickBot="1" x14ac:dyDescent="0.3">
      <c r="D36" s="198" t="s">
        <v>178</v>
      </c>
      <c r="E36" s="195" t="s">
        <v>113</v>
      </c>
      <c r="F36" s="195" t="s">
        <v>82</v>
      </c>
      <c r="G36" s="196" t="s">
        <v>339</v>
      </c>
      <c r="H36" s="195" t="s">
        <v>112</v>
      </c>
      <c r="I36" s="197"/>
    </row>
    <row r="37" spans="4:9" ht="26.25" thickBot="1" x14ac:dyDescent="0.3">
      <c r="D37" s="198" t="s">
        <v>179</v>
      </c>
      <c r="E37" s="192" t="s">
        <v>113</v>
      </c>
      <c r="F37" s="192" t="s">
        <v>82</v>
      </c>
      <c r="G37" s="193" t="s">
        <v>340</v>
      </c>
      <c r="H37" s="192" t="s">
        <v>112</v>
      </c>
      <c r="I37" s="194"/>
    </row>
    <row r="38" spans="4:9" ht="26.25" thickBot="1" x14ac:dyDescent="0.3">
      <c r="D38" s="198" t="s">
        <v>180</v>
      </c>
      <c r="E38" s="195" t="s">
        <v>113</v>
      </c>
      <c r="F38" s="195" t="s">
        <v>82</v>
      </c>
      <c r="G38" s="196" t="s">
        <v>341</v>
      </c>
      <c r="H38" s="195" t="s">
        <v>112</v>
      </c>
      <c r="I38" s="197"/>
    </row>
    <row r="39" spans="4:9" ht="15.75" thickBot="1" x14ac:dyDescent="0.3">
      <c r="D39" s="198" t="s">
        <v>253</v>
      </c>
      <c r="E39" s="192" t="s">
        <v>253</v>
      </c>
      <c r="F39" s="192" t="s">
        <v>253</v>
      </c>
      <c r="G39" s="193" t="s">
        <v>253</v>
      </c>
      <c r="H39" s="194"/>
      <c r="I39" s="194"/>
    </row>
    <row r="40" spans="4:9" ht="26.25" thickBot="1" x14ac:dyDescent="0.3">
      <c r="D40" s="198" t="s">
        <v>205</v>
      </c>
      <c r="E40" s="195" t="s">
        <v>113</v>
      </c>
      <c r="F40" s="195" t="s">
        <v>82</v>
      </c>
      <c r="G40" s="196" t="s">
        <v>342</v>
      </c>
      <c r="H40" s="195" t="s">
        <v>112</v>
      </c>
      <c r="I40" s="197"/>
    </row>
    <row r="41" spans="4:9" ht="26.25" thickBot="1" x14ac:dyDescent="0.3">
      <c r="D41" s="208" t="s">
        <v>206</v>
      </c>
      <c r="E41" s="192" t="s">
        <v>113</v>
      </c>
      <c r="F41" s="192" t="s">
        <v>82</v>
      </c>
      <c r="G41" s="193" t="s">
        <v>343</v>
      </c>
      <c r="H41" s="192" t="s">
        <v>112</v>
      </c>
      <c r="I41" s="194"/>
    </row>
    <row r="42" spans="4:9" ht="15.75" thickBot="1" x14ac:dyDescent="0.3">
      <c r="D42" s="208" t="s">
        <v>253</v>
      </c>
      <c r="E42" s="195" t="s">
        <v>253</v>
      </c>
      <c r="F42" s="195" t="s">
        <v>253</v>
      </c>
      <c r="G42" s="196" t="s">
        <v>253</v>
      </c>
      <c r="H42" s="195" t="s">
        <v>112</v>
      </c>
      <c r="I42" s="197"/>
    </row>
    <row r="43" spans="4:9" ht="26.25" thickBot="1" x14ac:dyDescent="0.3">
      <c r="D43" s="208" t="s">
        <v>210</v>
      </c>
      <c r="E43" s="192" t="s">
        <v>113</v>
      </c>
      <c r="F43" s="192" t="s">
        <v>82</v>
      </c>
      <c r="G43" s="193" t="s">
        <v>344</v>
      </c>
      <c r="H43" s="192" t="s">
        <v>112</v>
      </c>
      <c r="I43" s="209"/>
    </row>
    <row r="44" spans="4:9" ht="15.75" thickBot="1" x14ac:dyDescent="0.3">
      <c r="D44" s="210" t="s">
        <v>174</v>
      </c>
      <c r="E44" s="195" t="s">
        <v>114</v>
      </c>
      <c r="F44" s="197"/>
      <c r="G44" s="196" t="s">
        <v>254</v>
      </c>
      <c r="H44" s="195" t="s">
        <v>88</v>
      </c>
      <c r="I44" s="195" t="s">
        <v>104</v>
      </c>
    </row>
    <row r="45" spans="4:9" ht="15.75" thickBot="1" x14ac:dyDescent="0.3">
      <c r="D45" s="210" t="s">
        <v>175</v>
      </c>
      <c r="E45" s="192" t="s">
        <v>114</v>
      </c>
      <c r="F45" s="194"/>
      <c r="G45" s="193" t="s">
        <v>255</v>
      </c>
      <c r="H45" s="192" t="s">
        <v>88</v>
      </c>
      <c r="I45" s="192" t="s">
        <v>104</v>
      </c>
    </row>
    <row r="46" spans="4:9" ht="26.25" thickBot="1" x14ac:dyDescent="0.3">
      <c r="D46" s="211" t="s">
        <v>215</v>
      </c>
      <c r="E46" s="195" t="s">
        <v>114</v>
      </c>
      <c r="F46" s="197"/>
      <c r="G46" s="196" t="s">
        <v>361</v>
      </c>
      <c r="H46" s="212" t="s">
        <v>91</v>
      </c>
      <c r="I46" s="212" t="s">
        <v>106</v>
      </c>
    </row>
    <row r="47" spans="4:9" ht="26.25" thickBot="1" x14ac:dyDescent="0.3">
      <c r="D47" s="213" t="s">
        <v>216</v>
      </c>
      <c r="E47" s="192" t="s">
        <v>114</v>
      </c>
      <c r="F47" s="194"/>
      <c r="G47" s="193" t="s">
        <v>362</v>
      </c>
      <c r="H47" s="199" t="s">
        <v>91</v>
      </c>
      <c r="I47" s="199" t="s">
        <v>106</v>
      </c>
    </row>
    <row r="48" spans="4:9" ht="26.45" customHeight="1" thickBot="1" x14ac:dyDescent="0.3">
      <c r="D48" s="214" t="s">
        <v>249</v>
      </c>
      <c r="E48" s="195" t="s">
        <v>114</v>
      </c>
      <c r="F48" s="197"/>
      <c r="G48" s="196" t="s">
        <v>363</v>
      </c>
      <c r="H48" s="195" t="s">
        <v>86</v>
      </c>
      <c r="I48" s="195" t="s">
        <v>263</v>
      </c>
    </row>
    <row r="49" spans="4:9" ht="26.45" customHeight="1" thickBot="1" x14ac:dyDescent="0.3">
      <c r="D49" s="214" t="s">
        <v>250</v>
      </c>
      <c r="E49" s="192" t="s">
        <v>114</v>
      </c>
      <c r="F49" s="194"/>
      <c r="G49" s="193" t="s">
        <v>345</v>
      </c>
      <c r="H49" s="192" t="s">
        <v>86</v>
      </c>
      <c r="I49" s="192" t="s">
        <v>264</v>
      </c>
    </row>
    <row r="50" spans="4:9" ht="26.45" customHeight="1" thickBot="1" x14ac:dyDescent="0.3">
      <c r="D50" s="214" t="s">
        <v>295</v>
      </c>
      <c r="E50" s="195" t="s">
        <v>114</v>
      </c>
      <c r="F50" s="195"/>
      <c r="G50" s="196" t="s">
        <v>346</v>
      </c>
      <c r="H50" s="195" t="s">
        <v>86</v>
      </c>
      <c r="I50" s="195" t="s">
        <v>264</v>
      </c>
    </row>
    <row r="51" spans="4:9" ht="26.45" customHeight="1" thickBot="1" x14ac:dyDescent="0.3">
      <c r="D51" s="214" t="s">
        <v>296</v>
      </c>
      <c r="E51" s="192" t="s">
        <v>114</v>
      </c>
      <c r="F51" s="192"/>
      <c r="G51" s="193" t="s">
        <v>347</v>
      </c>
      <c r="H51" s="192" t="s">
        <v>86</v>
      </c>
      <c r="I51" s="192" t="s">
        <v>264</v>
      </c>
    </row>
    <row r="52" spans="4:9" ht="26.45" customHeight="1" thickBot="1" x14ac:dyDescent="0.3">
      <c r="D52" s="214" t="s">
        <v>297</v>
      </c>
      <c r="E52" s="215" t="s">
        <v>114</v>
      </c>
      <c r="F52" s="215"/>
      <c r="G52" s="216" t="s">
        <v>348</v>
      </c>
      <c r="H52" s="215" t="s">
        <v>86</v>
      </c>
      <c r="I52" s="215" t="s">
        <v>264</v>
      </c>
    </row>
    <row r="53" spans="4:9" ht="26.45" customHeight="1" thickBot="1" x14ac:dyDescent="0.3">
      <c r="D53" s="214" t="s">
        <v>251</v>
      </c>
      <c r="E53" s="192" t="s">
        <v>114</v>
      </c>
      <c r="F53" s="194"/>
      <c r="G53" s="193" t="s">
        <v>256</v>
      </c>
      <c r="H53" s="192" t="s">
        <v>86</v>
      </c>
      <c r="I53" s="192" t="s">
        <v>264</v>
      </c>
    </row>
    <row r="54" spans="4:9" ht="26.25" thickBot="1" x14ac:dyDescent="0.3">
      <c r="D54" s="207" t="s">
        <v>349</v>
      </c>
      <c r="E54" s="215" t="s">
        <v>114</v>
      </c>
      <c r="F54" s="217"/>
      <c r="G54" s="216" t="s">
        <v>350</v>
      </c>
      <c r="H54" s="215" t="s">
        <v>112</v>
      </c>
      <c r="I54" s="217"/>
    </row>
    <row r="55" spans="4:9" ht="39" thickBot="1" x14ac:dyDescent="0.3">
      <c r="D55" s="218" t="s">
        <v>351</v>
      </c>
      <c r="E55" s="192" t="s">
        <v>114</v>
      </c>
      <c r="F55" s="194"/>
      <c r="G55" s="193" t="s">
        <v>352</v>
      </c>
      <c r="H55" s="192" t="s">
        <v>112</v>
      </c>
      <c r="I55" s="194"/>
    </row>
    <row r="56" spans="4:9" ht="15.75" thickBot="1" x14ac:dyDescent="0.3">
      <c r="D56" s="219" t="s">
        <v>353</v>
      </c>
      <c r="E56" s="215" t="s">
        <v>114</v>
      </c>
      <c r="F56" s="217"/>
      <c r="G56" s="216" t="s">
        <v>257</v>
      </c>
      <c r="H56" s="215" t="s">
        <v>112</v>
      </c>
      <c r="I56" s="217"/>
    </row>
    <row r="57" spans="4:9" ht="39" thickBot="1" x14ac:dyDescent="0.3">
      <c r="D57" s="220" t="s">
        <v>354</v>
      </c>
      <c r="E57" s="192" t="s">
        <v>114</v>
      </c>
      <c r="F57" s="194"/>
      <c r="G57" s="193" t="s">
        <v>355</v>
      </c>
      <c r="H57" s="192" t="s">
        <v>112</v>
      </c>
      <c r="I57" s="194"/>
    </row>
    <row r="58" spans="4:9" ht="15.75" thickBot="1" x14ac:dyDescent="0.3">
      <c r="D58" s="221" t="s">
        <v>356</v>
      </c>
      <c r="E58" s="215" t="s">
        <v>114</v>
      </c>
      <c r="F58" s="217"/>
      <c r="G58" s="216" t="s">
        <v>258</v>
      </c>
      <c r="H58" s="215" t="s">
        <v>112</v>
      </c>
      <c r="I58" s="217"/>
    </row>
    <row r="59" spans="4:9" ht="15.75" thickBot="1" x14ac:dyDescent="0.3">
      <c r="D59" s="222" t="s">
        <v>223</v>
      </c>
      <c r="E59" s="223" t="s">
        <v>114</v>
      </c>
      <c r="F59" s="194"/>
      <c r="G59" s="224" t="s">
        <v>259</v>
      </c>
      <c r="H59" s="223" t="s">
        <v>112</v>
      </c>
      <c r="I59" s="194"/>
    </row>
    <row r="60" spans="4:9" ht="15.75" thickBot="1" x14ac:dyDescent="0.3">
      <c r="D60" s="225" t="s">
        <v>221</v>
      </c>
      <c r="E60" s="226" t="s">
        <v>114</v>
      </c>
      <c r="F60" s="217"/>
      <c r="G60" s="227" t="s">
        <v>260</v>
      </c>
      <c r="H60" s="226" t="s">
        <v>112</v>
      </c>
      <c r="I60" s="217"/>
    </row>
    <row r="61" spans="4:9" ht="15.75" thickBot="1" x14ac:dyDescent="0.3">
      <c r="D61" s="228" t="s">
        <v>213</v>
      </c>
      <c r="E61" s="223" t="s">
        <v>114</v>
      </c>
      <c r="F61" s="194"/>
      <c r="G61" s="224" t="s">
        <v>357</v>
      </c>
      <c r="H61" s="223" t="s">
        <v>112</v>
      </c>
      <c r="I61" s="194"/>
    </row>
    <row r="62" spans="4:9" ht="15.75" thickBot="1" x14ac:dyDescent="0.3">
      <c r="D62" s="229" t="s">
        <v>222</v>
      </c>
      <c r="E62" s="226" t="s">
        <v>114</v>
      </c>
      <c r="F62" s="217"/>
      <c r="G62" s="227" t="s">
        <v>261</v>
      </c>
      <c r="H62" s="226" t="s">
        <v>112</v>
      </c>
      <c r="I62" s="217"/>
    </row>
    <row r="63" spans="4:9" ht="15.75" thickBot="1" x14ac:dyDescent="0.3">
      <c r="D63" s="230" t="s">
        <v>214</v>
      </c>
      <c r="E63" s="223" t="s">
        <v>114</v>
      </c>
      <c r="F63" s="194"/>
      <c r="G63" s="224" t="s">
        <v>262</v>
      </c>
      <c r="H63" s="223" t="s">
        <v>112</v>
      </c>
      <c r="I63" s="194"/>
    </row>
  </sheetData>
  <mergeCells count="5">
    <mergeCell ref="D3:D4"/>
    <mergeCell ref="E3:E4"/>
    <mergeCell ref="G3:G4"/>
    <mergeCell ref="H3:H4"/>
    <mergeCell ref="I3:I4"/>
  </mergeCells>
  <hyperlinks>
    <hyperlink ref="I32" r:id="rId1" display="http://www.seg-social.es/wps/portal/wss/internet/Trabajadores/CotizacionRecaudacionTrabajadores/36537" xr:uid="{00000000-0004-0000-0100-000000000000}"/>
    <hyperlink ref="I18" location="CONTRATOS!P2" display="ver tabla &quot;Motivo reducción de jornada&quot;" xr:uid="{00000000-0004-0000-0100-000001000000}"/>
    <hyperlink ref="I19" location="CONTRATOS!A1" display="ver tabla &quot;Clave de Contrato&quot;" xr:uid="{00000000-0004-0000-0100-000002000000}"/>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pageSetUpPr fitToPage="1"/>
  </sheetPr>
  <dimension ref="A2:P51"/>
  <sheetViews>
    <sheetView showGridLines="0" zoomScaleNormal="100" workbookViewId="0"/>
  </sheetViews>
  <sheetFormatPr baseColWidth="10" defaultColWidth="11.5703125" defaultRowHeight="15" x14ac:dyDescent="0.25"/>
  <cols>
    <col min="1" max="1" width="8.7109375" style="146" customWidth="1"/>
    <col min="2" max="2" width="13.42578125" style="146" customWidth="1"/>
    <col min="3" max="3" width="23.28515625" style="146" bestFit="1" customWidth="1"/>
    <col min="4" max="4" width="55.7109375" style="146" customWidth="1"/>
    <col min="5" max="5" width="11.85546875" style="146" bestFit="1" customWidth="1"/>
    <col min="6" max="6" width="14.28515625" style="146" customWidth="1"/>
    <col min="7" max="7" width="17.42578125" style="146" bestFit="1" customWidth="1"/>
    <col min="8" max="8" width="14.7109375" style="146" customWidth="1"/>
    <col min="9" max="9" width="12.85546875" style="146" bestFit="1" customWidth="1"/>
    <col min="10" max="10" width="20.28515625" style="146" hidden="1" customWidth="1"/>
    <col min="11" max="11" width="4.28515625" style="146" hidden="1" customWidth="1"/>
    <col min="12" max="12" width="21.42578125" style="146" hidden="1" customWidth="1"/>
    <col min="13" max="16384" width="11.5703125" style="146"/>
  </cols>
  <sheetData>
    <row r="2" spans="1:12" x14ac:dyDescent="0.25">
      <c r="B2" s="147" t="s">
        <v>170</v>
      </c>
      <c r="C2" s="147"/>
      <c r="D2" s="147"/>
      <c r="E2" s="147"/>
      <c r="F2" s="147"/>
      <c r="G2" s="147"/>
      <c r="H2" s="147"/>
    </row>
    <row r="4" spans="1:12" s="148" customFormat="1" x14ac:dyDescent="0.25">
      <c r="A4" s="146"/>
      <c r="E4" s="149" t="s">
        <v>116</v>
      </c>
      <c r="G4" s="150" t="s">
        <v>266</v>
      </c>
    </row>
    <row r="6" spans="1:12" x14ac:dyDescent="0.25">
      <c r="E6" s="148" t="s">
        <v>17</v>
      </c>
      <c r="G6" s="15" t="s">
        <v>16</v>
      </c>
    </row>
    <row r="7" spans="1:12" x14ac:dyDescent="0.25">
      <c r="E7" s="146" t="s">
        <v>18</v>
      </c>
      <c r="G7" t="s">
        <v>168</v>
      </c>
    </row>
    <row r="8" spans="1:12" x14ac:dyDescent="0.25">
      <c r="E8" s="146" t="s">
        <v>19</v>
      </c>
      <c r="G8" t="s">
        <v>167</v>
      </c>
    </row>
    <row r="9" spans="1:12" x14ac:dyDescent="0.25">
      <c r="G9" t="s">
        <v>169</v>
      </c>
    </row>
    <row r="11" spans="1:12" x14ac:dyDescent="0.25">
      <c r="B11" s="148" t="s">
        <v>15</v>
      </c>
      <c r="C11" s="148" t="s">
        <v>267</v>
      </c>
      <c r="D11" s="148" t="s">
        <v>13</v>
      </c>
      <c r="E11" s="151" t="s">
        <v>17</v>
      </c>
      <c r="F11" s="152" t="s">
        <v>14</v>
      </c>
      <c r="G11" s="311" t="s">
        <v>173</v>
      </c>
      <c r="H11" s="312" t="s">
        <v>172</v>
      </c>
      <c r="J11" s="146" t="s">
        <v>369</v>
      </c>
      <c r="L11" s="146" t="s">
        <v>268</v>
      </c>
    </row>
    <row r="12" spans="1:12" x14ac:dyDescent="0.25">
      <c r="B12" s="15" t="s">
        <v>171</v>
      </c>
      <c r="C12" s="148" t="s">
        <v>378</v>
      </c>
      <c r="D12" s="148" t="s">
        <v>379</v>
      </c>
      <c r="E12" s="146" t="s">
        <v>18</v>
      </c>
      <c r="F12" t="s">
        <v>168</v>
      </c>
      <c r="G12" s="313" t="s">
        <v>399</v>
      </c>
      <c r="H12" s="314" t="s">
        <v>399</v>
      </c>
      <c r="J12" s="146" t="s">
        <v>298</v>
      </c>
      <c r="L12" s="146" t="s">
        <v>308</v>
      </c>
    </row>
    <row r="13" spans="1:12" x14ac:dyDescent="0.25">
      <c r="B13" t="s">
        <v>176</v>
      </c>
      <c r="C13" s="146" t="s">
        <v>397</v>
      </c>
      <c r="D13" s="146" t="s">
        <v>398</v>
      </c>
      <c r="E13" s="146" t="s">
        <v>18</v>
      </c>
      <c r="F13" t="s">
        <v>167</v>
      </c>
      <c r="G13" s="313" t="s">
        <v>399</v>
      </c>
      <c r="H13" s="314" t="s">
        <v>399</v>
      </c>
      <c r="J13" s="146" t="s">
        <v>299</v>
      </c>
      <c r="L13" s="146" t="s">
        <v>304</v>
      </c>
    </row>
    <row r="14" spans="1:12" x14ac:dyDescent="0.25">
      <c r="B14" t="s">
        <v>177</v>
      </c>
      <c r="C14" s="146" t="s">
        <v>380</v>
      </c>
      <c r="D14" s="146" t="s">
        <v>381</v>
      </c>
      <c r="E14" s="146" t="s">
        <v>18</v>
      </c>
      <c r="F14" t="s">
        <v>167</v>
      </c>
      <c r="G14" s="313" t="s">
        <v>399</v>
      </c>
      <c r="H14" s="314" t="s">
        <v>399</v>
      </c>
      <c r="J14" s="146" t="s">
        <v>300</v>
      </c>
      <c r="L14" s="146" t="s">
        <v>310</v>
      </c>
    </row>
    <row r="15" spans="1:12" x14ac:dyDescent="0.25">
      <c r="B15" t="s">
        <v>178</v>
      </c>
      <c r="C15" s="146" t="s">
        <v>442</v>
      </c>
      <c r="D15" s="146" t="s">
        <v>382</v>
      </c>
      <c r="E15" s="146" t="s">
        <v>18</v>
      </c>
      <c r="F15" t="s">
        <v>167</v>
      </c>
      <c r="G15" s="313" t="s">
        <v>400</v>
      </c>
      <c r="H15" s="314" t="s">
        <v>399</v>
      </c>
      <c r="J15" s="146" t="s">
        <v>301</v>
      </c>
      <c r="L15" s="146" t="s">
        <v>309</v>
      </c>
    </row>
    <row r="16" spans="1:12" x14ac:dyDescent="0.25">
      <c r="B16" t="s">
        <v>179</v>
      </c>
      <c r="C16" s="146" t="s">
        <v>383</v>
      </c>
      <c r="D16" s="146" t="s">
        <v>384</v>
      </c>
      <c r="E16" s="146" t="s">
        <v>18</v>
      </c>
      <c r="F16" t="s">
        <v>167</v>
      </c>
      <c r="G16" s="313" t="s">
        <v>399</v>
      </c>
      <c r="H16" s="314" t="s">
        <v>399</v>
      </c>
      <c r="J16" s="146" t="s">
        <v>311</v>
      </c>
      <c r="L16" s="146" t="s">
        <v>307</v>
      </c>
    </row>
    <row r="17" spans="1:12" x14ac:dyDescent="0.25">
      <c r="B17" t="s">
        <v>180</v>
      </c>
      <c r="C17" s="146" t="s">
        <v>385</v>
      </c>
      <c r="D17" s="146" t="s">
        <v>386</v>
      </c>
      <c r="E17" s="146" t="s">
        <v>18</v>
      </c>
      <c r="F17" t="s">
        <v>167</v>
      </c>
      <c r="G17" s="313" t="s">
        <v>399</v>
      </c>
      <c r="H17" s="314" t="s">
        <v>399</v>
      </c>
      <c r="J17" s="146" t="s">
        <v>312</v>
      </c>
      <c r="L17" s="146" t="s">
        <v>303</v>
      </c>
    </row>
    <row r="18" spans="1:12" x14ac:dyDescent="0.25">
      <c r="B18" t="s">
        <v>181</v>
      </c>
      <c r="C18" s="146" t="s">
        <v>387</v>
      </c>
      <c r="D18" s="146" t="s">
        <v>388</v>
      </c>
      <c r="E18" s="146" t="s">
        <v>19</v>
      </c>
      <c r="F18" t="s">
        <v>167</v>
      </c>
      <c r="G18" s="313" t="s">
        <v>400</v>
      </c>
      <c r="H18" s="314" t="s">
        <v>399</v>
      </c>
      <c r="J18" s="146" t="s">
        <v>313</v>
      </c>
      <c r="L18" s="146" t="s">
        <v>305</v>
      </c>
    </row>
    <row r="19" spans="1:12" x14ac:dyDescent="0.25">
      <c r="B19" t="s">
        <v>182</v>
      </c>
      <c r="C19" s="146" t="s">
        <v>389</v>
      </c>
      <c r="D19" s="146" t="s">
        <v>390</v>
      </c>
      <c r="E19" s="146" t="s">
        <v>19</v>
      </c>
      <c r="F19" t="s">
        <v>167</v>
      </c>
      <c r="G19" s="313" t="s">
        <v>400</v>
      </c>
      <c r="H19" s="314" t="s">
        <v>400</v>
      </c>
      <c r="J19" s="146" t="s">
        <v>314</v>
      </c>
      <c r="L19" s="146" t="s">
        <v>302</v>
      </c>
    </row>
    <row r="20" spans="1:12" x14ac:dyDescent="0.25">
      <c r="B20" t="s">
        <v>183</v>
      </c>
      <c r="C20" s="146" t="s">
        <v>443</v>
      </c>
      <c r="D20" s="146" t="s">
        <v>444</v>
      </c>
      <c r="E20" s="146" t="s">
        <v>18</v>
      </c>
      <c r="F20" t="s">
        <v>167</v>
      </c>
      <c r="G20" s="313" t="s">
        <v>399</v>
      </c>
      <c r="H20" s="314" t="s">
        <v>399</v>
      </c>
      <c r="J20" s="146" t="s">
        <v>315</v>
      </c>
      <c r="L20" s="146" t="s">
        <v>306</v>
      </c>
    </row>
    <row r="21" spans="1:12" x14ac:dyDescent="0.25">
      <c r="B21" t="s">
        <v>184</v>
      </c>
      <c r="F21" t="s">
        <v>167</v>
      </c>
      <c r="G21" s="313"/>
      <c r="H21" s="314"/>
      <c r="J21" s="146" t="s">
        <v>226</v>
      </c>
      <c r="L21" s="146" t="s">
        <v>269</v>
      </c>
    </row>
    <row r="22" spans="1:12" hidden="1" x14ac:dyDescent="0.25">
      <c r="A22" s="148"/>
      <c r="B22" t="s">
        <v>185</v>
      </c>
      <c r="F22" t="s">
        <v>167</v>
      </c>
      <c r="G22" s="313"/>
      <c r="H22" s="314"/>
      <c r="I22" s="148"/>
      <c r="J22" s="146" t="s">
        <v>227</v>
      </c>
      <c r="L22" s="146" t="s">
        <v>270</v>
      </c>
    </row>
    <row r="23" spans="1:12" hidden="1" x14ac:dyDescent="0.25">
      <c r="B23" t="s">
        <v>186</v>
      </c>
      <c r="F23" t="s">
        <v>167</v>
      </c>
      <c r="G23" s="313"/>
      <c r="H23" s="314"/>
      <c r="J23" s="146" t="s">
        <v>228</v>
      </c>
      <c r="L23" s="146" t="s">
        <v>271</v>
      </c>
    </row>
    <row r="24" spans="1:12" hidden="1" x14ac:dyDescent="0.25">
      <c r="B24" t="s">
        <v>187</v>
      </c>
      <c r="F24" t="s">
        <v>167</v>
      </c>
      <c r="G24" s="313"/>
      <c r="H24" s="314"/>
      <c r="J24" s="146" t="s">
        <v>229</v>
      </c>
      <c r="L24" s="146" t="s">
        <v>272</v>
      </c>
    </row>
    <row r="25" spans="1:12" hidden="1" x14ac:dyDescent="0.25">
      <c r="B25" t="s">
        <v>188</v>
      </c>
      <c r="F25" t="s">
        <v>167</v>
      </c>
      <c r="G25" s="313"/>
      <c r="H25" s="314"/>
      <c r="J25" s="146" t="s">
        <v>230</v>
      </c>
      <c r="L25" s="146" t="s">
        <v>273</v>
      </c>
    </row>
    <row r="26" spans="1:12" hidden="1" x14ac:dyDescent="0.25">
      <c r="B26" t="s">
        <v>189</v>
      </c>
      <c r="F26" t="s">
        <v>167</v>
      </c>
      <c r="G26" s="313"/>
      <c r="H26" s="314"/>
      <c r="J26" s="146" t="s">
        <v>231</v>
      </c>
      <c r="L26" s="146" t="s">
        <v>274</v>
      </c>
    </row>
    <row r="27" spans="1:12" hidden="1" x14ac:dyDescent="0.25">
      <c r="B27" t="s">
        <v>190</v>
      </c>
      <c r="F27" t="s">
        <v>167</v>
      </c>
      <c r="G27" s="313"/>
      <c r="H27" s="314"/>
      <c r="J27" s="146" t="s">
        <v>232</v>
      </c>
      <c r="L27" s="146" t="s">
        <v>275</v>
      </c>
    </row>
    <row r="28" spans="1:12" hidden="1" x14ac:dyDescent="0.25">
      <c r="B28" t="s">
        <v>191</v>
      </c>
      <c r="F28" t="s">
        <v>167</v>
      </c>
      <c r="G28" s="321"/>
      <c r="H28" s="314"/>
      <c r="J28" s="146" t="s">
        <v>233</v>
      </c>
      <c r="L28" s="146" t="s">
        <v>276</v>
      </c>
    </row>
    <row r="29" spans="1:12" hidden="1" x14ac:dyDescent="0.25">
      <c r="B29" t="s">
        <v>192</v>
      </c>
      <c r="F29" t="s">
        <v>167</v>
      </c>
      <c r="G29" s="313"/>
      <c r="H29" s="314"/>
      <c r="J29" s="146" t="s">
        <v>234</v>
      </c>
      <c r="L29" s="146" t="s">
        <v>277</v>
      </c>
    </row>
    <row r="30" spans="1:12" hidden="1" x14ac:dyDescent="0.25">
      <c r="B30" t="s">
        <v>193</v>
      </c>
      <c r="F30" t="s">
        <v>167</v>
      </c>
      <c r="G30" s="313"/>
      <c r="H30" s="314"/>
      <c r="J30" s="146" t="s">
        <v>235</v>
      </c>
      <c r="L30" s="146" t="s">
        <v>278</v>
      </c>
    </row>
    <row r="31" spans="1:12" hidden="1" x14ac:dyDescent="0.25">
      <c r="B31" t="s">
        <v>194</v>
      </c>
      <c r="F31" t="s">
        <v>167</v>
      </c>
      <c r="G31" s="313"/>
      <c r="H31" s="314"/>
      <c r="J31" s="146" t="s">
        <v>236</v>
      </c>
      <c r="L31" s="146" t="s">
        <v>279</v>
      </c>
    </row>
    <row r="32" spans="1:12" hidden="1" x14ac:dyDescent="0.25">
      <c r="B32" t="s">
        <v>195</v>
      </c>
      <c r="F32" t="s">
        <v>167</v>
      </c>
      <c r="G32" s="313"/>
      <c r="H32" s="314"/>
      <c r="J32" s="146" t="s">
        <v>237</v>
      </c>
      <c r="L32" s="146" t="s">
        <v>280</v>
      </c>
    </row>
    <row r="33" spans="2:12" hidden="1" x14ac:dyDescent="0.25">
      <c r="B33" t="s">
        <v>196</v>
      </c>
      <c r="F33" t="s">
        <v>167</v>
      </c>
      <c r="G33" s="313"/>
      <c r="H33" s="314"/>
      <c r="J33" s="146" t="s">
        <v>238</v>
      </c>
      <c r="L33" s="146" t="s">
        <v>281</v>
      </c>
    </row>
    <row r="34" spans="2:12" hidden="1" x14ac:dyDescent="0.25">
      <c r="B34" t="s">
        <v>197</v>
      </c>
      <c r="F34" t="s">
        <v>167</v>
      </c>
      <c r="G34" s="313"/>
      <c r="H34" s="314"/>
      <c r="J34" s="146" t="s">
        <v>239</v>
      </c>
      <c r="L34" s="146" t="s">
        <v>282</v>
      </c>
    </row>
    <row r="35" spans="2:12" hidden="1" x14ac:dyDescent="0.25">
      <c r="B35" t="s">
        <v>198</v>
      </c>
      <c r="F35" t="s">
        <v>167</v>
      </c>
      <c r="G35" s="313"/>
      <c r="H35" s="314"/>
      <c r="J35" s="146" t="s">
        <v>240</v>
      </c>
      <c r="L35" s="146" t="s">
        <v>283</v>
      </c>
    </row>
    <row r="36" spans="2:12" hidden="1" x14ac:dyDescent="0.25">
      <c r="B36" t="s">
        <v>199</v>
      </c>
      <c r="F36" t="s">
        <v>167</v>
      </c>
      <c r="G36" s="313"/>
      <c r="H36" s="314"/>
      <c r="J36" s="146" t="s">
        <v>241</v>
      </c>
      <c r="L36" s="146" t="s">
        <v>284</v>
      </c>
    </row>
    <row r="37" spans="2:12" hidden="1" x14ac:dyDescent="0.25">
      <c r="B37" t="s">
        <v>200</v>
      </c>
      <c r="F37" t="s">
        <v>167</v>
      </c>
      <c r="G37" s="313"/>
      <c r="H37" s="314"/>
      <c r="J37" s="146" t="s">
        <v>242</v>
      </c>
      <c r="L37" s="146" t="s">
        <v>285</v>
      </c>
    </row>
    <row r="38" spans="2:12" hidden="1" x14ac:dyDescent="0.25">
      <c r="B38" t="s">
        <v>201</v>
      </c>
      <c r="F38" t="s">
        <v>167</v>
      </c>
      <c r="G38" s="313"/>
      <c r="H38" s="314"/>
      <c r="J38" s="146" t="s">
        <v>243</v>
      </c>
      <c r="L38" s="146" t="s">
        <v>286</v>
      </c>
    </row>
    <row r="39" spans="2:12" hidden="1" x14ac:dyDescent="0.25">
      <c r="B39" t="s">
        <v>202</v>
      </c>
      <c r="F39" t="s">
        <v>167</v>
      </c>
      <c r="G39" s="313"/>
      <c r="H39" s="314"/>
      <c r="J39" s="146" t="s">
        <v>244</v>
      </c>
      <c r="L39" s="146" t="s">
        <v>287</v>
      </c>
    </row>
    <row r="40" spans="2:12" hidden="1" x14ac:dyDescent="0.25">
      <c r="B40" t="s">
        <v>203</v>
      </c>
      <c r="F40" t="s">
        <v>167</v>
      </c>
      <c r="G40" s="313"/>
      <c r="H40" s="314"/>
      <c r="J40" s="146" t="s">
        <v>245</v>
      </c>
      <c r="L40" s="146" t="s">
        <v>288</v>
      </c>
    </row>
    <row r="41" spans="2:12" hidden="1" x14ac:dyDescent="0.25">
      <c r="B41" t="s">
        <v>204</v>
      </c>
      <c r="F41" t="s">
        <v>167</v>
      </c>
      <c r="G41" s="313"/>
      <c r="H41" s="314"/>
      <c r="J41" s="146" t="s">
        <v>246</v>
      </c>
      <c r="L41" s="146" t="s">
        <v>289</v>
      </c>
    </row>
    <row r="42" spans="2:12" hidden="1" x14ac:dyDescent="0.25">
      <c r="B42" t="s">
        <v>205</v>
      </c>
      <c r="F42" t="s">
        <v>167</v>
      </c>
      <c r="G42" s="313"/>
      <c r="H42" s="314"/>
    </row>
    <row r="43" spans="2:12" x14ac:dyDescent="0.25">
      <c r="B43" t="s">
        <v>206</v>
      </c>
      <c r="C43" s="146" t="s">
        <v>391</v>
      </c>
      <c r="D43" s="146" t="s">
        <v>392</v>
      </c>
      <c r="E43" s="146" t="s">
        <v>18</v>
      </c>
      <c r="F43" t="s">
        <v>169</v>
      </c>
      <c r="G43" s="313" t="s">
        <v>400</v>
      </c>
      <c r="H43" s="314" t="s">
        <v>400</v>
      </c>
    </row>
    <row r="44" spans="2:12" x14ac:dyDescent="0.25">
      <c r="B44" t="s">
        <v>207</v>
      </c>
      <c r="C44" s="146" t="s">
        <v>393</v>
      </c>
      <c r="D44" s="146" t="s">
        <v>394</v>
      </c>
      <c r="E44" s="146" t="s">
        <v>18</v>
      </c>
      <c r="F44" t="s">
        <v>169</v>
      </c>
      <c r="G44" s="313" t="s">
        <v>400</v>
      </c>
      <c r="H44" s="314" t="s">
        <v>400</v>
      </c>
    </row>
    <row r="45" spans="2:12" x14ac:dyDescent="0.25">
      <c r="B45" t="s">
        <v>208</v>
      </c>
      <c r="C45" s="146" t="s">
        <v>376</v>
      </c>
      <c r="D45" s="146" t="s">
        <v>395</v>
      </c>
      <c r="E45" s="146" t="s">
        <v>18</v>
      </c>
      <c r="F45" t="s">
        <v>169</v>
      </c>
      <c r="G45" s="313" t="s">
        <v>399</v>
      </c>
      <c r="H45" s="314" t="s">
        <v>399</v>
      </c>
    </row>
    <row r="46" spans="2:12" x14ac:dyDescent="0.25">
      <c r="B46" t="s">
        <v>209</v>
      </c>
      <c r="C46" s="146" t="s">
        <v>377</v>
      </c>
      <c r="D46" s="146" t="s">
        <v>396</v>
      </c>
      <c r="E46" s="146" t="s">
        <v>18</v>
      </c>
      <c r="F46" t="s">
        <v>169</v>
      </c>
      <c r="G46" s="313" t="s">
        <v>399</v>
      </c>
      <c r="H46" s="314" t="s">
        <v>399</v>
      </c>
    </row>
    <row r="47" spans="2:12" x14ac:dyDescent="0.25">
      <c r="B47" t="s">
        <v>210</v>
      </c>
      <c r="F47" t="s">
        <v>169</v>
      </c>
      <c r="G47" s="313"/>
      <c r="H47" s="314"/>
    </row>
    <row r="49" spans="2:16" hidden="1" x14ac:dyDescent="0.25"/>
    <row r="50" spans="2:16" hidden="1" x14ac:dyDescent="0.25"/>
    <row r="51" spans="2:16" ht="30.6" customHeight="1" x14ac:dyDescent="0.25">
      <c r="B51" s="338" t="s">
        <v>375</v>
      </c>
      <c r="C51" s="338"/>
      <c r="D51" s="338"/>
      <c r="E51" s="338"/>
      <c r="F51" s="338"/>
      <c r="G51" s="338"/>
      <c r="H51" s="338"/>
      <c r="I51" s="320"/>
      <c r="J51" s="320"/>
      <c r="K51" s="320"/>
      <c r="L51" s="320"/>
      <c r="M51" s="320"/>
      <c r="N51" s="320"/>
      <c r="O51" s="320"/>
      <c r="P51" s="320"/>
    </row>
  </sheetData>
  <sheetProtection selectLockedCells="1"/>
  <mergeCells count="1">
    <mergeCell ref="B51:H51"/>
  </mergeCells>
  <phoneticPr fontId="21" type="noConversion"/>
  <dataValidations count="3">
    <dataValidation type="list" allowBlank="1" showInputMessage="1" showErrorMessage="1" sqref="F12:F47" xr:uid="{00000000-0002-0000-0200-000000000000}">
      <formula1>_TIPO</formula1>
    </dataValidation>
    <dataValidation type="list" allowBlank="1" showInputMessage="1" showErrorMessage="1" sqref="G23:H47 G12:H21" xr:uid="{00000000-0002-0000-0200-000001000000}">
      <formula1>"Sí,No"</formula1>
    </dataValidation>
    <dataValidation type="list" allowBlank="1" showInputMessage="1" showErrorMessage="1" sqref="E12:E47" xr:uid="{00000000-0002-0000-0200-000002000000}">
      <formula1>$E$7:$E$8</formula1>
    </dataValidation>
  </dataValidations>
  <printOptions verticalCentered="1"/>
  <pageMargins left="0.23622047244094491" right="0.23622047244094491" top="0.74803149606299213" bottom="0.74803149606299213" header="0.31496062992125984" footer="0.31496062992125984"/>
  <pageSetup paperSize="9"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pageSetUpPr fitToPage="1"/>
  </sheetPr>
  <dimension ref="B1:CO282"/>
  <sheetViews>
    <sheetView showGridLines="0" zoomScale="70" zoomScaleNormal="70" workbookViewId="0"/>
  </sheetViews>
  <sheetFormatPr baseColWidth="10" defaultColWidth="6.85546875" defaultRowHeight="15" outlineLevelCol="1" x14ac:dyDescent="0.25"/>
  <cols>
    <col min="1" max="1" width="3.7109375" style="146" customWidth="1"/>
    <col min="2" max="2" width="4.5703125" style="146" customWidth="1"/>
    <col min="3" max="3" width="10.85546875" style="146" bestFit="1" customWidth="1"/>
    <col min="4" max="4" width="10.85546875" style="146" customWidth="1"/>
    <col min="5" max="5" width="9.42578125" style="146" customWidth="1"/>
    <col min="6" max="7" width="6.85546875" style="146" customWidth="1"/>
    <col min="8" max="9" width="11.28515625" style="146" customWidth="1"/>
    <col min="10" max="12" width="9.140625" style="146" customWidth="1"/>
    <col min="13" max="13" width="6.7109375" style="146" customWidth="1"/>
    <col min="14" max="14" width="9" style="146" customWidth="1"/>
    <col min="15" max="15" width="6.85546875" style="146" customWidth="1"/>
    <col min="16" max="16" width="10.42578125" style="146" customWidth="1"/>
    <col min="17" max="18" width="10.42578125" style="146" customWidth="1" outlineLevel="1"/>
    <col min="19" max="19" width="15.7109375" style="146" bestFit="1" customWidth="1" outlineLevel="1"/>
    <col min="20" max="20" width="9.85546875" style="146" customWidth="1" outlineLevel="1"/>
    <col min="21" max="21" width="9.28515625" style="146" customWidth="1" outlineLevel="1"/>
    <col min="22" max="22" width="10.140625" style="146" customWidth="1" outlineLevel="1"/>
    <col min="23" max="24" width="10.140625" style="146" customWidth="1"/>
    <col min="25" max="25" width="12.7109375" style="146" customWidth="1"/>
    <col min="26" max="27" width="10.140625" style="146" customWidth="1"/>
    <col min="28" max="28" width="7.140625" style="146" customWidth="1"/>
    <col min="29" max="29" width="12.85546875" style="146" bestFit="1" customWidth="1"/>
    <col min="30" max="30" width="10.140625" style="146" customWidth="1"/>
    <col min="31" max="37" width="10.140625" style="146" customWidth="1" outlineLevel="1"/>
    <col min="38" max="38" width="8.140625" style="146" customWidth="1" outlineLevel="1"/>
    <col min="39" max="60" width="1.5703125" style="146" hidden="1" customWidth="1" outlineLevel="1"/>
    <col min="61" max="64" width="10.140625" style="146" customWidth="1" outlineLevel="1"/>
    <col min="65" max="65" width="1.5703125" style="146" hidden="1" customWidth="1" outlineLevel="1"/>
    <col min="66" max="75" width="8.85546875" customWidth="1"/>
    <col min="76" max="80" width="10.140625" customWidth="1"/>
    <col min="81" max="85" width="10.140625" style="239" customWidth="1"/>
    <col min="86" max="86" width="9.5703125" style="294" hidden="1" customWidth="1"/>
    <col min="87" max="91" width="0" style="146" hidden="1" customWidth="1"/>
    <col min="92" max="92" width="11.28515625" style="146" hidden="1" customWidth="1"/>
    <col min="93" max="93" width="9.7109375" style="146" hidden="1" customWidth="1"/>
    <col min="94" max="16384" width="6.85546875" style="146"/>
  </cols>
  <sheetData>
    <row r="1" spans="2:93" customFormat="1" ht="28.9" customHeight="1" x14ac:dyDescent="0.25">
      <c r="G1" s="338" t="s">
        <v>375</v>
      </c>
      <c r="H1" s="338"/>
      <c r="I1" s="338"/>
      <c r="J1" s="338"/>
      <c r="K1" s="338"/>
      <c r="L1" s="338"/>
      <c r="M1" s="338"/>
      <c r="N1" s="338"/>
      <c r="O1" s="338"/>
      <c r="P1" s="338"/>
      <c r="Q1" s="338"/>
      <c r="R1" s="338"/>
      <c r="S1" s="338"/>
      <c r="T1" s="338"/>
      <c r="U1" s="338"/>
      <c r="AL1" s="331">
        <v>0.4</v>
      </c>
      <c r="BX1" s="238"/>
      <c r="CC1" s="239"/>
      <c r="CD1" s="239"/>
      <c r="CE1" s="239"/>
      <c r="CF1" s="239"/>
      <c r="CG1" s="239"/>
      <c r="CH1" s="240"/>
    </row>
    <row r="2" spans="2:93" customFormat="1" x14ac:dyDescent="0.25">
      <c r="C2" s="3" t="s">
        <v>97</v>
      </c>
      <c r="BX2" s="238"/>
      <c r="CC2" s="239"/>
      <c r="CD2" s="239"/>
      <c r="CE2" s="239"/>
      <c r="CF2" s="239"/>
      <c r="CG2" s="239"/>
      <c r="CH2" s="240"/>
    </row>
    <row r="3" spans="2:93" s="241" customFormat="1" ht="29.45" customHeight="1" x14ac:dyDescent="0.25">
      <c r="C3" s="242" t="s">
        <v>93</v>
      </c>
      <c r="D3" s="243">
        <f>+Inicio!E10</f>
        <v>45292</v>
      </c>
      <c r="H3" s="244"/>
      <c r="AB3" s="245">
        <v>5</v>
      </c>
      <c r="AC3" s="246" t="s">
        <v>14</v>
      </c>
      <c r="AD3" s="247" t="str">
        <f>IFERROR(IF(VLOOKUP(AD$8,TblComplem[],$AB3,FALSE)=0,"",VLOOKUP(AD$8,TblComplem[],$AB3,FALSE)),"")</f>
        <v>Salario Base</v>
      </c>
      <c r="AE3" s="247" t="str">
        <f>IFERROR(IF(VLOOKUP(AE$8,TblComplem[],$AB3,FALSE)=0,"",VLOOKUP(AE$8,TblComplem[],$AB3,FALSE)),"")</f>
        <v>Comp. Salarial</v>
      </c>
      <c r="AF3" s="247" t="str">
        <f>IFERROR(IF(VLOOKUP(AF$8,TblComplem[],$AB3,FALSE)=0,"",VLOOKUP(AF$8,TblComplem[],$AB3,FALSE)),"")</f>
        <v>Comp. Salarial</v>
      </c>
      <c r="AG3" s="247" t="str">
        <f>IFERROR(IF(VLOOKUP(AG$8,TblComplem[],$AB3,FALSE)=0,"",VLOOKUP(AG$8,TblComplem[],$AB3,FALSE)),"")</f>
        <v>Comp. Salarial</v>
      </c>
      <c r="AH3" s="247" t="str">
        <f>IFERROR(IF(VLOOKUP(AH$8,TblComplem[],$AB3,FALSE)=0,"",VLOOKUP(AH$8,TblComplem[],$AB3,FALSE)),"")</f>
        <v>Comp. Salarial</v>
      </c>
      <c r="AI3" s="247" t="str">
        <f>IFERROR(IF(VLOOKUP(AI$8,TblComplem[],$AB3,FALSE)=0,"",VLOOKUP(AI$8,TblComplem[],$AB3,FALSE)),"")</f>
        <v>Comp. Salarial</v>
      </c>
      <c r="AJ3" s="247" t="str">
        <f>IFERROR(IF(VLOOKUP(AJ$8,TblComplem[],$AB3,FALSE)=0,"",VLOOKUP(AJ$8,TblComplem[],$AB3,FALSE)),"")</f>
        <v>Comp. Salarial</v>
      </c>
      <c r="AK3" s="247" t="str">
        <f>IFERROR(IF(VLOOKUP(AK$8,TblComplem[],$AB3,FALSE)=0,"",VLOOKUP(AK$8,TblComplem[],$AB3,FALSE)),"")</f>
        <v>Comp. Salarial</v>
      </c>
      <c r="AL3" s="247" t="str">
        <f>IFERROR(IF(VLOOKUP(AL$8,TblComplem[],$AB3,FALSE)=0,"",VLOOKUP(AL$8,TblComplem[],$AB3,FALSE)),"")</f>
        <v>Comp. Salarial</v>
      </c>
      <c r="AM3" s="247" t="str">
        <f>IFERROR(IF(VLOOKUP(AM$8,TblComplem[],$AB3,FALSE)=0,"",VLOOKUP(AM$8,TblComplem[],$AB3,FALSE)),"")</f>
        <v>Comp. Salarial</v>
      </c>
      <c r="AN3" s="247" t="str">
        <f>IFERROR(IF(VLOOKUP(AN$8,TblComplem[],$AB3,FALSE)=0,"",VLOOKUP(AN$8,TblComplem[],$AB3,FALSE)),"")</f>
        <v>Comp. Salarial</v>
      </c>
      <c r="AO3" s="247" t="str">
        <f>IFERROR(IF(VLOOKUP(AO$8,TblComplem[],$AB3,FALSE)=0,"",VLOOKUP(AO$8,TblComplem[],$AB3,FALSE)),"")</f>
        <v>Comp. Salarial</v>
      </c>
      <c r="AP3" s="247" t="str">
        <f>IFERROR(IF(VLOOKUP(AP$8,TblComplem[],$AB3,FALSE)=0,"",VLOOKUP(AP$8,TblComplem[],$AB3,FALSE)),"")</f>
        <v>Comp. Salarial</v>
      </c>
      <c r="AQ3" s="247" t="str">
        <f>IFERROR(IF(VLOOKUP(AQ$8,TblComplem[],$AB3,FALSE)=0,"",VLOOKUP(AQ$8,TblComplem[],$AB3,FALSE)),"")</f>
        <v>Comp. Salarial</v>
      </c>
      <c r="AR3" s="247" t="str">
        <f>IFERROR(IF(VLOOKUP(AR$8,TblComplem[],$AB3,FALSE)=0,"",VLOOKUP(AR$8,TblComplem[],$AB3,FALSE)),"")</f>
        <v>Comp. Salarial</v>
      </c>
      <c r="AS3" s="247" t="str">
        <f>IFERROR(IF(VLOOKUP(AS$8,TblComplem[],$AB3,FALSE)=0,"",VLOOKUP(AS$8,TblComplem[],$AB3,FALSE)),"")</f>
        <v>Comp. Salarial</v>
      </c>
      <c r="AT3" s="247" t="str">
        <f>IFERROR(IF(VLOOKUP(AT$8,TblComplem[],$AB3,FALSE)=0,"",VLOOKUP(AT$8,TblComplem[],$AB3,FALSE)),"")</f>
        <v>Comp. Salarial</v>
      </c>
      <c r="AU3" s="247" t="str">
        <f>IFERROR(IF(VLOOKUP(AU$8,TblComplem[],$AB3,FALSE)=0,"",VLOOKUP(AU$8,TblComplem[],$AB3,FALSE)),"")</f>
        <v>Comp. Salarial</v>
      </c>
      <c r="AV3" s="247" t="str">
        <f>IFERROR(IF(VLOOKUP(AV$8,TblComplem[],$AB3,FALSE)=0,"",VLOOKUP(AV$8,TblComplem[],$AB3,FALSE)),"")</f>
        <v>Comp. Salarial</v>
      </c>
      <c r="AW3" s="247" t="str">
        <f>IFERROR(IF(VLOOKUP(AW$8,TblComplem[],$AB3,FALSE)=0,"",VLOOKUP(AW$8,TblComplem[],$AB3,FALSE)),"")</f>
        <v>Comp. Salarial</v>
      </c>
      <c r="AX3" s="247" t="str">
        <f>IFERROR(IF(VLOOKUP(AX$8,TblComplem[],$AB3,FALSE)=0,"",VLOOKUP(AX$8,TblComplem[],$AB3,FALSE)),"")</f>
        <v>Comp. Salarial</v>
      </c>
      <c r="AY3" s="247" t="str">
        <f>IFERROR(IF(VLOOKUP(AY$8,TblComplem[],$AB3,FALSE)=0,"",VLOOKUP(AY$8,TblComplem[],$AB3,FALSE)),"")</f>
        <v>Comp. Salarial</v>
      </c>
      <c r="AZ3" s="247" t="str">
        <f>IFERROR(IF(VLOOKUP(AZ$8,TblComplem[],$AB3,FALSE)=0,"",VLOOKUP(AZ$8,TblComplem[],$AB3,FALSE)),"")</f>
        <v>Comp. Salarial</v>
      </c>
      <c r="BA3" s="247" t="str">
        <f>IFERROR(IF(VLOOKUP(BA$8,TblComplem[],$AB3,FALSE)=0,"",VLOOKUP(BA$8,TblComplem[],$AB3,FALSE)),"")</f>
        <v>Comp. Salarial</v>
      </c>
      <c r="BB3" s="247" t="str">
        <f>IFERROR(IF(VLOOKUP(BB$8,TblComplem[],$AB3,FALSE)=0,"",VLOOKUP(BB$8,TblComplem[],$AB3,FALSE)),"")</f>
        <v>Comp. Salarial</v>
      </c>
      <c r="BC3" s="247" t="str">
        <f>IFERROR(IF(VLOOKUP(BC$8,TblComplem[],$AB3,FALSE)=0,"",VLOOKUP(BC$8,TblComplem[],$AB3,FALSE)),"")</f>
        <v>Comp. Salarial</v>
      </c>
      <c r="BD3" s="247" t="str">
        <f>IFERROR(IF(VLOOKUP(BD$8,TblComplem[],$AB3,FALSE)=0,"",VLOOKUP(BD$8,TblComplem[],$AB3,FALSE)),"")</f>
        <v>Comp. Salarial</v>
      </c>
      <c r="BE3" s="247" t="str">
        <f>IFERROR(IF(VLOOKUP(BE$8,TblComplem[],$AB3,FALSE)=0,"",VLOOKUP(BE$8,TblComplem[],$AB3,FALSE)),"")</f>
        <v>Comp. Salarial</v>
      </c>
      <c r="BF3" s="247" t="str">
        <f>IFERROR(IF(VLOOKUP(BF$8,TblComplem[],$AB3,FALSE)=0,"",VLOOKUP(BF$8,TblComplem[],$AB3,FALSE)),"")</f>
        <v>Comp. Salarial</v>
      </c>
      <c r="BG3" s="247" t="str">
        <f>IFERROR(IF(VLOOKUP(BG$8,TblComplem[],$AB3,FALSE)=0,"",VLOOKUP(BG$8,TblComplem[],$AB3,FALSE)),"")</f>
        <v>Comp. Salarial</v>
      </c>
      <c r="BH3" s="247" t="str">
        <f>IFERROR(IF(VLOOKUP(BH$8,TblComplem[],$AB3,FALSE)=0,"",VLOOKUP(BH$8,TblComplem[],$AB3,FALSE)),"")</f>
        <v>Comp. Salarial</v>
      </c>
      <c r="BI3" s="247" t="str">
        <f>IFERROR(IF(VLOOKUP(BI$8,TblComplem[],$AB3,FALSE)=0,"",VLOOKUP(BI$8,TblComplem[],$AB3,FALSE)),"")</f>
        <v>Extrasalarial</v>
      </c>
      <c r="BJ3" s="247" t="str">
        <f>IFERROR(IF(VLOOKUP(BJ$8,TblComplem[],$AB3,FALSE)=0,"",VLOOKUP(BJ$8,TblComplem[],$AB3,FALSE)),"")</f>
        <v>Extrasalarial</v>
      </c>
      <c r="BK3" s="247" t="str">
        <f>IFERROR(IF(VLOOKUP(BK$8,TblComplem[],$AB3,FALSE)=0,"",VLOOKUP(BK$8,TblComplem[],$AB3,FALSE)),"")</f>
        <v>Extrasalarial</v>
      </c>
      <c r="BL3" s="247" t="str">
        <f>IFERROR(IF(VLOOKUP(BL$8,TblComplem[],$AB3,FALSE)=0,"",VLOOKUP(BL$8,TblComplem[],$AB3,FALSE)),"")</f>
        <v>Extrasalarial</v>
      </c>
      <c r="BM3" s="247" t="str">
        <f>IFERROR(IF(VLOOKUP(BM$8,TblComplem[],$AB3,FALSE)=0,"",VLOOKUP(BM$8,TblComplem[],$AB3,FALSE)),"")</f>
        <v>Extrasalarial</v>
      </c>
      <c r="BP3" t="s">
        <v>293</v>
      </c>
      <c r="BQ3" s="241" t="s">
        <v>294</v>
      </c>
      <c r="BX3" s="248"/>
      <c r="CC3" s="249"/>
      <c r="CD3" s="249"/>
      <c r="CE3" s="249"/>
      <c r="CF3" s="249"/>
      <c r="CG3" s="249"/>
      <c r="CH3" s="250"/>
    </row>
    <row r="4" spans="2:93" customFormat="1" x14ac:dyDescent="0.25">
      <c r="C4" s="10" t="s">
        <v>94</v>
      </c>
      <c r="D4" s="251">
        <f>+Inicio!G10</f>
        <v>45657</v>
      </c>
      <c r="AB4" s="252">
        <v>6</v>
      </c>
      <c r="AC4" s="253" t="s">
        <v>173</v>
      </c>
      <c r="AD4" s="315" t="str">
        <f>IFERROR(IF(VLOOKUP(AD$8,TblComplem[],$AB4,FALSE)=0,"",VLOOKUP(AD$8,TblComplem[],$AB4,FALSE)),"")</f>
        <v>Sí</v>
      </c>
      <c r="AE4" s="315" t="str">
        <f>IFERROR(IF(VLOOKUP(AE$8,TblComplem[],$AB4,FALSE)=0,"",VLOOKUP(AE$8,TblComplem[],$AB4,FALSE)),"")</f>
        <v>Sí</v>
      </c>
      <c r="AF4" s="315" t="str">
        <f>IFERROR(IF(VLOOKUP(AF$8,TblComplem[],$AB4,FALSE)=0,"",VLOOKUP(AF$8,TblComplem[],$AB4,FALSE)),"")</f>
        <v>Sí</v>
      </c>
      <c r="AG4" s="315" t="str">
        <f>IFERROR(IF(VLOOKUP(AG$8,TblComplem[],$AB4,FALSE)=0,"",VLOOKUP(AG$8,TblComplem[],$AB4,FALSE)),"")</f>
        <v>No</v>
      </c>
      <c r="AH4" s="315" t="str">
        <f>IFERROR(IF(VLOOKUP(AH$8,TblComplem[],$AB4,FALSE)=0,"",VLOOKUP(AH$8,TblComplem[],$AB4,FALSE)),"")</f>
        <v>Sí</v>
      </c>
      <c r="AI4" s="315" t="str">
        <f>IFERROR(IF(VLOOKUP(AI$8,TblComplem[],$AB4,FALSE)=0,"",VLOOKUP(AI$8,TblComplem[],$AB4,FALSE)),"")</f>
        <v>Sí</v>
      </c>
      <c r="AJ4" s="315" t="str">
        <f>IFERROR(IF(VLOOKUP(AJ$8,TblComplem[],$AB4,FALSE)=0,"",VLOOKUP(AJ$8,TblComplem[],$AB4,FALSE)),"")</f>
        <v>No</v>
      </c>
      <c r="AK4" s="315" t="str">
        <f>IFERROR(IF(VLOOKUP(AK$8,TblComplem[],$AB4,FALSE)=0,"",VLOOKUP(AK$8,TblComplem[],$AB4,FALSE)),"")</f>
        <v>No</v>
      </c>
      <c r="AL4" s="315" t="str">
        <f>IFERROR(IF(VLOOKUP(AL$8,TblComplem[],$AB4,FALSE)=0,"",VLOOKUP(AL$8,TblComplem[],$AB4,FALSE)),"")</f>
        <v>Sí</v>
      </c>
      <c r="AM4" s="315" t="str">
        <f>IFERROR(IF(VLOOKUP(AM$8,TblComplem[],$AB4,FALSE)=0,"",VLOOKUP(AM$8,TblComplem[],$AB4,FALSE)),"")</f>
        <v/>
      </c>
      <c r="AN4" s="315" t="str">
        <f>IFERROR(IF(VLOOKUP(AN$8,TblComplem[],$AB4,FALSE)=0,"",VLOOKUP(AN$8,TblComplem[],$AB4,FALSE)),"")</f>
        <v/>
      </c>
      <c r="AO4" s="315" t="str">
        <f>IFERROR(IF(VLOOKUP(AO$8,TblComplem[],$AB4,FALSE)=0,"",VLOOKUP(AO$8,TblComplem[],$AB4,FALSE)),"")</f>
        <v/>
      </c>
      <c r="AP4" s="315" t="str">
        <f>IFERROR(IF(VLOOKUP(AP$8,TblComplem[],$AB4,FALSE)=0,"",VLOOKUP(AP$8,TblComplem[],$AB4,FALSE)),"")</f>
        <v/>
      </c>
      <c r="AQ4" s="315" t="str">
        <f>IFERROR(IF(VLOOKUP(AQ$8,TblComplem[],$AB4,FALSE)=0,"",VLOOKUP(AQ$8,TblComplem[],$AB4,FALSE)),"")</f>
        <v/>
      </c>
      <c r="AR4" s="315" t="str">
        <f>IFERROR(IF(VLOOKUP(AR$8,TblComplem[],$AB4,FALSE)=0,"",VLOOKUP(AR$8,TblComplem[],$AB4,FALSE)),"")</f>
        <v/>
      </c>
      <c r="AS4" s="315" t="str">
        <f>IFERROR(IF(VLOOKUP(AS$8,TblComplem[],$AB4,FALSE)=0,"",VLOOKUP(AS$8,TblComplem[],$AB4,FALSE)),"")</f>
        <v/>
      </c>
      <c r="AT4" s="315" t="str">
        <f>IFERROR(IF(VLOOKUP(AT$8,TblComplem[],$AB4,FALSE)=0,"",VLOOKUP(AT$8,TblComplem[],$AB4,FALSE)),"")</f>
        <v/>
      </c>
      <c r="AU4" s="315" t="str">
        <f>IFERROR(IF(VLOOKUP(AU$8,TblComplem[],$AB4,FALSE)=0,"",VLOOKUP(AU$8,TblComplem[],$AB4,FALSE)),"")</f>
        <v/>
      </c>
      <c r="AV4" s="315" t="str">
        <f>IFERROR(IF(VLOOKUP(AV$8,TblComplem[],$AB4,FALSE)=0,"",VLOOKUP(AV$8,TblComplem[],$AB4,FALSE)),"")</f>
        <v/>
      </c>
      <c r="AW4" s="315" t="str">
        <f>IFERROR(IF(VLOOKUP(AW$8,TblComplem[],$AB4,FALSE)=0,"",VLOOKUP(AW$8,TblComplem[],$AB4,FALSE)),"")</f>
        <v/>
      </c>
      <c r="AX4" s="315" t="str">
        <f>IFERROR(IF(VLOOKUP(AX$8,TblComplem[],$AB4,FALSE)=0,"",VLOOKUP(AX$8,TblComplem[],$AB4,FALSE)),"")</f>
        <v/>
      </c>
      <c r="AY4" s="315" t="str">
        <f>IFERROR(IF(VLOOKUP(AY$8,TblComplem[],$AB4,FALSE)=0,"",VLOOKUP(AY$8,TblComplem[],$AB4,FALSE)),"")</f>
        <v/>
      </c>
      <c r="AZ4" s="315" t="str">
        <f>IFERROR(IF(VLOOKUP(AZ$8,TblComplem[],$AB4,FALSE)=0,"",VLOOKUP(AZ$8,TblComplem[],$AB4,FALSE)),"")</f>
        <v/>
      </c>
      <c r="BA4" s="315" t="str">
        <f>IFERROR(IF(VLOOKUP(BA$8,TblComplem[],$AB4,FALSE)=0,"",VLOOKUP(BA$8,TblComplem[],$AB4,FALSE)),"")</f>
        <v/>
      </c>
      <c r="BB4" s="315" t="str">
        <f>IFERROR(IF(VLOOKUP(BB$8,TblComplem[],$AB4,FALSE)=0,"",VLOOKUP(BB$8,TblComplem[],$AB4,FALSE)),"")</f>
        <v/>
      </c>
      <c r="BC4" s="315" t="str">
        <f>IFERROR(IF(VLOOKUP(BC$8,TblComplem[],$AB4,FALSE)=0,"",VLOOKUP(BC$8,TblComplem[],$AB4,FALSE)),"")</f>
        <v/>
      </c>
      <c r="BD4" s="315" t="str">
        <f>IFERROR(IF(VLOOKUP(BD$8,TblComplem[],$AB4,FALSE)=0,"",VLOOKUP(BD$8,TblComplem[],$AB4,FALSE)),"")</f>
        <v/>
      </c>
      <c r="BE4" s="315" t="str">
        <f>IFERROR(IF(VLOOKUP(BE$8,TblComplem[],$AB4,FALSE)=0,"",VLOOKUP(BE$8,TblComplem[],$AB4,FALSE)),"")</f>
        <v/>
      </c>
      <c r="BF4" s="315" t="str">
        <f>IFERROR(IF(VLOOKUP(BF$8,TblComplem[],$AB4,FALSE)=0,"",VLOOKUP(BF$8,TblComplem[],$AB4,FALSE)),"")</f>
        <v/>
      </c>
      <c r="BG4" s="315" t="str">
        <f>IFERROR(IF(VLOOKUP(BG$8,TblComplem[],$AB4,FALSE)=0,"",VLOOKUP(BG$8,TblComplem[],$AB4,FALSE)),"")</f>
        <v/>
      </c>
      <c r="BH4" s="315" t="str">
        <f>IFERROR(IF(VLOOKUP(BH$8,TblComplem[],$AB4,FALSE)=0,"",VLOOKUP(BH$8,TblComplem[],$AB4,FALSE)),"")</f>
        <v/>
      </c>
      <c r="BI4" s="315" t="str">
        <f>IFERROR(IF(VLOOKUP(BI$8,TblComplem[],$AB4,FALSE)=0,"",VLOOKUP(BI$8,TblComplem[],$AB4,FALSE)),"")</f>
        <v>No</v>
      </c>
      <c r="BJ4" s="315" t="str">
        <f>IFERROR(IF(VLOOKUP(BJ$8,TblComplem[],$AB4,FALSE)=0,"",VLOOKUP(BJ$8,TblComplem[],$AB4,FALSE)),"")</f>
        <v>No</v>
      </c>
      <c r="BK4" s="315" t="str">
        <f>IFERROR(IF(VLOOKUP(BK$8,TblComplem[],$AB4,FALSE)=0,"",VLOOKUP(BK$8,TblComplem[],$AB4,FALSE)),"")</f>
        <v>Sí</v>
      </c>
      <c r="BL4" s="315" t="str">
        <f>IFERROR(IF(VLOOKUP(BL$8,TblComplem[],$AB4,FALSE)=0,"",VLOOKUP(BL$8,TblComplem[],$AB4,FALSE)),"")</f>
        <v>Sí</v>
      </c>
      <c r="BM4" s="315" t="str">
        <f>IFERROR(IF(VLOOKUP(BM$8,TblComplem[],$AB4,FALSE)=0,"",VLOOKUP(BM$8,TblComplem[],$AB4,FALSE)),"")</f>
        <v/>
      </c>
      <c r="BP4" t="s">
        <v>291</v>
      </c>
      <c r="BX4" s="238"/>
      <c r="CC4" s="239"/>
      <c r="CD4" s="239"/>
      <c r="CE4" s="239"/>
      <c r="CF4" s="239"/>
      <c r="CG4" s="239"/>
      <c r="CH4" s="240"/>
    </row>
    <row r="5" spans="2:93" customFormat="1" x14ac:dyDescent="0.25">
      <c r="C5" s="254" t="s">
        <v>115</v>
      </c>
      <c r="D5" s="255">
        <f>D4-D3+1</f>
        <v>366</v>
      </c>
      <c r="AB5" s="252">
        <v>7</v>
      </c>
      <c r="AC5" s="256" t="s">
        <v>172</v>
      </c>
      <c r="AD5" s="316" t="str">
        <f>IFERROR(IF(VLOOKUP(AD$8,TblComplem[],$AB5,FALSE)=0,"",VLOOKUP(AD$8,TblComplem[],$AB5,FALSE)),"")</f>
        <v>Sí</v>
      </c>
      <c r="AE5" s="316" t="str">
        <f>IFERROR(IF(VLOOKUP(AE$8,TblComplem[],$AB5,FALSE)=0,"",VLOOKUP(AE$8,TblComplem[],$AB5,FALSE)),"")</f>
        <v>Sí</v>
      </c>
      <c r="AF5" s="316" t="str">
        <f>IFERROR(IF(VLOOKUP(AF$8,TblComplem[],$AB5,FALSE)=0,"",VLOOKUP(AF$8,TblComplem[],$AB5,FALSE)),"")</f>
        <v>Sí</v>
      </c>
      <c r="AG5" s="316" t="str">
        <f>IFERROR(IF(VLOOKUP(AG$8,TblComplem[],$AB5,FALSE)=0,"",VLOOKUP(AG$8,TblComplem[],$AB5,FALSE)),"")</f>
        <v>Sí</v>
      </c>
      <c r="AH5" s="316" t="str">
        <f>IFERROR(IF(VLOOKUP(AH$8,TblComplem[],$AB5,FALSE)=0,"",VLOOKUP(AH$8,TblComplem[],$AB5,FALSE)),"")</f>
        <v>Sí</v>
      </c>
      <c r="AI5" s="316" t="str">
        <f>IFERROR(IF(VLOOKUP(AI$8,TblComplem[],$AB5,FALSE)=0,"",VLOOKUP(AI$8,TblComplem[],$AB5,FALSE)),"")</f>
        <v>Sí</v>
      </c>
      <c r="AJ5" s="316" t="str">
        <f>IFERROR(IF(VLOOKUP(AJ$8,TblComplem[],$AB5,FALSE)=0,"",VLOOKUP(AJ$8,TblComplem[],$AB5,FALSE)),"")</f>
        <v>Sí</v>
      </c>
      <c r="AK5" s="316" t="str">
        <f>IFERROR(IF(VLOOKUP(AK$8,TblComplem[],$AB5,FALSE)=0,"",VLOOKUP(AK$8,TblComplem[],$AB5,FALSE)),"")</f>
        <v>No</v>
      </c>
      <c r="AL5" s="316" t="str">
        <f>IFERROR(IF(VLOOKUP(AL$8,TblComplem[],$AB5,FALSE)=0,"",VLOOKUP(AL$8,TblComplem[],$AB5,FALSE)),"")</f>
        <v>Sí</v>
      </c>
      <c r="AM5" s="316" t="str">
        <f>IFERROR(IF(VLOOKUP(AM$8,TblComplem[],$AB5,FALSE)=0,"",VLOOKUP(AM$8,TblComplem[],$AB5,FALSE)),"")</f>
        <v/>
      </c>
      <c r="AN5" s="316" t="str">
        <f>IFERROR(IF(VLOOKUP(AN$8,TblComplem[],$AB5,FALSE)=0,"",VLOOKUP(AN$8,TblComplem[],$AB5,FALSE)),"")</f>
        <v/>
      </c>
      <c r="AO5" s="316" t="str">
        <f>IFERROR(IF(VLOOKUP(AO$8,TblComplem[],$AB5,FALSE)=0,"",VLOOKUP(AO$8,TblComplem[],$AB5,FALSE)),"")</f>
        <v/>
      </c>
      <c r="AP5" s="316" t="str">
        <f>IFERROR(IF(VLOOKUP(AP$8,TblComplem[],$AB5,FALSE)=0,"",VLOOKUP(AP$8,TblComplem[],$AB5,FALSE)),"")</f>
        <v/>
      </c>
      <c r="AQ5" s="316" t="str">
        <f>IFERROR(IF(VLOOKUP(AQ$8,TblComplem[],$AB5,FALSE)=0,"",VLOOKUP(AQ$8,TblComplem[],$AB5,FALSE)),"")</f>
        <v/>
      </c>
      <c r="AR5" s="316" t="str">
        <f>IFERROR(IF(VLOOKUP(AR$8,TblComplem[],$AB5,FALSE)=0,"",VLOOKUP(AR$8,TblComplem[],$AB5,FALSE)),"")</f>
        <v/>
      </c>
      <c r="AS5" s="316" t="str">
        <f>IFERROR(IF(VLOOKUP(AS$8,TblComplem[],$AB5,FALSE)=0,"",VLOOKUP(AS$8,TblComplem[],$AB5,FALSE)),"")</f>
        <v/>
      </c>
      <c r="AT5" s="316" t="str">
        <f>IFERROR(IF(VLOOKUP(AT$8,TblComplem[],$AB5,FALSE)=0,"",VLOOKUP(AT$8,TblComplem[],$AB5,FALSE)),"")</f>
        <v/>
      </c>
      <c r="AU5" s="316" t="str">
        <f>IFERROR(IF(VLOOKUP(AU$8,TblComplem[],$AB5,FALSE)=0,"",VLOOKUP(AU$8,TblComplem[],$AB5,FALSE)),"")</f>
        <v/>
      </c>
      <c r="AV5" s="316" t="str">
        <f>IFERROR(IF(VLOOKUP(AV$8,TblComplem[],$AB5,FALSE)=0,"",VLOOKUP(AV$8,TblComplem[],$AB5,FALSE)),"")</f>
        <v/>
      </c>
      <c r="AW5" s="316" t="str">
        <f>IFERROR(IF(VLOOKUP(AW$8,TblComplem[],$AB5,FALSE)=0,"",VLOOKUP(AW$8,TblComplem[],$AB5,FALSE)),"")</f>
        <v/>
      </c>
      <c r="AX5" s="316" t="str">
        <f>IFERROR(IF(VLOOKUP(AX$8,TblComplem[],$AB5,FALSE)=0,"",VLOOKUP(AX$8,TblComplem[],$AB5,FALSE)),"")</f>
        <v/>
      </c>
      <c r="AY5" s="316" t="str">
        <f>IFERROR(IF(VLOOKUP(AY$8,TblComplem[],$AB5,FALSE)=0,"",VLOOKUP(AY$8,TblComplem[],$AB5,FALSE)),"")</f>
        <v/>
      </c>
      <c r="AZ5" s="316" t="str">
        <f>IFERROR(IF(VLOOKUP(AZ$8,TblComplem[],$AB5,FALSE)=0,"",VLOOKUP(AZ$8,TblComplem[],$AB5,FALSE)),"")</f>
        <v/>
      </c>
      <c r="BA5" s="316" t="str">
        <f>IFERROR(IF(VLOOKUP(BA$8,TblComplem[],$AB5,FALSE)=0,"",VLOOKUP(BA$8,TblComplem[],$AB5,FALSE)),"")</f>
        <v/>
      </c>
      <c r="BB5" s="316" t="str">
        <f>IFERROR(IF(VLOOKUP(BB$8,TblComplem[],$AB5,FALSE)=0,"",VLOOKUP(BB$8,TblComplem[],$AB5,FALSE)),"")</f>
        <v/>
      </c>
      <c r="BC5" s="316" t="str">
        <f>IFERROR(IF(VLOOKUP(BC$8,TblComplem[],$AB5,FALSE)=0,"",VLOOKUP(BC$8,TblComplem[],$AB5,FALSE)),"")</f>
        <v/>
      </c>
      <c r="BD5" s="316" t="str">
        <f>IFERROR(IF(VLOOKUP(BD$8,TblComplem[],$AB5,FALSE)=0,"",VLOOKUP(BD$8,TblComplem[],$AB5,FALSE)),"")</f>
        <v/>
      </c>
      <c r="BE5" s="316" t="str">
        <f>IFERROR(IF(VLOOKUP(BE$8,TblComplem[],$AB5,FALSE)=0,"",VLOOKUP(BE$8,TblComplem[],$AB5,FALSE)),"")</f>
        <v/>
      </c>
      <c r="BF5" s="316" t="str">
        <f>IFERROR(IF(VLOOKUP(BF$8,TblComplem[],$AB5,FALSE)=0,"",VLOOKUP(BF$8,TblComplem[],$AB5,FALSE)),"")</f>
        <v/>
      </c>
      <c r="BG5" s="316" t="str">
        <f>IFERROR(IF(VLOOKUP(BG$8,TblComplem[],$AB5,FALSE)=0,"",VLOOKUP(BG$8,TblComplem[],$AB5,FALSE)),"")</f>
        <v/>
      </c>
      <c r="BH5" s="316" t="str">
        <f>IFERROR(IF(VLOOKUP(BH$8,TblComplem[],$AB5,FALSE)=0,"",VLOOKUP(BH$8,TblComplem[],$AB5,FALSE)),"")</f>
        <v/>
      </c>
      <c r="BI5" s="316" t="str">
        <f>IFERROR(IF(VLOOKUP(BI$8,TblComplem[],$AB5,FALSE)=0,"",VLOOKUP(BI$8,TblComplem[],$AB5,FALSE)),"")</f>
        <v>No</v>
      </c>
      <c r="BJ5" s="316" t="str">
        <f>IFERROR(IF(VLOOKUP(BJ$8,TblComplem[],$AB5,FALSE)=0,"",VLOOKUP(BJ$8,TblComplem[],$AB5,FALSE)),"")</f>
        <v>No</v>
      </c>
      <c r="BK5" s="316" t="str">
        <f>IFERROR(IF(VLOOKUP(BK$8,TblComplem[],$AB5,FALSE)=0,"",VLOOKUP(BK$8,TblComplem[],$AB5,FALSE)),"")</f>
        <v>Sí</v>
      </c>
      <c r="BL5" s="316" t="str">
        <f>IFERROR(IF(VLOOKUP(BL$8,TblComplem[],$AB5,FALSE)=0,"",VLOOKUP(BL$8,TblComplem[],$AB5,FALSE)),"")</f>
        <v>Sí</v>
      </c>
      <c r="BM5" s="316" t="str">
        <f>IFERROR(IF(VLOOKUP(BM$8,TblComplem[],$AB5,FALSE)=0,"",VLOOKUP(BM$8,TblComplem[],$AB5,FALSE)),"")</f>
        <v/>
      </c>
      <c r="BP5" t="s">
        <v>292</v>
      </c>
      <c r="BX5" s="238"/>
      <c r="CC5" s="239"/>
      <c r="CD5" s="239"/>
      <c r="CE5" s="239"/>
      <c r="CF5" s="239"/>
      <c r="CG5" s="239"/>
      <c r="CH5" s="240"/>
    </row>
    <row r="6" spans="2:93" s="2" customFormat="1" ht="28.9" customHeight="1" x14ac:dyDescent="0.25">
      <c r="AB6" s="257">
        <v>2</v>
      </c>
      <c r="AC6" s="258" t="s">
        <v>267</v>
      </c>
      <c r="AD6" s="259" t="str">
        <f>IFERROR(IF(VLOOKUP(AD$8,TblComplem[],$AB6,FALSE)=0,"",VLOOKUP(AD$8,TblComplem[],$AB6,FALSE)),"")</f>
        <v>S.Base</v>
      </c>
      <c r="AE6" s="259" t="str">
        <f>IFERROR(IF(VLOOKUP(AE$8,TblComplem[],$AB6,FALSE)=0,"",VLOOKUP(AE$8,TblComplem[],$AB6,FALSE)),"")</f>
        <v>MejVol</v>
      </c>
      <c r="AF6" s="259" t="str">
        <f>IFERROR(IF(VLOOKUP(AF$8,TblComplem[],$AB6,FALSE)=0,"",VLOOKUP(AF$8,TblComplem[],$AB6,FALSE)),"")</f>
        <v>Antig.</v>
      </c>
      <c r="AG6" s="259" t="str">
        <f>IFERROR(IF(VLOOKUP(AG$8,TblComplem[],$AB6,FALSE)=0,"",VLOOKUP(AG$8,TblComplem[],$AB6,FALSE)),"")</f>
        <v>Transporte</v>
      </c>
      <c r="AH6" s="259" t="str">
        <f>IFERROR(IF(VLOOKUP(AH$8,TblComplem[],$AB6,FALSE)=0,"",VLOOKUP(AH$8,TblComplem[],$AB6,FALSE)),"")</f>
        <v>Ventas</v>
      </c>
      <c r="AI6" s="259" t="str">
        <f>IFERROR(IF(VLOOKUP(AI$8,TblComplem[],$AB6,FALSE)=0,"",VLOOKUP(AI$8,TblComplem[],$AB6,FALSE)),"")</f>
        <v>Bonus</v>
      </c>
      <c r="AJ6" s="259" t="str">
        <f>IFERROR(IF(VLOOKUP(AJ$8,TblComplem[],$AB6,FALSE)=0,"",VLOOKUP(AJ$8,TblComplem[],$AB6,FALSE)),"")</f>
        <v>Coche</v>
      </c>
      <c r="AK6" s="259" t="str">
        <f>IFERROR(IF(VLOOKUP(AK$8,TblComplem[],$AB6,FALSE)=0,"",VLOOKUP(AK$8,TblComplem[],$AB6,FALSE)),"")</f>
        <v>Cesta</v>
      </c>
      <c r="AL6" s="259" t="str">
        <f>IFERROR(IF(VLOOKUP(AL$8,TblComplem[],$AB6,FALSE)=0,"",VLOOKUP(AL$8,TblComplem[],$AB6,FALSE)),"")</f>
        <v>Nocturnidad</v>
      </c>
      <c r="AM6" s="259" t="str">
        <f>IFERROR(IF(VLOOKUP(AM$8,TblComplem[],$AB6,FALSE)=0,"",VLOOKUP(AM$8,TblComplem[],$AB6,FALSE)),"")</f>
        <v/>
      </c>
      <c r="AN6" s="259" t="str">
        <f>IFERROR(IF(VLOOKUP(AN$8,TblComplem[],$AB6,FALSE)=0,"",VLOOKUP(AN$8,TblComplem[],$AB6,FALSE)),"")</f>
        <v/>
      </c>
      <c r="AO6" s="259" t="str">
        <f>IFERROR(IF(VLOOKUP(AO$8,TblComplem[],$AB6,FALSE)=0,"",VLOOKUP(AO$8,TblComplem[],$AB6,FALSE)),"")</f>
        <v/>
      </c>
      <c r="AP6" s="259" t="str">
        <f>IFERROR(IF(VLOOKUP(AP$8,TblComplem[],$AB6,FALSE)=0,"",VLOOKUP(AP$8,TblComplem[],$AB6,FALSE)),"")</f>
        <v/>
      </c>
      <c r="AQ6" s="259" t="str">
        <f>IFERROR(IF(VLOOKUP(AQ$8,TblComplem[],$AB6,FALSE)=0,"",VLOOKUP(AQ$8,TblComplem[],$AB6,FALSE)),"")</f>
        <v/>
      </c>
      <c r="AR6" s="259" t="str">
        <f>IFERROR(IF(VLOOKUP(AR$8,TblComplem[],$AB6,FALSE)=0,"",VLOOKUP(AR$8,TblComplem[],$AB6,FALSE)),"")</f>
        <v/>
      </c>
      <c r="AS6" s="259" t="str">
        <f>IFERROR(IF(VLOOKUP(AS$8,TblComplem[],$AB6,FALSE)=0,"",VLOOKUP(AS$8,TblComplem[],$AB6,FALSE)),"")</f>
        <v/>
      </c>
      <c r="AT6" s="259" t="str">
        <f>IFERROR(IF(VLOOKUP(AT$8,TblComplem[],$AB6,FALSE)=0,"",VLOOKUP(AT$8,TblComplem[],$AB6,FALSE)),"")</f>
        <v/>
      </c>
      <c r="AU6" s="259" t="str">
        <f>IFERROR(IF(VLOOKUP(AU$8,TblComplem[],$AB6,FALSE)=0,"",VLOOKUP(AU$8,TblComplem[],$AB6,FALSE)),"")</f>
        <v/>
      </c>
      <c r="AV6" s="259" t="str">
        <f>IFERROR(IF(VLOOKUP(AV$8,TblComplem[],$AB6,FALSE)=0,"",VLOOKUP(AV$8,TblComplem[],$AB6,FALSE)),"")</f>
        <v/>
      </c>
      <c r="AW6" s="259" t="str">
        <f>IFERROR(IF(VLOOKUP(AW$8,TblComplem[],$AB6,FALSE)=0,"",VLOOKUP(AW$8,TblComplem[],$AB6,FALSE)),"")</f>
        <v/>
      </c>
      <c r="AX6" s="259" t="str">
        <f>IFERROR(IF(VLOOKUP(AX$8,TblComplem[],$AB6,FALSE)=0,"",VLOOKUP(AX$8,TblComplem[],$AB6,FALSE)),"")</f>
        <v/>
      </c>
      <c r="AY6" s="259" t="str">
        <f>IFERROR(IF(VLOOKUP(AY$8,TblComplem[],$AB6,FALSE)=0,"",VLOOKUP(AY$8,TblComplem[],$AB6,FALSE)),"")</f>
        <v/>
      </c>
      <c r="AZ6" s="259" t="str">
        <f>IFERROR(IF(VLOOKUP(AZ$8,TblComplem[],$AB6,FALSE)=0,"",VLOOKUP(AZ$8,TblComplem[],$AB6,FALSE)),"")</f>
        <v/>
      </c>
      <c r="BA6" s="259" t="str">
        <f>IFERROR(IF(VLOOKUP(BA$8,TblComplem[],$AB6,FALSE)=0,"",VLOOKUP(BA$8,TblComplem[],$AB6,FALSE)),"")</f>
        <v/>
      </c>
      <c r="BB6" s="259" t="str">
        <f>IFERROR(IF(VLOOKUP(BB$8,TblComplem[],$AB6,FALSE)=0,"",VLOOKUP(BB$8,TblComplem[],$AB6,FALSE)),"")</f>
        <v/>
      </c>
      <c r="BC6" s="259" t="str">
        <f>IFERROR(IF(VLOOKUP(BC$8,TblComplem[],$AB6,FALSE)=0,"",VLOOKUP(BC$8,TblComplem[],$AB6,FALSE)),"")</f>
        <v/>
      </c>
      <c r="BD6" s="259" t="str">
        <f>IFERROR(IF(VLOOKUP(BD$8,TblComplem[],$AB6,FALSE)=0,"",VLOOKUP(BD$8,TblComplem[],$AB6,FALSE)),"")</f>
        <v/>
      </c>
      <c r="BE6" s="259" t="str">
        <f>IFERROR(IF(VLOOKUP(BE$8,TblComplem[],$AB6,FALSE)=0,"",VLOOKUP(BE$8,TblComplem[],$AB6,FALSE)),"")</f>
        <v/>
      </c>
      <c r="BF6" s="259" t="str">
        <f>IFERROR(IF(VLOOKUP(BF$8,TblComplem[],$AB6,FALSE)=0,"",VLOOKUP(BF$8,TblComplem[],$AB6,FALSE)),"")</f>
        <v/>
      </c>
      <c r="BG6" s="259" t="str">
        <f>IFERROR(IF(VLOOKUP(BG$8,TblComplem[],$AB6,FALSE)=0,"",VLOOKUP(BG$8,TblComplem[],$AB6,FALSE)),"")</f>
        <v/>
      </c>
      <c r="BH6" s="259" t="str">
        <f>IFERROR(IF(VLOOKUP(BH$8,TblComplem[],$AB6,FALSE)=0,"",VLOOKUP(BH$8,TblComplem[],$AB6,FALSE)),"")</f>
        <v/>
      </c>
      <c r="BI6" s="259" t="str">
        <f>IFERROR(IF(VLOOKUP(BI$8,TblComplem[],$AB6,FALSE)=0,"",VLOOKUP(BI$8,TblComplem[],$AB6,FALSE)),"")</f>
        <v>Dietas</v>
      </c>
      <c r="BJ6" s="259" t="str">
        <f>IFERROR(IF(VLOOKUP(BJ$8,TblComplem[],$AB6,FALSE)=0,"",VLOOKUP(BJ$8,TblComplem[],$AB6,FALSE)),"")</f>
        <v>Indem</v>
      </c>
      <c r="BK6" s="259" t="str">
        <f>IFERROR(IF(VLOOKUP(BK$8,TblComplem[],$AB6,FALSE)=0,"",VLOOKUP(BK$8,TblComplem[],$AB6,FALSE)),"")</f>
        <v>ERTE</v>
      </c>
      <c r="BL6" s="259" t="str">
        <f>IFERROR(IF(VLOOKUP(BL$8,TblComplem[],$AB6,FALSE)=0,"",VLOOKUP(BL$8,TblComplem[],$AB6,FALSE)),"")</f>
        <v>IT</v>
      </c>
      <c r="BM6" s="259" t="str">
        <f>IFERROR(IF(VLOOKUP(BM$8,TblComplem[],$AB6,FALSE)=0,"",VLOOKUP(BM$8,TblComplem[],$AB6,FALSE)),"")</f>
        <v/>
      </c>
      <c r="BW6"/>
      <c r="CH6" s="260"/>
    </row>
    <row r="7" spans="2:93" customFormat="1" x14ac:dyDescent="0.25">
      <c r="BY7" s="261" t="s">
        <v>167</v>
      </c>
      <c r="BZ7" s="261"/>
      <c r="CA7" s="261" t="s">
        <v>169</v>
      </c>
      <c r="CC7" s="239"/>
      <c r="CD7" s="239"/>
      <c r="CE7" s="239"/>
      <c r="CF7" s="239"/>
      <c r="CG7" s="239"/>
      <c r="CH7" s="240"/>
    </row>
    <row r="8" spans="2:93" s="290" customFormat="1" ht="66" customHeight="1" x14ac:dyDescent="0.25">
      <c r="B8" s="262" t="s">
        <v>0</v>
      </c>
      <c r="C8" s="262" t="s">
        <v>1</v>
      </c>
      <c r="D8" s="262" t="s">
        <v>2</v>
      </c>
      <c r="E8" s="262" t="s">
        <v>3</v>
      </c>
      <c r="F8" s="262" t="s">
        <v>4</v>
      </c>
      <c r="G8" s="262" t="s">
        <v>5</v>
      </c>
      <c r="H8" s="263" t="s">
        <v>6</v>
      </c>
      <c r="I8" s="263" t="s">
        <v>164</v>
      </c>
      <c r="J8" s="263" t="s">
        <v>77</v>
      </c>
      <c r="K8" s="263" t="s">
        <v>166</v>
      </c>
      <c r="L8" s="263" t="s">
        <v>165</v>
      </c>
      <c r="M8" s="263" t="s">
        <v>9</v>
      </c>
      <c r="N8" s="264" t="s">
        <v>119</v>
      </c>
      <c r="O8" s="264" t="s">
        <v>118</v>
      </c>
      <c r="P8" s="265" t="s">
        <v>8</v>
      </c>
      <c r="Q8" s="266" t="s">
        <v>73</v>
      </c>
      <c r="R8" s="266" t="s">
        <v>74</v>
      </c>
      <c r="S8" s="266" t="s">
        <v>75</v>
      </c>
      <c r="T8" s="266" t="s">
        <v>121</v>
      </c>
      <c r="U8" s="266" t="s">
        <v>120</v>
      </c>
      <c r="V8" s="266" t="s">
        <v>76</v>
      </c>
      <c r="W8" s="267" t="s">
        <v>370</v>
      </c>
      <c r="X8" s="267" t="s">
        <v>290</v>
      </c>
      <c r="Y8" s="268" t="s">
        <v>12</v>
      </c>
      <c r="Z8" s="269" t="s">
        <v>11</v>
      </c>
      <c r="AA8" s="268" t="s">
        <v>10</v>
      </c>
      <c r="AB8" s="268" t="s">
        <v>99</v>
      </c>
      <c r="AC8" s="270" t="s">
        <v>20</v>
      </c>
      <c r="AD8" s="271" t="s">
        <v>171</v>
      </c>
      <c r="AE8" s="263" t="s">
        <v>176</v>
      </c>
      <c r="AF8" s="263" t="s">
        <v>177</v>
      </c>
      <c r="AG8" s="263" t="s">
        <v>178</v>
      </c>
      <c r="AH8" s="263" t="s">
        <v>179</v>
      </c>
      <c r="AI8" s="263" t="s">
        <v>180</v>
      </c>
      <c r="AJ8" s="263" t="s">
        <v>181</v>
      </c>
      <c r="AK8" s="263" t="s">
        <v>182</v>
      </c>
      <c r="AL8" s="263" t="s">
        <v>183</v>
      </c>
      <c r="AM8" s="263" t="s">
        <v>184</v>
      </c>
      <c r="AN8" s="263" t="s">
        <v>185</v>
      </c>
      <c r="AO8" s="263" t="s">
        <v>186</v>
      </c>
      <c r="AP8" s="263" t="s">
        <v>187</v>
      </c>
      <c r="AQ8" s="263" t="s">
        <v>188</v>
      </c>
      <c r="AR8" s="263" t="s">
        <v>189</v>
      </c>
      <c r="AS8" s="263" t="s">
        <v>190</v>
      </c>
      <c r="AT8" s="263" t="s">
        <v>191</v>
      </c>
      <c r="AU8" s="263" t="s">
        <v>192</v>
      </c>
      <c r="AV8" s="263" t="s">
        <v>193</v>
      </c>
      <c r="AW8" s="263" t="s">
        <v>194</v>
      </c>
      <c r="AX8" s="263" t="s">
        <v>195</v>
      </c>
      <c r="AY8" s="263" t="s">
        <v>196</v>
      </c>
      <c r="AZ8" s="263" t="s">
        <v>197</v>
      </c>
      <c r="BA8" s="263" t="s">
        <v>198</v>
      </c>
      <c r="BB8" s="263" t="s">
        <v>199</v>
      </c>
      <c r="BC8" s="263" t="s">
        <v>200</v>
      </c>
      <c r="BD8" s="263" t="s">
        <v>201</v>
      </c>
      <c r="BE8" s="263" t="s">
        <v>202</v>
      </c>
      <c r="BF8" s="263" t="s">
        <v>203</v>
      </c>
      <c r="BG8" s="263" t="s">
        <v>204</v>
      </c>
      <c r="BH8" s="263" t="s">
        <v>205</v>
      </c>
      <c r="BI8" s="272" t="s">
        <v>206</v>
      </c>
      <c r="BJ8" s="272" t="s">
        <v>207</v>
      </c>
      <c r="BK8" s="272" t="s">
        <v>208</v>
      </c>
      <c r="BL8" s="272" t="s">
        <v>209</v>
      </c>
      <c r="BM8" s="273" t="s">
        <v>210</v>
      </c>
      <c r="BN8" s="274" t="s">
        <v>174</v>
      </c>
      <c r="BO8" s="274" t="s">
        <v>175</v>
      </c>
      <c r="BP8" s="275" t="s">
        <v>215</v>
      </c>
      <c r="BQ8" s="276" t="s">
        <v>216</v>
      </c>
      <c r="BR8" s="277" t="s">
        <v>249</v>
      </c>
      <c r="BS8" s="277" t="s">
        <v>250</v>
      </c>
      <c r="BT8" s="278" t="s">
        <v>295</v>
      </c>
      <c r="BU8" s="278" t="s">
        <v>296</v>
      </c>
      <c r="BV8" s="278" t="s">
        <v>297</v>
      </c>
      <c r="BW8" s="277" t="s">
        <v>251</v>
      </c>
      <c r="BX8" s="279" t="s">
        <v>217</v>
      </c>
      <c r="BY8" s="280" t="s">
        <v>218</v>
      </c>
      <c r="BZ8" s="281" t="s">
        <v>211</v>
      </c>
      <c r="CA8" s="282" t="s">
        <v>219</v>
      </c>
      <c r="CB8" s="283" t="s">
        <v>212</v>
      </c>
      <c r="CC8" s="284" t="s">
        <v>223</v>
      </c>
      <c r="CD8" s="285" t="s">
        <v>221</v>
      </c>
      <c r="CE8" s="286" t="s">
        <v>213</v>
      </c>
      <c r="CF8" s="287" t="s">
        <v>222</v>
      </c>
      <c r="CG8" s="288" t="s">
        <v>214</v>
      </c>
      <c r="CH8" s="289" t="s">
        <v>96</v>
      </c>
      <c r="CI8" s="289" t="s">
        <v>95</v>
      </c>
      <c r="CJ8" s="262" t="s">
        <v>122</v>
      </c>
      <c r="CK8" s="262" t="s">
        <v>123</v>
      </c>
      <c r="CL8" s="262" t="s">
        <v>21</v>
      </c>
      <c r="CM8" s="262" t="s">
        <v>22</v>
      </c>
      <c r="CN8" s="262" t="s">
        <v>124</v>
      </c>
      <c r="CO8" s="262" t="s">
        <v>125</v>
      </c>
    </row>
    <row r="9" spans="2:93" x14ac:dyDescent="0.25">
      <c r="B9" s="146">
        <v>1</v>
      </c>
      <c r="C9" s="146" t="s">
        <v>162</v>
      </c>
      <c r="D9" s="295">
        <v>31025</v>
      </c>
      <c r="E9" s="296" t="s">
        <v>403</v>
      </c>
      <c r="F9" s="296">
        <v>2</v>
      </c>
      <c r="G9" s="296">
        <v>1</v>
      </c>
      <c r="H9" s="297">
        <v>43943</v>
      </c>
      <c r="I9" s="298"/>
      <c r="J9" s="295">
        <v>43943</v>
      </c>
      <c r="K9" s="326"/>
      <c r="L9" s="326"/>
      <c r="M9" s="299">
        <v>1</v>
      </c>
      <c r="N9" s="300"/>
      <c r="O9" s="300"/>
      <c r="P9" s="296">
        <v>100</v>
      </c>
      <c r="Q9" s="146" t="s">
        <v>404</v>
      </c>
      <c r="R9" s="146" t="s">
        <v>405</v>
      </c>
      <c r="S9" s="146" t="s">
        <v>406</v>
      </c>
      <c r="T9" s="146" t="s">
        <v>407</v>
      </c>
      <c r="U9" s="146" t="s">
        <v>400</v>
      </c>
      <c r="V9" s="146" t="s">
        <v>408</v>
      </c>
      <c r="W9" s="146" t="s">
        <v>298</v>
      </c>
      <c r="X9" s="146" t="s">
        <v>308</v>
      </c>
      <c r="Y9" s="146" t="s">
        <v>409</v>
      </c>
      <c r="Z9" s="293"/>
      <c r="AA9" s="294" t="s">
        <v>410</v>
      </c>
      <c r="AB9" s="294">
        <v>1</v>
      </c>
      <c r="AC9" s="296">
        <v>1</v>
      </c>
      <c r="AD9" s="301">
        <v>18547.37</v>
      </c>
      <c r="AE9" s="301">
        <v>26452.63</v>
      </c>
      <c r="AF9" s="301"/>
      <c r="AG9" s="301"/>
      <c r="AH9" s="301"/>
      <c r="AI9" s="301">
        <v>10000</v>
      </c>
      <c r="AJ9" s="301">
        <v>4800</v>
      </c>
      <c r="AK9" s="301">
        <v>200</v>
      </c>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v>4000</v>
      </c>
      <c r="BJ9" s="301"/>
      <c r="BK9" s="301"/>
      <c r="BL9" s="301"/>
      <c r="BM9" s="302"/>
      <c r="BN9" s="291">
        <f>+MAX($D$3,DATOS_[[#This Row],[Fecha Inicio Sit. Contract.]])</f>
        <v>45292</v>
      </c>
      <c r="BO9" s="291">
        <f>+MIN($D$4,DATOS_[[#This Row],[Fecha Fin Sit. Contract.]])</f>
        <v>45657</v>
      </c>
      <c r="BP9" s="292">
        <f>+DATOS_[[#This Row],[% de jornada]]*IF(DATOS_[[#This Row],[% jornada reducida]]="",1,DATOS_[[#This Row],[% jornada reducida]])</f>
        <v>1</v>
      </c>
      <c r="BQ9" s="292">
        <f>+(DATOS_[[#This Row],[F.fin.cal]]-DATOS_[[#This Row],[F.ini.cal]]+1)/($D$4-$D$3+1)</f>
        <v>1</v>
      </c>
      <c r="BR9" s="322" t="str">
        <f>IF(OR(AND(DATOS_[[#This Row],[Fecha Fin Contrato]]&lt;$D$3,DATOS_[[#This Row],[Fecha Fin Contrato]]&lt;&gt;""),DATOS_[[#This Row],[Fecha de Contratación]]&gt;$D$4),"Fuera","Dentro")</f>
        <v>Dentro</v>
      </c>
      <c r="BS9" s="322" t="str">
        <f t="array" ref="BS9">IF(MAX(IF(DATOS_[id]=DATOS_[[#This Row],[id]],DATOS_[F.fin.cal]))=DATOS_[[#This Row],[F.fin.cal]],"Sí","NO")</f>
        <v>Sí</v>
      </c>
      <c r="BT9" s="292" t="str">
        <f>IF(AND(DATOS_[[#This Row],[% normaliz]]&lt;&gt;1,DATOS_[[#This Row],[% anualiz]]=1),"Sí","NO")</f>
        <v>NO</v>
      </c>
      <c r="BU9" s="292" t="str">
        <f>IF(AND(DATOS_[[#This Row],[% normaliz]]=1,DATOS_[[#This Row],[% anualiz]]&lt;&gt;1),"Sí","NO")</f>
        <v>NO</v>
      </c>
      <c r="BV9" s="292" t="str">
        <f>IF(AND(DATOS_[[#This Row],[% normaliz]]&lt;&gt;1,DATOS_[[#This Row],[% anualiz]]&lt;&gt;1),"Sí","NO")</f>
        <v>NO</v>
      </c>
      <c r="BW9" s="322" t="str">
        <f>+IF(DATOS_[[#This Row],[% normaliz]]*DATOS_[[#This Row],[% anualiz]]=1,"NO","Sí")</f>
        <v>NO</v>
      </c>
      <c r="BX9" s="323">
        <f>(DATOS_[[#This Row],[S.BASE]]*(1/DATOS_[[#This Row],[% normaliz]])*(1/DATOS_[[#This Row],[% anualiz]]))*IF(DATOS_[[#This Row],[Check Equiparado]]="Sí",1,0)</f>
        <v>18547.37</v>
      </c>
      <c r="BY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41452.630000000005</v>
      </c>
      <c r="BZ9" s="323">
        <f>+DATOS_[[#This Row],[SALARIO BASE Eq]]+DATOS_[[#This Row],[Tot COMPL.SAL Eq]]</f>
        <v>60000</v>
      </c>
      <c r="CA9" s="323"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4000</v>
      </c>
      <c r="CB9" s="323">
        <f>+DATOS_[[#This Row],[TOTAL SALARIO Eq]]+DATOS_[[#This Row],[Tot Extrasalarial Eq]]</f>
        <v>64000</v>
      </c>
      <c r="CC9" s="327">
        <f>DATOS_[[#This Row],[S.BASE]]</f>
        <v>18547.37</v>
      </c>
      <c r="CD9" s="324">
        <f>+SUM(DATOS_[[#This Row],[Conc.Sal.01]:[Conc.Sal.30]])</f>
        <v>41452.630000000005</v>
      </c>
      <c r="CE9" s="324">
        <f>+DATOS_[[#This Row],[SALARIO BASE Ef]]+DATOS_[[#This Row],[Tot COMPL.SAL Ef]]</f>
        <v>60000</v>
      </c>
      <c r="CF9" s="324">
        <f>+SUM(DATOS_[[#This Row],[C.Extra.01]:[C.Extra.05]])</f>
        <v>4000</v>
      </c>
      <c r="CG9" s="330">
        <f>+DATOS_[[#This Row],[TOTAL SALARIO Ef]]+DATOS_[[#This Row],[Tot Extrasalarial Ef]]</f>
        <v>64000</v>
      </c>
      <c r="CH9" s="303">
        <f>MIN(IF(DATOS_[[#This Row],[Fecha Fin Contrato]]="",$D$4,DATOS_[[#This Row],[Fecha Fin Contrato]]),$D$4)-MAX(DATOS_[[#This Row],[Fecha de Contratación]],$D$3)+1</f>
        <v>366</v>
      </c>
      <c r="CI9" s="304" t="str">
        <f>IF(COUNTIFS(DATOS_[id],DATOS_[[#This Row],[id]])&gt;1,DATOS_[[#This Row],[id]],"")</f>
        <v/>
      </c>
      <c r="CJ9" s="304">
        <f>(Inicio!$G$10-DATOS_[[#This Row],[Fecha Nacimiento]])/365.25</f>
        <v>40.060232717316907</v>
      </c>
      <c r="CK9" s="304">
        <f>(Inicio!$G$10-DATOS_[[#This Row],[Fecha de Antigüedad]])/365.25</f>
        <v>4.6926762491444221</v>
      </c>
      <c r="CL9" s="304" t="str">
        <f>+VLOOKUP(DATOS_[[#This Row],[Clave de Contrato]],TblTiposContrato13[],3,FALSE)</f>
        <v>Completa</v>
      </c>
      <c r="CM9" s="304" t="str">
        <f>+VLOOKUP(DATOS_[[#This Row],[Clave de Contrato]],TblTiposContrato13[],4,FALSE)</f>
        <v>Indefinido</v>
      </c>
      <c r="CN9" s="304" t="str">
        <f>VLOOKUP(DATOS_[[#This Row],[Edad]],CONTRATOS!TblRngEdad,2,TRUE)</f>
        <v>40 a 45</v>
      </c>
      <c r="CO9" s="304" t="str">
        <f>VLOOKUP(DATOS_[[#This Row],[Antigüedad]],TblRngAntg14[],2,TRUE)</f>
        <v>3 a 5  años</v>
      </c>
    </row>
    <row r="10" spans="2:93" x14ac:dyDescent="0.25">
      <c r="B10" s="146">
        <v>2</v>
      </c>
      <c r="C10" s="146" t="s">
        <v>162</v>
      </c>
      <c r="D10" s="295">
        <v>27740</v>
      </c>
      <c r="E10" s="296" t="s">
        <v>403</v>
      </c>
      <c r="F10" s="296">
        <v>2</v>
      </c>
      <c r="G10" s="296">
        <v>1</v>
      </c>
      <c r="H10" s="297">
        <v>43944</v>
      </c>
      <c r="I10" s="298"/>
      <c r="J10" s="295">
        <v>43944</v>
      </c>
      <c r="K10" s="326"/>
      <c r="L10" s="326"/>
      <c r="M10" s="299">
        <v>1</v>
      </c>
      <c r="N10" s="299"/>
      <c r="O10" s="299"/>
      <c r="P10" s="296">
        <v>100</v>
      </c>
      <c r="Q10" s="146" t="s">
        <v>404</v>
      </c>
      <c r="R10" s="146" t="s">
        <v>411</v>
      </c>
      <c r="S10" s="146" t="s">
        <v>406</v>
      </c>
      <c r="T10" s="146" t="s">
        <v>407</v>
      </c>
      <c r="U10" s="146" t="s">
        <v>400</v>
      </c>
      <c r="V10" s="146" t="s">
        <v>408</v>
      </c>
      <c r="W10" s="146" t="s">
        <v>298</v>
      </c>
      <c r="X10" s="146" t="s">
        <v>308</v>
      </c>
      <c r="Y10" s="146" t="s">
        <v>409</v>
      </c>
      <c r="Z10" s="293"/>
      <c r="AA10" s="294" t="s">
        <v>410</v>
      </c>
      <c r="AB10" s="294">
        <v>1</v>
      </c>
      <c r="AC10" s="296">
        <v>1</v>
      </c>
      <c r="AD10" s="301">
        <v>18547.37</v>
      </c>
      <c r="AE10" s="301">
        <v>26452.63</v>
      </c>
      <c r="AF10" s="301"/>
      <c r="AG10" s="301"/>
      <c r="AH10" s="301"/>
      <c r="AI10" s="301">
        <v>4000</v>
      </c>
      <c r="AJ10" s="301">
        <v>3000</v>
      </c>
      <c r="AK10" s="301">
        <v>200</v>
      </c>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2"/>
      <c r="BN10" s="291">
        <f>+MAX($D$3,DATOS_[[#This Row],[Fecha Inicio Sit. Contract.]])</f>
        <v>45292</v>
      </c>
      <c r="BO10" s="291">
        <f>+MIN($D$4,DATOS_[[#This Row],[Fecha Fin Sit. Contract.]])</f>
        <v>45657</v>
      </c>
      <c r="BP10" s="292">
        <f>+DATOS_[[#This Row],[% de jornada]]*IF(DATOS_[[#This Row],[% jornada reducida]]="",1,DATOS_[[#This Row],[% jornada reducida]])</f>
        <v>1</v>
      </c>
      <c r="BQ10" s="292">
        <f>+(DATOS_[[#This Row],[F.fin.cal]]-DATOS_[[#This Row],[F.ini.cal]]+1)/($D$4-$D$3+1)</f>
        <v>1</v>
      </c>
      <c r="BR10" s="322" t="str">
        <f>IF(OR(AND(DATOS_[[#This Row],[Fecha Fin Contrato]]&lt;$D$3,DATOS_[[#This Row],[Fecha Fin Contrato]]&lt;&gt;""),DATOS_[[#This Row],[Fecha de Contratación]]&gt;$D$4),"Fuera","Dentro")</f>
        <v>Dentro</v>
      </c>
      <c r="BS10" s="322" t="str">
        <f t="array" ref="BS10">IF(MAX(IF(DATOS_[id]=DATOS_[[#This Row],[id]],DATOS_[F.fin.cal]))=DATOS_[[#This Row],[F.fin.cal]],"Sí","NO")</f>
        <v>Sí</v>
      </c>
      <c r="BT10" s="292" t="str">
        <f>IF(AND(DATOS_[[#This Row],[% normaliz]]&lt;&gt;1,DATOS_[[#This Row],[% anualiz]]=1),"Sí","NO")</f>
        <v>NO</v>
      </c>
      <c r="BU10" s="292" t="str">
        <f>IF(AND(DATOS_[[#This Row],[% normaliz]]=1,DATOS_[[#This Row],[% anualiz]]&lt;&gt;1),"Sí","NO")</f>
        <v>NO</v>
      </c>
      <c r="BV10" s="292" t="str">
        <f>IF(AND(DATOS_[[#This Row],[% normaliz]]&lt;&gt;1,DATOS_[[#This Row],[% anualiz]]&lt;&gt;1),"Sí","NO")</f>
        <v>NO</v>
      </c>
      <c r="BW10" s="322" t="str">
        <f>+IF(DATOS_[[#This Row],[% normaliz]]*DATOS_[[#This Row],[% anualiz]]=1,"NO","Sí")</f>
        <v>NO</v>
      </c>
      <c r="BX10" s="323">
        <f>(DATOS_[[#This Row],[S.BASE]]*(1/DATOS_[[#This Row],[% normaliz]])*(1/DATOS_[[#This Row],[% anualiz]]))*IF(DATOS_[[#This Row],[Check Equiparado]]="Sí",1,0)</f>
        <v>18547.37</v>
      </c>
      <c r="BY1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33652.630000000005</v>
      </c>
      <c r="BZ10" s="323">
        <f>+DATOS_[[#This Row],[SALARIO BASE Eq]]+DATOS_[[#This Row],[Tot COMPL.SAL Eq]]</f>
        <v>52200</v>
      </c>
      <c r="CA10" s="323">
        <f t="array" ref="CA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 s="323">
        <f>+DATOS_[[#This Row],[TOTAL SALARIO Eq]]+DATOS_[[#This Row],[Tot Extrasalarial Eq]]</f>
        <v>52200</v>
      </c>
      <c r="CC10" s="327">
        <f>DATOS_[[#This Row],[S.BASE]]</f>
        <v>18547.37</v>
      </c>
      <c r="CD10" s="324">
        <f>+SUM(DATOS_[[#This Row],[Conc.Sal.01]:[Conc.Sal.30]])</f>
        <v>33652.630000000005</v>
      </c>
      <c r="CE10" s="324">
        <f>+DATOS_[[#This Row],[SALARIO BASE Ef]]+DATOS_[[#This Row],[Tot COMPL.SAL Ef]]</f>
        <v>52200</v>
      </c>
      <c r="CF10" s="324">
        <f>+SUM(DATOS_[[#This Row],[C.Extra.01]:[C.Extra.05]])</f>
        <v>0</v>
      </c>
      <c r="CG10" s="330">
        <f>+DATOS_[[#This Row],[TOTAL SALARIO Ef]]+DATOS_[[#This Row],[Tot Extrasalarial Ef]]</f>
        <v>52200</v>
      </c>
      <c r="CH10" s="303">
        <f>MIN(IF(DATOS_[[#This Row],[Fecha Fin Contrato]]="",$D$4,DATOS_[[#This Row],[Fecha Fin Contrato]]),$D$4)-MAX(DATOS_[[#This Row],[Fecha de Contratación]],$D$3)+1</f>
        <v>366</v>
      </c>
      <c r="CI10" s="304" t="str">
        <f>IF(COUNTIFS(DATOS_[id],DATOS_[[#This Row],[id]])&gt;1,DATOS_[[#This Row],[id]],"")</f>
        <v/>
      </c>
      <c r="CJ10" s="325">
        <f>(Inicio!$G$10-DATOS_[[#This Row],[Fecha Nacimiento]])/365.25</f>
        <v>49.054072553045856</v>
      </c>
      <c r="CK10" s="325">
        <f>(Inicio!$G$10-DATOS_[[#This Row],[Fecha de Antigüedad]])/365.25</f>
        <v>4.6899383983572891</v>
      </c>
      <c r="CL10" s="325" t="str">
        <f>+VLOOKUP(DATOS_[[#This Row],[Clave de Contrato]],TblTiposContrato13[],3,FALSE)</f>
        <v>Completa</v>
      </c>
      <c r="CM10" s="325" t="str">
        <f>+VLOOKUP(DATOS_[[#This Row],[Clave de Contrato]],TblTiposContrato13[],4,FALSE)</f>
        <v>Indefinido</v>
      </c>
      <c r="CN10" s="325" t="str">
        <f>VLOOKUP(DATOS_[[#This Row],[Edad]],CONTRATOS!TblRngEdad,2,TRUE)</f>
        <v>45 a 50</v>
      </c>
      <c r="CO10" s="325" t="str">
        <f>VLOOKUP(DATOS_[[#This Row],[Antigüedad]],TblRngAntg14[],2,TRUE)</f>
        <v>3 a 5  años</v>
      </c>
    </row>
    <row r="11" spans="2:93" x14ac:dyDescent="0.25">
      <c r="B11" s="146">
        <v>3</v>
      </c>
      <c r="C11" s="146" t="s">
        <v>163</v>
      </c>
      <c r="D11" s="295">
        <v>36500</v>
      </c>
      <c r="E11" s="296" t="s">
        <v>403</v>
      </c>
      <c r="F11" s="296">
        <v>3</v>
      </c>
      <c r="G11" s="296">
        <v>0</v>
      </c>
      <c r="H11" s="297">
        <v>41313</v>
      </c>
      <c r="I11" s="298"/>
      <c r="J11" s="295">
        <v>41313</v>
      </c>
      <c r="K11" s="326"/>
      <c r="L11" s="326"/>
      <c r="M11" s="299">
        <v>0.5</v>
      </c>
      <c r="N11" s="299"/>
      <c r="O11" s="299"/>
      <c r="P11" s="296">
        <v>100</v>
      </c>
      <c r="Q11" s="146" t="s">
        <v>412</v>
      </c>
      <c r="R11" s="146" t="s">
        <v>413</v>
      </c>
      <c r="S11" s="146" t="s">
        <v>406</v>
      </c>
      <c r="T11" s="146" t="s">
        <v>407</v>
      </c>
      <c r="U11" s="146" t="s">
        <v>400</v>
      </c>
      <c r="V11" s="146" t="s">
        <v>408</v>
      </c>
      <c r="W11" s="146" t="s">
        <v>298</v>
      </c>
      <c r="X11" s="146" t="s">
        <v>308</v>
      </c>
      <c r="Y11" s="146" t="s">
        <v>409</v>
      </c>
      <c r="Z11" s="293"/>
      <c r="AA11" s="294" t="s">
        <v>410</v>
      </c>
      <c r="AB11" s="294">
        <v>1</v>
      </c>
      <c r="AC11" s="296">
        <v>1</v>
      </c>
      <c r="AD11" s="301">
        <v>9273.6849999999995</v>
      </c>
      <c r="AE11" s="301">
        <v>13226.315000000001</v>
      </c>
      <c r="AF11" s="301">
        <v>370.94739999999996</v>
      </c>
      <c r="AG11" s="301"/>
      <c r="AH11" s="301"/>
      <c r="AI11" s="301">
        <v>3000</v>
      </c>
      <c r="AJ11" s="301">
        <v>3000</v>
      </c>
      <c r="AK11" s="301">
        <v>200</v>
      </c>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2"/>
      <c r="BN11" s="291">
        <f>+MAX($D$3,DATOS_[[#This Row],[Fecha Inicio Sit. Contract.]])</f>
        <v>45292</v>
      </c>
      <c r="BO11" s="291">
        <f>+MIN($D$4,DATOS_[[#This Row],[Fecha Fin Sit. Contract.]])</f>
        <v>45657</v>
      </c>
      <c r="BP11" s="292">
        <f>+DATOS_[[#This Row],[% de jornada]]*IF(DATOS_[[#This Row],[% jornada reducida]]="",1,DATOS_[[#This Row],[% jornada reducida]])</f>
        <v>0.5</v>
      </c>
      <c r="BQ11" s="292">
        <f>+(DATOS_[[#This Row],[F.fin.cal]]-DATOS_[[#This Row],[F.ini.cal]]+1)/($D$4-$D$3+1)</f>
        <v>1</v>
      </c>
      <c r="BR11" s="322" t="str">
        <f>IF(OR(AND(DATOS_[[#This Row],[Fecha Fin Contrato]]&lt;$D$3,DATOS_[[#This Row],[Fecha Fin Contrato]]&lt;&gt;""),DATOS_[[#This Row],[Fecha de Contratación]]&gt;$D$4),"Fuera","Dentro")</f>
        <v>Dentro</v>
      </c>
      <c r="BS11" s="322" t="str">
        <f t="array" ref="BS11">IF(MAX(IF(DATOS_[id]=DATOS_[[#This Row],[id]],DATOS_[F.fin.cal]))=DATOS_[[#This Row],[F.fin.cal]],"Sí","NO")</f>
        <v>Sí</v>
      </c>
      <c r="BT11" s="292" t="str">
        <f>IF(AND(DATOS_[[#This Row],[% normaliz]]&lt;&gt;1,DATOS_[[#This Row],[% anualiz]]=1),"Sí","NO")</f>
        <v>Sí</v>
      </c>
      <c r="BU11" s="292" t="str">
        <f>IF(AND(DATOS_[[#This Row],[% normaliz]]=1,DATOS_[[#This Row],[% anualiz]]&lt;&gt;1),"Sí","NO")</f>
        <v>NO</v>
      </c>
      <c r="BV11" s="292" t="str">
        <f>IF(AND(DATOS_[[#This Row],[% normaliz]]&lt;&gt;1,DATOS_[[#This Row],[% anualiz]]&lt;&gt;1),"Sí","NO")</f>
        <v>NO</v>
      </c>
      <c r="BW11" s="322" t="str">
        <f>+IF(DATOS_[[#This Row],[% normaliz]]*DATOS_[[#This Row],[% anualiz]]=1,"NO","Sí")</f>
        <v>Sí</v>
      </c>
      <c r="BX11" s="323">
        <f>(DATOS_[[#This Row],[S.BASE]]*(1/DATOS_[[#This Row],[% normaliz]])*(1/DATOS_[[#This Row],[% anualiz]]))*IF(DATOS_[[#This Row],[Check Equiparado]]="Sí",1,0)</f>
        <v>18547.37</v>
      </c>
      <c r="BY1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36394.524799999999</v>
      </c>
      <c r="BZ11" s="323">
        <f>+DATOS_[[#This Row],[SALARIO BASE Eq]]+DATOS_[[#This Row],[Tot COMPL.SAL Eq]]</f>
        <v>54941.894799999995</v>
      </c>
      <c r="CA11" s="323">
        <f t="array" ref="CA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 s="323">
        <f>+DATOS_[[#This Row],[TOTAL SALARIO Eq]]+DATOS_[[#This Row],[Tot Extrasalarial Eq]]</f>
        <v>54941.894799999995</v>
      </c>
      <c r="CC11" s="327">
        <f>DATOS_[[#This Row],[S.BASE]]</f>
        <v>9273.6849999999995</v>
      </c>
      <c r="CD11" s="324">
        <f>+SUM(DATOS_[[#This Row],[Conc.Sal.01]:[Conc.Sal.30]])</f>
        <v>19797.2624</v>
      </c>
      <c r="CE11" s="324">
        <f>+DATOS_[[#This Row],[SALARIO BASE Ef]]+DATOS_[[#This Row],[Tot COMPL.SAL Ef]]</f>
        <v>29070.947399999997</v>
      </c>
      <c r="CF11" s="324">
        <f>+SUM(DATOS_[[#This Row],[C.Extra.01]:[C.Extra.05]])</f>
        <v>0</v>
      </c>
      <c r="CG11" s="330">
        <f>+DATOS_[[#This Row],[TOTAL SALARIO Ef]]+DATOS_[[#This Row],[Tot Extrasalarial Ef]]</f>
        <v>29070.947399999997</v>
      </c>
      <c r="CH11" s="303">
        <f>MIN(IF(DATOS_[[#This Row],[Fecha Fin Contrato]]="",$D$4,DATOS_[[#This Row],[Fecha Fin Contrato]]),$D$4)-MAX(DATOS_[[#This Row],[Fecha de Contratación]],$D$3)+1</f>
        <v>366</v>
      </c>
      <c r="CI11" s="304" t="str">
        <f>IF(COUNTIFS(DATOS_[id],DATOS_[[#This Row],[id]])&gt;1,DATOS_[[#This Row],[id]],"")</f>
        <v/>
      </c>
      <c r="CJ11" s="325">
        <f>(Inicio!$G$10-DATOS_[[#This Row],[Fecha Nacimiento]])/365.25</f>
        <v>25.07049965776865</v>
      </c>
      <c r="CK11" s="325">
        <f>(Inicio!$G$10-DATOS_[[#This Row],[Fecha de Antigüedad]])/365.25</f>
        <v>11.893223819301848</v>
      </c>
      <c r="CL11" s="325" t="str">
        <f>+VLOOKUP(DATOS_[[#This Row],[Clave de Contrato]],TblTiposContrato13[],3,FALSE)</f>
        <v>Completa</v>
      </c>
      <c r="CM11" s="325" t="str">
        <f>+VLOOKUP(DATOS_[[#This Row],[Clave de Contrato]],TblTiposContrato13[],4,FALSE)</f>
        <v>Indefinido</v>
      </c>
      <c r="CN11" s="325" t="str">
        <f>VLOOKUP(DATOS_[[#This Row],[Edad]],CONTRATOS!TblRngEdad,2,TRUE)</f>
        <v>25 a 30</v>
      </c>
      <c r="CO11" s="325" t="str">
        <f>VLOOKUP(DATOS_[[#This Row],[Antigüedad]],TblRngAntg14[],2,TRUE)</f>
        <v>de 10 a 15  años</v>
      </c>
    </row>
    <row r="12" spans="2:93" x14ac:dyDescent="0.25">
      <c r="B12" s="146">
        <v>4</v>
      </c>
      <c r="C12" s="146" t="s">
        <v>163</v>
      </c>
      <c r="D12" s="295">
        <v>33580</v>
      </c>
      <c r="E12" s="296" t="s">
        <v>403</v>
      </c>
      <c r="F12" s="296">
        <v>3</v>
      </c>
      <c r="G12" s="296">
        <v>0</v>
      </c>
      <c r="H12" s="297">
        <v>38793</v>
      </c>
      <c r="I12" s="298">
        <v>44196</v>
      </c>
      <c r="J12" s="295">
        <v>38793</v>
      </c>
      <c r="K12" s="326"/>
      <c r="L12" s="326">
        <v>44196</v>
      </c>
      <c r="M12" s="299">
        <v>1</v>
      </c>
      <c r="N12" s="299"/>
      <c r="O12" s="299"/>
      <c r="P12" s="296">
        <v>100</v>
      </c>
      <c r="Q12" s="146" t="s">
        <v>414</v>
      </c>
      <c r="R12" s="146" t="s">
        <v>415</v>
      </c>
      <c r="S12" s="146" t="s">
        <v>406</v>
      </c>
      <c r="T12" s="146" t="s">
        <v>407</v>
      </c>
      <c r="U12" s="146" t="s">
        <v>400</v>
      </c>
      <c r="V12" s="146" t="s">
        <v>408</v>
      </c>
      <c r="W12" s="146" t="s">
        <v>298</v>
      </c>
      <c r="X12" s="146" t="s">
        <v>308</v>
      </c>
      <c r="Y12" s="146" t="s">
        <v>409</v>
      </c>
      <c r="Z12" s="293"/>
      <c r="AA12" s="294" t="s">
        <v>410</v>
      </c>
      <c r="AB12" s="294">
        <v>1</v>
      </c>
      <c r="AC12" s="296">
        <v>1</v>
      </c>
      <c r="AD12" s="301">
        <v>18547.37</v>
      </c>
      <c r="AE12" s="301">
        <v>26452.63</v>
      </c>
      <c r="AF12" s="301">
        <v>2225.6843999999996</v>
      </c>
      <c r="AG12" s="301"/>
      <c r="AH12" s="301"/>
      <c r="AI12" s="301">
        <v>2000</v>
      </c>
      <c r="AJ12" s="301">
        <v>3000</v>
      </c>
      <c r="AK12" s="301">
        <v>200</v>
      </c>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v>62000</v>
      </c>
      <c r="BK12" s="301"/>
      <c r="BL12" s="301"/>
      <c r="BM12" s="302"/>
      <c r="BN12" s="291">
        <f>+MAX($D$3,DATOS_[[#This Row],[Fecha Inicio Sit. Contract.]])</f>
        <v>45292</v>
      </c>
      <c r="BO12" s="291">
        <f>+MIN($D$4,DATOS_[[#This Row],[Fecha Fin Sit. Contract.]])</f>
        <v>44196</v>
      </c>
      <c r="BP12" s="292">
        <f>+DATOS_[[#This Row],[% de jornada]]*IF(DATOS_[[#This Row],[% jornada reducida]]="",1,DATOS_[[#This Row],[% jornada reducida]])</f>
        <v>1</v>
      </c>
      <c r="BQ12" s="292">
        <f>+(DATOS_[[#This Row],[F.fin.cal]]-DATOS_[[#This Row],[F.ini.cal]]+1)/($D$4-$D$3+1)</f>
        <v>-2.9918032786885247</v>
      </c>
      <c r="BR12" s="322" t="str">
        <f>IF(OR(AND(DATOS_[[#This Row],[Fecha Fin Contrato]]&lt;$D$3,DATOS_[[#This Row],[Fecha Fin Contrato]]&lt;&gt;""),DATOS_[[#This Row],[Fecha de Contratación]]&gt;$D$4),"Fuera","Dentro")</f>
        <v>Fuera</v>
      </c>
      <c r="BS12" s="322" t="str">
        <f t="array" ref="BS12">IF(MAX(IF(DATOS_[id]=DATOS_[[#This Row],[id]],DATOS_[F.fin.cal]))=DATOS_[[#This Row],[F.fin.cal]],"Sí","NO")</f>
        <v>Sí</v>
      </c>
      <c r="BT12" s="292" t="str">
        <f>IF(AND(DATOS_[[#This Row],[% normaliz]]&lt;&gt;1,DATOS_[[#This Row],[% anualiz]]=1),"Sí","NO")</f>
        <v>NO</v>
      </c>
      <c r="BU12" s="292" t="str">
        <f>IF(AND(DATOS_[[#This Row],[% normaliz]]=1,DATOS_[[#This Row],[% anualiz]]&lt;&gt;1),"Sí","NO")</f>
        <v>Sí</v>
      </c>
      <c r="BV12" s="292" t="str">
        <f>IF(AND(DATOS_[[#This Row],[% normaliz]]&lt;&gt;1,DATOS_[[#This Row],[% anualiz]]&lt;&gt;1),"Sí","NO")</f>
        <v>NO</v>
      </c>
      <c r="BW12" s="322" t="str">
        <f>+IF(DATOS_[[#This Row],[% normaliz]]*DATOS_[[#This Row],[% anualiz]]=1,"NO","Sí")</f>
        <v>Sí</v>
      </c>
      <c r="BX12" s="323">
        <f>(DATOS_[[#This Row],[S.BASE]]*(1/DATOS_[[#This Row],[% normaliz]])*(1/DATOS_[[#This Row],[% anualiz]]))*IF(DATOS_[[#This Row],[Check Equiparado]]="Sí",1,0)</f>
        <v>-6199.3949041095893</v>
      </c>
      <c r="BY1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-11056.861251506849</v>
      </c>
      <c r="BZ12" s="323">
        <f>+DATOS_[[#This Row],[SALARIO BASE Eq]]+DATOS_[[#This Row],[Tot COMPL.SAL Eq]]</f>
        <v>-17256.256155616436</v>
      </c>
      <c r="CA12" s="323">
        <f t="array" ref="CA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62000</v>
      </c>
      <c r="CB12" s="323">
        <f>+DATOS_[[#This Row],[TOTAL SALARIO Eq]]+DATOS_[[#This Row],[Tot Extrasalarial Eq]]</f>
        <v>44743.743844383564</v>
      </c>
      <c r="CC12" s="327">
        <f>DATOS_[[#This Row],[S.BASE]]</f>
        <v>18547.37</v>
      </c>
      <c r="CD12" s="324">
        <f>+SUM(DATOS_[[#This Row],[Conc.Sal.01]:[Conc.Sal.30]])</f>
        <v>33878.314400000003</v>
      </c>
      <c r="CE12" s="324">
        <f>+DATOS_[[#This Row],[SALARIO BASE Ef]]+DATOS_[[#This Row],[Tot COMPL.SAL Ef]]</f>
        <v>52425.684399999998</v>
      </c>
      <c r="CF12" s="324">
        <f>+SUM(DATOS_[[#This Row],[C.Extra.01]:[C.Extra.05]])</f>
        <v>62000</v>
      </c>
      <c r="CG12" s="330">
        <f>+DATOS_[[#This Row],[TOTAL SALARIO Ef]]+DATOS_[[#This Row],[Tot Extrasalarial Ef]]</f>
        <v>114425.6844</v>
      </c>
      <c r="CH12" s="303">
        <f>MIN(IF(DATOS_[[#This Row],[Fecha Fin Contrato]]="",$D$4,DATOS_[[#This Row],[Fecha Fin Contrato]]),$D$4)-MAX(DATOS_[[#This Row],[Fecha de Contratación]],$D$3)+1</f>
        <v>-1095</v>
      </c>
      <c r="CI12" s="304" t="str">
        <f>IF(COUNTIFS(DATOS_[id],DATOS_[[#This Row],[id]])&gt;1,DATOS_[[#This Row],[id]],"")</f>
        <v/>
      </c>
      <c r="CJ12" s="325">
        <f>(Inicio!$G$10-DATOS_[[#This Row],[Fecha Nacimiento]])/365.25</f>
        <v>33.065023956194388</v>
      </c>
      <c r="CK12" s="325">
        <f>(Inicio!$G$10-DATOS_[[#This Row],[Fecha de Antigüedad]])/365.25</f>
        <v>18.792607802874745</v>
      </c>
      <c r="CL12" s="325" t="str">
        <f>+VLOOKUP(DATOS_[[#This Row],[Clave de Contrato]],TblTiposContrato13[],3,FALSE)</f>
        <v>Completa</v>
      </c>
      <c r="CM12" s="325" t="str">
        <f>+VLOOKUP(DATOS_[[#This Row],[Clave de Contrato]],TblTiposContrato13[],4,FALSE)</f>
        <v>Indefinido</v>
      </c>
      <c r="CN12" s="325" t="str">
        <f>VLOOKUP(DATOS_[[#This Row],[Edad]],CONTRATOS!TblRngEdad,2,TRUE)</f>
        <v>30 a 35</v>
      </c>
      <c r="CO12" s="325" t="str">
        <f>VLOOKUP(DATOS_[[#This Row],[Antigüedad]],TblRngAntg14[],2,TRUE)</f>
        <v>más de 15</v>
      </c>
    </row>
    <row r="13" spans="2:93" x14ac:dyDescent="0.25">
      <c r="B13" s="146">
        <v>5</v>
      </c>
      <c r="C13" s="146" t="s">
        <v>162</v>
      </c>
      <c r="D13" s="295">
        <v>28470</v>
      </c>
      <c r="E13" s="296" t="s">
        <v>403</v>
      </c>
      <c r="F13" s="296">
        <v>3</v>
      </c>
      <c r="G13" s="296">
        <v>0</v>
      </c>
      <c r="H13" s="297">
        <v>35981</v>
      </c>
      <c r="I13" s="298"/>
      <c r="J13" s="295">
        <v>35981</v>
      </c>
      <c r="K13" s="326"/>
      <c r="L13" s="326"/>
      <c r="M13" s="299">
        <v>1</v>
      </c>
      <c r="N13" s="299"/>
      <c r="O13" s="299"/>
      <c r="P13" s="296">
        <v>100</v>
      </c>
      <c r="Q13" s="146" t="s">
        <v>404</v>
      </c>
      <c r="R13" s="146" t="s">
        <v>416</v>
      </c>
      <c r="S13" s="146" t="s">
        <v>406</v>
      </c>
      <c r="T13" s="146" t="s">
        <v>407</v>
      </c>
      <c r="U13" s="146" t="s">
        <v>400</v>
      </c>
      <c r="V13" s="146" t="s">
        <v>408</v>
      </c>
      <c r="W13" s="146" t="s">
        <v>298</v>
      </c>
      <c r="X13" s="146" t="s">
        <v>308</v>
      </c>
      <c r="Y13" s="146" t="s">
        <v>409</v>
      </c>
      <c r="Z13" s="293"/>
      <c r="AA13" s="294" t="s">
        <v>410</v>
      </c>
      <c r="AB13" s="294">
        <v>1</v>
      </c>
      <c r="AC13" s="296">
        <v>1</v>
      </c>
      <c r="AD13" s="301">
        <v>18547.37</v>
      </c>
      <c r="AE13" s="301">
        <v>26452.63</v>
      </c>
      <c r="AF13" s="301">
        <v>3709.4740000000002</v>
      </c>
      <c r="AG13" s="301"/>
      <c r="AH13" s="301"/>
      <c r="AI13" s="301">
        <v>5000</v>
      </c>
      <c r="AJ13" s="301">
        <v>3600</v>
      </c>
      <c r="AK13" s="301">
        <v>200</v>
      </c>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v>2000</v>
      </c>
      <c r="BJ13" s="301"/>
      <c r="BK13" s="301"/>
      <c r="BL13" s="301"/>
      <c r="BM13" s="302"/>
      <c r="BN13" s="291">
        <f>+MAX($D$3,DATOS_[[#This Row],[Fecha Inicio Sit. Contract.]])</f>
        <v>45292</v>
      </c>
      <c r="BO13" s="291">
        <f>+MIN($D$4,DATOS_[[#This Row],[Fecha Fin Sit. Contract.]])</f>
        <v>45657</v>
      </c>
      <c r="BP13" s="292">
        <f>+DATOS_[[#This Row],[% de jornada]]*IF(DATOS_[[#This Row],[% jornada reducida]]="",1,DATOS_[[#This Row],[% jornada reducida]])</f>
        <v>1</v>
      </c>
      <c r="BQ13" s="292">
        <f>+(DATOS_[[#This Row],[F.fin.cal]]-DATOS_[[#This Row],[F.ini.cal]]+1)/($D$4-$D$3+1)</f>
        <v>1</v>
      </c>
      <c r="BR13" s="322" t="str">
        <f>IF(OR(AND(DATOS_[[#This Row],[Fecha Fin Contrato]]&lt;$D$3,DATOS_[[#This Row],[Fecha Fin Contrato]]&lt;&gt;""),DATOS_[[#This Row],[Fecha de Contratación]]&gt;$D$4),"Fuera","Dentro")</f>
        <v>Dentro</v>
      </c>
      <c r="BS13" s="322" t="str">
        <f t="array" ref="BS13">IF(MAX(IF(DATOS_[id]=DATOS_[[#This Row],[id]],DATOS_[F.fin.cal]))=DATOS_[[#This Row],[F.fin.cal]],"Sí","NO")</f>
        <v>Sí</v>
      </c>
      <c r="BT13" s="292" t="str">
        <f>IF(AND(DATOS_[[#This Row],[% normaliz]]&lt;&gt;1,DATOS_[[#This Row],[% anualiz]]=1),"Sí","NO")</f>
        <v>NO</v>
      </c>
      <c r="BU13" s="292" t="str">
        <f>IF(AND(DATOS_[[#This Row],[% normaliz]]=1,DATOS_[[#This Row],[% anualiz]]&lt;&gt;1),"Sí","NO")</f>
        <v>NO</v>
      </c>
      <c r="BV13" s="292" t="str">
        <f>IF(AND(DATOS_[[#This Row],[% normaliz]]&lt;&gt;1,DATOS_[[#This Row],[% anualiz]]&lt;&gt;1),"Sí","NO")</f>
        <v>NO</v>
      </c>
      <c r="BW13" s="322" t="str">
        <f>+IF(DATOS_[[#This Row],[% normaliz]]*DATOS_[[#This Row],[% anualiz]]=1,"NO","Sí")</f>
        <v>NO</v>
      </c>
      <c r="BX13" s="323">
        <f>(DATOS_[[#This Row],[S.BASE]]*(1/DATOS_[[#This Row],[% normaliz]])*(1/DATOS_[[#This Row],[% anualiz]]))*IF(DATOS_[[#This Row],[Check Equiparado]]="Sí",1,0)</f>
        <v>18547.37</v>
      </c>
      <c r="BY1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38962.103999999999</v>
      </c>
      <c r="BZ13" s="323">
        <f>+DATOS_[[#This Row],[SALARIO BASE Eq]]+DATOS_[[#This Row],[Tot COMPL.SAL Eq]]</f>
        <v>57509.474000000002</v>
      </c>
      <c r="CA13" s="323">
        <f t="array" ref="CA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2000</v>
      </c>
      <c r="CB13" s="323">
        <f>+DATOS_[[#This Row],[TOTAL SALARIO Eq]]+DATOS_[[#This Row],[Tot Extrasalarial Eq]]</f>
        <v>59509.474000000002</v>
      </c>
      <c r="CC13" s="327">
        <f>DATOS_[[#This Row],[S.BASE]]</f>
        <v>18547.37</v>
      </c>
      <c r="CD13" s="324">
        <f>+SUM(DATOS_[[#This Row],[Conc.Sal.01]:[Conc.Sal.30]])</f>
        <v>38962.103999999999</v>
      </c>
      <c r="CE13" s="324">
        <f>+DATOS_[[#This Row],[SALARIO BASE Ef]]+DATOS_[[#This Row],[Tot COMPL.SAL Ef]]</f>
        <v>57509.474000000002</v>
      </c>
      <c r="CF13" s="324">
        <f>+SUM(DATOS_[[#This Row],[C.Extra.01]:[C.Extra.05]])</f>
        <v>2000</v>
      </c>
      <c r="CG13" s="330">
        <f>+DATOS_[[#This Row],[TOTAL SALARIO Ef]]+DATOS_[[#This Row],[Tot Extrasalarial Ef]]</f>
        <v>59509.474000000002</v>
      </c>
      <c r="CH13" s="303">
        <f>MIN(IF(DATOS_[[#This Row],[Fecha Fin Contrato]]="",$D$4,DATOS_[[#This Row],[Fecha Fin Contrato]]),$D$4)-MAX(DATOS_[[#This Row],[Fecha de Contratación]],$D$3)+1</f>
        <v>366</v>
      </c>
      <c r="CI13" s="304" t="str">
        <f>IF(COUNTIFS(DATOS_[id],DATOS_[[#This Row],[id]])&gt;1,DATOS_[[#This Row],[id]],"")</f>
        <v/>
      </c>
      <c r="CJ13" s="325">
        <f>(Inicio!$G$10-DATOS_[[#This Row],[Fecha Nacimiento]])/365.25</f>
        <v>47.055441478439427</v>
      </c>
      <c r="CK13" s="325">
        <f>(Inicio!$G$10-DATOS_[[#This Row],[Fecha de Antigüedad]])/365.25</f>
        <v>26.491444216290212</v>
      </c>
      <c r="CL13" s="325" t="str">
        <f>+VLOOKUP(DATOS_[[#This Row],[Clave de Contrato]],TblTiposContrato13[],3,FALSE)</f>
        <v>Completa</v>
      </c>
      <c r="CM13" s="325" t="str">
        <f>+VLOOKUP(DATOS_[[#This Row],[Clave de Contrato]],TblTiposContrato13[],4,FALSE)</f>
        <v>Indefinido</v>
      </c>
      <c r="CN13" s="325" t="str">
        <f>VLOOKUP(DATOS_[[#This Row],[Edad]],CONTRATOS!TblRngEdad,2,TRUE)</f>
        <v>45 a 50</v>
      </c>
      <c r="CO13" s="325" t="str">
        <f>VLOOKUP(DATOS_[[#This Row],[Antigüedad]],TblRngAntg14[],2,TRUE)</f>
        <v>más de 15</v>
      </c>
    </row>
    <row r="14" spans="2:93" x14ac:dyDescent="0.25">
      <c r="B14" s="146">
        <v>6</v>
      </c>
      <c r="C14" s="146" t="s">
        <v>163</v>
      </c>
      <c r="D14" s="295">
        <v>26645</v>
      </c>
      <c r="E14" s="296" t="s">
        <v>403</v>
      </c>
      <c r="F14" s="296">
        <v>3</v>
      </c>
      <c r="G14" s="296">
        <v>0</v>
      </c>
      <c r="H14" s="297">
        <v>35469</v>
      </c>
      <c r="I14" s="298"/>
      <c r="J14" s="295">
        <v>35469</v>
      </c>
      <c r="K14" s="326"/>
      <c r="L14" s="326"/>
      <c r="M14" s="299">
        <v>1</v>
      </c>
      <c r="N14" s="299"/>
      <c r="O14" s="299"/>
      <c r="P14" s="296">
        <v>100</v>
      </c>
      <c r="Q14" s="146" t="s">
        <v>412</v>
      </c>
      <c r="R14" s="146" t="s">
        <v>417</v>
      </c>
      <c r="S14" s="146" t="s">
        <v>406</v>
      </c>
      <c r="T14" s="146" t="s">
        <v>407</v>
      </c>
      <c r="U14" s="146" t="s">
        <v>400</v>
      </c>
      <c r="V14" s="146" t="s">
        <v>408</v>
      </c>
      <c r="W14" s="146" t="s">
        <v>298</v>
      </c>
      <c r="X14" s="146" t="s">
        <v>308</v>
      </c>
      <c r="Y14" s="146" t="s">
        <v>409</v>
      </c>
      <c r="Z14" s="293"/>
      <c r="AA14" s="294" t="s">
        <v>410</v>
      </c>
      <c r="AB14" s="294">
        <v>1</v>
      </c>
      <c r="AC14" s="296">
        <v>1</v>
      </c>
      <c r="AD14" s="301">
        <v>18547.37</v>
      </c>
      <c r="AE14" s="301">
        <v>12000</v>
      </c>
      <c r="AF14" s="301">
        <v>3709.4740000000002</v>
      </c>
      <c r="AG14" s="301"/>
      <c r="AH14" s="301"/>
      <c r="AI14" s="301">
        <v>3000</v>
      </c>
      <c r="AJ14" s="301">
        <v>3000</v>
      </c>
      <c r="AK14" s="301">
        <v>200</v>
      </c>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2"/>
      <c r="BN14" s="291">
        <f>+MAX($D$3,DATOS_[[#This Row],[Fecha Inicio Sit. Contract.]])</f>
        <v>45292</v>
      </c>
      <c r="BO14" s="291">
        <f>+MIN($D$4,DATOS_[[#This Row],[Fecha Fin Sit. Contract.]])</f>
        <v>45657</v>
      </c>
      <c r="BP14" s="292">
        <f>+DATOS_[[#This Row],[% de jornada]]*IF(DATOS_[[#This Row],[% jornada reducida]]="",1,DATOS_[[#This Row],[% jornada reducida]])</f>
        <v>1</v>
      </c>
      <c r="BQ14" s="292">
        <f>+(DATOS_[[#This Row],[F.fin.cal]]-DATOS_[[#This Row],[F.ini.cal]]+1)/($D$4-$D$3+1)</f>
        <v>1</v>
      </c>
      <c r="BR14" s="322" t="str">
        <f>IF(OR(AND(DATOS_[[#This Row],[Fecha Fin Contrato]]&lt;$D$3,DATOS_[[#This Row],[Fecha Fin Contrato]]&lt;&gt;""),DATOS_[[#This Row],[Fecha de Contratación]]&gt;$D$4),"Fuera","Dentro")</f>
        <v>Dentro</v>
      </c>
      <c r="BS14" s="322" t="str">
        <f t="array" ref="BS14">IF(MAX(IF(DATOS_[id]=DATOS_[[#This Row],[id]],DATOS_[F.fin.cal]))=DATOS_[[#This Row],[F.fin.cal]],"Sí","NO")</f>
        <v>Sí</v>
      </c>
      <c r="BT14" s="292" t="str">
        <f>IF(AND(DATOS_[[#This Row],[% normaliz]]&lt;&gt;1,DATOS_[[#This Row],[% anualiz]]=1),"Sí","NO")</f>
        <v>NO</v>
      </c>
      <c r="BU14" s="292" t="str">
        <f>IF(AND(DATOS_[[#This Row],[% normaliz]]=1,DATOS_[[#This Row],[% anualiz]]&lt;&gt;1),"Sí","NO")</f>
        <v>NO</v>
      </c>
      <c r="BV14" s="292" t="str">
        <f>IF(AND(DATOS_[[#This Row],[% normaliz]]&lt;&gt;1,DATOS_[[#This Row],[% anualiz]]&lt;&gt;1),"Sí","NO")</f>
        <v>NO</v>
      </c>
      <c r="BW14" s="322" t="str">
        <f>+IF(DATOS_[[#This Row],[% normaliz]]*DATOS_[[#This Row],[% anualiz]]=1,"NO","Sí")</f>
        <v>NO</v>
      </c>
      <c r="BX14" s="323">
        <f>(DATOS_[[#This Row],[S.BASE]]*(1/DATOS_[[#This Row],[% normaliz]])*(1/DATOS_[[#This Row],[% anualiz]]))*IF(DATOS_[[#This Row],[Check Equiparado]]="Sí",1,0)</f>
        <v>18547.37</v>
      </c>
      <c r="BY1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21909.474000000002</v>
      </c>
      <c r="BZ14" s="323">
        <f>+DATOS_[[#This Row],[SALARIO BASE Eq]]+DATOS_[[#This Row],[Tot COMPL.SAL Eq]]</f>
        <v>40456.843999999997</v>
      </c>
      <c r="CA14" s="323">
        <f t="array" ref="CA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 s="323">
        <f>+DATOS_[[#This Row],[TOTAL SALARIO Eq]]+DATOS_[[#This Row],[Tot Extrasalarial Eq]]</f>
        <v>40456.843999999997</v>
      </c>
      <c r="CC14" s="327">
        <f>DATOS_[[#This Row],[S.BASE]]</f>
        <v>18547.37</v>
      </c>
      <c r="CD14" s="324">
        <f>+SUM(DATOS_[[#This Row],[Conc.Sal.01]:[Conc.Sal.30]])</f>
        <v>21909.474000000002</v>
      </c>
      <c r="CE14" s="324">
        <f>+DATOS_[[#This Row],[SALARIO BASE Ef]]+DATOS_[[#This Row],[Tot COMPL.SAL Ef]]</f>
        <v>40456.843999999997</v>
      </c>
      <c r="CF14" s="324">
        <f>+SUM(DATOS_[[#This Row],[C.Extra.01]:[C.Extra.05]])</f>
        <v>0</v>
      </c>
      <c r="CG14" s="330">
        <f>+DATOS_[[#This Row],[TOTAL SALARIO Ef]]+DATOS_[[#This Row],[Tot Extrasalarial Ef]]</f>
        <v>40456.843999999997</v>
      </c>
      <c r="CH14" s="303">
        <f>MIN(IF(DATOS_[[#This Row],[Fecha Fin Contrato]]="",$D$4,DATOS_[[#This Row],[Fecha Fin Contrato]]),$D$4)-MAX(DATOS_[[#This Row],[Fecha de Contratación]],$D$3)+1</f>
        <v>366</v>
      </c>
      <c r="CI14" s="304" t="str">
        <f>IF(COUNTIFS(DATOS_[id],DATOS_[[#This Row],[id]])&gt;1,DATOS_[[#This Row],[id]],"")</f>
        <v/>
      </c>
      <c r="CJ14" s="325">
        <f>(Inicio!$G$10-DATOS_[[#This Row],[Fecha Nacimiento]])/365.25</f>
        <v>52.05201916495551</v>
      </c>
      <c r="CK14" s="325">
        <f>(Inicio!$G$10-DATOS_[[#This Row],[Fecha de Antigüedad]])/365.25</f>
        <v>27.893223819301848</v>
      </c>
      <c r="CL14" s="325" t="str">
        <f>+VLOOKUP(DATOS_[[#This Row],[Clave de Contrato]],TblTiposContrato13[],3,FALSE)</f>
        <v>Completa</v>
      </c>
      <c r="CM14" s="325" t="str">
        <f>+VLOOKUP(DATOS_[[#This Row],[Clave de Contrato]],TblTiposContrato13[],4,FALSE)</f>
        <v>Indefinido</v>
      </c>
      <c r="CN14" s="325" t="str">
        <f>VLOOKUP(DATOS_[[#This Row],[Edad]],CONTRATOS!TblRngEdad,2,TRUE)</f>
        <v>50 a 55</v>
      </c>
      <c r="CO14" s="325" t="str">
        <f>VLOOKUP(DATOS_[[#This Row],[Antigüedad]],TblRngAntg14[],2,TRUE)</f>
        <v>más de 15</v>
      </c>
    </row>
    <row r="15" spans="2:93" x14ac:dyDescent="0.25">
      <c r="B15" s="146">
        <v>7</v>
      </c>
      <c r="C15" s="146" t="s">
        <v>162</v>
      </c>
      <c r="D15" s="295">
        <v>26280</v>
      </c>
      <c r="E15" s="296" t="s">
        <v>403</v>
      </c>
      <c r="F15" s="296">
        <v>3</v>
      </c>
      <c r="G15" s="296">
        <v>0</v>
      </c>
      <c r="H15" s="297">
        <v>37588</v>
      </c>
      <c r="I15" s="298"/>
      <c r="J15" s="295">
        <v>37588</v>
      </c>
      <c r="K15" s="326"/>
      <c r="L15" s="326"/>
      <c r="M15" s="299">
        <v>1</v>
      </c>
      <c r="N15" s="299"/>
      <c r="O15" s="299"/>
      <c r="P15" s="296">
        <v>100</v>
      </c>
      <c r="Q15" s="146" t="s">
        <v>412</v>
      </c>
      <c r="R15" s="146" t="s">
        <v>418</v>
      </c>
      <c r="S15" s="146" t="s">
        <v>406</v>
      </c>
      <c r="T15" s="146" t="s">
        <v>407</v>
      </c>
      <c r="U15" s="146" t="s">
        <v>400</v>
      </c>
      <c r="V15" s="146" t="s">
        <v>408</v>
      </c>
      <c r="W15" s="146" t="s">
        <v>298</v>
      </c>
      <c r="X15" s="146" t="s">
        <v>308</v>
      </c>
      <c r="Y15" s="146" t="s">
        <v>409</v>
      </c>
      <c r="Z15" s="293"/>
      <c r="AA15" s="294" t="s">
        <v>410</v>
      </c>
      <c r="AB15" s="294">
        <v>1</v>
      </c>
      <c r="AC15" s="296">
        <v>1</v>
      </c>
      <c r="AD15" s="301">
        <v>18547.37</v>
      </c>
      <c r="AE15" s="301">
        <v>26452.63</v>
      </c>
      <c r="AF15" s="301">
        <v>2967.5791999999997</v>
      </c>
      <c r="AG15" s="301"/>
      <c r="AH15" s="301"/>
      <c r="AI15" s="301">
        <v>4000</v>
      </c>
      <c r="AJ15" s="301">
        <v>3000</v>
      </c>
      <c r="AK15" s="301">
        <v>200</v>
      </c>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2"/>
      <c r="BN15" s="291">
        <f>+MAX($D$3,DATOS_[[#This Row],[Fecha Inicio Sit. Contract.]])</f>
        <v>45292</v>
      </c>
      <c r="BO15" s="291">
        <f>+MIN($D$4,DATOS_[[#This Row],[Fecha Fin Sit. Contract.]])</f>
        <v>45657</v>
      </c>
      <c r="BP15" s="292">
        <f>+DATOS_[[#This Row],[% de jornada]]*IF(DATOS_[[#This Row],[% jornada reducida]]="",1,DATOS_[[#This Row],[% jornada reducida]])</f>
        <v>1</v>
      </c>
      <c r="BQ15" s="292">
        <f>+(DATOS_[[#This Row],[F.fin.cal]]-DATOS_[[#This Row],[F.ini.cal]]+1)/($D$4-$D$3+1)</f>
        <v>1</v>
      </c>
      <c r="BR15" s="322" t="str">
        <f>IF(OR(AND(DATOS_[[#This Row],[Fecha Fin Contrato]]&lt;$D$3,DATOS_[[#This Row],[Fecha Fin Contrato]]&lt;&gt;""),DATOS_[[#This Row],[Fecha de Contratación]]&gt;$D$4),"Fuera","Dentro")</f>
        <v>Dentro</v>
      </c>
      <c r="BS15" s="322" t="str">
        <f t="array" ref="BS15">IF(MAX(IF(DATOS_[id]=DATOS_[[#This Row],[id]],DATOS_[F.fin.cal]))=DATOS_[[#This Row],[F.fin.cal]],"Sí","NO")</f>
        <v>Sí</v>
      </c>
      <c r="BT15" s="292" t="str">
        <f>IF(AND(DATOS_[[#This Row],[% normaliz]]&lt;&gt;1,DATOS_[[#This Row],[% anualiz]]=1),"Sí","NO")</f>
        <v>NO</v>
      </c>
      <c r="BU15" s="292" t="str">
        <f>IF(AND(DATOS_[[#This Row],[% normaliz]]=1,DATOS_[[#This Row],[% anualiz]]&lt;&gt;1),"Sí","NO")</f>
        <v>NO</v>
      </c>
      <c r="BV15" s="292" t="str">
        <f>IF(AND(DATOS_[[#This Row],[% normaliz]]&lt;&gt;1,DATOS_[[#This Row],[% anualiz]]&lt;&gt;1),"Sí","NO")</f>
        <v>NO</v>
      </c>
      <c r="BW15" s="322" t="str">
        <f>+IF(DATOS_[[#This Row],[% normaliz]]*DATOS_[[#This Row],[% anualiz]]=1,"NO","Sí")</f>
        <v>NO</v>
      </c>
      <c r="BX15" s="323">
        <f>(DATOS_[[#This Row],[S.BASE]]*(1/DATOS_[[#This Row],[% normaliz]])*(1/DATOS_[[#This Row],[% anualiz]]))*IF(DATOS_[[#This Row],[Check Equiparado]]="Sí",1,0)</f>
        <v>18547.37</v>
      </c>
      <c r="BY1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36620.209199999998</v>
      </c>
      <c r="BZ15" s="323">
        <f>+DATOS_[[#This Row],[SALARIO BASE Eq]]+DATOS_[[#This Row],[Tot COMPL.SAL Eq]]</f>
        <v>55167.579199999993</v>
      </c>
      <c r="CA15" s="323">
        <f t="array" ref="CA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 s="323">
        <f>+DATOS_[[#This Row],[TOTAL SALARIO Eq]]+DATOS_[[#This Row],[Tot Extrasalarial Eq]]</f>
        <v>55167.579199999993</v>
      </c>
      <c r="CC15" s="327">
        <f>DATOS_[[#This Row],[S.BASE]]</f>
        <v>18547.37</v>
      </c>
      <c r="CD15" s="324">
        <f>+SUM(DATOS_[[#This Row],[Conc.Sal.01]:[Conc.Sal.30]])</f>
        <v>36620.209199999998</v>
      </c>
      <c r="CE15" s="324">
        <f>+DATOS_[[#This Row],[SALARIO BASE Ef]]+DATOS_[[#This Row],[Tot COMPL.SAL Ef]]</f>
        <v>55167.579199999993</v>
      </c>
      <c r="CF15" s="324">
        <f>+SUM(DATOS_[[#This Row],[C.Extra.01]:[C.Extra.05]])</f>
        <v>0</v>
      </c>
      <c r="CG15" s="330">
        <f>+DATOS_[[#This Row],[TOTAL SALARIO Ef]]+DATOS_[[#This Row],[Tot Extrasalarial Ef]]</f>
        <v>55167.579199999993</v>
      </c>
      <c r="CH15" s="303">
        <f>MIN(IF(DATOS_[[#This Row],[Fecha Fin Contrato]]="",$D$4,DATOS_[[#This Row],[Fecha Fin Contrato]]),$D$4)-MAX(DATOS_[[#This Row],[Fecha de Contratación]],$D$3)+1</f>
        <v>366</v>
      </c>
      <c r="CI15" s="304" t="str">
        <f>IF(COUNTIFS(DATOS_[id],DATOS_[[#This Row],[id]])&gt;1,DATOS_[[#This Row],[id]],"")</f>
        <v/>
      </c>
      <c r="CJ15" s="325">
        <f>(Inicio!$G$10-DATOS_[[#This Row],[Fecha Nacimiento]])/365.25</f>
        <v>53.051334702258728</v>
      </c>
      <c r="CK15" s="325">
        <f>(Inicio!$G$10-DATOS_[[#This Row],[Fecha de Antigüedad]])/365.25</f>
        <v>22.091718001368925</v>
      </c>
      <c r="CL15" s="325" t="str">
        <f>+VLOOKUP(DATOS_[[#This Row],[Clave de Contrato]],TblTiposContrato13[],3,FALSE)</f>
        <v>Completa</v>
      </c>
      <c r="CM15" s="325" t="str">
        <f>+VLOOKUP(DATOS_[[#This Row],[Clave de Contrato]],TblTiposContrato13[],4,FALSE)</f>
        <v>Indefinido</v>
      </c>
      <c r="CN15" s="325" t="str">
        <f>VLOOKUP(DATOS_[[#This Row],[Edad]],CONTRATOS!TblRngEdad,2,TRUE)</f>
        <v>50 a 55</v>
      </c>
      <c r="CO15" s="325" t="str">
        <f>VLOOKUP(DATOS_[[#This Row],[Antigüedad]],TblRngAntg14[],2,TRUE)</f>
        <v>más de 15</v>
      </c>
    </row>
    <row r="16" spans="2:93" x14ac:dyDescent="0.25">
      <c r="B16" s="146">
        <v>8</v>
      </c>
      <c r="C16" s="146" t="s">
        <v>163</v>
      </c>
      <c r="D16" s="295">
        <v>31755</v>
      </c>
      <c r="E16" s="296" t="s">
        <v>403</v>
      </c>
      <c r="F16" s="296">
        <v>3</v>
      </c>
      <c r="G16" s="296">
        <v>0</v>
      </c>
      <c r="H16" s="297">
        <v>41058</v>
      </c>
      <c r="I16" s="298"/>
      <c r="J16" s="295">
        <v>41058</v>
      </c>
      <c r="K16" s="326"/>
      <c r="L16" s="326"/>
      <c r="M16" s="299">
        <v>1</v>
      </c>
      <c r="N16" s="299">
        <v>0.5</v>
      </c>
      <c r="O16" s="299" t="s">
        <v>147</v>
      </c>
      <c r="P16" s="296">
        <v>100</v>
      </c>
      <c r="Q16" s="146" t="s">
        <v>404</v>
      </c>
      <c r="R16" s="146" t="s">
        <v>419</v>
      </c>
      <c r="S16" s="146" t="s">
        <v>406</v>
      </c>
      <c r="T16" s="146" t="s">
        <v>407</v>
      </c>
      <c r="U16" s="146" t="s">
        <v>400</v>
      </c>
      <c r="V16" s="146" t="s">
        <v>408</v>
      </c>
      <c r="W16" s="146" t="s">
        <v>298</v>
      </c>
      <c r="X16" s="146" t="s">
        <v>308</v>
      </c>
      <c r="Y16" s="146" t="s">
        <v>409</v>
      </c>
      <c r="Z16" s="293"/>
      <c r="AA16" s="294" t="s">
        <v>410</v>
      </c>
      <c r="AB16" s="294">
        <v>1</v>
      </c>
      <c r="AC16" s="296">
        <v>1</v>
      </c>
      <c r="AD16" s="301">
        <v>9273.6849999999995</v>
      </c>
      <c r="AE16" s="301">
        <v>6500</v>
      </c>
      <c r="AF16" s="301">
        <v>370.94739999999996</v>
      </c>
      <c r="AG16" s="301"/>
      <c r="AH16" s="301"/>
      <c r="AI16" s="301">
        <v>1000</v>
      </c>
      <c r="AJ16" s="301">
        <v>3000</v>
      </c>
      <c r="AK16" s="301">
        <v>200</v>
      </c>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2"/>
      <c r="BN16" s="291">
        <f>+MAX($D$3,DATOS_[[#This Row],[Fecha Inicio Sit. Contract.]])</f>
        <v>45292</v>
      </c>
      <c r="BO16" s="291">
        <f>+MIN($D$4,DATOS_[[#This Row],[Fecha Fin Sit. Contract.]])</f>
        <v>45657</v>
      </c>
      <c r="BP16" s="292">
        <f>+DATOS_[[#This Row],[% de jornada]]*IF(DATOS_[[#This Row],[% jornada reducida]]="",1,DATOS_[[#This Row],[% jornada reducida]])</f>
        <v>0.5</v>
      </c>
      <c r="BQ16" s="292">
        <f>+(DATOS_[[#This Row],[F.fin.cal]]-DATOS_[[#This Row],[F.ini.cal]]+1)/($D$4-$D$3+1)</f>
        <v>1</v>
      </c>
      <c r="BR16" s="322" t="str">
        <f>IF(OR(AND(DATOS_[[#This Row],[Fecha Fin Contrato]]&lt;$D$3,DATOS_[[#This Row],[Fecha Fin Contrato]]&lt;&gt;""),DATOS_[[#This Row],[Fecha de Contratación]]&gt;$D$4),"Fuera","Dentro")</f>
        <v>Dentro</v>
      </c>
      <c r="BS16" s="322" t="str">
        <f t="array" ref="BS16">IF(MAX(IF(DATOS_[id]=DATOS_[[#This Row],[id]],DATOS_[F.fin.cal]))=DATOS_[[#This Row],[F.fin.cal]],"Sí","NO")</f>
        <v>Sí</v>
      </c>
      <c r="BT16" s="292" t="str">
        <f>IF(AND(DATOS_[[#This Row],[% normaliz]]&lt;&gt;1,DATOS_[[#This Row],[% anualiz]]=1),"Sí","NO")</f>
        <v>Sí</v>
      </c>
      <c r="BU16" s="292" t="str">
        <f>IF(AND(DATOS_[[#This Row],[% normaliz]]=1,DATOS_[[#This Row],[% anualiz]]&lt;&gt;1),"Sí","NO")</f>
        <v>NO</v>
      </c>
      <c r="BV16" s="292" t="str">
        <f>IF(AND(DATOS_[[#This Row],[% normaliz]]&lt;&gt;1,DATOS_[[#This Row],[% anualiz]]&lt;&gt;1),"Sí","NO")</f>
        <v>NO</v>
      </c>
      <c r="BW16" s="322" t="str">
        <f>+IF(DATOS_[[#This Row],[% normaliz]]*DATOS_[[#This Row],[% anualiz]]=1,"NO","Sí")</f>
        <v>Sí</v>
      </c>
      <c r="BX16" s="323">
        <f>(DATOS_[[#This Row],[S.BASE]]*(1/DATOS_[[#This Row],[% normaliz]])*(1/DATOS_[[#This Row],[% anualiz]]))*IF(DATOS_[[#This Row],[Check Equiparado]]="Sí",1,0)</f>
        <v>18547.37</v>
      </c>
      <c r="BY1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18941.894800000002</v>
      </c>
      <c r="BZ16" s="323">
        <f>+DATOS_[[#This Row],[SALARIO BASE Eq]]+DATOS_[[#This Row],[Tot COMPL.SAL Eq]]</f>
        <v>37489.264800000004</v>
      </c>
      <c r="CA16" s="323">
        <f t="array" ref="CA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 s="323">
        <f>+DATOS_[[#This Row],[TOTAL SALARIO Eq]]+DATOS_[[#This Row],[Tot Extrasalarial Eq]]</f>
        <v>37489.264800000004</v>
      </c>
      <c r="CC16" s="327">
        <f>DATOS_[[#This Row],[S.BASE]]</f>
        <v>9273.6849999999995</v>
      </c>
      <c r="CD16" s="324">
        <f>+SUM(DATOS_[[#This Row],[Conc.Sal.01]:[Conc.Sal.30]])</f>
        <v>11070.947400000001</v>
      </c>
      <c r="CE16" s="324">
        <f>+DATOS_[[#This Row],[SALARIO BASE Ef]]+DATOS_[[#This Row],[Tot COMPL.SAL Ef]]</f>
        <v>20344.632400000002</v>
      </c>
      <c r="CF16" s="324">
        <f>+SUM(DATOS_[[#This Row],[C.Extra.01]:[C.Extra.05]])</f>
        <v>0</v>
      </c>
      <c r="CG16" s="330">
        <f>+DATOS_[[#This Row],[TOTAL SALARIO Ef]]+DATOS_[[#This Row],[Tot Extrasalarial Ef]]</f>
        <v>20344.632400000002</v>
      </c>
      <c r="CH16" s="303">
        <f>MIN(IF(DATOS_[[#This Row],[Fecha Fin Contrato]]="",$D$4,DATOS_[[#This Row],[Fecha Fin Contrato]]),$D$4)-MAX(DATOS_[[#This Row],[Fecha de Contratación]],$D$3)+1</f>
        <v>366</v>
      </c>
      <c r="CI16" s="304" t="str">
        <f>IF(COUNTIFS(DATOS_[id],DATOS_[[#This Row],[id]])&gt;1,DATOS_[[#This Row],[id]],"")</f>
        <v/>
      </c>
      <c r="CJ16" s="325">
        <f>(Inicio!$G$10-DATOS_[[#This Row],[Fecha Nacimiento]])/365.25</f>
        <v>38.061601642710471</v>
      </c>
      <c r="CK16" s="325">
        <f>(Inicio!$G$10-DATOS_[[#This Row],[Fecha de Antigüedad]])/365.25</f>
        <v>12.591375770020534</v>
      </c>
      <c r="CL16" s="325" t="str">
        <f>+VLOOKUP(DATOS_[[#This Row],[Clave de Contrato]],TblTiposContrato13[],3,FALSE)</f>
        <v>Completa</v>
      </c>
      <c r="CM16" s="325" t="str">
        <f>+VLOOKUP(DATOS_[[#This Row],[Clave de Contrato]],TblTiposContrato13[],4,FALSE)</f>
        <v>Indefinido</v>
      </c>
      <c r="CN16" s="325" t="str">
        <f>VLOOKUP(DATOS_[[#This Row],[Edad]],CONTRATOS!TblRngEdad,2,TRUE)</f>
        <v>35 a 40</v>
      </c>
      <c r="CO16" s="325" t="str">
        <f>VLOOKUP(DATOS_[[#This Row],[Antigüedad]],TblRngAntg14[],2,TRUE)</f>
        <v>de 10 a 15  años</v>
      </c>
    </row>
    <row r="17" spans="2:93" x14ac:dyDescent="0.25">
      <c r="B17" s="146">
        <v>9</v>
      </c>
      <c r="C17" s="146" t="s">
        <v>162</v>
      </c>
      <c r="D17" s="295">
        <v>27010</v>
      </c>
      <c r="E17" s="296" t="s">
        <v>403</v>
      </c>
      <c r="F17" s="296">
        <v>3</v>
      </c>
      <c r="G17" s="296">
        <v>0</v>
      </c>
      <c r="H17" s="297">
        <v>41240</v>
      </c>
      <c r="I17" s="298"/>
      <c r="J17" s="295">
        <v>41240</v>
      </c>
      <c r="K17" s="326"/>
      <c r="L17" s="326"/>
      <c r="M17" s="299">
        <v>1</v>
      </c>
      <c r="N17" s="299">
        <v>0.8</v>
      </c>
      <c r="O17" s="299" t="s">
        <v>147</v>
      </c>
      <c r="P17" s="296">
        <v>100</v>
      </c>
      <c r="Q17" s="146" t="s">
        <v>414</v>
      </c>
      <c r="R17" s="146" t="s">
        <v>420</v>
      </c>
      <c r="S17" s="146" t="s">
        <v>406</v>
      </c>
      <c r="T17" s="146" t="s">
        <v>407</v>
      </c>
      <c r="U17" s="146" t="s">
        <v>400</v>
      </c>
      <c r="V17" s="146" t="s">
        <v>408</v>
      </c>
      <c r="W17" s="146" t="s">
        <v>298</v>
      </c>
      <c r="X17" s="146" t="s">
        <v>308</v>
      </c>
      <c r="Y17" s="146" t="s">
        <v>409</v>
      </c>
      <c r="Z17" s="293"/>
      <c r="AA17" s="294" t="s">
        <v>410</v>
      </c>
      <c r="AB17" s="294">
        <v>1</v>
      </c>
      <c r="AC17" s="296">
        <v>1</v>
      </c>
      <c r="AD17" s="301">
        <v>14837.896000000001</v>
      </c>
      <c r="AE17" s="301">
        <v>21162.103999999999</v>
      </c>
      <c r="AF17" s="301">
        <v>593.51583999999991</v>
      </c>
      <c r="AG17" s="301"/>
      <c r="AH17" s="301"/>
      <c r="AI17" s="301">
        <v>4000</v>
      </c>
      <c r="AJ17" s="301">
        <v>3000</v>
      </c>
      <c r="AK17" s="301">
        <v>200</v>
      </c>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2"/>
      <c r="BN17" s="291">
        <f>+MAX($D$3,DATOS_[[#This Row],[Fecha Inicio Sit. Contract.]])</f>
        <v>45292</v>
      </c>
      <c r="BO17" s="291">
        <f>+MIN($D$4,DATOS_[[#This Row],[Fecha Fin Sit. Contract.]])</f>
        <v>45657</v>
      </c>
      <c r="BP17" s="292">
        <f>+DATOS_[[#This Row],[% de jornada]]*IF(DATOS_[[#This Row],[% jornada reducida]]="",1,DATOS_[[#This Row],[% jornada reducida]])</f>
        <v>0.8</v>
      </c>
      <c r="BQ17" s="292">
        <f>+(DATOS_[[#This Row],[F.fin.cal]]-DATOS_[[#This Row],[F.ini.cal]]+1)/($D$4-$D$3+1)</f>
        <v>1</v>
      </c>
      <c r="BR17" s="322" t="str">
        <f>IF(OR(AND(DATOS_[[#This Row],[Fecha Fin Contrato]]&lt;$D$3,DATOS_[[#This Row],[Fecha Fin Contrato]]&lt;&gt;""),DATOS_[[#This Row],[Fecha de Contratación]]&gt;$D$4),"Fuera","Dentro")</f>
        <v>Dentro</v>
      </c>
      <c r="BS17" s="322" t="str">
        <f t="array" ref="BS17">IF(MAX(IF(DATOS_[id]=DATOS_[[#This Row],[id]],DATOS_[F.fin.cal]))=DATOS_[[#This Row],[F.fin.cal]],"Sí","NO")</f>
        <v>Sí</v>
      </c>
      <c r="BT17" s="292" t="str">
        <f>IF(AND(DATOS_[[#This Row],[% normaliz]]&lt;&gt;1,DATOS_[[#This Row],[% anualiz]]=1),"Sí","NO")</f>
        <v>Sí</v>
      </c>
      <c r="BU17" s="292" t="str">
        <f>IF(AND(DATOS_[[#This Row],[% normaliz]]=1,DATOS_[[#This Row],[% anualiz]]&lt;&gt;1),"Sí","NO")</f>
        <v>NO</v>
      </c>
      <c r="BV17" s="292" t="str">
        <f>IF(AND(DATOS_[[#This Row],[% normaliz]]&lt;&gt;1,DATOS_[[#This Row],[% anualiz]]&lt;&gt;1),"Sí","NO")</f>
        <v>NO</v>
      </c>
      <c r="BW17" s="322" t="str">
        <f>+IF(DATOS_[[#This Row],[% normaliz]]*DATOS_[[#This Row],[% anualiz]]=1,"NO","Sí")</f>
        <v>Sí</v>
      </c>
      <c r="BX17" s="323">
        <f>(DATOS_[[#This Row],[S.BASE]]*(1/DATOS_[[#This Row],[% normaliz]])*(1/DATOS_[[#This Row],[% anualiz]]))*IF(DATOS_[[#This Row],[Check Equiparado]]="Sí",1,0)</f>
        <v>18547.370000000003</v>
      </c>
      <c r="BY1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35394.524799999999</v>
      </c>
      <c r="BZ17" s="323">
        <f>+DATOS_[[#This Row],[SALARIO BASE Eq]]+DATOS_[[#This Row],[Tot COMPL.SAL Eq]]</f>
        <v>53941.894800000002</v>
      </c>
      <c r="CA17" s="323">
        <f t="array" ref="CA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 s="323">
        <f>+DATOS_[[#This Row],[TOTAL SALARIO Eq]]+DATOS_[[#This Row],[Tot Extrasalarial Eq]]</f>
        <v>53941.894800000002</v>
      </c>
      <c r="CC17" s="327">
        <f>DATOS_[[#This Row],[S.BASE]]</f>
        <v>14837.896000000001</v>
      </c>
      <c r="CD17" s="324">
        <f>+SUM(DATOS_[[#This Row],[Conc.Sal.01]:[Conc.Sal.30]])</f>
        <v>28955.619839999999</v>
      </c>
      <c r="CE17" s="324">
        <f>+DATOS_[[#This Row],[SALARIO BASE Ef]]+DATOS_[[#This Row],[Tot COMPL.SAL Ef]]</f>
        <v>43793.51584</v>
      </c>
      <c r="CF17" s="324">
        <f>+SUM(DATOS_[[#This Row],[C.Extra.01]:[C.Extra.05]])</f>
        <v>0</v>
      </c>
      <c r="CG17" s="330">
        <f>+DATOS_[[#This Row],[TOTAL SALARIO Ef]]+DATOS_[[#This Row],[Tot Extrasalarial Ef]]</f>
        <v>43793.51584</v>
      </c>
      <c r="CH17" s="303">
        <f>MIN(IF(DATOS_[[#This Row],[Fecha Fin Contrato]]="",$D$4,DATOS_[[#This Row],[Fecha Fin Contrato]]),$D$4)-MAX(DATOS_[[#This Row],[Fecha de Contratación]],$D$3)+1</f>
        <v>366</v>
      </c>
      <c r="CI17" s="304" t="str">
        <f>IF(COUNTIFS(DATOS_[id],DATOS_[[#This Row],[id]])&gt;1,DATOS_[[#This Row],[id]],"")</f>
        <v/>
      </c>
      <c r="CJ17" s="325">
        <f>(Inicio!$G$10-DATOS_[[#This Row],[Fecha Nacimiento]])/365.25</f>
        <v>51.052703627652292</v>
      </c>
      <c r="CK17" s="325">
        <f>(Inicio!$G$10-DATOS_[[#This Row],[Fecha de Antigüedad]])/365.25</f>
        <v>12.093086926762492</v>
      </c>
      <c r="CL17" s="325" t="str">
        <f>+VLOOKUP(DATOS_[[#This Row],[Clave de Contrato]],TblTiposContrato13[],3,FALSE)</f>
        <v>Completa</v>
      </c>
      <c r="CM17" s="325" t="str">
        <f>+VLOOKUP(DATOS_[[#This Row],[Clave de Contrato]],TblTiposContrato13[],4,FALSE)</f>
        <v>Indefinido</v>
      </c>
      <c r="CN17" s="325" t="str">
        <f>VLOOKUP(DATOS_[[#This Row],[Edad]],CONTRATOS!TblRngEdad,2,TRUE)</f>
        <v>50 a 55</v>
      </c>
      <c r="CO17" s="325" t="str">
        <f>VLOOKUP(DATOS_[[#This Row],[Antigüedad]],TblRngAntg14[],2,TRUE)</f>
        <v>de 10 a 15  años</v>
      </c>
    </row>
    <row r="18" spans="2:93" x14ac:dyDescent="0.25">
      <c r="B18" s="146">
        <v>10</v>
      </c>
      <c r="C18" s="146" t="s">
        <v>163</v>
      </c>
      <c r="D18" s="295">
        <v>30295</v>
      </c>
      <c r="E18" s="296" t="s">
        <v>403</v>
      </c>
      <c r="F18" s="296">
        <v>3</v>
      </c>
      <c r="G18" s="296">
        <v>0</v>
      </c>
      <c r="H18" s="297">
        <v>35469</v>
      </c>
      <c r="I18" s="298"/>
      <c r="J18" s="295">
        <v>35469</v>
      </c>
      <c r="K18" s="326"/>
      <c r="L18" s="326">
        <v>43921</v>
      </c>
      <c r="M18" s="299">
        <v>1</v>
      </c>
      <c r="N18" s="299"/>
      <c r="O18" s="299"/>
      <c r="P18" s="296">
        <v>100</v>
      </c>
      <c r="Q18" s="146" t="s">
        <v>414</v>
      </c>
      <c r="R18" s="146" t="s">
        <v>415</v>
      </c>
      <c r="S18" s="146" t="s">
        <v>422</v>
      </c>
      <c r="T18" s="146" t="s">
        <v>407</v>
      </c>
      <c r="U18" s="146" t="s">
        <v>400</v>
      </c>
      <c r="V18" s="146" t="s">
        <v>423</v>
      </c>
      <c r="W18" s="146" t="s">
        <v>298</v>
      </c>
      <c r="X18" s="146" t="s">
        <v>304</v>
      </c>
      <c r="Y18" s="146" t="s">
        <v>409</v>
      </c>
      <c r="Z18" s="293"/>
      <c r="AA18" s="294" t="s">
        <v>410</v>
      </c>
      <c r="AB18" s="294">
        <v>2</v>
      </c>
      <c r="AC18" s="296">
        <v>2</v>
      </c>
      <c r="AD18" s="301">
        <v>4636.8424999999997</v>
      </c>
      <c r="AE18" s="301">
        <v>3500</v>
      </c>
      <c r="AF18" s="301">
        <v>927.36850000000004</v>
      </c>
      <c r="AG18" s="301"/>
      <c r="AH18" s="301">
        <v>300</v>
      </c>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2"/>
      <c r="BN18" s="291">
        <f>+MAX($D$3,DATOS_[[#This Row],[Fecha Inicio Sit. Contract.]])</f>
        <v>45292</v>
      </c>
      <c r="BO18" s="291">
        <f>+MIN($D$4,DATOS_[[#This Row],[Fecha Fin Sit. Contract.]])</f>
        <v>43921</v>
      </c>
      <c r="BP18" s="292">
        <f>+DATOS_[[#This Row],[% de jornada]]*IF(DATOS_[[#This Row],[% jornada reducida]]="",1,DATOS_[[#This Row],[% jornada reducida]])</f>
        <v>1</v>
      </c>
      <c r="BQ18" s="292">
        <f>+(DATOS_[[#This Row],[F.fin.cal]]-DATOS_[[#This Row],[F.ini.cal]]+1)/($D$4-$D$3+1)</f>
        <v>-3.7431693989071038</v>
      </c>
      <c r="BR18" s="322" t="str">
        <f>IF(OR(AND(DATOS_[[#This Row],[Fecha Fin Contrato]]&lt;$D$3,DATOS_[[#This Row],[Fecha Fin Contrato]]&lt;&gt;""),DATOS_[[#This Row],[Fecha de Contratación]]&gt;$D$4),"Fuera","Dentro")</f>
        <v>Dentro</v>
      </c>
      <c r="BS18" s="322" t="str">
        <f t="array" ref="BS18">IF(MAX(IF(DATOS_[id]=DATOS_[[#This Row],[id]],DATOS_[F.fin.cal]))=DATOS_[[#This Row],[F.fin.cal]],"Sí","NO")</f>
        <v>NO</v>
      </c>
      <c r="BT18" s="292" t="str">
        <f>IF(AND(DATOS_[[#This Row],[% normaliz]]&lt;&gt;1,DATOS_[[#This Row],[% anualiz]]=1),"Sí","NO")</f>
        <v>NO</v>
      </c>
      <c r="BU18" s="292" t="str">
        <f>IF(AND(DATOS_[[#This Row],[% normaliz]]=1,DATOS_[[#This Row],[% anualiz]]&lt;&gt;1),"Sí","NO")</f>
        <v>Sí</v>
      </c>
      <c r="BV18" s="292" t="str">
        <f>IF(AND(DATOS_[[#This Row],[% normaliz]]&lt;&gt;1,DATOS_[[#This Row],[% anualiz]]&lt;&gt;1),"Sí","NO")</f>
        <v>NO</v>
      </c>
      <c r="BW18" s="322" t="str">
        <f>+IF(DATOS_[[#This Row],[% normaliz]]*DATOS_[[#This Row],[% anualiz]]=1,"NO","Sí")</f>
        <v>Sí</v>
      </c>
      <c r="BX18" s="323">
        <f>(DATOS_[[#This Row],[S.BASE]]*(1/DATOS_[[#This Row],[% normaliz]])*(1/DATOS_[[#This Row],[% anualiz]]))*IF(DATOS_[[#This Row],[Check Equiparado]]="Sí",1,0)</f>
        <v>0</v>
      </c>
      <c r="BY1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8" s="323">
        <f>+DATOS_[[#This Row],[SALARIO BASE Eq]]+DATOS_[[#This Row],[Tot COMPL.SAL Eq]]</f>
        <v>0</v>
      </c>
      <c r="CA18" s="323">
        <f t="array" ref="CA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 s="323">
        <f>+DATOS_[[#This Row],[TOTAL SALARIO Eq]]+DATOS_[[#This Row],[Tot Extrasalarial Eq]]</f>
        <v>0</v>
      </c>
      <c r="CC18" s="327">
        <f>DATOS_[[#This Row],[S.BASE]]</f>
        <v>4636.8424999999997</v>
      </c>
      <c r="CD18" s="324">
        <f>+SUM(DATOS_[[#This Row],[Conc.Sal.01]:[Conc.Sal.30]])</f>
        <v>4727.3685000000005</v>
      </c>
      <c r="CE18" s="324">
        <f>+DATOS_[[#This Row],[SALARIO BASE Ef]]+DATOS_[[#This Row],[Tot COMPL.SAL Ef]]</f>
        <v>9364.2109999999993</v>
      </c>
      <c r="CF18" s="324">
        <f>+SUM(DATOS_[[#This Row],[C.Extra.01]:[C.Extra.05]])</f>
        <v>0</v>
      </c>
      <c r="CG18" s="330">
        <f>+DATOS_[[#This Row],[TOTAL SALARIO Ef]]+DATOS_[[#This Row],[Tot Extrasalarial Ef]]</f>
        <v>9364.2109999999993</v>
      </c>
      <c r="CH18" s="303">
        <f>MIN(IF(DATOS_[[#This Row],[Fecha Fin Contrato]]="",$D$4,DATOS_[[#This Row],[Fecha Fin Contrato]]),$D$4)-MAX(DATOS_[[#This Row],[Fecha de Contratación]],$D$3)+1</f>
        <v>366</v>
      </c>
      <c r="CI18" s="304">
        <f>IF(COUNTIFS(DATOS_[id],DATOS_[[#This Row],[id]])&gt;1,DATOS_[[#This Row],[id]],"")</f>
        <v>10</v>
      </c>
      <c r="CJ18" s="325">
        <f>(Inicio!$G$10-DATOS_[[#This Row],[Fecha Nacimiento]])/365.25</f>
        <v>42.058863791923343</v>
      </c>
      <c r="CK18" s="325">
        <f>(Inicio!$G$10-DATOS_[[#This Row],[Fecha de Antigüedad]])/365.25</f>
        <v>27.893223819301848</v>
      </c>
      <c r="CL18" s="325" t="str">
        <f>+VLOOKUP(DATOS_[[#This Row],[Clave de Contrato]],TblTiposContrato13[],3,FALSE)</f>
        <v>Completa</v>
      </c>
      <c r="CM18" s="325" t="str">
        <f>+VLOOKUP(DATOS_[[#This Row],[Clave de Contrato]],TblTiposContrato13[],4,FALSE)</f>
        <v>Indefinido</v>
      </c>
      <c r="CN18" s="325" t="str">
        <f>VLOOKUP(DATOS_[[#This Row],[Edad]],CONTRATOS!TblRngEdad,2,TRUE)</f>
        <v>40 a 45</v>
      </c>
      <c r="CO18" s="325" t="str">
        <f>VLOOKUP(DATOS_[[#This Row],[Antigüedad]],TblRngAntg14[],2,TRUE)</f>
        <v>más de 15</v>
      </c>
    </row>
    <row r="19" spans="2:93" x14ac:dyDescent="0.25">
      <c r="B19" s="146">
        <v>10</v>
      </c>
      <c r="C19" s="146" t="s">
        <v>163</v>
      </c>
      <c r="D19" s="295">
        <v>30295</v>
      </c>
      <c r="E19" s="296" t="s">
        <v>403</v>
      </c>
      <c r="F19" s="296">
        <v>3</v>
      </c>
      <c r="G19" s="296">
        <v>0</v>
      </c>
      <c r="H19" s="297">
        <v>35469</v>
      </c>
      <c r="I19" s="298"/>
      <c r="J19" s="295">
        <v>35469</v>
      </c>
      <c r="K19" s="326">
        <v>43922</v>
      </c>
      <c r="L19" s="326"/>
      <c r="M19" s="299">
        <v>1</v>
      </c>
      <c r="N19" s="299"/>
      <c r="O19" s="299"/>
      <c r="P19" s="296">
        <v>100</v>
      </c>
      <c r="Q19" s="146" t="s">
        <v>404</v>
      </c>
      <c r="R19" s="146" t="s">
        <v>421</v>
      </c>
      <c r="S19" s="146" t="s">
        <v>406</v>
      </c>
      <c r="T19" s="146" t="s">
        <v>407</v>
      </c>
      <c r="U19" s="146" t="s">
        <v>400</v>
      </c>
      <c r="V19" s="146" t="s">
        <v>408</v>
      </c>
      <c r="W19" s="146" t="s">
        <v>298</v>
      </c>
      <c r="X19" s="146" t="s">
        <v>308</v>
      </c>
      <c r="Y19" s="146" t="s">
        <v>409</v>
      </c>
      <c r="Z19" s="293"/>
      <c r="AA19" s="294" t="s">
        <v>410</v>
      </c>
      <c r="AB19" s="294">
        <v>1</v>
      </c>
      <c r="AC19" s="296">
        <v>1</v>
      </c>
      <c r="AD19" s="301">
        <v>13910.5275</v>
      </c>
      <c r="AE19" s="301">
        <v>12000</v>
      </c>
      <c r="AF19" s="301">
        <v>2782.1055000000001</v>
      </c>
      <c r="AG19" s="301"/>
      <c r="AH19" s="301"/>
      <c r="AI19" s="301"/>
      <c r="AJ19" s="301"/>
      <c r="AK19" s="301">
        <v>200</v>
      </c>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2"/>
      <c r="BN19" s="291">
        <f>+MAX($D$3,DATOS_[[#This Row],[Fecha Inicio Sit. Contract.]])</f>
        <v>45292</v>
      </c>
      <c r="BO19" s="291">
        <f>+MIN($D$4,DATOS_[[#This Row],[Fecha Fin Sit. Contract.]])</f>
        <v>45657</v>
      </c>
      <c r="BP19" s="292">
        <f>+DATOS_[[#This Row],[% de jornada]]*IF(DATOS_[[#This Row],[% jornada reducida]]="",1,DATOS_[[#This Row],[% jornada reducida]])</f>
        <v>1</v>
      </c>
      <c r="BQ19" s="292">
        <f>+(DATOS_[[#This Row],[F.fin.cal]]-DATOS_[[#This Row],[F.ini.cal]]+1)/($D$4-$D$3+1)</f>
        <v>1</v>
      </c>
      <c r="BR19" s="322" t="str">
        <f>IF(OR(AND(DATOS_[[#This Row],[Fecha Fin Contrato]]&lt;$D$3,DATOS_[[#This Row],[Fecha Fin Contrato]]&lt;&gt;""),DATOS_[[#This Row],[Fecha de Contratación]]&gt;$D$4),"Fuera","Dentro")</f>
        <v>Dentro</v>
      </c>
      <c r="BS19" s="322" t="str">
        <f t="array" ref="BS19">IF(MAX(IF(DATOS_[id]=DATOS_[[#This Row],[id]],DATOS_[F.fin.cal]))=DATOS_[[#This Row],[F.fin.cal]],"Sí","NO")</f>
        <v>Sí</v>
      </c>
      <c r="BT19" s="292" t="str">
        <f>IF(AND(DATOS_[[#This Row],[% normaliz]]&lt;&gt;1,DATOS_[[#This Row],[% anualiz]]=1),"Sí","NO")</f>
        <v>NO</v>
      </c>
      <c r="BU19" s="292" t="str">
        <f>IF(AND(DATOS_[[#This Row],[% normaliz]]=1,DATOS_[[#This Row],[% anualiz]]&lt;&gt;1),"Sí","NO")</f>
        <v>NO</v>
      </c>
      <c r="BV19" s="292" t="str">
        <f>IF(AND(DATOS_[[#This Row],[% normaliz]]&lt;&gt;1,DATOS_[[#This Row],[% anualiz]]&lt;&gt;1),"Sí","NO")</f>
        <v>NO</v>
      </c>
      <c r="BW19" s="322" t="str">
        <f>+IF(DATOS_[[#This Row],[% normaliz]]*DATOS_[[#This Row],[% anualiz]]=1,"NO","Sí")</f>
        <v>NO</v>
      </c>
      <c r="BX19" s="323">
        <f>(DATOS_[[#This Row],[S.BASE]]*(1/DATOS_[[#This Row],[% normaliz]])*(1/DATOS_[[#This Row],[% anualiz]]))*IF(DATOS_[[#This Row],[Check Equiparado]]="Sí",1,0)</f>
        <v>13910.5275</v>
      </c>
      <c r="BY1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14982.1055</v>
      </c>
      <c r="BZ19" s="323">
        <f>+DATOS_[[#This Row],[SALARIO BASE Eq]]+DATOS_[[#This Row],[Tot COMPL.SAL Eq]]</f>
        <v>28892.633000000002</v>
      </c>
      <c r="CA19" s="323">
        <f t="array" ref="CA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 s="323">
        <f>+DATOS_[[#This Row],[TOTAL SALARIO Eq]]+DATOS_[[#This Row],[Tot Extrasalarial Eq]]</f>
        <v>28892.633000000002</v>
      </c>
      <c r="CC19" s="327">
        <f>DATOS_[[#This Row],[S.BASE]]</f>
        <v>13910.5275</v>
      </c>
      <c r="CD19" s="324">
        <f>+SUM(DATOS_[[#This Row],[Conc.Sal.01]:[Conc.Sal.30]])</f>
        <v>14982.1055</v>
      </c>
      <c r="CE19" s="324">
        <f>+DATOS_[[#This Row],[SALARIO BASE Ef]]+DATOS_[[#This Row],[Tot COMPL.SAL Ef]]</f>
        <v>28892.633000000002</v>
      </c>
      <c r="CF19" s="324">
        <f>+SUM(DATOS_[[#This Row],[C.Extra.01]:[C.Extra.05]])</f>
        <v>0</v>
      </c>
      <c r="CG19" s="330">
        <f>+DATOS_[[#This Row],[TOTAL SALARIO Ef]]+DATOS_[[#This Row],[Tot Extrasalarial Ef]]</f>
        <v>28892.633000000002</v>
      </c>
      <c r="CH19" s="303">
        <f>MIN(IF(DATOS_[[#This Row],[Fecha Fin Contrato]]="",$D$4,DATOS_[[#This Row],[Fecha Fin Contrato]]),$D$4)-MAX(DATOS_[[#This Row],[Fecha de Contratación]],$D$3)+1</f>
        <v>366</v>
      </c>
      <c r="CI19" s="304">
        <f>IF(COUNTIFS(DATOS_[id],DATOS_[[#This Row],[id]])&gt;1,DATOS_[[#This Row],[id]],"")</f>
        <v>10</v>
      </c>
      <c r="CJ19" s="325">
        <f>(Inicio!$G$10-DATOS_[[#This Row],[Fecha Nacimiento]])/365.25</f>
        <v>42.058863791923343</v>
      </c>
      <c r="CK19" s="325">
        <f>(Inicio!$G$10-DATOS_[[#This Row],[Fecha de Antigüedad]])/365.25</f>
        <v>27.893223819301848</v>
      </c>
      <c r="CL19" s="325" t="str">
        <f>+VLOOKUP(DATOS_[[#This Row],[Clave de Contrato]],TblTiposContrato13[],3,FALSE)</f>
        <v>Completa</v>
      </c>
      <c r="CM19" s="325" t="str">
        <f>+VLOOKUP(DATOS_[[#This Row],[Clave de Contrato]],TblTiposContrato13[],4,FALSE)</f>
        <v>Indefinido</v>
      </c>
      <c r="CN19" s="325" t="str">
        <f>VLOOKUP(DATOS_[[#This Row],[Edad]],CONTRATOS!TblRngEdad,2,TRUE)</f>
        <v>40 a 45</v>
      </c>
      <c r="CO19" s="325" t="str">
        <f>VLOOKUP(DATOS_[[#This Row],[Antigüedad]],TblRngAntg14[],2,TRUE)</f>
        <v>más de 15</v>
      </c>
    </row>
    <row r="20" spans="2:93" x14ac:dyDescent="0.25">
      <c r="B20" s="146">
        <v>11</v>
      </c>
      <c r="C20" s="146" t="s">
        <v>162</v>
      </c>
      <c r="D20" s="295">
        <v>29930</v>
      </c>
      <c r="E20" s="296" t="s">
        <v>403</v>
      </c>
      <c r="F20" s="296">
        <v>2</v>
      </c>
      <c r="G20" s="296">
        <v>1</v>
      </c>
      <c r="H20" s="297">
        <v>44089</v>
      </c>
      <c r="I20" s="298"/>
      <c r="J20" s="295">
        <v>44089</v>
      </c>
      <c r="K20" s="326"/>
      <c r="L20" s="326"/>
      <c r="M20" s="299">
        <v>1</v>
      </c>
      <c r="N20" s="299"/>
      <c r="O20" s="299"/>
      <c r="P20" s="296">
        <v>100</v>
      </c>
      <c r="Q20" s="146" t="s">
        <v>404</v>
      </c>
      <c r="R20" s="146" t="s">
        <v>405</v>
      </c>
      <c r="S20" s="146" t="s">
        <v>422</v>
      </c>
      <c r="T20" s="146" t="s">
        <v>407</v>
      </c>
      <c r="U20" s="146" t="s">
        <v>400</v>
      </c>
      <c r="V20" s="146" t="s">
        <v>423</v>
      </c>
      <c r="W20" s="146" t="s">
        <v>298</v>
      </c>
      <c r="X20" s="146" t="s">
        <v>304</v>
      </c>
      <c r="Y20" s="146" t="s">
        <v>409</v>
      </c>
      <c r="Z20" s="293"/>
      <c r="AA20" s="294" t="s">
        <v>410</v>
      </c>
      <c r="AB20" s="294">
        <v>2</v>
      </c>
      <c r="AC20" s="296">
        <v>2</v>
      </c>
      <c r="AD20" s="301">
        <v>18547.37</v>
      </c>
      <c r="AE20" s="301">
        <v>16452.63</v>
      </c>
      <c r="AF20" s="301"/>
      <c r="AG20" s="301"/>
      <c r="AH20" s="301">
        <v>5000</v>
      </c>
      <c r="AI20" s="301"/>
      <c r="AJ20" s="301"/>
      <c r="AK20" s="301">
        <v>200</v>
      </c>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2"/>
      <c r="BN20" s="291">
        <f>+MAX($D$3,DATOS_[[#This Row],[Fecha Inicio Sit. Contract.]])</f>
        <v>45292</v>
      </c>
      <c r="BO20" s="291">
        <f>+MIN($D$4,DATOS_[[#This Row],[Fecha Fin Sit. Contract.]])</f>
        <v>45657</v>
      </c>
      <c r="BP20" s="292">
        <f>+DATOS_[[#This Row],[% de jornada]]*IF(DATOS_[[#This Row],[% jornada reducida]]="",1,DATOS_[[#This Row],[% jornada reducida]])</f>
        <v>1</v>
      </c>
      <c r="BQ20" s="292">
        <f>+(DATOS_[[#This Row],[F.fin.cal]]-DATOS_[[#This Row],[F.ini.cal]]+1)/($D$4-$D$3+1)</f>
        <v>1</v>
      </c>
      <c r="BR20" s="322" t="str">
        <f>IF(OR(AND(DATOS_[[#This Row],[Fecha Fin Contrato]]&lt;$D$3,DATOS_[[#This Row],[Fecha Fin Contrato]]&lt;&gt;""),DATOS_[[#This Row],[Fecha de Contratación]]&gt;$D$4),"Fuera","Dentro")</f>
        <v>Dentro</v>
      </c>
      <c r="BS20" s="322" t="str">
        <f t="array" ref="BS20">IF(MAX(IF(DATOS_[id]=DATOS_[[#This Row],[id]],DATOS_[F.fin.cal]))=DATOS_[[#This Row],[F.fin.cal]],"Sí","NO")</f>
        <v>Sí</v>
      </c>
      <c r="BT20" s="292" t="str">
        <f>IF(AND(DATOS_[[#This Row],[% normaliz]]&lt;&gt;1,DATOS_[[#This Row],[% anualiz]]=1),"Sí","NO")</f>
        <v>NO</v>
      </c>
      <c r="BU20" s="292" t="str">
        <f>IF(AND(DATOS_[[#This Row],[% normaliz]]=1,DATOS_[[#This Row],[% anualiz]]&lt;&gt;1),"Sí","NO")</f>
        <v>NO</v>
      </c>
      <c r="BV20" s="292" t="str">
        <f>IF(AND(DATOS_[[#This Row],[% normaliz]]&lt;&gt;1,DATOS_[[#This Row],[% anualiz]]&lt;&gt;1),"Sí","NO")</f>
        <v>NO</v>
      </c>
      <c r="BW20" s="322" t="str">
        <f>+IF(DATOS_[[#This Row],[% normaliz]]*DATOS_[[#This Row],[% anualiz]]=1,"NO","Sí")</f>
        <v>NO</v>
      </c>
      <c r="BX20" s="323">
        <f>(DATOS_[[#This Row],[S.BASE]]*(1/DATOS_[[#This Row],[% normaliz]])*(1/DATOS_[[#This Row],[% anualiz]]))*IF(DATOS_[[#This Row],[Check Equiparado]]="Sí",1,0)</f>
        <v>18547.37</v>
      </c>
      <c r="BY2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21652.63</v>
      </c>
      <c r="BZ20" s="323">
        <f>+DATOS_[[#This Row],[SALARIO BASE Eq]]+DATOS_[[#This Row],[Tot COMPL.SAL Eq]]</f>
        <v>40200</v>
      </c>
      <c r="CA20" s="323">
        <f t="array" ref="CA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 s="323">
        <f>+DATOS_[[#This Row],[TOTAL SALARIO Eq]]+DATOS_[[#This Row],[Tot Extrasalarial Eq]]</f>
        <v>40200</v>
      </c>
      <c r="CC20" s="327">
        <f>DATOS_[[#This Row],[S.BASE]]</f>
        <v>18547.37</v>
      </c>
      <c r="CD20" s="324">
        <f>+SUM(DATOS_[[#This Row],[Conc.Sal.01]:[Conc.Sal.30]])</f>
        <v>21652.63</v>
      </c>
      <c r="CE20" s="324">
        <f>+DATOS_[[#This Row],[SALARIO BASE Ef]]+DATOS_[[#This Row],[Tot COMPL.SAL Ef]]</f>
        <v>40200</v>
      </c>
      <c r="CF20" s="324">
        <f>+SUM(DATOS_[[#This Row],[C.Extra.01]:[C.Extra.05]])</f>
        <v>0</v>
      </c>
      <c r="CG20" s="330">
        <f>+DATOS_[[#This Row],[TOTAL SALARIO Ef]]+DATOS_[[#This Row],[Tot Extrasalarial Ef]]</f>
        <v>40200</v>
      </c>
      <c r="CH20" s="303">
        <f>MIN(IF(DATOS_[[#This Row],[Fecha Fin Contrato]]="",$D$4,DATOS_[[#This Row],[Fecha Fin Contrato]]),$D$4)-MAX(DATOS_[[#This Row],[Fecha de Contratación]],$D$3)+1</f>
        <v>366</v>
      </c>
      <c r="CI20" s="304" t="str">
        <f>IF(COUNTIFS(DATOS_[id],DATOS_[[#This Row],[id]])&gt;1,DATOS_[[#This Row],[id]],"")</f>
        <v/>
      </c>
      <c r="CJ20" s="325">
        <f>(Inicio!$G$10-DATOS_[[#This Row],[Fecha Nacimiento]])/365.25</f>
        <v>43.058179329226554</v>
      </c>
      <c r="CK20" s="325">
        <f>(Inicio!$G$10-DATOS_[[#This Row],[Fecha de Antigüedad]])/365.25</f>
        <v>4.2929500342231348</v>
      </c>
      <c r="CL20" s="325" t="str">
        <f>+VLOOKUP(DATOS_[[#This Row],[Clave de Contrato]],TblTiposContrato13[],3,FALSE)</f>
        <v>Completa</v>
      </c>
      <c r="CM20" s="325" t="str">
        <f>+VLOOKUP(DATOS_[[#This Row],[Clave de Contrato]],TblTiposContrato13[],4,FALSE)</f>
        <v>Indefinido</v>
      </c>
      <c r="CN20" s="325" t="str">
        <f>VLOOKUP(DATOS_[[#This Row],[Edad]],CONTRATOS!TblRngEdad,2,TRUE)</f>
        <v>40 a 45</v>
      </c>
      <c r="CO20" s="325" t="str">
        <f>VLOOKUP(DATOS_[[#This Row],[Antigüedad]],TblRngAntg14[],2,TRUE)</f>
        <v>3 a 5  años</v>
      </c>
    </row>
    <row r="21" spans="2:93" x14ac:dyDescent="0.25">
      <c r="B21" s="146">
        <v>12</v>
      </c>
      <c r="C21" s="146" t="s">
        <v>163</v>
      </c>
      <c r="D21" s="295">
        <v>29930</v>
      </c>
      <c r="E21" s="296" t="s">
        <v>403</v>
      </c>
      <c r="F21" s="296">
        <v>2</v>
      </c>
      <c r="G21" s="296">
        <v>1</v>
      </c>
      <c r="H21" s="297">
        <v>40583</v>
      </c>
      <c r="I21" s="298"/>
      <c r="J21" s="295">
        <v>40583</v>
      </c>
      <c r="K21" s="326"/>
      <c r="L21" s="326"/>
      <c r="M21" s="299">
        <v>1</v>
      </c>
      <c r="N21" s="299"/>
      <c r="O21" s="299"/>
      <c r="P21" s="296">
        <v>100</v>
      </c>
      <c r="Q21" s="146" t="s">
        <v>412</v>
      </c>
      <c r="R21" s="146" t="s">
        <v>418</v>
      </c>
      <c r="S21" s="146" t="s">
        <v>422</v>
      </c>
      <c r="T21" s="146" t="s">
        <v>407</v>
      </c>
      <c r="U21" s="146" t="s">
        <v>400</v>
      </c>
      <c r="V21" s="146" t="s">
        <v>423</v>
      </c>
      <c r="W21" s="146" t="s">
        <v>298</v>
      </c>
      <c r="X21" s="146" t="s">
        <v>304</v>
      </c>
      <c r="Y21" s="146" t="s">
        <v>409</v>
      </c>
      <c r="Z21" s="293"/>
      <c r="AA21" s="294" t="s">
        <v>410</v>
      </c>
      <c r="AB21" s="294">
        <v>2</v>
      </c>
      <c r="AC21" s="296">
        <v>2</v>
      </c>
      <c r="AD21" s="301">
        <v>18547.37</v>
      </c>
      <c r="AE21" s="301">
        <v>10000</v>
      </c>
      <c r="AF21" s="301">
        <v>1483.7895999999998</v>
      </c>
      <c r="AG21" s="301"/>
      <c r="AH21" s="301">
        <v>4000</v>
      </c>
      <c r="AI21" s="301"/>
      <c r="AJ21" s="301"/>
      <c r="AK21" s="301">
        <v>200</v>
      </c>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2"/>
      <c r="BN21" s="291">
        <f>+MAX($D$3,DATOS_[[#This Row],[Fecha Inicio Sit. Contract.]])</f>
        <v>45292</v>
      </c>
      <c r="BO21" s="291">
        <f>+MIN($D$4,DATOS_[[#This Row],[Fecha Fin Sit. Contract.]])</f>
        <v>45657</v>
      </c>
      <c r="BP21" s="292">
        <f>+DATOS_[[#This Row],[% de jornada]]*IF(DATOS_[[#This Row],[% jornada reducida]]="",1,DATOS_[[#This Row],[% jornada reducida]])</f>
        <v>1</v>
      </c>
      <c r="BQ21" s="292">
        <f>+(DATOS_[[#This Row],[F.fin.cal]]-DATOS_[[#This Row],[F.ini.cal]]+1)/($D$4-$D$3+1)</f>
        <v>1</v>
      </c>
      <c r="BR21" s="322" t="str">
        <f>IF(OR(AND(DATOS_[[#This Row],[Fecha Fin Contrato]]&lt;$D$3,DATOS_[[#This Row],[Fecha Fin Contrato]]&lt;&gt;""),DATOS_[[#This Row],[Fecha de Contratación]]&gt;$D$4),"Fuera","Dentro")</f>
        <v>Dentro</v>
      </c>
      <c r="BS21" s="322" t="str">
        <f t="array" ref="BS21">IF(MAX(IF(DATOS_[id]=DATOS_[[#This Row],[id]],DATOS_[F.fin.cal]))=DATOS_[[#This Row],[F.fin.cal]],"Sí","NO")</f>
        <v>Sí</v>
      </c>
      <c r="BT21" s="292" t="str">
        <f>IF(AND(DATOS_[[#This Row],[% normaliz]]&lt;&gt;1,DATOS_[[#This Row],[% anualiz]]=1),"Sí","NO")</f>
        <v>NO</v>
      </c>
      <c r="BU21" s="292" t="str">
        <f>IF(AND(DATOS_[[#This Row],[% normaliz]]=1,DATOS_[[#This Row],[% anualiz]]&lt;&gt;1),"Sí","NO")</f>
        <v>NO</v>
      </c>
      <c r="BV21" s="292" t="str">
        <f>IF(AND(DATOS_[[#This Row],[% normaliz]]&lt;&gt;1,DATOS_[[#This Row],[% anualiz]]&lt;&gt;1),"Sí","NO")</f>
        <v>NO</v>
      </c>
      <c r="BW21" s="322" t="str">
        <f>+IF(DATOS_[[#This Row],[% normaliz]]*DATOS_[[#This Row],[% anualiz]]=1,"NO","Sí")</f>
        <v>NO</v>
      </c>
      <c r="BX21" s="323">
        <f>(DATOS_[[#This Row],[S.BASE]]*(1/DATOS_[[#This Row],[% normaliz]])*(1/DATOS_[[#This Row],[% anualiz]]))*IF(DATOS_[[#This Row],[Check Equiparado]]="Sí",1,0)</f>
        <v>18547.37</v>
      </c>
      <c r="BY2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15683.7896</v>
      </c>
      <c r="BZ21" s="323">
        <f>+DATOS_[[#This Row],[SALARIO BASE Eq]]+DATOS_[[#This Row],[Tot COMPL.SAL Eq]]</f>
        <v>34231.159599999999</v>
      </c>
      <c r="CA21" s="323">
        <f t="array" ref="CA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 s="323">
        <f>+DATOS_[[#This Row],[TOTAL SALARIO Eq]]+DATOS_[[#This Row],[Tot Extrasalarial Eq]]</f>
        <v>34231.159599999999</v>
      </c>
      <c r="CC21" s="327">
        <f>DATOS_[[#This Row],[S.BASE]]</f>
        <v>18547.37</v>
      </c>
      <c r="CD21" s="324">
        <f>+SUM(DATOS_[[#This Row],[Conc.Sal.01]:[Conc.Sal.30]])</f>
        <v>15683.7896</v>
      </c>
      <c r="CE21" s="324">
        <f>+DATOS_[[#This Row],[SALARIO BASE Ef]]+DATOS_[[#This Row],[Tot COMPL.SAL Ef]]</f>
        <v>34231.159599999999</v>
      </c>
      <c r="CF21" s="324">
        <f>+SUM(DATOS_[[#This Row],[C.Extra.01]:[C.Extra.05]])</f>
        <v>0</v>
      </c>
      <c r="CG21" s="330">
        <f>+DATOS_[[#This Row],[TOTAL SALARIO Ef]]+DATOS_[[#This Row],[Tot Extrasalarial Ef]]</f>
        <v>34231.159599999999</v>
      </c>
      <c r="CH21" s="303">
        <f>MIN(IF(DATOS_[[#This Row],[Fecha Fin Contrato]]="",$D$4,DATOS_[[#This Row],[Fecha Fin Contrato]]),$D$4)-MAX(DATOS_[[#This Row],[Fecha de Contratación]],$D$3)+1</f>
        <v>366</v>
      </c>
      <c r="CI21" s="304" t="str">
        <f>IF(COUNTIFS(DATOS_[id],DATOS_[[#This Row],[id]])&gt;1,DATOS_[[#This Row],[id]],"")</f>
        <v/>
      </c>
      <c r="CJ21" s="325">
        <f>(Inicio!$G$10-DATOS_[[#This Row],[Fecha Nacimiento]])/365.25</f>
        <v>43.058179329226554</v>
      </c>
      <c r="CK21" s="325">
        <f>(Inicio!$G$10-DATOS_[[#This Row],[Fecha de Antigüedad]])/365.25</f>
        <v>13.891854893908283</v>
      </c>
      <c r="CL21" s="325" t="str">
        <f>+VLOOKUP(DATOS_[[#This Row],[Clave de Contrato]],TblTiposContrato13[],3,FALSE)</f>
        <v>Completa</v>
      </c>
      <c r="CM21" s="325" t="str">
        <f>+VLOOKUP(DATOS_[[#This Row],[Clave de Contrato]],TblTiposContrato13[],4,FALSE)</f>
        <v>Indefinido</v>
      </c>
      <c r="CN21" s="325" t="str">
        <f>VLOOKUP(DATOS_[[#This Row],[Edad]],CONTRATOS!TblRngEdad,2,TRUE)</f>
        <v>40 a 45</v>
      </c>
      <c r="CO21" s="325" t="str">
        <f>VLOOKUP(DATOS_[[#This Row],[Antigüedad]],TblRngAntg14[],2,TRUE)</f>
        <v>de 10 a 15  años</v>
      </c>
    </row>
    <row r="22" spans="2:93" x14ac:dyDescent="0.25">
      <c r="B22" s="146">
        <v>13</v>
      </c>
      <c r="C22" s="146" t="s">
        <v>162</v>
      </c>
      <c r="D22" s="295">
        <v>33580</v>
      </c>
      <c r="E22" s="296" t="s">
        <v>403</v>
      </c>
      <c r="F22" s="296">
        <v>2</v>
      </c>
      <c r="G22" s="296">
        <v>2</v>
      </c>
      <c r="H22" s="297">
        <v>38574</v>
      </c>
      <c r="I22" s="298"/>
      <c r="J22" s="295">
        <v>38574</v>
      </c>
      <c r="K22" s="326"/>
      <c r="L22" s="326"/>
      <c r="M22" s="299">
        <v>1</v>
      </c>
      <c r="N22" s="299"/>
      <c r="O22" s="299"/>
      <c r="P22" s="296">
        <v>100</v>
      </c>
      <c r="Q22" s="146" t="s">
        <v>404</v>
      </c>
      <c r="R22" s="146" t="s">
        <v>411</v>
      </c>
      <c r="S22" s="146" t="s">
        <v>422</v>
      </c>
      <c r="T22" s="146" t="s">
        <v>407</v>
      </c>
      <c r="U22" s="146" t="s">
        <v>400</v>
      </c>
      <c r="V22" s="146" t="s">
        <v>423</v>
      </c>
      <c r="W22" s="146" t="s">
        <v>298</v>
      </c>
      <c r="X22" s="146" t="s">
        <v>304</v>
      </c>
      <c r="Y22" s="146" t="s">
        <v>409</v>
      </c>
      <c r="Z22" s="293"/>
      <c r="AA22" s="294" t="s">
        <v>410</v>
      </c>
      <c r="AB22" s="294">
        <v>2</v>
      </c>
      <c r="AC22" s="296">
        <v>2</v>
      </c>
      <c r="AD22" s="301">
        <v>18547.37</v>
      </c>
      <c r="AE22" s="301">
        <v>16452.63</v>
      </c>
      <c r="AF22" s="301">
        <v>2225.6843999999996</v>
      </c>
      <c r="AG22" s="301"/>
      <c r="AH22" s="301">
        <v>3200</v>
      </c>
      <c r="AI22" s="301"/>
      <c r="AJ22" s="301"/>
      <c r="AK22" s="301">
        <v>200</v>
      </c>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2"/>
      <c r="BN22" s="291">
        <f>+MAX($D$3,DATOS_[[#This Row],[Fecha Inicio Sit. Contract.]])</f>
        <v>45292</v>
      </c>
      <c r="BO22" s="291">
        <f>+MIN($D$4,DATOS_[[#This Row],[Fecha Fin Sit. Contract.]])</f>
        <v>45657</v>
      </c>
      <c r="BP22" s="292">
        <f>+DATOS_[[#This Row],[% de jornada]]*IF(DATOS_[[#This Row],[% jornada reducida]]="",1,DATOS_[[#This Row],[% jornada reducida]])</f>
        <v>1</v>
      </c>
      <c r="BQ22" s="292">
        <f>+(DATOS_[[#This Row],[F.fin.cal]]-DATOS_[[#This Row],[F.ini.cal]]+1)/($D$4-$D$3+1)</f>
        <v>1</v>
      </c>
      <c r="BR22" s="322" t="str">
        <f>IF(OR(AND(DATOS_[[#This Row],[Fecha Fin Contrato]]&lt;$D$3,DATOS_[[#This Row],[Fecha Fin Contrato]]&lt;&gt;""),DATOS_[[#This Row],[Fecha de Contratación]]&gt;$D$4),"Fuera","Dentro")</f>
        <v>Dentro</v>
      </c>
      <c r="BS22" s="322" t="str">
        <f t="array" ref="BS22">IF(MAX(IF(DATOS_[id]=DATOS_[[#This Row],[id]],DATOS_[F.fin.cal]))=DATOS_[[#This Row],[F.fin.cal]],"Sí","NO")</f>
        <v>Sí</v>
      </c>
      <c r="BT22" s="292" t="str">
        <f>IF(AND(DATOS_[[#This Row],[% normaliz]]&lt;&gt;1,DATOS_[[#This Row],[% anualiz]]=1),"Sí","NO")</f>
        <v>NO</v>
      </c>
      <c r="BU22" s="292" t="str">
        <f>IF(AND(DATOS_[[#This Row],[% normaliz]]=1,DATOS_[[#This Row],[% anualiz]]&lt;&gt;1),"Sí","NO")</f>
        <v>NO</v>
      </c>
      <c r="BV22" s="292" t="str">
        <f>IF(AND(DATOS_[[#This Row],[% normaliz]]&lt;&gt;1,DATOS_[[#This Row],[% anualiz]]&lt;&gt;1),"Sí","NO")</f>
        <v>NO</v>
      </c>
      <c r="BW22" s="322" t="str">
        <f>+IF(DATOS_[[#This Row],[% normaliz]]*DATOS_[[#This Row],[% anualiz]]=1,"NO","Sí")</f>
        <v>NO</v>
      </c>
      <c r="BX22" s="323">
        <f>(DATOS_[[#This Row],[S.BASE]]*(1/DATOS_[[#This Row],[% normaliz]])*(1/DATOS_[[#This Row],[% anualiz]]))*IF(DATOS_[[#This Row],[Check Equiparado]]="Sí",1,0)</f>
        <v>18547.37</v>
      </c>
      <c r="BY2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22078.314399999999</v>
      </c>
      <c r="BZ22" s="323">
        <f>+DATOS_[[#This Row],[SALARIO BASE Eq]]+DATOS_[[#This Row],[Tot COMPL.SAL Eq]]</f>
        <v>40625.684399999998</v>
      </c>
      <c r="CA22" s="323">
        <f t="array" ref="CA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 s="323">
        <f>+DATOS_[[#This Row],[TOTAL SALARIO Eq]]+DATOS_[[#This Row],[Tot Extrasalarial Eq]]</f>
        <v>40625.684399999998</v>
      </c>
      <c r="CC22" s="327">
        <f>DATOS_[[#This Row],[S.BASE]]</f>
        <v>18547.37</v>
      </c>
      <c r="CD22" s="324">
        <f>+SUM(DATOS_[[#This Row],[Conc.Sal.01]:[Conc.Sal.30]])</f>
        <v>22078.314399999999</v>
      </c>
      <c r="CE22" s="324">
        <f>+DATOS_[[#This Row],[SALARIO BASE Ef]]+DATOS_[[#This Row],[Tot COMPL.SAL Ef]]</f>
        <v>40625.684399999998</v>
      </c>
      <c r="CF22" s="324">
        <f>+SUM(DATOS_[[#This Row],[C.Extra.01]:[C.Extra.05]])</f>
        <v>0</v>
      </c>
      <c r="CG22" s="330">
        <f>+DATOS_[[#This Row],[TOTAL SALARIO Ef]]+DATOS_[[#This Row],[Tot Extrasalarial Ef]]</f>
        <v>40625.684399999998</v>
      </c>
      <c r="CH22" s="303">
        <f>MIN(IF(DATOS_[[#This Row],[Fecha Fin Contrato]]="",$D$4,DATOS_[[#This Row],[Fecha Fin Contrato]]),$D$4)-MAX(DATOS_[[#This Row],[Fecha de Contratación]],$D$3)+1</f>
        <v>366</v>
      </c>
      <c r="CI22" s="304" t="str">
        <f>IF(COUNTIFS(DATOS_[id],DATOS_[[#This Row],[id]])&gt;1,DATOS_[[#This Row],[id]],"")</f>
        <v/>
      </c>
      <c r="CJ22" s="325">
        <f>(Inicio!$G$10-DATOS_[[#This Row],[Fecha Nacimiento]])/365.25</f>
        <v>33.065023956194388</v>
      </c>
      <c r="CK22" s="325">
        <f>(Inicio!$G$10-DATOS_[[#This Row],[Fecha de Antigüedad]])/365.25</f>
        <v>19.392197125256672</v>
      </c>
      <c r="CL22" s="325" t="str">
        <f>+VLOOKUP(DATOS_[[#This Row],[Clave de Contrato]],TblTiposContrato13[],3,FALSE)</f>
        <v>Completa</v>
      </c>
      <c r="CM22" s="325" t="str">
        <f>+VLOOKUP(DATOS_[[#This Row],[Clave de Contrato]],TblTiposContrato13[],4,FALSE)</f>
        <v>Indefinido</v>
      </c>
      <c r="CN22" s="325" t="str">
        <f>VLOOKUP(DATOS_[[#This Row],[Edad]],CONTRATOS!TblRngEdad,2,TRUE)</f>
        <v>30 a 35</v>
      </c>
      <c r="CO22" s="325" t="str">
        <f>VLOOKUP(DATOS_[[#This Row],[Antigüedad]],TblRngAntg14[],2,TRUE)</f>
        <v>más de 15</v>
      </c>
    </row>
    <row r="23" spans="2:93" x14ac:dyDescent="0.25">
      <c r="B23" s="146">
        <v>14</v>
      </c>
      <c r="C23" s="146" t="s">
        <v>163</v>
      </c>
      <c r="D23" s="295">
        <v>30295</v>
      </c>
      <c r="E23" s="296" t="s">
        <v>403</v>
      </c>
      <c r="F23" s="296">
        <v>3</v>
      </c>
      <c r="G23" s="296">
        <v>0</v>
      </c>
      <c r="H23" s="297">
        <v>39633</v>
      </c>
      <c r="I23" s="298"/>
      <c r="J23" s="295">
        <v>39633</v>
      </c>
      <c r="K23" s="326"/>
      <c r="L23" s="326"/>
      <c r="M23" s="299">
        <v>1</v>
      </c>
      <c r="N23" s="299"/>
      <c r="O23" s="299"/>
      <c r="P23" s="296">
        <v>100</v>
      </c>
      <c r="Q23" s="146" t="s">
        <v>412</v>
      </c>
      <c r="R23" s="146" t="s">
        <v>418</v>
      </c>
      <c r="S23" s="146" t="s">
        <v>422</v>
      </c>
      <c r="T23" s="146" t="s">
        <v>407</v>
      </c>
      <c r="U23" s="146" t="s">
        <v>400</v>
      </c>
      <c r="V23" s="146" t="s">
        <v>423</v>
      </c>
      <c r="W23" s="146" t="s">
        <v>298</v>
      </c>
      <c r="X23" s="146" t="s">
        <v>304</v>
      </c>
      <c r="Y23" s="146" t="s">
        <v>409</v>
      </c>
      <c r="Z23" s="293"/>
      <c r="AA23" s="294" t="s">
        <v>410</v>
      </c>
      <c r="AB23" s="294">
        <v>2</v>
      </c>
      <c r="AC23" s="296">
        <v>2</v>
      </c>
      <c r="AD23" s="301">
        <v>18547.37</v>
      </c>
      <c r="AE23" s="301">
        <v>12000</v>
      </c>
      <c r="AF23" s="301">
        <v>1483.7895999999998</v>
      </c>
      <c r="AG23" s="301"/>
      <c r="AH23" s="301">
        <v>5000</v>
      </c>
      <c r="AI23" s="301"/>
      <c r="AJ23" s="301"/>
      <c r="AK23" s="301">
        <v>200</v>
      </c>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2"/>
      <c r="BN23" s="291">
        <f>+MAX($D$3,DATOS_[[#This Row],[Fecha Inicio Sit. Contract.]])</f>
        <v>45292</v>
      </c>
      <c r="BO23" s="291">
        <f>+MIN($D$4,DATOS_[[#This Row],[Fecha Fin Sit. Contract.]])</f>
        <v>45657</v>
      </c>
      <c r="BP23" s="292">
        <f>+DATOS_[[#This Row],[% de jornada]]*IF(DATOS_[[#This Row],[% jornada reducida]]="",1,DATOS_[[#This Row],[% jornada reducida]])</f>
        <v>1</v>
      </c>
      <c r="BQ23" s="292">
        <f>+(DATOS_[[#This Row],[F.fin.cal]]-DATOS_[[#This Row],[F.ini.cal]]+1)/($D$4-$D$3+1)</f>
        <v>1</v>
      </c>
      <c r="BR23" s="322" t="str">
        <f>IF(OR(AND(DATOS_[[#This Row],[Fecha Fin Contrato]]&lt;$D$3,DATOS_[[#This Row],[Fecha Fin Contrato]]&lt;&gt;""),DATOS_[[#This Row],[Fecha de Contratación]]&gt;$D$4),"Fuera","Dentro")</f>
        <v>Dentro</v>
      </c>
      <c r="BS23" s="322" t="str">
        <f t="array" ref="BS23">IF(MAX(IF(DATOS_[id]=DATOS_[[#This Row],[id]],DATOS_[F.fin.cal]))=DATOS_[[#This Row],[F.fin.cal]],"Sí","NO")</f>
        <v>Sí</v>
      </c>
      <c r="BT23" s="292" t="str">
        <f>IF(AND(DATOS_[[#This Row],[% normaliz]]&lt;&gt;1,DATOS_[[#This Row],[% anualiz]]=1),"Sí","NO")</f>
        <v>NO</v>
      </c>
      <c r="BU23" s="292" t="str">
        <f>IF(AND(DATOS_[[#This Row],[% normaliz]]=1,DATOS_[[#This Row],[% anualiz]]&lt;&gt;1),"Sí","NO")</f>
        <v>NO</v>
      </c>
      <c r="BV23" s="292" t="str">
        <f>IF(AND(DATOS_[[#This Row],[% normaliz]]&lt;&gt;1,DATOS_[[#This Row],[% anualiz]]&lt;&gt;1),"Sí","NO")</f>
        <v>NO</v>
      </c>
      <c r="BW23" s="322" t="str">
        <f>+IF(DATOS_[[#This Row],[% normaliz]]*DATOS_[[#This Row],[% anualiz]]=1,"NO","Sí")</f>
        <v>NO</v>
      </c>
      <c r="BX23" s="323">
        <f>(DATOS_[[#This Row],[S.BASE]]*(1/DATOS_[[#This Row],[% normaliz]])*(1/DATOS_[[#This Row],[% anualiz]]))*IF(DATOS_[[#This Row],[Check Equiparado]]="Sí",1,0)</f>
        <v>18547.37</v>
      </c>
      <c r="BY2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18683.7896</v>
      </c>
      <c r="BZ23" s="323">
        <f>+DATOS_[[#This Row],[SALARIO BASE Eq]]+DATOS_[[#This Row],[Tot COMPL.SAL Eq]]</f>
        <v>37231.159599999999</v>
      </c>
      <c r="CA23" s="323">
        <f t="array" ref="CA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 s="323">
        <f>+DATOS_[[#This Row],[TOTAL SALARIO Eq]]+DATOS_[[#This Row],[Tot Extrasalarial Eq]]</f>
        <v>37231.159599999999</v>
      </c>
      <c r="CC23" s="327">
        <f>DATOS_[[#This Row],[S.BASE]]</f>
        <v>18547.37</v>
      </c>
      <c r="CD23" s="324">
        <f>+SUM(DATOS_[[#This Row],[Conc.Sal.01]:[Conc.Sal.30]])</f>
        <v>18683.7896</v>
      </c>
      <c r="CE23" s="324">
        <f>+DATOS_[[#This Row],[SALARIO BASE Ef]]+DATOS_[[#This Row],[Tot COMPL.SAL Ef]]</f>
        <v>37231.159599999999</v>
      </c>
      <c r="CF23" s="324">
        <f>+SUM(DATOS_[[#This Row],[C.Extra.01]:[C.Extra.05]])</f>
        <v>0</v>
      </c>
      <c r="CG23" s="330">
        <f>+DATOS_[[#This Row],[TOTAL SALARIO Ef]]+DATOS_[[#This Row],[Tot Extrasalarial Ef]]</f>
        <v>37231.159599999999</v>
      </c>
      <c r="CH23" s="303">
        <f>MIN(IF(DATOS_[[#This Row],[Fecha Fin Contrato]]="",$D$4,DATOS_[[#This Row],[Fecha Fin Contrato]]),$D$4)-MAX(DATOS_[[#This Row],[Fecha de Contratación]],$D$3)+1</f>
        <v>366</v>
      </c>
      <c r="CI23" s="304" t="str">
        <f>IF(COUNTIFS(DATOS_[id],DATOS_[[#This Row],[id]])&gt;1,DATOS_[[#This Row],[id]],"")</f>
        <v/>
      </c>
      <c r="CJ23" s="325">
        <f>(Inicio!$G$10-DATOS_[[#This Row],[Fecha Nacimiento]])/365.25</f>
        <v>42.058863791923343</v>
      </c>
      <c r="CK23" s="325">
        <f>(Inicio!$G$10-DATOS_[[#This Row],[Fecha de Antigüedad]])/365.25</f>
        <v>16.492813141683779</v>
      </c>
      <c r="CL23" s="325" t="str">
        <f>+VLOOKUP(DATOS_[[#This Row],[Clave de Contrato]],TblTiposContrato13[],3,FALSE)</f>
        <v>Completa</v>
      </c>
      <c r="CM23" s="325" t="str">
        <f>+VLOOKUP(DATOS_[[#This Row],[Clave de Contrato]],TblTiposContrato13[],4,FALSE)</f>
        <v>Indefinido</v>
      </c>
      <c r="CN23" s="325" t="str">
        <f>VLOOKUP(DATOS_[[#This Row],[Edad]],CONTRATOS!TblRngEdad,2,TRUE)</f>
        <v>40 a 45</v>
      </c>
      <c r="CO23" s="325" t="str">
        <f>VLOOKUP(DATOS_[[#This Row],[Antigüedad]],TblRngAntg14[],2,TRUE)</f>
        <v>más de 15</v>
      </c>
    </row>
    <row r="24" spans="2:93" x14ac:dyDescent="0.25">
      <c r="B24" s="146">
        <v>15</v>
      </c>
      <c r="C24" s="146" t="s">
        <v>162</v>
      </c>
      <c r="D24" s="295">
        <v>31025</v>
      </c>
      <c r="E24" s="296" t="s">
        <v>403</v>
      </c>
      <c r="F24" s="296">
        <v>3</v>
      </c>
      <c r="G24" s="296">
        <v>0</v>
      </c>
      <c r="H24" s="297">
        <v>35725</v>
      </c>
      <c r="I24" s="298"/>
      <c r="J24" s="295">
        <v>35725</v>
      </c>
      <c r="K24" s="326"/>
      <c r="L24" s="326"/>
      <c r="M24" s="299">
        <v>1</v>
      </c>
      <c r="N24" s="299"/>
      <c r="O24" s="299"/>
      <c r="P24" s="296">
        <v>100</v>
      </c>
      <c r="Q24" s="146" t="s">
        <v>412</v>
      </c>
      <c r="R24" s="146" t="s">
        <v>418</v>
      </c>
      <c r="S24" s="146" t="s">
        <v>422</v>
      </c>
      <c r="T24" s="146" t="s">
        <v>407</v>
      </c>
      <c r="U24" s="146" t="s">
        <v>400</v>
      </c>
      <c r="V24" s="146" t="s">
        <v>423</v>
      </c>
      <c r="W24" s="146" t="s">
        <v>298</v>
      </c>
      <c r="X24" s="146" t="s">
        <v>304</v>
      </c>
      <c r="Y24" s="146" t="s">
        <v>409</v>
      </c>
      <c r="Z24" s="293"/>
      <c r="AA24" s="294" t="s">
        <v>410</v>
      </c>
      <c r="AB24" s="294">
        <v>2</v>
      </c>
      <c r="AC24" s="296">
        <v>2</v>
      </c>
      <c r="AD24" s="301">
        <v>18547.37</v>
      </c>
      <c r="AE24" s="301">
        <v>16452.63</v>
      </c>
      <c r="AF24" s="301">
        <v>3709.4740000000002</v>
      </c>
      <c r="AG24" s="301"/>
      <c r="AH24" s="301">
        <v>2500</v>
      </c>
      <c r="AI24" s="301"/>
      <c r="AJ24" s="301"/>
      <c r="AK24" s="301">
        <v>200</v>
      </c>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2"/>
      <c r="BN24" s="291">
        <f>+MAX($D$3,DATOS_[[#This Row],[Fecha Inicio Sit. Contract.]])</f>
        <v>45292</v>
      </c>
      <c r="BO24" s="291">
        <f>+MIN($D$4,DATOS_[[#This Row],[Fecha Fin Sit. Contract.]])</f>
        <v>45657</v>
      </c>
      <c r="BP24" s="292">
        <f>+DATOS_[[#This Row],[% de jornada]]*IF(DATOS_[[#This Row],[% jornada reducida]]="",1,DATOS_[[#This Row],[% jornada reducida]])</f>
        <v>1</v>
      </c>
      <c r="BQ24" s="292">
        <f>+(DATOS_[[#This Row],[F.fin.cal]]-DATOS_[[#This Row],[F.ini.cal]]+1)/($D$4-$D$3+1)</f>
        <v>1</v>
      </c>
      <c r="BR24" s="322" t="str">
        <f>IF(OR(AND(DATOS_[[#This Row],[Fecha Fin Contrato]]&lt;$D$3,DATOS_[[#This Row],[Fecha Fin Contrato]]&lt;&gt;""),DATOS_[[#This Row],[Fecha de Contratación]]&gt;$D$4),"Fuera","Dentro")</f>
        <v>Dentro</v>
      </c>
      <c r="BS24" s="322" t="str">
        <f t="array" ref="BS24">IF(MAX(IF(DATOS_[id]=DATOS_[[#This Row],[id]],DATOS_[F.fin.cal]))=DATOS_[[#This Row],[F.fin.cal]],"Sí","NO")</f>
        <v>Sí</v>
      </c>
      <c r="BT24" s="292" t="str">
        <f>IF(AND(DATOS_[[#This Row],[% normaliz]]&lt;&gt;1,DATOS_[[#This Row],[% anualiz]]=1),"Sí","NO")</f>
        <v>NO</v>
      </c>
      <c r="BU24" s="292" t="str">
        <f>IF(AND(DATOS_[[#This Row],[% normaliz]]=1,DATOS_[[#This Row],[% anualiz]]&lt;&gt;1),"Sí","NO")</f>
        <v>NO</v>
      </c>
      <c r="BV24" s="292" t="str">
        <f>IF(AND(DATOS_[[#This Row],[% normaliz]]&lt;&gt;1,DATOS_[[#This Row],[% anualiz]]&lt;&gt;1),"Sí","NO")</f>
        <v>NO</v>
      </c>
      <c r="BW24" s="322" t="str">
        <f>+IF(DATOS_[[#This Row],[% normaliz]]*DATOS_[[#This Row],[% anualiz]]=1,"NO","Sí")</f>
        <v>NO</v>
      </c>
      <c r="BX24" s="323">
        <f>(DATOS_[[#This Row],[S.BASE]]*(1/DATOS_[[#This Row],[% normaliz]])*(1/DATOS_[[#This Row],[% anualiz]]))*IF(DATOS_[[#This Row],[Check Equiparado]]="Sí",1,0)</f>
        <v>18547.37</v>
      </c>
      <c r="BY2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22862.103999999999</v>
      </c>
      <c r="BZ24" s="323">
        <f>+DATOS_[[#This Row],[SALARIO BASE Eq]]+DATOS_[[#This Row],[Tot COMPL.SAL Eq]]</f>
        <v>41409.474000000002</v>
      </c>
      <c r="CA24" s="323">
        <f t="array" ref="CA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 s="323">
        <f>+DATOS_[[#This Row],[TOTAL SALARIO Eq]]+DATOS_[[#This Row],[Tot Extrasalarial Eq]]</f>
        <v>41409.474000000002</v>
      </c>
      <c r="CC24" s="327">
        <f>DATOS_[[#This Row],[S.BASE]]</f>
        <v>18547.37</v>
      </c>
      <c r="CD24" s="324">
        <f>+SUM(DATOS_[[#This Row],[Conc.Sal.01]:[Conc.Sal.30]])</f>
        <v>22862.103999999999</v>
      </c>
      <c r="CE24" s="324">
        <f>+DATOS_[[#This Row],[SALARIO BASE Ef]]+DATOS_[[#This Row],[Tot COMPL.SAL Ef]]</f>
        <v>41409.474000000002</v>
      </c>
      <c r="CF24" s="324">
        <f>+SUM(DATOS_[[#This Row],[C.Extra.01]:[C.Extra.05]])</f>
        <v>0</v>
      </c>
      <c r="CG24" s="330">
        <f>+DATOS_[[#This Row],[TOTAL SALARIO Ef]]+DATOS_[[#This Row],[Tot Extrasalarial Ef]]</f>
        <v>41409.474000000002</v>
      </c>
      <c r="CH24" s="303">
        <f>MIN(IF(DATOS_[[#This Row],[Fecha Fin Contrato]]="",$D$4,DATOS_[[#This Row],[Fecha Fin Contrato]]),$D$4)-MAX(DATOS_[[#This Row],[Fecha de Contratación]],$D$3)+1</f>
        <v>366</v>
      </c>
      <c r="CI24" s="304" t="str">
        <f>IF(COUNTIFS(DATOS_[id],DATOS_[[#This Row],[id]])&gt;1,DATOS_[[#This Row],[id]],"")</f>
        <v/>
      </c>
      <c r="CJ24" s="325">
        <f>(Inicio!$G$10-DATOS_[[#This Row],[Fecha Nacimiento]])/365.25</f>
        <v>40.060232717316907</v>
      </c>
      <c r="CK24" s="325">
        <f>(Inicio!$G$10-DATOS_[[#This Row],[Fecha de Antigüedad]])/365.25</f>
        <v>27.192334017796028</v>
      </c>
      <c r="CL24" s="325" t="str">
        <f>+VLOOKUP(DATOS_[[#This Row],[Clave de Contrato]],TblTiposContrato13[],3,FALSE)</f>
        <v>Completa</v>
      </c>
      <c r="CM24" s="325" t="str">
        <f>+VLOOKUP(DATOS_[[#This Row],[Clave de Contrato]],TblTiposContrato13[],4,FALSE)</f>
        <v>Indefinido</v>
      </c>
      <c r="CN24" s="325" t="str">
        <f>VLOOKUP(DATOS_[[#This Row],[Edad]],CONTRATOS!TblRngEdad,2,TRUE)</f>
        <v>40 a 45</v>
      </c>
      <c r="CO24" s="325" t="str">
        <f>VLOOKUP(DATOS_[[#This Row],[Antigüedad]],TblRngAntg14[],2,TRUE)</f>
        <v>más de 15</v>
      </c>
    </row>
    <row r="25" spans="2:93" x14ac:dyDescent="0.25">
      <c r="B25" s="146">
        <v>16</v>
      </c>
      <c r="C25" s="146" t="s">
        <v>163</v>
      </c>
      <c r="D25" s="295">
        <v>32485</v>
      </c>
      <c r="E25" s="296" t="s">
        <v>403</v>
      </c>
      <c r="F25" s="296">
        <v>3</v>
      </c>
      <c r="G25" s="296">
        <v>0</v>
      </c>
      <c r="H25" s="297">
        <v>44053</v>
      </c>
      <c r="I25" s="298"/>
      <c r="J25" s="295">
        <v>44053</v>
      </c>
      <c r="K25" s="326"/>
      <c r="L25" s="326"/>
      <c r="M25" s="299">
        <v>1</v>
      </c>
      <c r="N25" s="299"/>
      <c r="O25" s="299"/>
      <c r="P25" s="296">
        <v>100</v>
      </c>
      <c r="Q25" s="146" t="s">
        <v>404</v>
      </c>
      <c r="R25" s="146" t="s">
        <v>416</v>
      </c>
      <c r="S25" s="146" t="s">
        <v>422</v>
      </c>
      <c r="T25" s="146" t="s">
        <v>407</v>
      </c>
      <c r="U25" s="146" t="s">
        <v>400</v>
      </c>
      <c r="V25" s="146" t="s">
        <v>423</v>
      </c>
      <c r="W25" s="146" t="s">
        <v>298</v>
      </c>
      <c r="X25" s="146" t="s">
        <v>304</v>
      </c>
      <c r="Y25" s="146" t="s">
        <v>409</v>
      </c>
      <c r="Z25" s="293"/>
      <c r="AA25" s="294" t="s">
        <v>410</v>
      </c>
      <c r="AB25" s="294">
        <v>2</v>
      </c>
      <c r="AC25" s="296">
        <v>2</v>
      </c>
      <c r="AD25" s="301">
        <v>18547.37</v>
      </c>
      <c r="AE25" s="301">
        <v>16452.63</v>
      </c>
      <c r="AF25" s="301"/>
      <c r="AG25" s="301"/>
      <c r="AH25" s="301">
        <v>4000</v>
      </c>
      <c r="AI25" s="301"/>
      <c r="AJ25" s="301"/>
      <c r="AK25" s="301">
        <v>200</v>
      </c>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2"/>
      <c r="BN25" s="291">
        <f>+MAX($D$3,DATOS_[[#This Row],[Fecha Inicio Sit. Contract.]])</f>
        <v>45292</v>
      </c>
      <c r="BO25" s="291">
        <f>+MIN($D$4,DATOS_[[#This Row],[Fecha Fin Sit. Contract.]])</f>
        <v>45657</v>
      </c>
      <c r="BP25" s="292">
        <f>+DATOS_[[#This Row],[% de jornada]]*IF(DATOS_[[#This Row],[% jornada reducida]]="",1,DATOS_[[#This Row],[% jornada reducida]])</f>
        <v>1</v>
      </c>
      <c r="BQ25" s="292">
        <f>+(DATOS_[[#This Row],[F.fin.cal]]-DATOS_[[#This Row],[F.ini.cal]]+1)/($D$4-$D$3+1)</f>
        <v>1</v>
      </c>
      <c r="BR25" s="322" t="str">
        <f>IF(OR(AND(DATOS_[[#This Row],[Fecha Fin Contrato]]&lt;$D$3,DATOS_[[#This Row],[Fecha Fin Contrato]]&lt;&gt;""),DATOS_[[#This Row],[Fecha de Contratación]]&gt;$D$4),"Fuera","Dentro")</f>
        <v>Dentro</v>
      </c>
      <c r="BS25" s="322" t="str">
        <f t="array" ref="BS25">IF(MAX(IF(DATOS_[id]=DATOS_[[#This Row],[id]],DATOS_[F.fin.cal]))=DATOS_[[#This Row],[F.fin.cal]],"Sí","NO")</f>
        <v>Sí</v>
      </c>
      <c r="BT25" s="292" t="str">
        <f>IF(AND(DATOS_[[#This Row],[% normaliz]]&lt;&gt;1,DATOS_[[#This Row],[% anualiz]]=1),"Sí","NO")</f>
        <v>NO</v>
      </c>
      <c r="BU25" s="292" t="str">
        <f>IF(AND(DATOS_[[#This Row],[% normaliz]]=1,DATOS_[[#This Row],[% anualiz]]&lt;&gt;1),"Sí","NO")</f>
        <v>NO</v>
      </c>
      <c r="BV25" s="292" t="str">
        <f>IF(AND(DATOS_[[#This Row],[% normaliz]]&lt;&gt;1,DATOS_[[#This Row],[% anualiz]]&lt;&gt;1),"Sí","NO")</f>
        <v>NO</v>
      </c>
      <c r="BW25" s="322" t="str">
        <f>+IF(DATOS_[[#This Row],[% normaliz]]*DATOS_[[#This Row],[% anualiz]]=1,"NO","Sí")</f>
        <v>NO</v>
      </c>
      <c r="BX25" s="323">
        <f>(DATOS_[[#This Row],[S.BASE]]*(1/DATOS_[[#This Row],[% normaliz]])*(1/DATOS_[[#This Row],[% anualiz]]))*IF(DATOS_[[#This Row],[Check Equiparado]]="Sí",1,0)</f>
        <v>18547.37</v>
      </c>
      <c r="BY2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20652.63</v>
      </c>
      <c r="BZ25" s="323">
        <f>+DATOS_[[#This Row],[SALARIO BASE Eq]]+DATOS_[[#This Row],[Tot COMPL.SAL Eq]]</f>
        <v>39200</v>
      </c>
      <c r="CA25" s="323">
        <f t="array" ref="CA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 s="323">
        <f>+DATOS_[[#This Row],[TOTAL SALARIO Eq]]+DATOS_[[#This Row],[Tot Extrasalarial Eq]]</f>
        <v>39200</v>
      </c>
      <c r="CC25" s="327">
        <f>DATOS_[[#This Row],[S.BASE]]</f>
        <v>18547.37</v>
      </c>
      <c r="CD25" s="324">
        <f>+SUM(DATOS_[[#This Row],[Conc.Sal.01]:[Conc.Sal.30]])</f>
        <v>20652.63</v>
      </c>
      <c r="CE25" s="324">
        <f>+DATOS_[[#This Row],[SALARIO BASE Ef]]+DATOS_[[#This Row],[Tot COMPL.SAL Ef]]</f>
        <v>39200</v>
      </c>
      <c r="CF25" s="324">
        <f>+SUM(DATOS_[[#This Row],[C.Extra.01]:[C.Extra.05]])</f>
        <v>0</v>
      </c>
      <c r="CG25" s="330">
        <f>+DATOS_[[#This Row],[TOTAL SALARIO Ef]]+DATOS_[[#This Row],[Tot Extrasalarial Ef]]</f>
        <v>39200</v>
      </c>
      <c r="CH25" s="303">
        <f>MIN(IF(DATOS_[[#This Row],[Fecha Fin Contrato]]="",$D$4,DATOS_[[#This Row],[Fecha Fin Contrato]]),$D$4)-MAX(DATOS_[[#This Row],[Fecha de Contratación]],$D$3)+1</f>
        <v>366</v>
      </c>
      <c r="CI25" s="304" t="str">
        <f>IF(COUNTIFS(DATOS_[id],DATOS_[[#This Row],[id]])&gt;1,DATOS_[[#This Row],[id]],"")</f>
        <v/>
      </c>
      <c r="CJ25" s="325">
        <f>(Inicio!$G$10-DATOS_[[#This Row],[Fecha Nacimiento]])/365.25</f>
        <v>36.062970568104035</v>
      </c>
      <c r="CK25" s="325">
        <f>(Inicio!$G$10-DATOS_[[#This Row],[Fecha de Antigüedad]])/365.25</f>
        <v>4.3915126625598901</v>
      </c>
      <c r="CL25" s="325" t="str">
        <f>+VLOOKUP(DATOS_[[#This Row],[Clave de Contrato]],TblTiposContrato13[],3,FALSE)</f>
        <v>Completa</v>
      </c>
      <c r="CM25" s="325" t="str">
        <f>+VLOOKUP(DATOS_[[#This Row],[Clave de Contrato]],TblTiposContrato13[],4,FALSE)</f>
        <v>Indefinido</v>
      </c>
      <c r="CN25" s="325" t="str">
        <f>VLOOKUP(DATOS_[[#This Row],[Edad]],CONTRATOS!TblRngEdad,2,TRUE)</f>
        <v>35 a 40</v>
      </c>
      <c r="CO25" s="325" t="str">
        <f>VLOOKUP(DATOS_[[#This Row],[Antigüedad]],TblRngAntg14[],2,TRUE)</f>
        <v>3 a 5  años</v>
      </c>
    </row>
    <row r="26" spans="2:93" x14ac:dyDescent="0.25">
      <c r="B26" s="146">
        <v>17</v>
      </c>
      <c r="C26" s="146" t="s">
        <v>162</v>
      </c>
      <c r="D26" s="295">
        <v>26280</v>
      </c>
      <c r="E26" s="296" t="s">
        <v>403</v>
      </c>
      <c r="F26" s="296">
        <v>2</v>
      </c>
      <c r="G26" s="296">
        <v>3</v>
      </c>
      <c r="H26" s="297">
        <v>43943</v>
      </c>
      <c r="I26" s="298"/>
      <c r="J26" s="295">
        <v>43943</v>
      </c>
      <c r="K26" s="326"/>
      <c r="L26" s="326"/>
      <c r="M26" s="299">
        <v>0.8</v>
      </c>
      <c r="N26" s="299"/>
      <c r="O26" s="299"/>
      <c r="P26" s="296">
        <v>100</v>
      </c>
      <c r="Q26" s="146" t="s">
        <v>404</v>
      </c>
      <c r="R26" s="146" t="s">
        <v>411</v>
      </c>
      <c r="S26" s="146" t="s">
        <v>424</v>
      </c>
      <c r="T26" s="146" t="s">
        <v>407</v>
      </c>
      <c r="U26" s="146" t="s">
        <v>400</v>
      </c>
      <c r="V26" s="146" t="s">
        <v>425</v>
      </c>
      <c r="W26" s="146" t="s">
        <v>299</v>
      </c>
      <c r="X26" s="146" t="s">
        <v>310</v>
      </c>
      <c r="Y26" s="146" t="s">
        <v>409</v>
      </c>
      <c r="Z26" s="293"/>
      <c r="AA26" s="294" t="s">
        <v>426</v>
      </c>
      <c r="AB26" s="294">
        <v>4</v>
      </c>
      <c r="AC26" s="296">
        <v>2</v>
      </c>
      <c r="AD26" s="301">
        <v>13813.064000000002</v>
      </c>
      <c r="AE26" s="301">
        <v>2986.9359999999979</v>
      </c>
      <c r="AF26" s="301"/>
      <c r="AG26" s="301"/>
      <c r="AH26" s="301"/>
      <c r="AI26" s="301"/>
      <c r="AJ26" s="301"/>
      <c r="AK26" s="301">
        <v>80</v>
      </c>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2"/>
      <c r="BN26" s="291">
        <f>+MAX($D$3,DATOS_[[#This Row],[Fecha Inicio Sit. Contract.]])</f>
        <v>45292</v>
      </c>
      <c r="BO26" s="291">
        <f>+MIN($D$4,DATOS_[[#This Row],[Fecha Fin Sit. Contract.]])</f>
        <v>45657</v>
      </c>
      <c r="BP26" s="292">
        <f>+DATOS_[[#This Row],[% de jornada]]*IF(DATOS_[[#This Row],[% jornada reducida]]="",1,DATOS_[[#This Row],[% jornada reducida]])</f>
        <v>0.8</v>
      </c>
      <c r="BQ26" s="292">
        <f>+(DATOS_[[#This Row],[F.fin.cal]]-DATOS_[[#This Row],[F.ini.cal]]+1)/($D$4-$D$3+1)</f>
        <v>1</v>
      </c>
      <c r="BR26" s="322" t="str">
        <f>IF(OR(AND(DATOS_[[#This Row],[Fecha Fin Contrato]]&lt;$D$3,DATOS_[[#This Row],[Fecha Fin Contrato]]&lt;&gt;""),DATOS_[[#This Row],[Fecha de Contratación]]&gt;$D$4),"Fuera","Dentro")</f>
        <v>Dentro</v>
      </c>
      <c r="BS26" s="322" t="str">
        <f t="array" ref="BS26">IF(MAX(IF(DATOS_[id]=DATOS_[[#This Row],[id]],DATOS_[F.fin.cal]))=DATOS_[[#This Row],[F.fin.cal]],"Sí","NO")</f>
        <v>Sí</v>
      </c>
      <c r="BT26" s="292" t="str">
        <f>IF(AND(DATOS_[[#This Row],[% normaliz]]&lt;&gt;1,DATOS_[[#This Row],[% anualiz]]=1),"Sí","NO")</f>
        <v>Sí</v>
      </c>
      <c r="BU26" s="292" t="str">
        <f>IF(AND(DATOS_[[#This Row],[% normaliz]]=1,DATOS_[[#This Row],[% anualiz]]&lt;&gt;1),"Sí","NO")</f>
        <v>NO</v>
      </c>
      <c r="BV26" s="292" t="str">
        <f>IF(AND(DATOS_[[#This Row],[% normaliz]]&lt;&gt;1,DATOS_[[#This Row],[% anualiz]]&lt;&gt;1),"Sí","NO")</f>
        <v>NO</v>
      </c>
      <c r="BW26" s="322" t="str">
        <f>+IF(DATOS_[[#This Row],[% normaliz]]*DATOS_[[#This Row],[% anualiz]]=1,"NO","Sí")</f>
        <v>Sí</v>
      </c>
      <c r="BX26" s="323">
        <f>(DATOS_[[#This Row],[S.BASE]]*(1/DATOS_[[#This Row],[% normaliz]])*(1/DATOS_[[#This Row],[% anualiz]]))*IF(DATOS_[[#This Row],[Check Equiparado]]="Sí",1,0)</f>
        <v>17266.330000000002</v>
      </c>
      <c r="BY2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3813.6699999999973</v>
      </c>
      <c r="BZ26" s="323">
        <f>+DATOS_[[#This Row],[SALARIO BASE Eq]]+DATOS_[[#This Row],[Tot COMPL.SAL Eq]]</f>
        <v>21080</v>
      </c>
      <c r="CA26" s="323">
        <f t="array" ref="CA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 s="323">
        <f>+DATOS_[[#This Row],[TOTAL SALARIO Eq]]+DATOS_[[#This Row],[Tot Extrasalarial Eq]]</f>
        <v>21080</v>
      </c>
      <c r="CC26" s="327">
        <f>DATOS_[[#This Row],[S.BASE]]</f>
        <v>13813.064000000002</v>
      </c>
      <c r="CD26" s="324">
        <f>+SUM(DATOS_[[#This Row],[Conc.Sal.01]:[Conc.Sal.30]])</f>
        <v>3066.9359999999979</v>
      </c>
      <c r="CE26" s="324">
        <f>+DATOS_[[#This Row],[SALARIO BASE Ef]]+DATOS_[[#This Row],[Tot COMPL.SAL Ef]]</f>
        <v>16880</v>
      </c>
      <c r="CF26" s="324">
        <f>+SUM(DATOS_[[#This Row],[C.Extra.01]:[C.Extra.05]])</f>
        <v>0</v>
      </c>
      <c r="CG26" s="330">
        <f>+DATOS_[[#This Row],[TOTAL SALARIO Ef]]+DATOS_[[#This Row],[Tot Extrasalarial Ef]]</f>
        <v>16880</v>
      </c>
      <c r="CH26" s="303">
        <f>MIN(IF(DATOS_[[#This Row],[Fecha Fin Contrato]]="",$D$4,DATOS_[[#This Row],[Fecha Fin Contrato]]),$D$4)-MAX(DATOS_[[#This Row],[Fecha de Contratación]],$D$3)+1</f>
        <v>366</v>
      </c>
      <c r="CI26" s="304" t="str">
        <f>IF(COUNTIFS(DATOS_[id],DATOS_[[#This Row],[id]])&gt;1,DATOS_[[#This Row],[id]],"")</f>
        <v/>
      </c>
      <c r="CJ26" s="325">
        <f>(Inicio!$G$10-DATOS_[[#This Row],[Fecha Nacimiento]])/365.25</f>
        <v>53.051334702258728</v>
      </c>
      <c r="CK26" s="325">
        <f>(Inicio!$G$10-DATOS_[[#This Row],[Fecha de Antigüedad]])/365.25</f>
        <v>4.6926762491444221</v>
      </c>
      <c r="CL26" s="325" t="str">
        <f>+VLOOKUP(DATOS_[[#This Row],[Clave de Contrato]],TblTiposContrato13[],3,FALSE)</f>
        <v>Completa</v>
      </c>
      <c r="CM26" s="325" t="str">
        <f>+VLOOKUP(DATOS_[[#This Row],[Clave de Contrato]],TblTiposContrato13[],4,FALSE)</f>
        <v>Indefinido</v>
      </c>
      <c r="CN26" s="325" t="str">
        <f>VLOOKUP(DATOS_[[#This Row],[Edad]],CONTRATOS!TblRngEdad,2,TRUE)</f>
        <v>50 a 55</v>
      </c>
      <c r="CO26" s="325" t="str">
        <f>VLOOKUP(DATOS_[[#This Row],[Antigüedad]],TblRngAntg14[],2,TRUE)</f>
        <v>3 a 5  años</v>
      </c>
    </row>
    <row r="27" spans="2:93" x14ac:dyDescent="0.25">
      <c r="B27" s="146">
        <v>18</v>
      </c>
      <c r="C27" s="146" t="s">
        <v>163</v>
      </c>
      <c r="D27" s="295">
        <v>36135</v>
      </c>
      <c r="E27" s="296" t="s">
        <v>403</v>
      </c>
      <c r="F27" s="296">
        <v>2</v>
      </c>
      <c r="G27" s="296">
        <v>1</v>
      </c>
      <c r="H27" s="297">
        <v>44044</v>
      </c>
      <c r="I27" s="298">
        <v>44165</v>
      </c>
      <c r="J27" s="295">
        <v>44044</v>
      </c>
      <c r="K27" s="326">
        <v>44044</v>
      </c>
      <c r="L27" s="326">
        <v>44165</v>
      </c>
      <c r="M27" s="299">
        <v>1</v>
      </c>
      <c r="N27" s="299"/>
      <c r="O27" s="299"/>
      <c r="P27" s="296">
        <v>401</v>
      </c>
      <c r="Q27" s="146" t="s">
        <v>412</v>
      </c>
      <c r="R27" s="146" t="s">
        <v>418</v>
      </c>
      <c r="S27" s="146" t="s">
        <v>424</v>
      </c>
      <c r="T27" s="146" t="s">
        <v>407</v>
      </c>
      <c r="U27" s="146" t="s">
        <v>400</v>
      </c>
      <c r="V27" s="146" t="s">
        <v>425</v>
      </c>
      <c r="W27" s="146" t="s">
        <v>299</v>
      </c>
      <c r="X27" s="146" t="s">
        <v>310</v>
      </c>
      <c r="Y27" s="146" t="s">
        <v>409</v>
      </c>
      <c r="Z27" s="293"/>
      <c r="AA27" s="294" t="s">
        <v>426</v>
      </c>
      <c r="AB27" s="294">
        <v>4</v>
      </c>
      <c r="AC27" s="296">
        <v>2</v>
      </c>
      <c r="AD27" s="301">
        <v>5755</v>
      </c>
      <c r="AE27" s="301">
        <v>1244</v>
      </c>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v>231</v>
      </c>
      <c r="BK27" s="301"/>
      <c r="BL27" s="301"/>
      <c r="BM27" s="302"/>
      <c r="BN27" s="291">
        <f>+MAX($D$3,DATOS_[[#This Row],[Fecha Inicio Sit. Contract.]])</f>
        <v>45292</v>
      </c>
      <c r="BO27" s="291">
        <f>+MIN($D$4,DATOS_[[#This Row],[Fecha Fin Sit. Contract.]])</f>
        <v>44165</v>
      </c>
      <c r="BP27" s="292">
        <f>+DATOS_[[#This Row],[% de jornada]]*IF(DATOS_[[#This Row],[% jornada reducida]]="",1,DATOS_[[#This Row],[% jornada reducida]])</f>
        <v>1</v>
      </c>
      <c r="BQ27" s="292">
        <f>+(DATOS_[[#This Row],[F.fin.cal]]-DATOS_[[#This Row],[F.ini.cal]]+1)/($D$4-$D$3+1)</f>
        <v>-3.0765027322404372</v>
      </c>
      <c r="BR27" s="322" t="str">
        <f>IF(OR(AND(DATOS_[[#This Row],[Fecha Fin Contrato]]&lt;$D$3,DATOS_[[#This Row],[Fecha Fin Contrato]]&lt;&gt;""),DATOS_[[#This Row],[Fecha de Contratación]]&gt;$D$4),"Fuera","Dentro")</f>
        <v>Fuera</v>
      </c>
      <c r="BS27" s="322" t="str">
        <f t="array" ref="BS27">IF(MAX(IF(DATOS_[id]=DATOS_[[#This Row],[id]],DATOS_[F.fin.cal]))=DATOS_[[#This Row],[F.fin.cal]],"Sí","NO")</f>
        <v>Sí</v>
      </c>
      <c r="BT27" s="292" t="str">
        <f>IF(AND(DATOS_[[#This Row],[% normaliz]]&lt;&gt;1,DATOS_[[#This Row],[% anualiz]]=1),"Sí","NO")</f>
        <v>NO</v>
      </c>
      <c r="BU27" s="292" t="str">
        <f>IF(AND(DATOS_[[#This Row],[% normaliz]]=1,DATOS_[[#This Row],[% anualiz]]&lt;&gt;1),"Sí","NO")</f>
        <v>Sí</v>
      </c>
      <c r="BV27" s="292" t="str">
        <f>IF(AND(DATOS_[[#This Row],[% normaliz]]&lt;&gt;1,DATOS_[[#This Row],[% anualiz]]&lt;&gt;1),"Sí","NO")</f>
        <v>NO</v>
      </c>
      <c r="BW27" s="322" t="str">
        <f>+IF(DATOS_[[#This Row],[% normaliz]]*DATOS_[[#This Row],[% anualiz]]=1,"NO","Sí")</f>
        <v>Sí</v>
      </c>
      <c r="BX27" s="323">
        <f>(DATOS_[[#This Row],[S.BASE]]*(1/DATOS_[[#This Row],[% normaliz]])*(1/DATOS_[[#This Row],[% anualiz]]))*IF(DATOS_[[#This Row],[Check Equiparado]]="Sí",1,0)</f>
        <v>-1870.6305506216697</v>
      </c>
      <c r="BY2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-404.35523978685615</v>
      </c>
      <c r="BZ27" s="323">
        <f>+DATOS_[[#This Row],[SALARIO BASE Eq]]+DATOS_[[#This Row],[Tot COMPL.SAL Eq]]</f>
        <v>-2274.9857904085256</v>
      </c>
      <c r="CA27" s="323">
        <f t="array" ref="CA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231</v>
      </c>
      <c r="CB27" s="323">
        <f>+DATOS_[[#This Row],[TOTAL SALARIO Eq]]+DATOS_[[#This Row],[Tot Extrasalarial Eq]]</f>
        <v>-2043.9857904085256</v>
      </c>
      <c r="CC27" s="327">
        <f>DATOS_[[#This Row],[S.BASE]]</f>
        <v>5755</v>
      </c>
      <c r="CD27" s="324">
        <f>+SUM(DATOS_[[#This Row],[Conc.Sal.01]:[Conc.Sal.30]])</f>
        <v>1244</v>
      </c>
      <c r="CE27" s="324">
        <f>+DATOS_[[#This Row],[SALARIO BASE Ef]]+DATOS_[[#This Row],[Tot COMPL.SAL Ef]]</f>
        <v>6999</v>
      </c>
      <c r="CF27" s="324">
        <f>+SUM(DATOS_[[#This Row],[C.Extra.01]:[C.Extra.05]])</f>
        <v>231</v>
      </c>
      <c r="CG27" s="330">
        <f>+DATOS_[[#This Row],[TOTAL SALARIO Ef]]+DATOS_[[#This Row],[Tot Extrasalarial Ef]]</f>
        <v>7230</v>
      </c>
      <c r="CH27" s="303">
        <f>MIN(IF(DATOS_[[#This Row],[Fecha Fin Contrato]]="",$D$4,DATOS_[[#This Row],[Fecha Fin Contrato]]),$D$4)-MAX(DATOS_[[#This Row],[Fecha de Contratación]],$D$3)+1</f>
        <v>-1126</v>
      </c>
      <c r="CI27" s="304" t="str">
        <f>IF(COUNTIFS(DATOS_[id],DATOS_[[#This Row],[id]])&gt;1,DATOS_[[#This Row],[id]],"")</f>
        <v/>
      </c>
      <c r="CJ27" s="325">
        <f>(Inicio!$G$10-DATOS_[[#This Row],[Fecha Nacimiento]])/365.25</f>
        <v>26.069815195071868</v>
      </c>
      <c r="CK27" s="325">
        <f>(Inicio!$G$10-DATOS_[[#This Row],[Fecha de Antigüedad]])/365.25</f>
        <v>4.4161533196440796</v>
      </c>
      <c r="CL27" s="325" t="str">
        <f>+VLOOKUP(DATOS_[[#This Row],[Clave de Contrato]],TblTiposContrato13[],3,FALSE)</f>
        <v>Completa</v>
      </c>
      <c r="CM27" s="325" t="str">
        <f>+VLOOKUP(DATOS_[[#This Row],[Clave de Contrato]],TblTiposContrato13[],4,FALSE)</f>
        <v>Temporal</v>
      </c>
      <c r="CN27" s="325" t="str">
        <f>VLOOKUP(DATOS_[[#This Row],[Edad]],CONTRATOS!TblRngEdad,2,TRUE)</f>
        <v>25 a 30</v>
      </c>
      <c r="CO27" s="325" t="str">
        <f>VLOOKUP(DATOS_[[#This Row],[Antigüedad]],TblRngAntg14[],2,TRUE)</f>
        <v>3 a 5  años</v>
      </c>
    </row>
    <row r="28" spans="2:93" x14ac:dyDescent="0.25">
      <c r="B28" s="146">
        <v>19</v>
      </c>
      <c r="C28" s="146" t="s">
        <v>162</v>
      </c>
      <c r="D28" s="295">
        <v>35040</v>
      </c>
      <c r="E28" s="296" t="s">
        <v>403</v>
      </c>
      <c r="F28" s="296">
        <v>2</v>
      </c>
      <c r="G28" s="296">
        <v>1</v>
      </c>
      <c r="H28" s="297">
        <v>37807</v>
      </c>
      <c r="I28" s="298"/>
      <c r="J28" s="295">
        <v>37807</v>
      </c>
      <c r="K28" s="326"/>
      <c r="L28" s="326">
        <v>43951</v>
      </c>
      <c r="M28" s="299">
        <v>1</v>
      </c>
      <c r="N28" s="299"/>
      <c r="O28" s="299"/>
      <c r="P28" s="296">
        <v>100</v>
      </c>
      <c r="Q28" s="146" t="s">
        <v>412</v>
      </c>
      <c r="R28" s="146" t="s">
        <v>417</v>
      </c>
      <c r="S28" s="146" t="s">
        <v>424</v>
      </c>
      <c r="T28" s="146" t="s">
        <v>407</v>
      </c>
      <c r="U28" s="146" t="s">
        <v>400</v>
      </c>
      <c r="V28" s="146" t="s">
        <v>425</v>
      </c>
      <c r="W28" s="146" t="s">
        <v>299</v>
      </c>
      <c r="X28" s="146" t="s">
        <v>310</v>
      </c>
      <c r="Y28" s="146" t="s">
        <v>409</v>
      </c>
      <c r="Z28" s="293"/>
      <c r="AA28" s="294" t="s">
        <v>426</v>
      </c>
      <c r="AB28" s="294">
        <v>4</v>
      </c>
      <c r="AC28" s="296">
        <v>2</v>
      </c>
      <c r="AD28" s="301">
        <v>5755.4433333333336</v>
      </c>
      <c r="AE28" s="301">
        <v>1244.5566666666664</v>
      </c>
      <c r="AF28" s="301">
        <v>920.87093333333337</v>
      </c>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2"/>
      <c r="BN28" s="291">
        <f>+MAX($D$3,DATOS_[[#This Row],[Fecha Inicio Sit. Contract.]])</f>
        <v>45292</v>
      </c>
      <c r="BO28" s="291">
        <f>+MIN($D$4,DATOS_[[#This Row],[Fecha Fin Sit. Contract.]])</f>
        <v>43951</v>
      </c>
      <c r="BP28" s="292">
        <f>+DATOS_[[#This Row],[% de jornada]]*IF(DATOS_[[#This Row],[% jornada reducida]]="",1,DATOS_[[#This Row],[% jornada reducida]])</f>
        <v>1</v>
      </c>
      <c r="BQ28" s="292">
        <f>+(DATOS_[[#This Row],[F.fin.cal]]-DATOS_[[#This Row],[F.ini.cal]]+1)/($D$4-$D$3+1)</f>
        <v>-3.6612021857923498</v>
      </c>
      <c r="BR28" s="322" t="str">
        <f>IF(OR(AND(DATOS_[[#This Row],[Fecha Fin Contrato]]&lt;$D$3,DATOS_[[#This Row],[Fecha Fin Contrato]]&lt;&gt;""),DATOS_[[#This Row],[Fecha de Contratación]]&gt;$D$4),"Fuera","Dentro")</f>
        <v>Dentro</v>
      </c>
      <c r="BS28" s="322" t="str">
        <f t="array" ref="BS28">IF(MAX(IF(DATOS_[id]=DATOS_[[#This Row],[id]],DATOS_[F.fin.cal]))=DATOS_[[#This Row],[F.fin.cal]],"Sí","NO")</f>
        <v>NO</v>
      </c>
      <c r="BT28" s="292" t="str">
        <f>IF(AND(DATOS_[[#This Row],[% normaliz]]&lt;&gt;1,DATOS_[[#This Row],[% anualiz]]=1),"Sí","NO")</f>
        <v>NO</v>
      </c>
      <c r="BU28" s="292" t="str">
        <f>IF(AND(DATOS_[[#This Row],[% normaliz]]=1,DATOS_[[#This Row],[% anualiz]]&lt;&gt;1),"Sí","NO")</f>
        <v>Sí</v>
      </c>
      <c r="BV28" s="292" t="str">
        <f>IF(AND(DATOS_[[#This Row],[% normaliz]]&lt;&gt;1,DATOS_[[#This Row],[% anualiz]]&lt;&gt;1),"Sí","NO")</f>
        <v>NO</v>
      </c>
      <c r="BW28" s="322" t="str">
        <f>+IF(DATOS_[[#This Row],[% normaliz]]*DATOS_[[#This Row],[% anualiz]]=1,"NO","Sí")</f>
        <v>Sí</v>
      </c>
      <c r="BX28" s="323">
        <f>(DATOS_[[#This Row],[S.BASE]]*(1/DATOS_[[#This Row],[% normaliz]])*(1/DATOS_[[#This Row],[% anualiz]]))*IF(DATOS_[[#This Row],[Check Equiparado]]="Sí",1,0)</f>
        <v>0</v>
      </c>
      <c r="BY2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8" s="323">
        <f>+DATOS_[[#This Row],[SALARIO BASE Eq]]+DATOS_[[#This Row],[Tot COMPL.SAL Eq]]</f>
        <v>0</v>
      </c>
      <c r="CA28" s="323">
        <f t="array" ref="CA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8" s="323">
        <f>+DATOS_[[#This Row],[TOTAL SALARIO Eq]]+DATOS_[[#This Row],[Tot Extrasalarial Eq]]</f>
        <v>0</v>
      </c>
      <c r="CC28" s="327">
        <f>DATOS_[[#This Row],[S.BASE]]</f>
        <v>5755.4433333333336</v>
      </c>
      <c r="CD28" s="324">
        <f>+SUM(DATOS_[[#This Row],[Conc.Sal.01]:[Conc.Sal.30]])</f>
        <v>2165.4276</v>
      </c>
      <c r="CE28" s="324">
        <f>+DATOS_[[#This Row],[SALARIO BASE Ef]]+DATOS_[[#This Row],[Tot COMPL.SAL Ef]]</f>
        <v>7920.8709333333336</v>
      </c>
      <c r="CF28" s="324">
        <f>+SUM(DATOS_[[#This Row],[C.Extra.01]:[C.Extra.05]])</f>
        <v>0</v>
      </c>
      <c r="CG28" s="330">
        <f>+DATOS_[[#This Row],[TOTAL SALARIO Ef]]+DATOS_[[#This Row],[Tot Extrasalarial Ef]]</f>
        <v>7920.8709333333336</v>
      </c>
      <c r="CH28" s="303">
        <f>MIN(IF(DATOS_[[#This Row],[Fecha Fin Contrato]]="",$D$4,DATOS_[[#This Row],[Fecha Fin Contrato]]),$D$4)-MAX(DATOS_[[#This Row],[Fecha de Contratación]],$D$3)+1</f>
        <v>366</v>
      </c>
      <c r="CI28" s="304">
        <f>IF(COUNTIFS(DATOS_[id],DATOS_[[#This Row],[id]])&gt;1,DATOS_[[#This Row],[id]],"")</f>
        <v>19</v>
      </c>
      <c r="CJ28" s="325">
        <f>(Inicio!$G$10-DATOS_[[#This Row],[Fecha Nacimiento]])/365.25</f>
        <v>29.067761806981519</v>
      </c>
      <c r="CK28" s="325">
        <f>(Inicio!$G$10-DATOS_[[#This Row],[Fecha de Antigüedad]])/365.25</f>
        <v>21.492128678986994</v>
      </c>
      <c r="CL28" s="325" t="str">
        <f>+VLOOKUP(DATOS_[[#This Row],[Clave de Contrato]],TblTiposContrato13[],3,FALSE)</f>
        <v>Completa</v>
      </c>
      <c r="CM28" s="325" t="str">
        <f>+VLOOKUP(DATOS_[[#This Row],[Clave de Contrato]],TblTiposContrato13[],4,FALSE)</f>
        <v>Indefinido</v>
      </c>
      <c r="CN28" s="325" t="str">
        <f>VLOOKUP(DATOS_[[#This Row],[Edad]],CONTRATOS!TblRngEdad,2,TRUE)</f>
        <v>25 a 30</v>
      </c>
      <c r="CO28" s="325" t="str">
        <f>VLOOKUP(DATOS_[[#This Row],[Antigüedad]],TblRngAntg14[],2,TRUE)</f>
        <v>más de 15</v>
      </c>
    </row>
    <row r="29" spans="2:93" x14ac:dyDescent="0.25">
      <c r="B29" s="146">
        <v>19</v>
      </c>
      <c r="C29" s="146" t="s">
        <v>162</v>
      </c>
      <c r="D29" s="295">
        <v>35040</v>
      </c>
      <c r="E29" s="296" t="s">
        <v>403</v>
      </c>
      <c r="F29" s="296">
        <v>2</v>
      </c>
      <c r="G29" s="296">
        <v>1</v>
      </c>
      <c r="H29" s="297">
        <v>37807</v>
      </c>
      <c r="I29" s="298"/>
      <c r="J29" s="295">
        <v>37807</v>
      </c>
      <c r="K29" s="326">
        <v>43952</v>
      </c>
      <c r="L29" s="326"/>
      <c r="M29" s="299">
        <v>1</v>
      </c>
      <c r="N29" s="299"/>
      <c r="O29" s="299"/>
      <c r="P29" s="296">
        <v>100</v>
      </c>
      <c r="Q29" s="146" t="s">
        <v>412</v>
      </c>
      <c r="R29" s="146" t="s">
        <v>417</v>
      </c>
      <c r="S29" s="146" t="s">
        <v>424</v>
      </c>
      <c r="T29" s="146" t="s">
        <v>407</v>
      </c>
      <c r="U29" s="146" t="s">
        <v>400</v>
      </c>
      <c r="V29" s="146" t="s">
        <v>425</v>
      </c>
      <c r="W29" s="146" t="s">
        <v>299</v>
      </c>
      <c r="X29" s="146" t="s">
        <v>310</v>
      </c>
      <c r="Y29" s="146" t="s">
        <v>409</v>
      </c>
      <c r="Z29" s="293"/>
      <c r="AA29" s="294" t="s">
        <v>426</v>
      </c>
      <c r="AB29" s="294">
        <v>4</v>
      </c>
      <c r="AC29" s="296">
        <v>2</v>
      </c>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v>4769</v>
      </c>
      <c r="BM29" s="302"/>
      <c r="BN29" s="291">
        <f>+MAX($D$3,DATOS_[[#This Row],[Fecha Inicio Sit. Contract.]])</f>
        <v>45292</v>
      </c>
      <c r="BO29" s="291">
        <f>+MIN($D$4,DATOS_[[#This Row],[Fecha Fin Sit. Contract.]])</f>
        <v>45657</v>
      </c>
      <c r="BP29" s="292">
        <f>+DATOS_[[#This Row],[% de jornada]]*IF(DATOS_[[#This Row],[% jornada reducida]]="",1,DATOS_[[#This Row],[% jornada reducida]])</f>
        <v>1</v>
      </c>
      <c r="BQ29" s="292">
        <f>+(DATOS_[[#This Row],[F.fin.cal]]-DATOS_[[#This Row],[F.ini.cal]]+1)/($D$4-$D$3+1)</f>
        <v>1</v>
      </c>
      <c r="BR29" s="322" t="str">
        <f>IF(OR(AND(DATOS_[[#This Row],[Fecha Fin Contrato]]&lt;$D$3,DATOS_[[#This Row],[Fecha Fin Contrato]]&lt;&gt;""),DATOS_[[#This Row],[Fecha de Contratación]]&gt;$D$4),"Fuera","Dentro")</f>
        <v>Dentro</v>
      </c>
      <c r="BS29" s="322" t="str">
        <f t="array" ref="BS29">IF(MAX(IF(DATOS_[id]=DATOS_[[#This Row],[id]],DATOS_[F.fin.cal]))=DATOS_[[#This Row],[F.fin.cal]],"Sí","NO")</f>
        <v>Sí</v>
      </c>
      <c r="BT29" s="292" t="str">
        <f>IF(AND(DATOS_[[#This Row],[% normaliz]]&lt;&gt;1,DATOS_[[#This Row],[% anualiz]]=1),"Sí","NO")</f>
        <v>NO</v>
      </c>
      <c r="BU29" s="292" t="str">
        <f>IF(AND(DATOS_[[#This Row],[% normaliz]]=1,DATOS_[[#This Row],[% anualiz]]&lt;&gt;1),"Sí","NO")</f>
        <v>NO</v>
      </c>
      <c r="BV29" s="292" t="str">
        <f>IF(AND(DATOS_[[#This Row],[% normaliz]]&lt;&gt;1,DATOS_[[#This Row],[% anualiz]]&lt;&gt;1),"Sí","NO")</f>
        <v>NO</v>
      </c>
      <c r="BW29" s="322" t="str">
        <f>+IF(DATOS_[[#This Row],[% normaliz]]*DATOS_[[#This Row],[% anualiz]]=1,"NO","Sí")</f>
        <v>NO</v>
      </c>
      <c r="BX29" s="323">
        <f>(DATOS_[[#This Row],[S.BASE]]*(1/DATOS_[[#This Row],[% normaliz]])*(1/DATOS_[[#This Row],[% anualiz]]))*IF(DATOS_[[#This Row],[Check Equiparado]]="Sí",1,0)</f>
        <v>0</v>
      </c>
      <c r="BY2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9" s="323">
        <f>+DATOS_[[#This Row],[SALARIO BASE Eq]]+DATOS_[[#This Row],[Tot COMPL.SAL Eq]]</f>
        <v>0</v>
      </c>
      <c r="CA29" s="323">
        <f t="array" ref="CA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4769</v>
      </c>
      <c r="CB29" s="323">
        <f>+DATOS_[[#This Row],[TOTAL SALARIO Eq]]+DATOS_[[#This Row],[Tot Extrasalarial Eq]]</f>
        <v>4769</v>
      </c>
      <c r="CC29" s="327">
        <f>DATOS_[[#This Row],[S.BASE]]</f>
        <v>0</v>
      </c>
      <c r="CD29" s="324">
        <f>+SUM(DATOS_[[#This Row],[Conc.Sal.01]:[Conc.Sal.30]])</f>
        <v>0</v>
      </c>
      <c r="CE29" s="324">
        <f>+DATOS_[[#This Row],[SALARIO BASE Ef]]+DATOS_[[#This Row],[Tot COMPL.SAL Ef]]</f>
        <v>0</v>
      </c>
      <c r="CF29" s="324">
        <f>+SUM(DATOS_[[#This Row],[C.Extra.01]:[C.Extra.05]])</f>
        <v>4769</v>
      </c>
      <c r="CG29" s="330">
        <f>+DATOS_[[#This Row],[TOTAL SALARIO Ef]]+DATOS_[[#This Row],[Tot Extrasalarial Ef]]</f>
        <v>4769</v>
      </c>
      <c r="CH29" s="303">
        <f>MIN(IF(DATOS_[[#This Row],[Fecha Fin Contrato]]="",$D$4,DATOS_[[#This Row],[Fecha Fin Contrato]]),$D$4)-MAX(DATOS_[[#This Row],[Fecha de Contratación]],$D$3)+1</f>
        <v>366</v>
      </c>
      <c r="CI29" s="304">
        <f>IF(COUNTIFS(DATOS_[id],DATOS_[[#This Row],[id]])&gt;1,DATOS_[[#This Row],[id]],"")</f>
        <v>19</v>
      </c>
      <c r="CJ29" s="325">
        <f>(Inicio!$G$10-DATOS_[[#This Row],[Fecha Nacimiento]])/365.25</f>
        <v>29.067761806981519</v>
      </c>
      <c r="CK29" s="325">
        <f>(Inicio!$G$10-DATOS_[[#This Row],[Fecha de Antigüedad]])/365.25</f>
        <v>21.492128678986994</v>
      </c>
      <c r="CL29" s="325" t="str">
        <f>+VLOOKUP(DATOS_[[#This Row],[Clave de Contrato]],TblTiposContrato13[],3,FALSE)</f>
        <v>Completa</v>
      </c>
      <c r="CM29" s="325" t="str">
        <f>+VLOOKUP(DATOS_[[#This Row],[Clave de Contrato]],TblTiposContrato13[],4,FALSE)</f>
        <v>Indefinido</v>
      </c>
      <c r="CN29" s="325" t="str">
        <f>VLOOKUP(DATOS_[[#This Row],[Edad]],CONTRATOS!TblRngEdad,2,TRUE)</f>
        <v>25 a 30</v>
      </c>
      <c r="CO29" s="325" t="str">
        <f>VLOOKUP(DATOS_[[#This Row],[Antigüedad]],TblRngAntg14[],2,TRUE)</f>
        <v>más de 15</v>
      </c>
    </row>
    <row r="30" spans="2:93" x14ac:dyDescent="0.25">
      <c r="B30" s="146">
        <v>20</v>
      </c>
      <c r="C30" s="146" t="s">
        <v>163</v>
      </c>
      <c r="D30" s="295">
        <v>29565</v>
      </c>
      <c r="E30" s="296" t="s">
        <v>403</v>
      </c>
      <c r="F30" s="296">
        <v>2</v>
      </c>
      <c r="G30" s="296">
        <v>1</v>
      </c>
      <c r="H30" s="297">
        <v>43952</v>
      </c>
      <c r="I30" s="298">
        <v>44196</v>
      </c>
      <c r="J30" s="295">
        <v>43952</v>
      </c>
      <c r="K30" s="326">
        <v>43952</v>
      </c>
      <c r="L30" s="326">
        <v>44196</v>
      </c>
      <c r="M30" s="299">
        <v>1</v>
      </c>
      <c r="N30" s="299"/>
      <c r="O30" s="299"/>
      <c r="P30" s="296">
        <v>401</v>
      </c>
      <c r="Q30" s="146" t="s">
        <v>412</v>
      </c>
      <c r="R30" s="146" t="s">
        <v>418</v>
      </c>
      <c r="S30" s="146" t="s">
        <v>424</v>
      </c>
      <c r="T30" s="146" t="s">
        <v>407</v>
      </c>
      <c r="U30" s="146" t="s">
        <v>400</v>
      </c>
      <c r="V30" s="146" t="s">
        <v>425</v>
      </c>
      <c r="W30" s="146" t="s">
        <v>299</v>
      </c>
      <c r="X30" s="146" t="s">
        <v>310</v>
      </c>
      <c r="Y30" s="146" t="s">
        <v>409</v>
      </c>
      <c r="Z30" s="293"/>
      <c r="AA30" s="294" t="s">
        <v>426</v>
      </c>
      <c r="AB30" s="294">
        <v>4</v>
      </c>
      <c r="AC30" s="296">
        <v>2</v>
      </c>
      <c r="AD30" s="301">
        <v>12949</v>
      </c>
      <c r="AE30" s="301">
        <v>1445</v>
      </c>
      <c r="AF30" s="301"/>
      <c r="AG30" s="301"/>
      <c r="AH30" s="301"/>
      <c r="AI30" s="301"/>
      <c r="AJ30" s="301"/>
      <c r="AK30" s="301">
        <v>80</v>
      </c>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v>518</v>
      </c>
      <c r="BK30" s="301"/>
      <c r="BL30" s="301"/>
      <c r="BM30" s="302"/>
      <c r="BN30" s="291">
        <f>+MAX($D$3,DATOS_[[#This Row],[Fecha Inicio Sit. Contract.]])</f>
        <v>45292</v>
      </c>
      <c r="BO30" s="291">
        <f>+MIN($D$4,DATOS_[[#This Row],[Fecha Fin Sit. Contract.]])</f>
        <v>44196</v>
      </c>
      <c r="BP30" s="292">
        <f>+DATOS_[[#This Row],[% de jornada]]*IF(DATOS_[[#This Row],[% jornada reducida]]="",1,DATOS_[[#This Row],[% jornada reducida]])</f>
        <v>1</v>
      </c>
      <c r="BQ30" s="292">
        <f>+(DATOS_[[#This Row],[F.fin.cal]]-DATOS_[[#This Row],[F.ini.cal]]+1)/($D$4-$D$3+1)</f>
        <v>-2.9918032786885247</v>
      </c>
      <c r="BR30" s="322" t="str">
        <f>IF(OR(AND(DATOS_[[#This Row],[Fecha Fin Contrato]]&lt;$D$3,DATOS_[[#This Row],[Fecha Fin Contrato]]&lt;&gt;""),DATOS_[[#This Row],[Fecha de Contratación]]&gt;$D$4),"Fuera","Dentro")</f>
        <v>Fuera</v>
      </c>
      <c r="BS30" s="322" t="str">
        <f t="array" ref="BS30">IF(MAX(IF(DATOS_[id]=DATOS_[[#This Row],[id]],DATOS_[F.fin.cal]))=DATOS_[[#This Row],[F.fin.cal]],"Sí","NO")</f>
        <v>Sí</v>
      </c>
      <c r="BT30" s="292" t="str">
        <f>IF(AND(DATOS_[[#This Row],[% normaliz]]&lt;&gt;1,DATOS_[[#This Row],[% anualiz]]=1),"Sí","NO")</f>
        <v>NO</v>
      </c>
      <c r="BU30" s="292" t="str">
        <f>IF(AND(DATOS_[[#This Row],[% normaliz]]=1,DATOS_[[#This Row],[% anualiz]]&lt;&gt;1),"Sí","NO")</f>
        <v>Sí</v>
      </c>
      <c r="BV30" s="292" t="str">
        <f>IF(AND(DATOS_[[#This Row],[% normaliz]]&lt;&gt;1,DATOS_[[#This Row],[% anualiz]]&lt;&gt;1),"Sí","NO")</f>
        <v>NO</v>
      </c>
      <c r="BW30" s="322" t="str">
        <f>+IF(DATOS_[[#This Row],[% normaliz]]*DATOS_[[#This Row],[% anualiz]]=1,"NO","Sí")</f>
        <v>Sí</v>
      </c>
      <c r="BX30" s="323">
        <f>(DATOS_[[#This Row],[S.BASE]]*(1/DATOS_[[#This Row],[% normaliz]])*(1/DATOS_[[#This Row],[% anualiz]]))*IF(DATOS_[[#This Row],[Check Equiparado]]="Sí",1,0)</f>
        <v>-4328.1589041095895</v>
      </c>
      <c r="BY3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-402.98630136986304</v>
      </c>
      <c r="BZ30" s="323">
        <f>+DATOS_[[#This Row],[SALARIO BASE Eq]]+DATOS_[[#This Row],[Tot COMPL.SAL Eq]]</f>
        <v>-4731.1452054794527</v>
      </c>
      <c r="CA30" s="323">
        <f t="array" ref="CA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518</v>
      </c>
      <c r="CB30" s="323">
        <f>+DATOS_[[#This Row],[TOTAL SALARIO Eq]]+DATOS_[[#This Row],[Tot Extrasalarial Eq]]</f>
        <v>-4213.1452054794527</v>
      </c>
      <c r="CC30" s="327">
        <f>DATOS_[[#This Row],[S.BASE]]</f>
        <v>12949</v>
      </c>
      <c r="CD30" s="324">
        <f>+SUM(DATOS_[[#This Row],[Conc.Sal.01]:[Conc.Sal.30]])</f>
        <v>1525</v>
      </c>
      <c r="CE30" s="324">
        <f>+DATOS_[[#This Row],[SALARIO BASE Ef]]+DATOS_[[#This Row],[Tot COMPL.SAL Ef]]</f>
        <v>14474</v>
      </c>
      <c r="CF30" s="324">
        <f>+SUM(DATOS_[[#This Row],[C.Extra.01]:[C.Extra.05]])</f>
        <v>518</v>
      </c>
      <c r="CG30" s="330">
        <f>+DATOS_[[#This Row],[TOTAL SALARIO Ef]]+DATOS_[[#This Row],[Tot Extrasalarial Ef]]</f>
        <v>14992</v>
      </c>
      <c r="CH30" s="303">
        <f>MIN(IF(DATOS_[[#This Row],[Fecha Fin Contrato]]="",$D$4,DATOS_[[#This Row],[Fecha Fin Contrato]]),$D$4)-MAX(DATOS_[[#This Row],[Fecha de Contratación]],$D$3)+1</f>
        <v>-1095</v>
      </c>
      <c r="CI30" s="304" t="str">
        <f>IF(COUNTIFS(DATOS_[id],DATOS_[[#This Row],[id]])&gt;1,DATOS_[[#This Row],[id]],"")</f>
        <v/>
      </c>
      <c r="CJ30" s="325">
        <f>(Inicio!$G$10-DATOS_[[#This Row],[Fecha Nacimiento]])/365.25</f>
        <v>44.057494866529773</v>
      </c>
      <c r="CK30" s="325">
        <f>(Inicio!$G$10-DATOS_[[#This Row],[Fecha de Antigüedad]])/365.25</f>
        <v>4.6680355920602326</v>
      </c>
      <c r="CL30" s="325" t="str">
        <f>+VLOOKUP(DATOS_[[#This Row],[Clave de Contrato]],TblTiposContrato13[],3,FALSE)</f>
        <v>Completa</v>
      </c>
      <c r="CM30" s="325" t="str">
        <f>+VLOOKUP(DATOS_[[#This Row],[Clave de Contrato]],TblTiposContrato13[],4,FALSE)</f>
        <v>Temporal</v>
      </c>
      <c r="CN30" s="325" t="str">
        <f>VLOOKUP(DATOS_[[#This Row],[Edad]],CONTRATOS!TblRngEdad,2,TRUE)</f>
        <v>40 a 45</v>
      </c>
      <c r="CO30" s="325" t="str">
        <f>VLOOKUP(DATOS_[[#This Row],[Antigüedad]],TblRngAntg14[],2,TRUE)</f>
        <v>3 a 5  años</v>
      </c>
    </row>
    <row r="31" spans="2:93" x14ac:dyDescent="0.25">
      <c r="B31" s="146">
        <v>21</v>
      </c>
      <c r="C31" s="146" t="s">
        <v>162</v>
      </c>
      <c r="D31" s="295">
        <v>29930</v>
      </c>
      <c r="E31" s="296" t="s">
        <v>403</v>
      </c>
      <c r="F31" s="296">
        <v>3</v>
      </c>
      <c r="G31" s="296">
        <v>1</v>
      </c>
      <c r="H31" s="297">
        <v>37588</v>
      </c>
      <c r="I31" s="298"/>
      <c r="J31" s="295">
        <v>37588</v>
      </c>
      <c r="K31" s="326"/>
      <c r="L31" s="326"/>
      <c r="M31" s="299">
        <v>1</v>
      </c>
      <c r="N31" s="299"/>
      <c r="O31" s="299"/>
      <c r="P31" s="296">
        <v>100</v>
      </c>
      <c r="Q31" s="146" t="s">
        <v>404</v>
      </c>
      <c r="R31" s="146" t="s">
        <v>411</v>
      </c>
      <c r="S31" s="146" t="s">
        <v>424</v>
      </c>
      <c r="T31" s="146" t="s">
        <v>407</v>
      </c>
      <c r="U31" s="146" t="s">
        <v>400</v>
      </c>
      <c r="V31" s="146" t="s">
        <v>425</v>
      </c>
      <c r="W31" s="146" t="s">
        <v>299</v>
      </c>
      <c r="X31" s="146" t="s">
        <v>310</v>
      </c>
      <c r="Y31" s="146" t="s">
        <v>409</v>
      </c>
      <c r="Z31" s="293"/>
      <c r="AA31" s="294" t="s">
        <v>426</v>
      </c>
      <c r="AB31" s="294">
        <v>4</v>
      </c>
      <c r="AC31" s="296">
        <v>2</v>
      </c>
      <c r="AD31" s="301">
        <v>17266.330000000002</v>
      </c>
      <c r="AE31" s="301">
        <v>3733.6699999999983</v>
      </c>
      <c r="AF31" s="301">
        <v>2762.6128000000003</v>
      </c>
      <c r="AG31" s="301"/>
      <c r="AH31" s="301"/>
      <c r="AI31" s="301"/>
      <c r="AJ31" s="301"/>
      <c r="AK31" s="301">
        <v>80</v>
      </c>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2"/>
      <c r="BN31" s="291">
        <f>+MAX($D$3,DATOS_[[#This Row],[Fecha Inicio Sit. Contract.]])</f>
        <v>45292</v>
      </c>
      <c r="BO31" s="291">
        <f>+MIN($D$4,DATOS_[[#This Row],[Fecha Fin Sit. Contract.]])</f>
        <v>45657</v>
      </c>
      <c r="BP31" s="292">
        <f>+DATOS_[[#This Row],[% de jornada]]*IF(DATOS_[[#This Row],[% jornada reducida]]="",1,DATOS_[[#This Row],[% jornada reducida]])</f>
        <v>1</v>
      </c>
      <c r="BQ31" s="292">
        <f>+(DATOS_[[#This Row],[F.fin.cal]]-DATOS_[[#This Row],[F.ini.cal]]+1)/($D$4-$D$3+1)</f>
        <v>1</v>
      </c>
      <c r="BR31" s="322" t="str">
        <f>IF(OR(AND(DATOS_[[#This Row],[Fecha Fin Contrato]]&lt;$D$3,DATOS_[[#This Row],[Fecha Fin Contrato]]&lt;&gt;""),DATOS_[[#This Row],[Fecha de Contratación]]&gt;$D$4),"Fuera","Dentro")</f>
        <v>Dentro</v>
      </c>
      <c r="BS31" s="322" t="str">
        <f t="array" ref="BS31">IF(MAX(IF(DATOS_[id]=DATOS_[[#This Row],[id]],DATOS_[F.fin.cal]))=DATOS_[[#This Row],[F.fin.cal]],"Sí","NO")</f>
        <v>Sí</v>
      </c>
      <c r="BT31" s="292" t="str">
        <f>IF(AND(DATOS_[[#This Row],[% normaliz]]&lt;&gt;1,DATOS_[[#This Row],[% anualiz]]=1),"Sí","NO")</f>
        <v>NO</v>
      </c>
      <c r="BU31" s="292" t="str">
        <f>IF(AND(DATOS_[[#This Row],[% normaliz]]=1,DATOS_[[#This Row],[% anualiz]]&lt;&gt;1),"Sí","NO")</f>
        <v>NO</v>
      </c>
      <c r="BV31" s="292" t="str">
        <f>IF(AND(DATOS_[[#This Row],[% normaliz]]&lt;&gt;1,DATOS_[[#This Row],[% anualiz]]&lt;&gt;1),"Sí","NO")</f>
        <v>NO</v>
      </c>
      <c r="BW31" s="322" t="str">
        <f>+IF(DATOS_[[#This Row],[% normaliz]]*DATOS_[[#This Row],[% anualiz]]=1,"NO","Sí")</f>
        <v>NO</v>
      </c>
      <c r="BX31" s="323">
        <f>(DATOS_[[#This Row],[S.BASE]]*(1/DATOS_[[#This Row],[% normaliz]])*(1/DATOS_[[#This Row],[% anualiz]]))*IF(DATOS_[[#This Row],[Check Equiparado]]="Sí",1,0)</f>
        <v>17266.330000000002</v>
      </c>
      <c r="BY3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31" s="323">
        <f>+DATOS_[[#This Row],[SALARIO BASE Eq]]+DATOS_[[#This Row],[Tot COMPL.SAL Eq]]</f>
        <v>23842.612800000003</v>
      </c>
      <c r="CA31" s="323">
        <f t="array" ref="CA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1" s="323">
        <f>+DATOS_[[#This Row],[TOTAL SALARIO Eq]]+DATOS_[[#This Row],[Tot Extrasalarial Eq]]</f>
        <v>23842.612800000003</v>
      </c>
      <c r="CC31" s="327">
        <f>DATOS_[[#This Row],[S.BASE]]</f>
        <v>17266.330000000002</v>
      </c>
      <c r="CD31" s="324">
        <f>+SUM(DATOS_[[#This Row],[Conc.Sal.01]:[Conc.Sal.30]])</f>
        <v>6576.282799999999</v>
      </c>
      <c r="CE31" s="324">
        <f>+DATOS_[[#This Row],[SALARIO BASE Ef]]+DATOS_[[#This Row],[Tot COMPL.SAL Ef]]</f>
        <v>23842.612800000003</v>
      </c>
      <c r="CF31" s="324">
        <f>+SUM(DATOS_[[#This Row],[C.Extra.01]:[C.Extra.05]])</f>
        <v>0</v>
      </c>
      <c r="CG31" s="330">
        <f>+DATOS_[[#This Row],[TOTAL SALARIO Ef]]+DATOS_[[#This Row],[Tot Extrasalarial Ef]]</f>
        <v>23842.612800000003</v>
      </c>
      <c r="CH31" s="303">
        <f>MIN(IF(DATOS_[[#This Row],[Fecha Fin Contrato]]="",$D$4,DATOS_[[#This Row],[Fecha Fin Contrato]]),$D$4)-MAX(DATOS_[[#This Row],[Fecha de Contratación]],$D$3)+1</f>
        <v>366</v>
      </c>
      <c r="CI31" s="304" t="str">
        <f>IF(COUNTIFS(DATOS_[id],DATOS_[[#This Row],[id]])&gt;1,DATOS_[[#This Row],[id]],"")</f>
        <v/>
      </c>
      <c r="CJ31" s="325">
        <f>(Inicio!$G$10-DATOS_[[#This Row],[Fecha Nacimiento]])/365.25</f>
        <v>43.058179329226554</v>
      </c>
      <c r="CK31" s="325">
        <f>(Inicio!$G$10-DATOS_[[#This Row],[Fecha de Antigüedad]])/365.25</f>
        <v>22.091718001368925</v>
      </c>
      <c r="CL31" s="325" t="str">
        <f>+VLOOKUP(DATOS_[[#This Row],[Clave de Contrato]],TblTiposContrato13[],3,FALSE)</f>
        <v>Completa</v>
      </c>
      <c r="CM31" s="325" t="str">
        <f>+VLOOKUP(DATOS_[[#This Row],[Clave de Contrato]],TblTiposContrato13[],4,FALSE)</f>
        <v>Indefinido</v>
      </c>
      <c r="CN31" s="325" t="str">
        <f>VLOOKUP(DATOS_[[#This Row],[Edad]],CONTRATOS!TblRngEdad,2,TRUE)</f>
        <v>40 a 45</v>
      </c>
      <c r="CO31" s="325" t="str">
        <f>VLOOKUP(DATOS_[[#This Row],[Antigüedad]],TblRngAntg14[],2,TRUE)</f>
        <v>más de 15</v>
      </c>
    </row>
    <row r="32" spans="2:93" x14ac:dyDescent="0.25">
      <c r="B32" s="146">
        <v>22</v>
      </c>
      <c r="C32" s="146" t="s">
        <v>163</v>
      </c>
      <c r="D32" s="295">
        <v>32485</v>
      </c>
      <c r="E32" s="296" t="s">
        <v>403</v>
      </c>
      <c r="F32" s="296">
        <v>2</v>
      </c>
      <c r="G32" s="296">
        <v>1</v>
      </c>
      <c r="H32" s="297">
        <v>38245</v>
      </c>
      <c r="I32" s="298"/>
      <c r="J32" s="295">
        <v>38245</v>
      </c>
      <c r="K32" s="326"/>
      <c r="L32" s="326"/>
      <c r="M32" s="299">
        <v>1</v>
      </c>
      <c r="N32" s="299">
        <v>0.8</v>
      </c>
      <c r="O32" s="299" t="s">
        <v>147</v>
      </c>
      <c r="P32" s="296">
        <v>100</v>
      </c>
      <c r="Q32" s="146" t="s">
        <v>404</v>
      </c>
      <c r="R32" s="146" t="s">
        <v>411</v>
      </c>
      <c r="S32" s="146" t="s">
        <v>424</v>
      </c>
      <c r="T32" s="146" t="s">
        <v>407</v>
      </c>
      <c r="U32" s="146" t="s">
        <v>400</v>
      </c>
      <c r="V32" s="146" t="s">
        <v>425</v>
      </c>
      <c r="W32" s="146" t="s">
        <v>299</v>
      </c>
      <c r="X32" s="146" t="s">
        <v>310</v>
      </c>
      <c r="Y32" s="146" t="s">
        <v>409</v>
      </c>
      <c r="Z32" s="293"/>
      <c r="AA32" s="294" t="s">
        <v>426</v>
      </c>
      <c r="AB32" s="294">
        <v>4</v>
      </c>
      <c r="AC32" s="296">
        <v>2</v>
      </c>
      <c r="AD32" s="301">
        <v>13813.064000000002</v>
      </c>
      <c r="AE32" s="301">
        <v>1500</v>
      </c>
      <c r="AF32" s="301">
        <v>1657.5676800000001</v>
      </c>
      <c r="AG32" s="301"/>
      <c r="AH32" s="301"/>
      <c r="AI32" s="301"/>
      <c r="AJ32" s="301"/>
      <c r="AK32" s="301">
        <v>80</v>
      </c>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2"/>
      <c r="BN32" s="291">
        <f>+MAX($D$3,DATOS_[[#This Row],[Fecha Inicio Sit. Contract.]])</f>
        <v>45292</v>
      </c>
      <c r="BO32" s="291">
        <f>+MIN($D$4,DATOS_[[#This Row],[Fecha Fin Sit. Contract.]])</f>
        <v>45657</v>
      </c>
      <c r="BP32" s="292">
        <f>+DATOS_[[#This Row],[% de jornada]]*IF(DATOS_[[#This Row],[% jornada reducida]]="",1,DATOS_[[#This Row],[% jornada reducida]])</f>
        <v>0.8</v>
      </c>
      <c r="BQ32" s="292">
        <f>+(DATOS_[[#This Row],[F.fin.cal]]-DATOS_[[#This Row],[F.ini.cal]]+1)/($D$4-$D$3+1)</f>
        <v>1</v>
      </c>
      <c r="BR32" s="322" t="str">
        <f>IF(OR(AND(DATOS_[[#This Row],[Fecha Fin Contrato]]&lt;$D$3,DATOS_[[#This Row],[Fecha Fin Contrato]]&lt;&gt;""),DATOS_[[#This Row],[Fecha de Contratación]]&gt;$D$4),"Fuera","Dentro")</f>
        <v>Dentro</v>
      </c>
      <c r="BS32" s="322" t="str">
        <f t="array" ref="BS32">IF(MAX(IF(DATOS_[id]=DATOS_[[#This Row],[id]],DATOS_[F.fin.cal]))=DATOS_[[#This Row],[F.fin.cal]],"Sí","NO")</f>
        <v>Sí</v>
      </c>
      <c r="BT32" s="292" t="str">
        <f>IF(AND(DATOS_[[#This Row],[% normaliz]]&lt;&gt;1,DATOS_[[#This Row],[% anualiz]]=1),"Sí","NO")</f>
        <v>Sí</v>
      </c>
      <c r="BU32" s="292" t="str">
        <f>IF(AND(DATOS_[[#This Row],[% normaliz]]=1,DATOS_[[#This Row],[% anualiz]]&lt;&gt;1),"Sí","NO")</f>
        <v>NO</v>
      </c>
      <c r="BV32" s="292" t="str">
        <f>IF(AND(DATOS_[[#This Row],[% normaliz]]&lt;&gt;1,DATOS_[[#This Row],[% anualiz]]&lt;&gt;1),"Sí","NO")</f>
        <v>NO</v>
      </c>
      <c r="BW32" s="322" t="str">
        <f>+IF(DATOS_[[#This Row],[% normaliz]]*DATOS_[[#This Row],[% anualiz]]=1,"NO","Sí")</f>
        <v>Sí</v>
      </c>
      <c r="BX32" s="323">
        <f>(DATOS_[[#This Row],[S.BASE]]*(1/DATOS_[[#This Row],[% normaliz]])*(1/DATOS_[[#This Row],[% anualiz]]))*IF(DATOS_[[#This Row],[Check Equiparado]]="Sí",1,0)</f>
        <v>17266.330000000002</v>
      </c>
      <c r="BY3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4026.9596000000001</v>
      </c>
      <c r="BZ32" s="323">
        <f>+DATOS_[[#This Row],[SALARIO BASE Eq]]+DATOS_[[#This Row],[Tot COMPL.SAL Eq]]</f>
        <v>21293.289600000004</v>
      </c>
      <c r="CA32" s="323">
        <f t="array" ref="CA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2" s="323">
        <f>+DATOS_[[#This Row],[TOTAL SALARIO Eq]]+DATOS_[[#This Row],[Tot Extrasalarial Eq]]</f>
        <v>21293.289600000004</v>
      </c>
      <c r="CC32" s="327">
        <f>DATOS_[[#This Row],[S.BASE]]</f>
        <v>13813.064000000002</v>
      </c>
      <c r="CD32" s="324">
        <f>+SUM(DATOS_[[#This Row],[Conc.Sal.01]:[Conc.Sal.30]])</f>
        <v>3237.5676800000001</v>
      </c>
      <c r="CE32" s="324">
        <f>+DATOS_[[#This Row],[SALARIO BASE Ef]]+DATOS_[[#This Row],[Tot COMPL.SAL Ef]]</f>
        <v>17050.631680000002</v>
      </c>
      <c r="CF32" s="324">
        <f>+SUM(DATOS_[[#This Row],[C.Extra.01]:[C.Extra.05]])</f>
        <v>0</v>
      </c>
      <c r="CG32" s="330">
        <f>+DATOS_[[#This Row],[TOTAL SALARIO Ef]]+DATOS_[[#This Row],[Tot Extrasalarial Ef]]</f>
        <v>17050.631680000002</v>
      </c>
      <c r="CH32" s="303">
        <f>MIN(IF(DATOS_[[#This Row],[Fecha Fin Contrato]]="",$D$4,DATOS_[[#This Row],[Fecha Fin Contrato]]),$D$4)-MAX(DATOS_[[#This Row],[Fecha de Contratación]],$D$3)+1</f>
        <v>366</v>
      </c>
      <c r="CI32" s="304" t="str">
        <f>IF(COUNTIFS(DATOS_[id],DATOS_[[#This Row],[id]])&gt;1,DATOS_[[#This Row],[id]],"")</f>
        <v/>
      </c>
      <c r="CJ32" s="325">
        <f>(Inicio!$G$10-DATOS_[[#This Row],[Fecha Nacimiento]])/365.25</f>
        <v>36.062970568104035</v>
      </c>
      <c r="CK32" s="325">
        <f>(Inicio!$G$10-DATOS_[[#This Row],[Fecha de Antigüedad]])/365.25</f>
        <v>20.292950034223136</v>
      </c>
      <c r="CL32" s="325" t="str">
        <f>+VLOOKUP(DATOS_[[#This Row],[Clave de Contrato]],TblTiposContrato13[],3,FALSE)</f>
        <v>Completa</v>
      </c>
      <c r="CM32" s="325" t="str">
        <f>+VLOOKUP(DATOS_[[#This Row],[Clave de Contrato]],TblTiposContrato13[],4,FALSE)</f>
        <v>Indefinido</v>
      </c>
      <c r="CN32" s="325" t="str">
        <f>VLOOKUP(DATOS_[[#This Row],[Edad]],CONTRATOS!TblRngEdad,2,TRUE)</f>
        <v>35 a 40</v>
      </c>
      <c r="CO32" s="325" t="str">
        <f>VLOOKUP(DATOS_[[#This Row],[Antigüedad]],TblRngAntg14[],2,TRUE)</f>
        <v>más de 15</v>
      </c>
    </row>
    <row r="33" spans="2:93" x14ac:dyDescent="0.25">
      <c r="B33" s="146">
        <v>23</v>
      </c>
      <c r="C33" s="146" t="s">
        <v>162</v>
      </c>
      <c r="D33" s="295">
        <v>27740</v>
      </c>
      <c r="E33" s="296" t="s">
        <v>403</v>
      </c>
      <c r="F33" s="296">
        <v>3</v>
      </c>
      <c r="G33" s="296">
        <v>1</v>
      </c>
      <c r="H33" s="297">
        <v>40400</v>
      </c>
      <c r="I33" s="298"/>
      <c r="J33" s="295">
        <v>40400</v>
      </c>
      <c r="K33" s="326"/>
      <c r="L33" s="326"/>
      <c r="M33" s="299">
        <v>1</v>
      </c>
      <c r="N33" s="299"/>
      <c r="O33" s="299"/>
      <c r="P33" s="296">
        <v>100</v>
      </c>
      <c r="Q33" s="146" t="s">
        <v>412</v>
      </c>
      <c r="R33" s="146" t="s">
        <v>418</v>
      </c>
      <c r="S33" s="146" t="s">
        <v>424</v>
      </c>
      <c r="T33" s="146" t="s">
        <v>407</v>
      </c>
      <c r="U33" s="146" t="s">
        <v>400</v>
      </c>
      <c r="V33" s="146" t="s">
        <v>425</v>
      </c>
      <c r="W33" s="146" t="s">
        <v>299</v>
      </c>
      <c r="X33" s="146" t="s">
        <v>310</v>
      </c>
      <c r="Y33" s="146" t="s">
        <v>409</v>
      </c>
      <c r="Z33" s="293"/>
      <c r="AA33" s="294" t="s">
        <v>426</v>
      </c>
      <c r="AB33" s="294">
        <v>4</v>
      </c>
      <c r="AC33" s="296">
        <v>2</v>
      </c>
      <c r="AD33" s="301">
        <v>17266.330000000002</v>
      </c>
      <c r="AE33" s="301">
        <v>3733.6699999999983</v>
      </c>
      <c r="AF33" s="301">
        <v>1381.3064000000002</v>
      </c>
      <c r="AG33" s="301"/>
      <c r="AH33" s="301"/>
      <c r="AI33" s="301"/>
      <c r="AJ33" s="301"/>
      <c r="AK33" s="301">
        <v>80</v>
      </c>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2"/>
      <c r="BN33" s="291">
        <f>+MAX($D$3,DATOS_[[#This Row],[Fecha Inicio Sit. Contract.]])</f>
        <v>45292</v>
      </c>
      <c r="BO33" s="291">
        <f>+MIN($D$4,DATOS_[[#This Row],[Fecha Fin Sit. Contract.]])</f>
        <v>45657</v>
      </c>
      <c r="BP33" s="292">
        <f>+DATOS_[[#This Row],[% de jornada]]*IF(DATOS_[[#This Row],[% jornada reducida]]="",1,DATOS_[[#This Row],[% jornada reducida]])</f>
        <v>1</v>
      </c>
      <c r="BQ33" s="292">
        <f>+(DATOS_[[#This Row],[F.fin.cal]]-DATOS_[[#This Row],[F.ini.cal]]+1)/($D$4-$D$3+1)</f>
        <v>1</v>
      </c>
      <c r="BR33" s="322" t="str">
        <f>IF(OR(AND(DATOS_[[#This Row],[Fecha Fin Contrato]]&lt;$D$3,DATOS_[[#This Row],[Fecha Fin Contrato]]&lt;&gt;""),DATOS_[[#This Row],[Fecha de Contratación]]&gt;$D$4),"Fuera","Dentro")</f>
        <v>Dentro</v>
      </c>
      <c r="BS33" s="322" t="str">
        <f t="array" ref="BS33">IF(MAX(IF(DATOS_[id]=DATOS_[[#This Row],[id]],DATOS_[F.fin.cal]))=DATOS_[[#This Row],[F.fin.cal]],"Sí","NO")</f>
        <v>Sí</v>
      </c>
      <c r="BT33" s="292" t="str">
        <f>IF(AND(DATOS_[[#This Row],[% normaliz]]&lt;&gt;1,DATOS_[[#This Row],[% anualiz]]=1),"Sí","NO")</f>
        <v>NO</v>
      </c>
      <c r="BU33" s="292" t="str">
        <f>IF(AND(DATOS_[[#This Row],[% normaliz]]=1,DATOS_[[#This Row],[% anualiz]]&lt;&gt;1),"Sí","NO")</f>
        <v>NO</v>
      </c>
      <c r="BV33" s="292" t="str">
        <f>IF(AND(DATOS_[[#This Row],[% normaliz]]&lt;&gt;1,DATOS_[[#This Row],[% anualiz]]&lt;&gt;1),"Sí","NO")</f>
        <v>NO</v>
      </c>
      <c r="BW33" s="322" t="str">
        <f>+IF(DATOS_[[#This Row],[% normaliz]]*DATOS_[[#This Row],[% anualiz]]=1,"NO","Sí")</f>
        <v>NO</v>
      </c>
      <c r="BX33" s="323">
        <f>(DATOS_[[#This Row],[S.BASE]]*(1/DATOS_[[#This Row],[% normaliz]])*(1/DATOS_[[#This Row],[% anualiz]]))*IF(DATOS_[[#This Row],[Check Equiparado]]="Sí",1,0)</f>
        <v>17266.330000000002</v>
      </c>
      <c r="BY3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33" s="323">
        <f>+DATOS_[[#This Row],[SALARIO BASE Eq]]+DATOS_[[#This Row],[Tot COMPL.SAL Eq]]</f>
        <v>22461.306400000001</v>
      </c>
      <c r="CA33" s="323">
        <f t="array" ref="CA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3" s="323">
        <f>+DATOS_[[#This Row],[TOTAL SALARIO Eq]]+DATOS_[[#This Row],[Tot Extrasalarial Eq]]</f>
        <v>22461.306400000001</v>
      </c>
      <c r="CC33" s="327">
        <f>DATOS_[[#This Row],[S.BASE]]</f>
        <v>17266.330000000002</v>
      </c>
      <c r="CD33" s="324">
        <f>+SUM(DATOS_[[#This Row],[Conc.Sal.01]:[Conc.Sal.30]])</f>
        <v>5194.9763999999986</v>
      </c>
      <c r="CE33" s="324">
        <f>+DATOS_[[#This Row],[SALARIO BASE Ef]]+DATOS_[[#This Row],[Tot COMPL.SAL Ef]]</f>
        <v>22461.306400000001</v>
      </c>
      <c r="CF33" s="324">
        <f>+SUM(DATOS_[[#This Row],[C.Extra.01]:[C.Extra.05]])</f>
        <v>0</v>
      </c>
      <c r="CG33" s="330">
        <f>+DATOS_[[#This Row],[TOTAL SALARIO Ef]]+DATOS_[[#This Row],[Tot Extrasalarial Ef]]</f>
        <v>22461.306400000001</v>
      </c>
      <c r="CH33" s="303">
        <f>MIN(IF(DATOS_[[#This Row],[Fecha Fin Contrato]]="",$D$4,DATOS_[[#This Row],[Fecha Fin Contrato]]),$D$4)-MAX(DATOS_[[#This Row],[Fecha de Contratación]],$D$3)+1</f>
        <v>366</v>
      </c>
      <c r="CI33" s="304" t="str">
        <f>IF(COUNTIFS(DATOS_[id],DATOS_[[#This Row],[id]])&gt;1,DATOS_[[#This Row],[id]],"")</f>
        <v/>
      </c>
      <c r="CJ33" s="325">
        <f>(Inicio!$G$10-DATOS_[[#This Row],[Fecha Nacimiento]])/365.25</f>
        <v>49.054072553045856</v>
      </c>
      <c r="CK33" s="325">
        <f>(Inicio!$G$10-DATOS_[[#This Row],[Fecha de Antigüedad]])/365.25</f>
        <v>14.392881587953456</v>
      </c>
      <c r="CL33" s="325" t="str">
        <f>+VLOOKUP(DATOS_[[#This Row],[Clave de Contrato]],TblTiposContrato13[],3,FALSE)</f>
        <v>Completa</v>
      </c>
      <c r="CM33" s="325" t="str">
        <f>+VLOOKUP(DATOS_[[#This Row],[Clave de Contrato]],TblTiposContrato13[],4,FALSE)</f>
        <v>Indefinido</v>
      </c>
      <c r="CN33" s="325" t="str">
        <f>VLOOKUP(DATOS_[[#This Row],[Edad]],CONTRATOS!TblRngEdad,2,TRUE)</f>
        <v>45 a 50</v>
      </c>
      <c r="CO33" s="325" t="str">
        <f>VLOOKUP(DATOS_[[#This Row],[Antigüedad]],TblRngAntg14[],2,TRUE)</f>
        <v>de 10 a 15  años</v>
      </c>
    </row>
    <row r="34" spans="2:93" x14ac:dyDescent="0.25">
      <c r="B34" s="146">
        <v>24</v>
      </c>
      <c r="C34" s="146" t="s">
        <v>163</v>
      </c>
      <c r="D34" s="295">
        <v>32850</v>
      </c>
      <c r="E34" s="296" t="s">
        <v>427</v>
      </c>
      <c r="F34" s="296">
        <v>3</v>
      </c>
      <c r="G34" s="296">
        <v>2</v>
      </c>
      <c r="H34" s="297">
        <v>41131</v>
      </c>
      <c r="I34" s="298"/>
      <c r="J34" s="295">
        <v>41131</v>
      </c>
      <c r="K34" s="326"/>
      <c r="L34" s="326"/>
      <c r="M34" s="299">
        <v>1</v>
      </c>
      <c r="N34" s="299"/>
      <c r="O34" s="299"/>
      <c r="P34" s="296">
        <v>100</v>
      </c>
      <c r="Q34" s="146" t="s">
        <v>412</v>
      </c>
      <c r="R34" s="146" t="s">
        <v>417</v>
      </c>
      <c r="S34" s="146" t="s">
        <v>424</v>
      </c>
      <c r="T34" s="146" t="s">
        <v>407</v>
      </c>
      <c r="U34" s="146" t="s">
        <v>400</v>
      </c>
      <c r="V34" s="146" t="s">
        <v>425</v>
      </c>
      <c r="W34" s="146" t="s">
        <v>299</v>
      </c>
      <c r="X34" s="146" t="s">
        <v>310</v>
      </c>
      <c r="Y34" s="146" t="s">
        <v>409</v>
      </c>
      <c r="Z34" s="293"/>
      <c r="AA34" s="294" t="s">
        <v>426</v>
      </c>
      <c r="AB34" s="294">
        <v>4</v>
      </c>
      <c r="AC34" s="296">
        <v>2</v>
      </c>
      <c r="AD34" s="301">
        <v>17266.330000000002</v>
      </c>
      <c r="AE34" s="301">
        <v>1700</v>
      </c>
      <c r="AF34" s="301">
        <v>690.65320000000008</v>
      </c>
      <c r="AG34" s="301"/>
      <c r="AH34" s="301"/>
      <c r="AI34" s="301"/>
      <c r="AJ34" s="301"/>
      <c r="AK34" s="301">
        <v>80</v>
      </c>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2"/>
      <c r="BN34" s="291">
        <f>+MAX($D$3,DATOS_[[#This Row],[Fecha Inicio Sit. Contract.]])</f>
        <v>45292</v>
      </c>
      <c r="BO34" s="291">
        <f>+MIN($D$4,DATOS_[[#This Row],[Fecha Fin Sit. Contract.]])</f>
        <v>45657</v>
      </c>
      <c r="BP34" s="292">
        <f>+DATOS_[[#This Row],[% de jornada]]*IF(DATOS_[[#This Row],[% jornada reducida]]="",1,DATOS_[[#This Row],[% jornada reducida]])</f>
        <v>1</v>
      </c>
      <c r="BQ34" s="292">
        <f>+(DATOS_[[#This Row],[F.fin.cal]]-DATOS_[[#This Row],[F.ini.cal]]+1)/($D$4-$D$3+1)</f>
        <v>1</v>
      </c>
      <c r="BR34" s="322" t="str">
        <f>IF(OR(AND(DATOS_[[#This Row],[Fecha Fin Contrato]]&lt;$D$3,DATOS_[[#This Row],[Fecha Fin Contrato]]&lt;&gt;""),DATOS_[[#This Row],[Fecha de Contratación]]&gt;$D$4),"Fuera","Dentro")</f>
        <v>Dentro</v>
      </c>
      <c r="BS34" s="322" t="str">
        <f t="array" ref="BS34">IF(MAX(IF(DATOS_[id]=DATOS_[[#This Row],[id]],DATOS_[F.fin.cal]))=DATOS_[[#This Row],[F.fin.cal]],"Sí","NO")</f>
        <v>Sí</v>
      </c>
      <c r="BT34" s="292" t="str">
        <f>IF(AND(DATOS_[[#This Row],[% normaliz]]&lt;&gt;1,DATOS_[[#This Row],[% anualiz]]=1),"Sí","NO")</f>
        <v>NO</v>
      </c>
      <c r="BU34" s="292" t="str">
        <f>IF(AND(DATOS_[[#This Row],[% normaliz]]=1,DATOS_[[#This Row],[% anualiz]]&lt;&gt;1),"Sí","NO")</f>
        <v>NO</v>
      </c>
      <c r="BV34" s="292" t="str">
        <f>IF(AND(DATOS_[[#This Row],[% normaliz]]&lt;&gt;1,DATOS_[[#This Row],[% anualiz]]&lt;&gt;1),"Sí","NO")</f>
        <v>NO</v>
      </c>
      <c r="BW34" s="322" t="str">
        <f>+IF(DATOS_[[#This Row],[% normaliz]]*DATOS_[[#This Row],[% anualiz]]=1,"NO","Sí")</f>
        <v>NO</v>
      </c>
      <c r="BX34" s="323">
        <f>(DATOS_[[#This Row],[S.BASE]]*(1/DATOS_[[#This Row],[% normaliz]])*(1/DATOS_[[#This Row],[% anualiz]]))*IF(DATOS_[[#This Row],[Check Equiparado]]="Sí",1,0)</f>
        <v>17266.330000000002</v>
      </c>
      <c r="BY3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2470.6532000000002</v>
      </c>
      <c r="BZ34" s="323">
        <f>+DATOS_[[#This Row],[SALARIO BASE Eq]]+DATOS_[[#This Row],[Tot COMPL.SAL Eq]]</f>
        <v>19736.983200000002</v>
      </c>
      <c r="CA34" s="323">
        <f t="array" ref="CA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4" s="323">
        <f>+DATOS_[[#This Row],[TOTAL SALARIO Eq]]+DATOS_[[#This Row],[Tot Extrasalarial Eq]]</f>
        <v>19736.983200000002</v>
      </c>
      <c r="CC34" s="327">
        <f>DATOS_[[#This Row],[S.BASE]]</f>
        <v>17266.330000000002</v>
      </c>
      <c r="CD34" s="324">
        <f>+SUM(DATOS_[[#This Row],[Conc.Sal.01]:[Conc.Sal.30]])</f>
        <v>2470.6532000000002</v>
      </c>
      <c r="CE34" s="324">
        <f>+DATOS_[[#This Row],[SALARIO BASE Ef]]+DATOS_[[#This Row],[Tot COMPL.SAL Ef]]</f>
        <v>19736.983200000002</v>
      </c>
      <c r="CF34" s="324">
        <f>+SUM(DATOS_[[#This Row],[C.Extra.01]:[C.Extra.05]])</f>
        <v>0</v>
      </c>
      <c r="CG34" s="330">
        <f>+DATOS_[[#This Row],[TOTAL SALARIO Ef]]+DATOS_[[#This Row],[Tot Extrasalarial Ef]]</f>
        <v>19736.983200000002</v>
      </c>
      <c r="CH34" s="303">
        <f>MIN(IF(DATOS_[[#This Row],[Fecha Fin Contrato]]="",$D$4,DATOS_[[#This Row],[Fecha Fin Contrato]]),$D$4)-MAX(DATOS_[[#This Row],[Fecha de Contratación]],$D$3)+1</f>
        <v>366</v>
      </c>
      <c r="CI34" s="304" t="str">
        <f>IF(COUNTIFS(DATOS_[id],DATOS_[[#This Row],[id]])&gt;1,DATOS_[[#This Row],[id]],"")</f>
        <v/>
      </c>
      <c r="CJ34" s="325">
        <f>(Inicio!$G$10-DATOS_[[#This Row],[Fecha Nacimiento]])/365.25</f>
        <v>35.063655030800824</v>
      </c>
      <c r="CK34" s="325">
        <f>(Inicio!$G$10-DATOS_[[#This Row],[Fecha de Antigüedad]])/365.25</f>
        <v>12.39151266255989</v>
      </c>
      <c r="CL34" s="325" t="str">
        <f>+VLOOKUP(DATOS_[[#This Row],[Clave de Contrato]],TblTiposContrato13[],3,FALSE)</f>
        <v>Completa</v>
      </c>
      <c r="CM34" s="325" t="str">
        <f>+VLOOKUP(DATOS_[[#This Row],[Clave de Contrato]],TblTiposContrato13[],4,FALSE)</f>
        <v>Indefinido</v>
      </c>
      <c r="CN34" s="325" t="str">
        <f>VLOOKUP(DATOS_[[#This Row],[Edad]],CONTRATOS!TblRngEdad,2,TRUE)</f>
        <v>35 a 40</v>
      </c>
      <c r="CO34" s="325" t="str">
        <f>VLOOKUP(DATOS_[[#This Row],[Antigüedad]],TblRngAntg14[],2,TRUE)</f>
        <v>de 10 a 15  años</v>
      </c>
    </row>
    <row r="35" spans="2:93" x14ac:dyDescent="0.25">
      <c r="B35" s="146">
        <v>25</v>
      </c>
      <c r="C35" s="146" t="s">
        <v>162</v>
      </c>
      <c r="D35" s="295">
        <v>31755</v>
      </c>
      <c r="E35" s="296" t="s">
        <v>427</v>
      </c>
      <c r="F35" s="296">
        <v>2</v>
      </c>
      <c r="G35" s="296">
        <v>2</v>
      </c>
      <c r="H35" s="297">
        <v>41240</v>
      </c>
      <c r="I35" s="298">
        <v>44196</v>
      </c>
      <c r="J35" s="295">
        <v>41240</v>
      </c>
      <c r="K35" s="326"/>
      <c r="L35" s="326">
        <v>44196</v>
      </c>
      <c r="M35" s="299">
        <v>1</v>
      </c>
      <c r="N35" s="299"/>
      <c r="O35" s="299"/>
      <c r="P35" s="296">
        <v>100</v>
      </c>
      <c r="Q35" s="146" t="s">
        <v>412</v>
      </c>
      <c r="R35" s="146" t="s">
        <v>418</v>
      </c>
      <c r="S35" s="146" t="s">
        <v>424</v>
      </c>
      <c r="T35" s="146" t="s">
        <v>407</v>
      </c>
      <c r="U35" s="146" t="s">
        <v>400</v>
      </c>
      <c r="V35" s="146" t="s">
        <v>425</v>
      </c>
      <c r="W35" s="146" t="s">
        <v>299</v>
      </c>
      <c r="X35" s="146" t="s">
        <v>310</v>
      </c>
      <c r="Y35" s="146" t="s">
        <v>409</v>
      </c>
      <c r="Z35" s="293"/>
      <c r="AA35" s="294" t="s">
        <v>426</v>
      </c>
      <c r="AB35" s="294">
        <v>4</v>
      </c>
      <c r="AC35" s="296">
        <v>2</v>
      </c>
      <c r="AD35" s="301">
        <v>17266.330000000002</v>
      </c>
      <c r="AE35" s="301">
        <v>3733.6699999999983</v>
      </c>
      <c r="AF35" s="301">
        <v>690.65320000000008</v>
      </c>
      <c r="AG35" s="301"/>
      <c r="AH35" s="301"/>
      <c r="AI35" s="301"/>
      <c r="AJ35" s="301"/>
      <c r="AK35" s="301">
        <v>80</v>
      </c>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v>16000</v>
      </c>
      <c r="BK35" s="301"/>
      <c r="BL35" s="301"/>
      <c r="BM35" s="302"/>
      <c r="BN35" s="291">
        <f>+MAX($D$3,DATOS_[[#This Row],[Fecha Inicio Sit. Contract.]])</f>
        <v>45292</v>
      </c>
      <c r="BO35" s="291">
        <f>+MIN($D$4,DATOS_[[#This Row],[Fecha Fin Sit. Contract.]])</f>
        <v>44196</v>
      </c>
      <c r="BP35" s="292">
        <f>+DATOS_[[#This Row],[% de jornada]]*IF(DATOS_[[#This Row],[% jornada reducida]]="",1,DATOS_[[#This Row],[% jornada reducida]])</f>
        <v>1</v>
      </c>
      <c r="BQ35" s="292">
        <f>+(DATOS_[[#This Row],[F.fin.cal]]-DATOS_[[#This Row],[F.ini.cal]]+1)/($D$4-$D$3+1)</f>
        <v>-2.9918032786885247</v>
      </c>
      <c r="BR35" s="322" t="str">
        <f>IF(OR(AND(DATOS_[[#This Row],[Fecha Fin Contrato]]&lt;$D$3,DATOS_[[#This Row],[Fecha Fin Contrato]]&lt;&gt;""),DATOS_[[#This Row],[Fecha de Contratación]]&gt;$D$4),"Fuera","Dentro")</f>
        <v>Fuera</v>
      </c>
      <c r="BS35" s="322" t="str">
        <f t="array" ref="BS35">IF(MAX(IF(DATOS_[id]=DATOS_[[#This Row],[id]],DATOS_[F.fin.cal]))=DATOS_[[#This Row],[F.fin.cal]],"Sí","NO")</f>
        <v>Sí</v>
      </c>
      <c r="BT35" s="292" t="str">
        <f>IF(AND(DATOS_[[#This Row],[% normaliz]]&lt;&gt;1,DATOS_[[#This Row],[% anualiz]]=1),"Sí","NO")</f>
        <v>NO</v>
      </c>
      <c r="BU35" s="292" t="str">
        <f>IF(AND(DATOS_[[#This Row],[% normaliz]]=1,DATOS_[[#This Row],[% anualiz]]&lt;&gt;1),"Sí","NO")</f>
        <v>Sí</v>
      </c>
      <c r="BV35" s="292" t="str">
        <f>IF(AND(DATOS_[[#This Row],[% normaliz]]&lt;&gt;1,DATOS_[[#This Row],[% anualiz]]&lt;&gt;1),"Sí","NO")</f>
        <v>NO</v>
      </c>
      <c r="BW35" s="322" t="str">
        <f>+IF(DATOS_[[#This Row],[% normaliz]]*DATOS_[[#This Row],[% anualiz]]=1,"NO","Sí")</f>
        <v>Sí</v>
      </c>
      <c r="BX35" s="323">
        <f>(DATOS_[[#This Row],[S.BASE]]*(1/DATOS_[[#This Row],[% normaliz]])*(1/DATOS_[[#This Row],[% anualiz]]))*IF(DATOS_[[#This Row],[Check Equiparado]]="Sí",1,0)</f>
        <v>-5771.211671232878</v>
      </c>
      <c r="BY3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-1398.8148778082186</v>
      </c>
      <c r="BZ35" s="323">
        <f>+DATOS_[[#This Row],[SALARIO BASE Eq]]+DATOS_[[#This Row],[Tot COMPL.SAL Eq]]</f>
        <v>-7170.0265490410966</v>
      </c>
      <c r="CA35" s="323">
        <f t="array" ref="CA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16000</v>
      </c>
      <c r="CB35" s="323">
        <f>+DATOS_[[#This Row],[TOTAL SALARIO Eq]]+DATOS_[[#This Row],[Tot Extrasalarial Eq]]</f>
        <v>8829.9734509589034</v>
      </c>
      <c r="CC35" s="327">
        <f>DATOS_[[#This Row],[S.BASE]]</f>
        <v>17266.330000000002</v>
      </c>
      <c r="CD35" s="324">
        <f>+SUM(DATOS_[[#This Row],[Conc.Sal.01]:[Conc.Sal.30]])</f>
        <v>4504.323199999998</v>
      </c>
      <c r="CE35" s="324">
        <f>+DATOS_[[#This Row],[SALARIO BASE Ef]]+DATOS_[[#This Row],[Tot COMPL.SAL Ef]]</f>
        <v>21770.653200000001</v>
      </c>
      <c r="CF35" s="324">
        <f>+SUM(DATOS_[[#This Row],[C.Extra.01]:[C.Extra.05]])</f>
        <v>16000</v>
      </c>
      <c r="CG35" s="330">
        <f>+DATOS_[[#This Row],[TOTAL SALARIO Ef]]+DATOS_[[#This Row],[Tot Extrasalarial Ef]]</f>
        <v>37770.653200000001</v>
      </c>
      <c r="CH35" s="303">
        <f>MIN(IF(DATOS_[[#This Row],[Fecha Fin Contrato]]="",$D$4,DATOS_[[#This Row],[Fecha Fin Contrato]]),$D$4)-MAX(DATOS_[[#This Row],[Fecha de Contratación]],$D$3)+1</f>
        <v>-1095</v>
      </c>
      <c r="CI35" s="304" t="str">
        <f>IF(COUNTIFS(DATOS_[id],DATOS_[[#This Row],[id]])&gt;1,DATOS_[[#This Row],[id]],"")</f>
        <v/>
      </c>
      <c r="CJ35" s="325">
        <f>(Inicio!$G$10-DATOS_[[#This Row],[Fecha Nacimiento]])/365.25</f>
        <v>38.061601642710471</v>
      </c>
      <c r="CK35" s="325">
        <f>(Inicio!$G$10-DATOS_[[#This Row],[Fecha de Antigüedad]])/365.25</f>
        <v>12.093086926762492</v>
      </c>
      <c r="CL35" s="325" t="str">
        <f>+VLOOKUP(DATOS_[[#This Row],[Clave de Contrato]],TblTiposContrato13[],3,FALSE)</f>
        <v>Completa</v>
      </c>
      <c r="CM35" s="325" t="str">
        <f>+VLOOKUP(DATOS_[[#This Row],[Clave de Contrato]],TblTiposContrato13[],4,FALSE)</f>
        <v>Indefinido</v>
      </c>
      <c r="CN35" s="325" t="str">
        <f>VLOOKUP(DATOS_[[#This Row],[Edad]],CONTRATOS!TblRngEdad,2,TRUE)</f>
        <v>35 a 40</v>
      </c>
      <c r="CO35" s="325" t="str">
        <f>VLOOKUP(DATOS_[[#This Row],[Antigüedad]],TblRngAntg14[],2,TRUE)</f>
        <v>de 10 a 15  años</v>
      </c>
    </row>
    <row r="36" spans="2:93" x14ac:dyDescent="0.25">
      <c r="B36" s="146">
        <v>26</v>
      </c>
      <c r="C36" s="146" t="s">
        <v>163</v>
      </c>
      <c r="D36" s="295">
        <v>33580</v>
      </c>
      <c r="E36" s="296" t="s">
        <v>403</v>
      </c>
      <c r="F36" s="296">
        <v>2</v>
      </c>
      <c r="G36" s="296">
        <v>3</v>
      </c>
      <c r="H36" s="297">
        <v>40218</v>
      </c>
      <c r="I36" s="298"/>
      <c r="J36" s="295">
        <v>40218</v>
      </c>
      <c r="K36" s="326"/>
      <c r="L36" s="326"/>
      <c r="M36" s="299">
        <v>0.5</v>
      </c>
      <c r="N36" s="299"/>
      <c r="O36" s="299"/>
      <c r="P36" s="296">
        <v>200</v>
      </c>
      <c r="Q36" s="146" t="s">
        <v>404</v>
      </c>
      <c r="R36" s="146" t="s">
        <v>411</v>
      </c>
      <c r="S36" s="146" t="s">
        <v>424</v>
      </c>
      <c r="T36" s="146" t="s">
        <v>407</v>
      </c>
      <c r="U36" s="146" t="s">
        <v>400</v>
      </c>
      <c r="V36" s="146" t="s">
        <v>425</v>
      </c>
      <c r="W36" s="146" t="s">
        <v>299</v>
      </c>
      <c r="X36" s="146" t="s">
        <v>310</v>
      </c>
      <c r="Y36" s="146" t="s">
        <v>409</v>
      </c>
      <c r="Z36" s="293"/>
      <c r="AA36" s="294" t="s">
        <v>426</v>
      </c>
      <c r="AB36" s="294">
        <v>4</v>
      </c>
      <c r="AC36" s="296">
        <v>2</v>
      </c>
      <c r="AD36" s="301">
        <v>8633.1650000000009</v>
      </c>
      <c r="AE36" s="301">
        <v>1866.8349999999991</v>
      </c>
      <c r="AF36" s="301">
        <v>690.65320000000008</v>
      </c>
      <c r="AG36" s="301"/>
      <c r="AH36" s="301"/>
      <c r="AI36" s="301"/>
      <c r="AJ36" s="301"/>
      <c r="AK36" s="301">
        <v>80</v>
      </c>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2"/>
      <c r="BN36" s="291">
        <f>+MAX($D$3,DATOS_[[#This Row],[Fecha Inicio Sit. Contract.]])</f>
        <v>45292</v>
      </c>
      <c r="BO36" s="291">
        <f>+MIN($D$4,DATOS_[[#This Row],[Fecha Fin Sit. Contract.]])</f>
        <v>45657</v>
      </c>
      <c r="BP36" s="292">
        <f>+DATOS_[[#This Row],[% de jornada]]*IF(DATOS_[[#This Row],[% jornada reducida]]="",1,DATOS_[[#This Row],[% jornada reducida]])</f>
        <v>0.5</v>
      </c>
      <c r="BQ36" s="292">
        <f>+(DATOS_[[#This Row],[F.fin.cal]]-DATOS_[[#This Row],[F.ini.cal]]+1)/($D$4-$D$3+1)</f>
        <v>1</v>
      </c>
      <c r="BR36" s="322" t="str">
        <f>IF(OR(AND(DATOS_[[#This Row],[Fecha Fin Contrato]]&lt;$D$3,DATOS_[[#This Row],[Fecha Fin Contrato]]&lt;&gt;""),DATOS_[[#This Row],[Fecha de Contratación]]&gt;$D$4),"Fuera","Dentro")</f>
        <v>Dentro</v>
      </c>
      <c r="BS36" s="322" t="str">
        <f t="array" ref="BS36">IF(MAX(IF(DATOS_[id]=DATOS_[[#This Row],[id]],DATOS_[F.fin.cal]))=DATOS_[[#This Row],[F.fin.cal]],"Sí","NO")</f>
        <v>Sí</v>
      </c>
      <c r="BT36" s="292" t="str">
        <f>IF(AND(DATOS_[[#This Row],[% normaliz]]&lt;&gt;1,DATOS_[[#This Row],[% anualiz]]=1),"Sí","NO")</f>
        <v>Sí</v>
      </c>
      <c r="BU36" s="292" t="str">
        <f>IF(AND(DATOS_[[#This Row],[% normaliz]]=1,DATOS_[[#This Row],[% anualiz]]&lt;&gt;1),"Sí","NO")</f>
        <v>NO</v>
      </c>
      <c r="BV36" s="292" t="str">
        <f>IF(AND(DATOS_[[#This Row],[% normaliz]]&lt;&gt;1,DATOS_[[#This Row],[% anualiz]]&lt;&gt;1),"Sí","NO")</f>
        <v>NO</v>
      </c>
      <c r="BW36" s="322" t="str">
        <f>+IF(DATOS_[[#This Row],[% normaliz]]*DATOS_[[#This Row],[% anualiz]]=1,"NO","Sí")</f>
        <v>Sí</v>
      </c>
      <c r="BX36" s="323">
        <f>(DATOS_[[#This Row],[S.BASE]]*(1/DATOS_[[#This Row],[% normaliz]])*(1/DATOS_[[#This Row],[% anualiz]]))*IF(DATOS_[[#This Row],[Check Equiparado]]="Sí",1,0)</f>
        <v>17266.330000000002</v>
      </c>
      <c r="BY3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36" s="323">
        <f>+DATOS_[[#This Row],[SALARIO BASE Eq]]+DATOS_[[#This Row],[Tot COMPL.SAL Eq]]</f>
        <v>22461.306400000001</v>
      </c>
      <c r="CA36" s="323">
        <f t="array" ref="CA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6" s="323">
        <f>+DATOS_[[#This Row],[TOTAL SALARIO Eq]]+DATOS_[[#This Row],[Tot Extrasalarial Eq]]</f>
        <v>22461.306400000001</v>
      </c>
      <c r="CC36" s="327">
        <f>DATOS_[[#This Row],[S.BASE]]</f>
        <v>8633.1650000000009</v>
      </c>
      <c r="CD36" s="324">
        <f>+SUM(DATOS_[[#This Row],[Conc.Sal.01]:[Conc.Sal.30]])</f>
        <v>2637.4881999999993</v>
      </c>
      <c r="CE36" s="324">
        <f>+DATOS_[[#This Row],[SALARIO BASE Ef]]+DATOS_[[#This Row],[Tot COMPL.SAL Ef]]</f>
        <v>11270.653200000001</v>
      </c>
      <c r="CF36" s="324">
        <f>+SUM(DATOS_[[#This Row],[C.Extra.01]:[C.Extra.05]])</f>
        <v>0</v>
      </c>
      <c r="CG36" s="330">
        <f>+DATOS_[[#This Row],[TOTAL SALARIO Ef]]+DATOS_[[#This Row],[Tot Extrasalarial Ef]]</f>
        <v>11270.653200000001</v>
      </c>
      <c r="CH36" s="303">
        <f>MIN(IF(DATOS_[[#This Row],[Fecha Fin Contrato]]="",$D$4,DATOS_[[#This Row],[Fecha Fin Contrato]]),$D$4)-MAX(DATOS_[[#This Row],[Fecha de Contratación]],$D$3)+1</f>
        <v>366</v>
      </c>
      <c r="CI36" s="304" t="str">
        <f>IF(COUNTIFS(DATOS_[id],DATOS_[[#This Row],[id]])&gt;1,DATOS_[[#This Row],[id]],"")</f>
        <v/>
      </c>
      <c r="CJ36" s="325">
        <f>(Inicio!$G$10-DATOS_[[#This Row],[Fecha Nacimiento]])/365.25</f>
        <v>33.065023956194388</v>
      </c>
      <c r="CK36" s="325">
        <f>(Inicio!$G$10-DATOS_[[#This Row],[Fecha de Antigüedad]])/365.25</f>
        <v>14.891170431211499</v>
      </c>
      <c r="CL36" s="325" t="str">
        <f>+VLOOKUP(DATOS_[[#This Row],[Clave de Contrato]],TblTiposContrato13[],3,FALSE)</f>
        <v>Parcial</v>
      </c>
      <c r="CM36" s="325" t="str">
        <f>+VLOOKUP(DATOS_[[#This Row],[Clave de Contrato]],TblTiposContrato13[],4,FALSE)</f>
        <v>Indefinido</v>
      </c>
      <c r="CN36" s="325" t="str">
        <f>VLOOKUP(DATOS_[[#This Row],[Edad]],CONTRATOS!TblRngEdad,2,TRUE)</f>
        <v>30 a 35</v>
      </c>
      <c r="CO36" s="325" t="str">
        <f>VLOOKUP(DATOS_[[#This Row],[Antigüedad]],TblRngAntg14[],2,TRUE)</f>
        <v>de 10 a 15  años</v>
      </c>
    </row>
    <row r="37" spans="2:93" x14ac:dyDescent="0.25">
      <c r="B37" s="146">
        <v>27</v>
      </c>
      <c r="C37" s="146" t="s">
        <v>162</v>
      </c>
      <c r="D37" s="295">
        <v>35040</v>
      </c>
      <c r="E37" s="296" t="s">
        <v>403</v>
      </c>
      <c r="F37" s="296">
        <v>2</v>
      </c>
      <c r="G37" s="296">
        <v>3</v>
      </c>
      <c r="H37" s="297">
        <v>40218</v>
      </c>
      <c r="I37" s="298"/>
      <c r="J37" s="295">
        <v>40218</v>
      </c>
      <c r="K37" s="326"/>
      <c r="L37" s="326"/>
      <c r="M37" s="299">
        <v>0.5</v>
      </c>
      <c r="N37" s="299"/>
      <c r="O37" s="299"/>
      <c r="P37" s="296">
        <v>200</v>
      </c>
      <c r="Q37" s="146" t="s">
        <v>412</v>
      </c>
      <c r="R37" s="146" t="s">
        <v>417</v>
      </c>
      <c r="S37" s="146" t="s">
        <v>424</v>
      </c>
      <c r="T37" s="146" t="s">
        <v>407</v>
      </c>
      <c r="U37" s="146" t="s">
        <v>400</v>
      </c>
      <c r="V37" s="146" t="s">
        <v>425</v>
      </c>
      <c r="W37" s="146" t="s">
        <v>299</v>
      </c>
      <c r="X37" s="146" t="s">
        <v>310</v>
      </c>
      <c r="Y37" s="146" t="s">
        <v>409</v>
      </c>
      <c r="Z37" s="293"/>
      <c r="AA37" s="294" t="s">
        <v>426</v>
      </c>
      <c r="AB37" s="294">
        <v>4</v>
      </c>
      <c r="AC37" s="296">
        <v>2</v>
      </c>
      <c r="AD37" s="301">
        <v>8633.1650000000009</v>
      </c>
      <c r="AE37" s="301">
        <v>1866.8349999999991</v>
      </c>
      <c r="AF37" s="301">
        <v>690.65320000000008</v>
      </c>
      <c r="AG37" s="301"/>
      <c r="AH37" s="301"/>
      <c r="AI37" s="301"/>
      <c r="AJ37" s="301"/>
      <c r="AK37" s="301">
        <v>80</v>
      </c>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2"/>
      <c r="BN37" s="291">
        <f>+MAX($D$3,DATOS_[[#This Row],[Fecha Inicio Sit. Contract.]])</f>
        <v>45292</v>
      </c>
      <c r="BO37" s="291">
        <f>+MIN($D$4,DATOS_[[#This Row],[Fecha Fin Sit. Contract.]])</f>
        <v>45657</v>
      </c>
      <c r="BP37" s="292">
        <f>+DATOS_[[#This Row],[% de jornada]]*IF(DATOS_[[#This Row],[% jornada reducida]]="",1,DATOS_[[#This Row],[% jornada reducida]])</f>
        <v>0.5</v>
      </c>
      <c r="BQ37" s="292">
        <f>+(DATOS_[[#This Row],[F.fin.cal]]-DATOS_[[#This Row],[F.ini.cal]]+1)/($D$4-$D$3+1)</f>
        <v>1</v>
      </c>
      <c r="BR37" s="322" t="str">
        <f>IF(OR(AND(DATOS_[[#This Row],[Fecha Fin Contrato]]&lt;$D$3,DATOS_[[#This Row],[Fecha Fin Contrato]]&lt;&gt;""),DATOS_[[#This Row],[Fecha de Contratación]]&gt;$D$4),"Fuera","Dentro")</f>
        <v>Dentro</v>
      </c>
      <c r="BS37" s="322" t="str">
        <f t="array" ref="BS37">IF(MAX(IF(DATOS_[id]=DATOS_[[#This Row],[id]],DATOS_[F.fin.cal]))=DATOS_[[#This Row],[F.fin.cal]],"Sí","NO")</f>
        <v>Sí</v>
      </c>
      <c r="BT37" s="292" t="str">
        <f>IF(AND(DATOS_[[#This Row],[% normaliz]]&lt;&gt;1,DATOS_[[#This Row],[% anualiz]]=1),"Sí","NO")</f>
        <v>Sí</v>
      </c>
      <c r="BU37" s="292" t="str">
        <f>IF(AND(DATOS_[[#This Row],[% normaliz]]=1,DATOS_[[#This Row],[% anualiz]]&lt;&gt;1),"Sí","NO")</f>
        <v>NO</v>
      </c>
      <c r="BV37" s="292" t="str">
        <f>IF(AND(DATOS_[[#This Row],[% normaliz]]&lt;&gt;1,DATOS_[[#This Row],[% anualiz]]&lt;&gt;1),"Sí","NO")</f>
        <v>NO</v>
      </c>
      <c r="BW37" s="322" t="str">
        <f>+IF(DATOS_[[#This Row],[% normaliz]]*DATOS_[[#This Row],[% anualiz]]=1,"NO","Sí")</f>
        <v>Sí</v>
      </c>
      <c r="BX37" s="323">
        <f>(DATOS_[[#This Row],[S.BASE]]*(1/DATOS_[[#This Row],[% normaliz]])*(1/DATOS_[[#This Row],[% anualiz]]))*IF(DATOS_[[#This Row],[Check Equiparado]]="Sí",1,0)</f>
        <v>17266.330000000002</v>
      </c>
      <c r="BY3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37" s="323">
        <f>+DATOS_[[#This Row],[SALARIO BASE Eq]]+DATOS_[[#This Row],[Tot COMPL.SAL Eq]]</f>
        <v>22461.306400000001</v>
      </c>
      <c r="CA37" s="323">
        <f t="array" ref="CA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7" s="323">
        <f>+DATOS_[[#This Row],[TOTAL SALARIO Eq]]+DATOS_[[#This Row],[Tot Extrasalarial Eq]]</f>
        <v>22461.306400000001</v>
      </c>
      <c r="CC37" s="327">
        <f>DATOS_[[#This Row],[S.BASE]]</f>
        <v>8633.1650000000009</v>
      </c>
      <c r="CD37" s="324">
        <f>+SUM(DATOS_[[#This Row],[Conc.Sal.01]:[Conc.Sal.30]])</f>
        <v>2637.4881999999993</v>
      </c>
      <c r="CE37" s="324">
        <f>+DATOS_[[#This Row],[SALARIO BASE Ef]]+DATOS_[[#This Row],[Tot COMPL.SAL Ef]]</f>
        <v>11270.653200000001</v>
      </c>
      <c r="CF37" s="324">
        <f>+SUM(DATOS_[[#This Row],[C.Extra.01]:[C.Extra.05]])</f>
        <v>0</v>
      </c>
      <c r="CG37" s="330">
        <f>+DATOS_[[#This Row],[TOTAL SALARIO Ef]]+DATOS_[[#This Row],[Tot Extrasalarial Ef]]</f>
        <v>11270.653200000001</v>
      </c>
      <c r="CH37" s="303">
        <f>MIN(IF(DATOS_[[#This Row],[Fecha Fin Contrato]]="",$D$4,DATOS_[[#This Row],[Fecha Fin Contrato]]),$D$4)-MAX(DATOS_[[#This Row],[Fecha de Contratación]],$D$3)+1</f>
        <v>366</v>
      </c>
      <c r="CI37" s="304" t="str">
        <f>IF(COUNTIFS(DATOS_[id],DATOS_[[#This Row],[id]])&gt;1,DATOS_[[#This Row],[id]],"")</f>
        <v/>
      </c>
      <c r="CJ37" s="325">
        <f>(Inicio!$G$10-DATOS_[[#This Row],[Fecha Nacimiento]])/365.25</f>
        <v>29.067761806981519</v>
      </c>
      <c r="CK37" s="325">
        <f>(Inicio!$G$10-DATOS_[[#This Row],[Fecha de Antigüedad]])/365.25</f>
        <v>14.891170431211499</v>
      </c>
      <c r="CL37" s="325" t="str">
        <f>+VLOOKUP(DATOS_[[#This Row],[Clave de Contrato]],TblTiposContrato13[],3,FALSE)</f>
        <v>Parcial</v>
      </c>
      <c r="CM37" s="325" t="str">
        <f>+VLOOKUP(DATOS_[[#This Row],[Clave de Contrato]],TblTiposContrato13[],4,FALSE)</f>
        <v>Indefinido</v>
      </c>
      <c r="CN37" s="325" t="str">
        <f>VLOOKUP(DATOS_[[#This Row],[Edad]],CONTRATOS!TblRngEdad,2,TRUE)</f>
        <v>25 a 30</v>
      </c>
      <c r="CO37" s="325" t="str">
        <f>VLOOKUP(DATOS_[[#This Row],[Antigüedad]],TblRngAntg14[],2,TRUE)</f>
        <v>de 10 a 15  años</v>
      </c>
    </row>
    <row r="38" spans="2:93" x14ac:dyDescent="0.25">
      <c r="B38" s="146">
        <v>28</v>
      </c>
      <c r="C38" s="146" t="s">
        <v>163</v>
      </c>
      <c r="D38" s="295">
        <v>28835</v>
      </c>
      <c r="E38" s="296" t="s">
        <v>71</v>
      </c>
      <c r="F38" s="296">
        <v>3</v>
      </c>
      <c r="G38" s="296">
        <v>1</v>
      </c>
      <c r="H38" s="297">
        <v>40437</v>
      </c>
      <c r="I38" s="298"/>
      <c r="J38" s="295">
        <v>40437</v>
      </c>
      <c r="K38" s="326"/>
      <c r="L38" s="326"/>
      <c r="M38" s="299">
        <v>0.5</v>
      </c>
      <c r="N38" s="299"/>
      <c r="O38" s="299"/>
      <c r="P38" s="296">
        <v>200</v>
      </c>
      <c r="Q38" s="146" t="s">
        <v>412</v>
      </c>
      <c r="R38" s="146" t="s">
        <v>418</v>
      </c>
      <c r="S38" s="146" t="s">
        <v>424</v>
      </c>
      <c r="T38" s="146" t="s">
        <v>407</v>
      </c>
      <c r="U38" s="146" t="s">
        <v>400</v>
      </c>
      <c r="V38" s="146" t="s">
        <v>425</v>
      </c>
      <c r="W38" s="146" t="s">
        <v>299</v>
      </c>
      <c r="X38" s="146" t="s">
        <v>310</v>
      </c>
      <c r="Y38" s="146" t="s">
        <v>409</v>
      </c>
      <c r="Z38" s="293"/>
      <c r="AA38" s="294" t="s">
        <v>426</v>
      </c>
      <c r="AB38" s="294">
        <v>4</v>
      </c>
      <c r="AC38" s="296">
        <v>2</v>
      </c>
      <c r="AD38" s="301">
        <v>8633.1650000000009</v>
      </c>
      <c r="AE38" s="301">
        <v>1866.8349999999991</v>
      </c>
      <c r="AF38" s="301">
        <v>690.65320000000008</v>
      </c>
      <c r="AG38" s="301"/>
      <c r="AH38" s="301"/>
      <c r="AI38" s="301"/>
      <c r="AJ38" s="301"/>
      <c r="AK38" s="301">
        <v>80</v>
      </c>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2"/>
      <c r="BN38" s="291">
        <f>+MAX($D$3,DATOS_[[#This Row],[Fecha Inicio Sit. Contract.]])</f>
        <v>45292</v>
      </c>
      <c r="BO38" s="291">
        <f>+MIN($D$4,DATOS_[[#This Row],[Fecha Fin Sit. Contract.]])</f>
        <v>45657</v>
      </c>
      <c r="BP38" s="292">
        <f>+DATOS_[[#This Row],[% de jornada]]*IF(DATOS_[[#This Row],[% jornada reducida]]="",1,DATOS_[[#This Row],[% jornada reducida]])</f>
        <v>0.5</v>
      </c>
      <c r="BQ38" s="292">
        <f>+(DATOS_[[#This Row],[F.fin.cal]]-DATOS_[[#This Row],[F.ini.cal]]+1)/($D$4-$D$3+1)</f>
        <v>1</v>
      </c>
      <c r="BR38" s="322" t="str">
        <f>IF(OR(AND(DATOS_[[#This Row],[Fecha Fin Contrato]]&lt;$D$3,DATOS_[[#This Row],[Fecha Fin Contrato]]&lt;&gt;""),DATOS_[[#This Row],[Fecha de Contratación]]&gt;$D$4),"Fuera","Dentro")</f>
        <v>Dentro</v>
      </c>
      <c r="BS38" s="322" t="str">
        <f t="array" ref="BS38">IF(MAX(IF(DATOS_[id]=DATOS_[[#This Row],[id]],DATOS_[F.fin.cal]))=DATOS_[[#This Row],[F.fin.cal]],"Sí","NO")</f>
        <v>Sí</v>
      </c>
      <c r="BT38" s="292" t="str">
        <f>IF(AND(DATOS_[[#This Row],[% normaliz]]&lt;&gt;1,DATOS_[[#This Row],[% anualiz]]=1),"Sí","NO")</f>
        <v>Sí</v>
      </c>
      <c r="BU38" s="292" t="str">
        <f>IF(AND(DATOS_[[#This Row],[% normaliz]]=1,DATOS_[[#This Row],[% anualiz]]&lt;&gt;1),"Sí","NO")</f>
        <v>NO</v>
      </c>
      <c r="BV38" s="292" t="str">
        <f>IF(AND(DATOS_[[#This Row],[% normaliz]]&lt;&gt;1,DATOS_[[#This Row],[% anualiz]]&lt;&gt;1),"Sí","NO")</f>
        <v>NO</v>
      </c>
      <c r="BW38" s="322" t="str">
        <f>+IF(DATOS_[[#This Row],[% normaliz]]*DATOS_[[#This Row],[% anualiz]]=1,"NO","Sí")</f>
        <v>Sí</v>
      </c>
      <c r="BX38" s="323">
        <f>(DATOS_[[#This Row],[S.BASE]]*(1/DATOS_[[#This Row],[% normaliz]])*(1/DATOS_[[#This Row],[% anualiz]]))*IF(DATOS_[[#This Row],[Check Equiparado]]="Sí",1,0)</f>
        <v>17266.330000000002</v>
      </c>
      <c r="BY3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38" s="323">
        <f>+DATOS_[[#This Row],[SALARIO BASE Eq]]+DATOS_[[#This Row],[Tot COMPL.SAL Eq]]</f>
        <v>22461.306400000001</v>
      </c>
      <c r="CA38" s="323">
        <f t="array" ref="CA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8" s="323">
        <f>+DATOS_[[#This Row],[TOTAL SALARIO Eq]]+DATOS_[[#This Row],[Tot Extrasalarial Eq]]</f>
        <v>22461.306400000001</v>
      </c>
      <c r="CC38" s="327">
        <f>DATOS_[[#This Row],[S.BASE]]</f>
        <v>8633.1650000000009</v>
      </c>
      <c r="CD38" s="324">
        <f>+SUM(DATOS_[[#This Row],[Conc.Sal.01]:[Conc.Sal.30]])</f>
        <v>2637.4881999999993</v>
      </c>
      <c r="CE38" s="324">
        <f>+DATOS_[[#This Row],[SALARIO BASE Ef]]+DATOS_[[#This Row],[Tot COMPL.SAL Ef]]</f>
        <v>11270.653200000001</v>
      </c>
      <c r="CF38" s="324">
        <f>+SUM(DATOS_[[#This Row],[C.Extra.01]:[C.Extra.05]])</f>
        <v>0</v>
      </c>
      <c r="CG38" s="330">
        <f>+DATOS_[[#This Row],[TOTAL SALARIO Ef]]+DATOS_[[#This Row],[Tot Extrasalarial Ef]]</f>
        <v>11270.653200000001</v>
      </c>
      <c r="CH38" s="303">
        <f>MIN(IF(DATOS_[[#This Row],[Fecha Fin Contrato]]="",$D$4,DATOS_[[#This Row],[Fecha Fin Contrato]]),$D$4)-MAX(DATOS_[[#This Row],[Fecha de Contratación]],$D$3)+1</f>
        <v>366</v>
      </c>
      <c r="CI38" s="304" t="str">
        <f>IF(COUNTIFS(DATOS_[id],DATOS_[[#This Row],[id]])&gt;1,DATOS_[[#This Row],[id]],"")</f>
        <v/>
      </c>
      <c r="CJ38" s="325">
        <f>(Inicio!$G$10-DATOS_[[#This Row],[Fecha Nacimiento]])/365.25</f>
        <v>46.056125941136209</v>
      </c>
      <c r="CK38" s="325">
        <f>(Inicio!$G$10-DATOS_[[#This Row],[Fecha de Antigüedad]])/365.25</f>
        <v>14.291581108829568</v>
      </c>
      <c r="CL38" s="325" t="str">
        <f>+VLOOKUP(DATOS_[[#This Row],[Clave de Contrato]],TblTiposContrato13[],3,FALSE)</f>
        <v>Parcial</v>
      </c>
      <c r="CM38" s="325" t="str">
        <f>+VLOOKUP(DATOS_[[#This Row],[Clave de Contrato]],TblTiposContrato13[],4,FALSE)</f>
        <v>Indefinido</v>
      </c>
      <c r="CN38" s="325" t="str">
        <f>VLOOKUP(DATOS_[[#This Row],[Edad]],CONTRATOS!TblRngEdad,2,TRUE)</f>
        <v>45 a 50</v>
      </c>
      <c r="CO38" s="325" t="str">
        <f>VLOOKUP(DATOS_[[#This Row],[Antigüedad]],TblRngAntg14[],2,TRUE)</f>
        <v>de 10 a 15  años</v>
      </c>
    </row>
    <row r="39" spans="2:93" x14ac:dyDescent="0.25">
      <c r="B39" s="146">
        <v>29</v>
      </c>
      <c r="C39" s="146" t="s">
        <v>162</v>
      </c>
      <c r="D39" s="295">
        <v>36135</v>
      </c>
      <c r="E39" s="296" t="s">
        <v>71</v>
      </c>
      <c r="F39" s="296">
        <v>3</v>
      </c>
      <c r="G39" s="296">
        <v>3</v>
      </c>
      <c r="H39" s="297">
        <v>37223</v>
      </c>
      <c r="I39" s="298"/>
      <c r="J39" s="295">
        <v>37223</v>
      </c>
      <c r="K39" s="326"/>
      <c r="L39" s="326"/>
      <c r="M39" s="299">
        <v>1</v>
      </c>
      <c r="N39" s="299"/>
      <c r="O39" s="299"/>
      <c r="P39" s="296">
        <v>100</v>
      </c>
      <c r="Q39" s="146" t="s">
        <v>412</v>
      </c>
      <c r="R39" s="146" t="s">
        <v>417</v>
      </c>
      <c r="S39" s="146" t="s">
        <v>424</v>
      </c>
      <c r="T39" s="146" t="s">
        <v>407</v>
      </c>
      <c r="U39" s="146" t="s">
        <v>400</v>
      </c>
      <c r="V39" s="146" t="s">
        <v>425</v>
      </c>
      <c r="W39" s="146" t="s">
        <v>299</v>
      </c>
      <c r="X39" s="146" t="s">
        <v>310</v>
      </c>
      <c r="Y39" s="146" t="s">
        <v>409</v>
      </c>
      <c r="Z39" s="293"/>
      <c r="AA39" s="294" t="s">
        <v>426</v>
      </c>
      <c r="AB39" s="294">
        <v>4</v>
      </c>
      <c r="AC39" s="296">
        <v>2</v>
      </c>
      <c r="AD39" s="301">
        <v>17266.330000000002</v>
      </c>
      <c r="AE39" s="301">
        <v>3733.6699999999983</v>
      </c>
      <c r="AF39" s="301">
        <v>2762.6128000000003</v>
      </c>
      <c r="AG39" s="301"/>
      <c r="AH39" s="301"/>
      <c r="AI39" s="301"/>
      <c r="AJ39" s="301"/>
      <c r="AK39" s="301">
        <v>80</v>
      </c>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2"/>
      <c r="BN39" s="291">
        <f>+MAX($D$3,DATOS_[[#This Row],[Fecha Inicio Sit. Contract.]])</f>
        <v>45292</v>
      </c>
      <c r="BO39" s="291">
        <f>+MIN($D$4,DATOS_[[#This Row],[Fecha Fin Sit. Contract.]])</f>
        <v>45657</v>
      </c>
      <c r="BP39" s="292">
        <f>+DATOS_[[#This Row],[% de jornada]]*IF(DATOS_[[#This Row],[% jornada reducida]]="",1,DATOS_[[#This Row],[% jornada reducida]])</f>
        <v>1</v>
      </c>
      <c r="BQ39" s="292">
        <f>+(DATOS_[[#This Row],[F.fin.cal]]-DATOS_[[#This Row],[F.ini.cal]]+1)/($D$4-$D$3+1)</f>
        <v>1</v>
      </c>
      <c r="BR39" s="322" t="str">
        <f>IF(OR(AND(DATOS_[[#This Row],[Fecha Fin Contrato]]&lt;$D$3,DATOS_[[#This Row],[Fecha Fin Contrato]]&lt;&gt;""),DATOS_[[#This Row],[Fecha de Contratación]]&gt;$D$4),"Fuera","Dentro")</f>
        <v>Dentro</v>
      </c>
      <c r="BS39" s="322" t="str">
        <f t="array" ref="BS39">IF(MAX(IF(DATOS_[id]=DATOS_[[#This Row],[id]],DATOS_[F.fin.cal]))=DATOS_[[#This Row],[F.fin.cal]],"Sí","NO")</f>
        <v>Sí</v>
      </c>
      <c r="BT39" s="292" t="str">
        <f>IF(AND(DATOS_[[#This Row],[% normaliz]]&lt;&gt;1,DATOS_[[#This Row],[% anualiz]]=1),"Sí","NO")</f>
        <v>NO</v>
      </c>
      <c r="BU39" s="292" t="str">
        <f>IF(AND(DATOS_[[#This Row],[% normaliz]]=1,DATOS_[[#This Row],[% anualiz]]&lt;&gt;1),"Sí","NO")</f>
        <v>NO</v>
      </c>
      <c r="BV39" s="292" t="str">
        <f>IF(AND(DATOS_[[#This Row],[% normaliz]]&lt;&gt;1,DATOS_[[#This Row],[% anualiz]]&lt;&gt;1),"Sí","NO")</f>
        <v>NO</v>
      </c>
      <c r="BW39" s="322" t="str">
        <f>+IF(DATOS_[[#This Row],[% normaliz]]*DATOS_[[#This Row],[% anualiz]]=1,"NO","Sí")</f>
        <v>NO</v>
      </c>
      <c r="BX39" s="323">
        <f>(DATOS_[[#This Row],[S.BASE]]*(1/DATOS_[[#This Row],[% normaliz]])*(1/DATOS_[[#This Row],[% anualiz]]))*IF(DATOS_[[#This Row],[Check Equiparado]]="Sí",1,0)</f>
        <v>17266.330000000002</v>
      </c>
      <c r="BY3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39" s="323">
        <f>+DATOS_[[#This Row],[SALARIO BASE Eq]]+DATOS_[[#This Row],[Tot COMPL.SAL Eq]]</f>
        <v>23842.612800000003</v>
      </c>
      <c r="CA39" s="323">
        <f t="array" ref="CA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9" s="323">
        <f>+DATOS_[[#This Row],[TOTAL SALARIO Eq]]+DATOS_[[#This Row],[Tot Extrasalarial Eq]]</f>
        <v>23842.612800000003</v>
      </c>
      <c r="CC39" s="327">
        <f>DATOS_[[#This Row],[S.BASE]]</f>
        <v>17266.330000000002</v>
      </c>
      <c r="CD39" s="324">
        <f>+SUM(DATOS_[[#This Row],[Conc.Sal.01]:[Conc.Sal.30]])</f>
        <v>6576.282799999999</v>
      </c>
      <c r="CE39" s="324">
        <f>+DATOS_[[#This Row],[SALARIO BASE Ef]]+DATOS_[[#This Row],[Tot COMPL.SAL Ef]]</f>
        <v>23842.612800000003</v>
      </c>
      <c r="CF39" s="324">
        <f>+SUM(DATOS_[[#This Row],[C.Extra.01]:[C.Extra.05]])</f>
        <v>0</v>
      </c>
      <c r="CG39" s="330">
        <f>+DATOS_[[#This Row],[TOTAL SALARIO Ef]]+DATOS_[[#This Row],[Tot Extrasalarial Ef]]</f>
        <v>23842.612800000003</v>
      </c>
      <c r="CH39" s="303">
        <f>MIN(IF(DATOS_[[#This Row],[Fecha Fin Contrato]]="",$D$4,DATOS_[[#This Row],[Fecha Fin Contrato]]),$D$4)-MAX(DATOS_[[#This Row],[Fecha de Contratación]],$D$3)+1</f>
        <v>366</v>
      </c>
      <c r="CI39" s="304" t="str">
        <f>IF(COUNTIFS(DATOS_[id],DATOS_[[#This Row],[id]])&gt;1,DATOS_[[#This Row],[id]],"")</f>
        <v/>
      </c>
      <c r="CJ39" s="325">
        <f>(Inicio!$G$10-DATOS_[[#This Row],[Fecha Nacimiento]])/365.25</f>
        <v>26.069815195071868</v>
      </c>
      <c r="CK39" s="325">
        <f>(Inicio!$G$10-DATOS_[[#This Row],[Fecha de Antigüedad]])/365.25</f>
        <v>23.091033538672143</v>
      </c>
      <c r="CL39" s="325" t="str">
        <f>+VLOOKUP(DATOS_[[#This Row],[Clave de Contrato]],TblTiposContrato13[],3,FALSE)</f>
        <v>Completa</v>
      </c>
      <c r="CM39" s="325" t="str">
        <f>+VLOOKUP(DATOS_[[#This Row],[Clave de Contrato]],TblTiposContrato13[],4,FALSE)</f>
        <v>Indefinido</v>
      </c>
      <c r="CN39" s="325" t="str">
        <f>VLOOKUP(DATOS_[[#This Row],[Edad]],CONTRATOS!TblRngEdad,2,TRUE)</f>
        <v>25 a 30</v>
      </c>
      <c r="CO39" s="325" t="str">
        <f>VLOOKUP(DATOS_[[#This Row],[Antigüedad]],TblRngAntg14[],2,TRUE)</f>
        <v>más de 15</v>
      </c>
    </row>
    <row r="40" spans="2:93" x14ac:dyDescent="0.25">
      <c r="B40" s="146">
        <v>30</v>
      </c>
      <c r="C40" s="146" t="s">
        <v>163</v>
      </c>
      <c r="D40" s="295">
        <v>29930</v>
      </c>
      <c r="E40" s="296" t="s">
        <v>71</v>
      </c>
      <c r="F40" s="296">
        <v>3</v>
      </c>
      <c r="G40" s="296">
        <v>3</v>
      </c>
      <c r="H40" s="297">
        <v>35579</v>
      </c>
      <c r="I40" s="298"/>
      <c r="J40" s="295">
        <v>35579</v>
      </c>
      <c r="K40" s="326"/>
      <c r="L40" s="326"/>
      <c r="M40" s="299">
        <v>0.5</v>
      </c>
      <c r="N40" s="299"/>
      <c r="O40" s="299"/>
      <c r="P40" s="296">
        <v>100</v>
      </c>
      <c r="Q40" s="146" t="s">
        <v>412</v>
      </c>
      <c r="R40" s="146" t="s">
        <v>418</v>
      </c>
      <c r="S40" s="146" t="s">
        <v>424</v>
      </c>
      <c r="T40" s="146" t="s">
        <v>407</v>
      </c>
      <c r="U40" s="146" t="s">
        <v>400</v>
      </c>
      <c r="V40" s="146" t="s">
        <v>425</v>
      </c>
      <c r="W40" s="146" t="s">
        <v>299</v>
      </c>
      <c r="X40" s="146" t="s">
        <v>310</v>
      </c>
      <c r="Y40" s="146" t="s">
        <v>409</v>
      </c>
      <c r="Z40" s="293"/>
      <c r="AA40" s="294" t="s">
        <v>426</v>
      </c>
      <c r="AB40" s="294">
        <v>4</v>
      </c>
      <c r="AC40" s="296">
        <v>2</v>
      </c>
      <c r="AD40" s="301">
        <v>8633.1650000000009</v>
      </c>
      <c r="AE40" s="301">
        <v>1700</v>
      </c>
      <c r="AF40" s="301">
        <v>1726.6330000000003</v>
      </c>
      <c r="AG40" s="301"/>
      <c r="AH40" s="301"/>
      <c r="AI40" s="301"/>
      <c r="AJ40" s="301"/>
      <c r="AK40" s="301">
        <v>80</v>
      </c>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2"/>
      <c r="BN40" s="291">
        <f>+MAX($D$3,DATOS_[[#This Row],[Fecha Inicio Sit. Contract.]])</f>
        <v>45292</v>
      </c>
      <c r="BO40" s="291">
        <f>+MIN($D$4,DATOS_[[#This Row],[Fecha Fin Sit. Contract.]])</f>
        <v>45657</v>
      </c>
      <c r="BP40" s="292">
        <f>+DATOS_[[#This Row],[% de jornada]]*IF(DATOS_[[#This Row],[% jornada reducida]]="",1,DATOS_[[#This Row],[% jornada reducida]])</f>
        <v>0.5</v>
      </c>
      <c r="BQ40" s="292">
        <f>+(DATOS_[[#This Row],[F.fin.cal]]-DATOS_[[#This Row],[F.ini.cal]]+1)/($D$4-$D$3+1)</f>
        <v>1</v>
      </c>
      <c r="BR40" s="322" t="str">
        <f>IF(OR(AND(DATOS_[[#This Row],[Fecha Fin Contrato]]&lt;$D$3,DATOS_[[#This Row],[Fecha Fin Contrato]]&lt;&gt;""),DATOS_[[#This Row],[Fecha de Contratación]]&gt;$D$4),"Fuera","Dentro")</f>
        <v>Dentro</v>
      </c>
      <c r="BS40" s="322" t="str">
        <f t="array" ref="BS40">IF(MAX(IF(DATOS_[id]=DATOS_[[#This Row],[id]],DATOS_[F.fin.cal]))=DATOS_[[#This Row],[F.fin.cal]],"Sí","NO")</f>
        <v>Sí</v>
      </c>
      <c r="BT40" s="292" t="str">
        <f>IF(AND(DATOS_[[#This Row],[% normaliz]]&lt;&gt;1,DATOS_[[#This Row],[% anualiz]]=1),"Sí","NO")</f>
        <v>Sí</v>
      </c>
      <c r="BU40" s="292" t="str">
        <f>IF(AND(DATOS_[[#This Row],[% normaliz]]=1,DATOS_[[#This Row],[% anualiz]]&lt;&gt;1),"Sí","NO")</f>
        <v>NO</v>
      </c>
      <c r="BV40" s="292" t="str">
        <f>IF(AND(DATOS_[[#This Row],[% normaliz]]&lt;&gt;1,DATOS_[[#This Row],[% anualiz]]&lt;&gt;1),"Sí","NO")</f>
        <v>NO</v>
      </c>
      <c r="BW40" s="322" t="str">
        <f>+IF(DATOS_[[#This Row],[% normaliz]]*DATOS_[[#This Row],[% anualiz]]=1,"NO","Sí")</f>
        <v>Sí</v>
      </c>
      <c r="BX40" s="323">
        <f>(DATOS_[[#This Row],[S.BASE]]*(1/DATOS_[[#This Row],[% normaliz]])*(1/DATOS_[[#This Row],[% anualiz]]))*IF(DATOS_[[#This Row],[Check Equiparado]]="Sí",1,0)</f>
        <v>17266.330000000002</v>
      </c>
      <c r="BY4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6933.2660000000005</v>
      </c>
      <c r="BZ40" s="323">
        <f>+DATOS_[[#This Row],[SALARIO BASE Eq]]+DATOS_[[#This Row],[Tot COMPL.SAL Eq]]</f>
        <v>24199.596000000001</v>
      </c>
      <c r="CA40" s="323">
        <f t="array" ref="CA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0" s="323">
        <f>+DATOS_[[#This Row],[TOTAL SALARIO Eq]]+DATOS_[[#This Row],[Tot Extrasalarial Eq]]</f>
        <v>24199.596000000001</v>
      </c>
      <c r="CC40" s="327">
        <f>DATOS_[[#This Row],[S.BASE]]</f>
        <v>8633.1650000000009</v>
      </c>
      <c r="CD40" s="324">
        <f>+SUM(DATOS_[[#This Row],[Conc.Sal.01]:[Conc.Sal.30]])</f>
        <v>3506.6330000000003</v>
      </c>
      <c r="CE40" s="324">
        <f>+DATOS_[[#This Row],[SALARIO BASE Ef]]+DATOS_[[#This Row],[Tot COMPL.SAL Ef]]</f>
        <v>12139.798000000001</v>
      </c>
      <c r="CF40" s="324">
        <f>+SUM(DATOS_[[#This Row],[C.Extra.01]:[C.Extra.05]])</f>
        <v>0</v>
      </c>
      <c r="CG40" s="330">
        <f>+DATOS_[[#This Row],[TOTAL SALARIO Ef]]+DATOS_[[#This Row],[Tot Extrasalarial Ef]]</f>
        <v>12139.798000000001</v>
      </c>
      <c r="CH40" s="303">
        <f>MIN(IF(DATOS_[[#This Row],[Fecha Fin Contrato]]="",$D$4,DATOS_[[#This Row],[Fecha Fin Contrato]]),$D$4)-MAX(DATOS_[[#This Row],[Fecha de Contratación]],$D$3)+1</f>
        <v>366</v>
      </c>
      <c r="CI40" s="304" t="str">
        <f>IF(COUNTIFS(DATOS_[id],DATOS_[[#This Row],[id]])&gt;1,DATOS_[[#This Row],[id]],"")</f>
        <v/>
      </c>
      <c r="CJ40" s="325">
        <f>(Inicio!$G$10-DATOS_[[#This Row],[Fecha Nacimiento]])/365.25</f>
        <v>43.058179329226554</v>
      </c>
      <c r="CK40" s="325">
        <f>(Inicio!$G$10-DATOS_[[#This Row],[Fecha de Antigüedad]])/365.25</f>
        <v>27.592060232717316</v>
      </c>
      <c r="CL40" s="325" t="str">
        <f>+VLOOKUP(DATOS_[[#This Row],[Clave de Contrato]],TblTiposContrato13[],3,FALSE)</f>
        <v>Completa</v>
      </c>
      <c r="CM40" s="325" t="str">
        <f>+VLOOKUP(DATOS_[[#This Row],[Clave de Contrato]],TblTiposContrato13[],4,FALSE)</f>
        <v>Indefinido</v>
      </c>
      <c r="CN40" s="325" t="str">
        <f>VLOOKUP(DATOS_[[#This Row],[Edad]],CONTRATOS!TblRngEdad,2,TRUE)</f>
        <v>40 a 45</v>
      </c>
      <c r="CO40" s="325" t="str">
        <f>VLOOKUP(DATOS_[[#This Row],[Antigüedad]],TblRngAntg14[],2,TRUE)</f>
        <v>más de 15</v>
      </c>
    </row>
    <row r="41" spans="2:93" x14ac:dyDescent="0.25">
      <c r="B41" s="146">
        <v>31</v>
      </c>
      <c r="C41" s="146" t="s">
        <v>162</v>
      </c>
      <c r="D41" s="295">
        <v>32485</v>
      </c>
      <c r="E41" s="296" t="s">
        <v>427</v>
      </c>
      <c r="F41" s="296">
        <v>3</v>
      </c>
      <c r="G41" s="296">
        <v>0</v>
      </c>
      <c r="H41" s="297">
        <v>39852</v>
      </c>
      <c r="I41" s="298"/>
      <c r="J41" s="295">
        <v>39852</v>
      </c>
      <c r="K41" s="326"/>
      <c r="L41" s="326"/>
      <c r="M41" s="299">
        <v>1</v>
      </c>
      <c r="N41" s="299"/>
      <c r="O41" s="299"/>
      <c r="P41" s="296">
        <v>100</v>
      </c>
      <c r="Q41" s="146" t="s">
        <v>412</v>
      </c>
      <c r="R41" s="146" t="s">
        <v>418</v>
      </c>
      <c r="S41" s="146" t="s">
        <v>424</v>
      </c>
      <c r="T41" s="146" t="s">
        <v>407</v>
      </c>
      <c r="U41" s="146" t="s">
        <v>400</v>
      </c>
      <c r="V41" s="146" t="s">
        <v>425</v>
      </c>
      <c r="W41" s="146" t="s">
        <v>299</v>
      </c>
      <c r="X41" s="146" t="s">
        <v>310</v>
      </c>
      <c r="Y41" s="146" t="s">
        <v>409</v>
      </c>
      <c r="Z41" s="293"/>
      <c r="AA41" s="294" t="s">
        <v>426</v>
      </c>
      <c r="AB41" s="294">
        <v>4</v>
      </c>
      <c r="AC41" s="296">
        <v>2</v>
      </c>
      <c r="AD41" s="301">
        <v>17266.330000000002</v>
      </c>
      <c r="AE41" s="301">
        <v>3733.6699999999983</v>
      </c>
      <c r="AF41" s="301">
        <v>1381.3064000000002</v>
      </c>
      <c r="AG41" s="301"/>
      <c r="AH41" s="301"/>
      <c r="AI41" s="301"/>
      <c r="AJ41" s="301"/>
      <c r="AK41" s="301">
        <v>80</v>
      </c>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2"/>
      <c r="BN41" s="291">
        <f>+MAX($D$3,DATOS_[[#This Row],[Fecha Inicio Sit. Contract.]])</f>
        <v>45292</v>
      </c>
      <c r="BO41" s="291">
        <f>+MIN($D$4,DATOS_[[#This Row],[Fecha Fin Sit. Contract.]])</f>
        <v>45657</v>
      </c>
      <c r="BP41" s="292">
        <f>+DATOS_[[#This Row],[% de jornada]]*IF(DATOS_[[#This Row],[% jornada reducida]]="",1,DATOS_[[#This Row],[% jornada reducida]])</f>
        <v>1</v>
      </c>
      <c r="BQ41" s="292">
        <f>+(DATOS_[[#This Row],[F.fin.cal]]-DATOS_[[#This Row],[F.ini.cal]]+1)/($D$4-$D$3+1)</f>
        <v>1</v>
      </c>
      <c r="BR41" s="322" t="str">
        <f>IF(OR(AND(DATOS_[[#This Row],[Fecha Fin Contrato]]&lt;$D$3,DATOS_[[#This Row],[Fecha Fin Contrato]]&lt;&gt;""),DATOS_[[#This Row],[Fecha de Contratación]]&gt;$D$4),"Fuera","Dentro")</f>
        <v>Dentro</v>
      </c>
      <c r="BS41" s="322" t="str">
        <f t="array" ref="BS41">IF(MAX(IF(DATOS_[id]=DATOS_[[#This Row],[id]],DATOS_[F.fin.cal]))=DATOS_[[#This Row],[F.fin.cal]],"Sí","NO")</f>
        <v>Sí</v>
      </c>
      <c r="BT41" s="292" t="str">
        <f>IF(AND(DATOS_[[#This Row],[% normaliz]]&lt;&gt;1,DATOS_[[#This Row],[% anualiz]]=1),"Sí","NO")</f>
        <v>NO</v>
      </c>
      <c r="BU41" s="292" t="str">
        <f>IF(AND(DATOS_[[#This Row],[% normaliz]]=1,DATOS_[[#This Row],[% anualiz]]&lt;&gt;1),"Sí","NO")</f>
        <v>NO</v>
      </c>
      <c r="BV41" s="292" t="str">
        <f>IF(AND(DATOS_[[#This Row],[% normaliz]]&lt;&gt;1,DATOS_[[#This Row],[% anualiz]]&lt;&gt;1),"Sí","NO")</f>
        <v>NO</v>
      </c>
      <c r="BW41" s="322" t="str">
        <f>+IF(DATOS_[[#This Row],[% normaliz]]*DATOS_[[#This Row],[% anualiz]]=1,"NO","Sí")</f>
        <v>NO</v>
      </c>
      <c r="BX41" s="323">
        <f>(DATOS_[[#This Row],[S.BASE]]*(1/DATOS_[[#This Row],[% normaliz]])*(1/DATOS_[[#This Row],[% anualiz]]))*IF(DATOS_[[#This Row],[Check Equiparado]]="Sí",1,0)</f>
        <v>17266.330000000002</v>
      </c>
      <c r="BY4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41" s="323">
        <f>+DATOS_[[#This Row],[SALARIO BASE Eq]]+DATOS_[[#This Row],[Tot COMPL.SAL Eq]]</f>
        <v>22461.306400000001</v>
      </c>
      <c r="CA41" s="323">
        <f t="array" ref="CA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1" s="323">
        <f>+DATOS_[[#This Row],[TOTAL SALARIO Eq]]+DATOS_[[#This Row],[Tot Extrasalarial Eq]]</f>
        <v>22461.306400000001</v>
      </c>
      <c r="CC41" s="327">
        <f>DATOS_[[#This Row],[S.BASE]]</f>
        <v>17266.330000000002</v>
      </c>
      <c r="CD41" s="324">
        <f>+SUM(DATOS_[[#This Row],[Conc.Sal.01]:[Conc.Sal.30]])</f>
        <v>5194.9763999999986</v>
      </c>
      <c r="CE41" s="324">
        <f>+DATOS_[[#This Row],[SALARIO BASE Ef]]+DATOS_[[#This Row],[Tot COMPL.SAL Ef]]</f>
        <v>22461.306400000001</v>
      </c>
      <c r="CF41" s="324">
        <f>+SUM(DATOS_[[#This Row],[C.Extra.01]:[C.Extra.05]])</f>
        <v>0</v>
      </c>
      <c r="CG41" s="330">
        <f>+DATOS_[[#This Row],[TOTAL SALARIO Ef]]+DATOS_[[#This Row],[Tot Extrasalarial Ef]]</f>
        <v>22461.306400000001</v>
      </c>
      <c r="CH41" s="303">
        <f>MIN(IF(DATOS_[[#This Row],[Fecha Fin Contrato]]="",$D$4,DATOS_[[#This Row],[Fecha Fin Contrato]]),$D$4)-MAX(DATOS_[[#This Row],[Fecha de Contratación]],$D$3)+1</f>
        <v>366</v>
      </c>
      <c r="CI41" s="304" t="str">
        <f>IF(COUNTIFS(DATOS_[id],DATOS_[[#This Row],[id]])&gt;1,DATOS_[[#This Row],[id]],"")</f>
        <v/>
      </c>
      <c r="CJ41" s="325">
        <f>(Inicio!$G$10-DATOS_[[#This Row],[Fecha Nacimiento]])/365.25</f>
        <v>36.062970568104035</v>
      </c>
      <c r="CK41" s="325">
        <f>(Inicio!$G$10-DATOS_[[#This Row],[Fecha de Antigüedad]])/365.25</f>
        <v>15.893223819301848</v>
      </c>
      <c r="CL41" s="325" t="str">
        <f>+VLOOKUP(DATOS_[[#This Row],[Clave de Contrato]],TblTiposContrato13[],3,FALSE)</f>
        <v>Completa</v>
      </c>
      <c r="CM41" s="325" t="str">
        <f>+VLOOKUP(DATOS_[[#This Row],[Clave de Contrato]],TblTiposContrato13[],4,FALSE)</f>
        <v>Indefinido</v>
      </c>
      <c r="CN41" s="325" t="str">
        <f>VLOOKUP(DATOS_[[#This Row],[Edad]],CONTRATOS!TblRngEdad,2,TRUE)</f>
        <v>35 a 40</v>
      </c>
      <c r="CO41" s="325" t="str">
        <f>VLOOKUP(DATOS_[[#This Row],[Antigüedad]],TblRngAntg14[],2,TRUE)</f>
        <v>más de 15</v>
      </c>
    </row>
    <row r="42" spans="2:93" x14ac:dyDescent="0.25">
      <c r="B42" s="146">
        <v>32</v>
      </c>
      <c r="C42" s="146" t="s">
        <v>163</v>
      </c>
      <c r="D42" s="295">
        <v>30295</v>
      </c>
      <c r="E42" s="296" t="s">
        <v>427</v>
      </c>
      <c r="F42" s="296">
        <v>3</v>
      </c>
      <c r="G42" s="296">
        <v>0</v>
      </c>
      <c r="H42" s="297">
        <v>38245</v>
      </c>
      <c r="I42" s="298"/>
      <c r="J42" s="295">
        <v>38245</v>
      </c>
      <c r="K42" s="326"/>
      <c r="L42" s="326"/>
      <c r="M42" s="299">
        <v>0.5</v>
      </c>
      <c r="N42" s="299"/>
      <c r="O42" s="299"/>
      <c r="P42" s="296">
        <v>100</v>
      </c>
      <c r="Q42" s="146" t="s">
        <v>412</v>
      </c>
      <c r="R42" s="146" t="s">
        <v>418</v>
      </c>
      <c r="S42" s="146" t="s">
        <v>424</v>
      </c>
      <c r="T42" s="146" t="s">
        <v>407</v>
      </c>
      <c r="U42" s="146" t="s">
        <v>400</v>
      </c>
      <c r="V42" s="146" t="s">
        <v>425</v>
      </c>
      <c r="W42" s="146" t="s">
        <v>299</v>
      </c>
      <c r="X42" s="146" t="s">
        <v>310</v>
      </c>
      <c r="Y42" s="146" t="s">
        <v>409</v>
      </c>
      <c r="Z42" s="293"/>
      <c r="AA42" s="294" t="s">
        <v>426</v>
      </c>
      <c r="AB42" s="294">
        <v>4</v>
      </c>
      <c r="AC42" s="296">
        <v>2</v>
      </c>
      <c r="AD42" s="301">
        <v>8633.1650000000009</v>
      </c>
      <c r="AE42" s="301">
        <v>1700</v>
      </c>
      <c r="AF42" s="301">
        <v>1035.9798000000001</v>
      </c>
      <c r="AG42" s="301"/>
      <c r="AH42" s="301"/>
      <c r="AI42" s="301"/>
      <c r="AJ42" s="301"/>
      <c r="AK42" s="301">
        <v>80</v>
      </c>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2"/>
      <c r="BN42" s="291">
        <f>+MAX($D$3,DATOS_[[#This Row],[Fecha Inicio Sit. Contract.]])</f>
        <v>45292</v>
      </c>
      <c r="BO42" s="291">
        <f>+MIN($D$4,DATOS_[[#This Row],[Fecha Fin Sit. Contract.]])</f>
        <v>45657</v>
      </c>
      <c r="BP42" s="292">
        <f>+DATOS_[[#This Row],[% de jornada]]*IF(DATOS_[[#This Row],[% jornada reducida]]="",1,DATOS_[[#This Row],[% jornada reducida]])</f>
        <v>0.5</v>
      </c>
      <c r="BQ42" s="292">
        <f>+(DATOS_[[#This Row],[F.fin.cal]]-DATOS_[[#This Row],[F.ini.cal]]+1)/($D$4-$D$3+1)</f>
        <v>1</v>
      </c>
      <c r="BR42" s="322" t="str">
        <f>IF(OR(AND(DATOS_[[#This Row],[Fecha Fin Contrato]]&lt;$D$3,DATOS_[[#This Row],[Fecha Fin Contrato]]&lt;&gt;""),DATOS_[[#This Row],[Fecha de Contratación]]&gt;$D$4),"Fuera","Dentro")</f>
        <v>Dentro</v>
      </c>
      <c r="BS42" s="322" t="str">
        <f t="array" ref="BS42">IF(MAX(IF(DATOS_[id]=DATOS_[[#This Row],[id]],DATOS_[F.fin.cal]))=DATOS_[[#This Row],[F.fin.cal]],"Sí","NO")</f>
        <v>Sí</v>
      </c>
      <c r="BT42" s="292" t="str">
        <f>IF(AND(DATOS_[[#This Row],[% normaliz]]&lt;&gt;1,DATOS_[[#This Row],[% anualiz]]=1),"Sí","NO")</f>
        <v>Sí</v>
      </c>
      <c r="BU42" s="292" t="str">
        <f>IF(AND(DATOS_[[#This Row],[% normaliz]]=1,DATOS_[[#This Row],[% anualiz]]&lt;&gt;1),"Sí","NO")</f>
        <v>NO</v>
      </c>
      <c r="BV42" s="292" t="str">
        <f>IF(AND(DATOS_[[#This Row],[% normaliz]]&lt;&gt;1,DATOS_[[#This Row],[% anualiz]]&lt;&gt;1),"Sí","NO")</f>
        <v>NO</v>
      </c>
      <c r="BW42" s="322" t="str">
        <f>+IF(DATOS_[[#This Row],[% normaliz]]*DATOS_[[#This Row],[% anualiz]]=1,"NO","Sí")</f>
        <v>Sí</v>
      </c>
      <c r="BX42" s="323">
        <f>(DATOS_[[#This Row],[S.BASE]]*(1/DATOS_[[#This Row],[% normaliz]])*(1/DATOS_[[#This Row],[% anualiz]]))*IF(DATOS_[[#This Row],[Check Equiparado]]="Sí",1,0)</f>
        <v>17266.330000000002</v>
      </c>
      <c r="BY4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5551.9596000000001</v>
      </c>
      <c r="BZ42" s="323">
        <f>+DATOS_[[#This Row],[SALARIO BASE Eq]]+DATOS_[[#This Row],[Tot COMPL.SAL Eq]]</f>
        <v>22818.289600000004</v>
      </c>
      <c r="CA42" s="323">
        <f t="array" ref="CA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2" s="323">
        <f>+DATOS_[[#This Row],[TOTAL SALARIO Eq]]+DATOS_[[#This Row],[Tot Extrasalarial Eq]]</f>
        <v>22818.289600000004</v>
      </c>
      <c r="CC42" s="327">
        <f>DATOS_[[#This Row],[S.BASE]]</f>
        <v>8633.1650000000009</v>
      </c>
      <c r="CD42" s="324">
        <f>+SUM(DATOS_[[#This Row],[Conc.Sal.01]:[Conc.Sal.30]])</f>
        <v>2815.9798000000001</v>
      </c>
      <c r="CE42" s="324">
        <f>+DATOS_[[#This Row],[SALARIO BASE Ef]]+DATOS_[[#This Row],[Tot COMPL.SAL Ef]]</f>
        <v>11449.144800000002</v>
      </c>
      <c r="CF42" s="324">
        <f>+SUM(DATOS_[[#This Row],[C.Extra.01]:[C.Extra.05]])</f>
        <v>0</v>
      </c>
      <c r="CG42" s="330">
        <f>+DATOS_[[#This Row],[TOTAL SALARIO Ef]]+DATOS_[[#This Row],[Tot Extrasalarial Ef]]</f>
        <v>11449.144800000002</v>
      </c>
      <c r="CH42" s="303">
        <f>MIN(IF(DATOS_[[#This Row],[Fecha Fin Contrato]]="",$D$4,DATOS_[[#This Row],[Fecha Fin Contrato]]),$D$4)-MAX(DATOS_[[#This Row],[Fecha de Contratación]],$D$3)+1</f>
        <v>366</v>
      </c>
      <c r="CI42" s="304" t="str">
        <f>IF(COUNTIFS(DATOS_[id],DATOS_[[#This Row],[id]])&gt;1,DATOS_[[#This Row],[id]],"")</f>
        <v/>
      </c>
      <c r="CJ42" s="325">
        <f>(Inicio!$G$10-DATOS_[[#This Row],[Fecha Nacimiento]])/365.25</f>
        <v>42.058863791923343</v>
      </c>
      <c r="CK42" s="325">
        <f>(Inicio!$G$10-DATOS_[[#This Row],[Fecha de Antigüedad]])/365.25</f>
        <v>20.292950034223136</v>
      </c>
      <c r="CL42" s="325" t="str">
        <f>+VLOOKUP(DATOS_[[#This Row],[Clave de Contrato]],TblTiposContrato13[],3,FALSE)</f>
        <v>Completa</v>
      </c>
      <c r="CM42" s="325" t="str">
        <f>+VLOOKUP(DATOS_[[#This Row],[Clave de Contrato]],TblTiposContrato13[],4,FALSE)</f>
        <v>Indefinido</v>
      </c>
      <c r="CN42" s="325" t="str">
        <f>VLOOKUP(DATOS_[[#This Row],[Edad]],CONTRATOS!TblRngEdad,2,TRUE)</f>
        <v>40 a 45</v>
      </c>
      <c r="CO42" s="325" t="str">
        <f>VLOOKUP(DATOS_[[#This Row],[Antigüedad]],TblRngAntg14[],2,TRUE)</f>
        <v>más de 15</v>
      </c>
    </row>
    <row r="43" spans="2:93" x14ac:dyDescent="0.25">
      <c r="B43" s="146">
        <v>33</v>
      </c>
      <c r="C43" s="146" t="s">
        <v>162</v>
      </c>
      <c r="D43" s="295">
        <v>36135</v>
      </c>
      <c r="E43" s="296" t="s">
        <v>427</v>
      </c>
      <c r="F43" s="296">
        <v>3</v>
      </c>
      <c r="G43" s="296">
        <v>0</v>
      </c>
      <c r="H43" s="297">
        <v>37551</v>
      </c>
      <c r="I43" s="298"/>
      <c r="J43" s="295">
        <v>37551</v>
      </c>
      <c r="K43" s="326"/>
      <c r="L43" s="326"/>
      <c r="M43" s="299">
        <v>1</v>
      </c>
      <c r="N43" s="299"/>
      <c r="O43" s="299"/>
      <c r="P43" s="296">
        <v>100</v>
      </c>
      <c r="Q43" s="146" t="s">
        <v>404</v>
      </c>
      <c r="R43" s="146" t="s">
        <v>411</v>
      </c>
      <c r="S43" s="146" t="s">
        <v>424</v>
      </c>
      <c r="T43" s="146" t="s">
        <v>407</v>
      </c>
      <c r="U43" s="146" t="s">
        <v>400</v>
      </c>
      <c r="V43" s="146" t="s">
        <v>425</v>
      </c>
      <c r="W43" s="146" t="s">
        <v>299</v>
      </c>
      <c r="X43" s="146" t="s">
        <v>310</v>
      </c>
      <c r="Y43" s="146" t="s">
        <v>409</v>
      </c>
      <c r="Z43" s="293"/>
      <c r="AA43" s="294" t="s">
        <v>426</v>
      </c>
      <c r="AB43" s="294">
        <v>4</v>
      </c>
      <c r="AC43" s="296">
        <v>2</v>
      </c>
      <c r="AD43" s="301">
        <v>17266.330000000002</v>
      </c>
      <c r="AE43" s="301">
        <v>3733.6699999999983</v>
      </c>
      <c r="AF43" s="301">
        <v>2762.6128000000003</v>
      </c>
      <c r="AG43" s="301"/>
      <c r="AH43" s="301"/>
      <c r="AI43" s="301"/>
      <c r="AJ43" s="301"/>
      <c r="AK43" s="301">
        <v>80</v>
      </c>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2"/>
      <c r="BN43" s="291">
        <f>+MAX($D$3,DATOS_[[#This Row],[Fecha Inicio Sit. Contract.]])</f>
        <v>45292</v>
      </c>
      <c r="BO43" s="291">
        <f>+MIN($D$4,DATOS_[[#This Row],[Fecha Fin Sit. Contract.]])</f>
        <v>45657</v>
      </c>
      <c r="BP43" s="292">
        <f>+DATOS_[[#This Row],[% de jornada]]*IF(DATOS_[[#This Row],[% jornada reducida]]="",1,DATOS_[[#This Row],[% jornada reducida]])</f>
        <v>1</v>
      </c>
      <c r="BQ43" s="292">
        <f>+(DATOS_[[#This Row],[F.fin.cal]]-DATOS_[[#This Row],[F.ini.cal]]+1)/($D$4-$D$3+1)</f>
        <v>1</v>
      </c>
      <c r="BR43" s="322" t="str">
        <f>IF(OR(AND(DATOS_[[#This Row],[Fecha Fin Contrato]]&lt;$D$3,DATOS_[[#This Row],[Fecha Fin Contrato]]&lt;&gt;""),DATOS_[[#This Row],[Fecha de Contratación]]&gt;$D$4),"Fuera","Dentro")</f>
        <v>Dentro</v>
      </c>
      <c r="BS43" s="322" t="str">
        <f t="array" ref="BS43">IF(MAX(IF(DATOS_[id]=DATOS_[[#This Row],[id]],DATOS_[F.fin.cal]))=DATOS_[[#This Row],[F.fin.cal]],"Sí","NO")</f>
        <v>Sí</v>
      </c>
      <c r="BT43" s="292" t="str">
        <f>IF(AND(DATOS_[[#This Row],[% normaliz]]&lt;&gt;1,DATOS_[[#This Row],[% anualiz]]=1),"Sí","NO")</f>
        <v>NO</v>
      </c>
      <c r="BU43" s="292" t="str">
        <f>IF(AND(DATOS_[[#This Row],[% normaliz]]=1,DATOS_[[#This Row],[% anualiz]]&lt;&gt;1),"Sí","NO")</f>
        <v>NO</v>
      </c>
      <c r="BV43" s="292" t="str">
        <f>IF(AND(DATOS_[[#This Row],[% normaliz]]&lt;&gt;1,DATOS_[[#This Row],[% anualiz]]&lt;&gt;1),"Sí","NO")</f>
        <v>NO</v>
      </c>
      <c r="BW43" s="322" t="str">
        <f>+IF(DATOS_[[#This Row],[% normaliz]]*DATOS_[[#This Row],[% anualiz]]=1,"NO","Sí")</f>
        <v>NO</v>
      </c>
      <c r="BX43" s="323">
        <f>(DATOS_[[#This Row],[S.BASE]]*(1/DATOS_[[#This Row],[% normaliz]])*(1/DATOS_[[#This Row],[% anualiz]]))*IF(DATOS_[[#This Row],[Check Equiparado]]="Sí",1,0)</f>
        <v>17266.330000000002</v>
      </c>
      <c r="BY4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43" s="323">
        <f>+DATOS_[[#This Row],[SALARIO BASE Eq]]+DATOS_[[#This Row],[Tot COMPL.SAL Eq]]</f>
        <v>23842.612800000003</v>
      </c>
      <c r="CA43" s="323">
        <f t="array" ref="CA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3" s="323">
        <f>+DATOS_[[#This Row],[TOTAL SALARIO Eq]]+DATOS_[[#This Row],[Tot Extrasalarial Eq]]</f>
        <v>23842.612800000003</v>
      </c>
      <c r="CC43" s="327">
        <f>DATOS_[[#This Row],[S.BASE]]</f>
        <v>17266.330000000002</v>
      </c>
      <c r="CD43" s="324">
        <f>+SUM(DATOS_[[#This Row],[Conc.Sal.01]:[Conc.Sal.30]])</f>
        <v>6576.282799999999</v>
      </c>
      <c r="CE43" s="324">
        <f>+DATOS_[[#This Row],[SALARIO BASE Ef]]+DATOS_[[#This Row],[Tot COMPL.SAL Ef]]</f>
        <v>23842.612800000003</v>
      </c>
      <c r="CF43" s="324">
        <f>+SUM(DATOS_[[#This Row],[C.Extra.01]:[C.Extra.05]])</f>
        <v>0</v>
      </c>
      <c r="CG43" s="330">
        <f>+DATOS_[[#This Row],[TOTAL SALARIO Ef]]+DATOS_[[#This Row],[Tot Extrasalarial Ef]]</f>
        <v>23842.612800000003</v>
      </c>
      <c r="CH43" s="303">
        <f>MIN(IF(DATOS_[[#This Row],[Fecha Fin Contrato]]="",$D$4,DATOS_[[#This Row],[Fecha Fin Contrato]]),$D$4)-MAX(DATOS_[[#This Row],[Fecha de Contratación]],$D$3)+1</f>
        <v>366</v>
      </c>
      <c r="CI43" s="304" t="str">
        <f>IF(COUNTIFS(DATOS_[id],DATOS_[[#This Row],[id]])&gt;1,DATOS_[[#This Row],[id]],"")</f>
        <v/>
      </c>
      <c r="CJ43" s="325">
        <f>(Inicio!$G$10-DATOS_[[#This Row],[Fecha Nacimiento]])/365.25</f>
        <v>26.069815195071868</v>
      </c>
      <c r="CK43" s="325">
        <f>(Inicio!$G$10-DATOS_[[#This Row],[Fecha de Antigüedad]])/365.25</f>
        <v>22.193018480492814</v>
      </c>
      <c r="CL43" s="325" t="str">
        <f>+VLOOKUP(DATOS_[[#This Row],[Clave de Contrato]],TblTiposContrato13[],3,FALSE)</f>
        <v>Completa</v>
      </c>
      <c r="CM43" s="325" t="str">
        <f>+VLOOKUP(DATOS_[[#This Row],[Clave de Contrato]],TblTiposContrato13[],4,FALSE)</f>
        <v>Indefinido</v>
      </c>
      <c r="CN43" s="325" t="str">
        <f>VLOOKUP(DATOS_[[#This Row],[Edad]],CONTRATOS!TblRngEdad,2,TRUE)</f>
        <v>25 a 30</v>
      </c>
      <c r="CO43" s="325" t="str">
        <f>VLOOKUP(DATOS_[[#This Row],[Antigüedad]],TblRngAntg14[],2,TRUE)</f>
        <v>más de 15</v>
      </c>
    </row>
    <row r="44" spans="2:93" x14ac:dyDescent="0.25">
      <c r="B44" s="146">
        <v>34</v>
      </c>
      <c r="C44" s="146" t="s">
        <v>163</v>
      </c>
      <c r="D44" s="295">
        <v>30660</v>
      </c>
      <c r="E44" s="296" t="s">
        <v>427</v>
      </c>
      <c r="F44" s="296">
        <v>3</v>
      </c>
      <c r="G44" s="296">
        <v>0</v>
      </c>
      <c r="H44" s="297">
        <v>37515</v>
      </c>
      <c r="I44" s="298"/>
      <c r="J44" s="295">
        <v>37515</v>
      </c>
      <c r="K44" s="326"/>
      <c r="L44" s="326"/>
      <c r="M44" s="299">
        <v>1</v>
      </c>
      <c r="N44" s="299"/>
      <c r="O44" s="299"/>
      <c r="P44" s="296">
        <v>100</v>
      </c>
      <c r="Q44" s="146" t="s">
        <v>404</v>
      </c>
      <c r="R44" s="146" t="s">
        <v>411</v>
      </c>
      <c r="S44" s="146" t="s">
        <v>424</v>
      </c>
      <c r="T44" s="146" t="s">
        <v>407</v>
      </c>
      <c r="U44" s="146" t="s">
        <v>400</v>
      </c>
      <c r="V44" s="146" t="s">
        <v>425</v>
      </c>
      <c r="W44" s="146" t="s">
        <v>299</v>
      </c>
      <c r="X44" s="146" t="s">
        <v>310</v>
      </c>
      <c r="Y44" s="146" t="s">
        <v>409</v>
      </c>
      <c r="Z44" s="293"/>
      <c r="AA44" s="294" t="s">
        <v>426</v>
      </c>
      <c r="AB44" s="294">
        <v>4</v>
      </c>
      <c r="AC44" s="296">
        <v>2</v>
      </c>
      <c r="AD44" s="301">
        <v>17266.330000000002</v>
      </c>
      <c r="AE44" s="301">
        <v>2000</v>
      </c>
      <c r="AF44" s="301">
        <v>2762.6128000000003</v>
      </c>
      <c r="AG44" s="301"/>
      <c r="AH44" s="301"/>
      <c r="AI44" s="301"/>
      <c r="AJ44" s="301"/>
      <c r="AK44" s="301">
        <v>80</v>
      </c>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2"/>
      <c r="BN44" s="291">
        <f>+MAX($D$3,DATOS_[[#This Row],[Fecha Inicio Sit. Contract.]])</f>
        <v>45292</v>
      </c>
      <c r="BO44" s="291">
        <f>+MIN($D$4,DATOS_[[#This Row],[Fecha Fin Sit. Contract.]])</f>
        <v>45657</v>
      </c>
      <c r="BP44" s="292">
        <f>+DATOS_[[#This Row],[% de jornada]]*IF(DATOS_[[#This Row],[% jornada reducida]]="",1,DATOS_[[#This Row],[% jornada reducida]])</f>
        <v>1</v>
      </c>
      <c r="BQ44" s="292">
        <f>+(DATOS_[[#This Row],[F.fin.cal]]-DATOS_[[#This Row],[F.ini.cal]]+1)/($D$4-$D$3+1)</f>
        <v>1</v>
      </c>
      <c r="BR44" s="322" t="str">
        <f>IF(OR(AND(DATOS_[[#This Row],[Fecha Fin Contrato]]&lt;$D$3,DATOS_[[#This Row],[Fecha Fin Contrato]]&lt;&gt;""),DATOS_[[#This Row],[Fecha de Contratación]]&gt;$D$4),"Fuera","Dentro")</f>
        <v>Dentro</v>
      </c>
      <c r="BS44" s="322" t="str">
        <f t="array" ref="BS44">IF(MAX(IF(DATOS_[id]=DATOS_[[#This Row],[id]],DATOS_[F.fin.cal]))=DATOS_[[#This Row],[F.fin.cal]],"Sí","NO")</f>
        <v>Sí</v>
      </c>
      <c r="BT44" s="292" t="str">
        <f>IF(AND(DATOS_[[#This Row],[% normaliz]]&lt;&gt;1,DATOS_[[#This Row],[% anualiz]]=1),"Sí","NO")</f>
        <v>NO</v>
      </c>
      <c r="BU44" s="292" t="str">
        <f>IF(AND(DATOS_[[#This Row],[% normaliz]]=1,DATOS_[[#This Row],[% anualiz]]&lt;&gt;1),"Sí","NO")</f>
        <v>NO</v>
      </c>
      <c r="BV44" s="292" t="str">
        <f>IF(AND(DATOS_[[#This Row],[% normaliz]]&lt;&gt;1,DATOS_[[#This Row],[% anualiz]]&lt;&gt;1),"Sí","NO")</f>
        <v>NO</v>
      </c>
      <c r="BW44" s="322" t="str">
        <f>+IF(DATOS_[[#This Row],[% normaliz]]*DATOS_[[#This Row],[% anualiz]]=1,"NO","Sí")</f>
        <v>NO</v>
      </c>
      <c r="BX44" s="323">
        <f>(DATOS_[[#This Row],[S.BASE]]*(1/DATOS_[[#This Row],[% normaliz]])*(1/DATOS_[[#This Row],[% anualiz]]))*IF(DATOS_[[#This Row],[Check Equiparado]]="Sí",1,0)</f>
        <v>17266.330000000002</v>
      </c>
      <c r="BY4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4842.6128000000008</v>
      </c>
      <c r="BZ44" s="323">
        <f>+DATOS_[[#This Row],[SALARIO BASE Eq]]+DATOS_[[#This Row],[Tot COMPL.SAL Eq]]</f>
        <v>22108.942800000004</v>
      </c>
      <c r="CA44" s="323">
        <f t="array" ref="CA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4" s="323">
        <f>+DATOS_[[#This Row],[TOTAL SALARIO Eq]]+DATOS_[[#This Row],[Tot Extrasalarial Eq]]</f>
        <v>22108.942800000004</v>
      </c>
      <c r="CC44" s="327">
        <f>DATOS_[[#This Row],[S.BASE]]</f>
        <v>17266.330000000002</v>
      </c>
      <c r="CD44" s="324">
        <f>+SUM(DATOS_[[#This Row],[Conc.Sal.01]:[Conc.Sal.30]])</f>
        <v>4842.6128000000008</v>
      </c>
      <c r="CE44" s="324">
        <f>+DATOS_[[#This Row],[SALARIO BASE Ef]]+DATOS_[[#This Row],[Tot COMPL.SAL Ef]]</f>
        <v>22108.942800000004</v>
      </c>
      <c r="CF44" s="324">
        <f>+SUM(DATOS_[[#This Row],[C.Extra.01]:[C.Extra.05]])</f>
        <v>0</v>
      </c>
      <c r="CG44" s="330">
        <f>+DATOS_[[#This Row],[TOTAL SALARIO Ef]]+DATOS_[[#This Row],[Tot Extrasalarial Ef]]</f>
        <v>22108.942800000004</v>
      </c>
      <c r="CH44" s="303">
        <f>MIN(IF(DATOS_[[#This Row],[Fecha Fin Contrato]]="",$D$4,DATOS_[[#This Row],[Fecha Fin Contrato]]),$D$4)-MAX(DATOS_[[#This Row],[Fecha de Contratación]],$D$3)+1</f>
        <v>366</v>
      </c>
      <c r="CI44" s="304" t="str">
        <f>IF(COUNTIFS(DATOS_[id],DATOS_[[#This Row],[id]])&gt;1,DATOS_[[#This Row],[id]],"")</f>
        <v/>
      </c>
      <c r="CJ44" s="325">
        <f>(Inicio!$G$10-DATOS_[[#This Row],[Fecha Nacimiento]])/365.25</f>
        <v>41.059548254620125</v>
      </c>
      <c r="CK44" s="325">
        <f>(Inicio!$G$10-DATOS_[[#This Row],[Fecha de Antigüedad]])/365.25</f>
        <v>22.291581108829568</v>
      </c>
      <c r="CL44" s="325" t="str">
        <f>+VLOOKUP(DATOS_[[#This Row],[Clave de Contrato]],TblTiposContrato13[],3,FALSE)</f>
        <v>Completa</v>
      </c>
      <c r="CM44" s="325" t="str">
        <f>+VLOOKUP(DATOS_[[#This Row],[Clave de Contrato]],TblTiposContrato13[],4,FALSE)</f>
        <v>Indefinido</v>
      </c>
      <c r="CN44" s="325" t="str">
        <f>VLOOKUP(DATOS_[[#This Row],[Edad]],CONTRATOS!TblRngEdad,2,TRUE)</f>
        <v>40 a 45</v>
      </c>
      <c r="CO44" s="325" t="str">
        <f>VLOOKUP(DATOS_[[#This Row],[Antigüedad]],TblRngAntg14[],2,TRUE)</f>
        <v>más de 15</v>
      </c>
    </row>
    <row r="45" spans="2:93" x14ac:dyDescent="0.25">
      <c r="B45" s="146">
        <v>35</v>
      </c>
      <c r="C45" s="146" t="s">
        <v>162</v>
      </c>
      <c r="D45" s="295">
        <v>34675</v>
      </c>
      <c r="E45" s="296" t="s">
        <v>427</v>
      </c>
      <c r="F45" s="296">
        <v>3</v>
      </c>
      <c r="G45" s="296">
        <v>0</v>
      </c>
      <c r="H45" s="297">
        <v>40035</v>
      </c>
      <c r="I45" s="298"/>
      <c r="J45" s="295">
        <v>40035</v>
      </c>
      <c r="K45" s="326"/>
      <c r="L45" s="326"/>
      <c r="M45" s="299">
        <v>1</v>
      </c>
      <c r="N45" s="299"/>
      <c r="O45" s="299"/>
      <c r="P45" s="296">
        <v>100</v>
      </c>
      <c r="Q45" s="146" t="s">
        <v>412</v>
      </c>
      <c r="R45" s="146" t="s">
        <v>418</v>
      </c>
      <c r="S45" s="146" t="s">
        <v>424</v>
      </c>
      <c r="T45" s="146" t="s">
        <v>407</v>
      </c>
      <c r="U45" s="146" t="s">
        <v>400</v>
      </c>
      <c r="V45" s="146" t="s">
        <v>425</v>
      </c>
      <c r="W45" s="146" t="s">
        <v>299</v>
      </c>
      <c r="X45" s="146" t="s">
        <v>310</v>
      </c>
      <c r="Y45" s="146" t="s">
        <v>409</v>
      </c>
      <c r="Z45" s="293"/>
      <c r="AA45" s="294" t="s">
        <v>426</v>
      </c>
      <c r="AB45" s="294">
        <v>4</v>
      </c>
      <c r="AC45" s="296">
        <v>2</v>
      </c>
      <c r="AD45" s="301">
        <v>17266.330000000002</v>
      </c>
      <c r="AE45" s="301">
        <v>3733.6699999999983</v>
      </c>
      <c r="AF45" s="301">
        <v>1381.3064000000002</v>
      </c>
      <c r="AG45" s="301"/>
      <c r="AH45" s="301"/>
      <c r="AI45" s="301"/>
      <c r="AJ45" s="301"/>
      <c r="AK45" s="301">
        <v>80</v>
      </c>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2"/>
      <c r="BN45" s="291">
        <f>+MAX($D$3,DATOS_[[#This Row],[Fecha Inicio Sit. Contract.]])</f>
        <v>45292</v>
      </c>
      <c r="BO45" s="291">
        <f>+MIN($D$4,DATOS_[[#This Row],[Fecha Fin Sit. Contract.]])</f>
        <v>45657</v>
      </c>
      <c r="BP45" s="292">
        <f>+DATOS_[[#This Row],[% de jornada]]*IF(DATOS_[[#This Row],[% jornada reducida]]="",1,DATOS_[[#This Row],[% jornada reducida]])</f>
        <v>1</v>
      </c>
      <c r="BQ45" s="292">
        <f>+(DATOS_[[#This Row],[F.fin.cal]]-DATOS_[[#This Row],[F.ini.cal]]+1)/($D$4-$D$3+1)</f>
        <v>1</v>
      </c>
      <c r="BR45" s="322" t="str">
        <f>IF(OR(AND(DATOS_[[#This Row],[Fecha Fin Contrato]]&lt;$D$3,DATOS_[[#This Row],[Fecha Fin Contrato]]&lt;&gt;""),DATOS_[[#This Row],[Fecha de Contratación]]&gt;$D$4),"Fuera","Dentro")</f>
        <v>Dentro</v>
      </c>
      <c r="BS45" s="322" t="str">
        <f t="array" ref="BS45">IF(MAX(IF(DATOS_[id]=DATOS_[[#This Row],[id]],DATOS_[F.fin.cal]))=DATOS_[[#This Row],[F.fin.cal]],"Sí","NO")</f>
        <v>Sí</v>
      </c>
      <c r="BT45" s="292" t="str">
        <f>IF(AND(DATOS_[[#This Row],[% normaliz]]&lt;&gt;1,DATOS_[[#This Row],[% anualiz]]=1),"Sí","NO")</f>
        <v>NO</v>
      </c>
      <c r="BU45" s="292" t="str">
        <f>IF(AND(DATOS_[[#This Row],[% normaliz]]=1,DATOS_[[#This Row],[% anualiz]]&lt;&gt;1),"Sí","NO")</f>
        <v>NO</v>
      </c>
      <c r="BV45" s="292" t="str">
        <f>IF(AND(DATOS_[[#This Row],[% normaliz]]&lt;&gt;1,DATOS_[[#This Row],[% anualiz]]&lt;&gt;1),"Sí","NO")</f>
        <v>NO</v>
      </c>
      <c r="BW45" s="322" t="str">
        <f>+IF(DATOS_[[#This Row],[% normaliz]]*DATOS_[[#This Row],[% anualiz]]=1,"NO","Sí")</f>
        <v>NO</v>
      </c>
      <c r="BX45" s="323">
        <f>(DATOS_[[#This Row],[S.BASE]]*(1/DATOS_[[#This Row],[% normaliz]])*(1/DATOS_[[#This Row],[% anualiz]]))*IF(DATOS_[[#This Row],[Check Equiparado]]="Sí",1,0)</f>
        <v>17266.330000000002</v>
      </c>
      <c r="BY4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45" s="323">
        <f>+DATOS_[[#This Row],[SALARIO BASE Eq]]+DATOS_[[#This Row],[Tot COMPL.SAL Eq]]</f>
        <v>22461.306400000001</v>
      </c>
      <c r="CA45" s="323">
        <f t="array" ref="CA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5" s="323">
        <f>+DATOS_[[#This Row],[TOTAL SALARIO Eq]]+DATOS_[[#This Row],[Tot Extrasalarial Eq]]</f>
        <v>22461.306400000001</v>
      </c>
      <c r="CC45" s="327">
        <f>DATOS_[[#This Row],[S.BASE]]</f>
        <v>17266.330000000002</v>
      </c>
      <c r="CD45" s="324">
        <f>+SUM(DATOS_[[#This Row],[Conc.Sal.01]:[Conc.Sal.30]])</f>
        <v>5194.9763999999986</v>
      </c>
      <c r="CE45" s="324">
        <f>+DATOS_[[#This Row],[SALARIO BASE Ef]]+DATOS_[[#This Row],[Tot COMPL.SAL Ef]]</f>
        <v>22461.306400000001</v>
      </c>
      <c r="CF45" s="324">
        <f>+SUM(DATOS_[[#This Row],[C.Extra.01]:[C.Extra.05]])</f>
        <v>0</v>
      </c>
      <c r="CG45" s="330">
        <f>+DATOS_[[#This Row],[TOTAL SALARIO Ef]]+DATOS_[[#This Row],[Tot Extrasalarial Ef]]</f>
        <v>22461.306400000001</v>
      </c>
      <c r="CH45" s="303">
        <f>MIN(IF(DATOS_[[#This Row],[Fecha Fin Contrato]]="",$D$4,DATOS_[[#This Row],[Fecha Fin Contrato]]),$D$4)-MAX(DATOS_[[#This Row],[Fecha de Contratación]],$D$3)+1</f>
        <v>366</v>
      </c>
      <c r="CI45" s="304" t="str">
        <f>IF(COUNTIFS(DATOS_[id],DATOS_[[#This Row],[id]])&gt;1,DATOS_[[#This Row],[id]],"")</f>
        <v/>
      </c>
      <c r="CJ45" s="325">
        <f>(Inicio!$G$10-DATOS_[[#This Row],[Fecha Nacimiento]])/365.25</f>
        <v>30.067077344284737</v>
      </c>
      <c r="CK45" s="325">
        <f>(Inicio!$G$10-DATOS_[[#This Row],[Fecha de Antigüedad]])/365.25</f>
        <v>15.392197125256674</v>
      </c>
      <c r="CL45" s="325" t="str">
        <f>+VLOOKUP(DATOS_[[#This Row],[Clave de Contrato]],TblTiposContrato13[],3,FALSE)</f>
        <v>Completa</v>
      </c>
      <c r="CM45" s="325" t="str">
        <f>+VLOOKUP(DATOS_[[#This Row],[Clave de Contrato]],TblTiposContrato13[],4,FALSE)</f>
        <v>Indefinido</v>
      </c>
      <c r="CN45" s="325" t="str">
        <f>VLOOKUP(DATOS_[[#This Row],[Edad]],CONTRATOS!TblRngEdad,2,TRUE)</f>
        <v>30 a 35</v>
      </c>
      <c r="CO45" s="325" t="str">
        <f>VLOOKUP(DATOS_[[#This Row],[Antigüedad]],TblRngAntg14[],2,TRUE)</f>
        <v>más de 15</v>
      </c>
    </row>
    <row r="46" spans="2:93" x14ac:dyDescent="0.25">
      <c r="B46" s="146">
        <v>36</v>
      </c>
      <c r="C46" s="146" t="s">
        <v>163</v>
      </c>
      <c r="D46" s="295">
        <v>26645</v>
      </c>
      <c r="E46" s="296" t="s">
        <v>427</v>
      </c>
      <c r="F46" s="296">
        <v>3</v>
      </c>
      <c r="G46" s="296">
        <v>0</v>
      </c>
      <c r="H46" s="297">
        <v>36382</v>
      </c>
      <c r="I46" s="298"/>
      <c r="J46" s="295">
        <v>36382</v>
      </c>
      <c r="K46" s="326"/>
      <c r="L46" s="326"/>
      <c r="M46" s="299">
        <v>1</v>
      </c>
      <c r="N46" s="299"/>
      <c r="O46" s="299"/>
      <c r="P46" s="296">
        <v>100</v>
      </c>
      <c r="Q46" s="146" t="s">
        <v>404</v>
      </c>
      <c r="R46" s="146" t="s">
        <v>411</v>
      </c>
      <c r="S46" s="146" t="s">
        <v>424</v>
      </c>
      <c r="T46" s="146" t="s">
        <v>407</v>
      </c>
      <c r="U46" s="146" t="s">
        <v>400</v>
      </c>
      <c r="V46" s="146" t="s">
        <v>425</v>
      </c>
      <c r="W46" s="146" t="s">
        <v>299</v>
      </c>
      <c r="X46" s="146" t="s">
        <v>310</v>
      </c>
      <c r="Y46" s="146" t="s">
        <v>409</v>
      </c>
      <c r="Z46" s="293"/>
      <c r="AA46" s="294" t="s">
        <v>426</v>
      </c>
      <c r="AB46" s="294">
        <v>4</v>
      </c>
      <c r="AC46" s="296">
        <v>2</v>
      </c>
      <c r="AD46" s="301">
        <v>17266.330000000002</v>
      </c>
      <c r="AE46" s="301">
        <v>3200</v>
      </c>
      <c r="AF46" s="301">
        <v>3453.2660000000005</v>
      </c>
      <c r="AG46" s="301"/>
      <c r="AH46" s="301"/>
      <c r="AI46" s="301"/>
      <c r="AJ46" s="301"/>
      <c r="AK46" s="301">
        <v>80</v>
      </c>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2"/>
      <c r="BN46" s="291">
        <f>+MAX($D$3,DATOS_[[#This Row],[Fecha Inicio Sit. Contract.]])</f>
        <v>45292</v>
      </c>
      <c r="BO46" s="291">
        <f>+MIN($D$4,DATOS_[[#This Row],[Fecha Fin Sit. Contract.]])</f>
        <v>45657</v>
      </c>
      <c r="BP46" s="292">
        <f>+DATOS_[[#This Row],[% de jornada]]*IF(DATOS_[[#This Row],[% jornada reducida]]="",1,DATOS_[[#This Row],[% jornada reducida]])</f>
        <v>1</v>
      </c>
      <c r="BQ46" s="292">
        <f>+(DATOS_[[#This Row],[F.fin.cal]]-DATOS_[[#This Row],[F.ini.cal]]+1)/($D$4-$D$3+1)</f>
        <v>1</v>
      </c>
      <c r="BR46" s="322" t="str">
        <f>IF(OR(AND(DATOS_[[#This Row],[Fecha Fin Contrato]]&lt;$D$3,DATOS_[[#This Row],[Fecha Fin Contrato]]&lt;&gt;""),DATOS_[[#This Row],[Fecha de Contratación]]&gt;$D$4),"Fuera","Dentro")</f>
        <v>Dentro</v>
      </c>
      <c r="BS46" s="322" t="str">
        <f t="array" ref="BS46">IF(MAX(IF(DATOS_[id]=DATOS_[[#This Row],[id]],DATOS_[F.fin.cal]))=DATOS_[[#This Row],[F.fin.cal]],"Sí","NO")</f>
        <v>Sí</v>
      </c>
      <c r="BT46" s="292" t="str">
        <f>IF(AND(DATOS_[[#This Row],[% normaliz]]&lt;&gt;1,DATOS_[[#This Row],[% anualiz]]=1),"Sí","NO")</f>
        <v>NO</v>
      </c>
      <c r="BU46" s="292" t="str">
        <f>IF(AND(DATOS_[[#This Row],[% normaliz]]=1,DATOS_[[#This Row],[% anualiz]]&lt;&gt;1),"Sí","NO")</f>
        <v>NO</v>
      </c>
      <c r="BV46" s="292" t="str">
        <f>IF(AND(DATOS_[[#This Row],[% normaliz]]&lt;&gt;1,DATOS_[[#This Row],[% anualiz]]&lt;&gt;1),"Sí","NO")</f>
        <v>NO</v>
      </c>
      <c r="BW46" s="322" t="str">
        <f>+IF(DATOS_[[#This Row],[% normaliz]]*DATOS_[[#This Row],[% anualiz]]=1,"NO","Sí")</f>
        <v>NO</v>
      </c>
      <c r="BX46" s="323">
        <f>(DATOS_[[#This Row],[S.BASE]]*(1/DATOS_[[#This Row],[% normaliz]])*(1/DATOS_[[#This Row],[% anualiz]]))*IF(DATOS_[[#This Row],[Check Equiparado]]="Sí",1,0)</f>
        <v>17266.330000000002</v>
      </c>
      <c r="BY4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6733.2660000000005</v>
      </c>
      <c r="BZ46" s="323">
        <f>+DATOS_[[#This Row],[SALARIO BASE Eq]]+DATOS_[[#This Row],[Tot COMPL.SAL Eq]]</f>
        <v>23999.596000000001</v>
      </c>
      <c r="CA46" s="323">
        <f t="array" ref="CA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6" s="323">
        <f>+DATOS_[[#This Row],[TOTAL SALARIO Eq]]+DATOS_[[#This Row],[Tot Extrasalarial Eq]]</f>
        <v>23999.596000000001</v>
      </c>
      <c r="CC46" s="327">
        <f>DATOS_[[#This Row],[S.BASE]]</f>
        <v>17266.330000000002</v>
      </c>
      <c r="CD46" s="324">
        <f>+SUM(DATOS_[[#This Row],[Conc.Sal.01]:[Conc.Sal.30]])</f>
        <v>6733.2660000000005</v>
      </c>
      <c r="CE46" s="324">
        <f>+DATOS_[[#This Row],[SALARIO BASE Ef]]+DATOS_[[#This Row],[Tot COMPL.SAL Ef]]</f>
        <v>23999.596000000001</v>
      </c>
      <c r="CF46" s="324">
        <f>+SUM(DATOS_[[#This Row],[C.Extra.01]:[C.Extra.05]])</f>
        <v>0</v>
      </c>
      <c r="CG46" s="330">
        <f>+DATOS_[[#This Row],[TOTAL SALARIO Ef]]+DATOS_[[#This Row],[Tot Extrasalarial Ef]]</f>
        <v>23999.596000000001</v>
      </c>
      <c r="CH46" s="303">
        <f>MIN(IF(DATOS_[[#This Row],[Fecha Fin Contrato]]="",$D$4,DATOS_[[#This Row],[Fecha Fin Contrato]]),$D$4)-MAX(DATOS_[[#This Row],[Fecha de Contratación]],$D$3)+1</f>
        <v>366</v>
      </c>
      <c r="CI46" s="304" t="str">
        <f>IF(COUNTIFS(DATOS_[id],DATOS_[[#This Row],[id]])&gt;1,DATOS_[[#This Row],[id]],"")</f>
        <v/>
      </c>
      <c r="CJ46" s="325">
        <f>(Inicio!$G$10-DATOS_[[#This Row],[Fecha Nacimiento]])/365.25</f>
        <v>52.05201916495551</v>
      </c>
      <c r="CK46" s="325">
        <f>(Inicio!$G$10-DATOS_[[#This Row],[Fecha de Antigüedad]])/365.25</f>
        <v>25.393566050650239</v>
      </c>
      <c r="CL46" s="325" t="str">
        <f>+VLOOKUP(DATOS_[[#This Row],[Clave de Contrato]],TblTiposContrato13[],3,FALSE)</f>
        <v>Completa</v>
      </c>
      <c r="CM46" s="325" t="str">
        <f>+VLOOKUP(DATOS_[[#This Row],[Clave de Contrato]],TblTiposContrato13[],4,FALSE)</f>
        <v>Indefinido</v>
      </c>
      <c r="CN46" s="325" t="str">
        <f>VLOOKUP(DATOS_[[#This Row],[Edad]],CONTRATOS!TblRngEdad,2,TRUE)</f>
        <v>50 a 55</v>
      </c>
      <c r="CO46" s="325" t="str">
        <f>VLOOKUP(DATOS_[[#This Row],[Antigüedad]],TblRngAntg14[],2,TRUE)</f>
        <v>más de 15</v>
      </c>
    </row>
    <row r="47" spans="2:93" x14ac:dyDescent="0.25">
      <c r="B47" s="146">
        <v>37</v>
      </c>
      <c r="C47" s="146" t="s">
        <v>162</v>
      </c>
      <c r="D47" s="295">
        <v>33215</v>
      </c>
      <c r="E47" s="296" t="s">
        <v>427</v>
      </c>
      <c r="F47" s="296">
        <v>3</v>
      </c>
      <c r="G47" s="296">
        <v>1</v>
      </c>
      <c r="H47" s="297">
        <v>36967</v>
      </c>
      <c r="I47" s="298"/>
      <c r="J47" s="295">
        <v>36967</v>
      </c>
      <c r="K47" s="326"/>
      <c r="L47" s="326"/>
      <c r="M47" s="299">
        <v>1</v>
      </c>
      <c r="N47" s="299"/>
      <c r="O47" s="299"/>
      <c r="P47" s="296">
        <v>100</v>
      </c>
      <c r="Q47" s="146" t="s">
        <v>412</v>
      </c>
      <c r="R47" s="146" t="s">
        <v>418</v>
      </c>
      <c r="S47" s="146" t="s">
        <v>424</v>
      </c>
      <c r="T47" s="146" t="s">
        <v>407</v>
      </c>
      <c r="U47" s="146" t="s">
        <v>400</v>
      </c>
      <c r="V47" s="146" t="s">
        <v>425</v>
      </c>
      <c r="W47" s="146" t="s">
        <v>299</v>
      </c>
      <c r="X47" s="146" t="s">
        <v>310</v>
      </c>
      <c r="Y47" s="146" t="s">
        <v>409</v>
      </c>
      <c r="Z47" s="293"/>
      <c r="AA47" s="294" t="s">
        <v>426</v>
      </c>
      <c r="AB47" s="294">
        <v>4</v>
      </c>
      <c r="AC47" s="296">
        <v>2</v>
      </c>
      <c r="AD47" s="301">
        <v>17266.330000000002</v>
      </c>
      <c r="AE47" s="301">
        <v>3733.6699999999983</v>
      </c>
      <c r="AF47" s="301">
        <v>2762.6128000000003</v>
      </c>
      <c r="AG47" s="301"/>
      <c r="AH47" s="301"/>
      <c r="AI47" s="301"/>
      <c r="AJ47" s="301"/>
      <c r="AK47" s="301">
        <v>80</v>
      </c>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2"/>
      <c r="BN47" s="291">
        <f>+MAX($D$3,DATOS_[[#This Row],[Fecha Inicio Sit. Contract.]])</f>
        <v>45292</v>
      </c>
      <c r="BO47" s="291">
        <f>+MIN($D$4,DATOS_[[#This Row],[Fecha Fin Sit. Contract.]])</f>
        <v>45657</v>
      </c>
      <c r="BP47" s="292">
        <f>+DATOS_[[#This Row],[% de jornada]]*IF(DATOS_[[#This Row],[% jornada reducida]]="",1,DATOS_[[#This Row],[% jornada reducida]])</f>
        <v>1</v>
      </c>
      <c r="BQ47" s="292">
        <f>+(DATOS_[[#This Row],[F.fin.cal]]-DATOS_[[#This Row],[F.ini.cal]]+1)/($D$4-$D$3+1)</f>
        <v>1</v>
      </c>
      <c r="BR47" s="322" t="str">
        <f>IF(OR(AND(DATOS_[[#This Row],[Fecha Fin Contrato]]&lt;$D$3,DATOS_[[#This Row],[Fecha Fin Contrato]]&lt;&gt;""),DATOS_[[#This Row],[Fecha de Contratación]]&gt;$D$4),"Fuera","Dentro")</f>
        <v>Dentro</v>
      </c>
      <c r="BS47" s="322" t="str">
        <f t="array" ref="BS47">IF(MAX(IF(DATOS_[id]=DATOS_[[#This Row],[id]],DATOS_[F.fin.cal]))=DATOS_[[#This Row],[F.fin.cal]],"Sí","NO")</f>
        <v>Sí</v>
      </c>
      <c r="BT47" s="292" t="str">
        <f>IF(AND(DATOS_[[#This Row],[% normaliz]]&lt;&gt;1,DATOS_[[#This Row],[% anualiz]]=1),"Sí","NO")</f>
        <v>NO</v>
      </c>
      <c r="BU47" s="292" t="str">
        <f>IF(AND(DATOS_[[#This Row],[% normaliz]]=1,DATOS_[[#This Row],[% anualiz]]&lt;&gt;1),"Sí","NO")</f>
        <v>NO</v>
      </c>
      <c r="BV47" s="292" t="str">
        <f>IF(AND(DATOS_[[#This Row],[% normaliz]]&lt;&gt;1,DATOS_[[#This Row],[% anualiz]]&lt;&gt;1),"Sí","NO")</f>
        <v>NO</v>
      </c>
      <c r="BW47" s="322" t="str">
        <f>+IF(DATOS_[[#This Row],[% normaliz]]*DATOS_[[#This Row],[% anualiz]]=1,"NO","Sí")</f>
        <v>NO</v>
      </c>
      <c r="BX47" s="323">
        <f>(DATOS_[[#This Row],[S.BASE]]*(1/DATOS_[[#This Row],[% normaliz]])*(1/DATOS_[[#This Row],[% anualiz]]))*IF(DATOS_[[#This Row],[Check Equiparado]]="Sí",1,0)</f>
        <v>17266.330000000002</v>
      </c>
      <c r="BY4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47" s="323">
        <f>+DATOS_[[#This Row],[SALARIO BASE Eq]]+DATOS_[[#This Row],[Tot COMPL.SAL Eq]]</f>
        <v>23842.612800000003</v>
      </c>
      <c r="CA47" s="323">
        <f t="array" ref="CA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7" s="323">
        <f>+DATOS_[[#This Row],[TOTAL SALARIO Eq]]+DATOS_[[#This Row],[Tot Extrasalarial Eq]]</f>
        <v>23842.612800000003</v>
      </c>
      <c r="CC47" s="327">
        <f>DATOS_[[#This Row],[S.BASE]]</f>
        <v>17266.330000000002</v>
      </c>
      <c r="CD47" s="324">
        <f>+SUM(DATOS_[[#This Row],[Conc.Sal.01]:[Conc.Sal.30]])</f>
        <v>6576.282799999999</v>
      </c>
      <c r="CE47" s="324">
        <f>+DATOS_[[#This Row],[SALARIO BASE Ef]]+DATOS_[[#This Row],[Tot COMPL.SAL Ef]]</f>
        <v>23842.612800000003</v>
      </c>
      <c r="CF47" s="324">
        <f>+SUM(DATOS_[[#This Row],[C.Extra.01]:[C.Extra.05]])</f>
        <v>0</v>
      </c>
      <c r="CG47" s="330">
        <f>+DATOS_[[#This Row],[TOTAL SALARIO Ef]]+DATOS_[[#This Row],[Tot Extrasalarial Ef]]</f>
        <v>23842.612800000003</v>
      </c>
      <c r="CH47" s="303">
        <f>MIN(IF(DATOS_[[#This Row],[Fecha Fin Contrato]]="",$D$4,DATOS_[[#This Row],[Fecha Fin Contrato]]),$D$4)-MAX(DATOS_[[#This Row],[Fecha de Contratación]],$D$3)+1</f>
        <v>366</v>
      </c>
      <c r="CI47" s="304" t="str">
        <f>IF(COUNTIFS(DATOS_[id],DATOS_[[#This Row],[id]])&gt;1,DATOS_[[#This Row],[id]],"")</f>
        <v/>
      </c>
      <c r="CJ47" s="325">
        <f>(Inicio!$G$10-DATOS_[[#This Row],[Fecha Nacimiento]])/365.25</f>
        <v>34.064339493497606</v>
      </c>
      <c r="CK47" s="325">
        <f>(Inicio!$G$10-DATOS_[[#This Row],[Fecha de Antigüedad]])/365.25</f>
        <v>23.791923340177959</v>
      </c>
      <c r="CL47" s="325" t="str">
        <f>+VLOOKUP(DATOS_[[#This Row],[Clave de Contrato]],TblTiposContrato13[],3,FALSE)</f>
        <v>Completa</v>
      </c>
      <c r="CM47" s="325" t="str">
        <f>+VLOOKUP(DATOS_[[#This Row],[Clave de Contrato]],TblTiposContrato13[],4,FALSE)</f>
        <v>Indefinido</v>
      </c>
      <c r="CN47" s="325" t="str">
        <f>VLOOKUP(DATOS_[[#This Row],[Edad]],CONTRATOS!TblRngEdad,2,TRUE)</f>
        <v>30 a 35</v>
      </c>
      <c r="CO47" s="325" t="str">
        <f>VLOOKUP(DATOS_[[#This Row],[Antigüedad]],TblRngAntg14[],2,TRUE)</f>
        <v>más de 15</v>
      </c>
    </row>
    <row r="48" spans="2:93" x14ac:dyDescent="0.25">
      <c r="B48" s="146">
        <v>38</v>
      </c>
      <c r="C48" s="146" t="s">
        <v>163</v>
      </c>
      <c r="D48" s="295">
        <v>29930</v>
      </c>
      <c r="E48" s="296" t="s">
        <v>427</v>
      </c>
      <c r="F48" s="296">
        <v>3</v>
      </c>
      <c r="G48" s="296">
        <v>1</v>
      </c>
      <c r="H48" s="297">
        <v>38903</v>
      </c>
      <c r="I48" s="298"/>
      <c r="J48" s="295">
        <v>38903</v>
      </c>
      <c r="K48" s="326"/>
      <c r="L48" s="326">
        <v>44165</v>
      </c>
      <c r="M48" s="299">
        <v>1</v>
      </c>
      <c r="N48" s="299">
        <v>0.5</v>
      </c>
      <c r="O48" s="299" t="s">
        <v>147</v>
      </c>
      <c r="P48" s="296">
        <v>100</v>
      </c>
      <c r="Q48" s="146" t="s">
        <v>412</v>
      </c>
      <c r="R48" s="146" t="s">
        <v>418</v>
      </c>
      <c r="S48" s="146" t="s">
        <v>424</v>
      </c>
      <c r="T48" s="146" t="s">
        <v>407</v>
      </c>
      <c r="U48" s="146" t="s">
        <v>400</v>
      </c>
      <c r="V48" s="146" t="s">
        <v>425</v>
      </c>
      <c r="W48" s="146" t="s">
        <v>299</v>
      </c>
      <c r="X48" s="146" t="s">
        <v>310</v>
      </c>
      <c r="Y48" s="146" t="s">
        <v>409</v>
      </c>
      <c r="Z48" s="293"/>
      <c r="AA48" s="294" t="s">
        <v>426</v>
      </c>
      <c r="AB48" s="294">
        <v>4</v>
      </c>
      <c r="AC48" s="296">
        <v>2</v>
      </c>
      <c r="AD48" s="301">
        <v>7913.7345833333338</v>
      </c>
      <c r="AE48" s="301">
        <v>1711.2654166666662</v>
      </c>
      <c r="AF48" s="301">
        <v>949.6481500000001</v>
      </c>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2"/>
      <c r="BN48" s="291">
        <f>+MAX($D$3,DATOS_[[#This Row],[Fecha Inicio Sit. Contract.]])</f>
        <v>45292</v>
      </c>
      <c r="BO48" s="291">
        <f>+MIN($D$4,DATOS_[[#This Row],[Fecha Fin Sit. Contract.]])</f>
        <v>44165</v>
      </c>
      <c r="BP48" s="292">
        <f>+DATOS_[[#This Row],[% de jornada]]*IF(DATOS_[[#This Row],[% jornada reducida]]="",1,DATOS_[[#This Row],[% jornada reducida]])</f>
        <v>0.5</v>
      </c>
      <c r="BQ48" s="292">
        <f>+(DATOS_[[#This Row],[F.fin.cal]]-DATOS_[[#This Row],[F.ini.cal]]+1)/($D$4-$D$3+1)</f>
        <v>-3.0765027322404372</v>
      </c>
      <c r="BR48" s="322" t="str">
        <f>IF(OR(AND(DATOS_[[#This Row],[Fecha Fin Contrato]]&lt;$D$3,DATOS_[[#This Row],[Fecha Fin Contrato]]&lt;&gt;""),DATOS_[[#This Row],[Fecha de Contratación]]&gt;$D$4),"Fuera","Dentro")</f>
        <v>Dentro</v>
      </c>
      <c r="BS48" s="322" t="str">
        <f t="array" ref="BS48">IF(MAX(IF(DATOS_[id]=DATOS_[[#This Row],[id]],DATOS_[F.fin.cal]))=DATOS_[[#This Row],[F.fin.cal]],"Sí","NO")</f>
        <v>NO</v>
      </c>
      <c r="BT48" s="292" t="str">
        <f>IF(AND(DATOS_[[#This Row],[% normaliz]]&lt;&gt;1,DATOS_[[#This Row],[% anualiz]]=1),"Sí","NO")</f>
        <v>NO</v>
      </c>
      <c r="BU48" s="292" t="str">
        <f>IF(AND(DATOS_[[#This Row],[% normaliz]]=1,DATOS_[[#This Row],[% anualiz]]&lt;&gt;1),"Sí","NO")</f>
        <v>NO</v>
      </c>
      <c r="BV48" s="292" t="str">
        <f>IF(AND(DATOS_[[#This Row],[% normaliz]]&lt;&gt;1,DATOS_[[#This Row],[% anualiz]]&lt;&gt;1),"Sí","NO")</f>
        <v>Sí</v>
      </c>
      <c r="BW48" s="322" t="str">
        <f>+IF(DATOS_[[#This Row],[% normaliz]]*DATOS_[[#This Row],[% anualiz]]=1,"NO","Sí")</f>
        <v>Sí</v>
      </c>
      <c r="BX48" s="323">
        <f>(DATOS_[[#This Row],[S.BASE]]*(1/DATOS_[[#This Row],[% normaliz]])*(1/DATOS_[[#This Row],[% anualiz]]))*IF(DATOS_[[#This Row],[Check Equiparado]]="Sí",1,0)</f>
        <v>0</v>
      </c>
      <c r="BY4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48" s="323">
        <f>+DATOS_[[#This Row],[SALARIO BASE Eq]]+DATOS_[[#This Row],[Tot COMPL.SAL Eq]]</f>
        <v>0</v>
      </c>
      <c r="CA48" s="323">
        <f t="array" ref="CA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8" s="323">
        <f>+DATOS_[[#This Row],[TOTAL SALARIO Eq]]+DATOS_[[#This Row],[Tot Extrasalarial Eq]]</f>
        <v>0</v>
      </c>
      <c r="CC48" s="327">
        <f>DATOS_[[#This Row],[S.BASE]]</f>
        <v>7913.7345833333338</v>
      </c>
      <c r="CD48" s="324">
        <f>+SUM(DATOS_[[#This Row],[Conc.Sal.01]:[Conc.Sal.30]])</f>
        <v>2660.9135666666662</v>
      </c>
      <c r="CE48" s="324">
        <f>+DATOS_[[#This Row],[SALARIO BASE Ef]]+DATOS_[[#This Row],[Tot COMPL.SAL Ef]]</f>
        <v>10574.648150000001</v>
      </c>
      <c r="CF48" s="324">
        <f>+SUM(DATOS_[[#This Row],[C.Extra.01]:[C.Extra.05]])</f>
        <v>0</v>
      </c>
      <c r="CG48" s="330">
        <f>+DATOS_[[#This Row],[TOTAL SALARIO Ef]]+DATOS_[[#This Row],[Tot Extrasalarial Ef]]</f>
        <v>10574.648150000001</v>
      </c>
      <c r="CH48" s="303">
        <f>MIN(IF(DATOS_[[#This Row],[Fecha Fin Contrato]]="",$D$4,DATOS_[[#This Row],[Fecha Fin Contrato]]),$D$4)-MAX(DATOS_[[#This Row],[Fecha de Contratación]],$D$3)+1</f>
        <v>366</v>
      </c>
      <c r="CI48" s="304">
        <f>IF(COUNTIFS(DATOS_[id],DATOS_[[#This Row],[id]])&gt;1,DATOS_[[#This Row],[id]],"")</f>
        <v>38</v>
      </c>
      <c r="CJ48" s="325">
        <f>(Inicio!$G$10-DATOS_[[#This Row],[Fecha Nacimiento]])/365.25</f>
        <v>43.058179329226554</v>
      </c>
      <c r="CK48" s="325">
        <f>(Inicio!$G$10-DATOS_[[#This Row],[Fecha de Antigüedad]])/365.25</f>
        <v>18.491444216290212</v>
      </c>
      <c r="CL48" s="325" t="str">
        <f>+VLOOKUP(DATOS_[[#This Row],[Clave de Contrato]],TblTiposContrato13[],3,FALSE)</f>
        <v>Completa</v>
      </c>
      <c r="CM48" s="325" t="str">
        <f>+VLOOKUP(DATOS_[[#This Row],[Clave de Contrato]],TblTiposContrato13[],4,FALSE)</f>
        <v>Indefinido</v>
      </c>
      <c r="CN48" s="325" t="str">
        <f>VLOOKUP(DATOS_[[#This Row],[Edad]],CONTRATOS!TblRngEdad,2,TRUE)</f>
        <v>40 a 45</v>
      </c>
      <c r="CO48" s="325" t="str">
        <f>VLOOKUP(DATOS_[[#This Row],[Antigüedad]],TblRngAntg14[],2,TRUE)</f>
        <v>más de 15</v>
      </c>
    </row>
    <row r="49" spans="2:93" x14ac:dyDescent="0.25">
      <c r="B49" s="146">
        <v>38</v>
      </c>
      <c r="C49" s="146" t="s">
        <v>163</v>
      </c>
      <c r="D49" s="295">
        <v>29930</v>
      </c>
      <c r="E49" s="296" t="s">
        <v>427</v>
      </c>
      <c r="F49" s="296">
        <v>3</v>
      </c>
      <c r="G49" s="296">
        <v>1</v>
      </c>
      <c r="H49" s="297">
        <v>38903</v>
      </c>
      <c r="I49" s="298"/>
      <c r="J49" s="295">
        <v>38903</v>
      </c>
      <c r="K49" s="326">
        <v>44166</v>
      </c>
      <c r="L49" s="326"/>
      <c r="M49" s="299">
        <v>1</v>
      </c>
      <c r="N49" s="299"/>
      <c r="O49" s="299"/>
      <c r="P49" s="296">
        <v>100</v>
      </c>
      <c r="Q49" s="146" t="s">
        <v>412</v>
      </c>
      <c r="R49" s="146" t="s">
        <v>418</v>
      </c>
      <c r="S49" s="146" t="s">
        <v>424</v>
      </c>
      <c r="T49" s="146" t="s">
        <v>407</v>
      </c>
      <c r="U49" s="146" t="s">
        <v>400</v>
      </c>
      <c r="V49" s="146" t="s">
        <v>425</v>
      </c>
      <c r="W49" s="146" t="s">
        <v>299</v>
      </c>
      <c r="X49" s="146" t="s">
        <v>310</v>
      </c>
      <c r="Y49" s="146" t="s">
        <v>409</v>
      </c>
      <c r="Z49" s="293"/>
      <c r="AA49" s="294" t="s">
        <v>426</v>
      </c>
      <c r="AB49" s="294">
        <v>4</v>
      </c>
      <c r="AC49" s="296">
        <v>2</v>
      </c>
      <c r="AD49" s="301">
        <v>1438.8608333333334</v>
      </c>
      <c r="AE49" s="301">
        <v>311.1391666666666</v>
      </c>
      <c r="AF49" s="301">
        <v>172.66330000000002</v>
      </c>
      <c r="AG49" s="301"/>
      <c r="AH49" s="301"/>
      <c r="AI49" s="301"/>
      <c r="AJ49" s="301"/>
      <c r="AK49" s="301">
        <v>80</v>
      </c>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2"/>
      <c r="BN49" s="291">
        <f>+MAX($D$3,DATOS_[[#This Row],[Fecha Inicio Sit. Contract.]])</f>
        <v>45292</v>
      </c>
      <c r="BO49" s="291">
        <f>+MIN($D$4,DATOS_[[#This Row],[Fecha Fin Sit. Contract.]])</f>
        <v>45657</v>
      </c>
      <c r="BP49" s="292">
        <f>+DATOS_[[#This Row],[% de jornada]]*IF(DATOS_[[#This Row],[% jornada reducida]]="",1,DATOS_[[#This Row],[% jornada reducida]])</f>
        <v>1</v>
      </c>
      <c r="BQ49" s="292">
        <f>+(DATOS_[[#This Row],[F.fin.cal]]-DATOS_[[#This Row],[F.ini.cal]]+1)/($D$4-$D$3+1)</f>
        <v>1</v>
      </c>
      <c r="BR49" s="322" t="str">
        <f>IF(OR(AND(DATOS_[[#This Row],[Fecha Fin Contrato]]&lt;$D$3,DATOS_[[#This Row],[Fecha Fin Contrato]]&lt;&gt;""),DATOS_[[#This Row],[Fecha de Contratación]]&gt;$D$4),"Fuera","Dentro")</f>
        <v>Dentro</v>
      </c>
      <c r="BS49" s="322" t="str">
        <f t="array" ref="BS49">IF(MAX(IF(DATOS_[id]=DATOS_[[#This Row],[id]],DATOS_[F.fin.cal]))=DATOS_[[#This Row],[F.fin.cal]],"Sí","NO")</f>
        <v>Sí</v>
      </c>
      <c r="BT49" s="292" t="str">
        <f>IF(AND(DATOS_[[#This Row],[% normaliz]]&lt;&gt;1,DATOS_[[#This Row],[% anualiz]]=1),"Sí","NO")</f>
        <v>NO</v>
      </c>
      <c r="BU49" s="292" t="str">
        <f>IF(AND(DATOS_[[#This Row],[% normaliz]]=1,DATOS_[[#This Row],[% anualiz]]&lt;&gt;1),"Sí","NO")</f>
        <v>NO</v>
      </c>
      <c r="BV49" s="292" t="str">
        <f>IF(AND(DATOS_[[#This Row],[% normaliz]]&lt;&gt;1,DATOS_[[#This Row],[% anualiz]]&lt;&gt;1),"Sí","NO")</f>
        <v>NO</v>
      </c>
      <c r="BW49" s="322" t="str">
        <f>+IF(DATOS_[[#This Row],[% normaliz]]*DATOS_[[#This Row],[% anualiz]]=1,"NO","Sí")</f>
        <v>NO</v>
      </c>
      <c r="BX49" s="323">
        <f>(DATOS_[[#This Row],[S.BASE]]*(1/DATOS_[[#This Row],[% normaliz]])*(1/DATOS_[[#This Row],[% anualiz]]))*IF(DATOS_[[#This Row],[Check Equiparado]]="Sí",1,0)</f>
        <v>1438.8608333333334</v>
      </c>
      <c r="BY4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563.80246666666665</v>
      </c>
      <c r="BZ49" s="323">
        <f>+DATOS_[[#This Row],[SALARIO BASE Eq]]+DATOS_[[#This Row],[Tot COMPL.SAL Eq]]</f>
        <v>2002.6633000000002</v>
      </c>
      <c r="CA49" s="323">
        <f t="array" ref="CA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9" s="323">
        <f>+DATOS_[[#This Row],[TOTAL SALARIO Eq]]+DATOS_[[#This Row],[Tot Extrasalarial Eq]]</f>
        <v>2002.6633000000002</v>
      </c>
      <c r="CC49" s="327">
        <f>DATOS_[[#This Row],[S.BASE]]</f>
        <v>1438.8608333333334</v>
      </c>
      <c r="CD49" s="324">
        <f>+SUM(DATOS_[[#This Row],[Conc.Sal.01]:[Conc.Sal.30]])</f>
        <v>563.80246666666665</v>
      </c>
      <c r="CE49" s="324">
        <f>+DATOS_[[#This Row],[SALARIO BASE Ef]]+DATOS_[[#This Row],[Tot COMPL.SAL Ef]]</f>
        <v>2002.6633000000002</v>
      </c>
      <c r="CF49" s="324">
        <f>+SUM(DATOS_[[#This Row],[C.Extra.01]:[C.Extra.05]])</f>
        <v>0</v>
      </c>
      <c r="CG49" s="330">
        <f>+DATOS_[[#This Row],[TOTAL SALARIO Ef]]+DATOS_[[#This Row],[Tot Extrasalarial Ef]]</f>
        <v>2002.6633000000002</v>
      </c>
      <c r="CH49" s="303">
        <f>MIN(IF(DATOS_[[#This Row],[Fecha Fin Contrato]]="",$D$4,DATOS_[[#This Row],[Fecha Fin Contrato]]),$D$4)-MAX(DATOS_[[#This Row],[Fecha de Contratación]],$D$3)+1</f>
        <v>366</v>
      </c>
      <c r="CI49" s="304">
        <f>IF(COUNTIFS(DATOS_[id],DATOS_[[#This Row],[id]])&gt;1,DATOS_[[#This Row],[id]],"")</f>
        <v>38</v>
      </c>
      <c r="CJ49" s="325">
        <f>(Inicio!$G$10-DATOS_[[#This Row],[Fecha Nacimiento]])/365.25</f>
        <v>43.058179329226554</v>
      </c>
      <c r="CK49" s="325">
        <f>(Inicio!$G$10-DATOS_[[#This Row],[Fecha de Antigüedad]])/365.25</f>
        <v>18.491444216290212</v>
      </c>
      <c r="CL49" s="325" t="str">
        <f>+VLOOKUP(DATOS_[[#This Row],[Clave de Contrato]],TblTiposContrato13[],3,FALSE)</f>
        <v>Completa</v>
      </c>
      <c r="CM49" s="325" t="str">
        <f>+VLOOKUP(DATOS_[[#This Row],[Clave de Contrato]],TblTiposContrato13[],4,FALSE)</f>
        <v>Indefinido</v>
      </c>
      <c r="CN49" s="325" t="str">
        <f>VLOOKUP(DATOS_[[#This Row],[Edad]],CONTRATOS!TblRngEdad,2,TRUE)</f>
        <v>40 a 45</v>
      </c>
      <c r="CO49" s="325" t="str">
        <f>VLOOKUP(DATOS_[[#This Row],[Antigüedad]],TblRngAntg14[],2,TRUE)</f>
        <v>más de 15</v>
      </c>
    </row>
    <row r="50" spans="2:93" x14ac:dyDescent="0.25">
      <c r="B50" s="146">
        <v>39</v>
      </c>
      <c r="C50" s="146" t="s">
        <v>162</v>
      </c>
      <c r="D50" s="295">
        <v>27375</v>
      </c>
      <c r="E50" s="296" t="s">
        <v>427</v>
      </c>
      <c r="F50" s="296">
        <v>3</v>
      </c>
      <c r="G50" s="296">
        <v>1</v>
      </c>
      <c r="H50" s="297">
        <v>39378</v>
      </c>
      <c r="I50" s="298"/>
      <c r="J50" s="295">
        <v>39378</v>
      </c>
      <c r="K50" s="326"/>
      <c r="L50" s="326"/>
      <c r="M50" s="299">
        <v>1</v>
      </c>
      <c r="N50" s="299"/>
      <c r="O50" s="299"/>
      <c r="P50" s="296">
        <v>100</v>
      </c>
      <c r="Q50" s="146" t="s">
        <v>404</v>
      </c>
      <c r="R50" s="146" t="s">
        <v>411</v>
      </c>
      <c r="S50" s="146" t="s">
        <v>424</v>
      </c>
      <c r="T50" s="146" t="s">
        <v>407</v>
      </c>
      <c r="U50" s="146" t="s">
        <v>400</v>
      </c>
      <c r="V50" s="146" t="s">
        <v>425</v>
      </c>
      <c r="W50" s="146" t="s">
        <v>299</v>
      </c>
      <c r="X50" s="146" t="s">
        <v>310</v>
      </c>
      <c r="Y50" s="146" t="s">
        <v>409</v>
      </c>
      <c r="Z50" s="293"/>
      <c r="AA50" s="294" t="s">
        <v>426</v>
      </c>
      <c r="AB50" s="294">
        <v>4</v>
      </c>
      <c r="AC50" s="296">
        <v>2</v>
      </c>
      <c r="AD50" s="301">
        <v>17266.330000000002</v>
      </c>
      <c r="AE50" s="301">
        <v>3733.6699999999983</v>
      </c>
      <c r="AF50" s="301">
        <v>2071.9596000000001</v>
      </c>
      <c r="AG50" s="301"/>
      <c r="AH50" s="301"/>
      <c r="AI50" s="301"/>
      <c r="AJ50" s="301"/>
      <c r="AK50" s="301">
        <v>80</v>
      </c>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2"/>
      <c r="BN50" s="291">
        <f>+MAX($D$3,DATOS_[[#This Row],[Fecha Inicio Sit. Contract.]])</f>
        <v>45292</v>
      </c>
      <c r="BO50" s="291">
        <f>+MIN($D$4,DATOS_[[#This Row],[Fecha Fin Sit. Contract.]])</f>
        <v>45657</v>
      </c>
      <c r="BP50" s="292">
        <f>+DATOS_[[#This Row],[% de jornada]]*IF(DATOS_[[#This Row],[% jornada reducida]]="",1,DATOS_[[#This Row],[% jornada reducida]])</f>
        <v>1</v>
      </c>
      <c r="BQ50" s="292">
        <f>+(DATOS_[[#This Row],[F.fin.cal]]-DATOS_[[#This Row],[F.ini.cal]]+1)/($D$4-$D$3+1)</f>
        <v>1</v>
      </c>
      <c r="BR50" s="322" t="str">
        <f>IF(OR(AND(DATOS_[[#This Row],[Fecha Fin Contrato]]&lt;$D$3,DATOS_[[#This Row],[Fecha Fin Contrato]]&lt;&gt;""),DATOS_[[#This Row],[Fecha de Contratación]]&gt;$D$4),"Fuera","Dentro")</f>
        <v>Dentro</v>
      </c>
      <c r="BS50" s="322" t="str">
        <f t="array" ref="BS50">IF(MAX(IF(DATOS_[id]=DATOS_[[#This Row],[id]],DATOS_[F.fin.cal]))=DATOS_[[#This Row],[F.fin.cal]],"Sí","NO")</f>
        <v>Sí</v>
      </c>
      <c r="BT50" s="292" t="str">
        <f>IF(AND(DATOS_[[#This Row],[% normaliz]]&lt;&gt;1,DATOS_[[#This Row],[% anualiz]]=1),"Sí","NO")</f>
        <v>NO</v>
      </c>
      <c r="BU50" s="292" t="str">
        <f>IF(AND(DATOS_[[#This Row],[% normaliz]]=1,DATOS_[[#This Row],[% anualiz]]&lt;&gt;1),"Sí","NO")</f>
        <v>NO</v>
      </c>
      <c r="BV50" s="292" t="str">
        <f>IF(AND(DATOS_[[#This Row],[% normaliz]]&lt;&gt;1,DATOS_[[#This Row],[% anualiz]]&lt;&gt;1),"Sí","NO")</f>
        <v>NO</v>
      </c>
      <c r="BW50" s="322" t="str">
        <f>+IF(DATOS_[[#This Row],[% normaliz]]*DATOS_[[#This Row],[% anualiz]]=1,"NO","Sí")</f>
        <v>NO</v>
      </c>
      <c r="BX50" s="323">
        <f>(DATOS_[[#This Row],[S.BASE]]*(1/DATOS_[[#This Row],[% normaliz]])*(1/DATOS_[[#This Row],[% anualiz]]))*IF(DATOS_[[#This Row],[Check Equiparado]]="Sí",1,0)</f>
        <v>17266.330000000002</v>
      </c>
      <c r="BY5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5885.6295999999984</v>
      </c>
      <c r="BZ50" s="323">
        <f>+DATOS_[[#This Row],[SALARIO BASE Eq]]+DATOS_[[#This Row],[Tot COMPL.SAL Eq]]</f>
        <v>23151.959600000002</v>
      </c>
      <c r="CA50" s="323">
        <f t="array" ref="CA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0" s="323">
        <f>+DATOS_[[#This Row],[TOTAL SALARIO Eq]]+DATOS_[[#This Row],[Tot Extrasalarial Eq]]</f>
        <v>23151.959600000002</v>
      </c>
      <c r="CC50" s="327">
        <f>DATOS_[[#This Row],[S.BASE]]</f>
        <v>17266.330000000002</v>
      </c>
      <c r="CD50" s="324">
        <f>+SUM(DATOS_[[#This Row],[Conc.Sal.01]:[Conc.Sal.30]])</f>
        <v>5885.6295999999984</v>
      </c>
      <c r="CE50" s="324">
        <f>+DATOS_[[#This Row],[SALARIO BASE Ef]]+DATOS_[[#This Row],[Tot COMPL.SAL Ef]]</f>
        <v>23151.959600000002</v>
      </c>
      <c r="CF50" s="324">
        <f>+SUM(DATOS_[[#This Row],[C.Extra.01]:[C.Extra.05]])</f>
        <v>0</v>
      </c>
      <c r="CG50" s="330">
        <f>+DATOS_[[#This Row],[TOTAL SALARIO Ef]]+DATOS_[[#This Row],[Tot Extrasalarial Ef]]</f>
        <v>23151.959600000002</v>
      </c>
      <c r="CH50" s="303">
        <f>MIN(IF(DATOS_[[#This Row],[Fecha Fin Contrato]]="",$D$4,DATOS_[[#This Row],[Fecha Fin Contrato]]),$D$4)-MAX(DATOS_[[#This Row],[Fecha de Contratación]],$D$3)+1</f>
        <v>366</v>
      </c>
      <c r="CI50" s="304" t="str">
        <f>IF(COUNTIFS(DATOS_[id],DATOS_[[#This Row],[id]])&gt;1,DATOS_[[#This Row],[id]],"")</f>
        <v/>
      </c>
      <c r="CJ50" s="325">
        <f>(Inicio!$G$10-DATOS_[[#This Row],[Fecha Nacimiento]])/365.25</f>
        <v>50.053388090349074</v>
      </c>
      <c r="CK50" s="325">
        <f>(Inicio!$G$10-DATOS_[[#This Row],[Fecha de Antigüedad]])/365.25</f>
        <v>17.190965092402465</v>
      </c>
      <c r="CL50" s="325" t="str">
        <f>+VLOOKUP(DATOS_[[#This Row],[Clave de Contrato]],TblTiposContrato13[],3,FALSE)</f>
        <v>Completa</v>
      </c>
      <c r="CM50" s="325" t="str">
        <f>+VLOOKUP(DATOS_[[#This Row],[Clave de Contrato]],TblTiposContrato13[],4,FALSE)</f>
        <v>Indefinido</v>
      </c>
      <c r="CN50" s="325" t="str">
        <f>VLOOKUP(DATOS_[[#This Row],[Edad]],CONTRATOS!TblRngEdad,2,TRUE)</f>
        <v>50 a 55</v>
      </c>
      <c r="CO50" s="325" t="str">
        <f>VLOOKUP(DATOS_[[#This Row],[Antigüedad]],TblRngAntg14[],2,TRUE)</f>
        <v>más de 15</v>
      </c>
    </row>
    <row r="51" spans="2:93" x14ac:dyDescent="0.25">
      <c r="B51" s="146">
        <v>40</v>
      </c>
      <c r="C51" s="146" t="s">
        <v>163</v>
      </c>
      <c r="D51" s="295">
        <v>33580</v>
      </c>
      <c r="E51" s="296" t="s">
        <v>403</v>
      </c>
      <c r="F51" s="296">
        <v>3</v>
      </c>
      <c r="G51" s="296">
        <v>1</v>
      </c>
      <c r="H51" s="297">
        <v>37880</v>
      </c>
      <c r="I51" s="298"/>
      <c r="J51" s="295">
        <v>37880</v>
      </c>
      <c r="K51" s="326"/>
      <c r="L51" s="326"/>
      <c r="M51" s="299">
        <v>0.5</v>
      </c>
      <c r="N51" s="299"/>
      <c r="O51" s="299"/>
      <c r="P51" s="296">
        <v>100</v>
      </c>
      <c r="Q51" s="146" t="s">
        <v>412</v>
      </c>
      <c r="R51" s="146" t="s">
        <v>418</v>
      </c>
      <c r="S51" s="146" t="s">
        <v>424</v>
      </c>
      <c r="T51" s="146" t="s">
        <v>407</v>
      </c>
      <c r="U51" s="146" t="s">
        <v>400</v>
      </c>
      <c r="V51" s="146" t="s">
        <v>425</v>
      </c>
      <c r="W51" s="146" t="s">
        <v>299</v>
      </c>
      <c r="X51" s="146" t="s">
        <v>310</v>
      </c>
      <c r="Y51" s="146" t="s">
        <v>409</v>
      </c>
      <c r="Z51" s="293"/>
      <c r="AA51" s="294" t="s">
        <v>426</v>
      </c>
      <c r="AB51" s="294">
        <v>4</v>
      </c>
      <c r="AC51" s="296">
        <v>2</v>
      </c>
      <c r="AD51" s="301">
        <v>8633.1650000000009</v>
      </c>
      <c r="AE51" s="301">
        <v>1866.8349999999991</v>
      </c>
      <c r="AF51" s="301">
        <v>1381.3064000000002</v>
      </c>
      <c r="AG51" s="301"/>
      <c r="AH51" s="301"/>
      <c r="AI51" s="301"/>
      <c r="AJ51" s="301"/>
      <c r="AK51" s="301">
        <v>80</v>
      </c>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2"/>
      <c r="BN51" s="291">
        <f>+MAX($D$3,DATOS_[[#This Row],[Fecha Inicio Sit. Contract.]])</f>
        <v>45292</v>
      </c>
      <c r="BO51" s="291">
        <f>+MIN($D$4,DATOS_[[#This Row],[Fecha Fin Sit. Contract.]])</f>
        <v>45657</v>
      </c>
      <c r="BP51" s="292">
        <f>+DATOS_[[#This Row],[% de jornada]]*IF(DATOS_[[#This Row],[% jornada reducida]]="",1,DATOS_[[#This Row],[% jornada reducida]])</f>
        <v>0.5</v>
      </c>
      <c r="BQ51" s="292">
        <f>+(DATOS_[[#This Row],[F.fin.cal]]-DATOS_[[#This Row],[F.ini.cal]]+1)/($D$4-$D$3+1)</f>
        <v>1</v>
      </c>
      <c r="BR51" s="322" t="str">
        <f>IF(OR(AND(DATOS_[[#This Row],[Fecha Fin Contrato]]&lt;$D$3,DATOS_[[#This Row],[Fecha Fin Contrato]]&lt;&gt;""),DATOS_[[#This Row],[Fecha de Contratación]]&gt;$D$4),"Fuera","Dentro")</f>
        <v>Dentro</v>
      </c>
      <c r="BS51" s="322" t="str">
        <f t="array" ref="BS51">IF(MAX(IF(DATOS_[id]=DATOS_[[#This Row],[id]],DATOS_[F.fin.cal]))=DATOS_[[#This Row],[F.fin.cal]],"Sí","NO")</f>
        <v>Sí</v>
      </c>
      <c r="BT51" s="292" t="str">
        <f>IF(AND(DATOS_[[#This Row],[% normaliz]]&lt;&gt;1,DATOS_[[#This Row],[% anualiz]]=1),"Sí","NO")</f>
        <v>Sí</v>
      </c>
      <c r="BU51" s="292" t="str">
        <f>IF(AND(DATOS_[[#This Row],[% normaliz]]=1,DATOS_[[#This Row],[% anualiz]]&lt;&gt;1),"Sí","NO")</f>
        <v>NO</v>
      </c>
      <c r="BV51" s="292" t="str">
        <f>IF(AND(DATOS_[[#This Row],[% normaliz]]&lt;&gt;1,DATOS_[[#This Row],[% anualiz]]&lt;&gt;1),"Sí","NO")</f>
        <v>NO</v>
      </c>
      <c r="BW51" s="322" t="str">
        <f>+IF(DATOS_[[#This Row],[% normaliz]]*DATOS_[[#This Row],[% anualiz]]=1,"NO","Sí")</f>
        <v>Sí</v>
      </c>
      <c r="BX51" s="323">
        <f>(DATOS_[[#This Row],[S.BASE]]*(1/DATOS_[[#This Row],[% normaliz]])*(1/DATOS_[[#This Row],[% anualiz]]))*IF(DATOS_[[#This Row],[Check Equiparado]]="Sí",1,0)</f>
        <v>17266.330000000002</v>
      </c>
      <c r="BY5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51" s="323">
        <f>+DATOS_[[#This Row],[SALARIO BASE Eq]]+DATOS_[[#This Row],[Tot COMPL.SAL Eq]]</f>
        <v>23842.612800000003</v>
      </c>
      <c r="CA51" s="323">
        <f t="array" ref="CA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1" s="323">
        <f>+DATOS_[[#This Row],[TOTAL SALARIO Eq]]+DATOS_[[#This Row],[Tot Extrasalarial Eq]]</f>
        <v>23842.612800000003</v>
      </c>
      <c r="CC51" s="327">
        <f>DATOS_[[#This Row],[S.BASE]]</f>
        <v>8633.1650000000009</v>
      </c>
      <c r="CD51" s="324">
        <f>+SUM(DATOS_[[#This Row],[Conc.Sal.01]:[Conc.Sal.30]])</f>
        <v>3328.1413999999995</v>
      </c>
      <c r="CE51" s="324">
        <f>+DATOS_[[#This Row],[SALARIO BASE Ef]]+DATOS_[[#This Row],[Tot COMPL.SAL Ef]]</f>
        <v>11961.306400000001</v>
      </c>
      <c r="CF51" s="324">
        <f>+SUM(DATOS_[[#This Row],[C.Extra.01]:[C.Extra.05]])</f>
        <v>0</v>
      </c>
      <c r="CG51" s="330">
        <f>+DATOS_[[#This Row],[TOTAL SALARIO Ef]]+DATOS_[[#This Row],[Tot Extrasalarial Ef]]</f>
        <v>11961.306400000001</v>
      </c>
      <c r="CH51" s="303">
        <f>MIN(IF(DATOS_[[#This Row],[Fecha Fin Contrato]]="",$D$4,DATOS_[[#This Row],[Fecha Fin Contrato]]),$D$4)-MAX(DATOS_[[#This Row],[Fecha de Contratación]],$D$3)+1</f>
        <v>366</v>
      </c>
      <c r="CI51" s="304" t="str">
        <f>IF(COUNTIFS(DATOS_[id],DATOS_[[#This Row],[id]])&gt;1,DATOS_[[#This Row],[id]],"")</f>
        <v/>
      </c>
      <c r="CJ51" s="325">
        <f>(Inicio!$G$10-DATOS_[[#This Row],[Fecha Nacimiento]])/365.25</f>
        <v>33.065023956194388</v>
      </c>
      <c r="CK51" s="325">
        <f>(Inicio!$G$10-DATOS_[[#This Row],[Fecha de Antigüedad]])/365.25</f>
        <v>21.29226557152635</v>
      </c>
      <c r="CL51" s="325" t="str">
        <f>+VLOOKUP(DATOS_[[#This Row],[Clave de Contrato]],TblTiposContrato13[],3,FALSE)</f>
        <v>Completa</v>
      </c>
      <c r="CM51" s="325" t="str">
        <f>+VLOOKUP(DATOS_[[#This Row],[Clave de Contrato]],TblTiposContrato13[],4,FALSE)</f>
        <v>Indefinido</v>
      </c>
      <c r="CN51" s="325" t="str">
        <f>VLOOKUP(DATOS_[[#This Row],[Edad]],CONTRATOS!TblRngEdad,2,TRUE)</f>
        <v>30 a 35</v>
      </c>
      <c r="CO51" s="325" t="str">
        <f>VLOOKUP(DATOS_[[#This Row],[Antigüedad]],TblRngAntg14[],2,TRUE)</f>
        <v>más de 15</v>
      </c>
    </row>
    <row r="52" spans="2:93" x14ac:dyDescent="0.25">
      <c r="B52" s="146">
        <v>41</v>
      </c>
      <c r="C52" s="146" t="s">
        <v>162</v>
      </c>
      <c r="D52" s="295">
        <v>27740</v>
      </c>
      <c r="E52" s="296" t="s">
        <v>427</v>
      </c>
      <c r="F52" s="296">
        <v>3</v>
      </c>
      <c r="G52" s="296">
        <v>1</v>
      </c>
      <c r="H52" s="297">
        <v>37150</v>
      </c>
      <c r="I52" s="298"/>
      <c r="J52" s="295">
        <v>37150</v>
      </c>
      <c r="K52" s="326"/>
      <c r="L52" s="326"/>
      <c r="M52" s="299">
        <v>1</v>
      </c>
      <c r="N52" s="299"/>
      <c r="O52" s="299"/>
      <c r="P52" s="296">
        <v>100</v>
      </c>
      <c r="Q52" s="146" t="s">
        <v>412</v>
      </c>
      <c r="R52" s="146" t="s">
        <v>417</v>
      </c>
      <c r="S52" s="146" t="s">
        <v>424</v>
      </c>
      <c r="T52" s="146" t="s">
        <v>407</v>
      </c>
      <c r="U52" s="146" t="s">
        <v>400</v>
      </c>
      <c r="V52" s="146" t="s">
        <v>425</v>
      </c>
      <c r="W52" s="146" t="s">
        <v>299</v>
      </c>
      <c r="X52" s="146" t="s">
        <v>310</v>
      </c>
      <c r="Y52" s="146" t="s">
        <v>409</v>
      </c>
      <c r="Z52" s="293"/>
      <c r="AA52" s="294" t="s">
        <v>426</v>
      </c>
      <c r="AB52" s="294">
        <v>4</v>
      </c>
      <c r="AC52" s="296">
        <v>2</v>
      </c>
      <c r="AD52" s="301">
        <v>17266.330000000002</v>
      </c>
      <c r="AE52" s="301">
        <v>3733.6699999999983</v>
      </c>
      <c r="AF52" s="301">
        <v>2762.6128000000003</v>
      </c>
      <c r="AG52" s="301"/>
      <c r="AH52" s="301"/>
      <c r="AI52" s="301"/>
      <c r="AJ52" s="301"/>
      <c r="AK52" s="301">
        <v>80</v>
      </c>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2"/>
      <c r="BN52" s="291">
        <f>+MAX($D$3,DATOS_[[#This Row],[Fecha Inicio Sit. Contract.]])</f>
        <v>45292</v>
      </c>
      <c r="BO52" s="291">
        <f>+MIN($D$4,DATOS_[[#This Row],[Fecha Fin Sit. Contract.]])</f>
        <v>45657</v>
      </c>
      <c r="BP52" s="292">
        <f>+DATOS_[[#This Row],[% de jornada]]*IF(DATOS_[[#This Row],[% jornada reducida]]="",1,DATOS_[[#This Row],[% jornada reducida]])</f>
        <v>1</v>
      </c>
      <c r="BQ52" s="292">
        <f>+(DATOS_[[#This Row],[F.fin.cal]]-DATOS_[[#This Row],[F.ini.cal]]+1)/($D$4-$D$3+1)</f>
        <v>1</v>
      </c>
      <c r="BR52" s="322" t="str">
        <f>IF(OR(AND(DATOS_[[#This Row],[Fecha Fin Contrato]]&lt;$D$3,DATOS_[[#This Row],[Fecha Fin Contrato]]&lt;&gt;""),DATOS_[[#This Row],[Fecha de Contratación]]&gt;$D$4),"Fuera","Dentro")</f>
        <v>Dentro</v>
      </c>
      <c r="BS52" s="322" t="str">
        <f t="array" ref="BS52">IF(MAX(IF(DATOS_[id]=DATOS_[[#This Row],[id]],DATOS_[F.fin.cal]))=DATOS_[[#This Row],[F.fin.cal]],"Sí","NO")</f>
        <v>Sí</v>
      </c>
      <c r="BT52" s="292" t="str">
        <f>IF(AND(DATOS_[[#This Row],[% normaliz]]&lt;&gt;1,DATOS_[[#This Row],[% anualiz]]=1),"Sí","NO")</f>
        <v>NO</v>
      </c>
      <c r="BU52" s="292" t="str">
        <f>IF(AND(DATOS_[[#This Row],[% normaliz]]=1,DATOS_[[#This Row],[% anualiz]]&lt;&gt;1),"Sí","NO")</f>
        <v>NO</v>
      </c>
      <c r="BV52" s="292" t="str">
        <f>IF(AND(DATOS_[[#This Row],[% normaliz]]&lt;&gt;1,DATOS_[[#This Row],[% anualiz]]&lt;&gt;1),"Sí","NO")</f>
        <v>NO</v>
      </c>
      <c r="BW52" s="322" t="str">
        <f>+IF(DATOS_[[#This Row],[% normaliz]]*DATOS_[[#This Row],[% anualiz]]=1,"NO","Sí")</f>
        <v>NO</v>
      </c>
      <c r="BX52" s="323">
        <f>(DATOS_[[#This Row],[S.BASE]]*(1/DATOS_[[#This Row],[% normaliz]])*(1/DATOS_[[#This Row],[% anualiz]]))*IF(DATOS_[[#This Row],[Check Equiparado]]="Sí",1,0)</f>
        <v>17266.330000000002</v>
      </c>
      <c r="BY5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52" s="323">
        <f>+DATOS_[[#This Row],[SALARIO BASE Eq]]+DATOS_[[#This Row],[Tot COMPL.SAL Eq]]</f>
        <v>23842.612800000003</v>
      </c>
      <c r="CA52" s="323">
        <f t="array" ref="CA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2" s="323">
        <f>+DATOS_[[#This Row],[TOTAL SALARIO Eq]]+DATOS_[[#This Row],[Tot Extrasalarial Eq]]</f>
        <v>23842.612800000003</v>
      </c>
      <c r="CC52" s="327">
        <f>DATOS_[[#This Row],[S.BASE]]</f>
        <v>17266.330000000002</v>
      </c>
      <c r="CD52" s="324">
        <f>+SUM(DATOS_[[#This Row],[Conc.Sal.01]:[Conc.Sal.30]])</f>
        <v>6576.282799999999</v>
      </c>
      <c r="CE52" s="324">
        <f>+DATOS_[[#This Row],[SALARIO BASE Ef]]+DATOS_[[#This Row],[Tot COMPL.SAL Ef]]</f>
        <v>23842.612800000003</v>
      </c>
      <c r="CF52" s="324">
        <f>+SUM(DATOS_[[#This Row],[C.Extra.01]:[C.Extra.05]])</f>
        <v>0</v>
      </c>
      <c r="CG52" s="330">
        <f>+DATOS_[[#This Row],[TOTAL SALARIO Ef]]+DATOS_[[#This Row],[Tot Extrasalarial Ef]]</f>
        <v>23842.612800000003</v>
      </c>
      <c r="CH52" s="303">
        <f>MIN(IF(DATOS_[[#This Row],[Fecha Fin Contrato]]="",$D$4,DATOS_[[#This Row],[Fecha Fin Contrato]]),$D$4)-MAX(DATOS_[[#This Row],[Fecha de Contratación]],$D$3)+1</f>
        <v>366</v>
      </c>
      <c r="CI52" s="304" t="str">
        <f>IF(COUNTIFS(DATOS_[id],DATOS_[[#This Row],[id]])&gt;1,DATOS_[[#This Row],[id]],"")</f>
        <v/>
      </c>
      <c r="CJ52" s="325">
        <f>(Inicio!$G$10-DATOS_[[#This Row],[Fecha Nacimiento]])/365.25</f>
        <v>49.054072553045856</v>
      </c>
      <c r="CK52" s="325">
        <f>(Inicio!$G$10-DATOS_[[#This Row],[Fecha de Antigüedad]])/365.25</f>
        <v>23.290896646132786</v>
      </c>
      <c r="CL52" s="325" t="str">
        <f>+VLOOKUP(DATOS_[[#This Row],[Clave de Contrato]],TblTiposContrato13[],3,FALSE)</f>
        <v>Completa</v>
      </c>
      <c r="CM52" s="325" t="str">
        <f>+VLOOKUP(DATOS_[[#This Row],[Clave de Contrato]],TblTiposContrato13[],4,FALSE)</f>
        <v>Indefinido</v>
      </c>
      <c r="CN52" s="325" t="str">
        <f>VLOOKUP(DATOS_[[#This Row],[Edad]],CONTRATOS!TblRngEdad,2,TRUE)</f>
        <v>45 a 50</v>
      </c>
      <c r="CO52" s="325" t="str">
        <f>VLOOKUP(DATOS_[[#This Row],[Antigüedad]],TblRngAntg14[],2,TRUE)</f>
        <v>más de 15</v>
      </c>
    </row>
    <row r="53" spans="2:93" x14ac:dyDescent="0.25">
      <c r="B53" s="146">
        <v>42</v>
      </c>
      <c r="C53" s="146" t="s">
        <v>163</v>
      </c>
      <c r="D53" s="295">
        <v>36500</v>
      </c>
      <c r="E53" s="296" t="s">
        <v>427</v>
      </c>
      <c r="F53" s="296">
        <v>3</v>
      </c>
      <c r="G53" s="296">
        <v>1</v>
      </c>
      <c r="H53" s="297">
        <v>40108</v>
      </c>
      <c r="I53" s="298"/>
      <c r="J53" s="295">
        <v>40108</v>
      </c>
      <c r="K53" s="326"/>
      <c r="L53" s="326"/>
      <c r="M53" s="299">
        <v>0.5</v>
      </c>
      <c r="N53" s="299"/>
      <c r="O53" s="299"/>
      <c r="P53" s="296">
        <v>100</v>
      </c>
      <c r="Q53" s="146" t="s">
        <v>412</v>
      </c>
      <c r="R53" s="146" t="s">
        <v>418</v>
      </c>
      <c r="S53" s="146" t="s">
        <v>424</v>
      </c>
      <c r="T53" s="146" t="s">
        <v>407</v>
      </c>
      <c r="U53" s="146" t="s">
        <v>400</v>
      </c>
      <c r="V53" s="146" t="s">
        <v>425</v>
      </c>
      <c r="W53" s="146" t="s">
        <v>299</v>
      </c>
      <c r="X53" s="146" t="s">
        <v>310</v>
      </c>
      <c r="Y53" s="146" t="s">
        <v>409</v>
      </c>
      <c r="Z53" s="293"/>
      <c r="AA53" s="294" t="s">
        <v>426</v>
      </c>
      <c r="AB53" s="294">
        <v>4</v>
      </c>
      <c r="AC53" s="296">
        <v>2</v>
      </c>
      <c r="AD53" s="301">
        <v>8633.1650000000009</v>
      </c>
      <c r="AE53" s="301">
        <v>1866.8349999999991</v>
      </c>
      <c r="AF53" s="301">
        <v>690.65320000000008</v>
      </c>
      <c r="AG53" s="301"/>
      <c r="AH53" s="301"/>
      <c r="AI53" s="301"/>
      <c r="AJ53" s="301"/>
      <c r="AK53" s="301">
        <v>80</v>
      </c>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2"/>
      <c r="BN53" s="291">
        <f>+MAX($D$3,DATOS_[[#This Row],[Fecha Inicio Sit. Contract.]])</f>
        <v>45292</v>
      </c>
      <c r="BO53" s="291">
        <f>+MIN($D$4,DATOS_[[#This Row],[Fecha Fin Sit. Contract.]])</f>
        <v>45657</v>
      </c>
      <c r="BP53" s="292">
        <f>+DATOS_[[#This Row],[% de jornada]]*IF(DATOS_[[#This Row],[% jornada reducida]]="",1,DATOS_[[#This Row],[% jornada reducida]])</f>
        <v>0.5</v>
      </c>
      <c r="BQ53" s="292">
        <f>+(DATOS_[[#This Row],[F.fin.cal]]-DATOS_[[#This Row],[F.ini.cal]]+1)/($D$4-$D$3+1)</f>
        <v>1</v>
      </c>
      <c r="BR53" s="322" t="str">
        <f>IF(OR(AND(DATOS_[[#This Row],[Fecha Fin Contrato]]&lt;$D$3,DATOS_[[#This Row],[Fecha Fin Contrato]]&lt;&gt;""),DATOS_[[#This Row],[Fecha de Contratación]]&gt;$D$4),"Fuera","Dentro")</f>
        <v>Dentro</v>
      </c>
      <c r="BS53" s="322" t="str">
        <f t="array" ref="BS53">IF(MAX(IF(DATOS_[id]=DATOS_[[#This Row],[id]],DATOS_[F.fin.cal]))=DATOS_[[#This Row],[F.fin.cal]],"Sí","NO")</f>
        <v>Sí</v>
      </c>
      <c r="BT53" s="292" t="str">
        <f>IF(AND(DATOS_[[#This Row],[% normaliz]]&lt;&gt;1,DATOS_[[#This Row],[% anualiz]]=1),"Sí","NO")</f>
        <v>Sí</v>
      </c>
      <c r="BU53" s="292" t="str">
        <f>IF(AND(DATOS_[[#This Row],[% normaliz]]=1,DATOS_[[#This Row],[% anualiz]]&lt;&gt;1),"Sí","NO")</f>
        <v>NO</v>
      </c>
      <c r="BV53" s="292" t="str">
        <f>IF(AND(DATOS_[[#This Row],[% normaliz]]&lt;&gt;1,DATOS_[[#This Row],[% anualiz]]&lt;&gt;1),"Sí","NO")</f>
        <v>NO</v>
      </c>
      <c r="BW53" s="322" t="str">
        <f>+IF(DATOS_[[#This Row],[% normaliz]]*DATOS_[[#This Row],[% anualiz]]=1,"NO","Sí")</f>
        <v>Sí</v>
      </c>
      <c r="BX53" s="323">
        <f>(DATOS_[[#This Row],[S.BASE]]*(1/DATOS_[[#This Row],[% normaliz]])*(1/DATOS_[[#This Row],[% anualiz]]))*IF(DATOS_[[#This Row],[Check Equiparado]]="Sí",1,0)</f>
        <v>17266.330000000002</v>
      </c>
      <c r="BY5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53" s="323">
        <f>+DATOS_[[#This Row],[SALARIO BASE Eq]]+DATOS_[[#This Row],[Tot COMPL.SAL Eq]]</f>
        <v>22461.306400000001</v>
      </c>
      <c r="CA53" s="323">
        <f t="array" ref="CA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3" s="323">
        <f>+DATOS_[[#This Row],[TOTAL SALARIO Eq]]+DATOS_[[#This Row],[Tot Extrasalarial Eq]]</f>
        <v>22461.306400000001</v>
      </c>
      <c r="CC53" s="327">
        <f>DATOS_[[#This Row],[S.BASE]]</f>
        <v>8633.1650000000009</v>
      </c>
      <c r="CD53" s="324">
        <f>+SUM(DATOS_[[#This Row],[Conc.Sal.01]:[Conc.Sal.30]])</f>
        <v>2637.4881999999993</v>
      </c>
      <c r="CE53" s="324">
        <f>+DATOS_[[#This Row],[SALARIO BASE Ef]]+DATOS_[[#This Row],[Tot COMPL.SAL Ef]]</f>
        <v>11270.653200000001</v>
      </c>
      <c r="CF53" s="324">
        <f>+SUM(DATOS_[[#This Row],[C.Extra.01]:[C.Extra.05]])</f>
        <v>0</v>
      </c>
      <c r="CG53" s="330">
        <f>+DATOS_[[#This Row],[TOTAL SALARIO Ef]]+DATOS_[[#This Row],[Tot Extrasalarial Ef]]</f>
        <v>11270.653200000001</v>
      </c>
      <c r="CH53" s="303">
        <f>MIN(IF(DATOS_[[#This Row],[Fecha Fin Contrato]]="",$D$4,DATOS_[[#This Row],[Fecha Fin Contrato]]),$D$4)-MAX(DATOS_[[#This Row],[Fecha de Contratación]],$D$3)+1</f>
        <v>366</v>
      </c>
      <c r="CI53" s="304" t="str">
        <f>IF(COUNTIFS(DATOS_[id],DATOS_[[#This Row],[id]])&gt;1,DATOS_[[#This Row],[id]],"")</f>
        <v/>
      </c>
      <c r="CJ53" s="325">
        <f>(Inicio!$G$10-DATOS_[[#This Row],[Fecha Nacimiento]])/365.25</f>
        <v>25.07049965776865</v>
      </c>
      <c r="CK53" s="325">
        <f>(Inicio!$G$10-DATOS_[[#This Row],[Fecha de Antigüedad]])/365.25</f>
        <v>15.19233401779603</v>
      </c>
      <c r="CL53" s="325" t="str">
        <f>+VLOOKUP(DATOS_[[#This Row],[Clave de Contrato]],TblTiposContrato13[],3,FALSE)</f>
        <v>Completa</v>
      </c>
      <c r="CM53" s="325" t="str">
        <f>+VLOOKUP(DATOS_[[#This Row],[Clave de Contrato]],TblTiposContrato13[],4,FALSE)</f>
        <v>Indefinido</v>
      </c>
      <c r="CN53" s="325" t="str">
        <f>VLOOKUP(DATOS_[[#This Row],[Edad]],CONTRATOS!TblRngEdad,2,TRUE)</f>
        <v>25 a 30</v>
      </c>
      <c r="CO53" s="325" t="str">
        <f>VLOOKUP(DATOS_[[#This Row],[Antigüedad]],TblRngAntg14[],2,TRUE)</f>
        <v>más de 15</v>
      </c>
    </row>
    <row r="54" spans="2:93" x14ac:dyDescent="0.25">
      <c r="B54" s="146">
        <v>43</v>
      </c>
      <c r="C54" s="146" t="s">
        <v>162</v>
      </c>
      <c r="D54" s="295">
        <v>35405</v>
      </c>
      <c r="E54" s="296" t="s">
        <v>403</v>
      </c>
      <c r="F54" s="296">
        <v>3</v>
      </c>
      <c r="G54" s="296">
        <v>1</v>
      </c>
      <c r="H54" s="297">
        <v>37990</v>
      </c>
      <c r="I54" s="298"/>
      <c r="J54" s="295">
        <v>37990</v>
      </c>
      <c r="K54" s="326"/>
      <c r="L54" s="326"/>
      <c r="M54" s="299">
        <v>1</v>
      </c>
      <c r="N54" s="299">
        <v>0.8</v>
      </c>
      <c r="O54" s="299" t="s">
        <v>147</v>
      </c>
      <c r="P54" s="296">
        <v>100</v>
      </c>
      <c r="Q54" s="146" t="s">
        <v>404</v>
      </c>
      <c r="R54" s="146" t="s">
        <v>405</v>
      </c>
      <c r="S54" s="146" t="s">
        <v>424</v>
      </c>
      <c r="T54" s="146" t="s">
        <v>407</v>
      </c>
      <c r="U54" s="146" t="s">
        <v>400</v>
      </c>
      <c r="V54" s="146" t="s">
        <v>425</v>
      </c>
      <c r="W54" s="146" t="s">
        <v>299</v>
      </c>
      <c r="X54" s="146" t="s">
        <v>310</v>
      </c>
      <c r="Y54" s="146" t="s">
        <v>409</v>
      </c>
      <c r="Z54" s="293"/>
      <c r="AA54" s="294" t="s">
        <v>426</v>
      </c>
      <c r="AB54" s="294">
        <v>4</v>
      </c>
      <c r="AC54" s="296">
        <v>2</v>
      </c>
      <c r="AD54" s="301">
        <v>13813.064000000002</v>
      </c>
      <c r="AE54" s="301">
        <v>2986.9359999999979</v>
      </c>
      <c r="AF54" s="301">
        <v>2210.0902400000004</v>
      </c>
      <c r="AG54" s="301"/>
      <c r="AH54" s="301"/>
      <c r="AI54" s="301"/>
      <c r="AJ54" s="301"/>
      <c r="AK54" s="301">
        <v>80</v>
      </c>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2"/>
      <c r="BN54" s="291">
        <f>+MAX($D$3,DATOS_[[#This Row],[Fecha Inicio Sit. Contract.]])</f>
        <v>45292</v>
      </c>
      <c r="BO54" s="291">
        <f>+MIN($D$4,DATOS_[[#This Row],[Fecha Fin Sit. Contract.]])</f>
        <v>45657</v>
      </c>
      <c r="BP54" s="292">
        <f>+DATOS_[[#This Row],[% de jornada]]*IF(DATOS_[[#This Row],[% jornada reducida]]="",1,DATOS_[[#This Row],[% jornada reducida]])</f>
        <v>0.8</v>
      </c>
      <c r="BQ54" s="292">
        <f>+(DATOS_[[#This Row],[F.fin.cal]]-DATOS_[[#This Row],[F.ini.cal]]+1)/($D$4-$D$3+1)</f>
        <v>1</v>
      </c>
      <c r="BR54" s="322" t="str">
        <f>IF(OR(AND(DATOS_[[#This Row],[Fecha Fin Contrato]]&lt;$D$3,DATOS_[[#This Row],[Fecha Fin Contrato]]&lt;&gt;""),DATOS_[[#This Row],[Fecha de Contratación]]&gt;$D$4),"Fuera","Dentro")</f>
        <v>Dentro</v>
      </c>
      <c r="BS54" s="322" t="str">
        <f t="array" ref="BS54">IF(MAX(IF(DATOS_[id]=DATOS_[[#This Row],[id]],DATOS_[F.fin.cal]))=DATOS_[[#This Row],[F.fin.cal]],"Sí","NO")</f>
        <v>Sí</v>
      </c>
      <c r="BT54" s="292" t="str">
        <f>IF(AND(DATOS_[[#This Row],[% normaliz]]&lt;&gt;1,DATOS_[[#This Row],[% anualiz]]=1),"Sí","NO")</f>
        <v>Sí</v>
      </c>
      <c r="BU54" s="292" t="str">
        <f>IF(AND(DATOS_[[#This Row],[% normaliz]]=1,DATOS_[[#This Row],[% anualiz]]&lt;&gt;1),"Sí","NO")</f>
        <v>NO</v>
      </c>
      <c r="BV54" s="292" t="str">
        <f>IF(AND(DATOS_[[#This Row],[% normaliz]]&lt;&gt;1,DATOS_[[#This Row],[% anualiz]]&lt;&gt;1),"Sí","NO")</f>
        <v>NO</v>
      </c>
      <c r="BW54" s="322" t="str">
        <f>+IF(DATOS_[[#This Row],[% normaliz]]*DATOS_[[#This Row],[% anualiz]]=1,"NO","Sí")</f>
        <v>Sí</v>
      </c>
      <c r="BX54" s="323">
        <f>(DATOS_[[#This Row],[S.BASE]]*(1/DATOS_[[#This Row],[% normaliz]])*(1/DATOS_[[#This Row],[% anualiz]]))*IF(DATOS_[[#This Row],[Check Equiparado]]="Sí",1,0)</f>
        <v>17266.330000000002</v>
      </c>
      <c r="BY5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6576.2827999999981</v>
      </c>
      <c r="BZ54" s="323">
        <f>+DATOS_[[#This Row],[SALARIO BASE Eq]]+DATOS_[[#This Row],[Tot COMPL.SAL Eq]]</f>
        <v>23842.612799999999</v>
      </c>
      <c r="CA54" s="323">
        <f t="array" ref="CA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4" s="323">
        <f>+DATOS_[[#This Row],[TOTAL SALARIO Eq]]+DATOS_[[#This Row],[Tot Extrasalarial Eq]]</f>
        <v>23842.612799999999</v>
      </c>
      <c r="CC54" s="327">
        <f>DATOS_[[#This Row],[S.BASE]]</f>
        <v>13813.064000000002</v>
      </c>
      <c r="CD54" s="324">
        <f>+SUM(DATOS_[[#This Row],[Conc.Sal.01]:[Conc.Sal.30]])</f>
        <v>5277.0262399999983</v>
      </c>
      <c r="CE54" s="324">
        <f>+DATOS_[[#This Row],[SALARIO BASE Ef]]+DATOS_[[#This Row],[Tot COMPL.SAL Ef]]</f>
        <v>19090.090240000001</v>
      </c>
      <c r="CF54" s="324">
        <f>+SUM(DATOS_[[#This Row],[C.Extra.01]:[C.Extra.05]])</f>
        <v>0</v>
      </c>
      <c r="CG54" s="330">
        <f>+DATOS_[[#This Row],[TOTAL SALARIO Ef]]+DATOS_[[#This Row],[Tot Extrasalarial Ef]]</f>
        <v>19090.090240000001</v>
      </c>
      <c r="CH54" s="303">
        <f>MIN(IF(DATOS_[[#This Row],[Fecha Fin Contrato]]="",$D$4,DATOS_[[#This Row],[Fecha Fin Contrato]]),$D$4)-MAX(DATOS_[[#This Row],[Fecha de Contratación]],$D$3)+1</f>
        <v>366</v>
      </c>
      <c r="CI54" s="304" t="str">
        <f>IF(COUNTIFS(DATOS_[id],DATOS_[[#This Row],[id]])&gt;1,DATOS_[[#This Row],[id]],"")</f>
        <v/>
      </c>
      <c r="CJ54" s="325">
        <f>(Inicio!$G$10-DATOS_[[#This Row],[Fecha Nacimiento]])/365.25</f>
        <v>28.068446269678301</v>
      </c>
      <c r="CK54" s="325">
        <f>(Inicio!$G$10-DATOS_[[#This Row],[Fecha de Antigüedad]])/365.25</f>
        <v>20.991101984941821</v>
      </c>
      <c r="CL54" s="325" t="str">
        <f>+VLOOKUP(DATOS_[[#This Row],[Clave de Contrato]],TblTiposContrato13[],3,FALSE)</f>
        <v>Completa</v>
      </c>
      <c r="CM54" s="325" t="str">
        <f>+VLOOKUP(DATOS_[[#This Row],[Clave de Contrato]],TblTiposContrato13[],4,FALSE)</f>
        <v>Indefinido</v>
      </c>
      <c r="CN54" s="325" t="str">
        <f>VLOOKUP(DATOS_[[#This Row],[Edad]],CONTRATOS!TblRngEdad,2,TRUE)</f>
        <v>25 a 30</v>
      </c>
      <c r="CO54" s="325" t="str">
        <f>VLOOKUP(DATOS_[[#This Row],[Antigüedad]],TblRngAntg14[],2,TRUE)</f>
        <v>más de 15</v>
      </c>
    </row>
    <row r="55" spans="2:93" x14ac:dyDescent="0.25">
      <c r="B55" s="146">
        <v>44</v>
      </c>
      <c r="C55" s="146" t="s">
        <v>163</v>
      </c>
      <c r="D55" s="295">
        <v>29930</v>
      </c>
      <c r="E55" s="296" t="s">
        <v>403</v>
      </c>
      <c r="F55" s="296">
        <v>3</v>
      </c>
      <c r="G55" s="296">
        <v>0</v>
      </c>
      <c r="H55" s="297">
        <v>39998</v>
      </c>
      <c r="I55" s="298"/>
      <c r="J55" s="295">
        <v>39998</v>
      </c>
      <c r="K55" s="326"/>
      <c r="L55" s="326"/>
      <c r="M55" s="299">
        <v>1</v>
      </c>
      <c r="N55" s="299"/>
      <c r="O55" s="299"/>
      <c r="P55" s="296">
        <v>100</v>
      </c>
      <c r="Q55" s="146" t="s">
        <v>404</v>
      </c>
      <c r="R55" s="146" t="s">
        <v>405</v>
      </c>
      <c r="S55" s="146" t="s">
        <v>424</v>
      </c>
      <c r="T55" s="146" t="s">
        <v>407</v>
      </c>
      <c r="U55" s="146" t="s">
        <v>400</v>
      </c>
      <c r="V55" s="146" t="s">
        <v>425</v>
      </c>
      <c r="W55" s="146" t="s">
        <v>299</v>
      </c>
      <c r="X55" s="146" t="s">
        <v>310</v>
      </c>
      <c r="Y55" s="146" t="s">
        <v>409</v>
      </c>
      <c r="Z55" s="293"/>
      <c r="AA55" s="294" t="s">
        <v>426</v>
      </c>
      <c r="AB55" s="294">
        <v>4</v>
      </c>
      <c r="AC55" s="296">
        <v>2</v>
      </c>
      <c r="AD55" s="301">
        <v>17266.330000000002</v>
      </c>
      <c r="AE55" s="301">
        <v>1800</v>
      </c>
      <c r="AF55" s="301">
        <v>1381.3064000000002</v>
      </c>
      <c r="AG55" s="301"/>
      <c r="AH55" s="301"/>
      <c r="AI55" s="301"/>
      <c r="AJ55" s="301"/>
      <c r="AK55" s="301">
        <v>80</v>
      </c>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2"/>
      <c r="BN55" s="291">
        <f>+MAX($D$3,DATOS_[[#This Row],[Fecha Inicio Sit. Contract.]])</f>
        <v>45292</v>
      </c>
      <c r="BO55" s="291">
        <f>+MIN($D$4,DATOS_[[#This Row],[Fecha Fin Sit. Contract.]])</f>
        <v>45657</v>
      </c>
      <c r="BP55" s="292">
        <f>+DATOS_[[#This Row],[% de jornada]]*IF(DATOS_[[#This Row],[% jornada reducida]]="",1,DATOS_[[#This Row],[% jornada reducida]])</f>
        <v>1</v>
      </c>
      <c r="BQ55" s="292">
        <f>+(DATOS_[[#This Row],[F.fin.cal]]-DATOS_[[#This Row],[F.ini.cal]]+1)/($D$4-$D$3+1)</f>
        <v>1</v>
      </c>
      <c r="BR55" s="322" t="str">
        <f>IF(OR(AND(DATOS_[[#This Row],[Fecha Fin Contrato]]&lt;$D$3,DATOS_[[#This Row],[Fecha Fin Contrato]]&lt;&gt;""),DATOS_[[#This Row],[Fecha de Contratación]]&gt;$D$4),"Fuera","Dentro")</f>
        <v>Dentro</v>
      </c>
      <c r="BS55" s="322" t="str">
        <f t="array" ref="BS55">IF(MAX(IF(DATOS_[id]=DATOS_[[#This Row],[id]],DATOS_[F.fin.cal]))=DATOS_[[#This Row],[F.fin.cal]],"Sí","NO")</f>
        <v>Sí</v>
      </c>
      <c r="BT55" s="292" t="str">
        <f>IF(AND(DATOS_[[#This Row],[% normaliz]]&lt;&gt;1,DATOS_[[#This Row],[% anualiz]]=1),"Sí","NO")</f>
        <v>NO</v>
      </c>
      <c r="BU55" s="292" t="str">
        <f>IF(AND(DATOS_[[#This Row],[% normaliz]]=1,DATOS_[[#This Row],[% anualiz]]&lt;&gt;1),"Sí","NO")</f>
        <v>NO</v>
      </c>
      <c r="BV55" s="292" t="str">
        <f>IF(AND(DATOS_[[#This Row],[% normaliz]]&lt;&gt;1,DATOS_[[#This Row],[% anualiz]]&lt;&gt;1),"Sí","NO")</f>
        <v>NO</v>
      </c>
      <c r="BW55" s="322" t="str">
        <f>+IF(DATOS_[[#This Row],[% normaliz]]*DATOS_[[#This Row],[% anualiz]]=1,"NO","Sí")</f>
        <v>NO</v>
      </c>
      <c r="BX55" s="323">
        <f>(DATOS_[[#This Row],[S.BASE]]*(1/DATOS_[[#This Row],[% normaliz]])*(1/DATOS_[[#This Row],[% anualiz]]))*IF(DATOS_[[#This Row],[Check Equiparado]]="Sí",1,0)</f>
        <v>17266.330000000002</v>
      </c>
      <c r="BY5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3261.3064000000004</v>
      </c>
      <c r="BZ55" s="323">
        <f>+DATOS_[[#This Row],[SALARIO BASE Eq]]+DATOS_[[#This Row],[Tot COMPL.SAL Eq]]</f>
        <v>20527.636400000003</v>
      </c>
      <c r="CA55" s="323">
        <f t="array" ref="CA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5" s="323">
        <f>+DATOS_[[#This Row],[TOTAL SALARIO Eq]]+DATOS_[[#This Row],[Tot Extrasalarial Eq]]</f>
        <v>20527.636400000003</v>
      </c>
      <c r="CC55" s="327">
        <f>DATOS_[[#This Row],[S.BASE]]</f>
        <v>17266.330000000002</v>
      </c>
      <c r="CD55" s="324">
        <f>+SUM(DATOS_[[#This Row],[Conc.Sal.01]:[Conc.Sal.30]])</f>
        <v>3261.3064000000004</v>
      </c>
      <c r="CE55" s="324">
        <f>+DATOS_[[#This Row],[SALARIO BASE Ef]]+DATOS_[[#This Row],[Tot COMPL.SAL Ef]]</f>
        <v>20527.636400000003</v>
      </c>
      <c r="CF55" s="324">
        <f>+SUM(DATOS_[[#This Row],[C.Extra.01]:[C.Extra.05]])</f>
        <v>0</v>
      </c>
      <c r="CG55" s="330">
        <f>+DATOS_[[#This Row],[TOTAL SALARIO Ef]]+DATOS_[[#This Row],[Tot Extrasalarial Ef]]</f>
        <v>20527.636400000003</v>
      </c>
      <c r="CH55" s="303">
        <f>MIN(IF(DATOS_[[#This Row],[Fecha Fin Contrato]]="",$D$4,DATOS_[[#This Row],[Fecha Fin Contrato]]),$D$4)-MAX(DATOS_[[#This Row],[Fecha de Contratación]],$D$3)+1</f>
        <v>366</v>
      </c>
      <c r="CI55" s="304" t="str">
        <f>IF(COUNTIFS(DATOS_[id],DATOS_[[#This Row],[id]])&gt;1,DATOS_[[#This Row],[id]],"")</f>
        <v/>
      </c>
      <c r="CJ55" s="325">
        <f>(Inicio!$G$10-DATOS_[[#This Row],[Fecha Nacimiento]])/365.25</f>
        <v>43.058179329226554</v>
      </c>
      <c r="CK55" s="325">
        <f>(Inicio!$G$10-DATOS_[[#This Row],[Fecha de Antigüedad]])/365.25</f>
        <v>15.493497604380561</v>
      </c>
      <c r="CL55" s="325" t="str">
        <f>+VLOOKUP(DATOS_[[#This Row],[Clave de Contrato]],TblTiposContrato13[],3,FALSE)</f>
        <v>Completa</v>
      </c>
      <c r="CM55" s="325" t="str">
        <f>+VLOOKUP(DATOS_[[#This Row],[Clave de Contrato]],TblTiposContrato13[],4,FALSE)</f>
        <v>Indefinido</v>
      </c>
      <c r="CN55" s="325" t="str">
        <f>VLOOKUP(DATOS_[[#This Row],[Edad]],CONTRATOS!TblRngEdad,2,TRUE)</f>
        <v>40 a 45</v>
      </c>
      <c r="CO55" s="325" t="str">
        <f>VLOOKUP(DATOS_[[#This Row],[Antigüedad]],TblRngAntg14[],2,TRUE)</f>
        <v>más de 15</v>
      </c>
    </row>
    <row r="56" spans="2:93" x14ac:dyDescent="0.25">
      <c r="B56" s="146">
        <v>45</v>
      </c>
      <c r="C56" s="146" t="s">
        <v>162</v>
      </c>
      <c r="D56" s="295">
        <v>29200</v>
      </c>
      <c r="E56" s="296" t="s">
        <v>403</v>
      </c>
      <c r="F56" s="296">
        <v>3</v>
      </c>
      <c r="G56" s="296">
        <v>0</v>
      </c>
      <c r="H56" s="297">
        <v>34885</v>
      </c>
      <c r="I56" s="298"/>
      <c r="J56" s="295">
        <v>34885</v>
      </c>
      <c r="K56" s="326"/>
      <c r="L56" s="326"/>
      <c r="M56" s="299">
        <v>1</v>
      </c>
      <c r="N56" s="299"/>
      <c r="O56" s="299"/>
      <c r="P56" s="296">
        <v>100</v>
      </c>
      <c r="Q56" s="146" t="s">
        <v>404</v>
      </c>
      <c r="R56" s="146" t="s">
        <v>405</v>
      </c>
      <c r="S56" s="146" t="s">
        <v>424</v>
      </c>
      <c r="T56" s="146" t="s">
        <v>407</v>
      </c>
      <c r="U56" s="146" t="s">
        <v>400</v>
      </c>
      <c r="V56" s="146" t="s">
        <v>425</v>
      </c>
      <c r="W56" s="146" t="s">
        <v>299</v>
      </c>
      <c r="X56" s="146" t="s">
        <v>310</v>
      </c>
      <c r="Y56" s="146" t="s">
        <v>409</v>
      </c>
      <c r="Z56" s="293"/>
      <c r="AA56" s="294" t="s">
        <v>426</v>
      </c>
      <c r="AB56" s="294">
        <v>4</v>
      </c>
      <c r="AC56" s="296">
        <v>2</v>
      </c>
      <c r="AD56" s="301">
        <v>17266.330000000002</v>
      </c>
      <c r="AE56" s="301">
        <v>3733.6699999999983</v>
      </c>
      <c r="AF56" s="301">
        <v>4143.9192000000003</v>
      </c>
      <c r="AG56" s="301"/>
      <c r="AH56" s="301"/>
      <c r="AI56" s="301"/>
      <c r="AJ56" s="301"/>
      <c r="AK56" s="301">
        <v>80</v>
      </c>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2"/>
      <c r="BN56" s="291">
        <f>+MAX($D$3,DATOS_[[#This Row],[Fecha Inicio Sit. Contract.]])</f>
        <v>45292</v>
      </c>
      <c r="BO56" s="291">
        <f>+MIN($D$4,DATOS_[[#This Row],[Fecha Fin Sit. Contract.]])</f>
        <v>45657</v>
      </c>
      <c r="BP56" s="292">
        <f>+DATOS_[[#This Row],[% de jornada]]*IF(DATOS_[[#This Row],[% jornada reducida]]="",1,DATOS_[[#This Row],[% jornada reducida]])</f>
        <v>1</v>
      </c>
      <c r="BQ56" s="292">
        <f>+(DATOS_[[#This Row],[F.fin.cal]]-DATOS_[[#This Row],[F.ini.cal]]+1)/($D$4-$D$3+1)</f>
        <v>1</v>
      </c>
      <c r="BR56" s="322" t="str">
        <f>IF(OR(AND(DATOS_[[#This Row],[Fecha Fin Contrato]]&lt;$D$3,DATOS_[[#This Row],[Fecha Fin Contrato]]&lt;&gt;""),DATOS_[[#This Row],[Fecha de Contratación]]&gt;$D$4),"Fuera","Dentro")</f>
        <v>Dentro</v>
      </c>
      <c r="BS56" s="322" t="str">
        <f t="array" ref="BS56">IF(MAX(IF(DATOS_[id]=DATOS_[[#This Row],[id]],DATOS_[F.fin.cal]))=DATOS_[[#This Row],[F.fin.cal]],"Sí","NO")</f>
        <v>Sí</v>
      </c>
      <c r="BT56" s="292" t="str">
        <f>IF(AND(DATOS_[[#This Row],[% normaliz]]&lt;&gt;1,DATOS_[[#This Row],[% anualiz]]=1),"Sí","NO")</f>
        <v>NO</v>
      </c>
      <c r="BU56" s="292" t="str">
        <f>IF(AND(DATOS_[[#This Row],[% normaliz]]=1,DATOS_[[#This Row],[% anualiz]]&lt;&gt;1),"Sí","NO")</f>
        <v>NO</v>
      </c>
      <c r="BV56" s="292" t="str">
        <f>IF(AND(DATOS_[[#This Row],[% normaliz]]&lt;&gt;1,DATOS_[[#This Row],[% anualiz]]&lt;&gt;1),"Sí","NO")</f>
        <v>NO</v>
      </c>
      <c r="BW56" s="322" t="str">
        <f>+IF(DATOS_[[#This Row],[% normaliz]]*DATOS_[[#This Row],[% anualiz]]=1,"NO","Sí")</f>
        <v>NO</v>
      </c>
      <c r="BX56" s="323">
        <f>(DATOS_[[#This Row],[S.BASE]]*(1/DATOS_[[#This Row],[% normaliz]])*(1/DATOS_[[#This Row],[% anualiz]]))*IF(DATOS_[[#This Row],[Check Equiparado]]="Sí",1,0)</f>
        <v>17266.330000000002</v>
      </c>
      <c r="BY5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7957.5891999999985</v>
      </c>
      <c r="BZ56" s="323">
        <f>+DATOS_[[#This Row],[SALARIO BASE Eq]]+DATOS_[[#This Row],[Tot COMPL.SAL Eq]]</f>
        <v>25223.9192</v>
      </c>
      <c r="CA56" s="323">
        <f t="array" ref="CA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6" s="323">
        <f>+DATOS_[[#This Row],[TOTAL SALARIO Eq]]+DATOS_[[#This Row],[Tot Extrasalarial Eq]]</f>
        <v>25223.9192</v>
      </c>
      <c r="CC56" s="327">
        <f>DATOS_[[#This Row],[S.BASE]]</f>
        <v>17266.330000000002</v>
      </c>
      <c r="CD56" s="324">
        <f>+SUM(DATOS_[[#This Row],[Conc.Sal.01]:[Conc.Sal.30]])</f>
        <v>7957.5891999999985</v>
      </c>
      <c r="CE56" s="324">
        <f>+DATOS_[[#This Row],[SALARIO BASE Ef]]+DATOS_[[#This Row],[Tot COMPL.SAL Ef]]</f>
        <v>25223.9192</v>
      </c>
      <c r="CF56" s="324">
        <f>+SUM(DATOS_[[#This Row],[C.Extra.01]:[C.Extra.05]])</f>
        <v>0</v>
      </c>
      <c r="CG56" s="330">
        <f>+DATOS_[[#This Row],[TOTAL SALARIO Ef]]+DATOS_[[#This Row],[Tot Extrasalarial Ef]]</f>
        <v>25223.9192</v>
      </c>
      <c r="CH56" s="303">
        <f>MIN(IF(DATOS_[[#This Row],[Fecha Fin Contrato]]="",$D$4,DATOS_[[#This Row],[Fecha Fin Contrato]]),$D$4)-MAX(DATOS_[[#This Row],[Fecha de Contratación]],$D$3)+1</f>
        <v>366</v>
      </c>
      <c r="CI56" s="304" t="str">
        <f>IF(COUNTIFS(DATOS_[id],DATOS_[[#This Row],[id]])&gt;1,DATOS_[[#This Row],[id]],"")</f>
        <v/>
      </c>
      <c r="CJ56" s="325">
        <f>(Inicio!$G$10-DATOS_[[#This Row],[Fecha Nacimiento]])/365.25</f>
        <v>45.056810403832991</v>
      </c>
      <c r="CK56" s="325">
        <f>(Inicio!$G$10-DATOS_[[#This Row],[Fecha de Antigüedad]])/365.25</f>
        <v>29.492128678986994</v>
      </c>
      <c r="CL56" s="325" t="str">
        <f>+VLOOKUP(DATOS_[[#This Row],[Clave de Contrato]],TblTiposContrato13[],3,FALSE)</f>
        <v>Completa</v>
      </c>
      <c r="CM56" s="325" t="str">
        <f>+VLOOKUP(DATOS_[[#This Row],[Clave de Contrato]],TblTiposContrato13[],4,FALSE)</f>
        <v>Indefinido</v>
      </c>
      <c r="CN56" s="325" t="str">
        <f>VLOOKUP(DATOS_[[#This Row],[Edad]],CONTRATOS!TblRngEdad,2,TRUE)</f>
        <v>45 a 50</v>
      </c>
      <c r="CO56" s="325" t="str">
        <f>VLOOKUP(DATOS_[[#This Row],[Antigüedad]],TblRngAntg14[],2,TRUE)</f>
        <v>más de 15</v>
      </c>
    </row>
    <row r="57" spans="2:93" x14ac:dyDescent="0.25">
      <c r="B57" s="146">
        <v>46</v>
      </c>
      <c r="C57" s="146" t="s">
        <v>162</v>
      </c>
      <c r="D57" s="295">
        <v>31755</v>
      </c>
      <c r="E57" s="296" t="s">
        <v>427</v>
      </c>
      <c r="F57" s="296">
        <v>3</v>
      </c>
      <c r="G57" s="296">
        <v>1</v>
      </c>
      <c r="H57" s="297">
        <v>40437</v>
      </c>
      <c r="I57" s="298"/>
      <c r="J57" s="295">
        <v>40437</v>
      </c>
      <c r="K57" s="326"/>
      <c r="L57" s="326"/>
      <c r="M57" s="299">
        <v>1</v>
      </c>
      <c r="N57" s="299"/>
      <c r="O57" s="299"/>
      <c r="P57" s="296">
        <v>100</v>
      </c>
      <c r="Q57" s="146" t="s">
        <v>412</v>
      </c>
      <c r="R57" s="146" t="s">
        <v>418</v>
      </c>
      <c r="S57" s="146" t="s">
        <v>424</v>
      </c>
      <c r="T57" s="146" t="s">
        <v>407</v>
      </c>
      <c r="U57" s="146" t="s">
        <v>400</v>
      </c>
      <c r="V57" s="146" t="s">
        <v>425</v>
      </c>
      <c r="W57" s="146" t="s">
        <v>299</v>
      </c>
      <c r="X57" s="146" t="s">
        <v>310</v>
      </c>
      <c r="Y57" s="146" t="s">
        <v>409</v>
      </c>
      <c r="Z57" s="293"/>
      <c r="AA57" s="294" t="s">
        <v>426</v>
      </c>
      <c r="AB57" s="294">
        <v>4</v>
      </c>
      <c r="AC57" s="296">
        <v>2</v>
      </c>
      <c r="AD57" s="301">
        <v>17266.330000000002</v>
      </c>
      <c r="AE57" s="301">
        <v>3733.6699999999983</v>
      </c>
      <c r="AF57" s="301">
        <v>1381.3064000000002</v>
      </c>
      <c r="AG57" s="301"/>
      <c r="AH57" s="301"/>
      <c r="AI57" s="301"/>
      <c r="AJ57" s="301"/>
      <c r="AK57" s="301">
        <v>80</v>
      </c>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2"/>
      <c r="BN57" s="291">
        <f>+MAX($D$3,DATOS_[[#This Row],[Fecha Inicio Sit. Contract.]])</f>
        <v>45292</v>
      </c>
      <c r="BO57" s="291">
        <f>+MIN($D$4,DATOS_[[#This Row],[Fecha Fin Sit. Contract.]])</f>
        <v>45657</v>
      </c>
      <c r="BP57" s="292">
        <f>+DATOS_[[#This Row],[% de jornada]]*IF(DATOS_[[#This Row],[% jornada reducida]]="",1,DATOS_[[#This Row],[% jornada reducida]])</f>
        <v>1</v>
      </c>
      <c r="BQ57" s="292">
        <f>+(DATOS_[[#This Row],[F.fin.cal]]-DATOS_[[#This Row],[F.ini.cal]]+1)/($D$4-$D$3+1)</f>
        <v>1</v>
      </c>
      <c r="BR57" s="322" t="str">
        <f>IF(OR(AND(DATOS_[[#This Row],[Fecha Fin Contrato]]&lt;$D$3,DATOS_[[#This Row],[Fecha Fin Contrato]]&lt;&gt;""),DATOS_[[#This Row],[Fecha de Contratación]]&gt;$D$4),"Fuera","Dentro")</f>
        <v>Dentro</v>
      </c>
      <c r="BS57" s="322" t="str">
        <f t="array" ref="BS57">IF(MAX(IF(DATOS_[id]=DATOS_[[#This Row],[id]],DATOS_[F.fin.cal]))=DATOS_[[#This Row],[F.fin.cal]],"Sí","NO")</f>
        <v>Sí</v>
      </c>
      <c r="BT57" s="292" t="str">
        <f>IF(AND(DATOS_[[#This Row],[% normaliz]]&lt;&gt;1,DATOS_[[#This Row],[% anualiz]]=1),"Sí","NO")</f>
        <v>NO</v>
      </c>
      <c r="BU57" s="292" t="str">
        <f>IF(AND(DATOS_[[#This Row],[% normaliz]]=1,DATOS_[[#This Row],[% anualiz]]&lt;&gt;1),"Sí","NO")</f>
        <v>NO</v>
      </c>
      <c r="BV57" s="292" t="str">
        <f>IF(AND(DATOS_[[#This Row],[% normaliz]]&lt;&gt;1,DATOS_[[#This Row],[% anualiz]]&lt;&gt;1),"Sí","NO")</f>
        <v>NO</v>
      </c>
      <c r="BW57" s="322" t="str">
        <f>+IF(DATOS_[[#This Row],[% normaliz]]*DATOS_[[#This Row],[% anualiz]]=1,"NO","Sí")</f>
        <v>NO</v>
      </c>
      <c r="BX57" s="323">
        <f>(DATOS_[[#This Row],[S.BASE]]*(1/DATOS_[[#This Row],[% normaliz]])*(1/DATOS_[[#This Row],[% anualiz]]))*IF(DATOS_[[#This Row],[Check Equiparado]]="Sí",1,0)</f>
        <v>17266.330000000002</v>
      </c>
      <c r="BY5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57" s="323">
        <f>+DATOS_[[#This Row],[SALARIO BASE Eq]]+DATOS_[[#This Row],[Tot COMPL.SAL Eq]]</f>
        <v>22461.306400000001</v>
      </c>
      <c r="CA57" s="323">
        <f t="array" ref="CA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7" s="323">
        <f>+DATOS_[[#This Row],[TOTAL SALARIO Eq]]+DATOS_[[#This Row],[Tot Extrasalarial Eq]]</f>
        <v>22461.306400000001</v>
      </c>
      <c r="CC57" s="327">
        <f>DATOS_[[#This Row],[S.BASE]]</f>
        <v>17266.330000000002</v>
      </c>
      <c r="CD57" s="324">
        <f>+SUM(DATOS_[[#This Row],[Conc.Sal.01]:[Conc.Sal.30]])</f>
        <v>5194.9763999999986</v>
      </c>
      <c r="CE57" s="324">
        <f>+DATOS_[[#This Row],[SALARIO BASE Ef]]+DATOS_[[#This Row],[Tot COMPL.SAL Ef]]</f>
        <v>22461.306400000001</v>
      </c>
      <c r="CF57" s="324">
        <f>+SUM(DATOS_[[#This Row],[C.Extra.01]:[C.Extra.05]])</f>
        <v>0</v>
      </c>
      <c r="CG57" s="330">
        <f>+DATOS_[[#This Row],[TOTAL SALARIO Ef]]+DATOS_[[#This Row],[Tot Extrasalarial Ef]]</f>
        <v>22461.306400000001</v>
      </c>
      <c r="CH57" s="303">
        <f>MIN(IF(DATOS_[[#This Row],[Fecha Fin Contrato]]="",$D$4,DATOS_[[#This Row],[Fecha Fin Contrato]]),$D$4)-MAX(DATOS_[[#This Row],[Fecha de Contratación]],$D$3)+1</f>
        <v>366</v>
      </c>
      <c r="CI57" s="304" t="str">
        <f>IF(COUNTIFS(DATOS_[id],DATOS_[[#This Row],[id]])&gt;1,DATOS_[[#This Row],[id]],"")</f>
        <v/>
      </c>
      <c r="CJ57" s="325">
        <f>(Inicio!$G$10-DATOS_[[#This Row],[Fecha Nacimiento]])/365.25</f>
        <v>38.061601642710471</v>
      </c>
      <c r="CK57" s="325">
        <f>(Inicio!$G$10-DATOS_[[#This Row],[Fecha de Antigüedad]])/365.25</f>
        <v>14.291581108829568</v>
      </c>
      <c r="CL57" s="325" t="str">
        <f>+VLOOKUP(DATOS_[[#This Row],[Clave de Contrato]],TblTiposContrato13[],3,FALSE)</f>
        <v>Completa</v>
      </c>
      <c r="CM57" s="325" t="str">
        <f>+VLOOKUP(DATOS_[[#This Row],[Clave de Contrato]],TblTiposContrato13[],4,FALSE)</f>
        <v>Indefinido</v>
      </c>
      <c r="CN57" s="325" t="str">
        <f>VLOOKUP(DATOS_[[#This Row],[Edad]],CONTRATOS!TblRngEdad,2,TRUE)</f>
        <v>35 a 40</v>
      </c>
      <c r="CO57" s="325" t="str">
        <f>VLOOKUP(DATOS_[[#This Row],[Antigüedad]],TblRngAntg14[],2,TRUE)</f>
        <v>de 10 a 15  años</v>
      </c>
    </row>
    <row r="58" spans="2:93" x14ac:dyDescent="0.25">
      <c r="B58" s="146">
        <v>47</v>
      </c>
      <c r="C58" s="146" t="s">
        <v>162</v>
      </c>
      <c r="D58" s="295">
        <v>29930</v>
      </c>
      <c r="E58" s="296" t="s">
        <v>427</v>
      </c>
      <c r="F58" s="296">
        <v>3</v>
      </c>
      <c r="G58" s="296">
        <v>0</v>
      </c>
      <c r="H58" s="297">
        <v>40546</v>
      </c>
      <c r="I58" s="298"/>
      <c r="J58" s="295">
        <v>40546</v>
      </c>
      <c r="K58" s="326"/>
      <c r="L58" s="326"/>
      <c r="M58" s="299">
        <v>1</v>
      </c>
      <c r="N58" s="299"/>
      <c r="O58" s="299"/>
      <c r="P58" s="296">
        <v>100</v>
      </c>
      <c r="Q58" s="146" t="s">
        <v>404</v>
      </c>
      <c r="R58" s="146" t="s">
        <v>405</v>
      </c>
      <c r="S58" s="146" t="s">
        <v>424</v>
      </c>
      <c r="T58" s="146" t="s">
        <v>407</v>
      </c>
      <c r="U58" s="146" t="s">
        <v>400</v>
      </c>
      <c r="V58" s="146" t="s">
        <v>425</v>
      </c>
      <c r="W58" s="146" t="s">
        <v>299</v>
      </c>
      <c r="X58" s="146" t="s">
        <v>310</v>
      </c>
      <c r="Y58" s="146" t="s">
        <v>409</v>
      </c>
      <c r="Z58" s="293"/>
      <c r="AA58" s="294" t="s">
        <v>426</v>
      </c>
      <c r="AB58" s="294">
        <v>4</v>
      </c>
      <c r="AC58" s="296">
        <v>2</v>
      </c>
      <c r="AD58" s="301">
        <v>17266.330000000002</v>
      </c>
      <c r="AE58" s="301">
        <v>3733.6699999999983</v>
      </c>
      <c r="AF58" s="301">
        <v>1381.3064000000002</v>
      </c>
      <c r="AG58" s="301"/>
      <c r="AH58" s="301"/>
      <c r="AI58" s="301"/>
      <c r="AJ58" s="301"/>
      <c r="AK58" s="301">
        <v>80</v>
      </c>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2"/>
      <c r="BN58" s="291">
        <f>+MAX($D$3,DATOS_[[#This Row],[Fecha Inicio Sit. Contract.]])</f>
        <v>45292</v>
      </c>
      <c r="BO58" s="291">
        <f>+MIN($D$4,DATOS_[[#This Row],[Fecha Fin Sit. Contract.]])</f>
        <v>45657</v>
      </c>
      <c r="BP58" s="292">
        <f>+DATOS_[[#This Row],[% de jornada]]*IF(DATOS_[[#This Row],[% jornada reducida]]="",1,DATOS_[[#This Row],[% jornada reducida]])</f>
        <v>1</v>
      </c>
      <c r="BQ58" s="292">
        <f>+(DATOS_[[#This Row],[F.fin.cal]]-DATOS_[[#This Row],[F.ini.cal]]+1)/($D$4-$D$3+1)</f>
        <v>1</v>
      </c>
      <c r="BR58" s="322" t="str">
        <f>IF(OR(AND(DATOS_[[#This Row],[Fecha Fin Contrato]]&lt;$D$3,DATOS_[[#This Row],[Fecha Fin Contrato]]&lt;&gt;""),DATOS_[[#This Row],[Fecha de Contratación]]&gt;$D$4),"Fuera","Dentro")</f>
        <v>Dentro</v>
      </c>
      <c r="BS58" s="322" t="str">
        <f t="array" ref="BS58">IF(MAX(IF(DATOS_[id]=DATOS_[[#This Row],[id]],DATOS_[F.fin.cal]))=DATOS_[[#This Row],[F.fin.cal]],"Sí","NO")</f>
        <v>Sí</v>
      </c>
      <c r="BT58" s="292" t="str">
        <f>IF(AND(DATOS_[[#This Row],[% normaliz]]&lt;&gt;1,DATOS_[[#This Row],[% anualiz]]=1),"Sí","NO")</f>
        <v>NO</v>
      </c>
      <c r="BU58" s="292" t="str">
        <f>IF(AND(DATOS_[[#This Row],[% normaliz]]=1,DATOS_[[#This Row],[% anualiz]]&lt;&gt;1),"Sí","NO")</f>
        <v>NO</v>
      </c>
      <c r="BV58" s="292" t="str">
        <f>IF(AND(DATOS_[[#This Row],[% normaliz]]&lt;&gt;1,DATOS_[[#This Row],[% anualiz]]&lt;&gt;1),"Sí","NO")</f>
        <v>NO</v>
      </c>
      <c r="BW58" s="322" t="str">
        <f>+IF(DATOS_[[#This Row],[% normaliz]]*DATOS_[[#This Row],[% anualiz]]=1,"NO","Sí")</f>
        <v>NO</v>
      </c>
      <c r="BX58" s="323">
        <f>(DATOS_[[#This Row],[S.BASE]]*(1/DATOS_[[#This Row],[% normaliz]])*(1/DATOS_[[#This Row],[% anualiz]]))*IF(DATOS_[[#This Row],[Check Equiparado]]="Sí",1,0)</f>
        <v>17266.330000000002</v>
      </c>
      <c r="BY5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58" s="323">
        <f>+DATOS_[[#This Row],[SALARIO BASE Eq]]+DATOS_[[#This Row],[Tot COMPL.SAL Eq]]</f>
        <v>22461.306400000001</v>
      </c>
      <c r="CA58" s="323">
        <f t="array" ref="CA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8" s="323">
        <f>+DATOS_[[#This Row],[TOTAL SALARIO Eq]]+DATOS_[[#This Row],[Tot Extrasalarial Eq]]</f>
        <v>22461.306400000001</v>
      </c>
      <c r="CC58" s="327">
        <f>DATOS_[[#This Row],[S.BASE]]</f>
        <v>17266.330000000002</v>
      </c>
      <c r="CD58" s="324">
        <f>+SUM(DATOS_[[#This Row],[Conc.Sal.01]:[Conc.Sal.30]])</f>
        <v>5194.9763999999986</v>
      </c>
      <c r="CE58" s="324">
        <f>+DATOS_[[#This Row],[SALARIO BASE Ef]]+DATOS_[[#This Row],[Tot COMPL.SAL Ef]]</f>
        <v>22461.306400000001</v>
      </c>
      <c r="CF58" s="324">
        <f>+SUM(DATOS_[[#This Row],[C.Extra.01]:[C.Extra.05]])</f>
        <v>0</v>
      </c>
      <c r="CG58" s="330">
        <f>+DATOS_[[#This Row],[TOTAL SALARIO Ef]]+DATOS_[[#This Row],[Tot Extrasalarial Ef]]</f>
        <v>22461.306400000001</v>
      </c>
      <c r="CH58" s="303">
        <f>MIN(IF(DATOS_[[#This Row],[Fecha Fin Contrato]]="",$D$4,DATOS_[[#This Row],[Fecha Fin Contrato]]),$D$4)-MAX(DATOS_[[#This Row],[Fecha de Contratación]],$D$3)+1</f>
        <v>366</v>
      </c>
      <c r="CI58" s="304" t="str">
        <f>IF(COUNTIFS(DATOS_[id],DATOS_[[#This Row],[id]])&gt;1,DATOS_[[#This Row],[id]],"")</f>
        <v/>
      </c>
      <c r="CJ58" s="325">
        <f>(Inicio!$G$10-DATOS_[[#This Row],[Fecha Nacimiento]])/365.25</f>
        <v>43.058179329226554</v>
      </c>
      <c r="CK58" s="325">
        <f>(Inicio!$G$10-DATOS_[[#This Row],[Fecha de Antigüedad]])/365.25</f>
        <v>13.99315537303217</v>
      </c>
      <c r="CL58" s="325" t="str">
        <f>+VLOOKUP(DATOS_[[#This Row],[Clave de Contrato]],TblTiposContrato13[],3,FALSE)</f>
        <v>Completa</v>
      </c>
      <c r="CM58" s="325" t="str">
        <f>+VLOOKUP(DATOS_[[#This Row],[Clave de Contrato]],TblTiposContrato13[],4,FALSE)</f>
        <v>Indefinido</v>
      </c>
      <c r="CN58" s="325" t="str">
        <f>VLOOKUP(DATOS_[[#This Row],[Edad]],CONTRATOS!TblRngEdad,2,TRUE)</f>
        <v>40 a 45</v>
      </c>
      <c r="CO58" s="325" t="str">
        <f>VLOOKUP(DATOS_[[#This Row],[Antigüedad]],TblRngAntg14[],2,TRUE)</f>
        <v>de 10 a 15  años</v>
      </c>
    </row>
    <row r="59" spans="2:93" x14ac:dyDescent="0.25">
      <c r="B59" s="146">
        <v>48</v>
      </c>
      <c r="C59" s="146" t="s">
        <v>162</v>
      </c>
      <c r="D59" s="295">
        <v>28470</v>
      </c>
      <c r="E59" s="296" t="s">
        <v>403</v>
      </c>
      <c r="F59" s="296">
        <v>3</v>
      </c>
      <c r="G59" s="296">
        <v>0</v>
      </c>
      <c r="H59" s="297">
        <v>41021</v>
      </c>
      <c r="I59" s="298"/>
      <c r="J59" s="295">
        <v>41021</v>
      </c>
      <c r="K59" s="326"/>
      <c r="L59" s="326"/>
      <c r="M59" s="299">
        <v>1</v>
      </c>
      <c r="N59" s="299"/>
      <c r="O59" s="299"/>
      <c r="P59" s="296">
        <v>100</v>
      </c>
      <c r="Q59" s="146" t="s">
        <v>404</v>
      </c>
      <c r="R59" s="146" t="s">
        <v>405</v>
      </c>
      <c r="S59" s="146" t="s">
        <v>424</v>
      </c>
      <c r="T59" s="146" t="s">
        <v>407</v>
      </c>
      <c r="U59" s="146" t="s">
        <v>400</v>
      </c>
      <c r="V59" s="146" t="s">
        <v>425</v>
      </c>
      <c r="W59" s="146" t="s">
        <v>299</v>
      </c>
      <c r="X59" s="146" t="s">
        <v>310</v>
      </c>
      <c r="Y59" s="146" t="s">
        <v>409</v>
      </c>
      <c r="Z59" s="293"/>
      <c r="AA59" s="294" t="s">
        <v>426</v>
      </c>
      <c r="AB59" s="294">
        <v>4</v>
      </c>
      <c r="AC59" s="296">
        <v>2</v>
      </c>
      <c r="AD59" s="301">
        <v>17266.330000000002</v>
      </c>
      <c r="AE59" s="301">
        <v>3733.6699999999983</v>
      </c>
      <c r="AF59" s="301">
        <v>690.65320000000008</v>
      </c>
      <c r="AG59" s="301"/>
      <c r="AH59" s="301"/>
      <c r="AI59" s="301"/>
      <c r="AJ59" s="301"/>
      <c r="AK59" s="301">
        <v>80</v>
      </c>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2"/>
      <c r="BN59" s="291">
        <f>+MAX($D$3,DATOS_[[#This Row],[Fecha Inicio Sit. Contract.]])</f>
        <v>45292</v>
      </c>
      <c r="BO59" s="291">
        <f>+MIN($D$4,DATOS_[[#This Row],[Fecha Fin Sit. Contract.]])</f>
        <v>45657</v>
      </c>
      <c r="BP59" s="292">
        <f>+DATOS_[[#This Row],[% de jornada]]*IF(DATOS_[[#This Row],[% jornada reducida]]="",1,DATOS_[[#This Row],[% jornada reducida]])</f>
        <v>1</v>
      </c>
      <c r="BQ59" s="292">
        <f>+(DATOS_[[#This Row],[F.fin.cal]]-DATOS_[[#This Row],[F.ini.cal]]+1)/($D$4-$D$3+1)</f>
        <v>1</v>
      </c>
      <c r="BR59" s="322" t="str">
        <f>IF(OR(AND(DATOS_[[#This Row],[Fecha Fin Contrato]]&lt;$D$3,DATOS_[[#This Row],[Fecha Fin Contrato]]&lt;&gt;""),DATOS_[[#This Row],[Fecha de Contratación]]&gt;$D$4),"Fuera","Dentro")</f>
        <v>Dentro</v>
      </c>
      <c r="BS59" s="322" t="str">
        <f t="array" ref="BS59">IF(MAX(IF(DATOS_[id]=DATOS_[[#This Row],[id]],DATOS_[F.fin.cal]))=DATOS_[[#This Row],[F.fin.cal]],"Sí","NO")</f>
        <v>Sí</v>
      </c>
      <c r="BT59" s="292" t="str">
        <f>IF(AND(DATOS_[[#This Row],[% normaliz]]&lt;&gt;1,DATOS_[[#This Row],[% anualiz]]=1),"Sí","NO")</f>
        <v>NO</v>
      </c>
      <c r="BU59" s="292" t="str">
        <f>IF(AND(DATOS_[[#This Row],[% normaliz]]=1,DATOS_[[#This Row],[% anualiz]]&lt;&gt;1),"Sí","NO")</f>
        <v>NO</v>
      </c>
      <c r="BV59" s="292" t="str">
        <f>IF(AND(DATOS_[[#This Row],[% normaliz]]&lt;&gt;1,DATOS_[[#This Row],[% anualiz]]&lt;&gt;1),"Sí","NO")</f>
        <v>NO</v>
      </c>
      <c r="BW59" s="322" t="str">
        <f>+IF(DATOS_[[#This Row],[% normaliz]]*DATOS_[[#This Row],[% anualiz]]=1,"NO","Sí")</f>
        <v>NO</v>
      </c>
      <c r="BX59" s="323">
        <f>(DATOS_[[#This Row],[S.BASE]]*(1/DATOS_[[#This Row],[% normaliz]])*(1/DATOS_[[#This Row],[% anualiz]]))*IF(DATOS_[[#This Row],[Check Equiparado]]="Sí",1,0)</f>
        <v>17266.330000000002</v>
      </c>
      <c r="BY5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4504.323199999998</v>
      </c>
      <c r="BZ59" s="323">
        <f>+DATOS_[[#This Row],[SALARIO BASE Eq]]+DATOS_[[#This Row],[Tot COMPL.SAL Eq]]</f>
        <v>21770.653200000001</v>
      </c>
      <c r="CA59" s="323">
        <f t="array" ref="CA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9" s="323">
        <f>+DATOS_[[#This Row],[TOTAL SALARIO Eq]]+DATOS_[[#This Row],[Tot Extrasalarial Eq]]</f>
        <v>21770.653200000001</v>
      </c>
      <c r="CC59" s="327">
        <f>DATOS_[[#This Row],[S.BASE]]</f>
        <v>17266.330000000002</v>
      </c>
      <c r="CD59" s="324">
        <f>+SUM(DATOS_[[#This Row],[Conc.Sal.01]:[Conc.Sal.30]])</f>
        <v>4504.323199999998</v>
      </c>
      <c r="CE59" s="324">
        <f>+DATOS_[[#This Row],[SALARIO BASE Ef]]+DATOS_[[#This Row],[Tot COMPL.SAL Ef]]</f>
        <v>21770.653200000001</v>
      </c>
      <c r="CF59" s="324">
        <f>+SUM(DATOS_[[#This Row],[C.Extra.01]:[C.Extra.05]])</f>
        <v>0</v>
      </c>
      <c r="CG59" s="330">
        <f>+DATOS_[[#This Row],[TOTAL SALARIO Ef]]+DATOS_[[#This Row],[Tot Extrasalarial Ef]]</f>
        <v>21770.653200000001</v>
      </c>
      <c r="CH59" s="303">
        <f>MIN(IF(DATOS_[[#This Row],[Fecha Fin Contrato]]="",$D$4,DATOS_[[#This Row],[Fecha Fin Contrato]]),$D$4)-MAX(DATOS_[[#This Row],[Fecha de Contratación]],$D$3)+1</f>
        <v>366</v>
      </c>
      <c r="CI59" s="304" t="str">
        <f>IF(COUNTIFS(DATOS_[id],DATOS_[[#This Row],[id]])&gt;1,DATOS_[[#This Row],[id]],"")</f>
        <v/>
      </c>
      <c r="CJ59" s="325">
        <f>(Inicio!$G$10-DATOS_[[#This Row],[Fecha Nacimiento]])/365.25</f>
        <v>47.055441478439427</v>
      </c>
      <c r="CK59" s="325">
        <f>(Inicio!$G$10-DATOS_[[#This Row],[Fecha de Antigüedad]])/365.25</f>
        <v>12.692676249144421</v>
      </c>
      <c r="CL59" s="325" t="str">
        <f>+VLOOKUP(DATOS_[[#This Row],[Clave de Contrato]],TblTiposContrato13[],3,FALSE)</f>
        <v>Completa</v>
      </c>
      <c r="CM59" s="325" t="str">
        <f>+VLOOKUP(DATOS_[[#This Row],[Clave de Contrato]],TblTiposContrato13[],4,FALSE)</f>
        <v>Indefinido</v>
      </c>
      <c r="CN59" s="325" t="str">
        <f>VLOOKUP(DATOS_[[#This Row],[Edad]],CONTRATOS!TblRngEdad,2,TRUE)</f>
        <v>45 a 50</v>
      </c>
      <c r="CO59" s="325" t="str">
        <f>VLOOKUP(DATOS_[[#This Row],[Antigüedad]],TblRngAntg14[],2,TRUE)</f>
        <v>de 10 a 15  años</v>
      </c>
    </row>
    <row r="60" spans="2:93" x14ac:dyDescent="0.25">
      <c r="B60" s="146">
        <v>49</v>
      </c>
      <c r="C60" s="146" t="s">
        <v>162</v>
      </c>
      <c r="D60" s="295">
        <v>26280</v>
      </c>
      <c r="E60" s="296" t="s">
        <v>427</v>
      </c>
      <c r="F60" s="296">
        <v>3</v>
      </c>
      <c r="G60" s="296">
        <v>0</v>
      </c>
      <c r="H60" s="297">
        <v>39743</v>
      </c>
      <c r="I60" s="298"/>
      <c r="J60" s="295">
        <v>39743</v>
      </c>
      <c r="K60" s="326"/>
      <c r="L60" s="326"/>
      <c r="M60" s="299">
        <v>1</v>
      </c>
      <c r="N60" s="299"/>
      <c r="O60" s="299"/>
      <c r="P60" s="296">
        <v>100</v>
      </c>
      <c r="Q60" s="146" t="s">
        <v>412</v>
      </c>
      <c r="R60" s="146" t="s">
        <v>417</v>
      </c>
      <c r="S60" s="146" t="s">
        <v>424</v>
      </c>
      <c r="T60" s="146" t="s">
        <v>407</v>
      </c>
      <c r="U60" s="146" t="s">
        <v>400</v>
      </c>
      <c r="V60" s="146" t="s">
        <v>425</v>
      </c>
      <c r="W60" s="146" t="s">
        <v>299</v>
      </c>
      <c r="X60" s="146" t="s">
        <v>310</v>
      </c>
      <c r="Y60" s="146" t="s">
        <v>409</v>
      </c>
      <c r="Z60" s="293"/>
      <c r="AA60" s="294" t="s">
        <v>426</v>
      </c>
      <c r="AB60" s="294">
        <v>4</v>
      </c>
      <c r="AC60" s="296">
        <v>2</v>
      </c>
      <c r="AD60" s="301">
        <v>17266.330000000002</v>
      </c>
      <c r="AE60" s="301">
        <v>3733.6699999999983</v>
      </c>
      <c r="AF60" s="301">
        <v>1381.3064000000002</v>
      </c>
      <c r="AG60" s="301"/>
      <c r="AH60" s="301"/>
      <c r="AI60" s="301"/>
      <c r="AJ60" s="301"/>
      <c r="AK60" s="301">
        <v>80</v>
      </c>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2"/>
      <c r="BN60" s="291">
        <f>+MAX($D$3,DATOS_[[#This Row],[Fecha Inicio Sit. Contract.]])</f>
        <v>45292</v>
      </c>
      <c r="BO60" s="291">
        <f>+MIN($D$4,DATOS_[[#This Row],[Fecha Fin Sit. Contract.]])</f>
        <v>45657</v>
      </c>
      <c r="BP60" s="292">
        <f>+DATOS_[[#This Row],[% de jornada]]*IF(DATOS_[[#This Row],[% jornada reducida]]="",1,DATOS_[[#This Row],[% jornada reducida]])</f>
        <v>1</v>
      </c>
      <c r="BQ60" s="292">
        <f>+(DATOS_[[#This Row],[F.fin.cal]]-DATOS_[[#This Row],[F.ini.cal]]+1)/($D$4-$D$3+1)</f>
        <v>1</v>
      </c>
      <c r="BR60" s="322" t="str">
        <f>IF(OR(AND(DATOS_[[#This Row],[Fecha Fin Contrato]]&lt;$D$3,DATOS_[[#This Row],[Fecha Fin Contrato]]&lt;&gt;""),DATOS_[[#This Row],[Fecha de Contratación]]&gt;$D$4),"Fuera","Dentro")</f>
        <v>Dentro</v>
      </c>
      <c r="BS60" s="322" t="str">
        <f t="array" ref="BS60">IF(MAX(IF(DATOS_[id]=DATOS_[[#This Row],[id]],DATOS_[F.fin.cal]))=DATOS_[[#This Row],[F.fin.cal]],"Sí","NO")</f>
        <v>Sí</v>
      </c>
      <c r="BT60" s="292" t="str">
        <f>IF(AND(DATOS_[[#This Row],[% normaliz]]&lt;&gt;1,DATOS_[[#This Row],[% anualiz]]=1),"Sí","NO")</f>
        <v>NO</v>
      </c>
      <c r="BU60" s="292" t="str">
        <f>IF(AND(DATOS_[[#This Row],[% normaliz]]=1,DATOS_[[#This Row],[% anualiz]]&lt;&gt;1),"Sí","NO")</f>
        <v>NO</v>
      </c>
      <c r="BV60" s="292" t="str">
        <f>IF(AND(DATOS_[[#This Row],[% normaliz]]&lt;&gt;1,DATOS_[[#This Row],[% anualiz]]&lt;&gt;1),"Sí","NO")</f>
        <v>NO</v>
      </c>
      <c r="BW60" s="322" t="str">
        <f>+IF(DATOS_[[#This Row],[% normaliz]]*DATOS_[[#This Row],[% anualiz]]=1,"NO","Sí")</f>
        <v>NO</v>
      </c>
      <c r="BX60" s="323">
        <f>(DATOS_[[#This Row],[S.BASE]]*(1/DATOS_[[#This Row],[% normaliz]])*(1/DATOS_[[#This Row],[% anualiz]]))*IF(DATOS_[[#This Row],[Check Equiparado]]="Sí",1,0)</f>
        <v>17266.330000000002</v>
      </c>
      <c r="BY6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60" s="323">
        <f>+DATOS_[[#This Row],[SALARIO BASE Eq]]+DATOS_[[#This Row],[Tot COMPL.SAL Eq]]</f>
        <v>22461.306400000001</v>
      </c>
      <c r="CA60" s="323">
        <f t="array" ref="CA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0" s="323">
        <f>+DATOS_[[#This Row],[TOTAL SALARIO Eq]]+DATOS_[[#This Row],[Tot Extrasalarial Eq]]</f>
        <v>22461.306400000001</v>
      </c>
      <c r="CC60" s="327">
        <f>DATOS_[[#This Row],[S.BASE]]</f>
        <v>17266.330000000002</v>
      </c>
      <c r="CD60" s="324">
        <f>+SUM(DATOS_[[#This Row],[Conc.Sal.01]:[Conc.Sal.30]])</f>
        <v>5194.9763999999986</v>
      </c>
      <c r="CE60" s="324">
        <f>+DATOS_[[#This Row],[SALARIO BASE Ef]]+DATOS_[[#This Row],[Tot COMPL.SAL Ef]]</f>
        <v>22461.306400000001</v>
      </c>
      <c r="CF60" s="324">
        <f>+SUM(DATOS_[[#This Row],[C.Extra.01]:[C.Extra.05]])</f>
        <v>0</v>
      </c>
      <c r="CG60" s="330">
        <f>+DATOS_[[#This Row],[TOTAL SALARIO Ef]]+DATOS_[[#This Row],[Tot Extrasalarial Ef]]</f>
        <v>22461.306400000001</v>
      </c>
      <c r="CH60" s="303">
        <f>MIN(IF(DATOS_[[#This Row],[Fecha Fin Contrato]]="",$D$4,DATOS_[[#This Row],[Fecha Fin Contrato]]),$D$4)-MAX(DATOS_[[#This Row],[Fecha de Contratación]],$D$3)+1</f>
        <v>366</v>
      </c>
      <c r="CI60" s="304" t="str">
        <f>IF(COUNTIFS(DATOS_[id],DATOS_[[#This Row],[id]])&gt;1,DATOS_[[#This Row],[id]],"")</f>
        <v/>
      </c>
      <c r="CJ60" s="325">
        <f>(Inicio!$G$10-DATOS_[[#This Row],[Fecha Nacimiento]])/365.25</f>
        <v>53.051334702258728</v>
      </c>
      <c r="CK60" s="325">
        <f>(Inicio!$G$10-DATOS_[[#This Row],[Fecha de Antigüedad]])/365.25</f>
        <v>16.191649555099247</v>
      </c>
      <c r="CL60" s="325" t="str">
        <f>+VLOOKUP(DATOS_[[#This Row],[Clave de Contrato]],TblTiposContrato13[],3,FALSE)</f>
        <v>Completa</v>
      </c>
      <c r="CM60" s="325" t="str">
        <f>+VLOOKUP(DATOS_[[#This Row],[Clave de Contrato]],TblTiposContrato13[],4,FALSE)</f>
        <v>Indefinido</v>
      </c>
      <c r="CN60" s="325" t="str">
        <f>VLOOKUP(DATOS_[[#This Row],[Edad]],CONTRATOS!TblRngEdad,2,TRUE)</f>
        <v>50 a 55</v>
      </c>
      <c r="CO60" s="325" t="str">
        <f>VLOOKUP(DATOS_[[#This Row],[Antigüedad]],TblRngAntg14[],2,TRUE)</f>
        <v>más de 15</v>
      </c>
    </row>
    <row r="61" spans="2:93" x14ac:dyDescent="0.25">
      <c r="B61" s="146">
        <v>50</v>
      </c>
      <c r="C61" s="146" t="s">
        <v>162</v>
      </c>
      <c r="D61" s="295">
        <v>35770</v>
      </c>
      <c r="E61" s="296" t="s">
        <v>403</v>
      </c>
      <c r="F61" s="296">
        <v>3</v>
      </c>
      <c r="G61" s="296">
        <v>0</v>
      </c>
      <c r="H61" s="297">
        <v>37478</v>
      </c>
      <c r="I61" s="298"/>
      <c r="J61" s="295">
        <v>37478</v>
      </c>
      <c r="K61" s="326"/>
      <c r="L61" s="326"/>
      <c r="M61" s="299">
        <v>1</v>
      </c>
      <c r="N61" s="299"/>
      <c r="O61" s="299"/>
      <c r="P61" s="296">
        <v>100</v>
      </c>
      <c r="Q61" s="146" t="s">
        <v>404</v>
      </c>
      <c r="R61" s="146" t="s">
        <v>411</v>
      </c>
      <c r="S61" s="146" t="s">
        <v>424</v>
      </c>
      <c r="T61" s="146" t="s">
        <v>407</v>
      </c>
      <c r="U61" s="146" t="s">
        <v>400</v>
      </c>
      <c r="V61" s="146" t="s">
        <v>425</v>
      </c>
      <c r="W61" s="146" t="s">
        <v>299</v>
      </c>
      <c r="X61" s="146" t="s">
        <v>310</v>
      </c>
      <c r="Y61" s="146" t="s">
        <v>409</v>
      </c>
      <c r="Z61" s="293"/>
      <c r="AA61" s="294" t="s">
        <v>426</v>
      </c>
      <c r="AB61" s="294">
        <v>4</v>
      </c>
      <c r="AC61" s="296">
        <v>2</v>
      </c>
      <c r="AD61" s="301">
        <v>17266.330000000002</v>
      </c>
      <c r="AE61" s="301">
        <v>3733.6699999999983</v>
      </c>
      <c r="AF61" s="301">
        <v>2762.6128000000003</v>
      </c>
      <c r="AG61" s="301"/>
      <c r="AH61" s="301"/>
      <c r="AI61" s="301"/>
      <c r="AJ61" s="301"/>
      <c r="AK61" s="301">
        <v>80</v>
      </c>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2"/>
      <c r="BN61" s="291">
        <f>+MAX($D$3,DATOS_[[#This Row],[Fecha Inicio Sit. Contract.]])</f>
        <v>45292</v>
      </c>
      <c r="BO61" s="291">
        <f>+MIN($D$4,DATOS_[[#This Row],[Fecha Fin Sit. Contract.]])</f>
        <v>45657</v>
      </c>
      <c r="BP61" s="292">
        <f>+DATOS_[[#This Row],[% de jornada]]*IF(DATOS_[[#This Row],[% jornada reducida]]="",1,DATOS_[[#This Row],[% jornada reducida]])</f>
        <v>1</v>
      </c>
      <c r="BQ61" s="292">
        <f>+(DATOS_[[#This Row],[F.fin.cal]]-DATOS_[[#This Row],[F.ini.cal]]+1)/($D$4-$D$3+1)</f>
        <v>1</v>
      </c>
      <c r="BR61" s="322" t="str">
        <f>IF(OR(AND(DATOS_[[#This Row],[Fecha Fin Contrato]]&lt;$D$3,DATOS_[[#This Row],[Fecha Fin Contrato]]&lt;&gt;""),DATOS_[[#This Row],[Fecha de Contratación]]&gt;$D$4),"Fuera","Dentro")</f>
        <v>Dentro</v>
      </c>
      <c r="BS61" s="322" t="str">
        <f t="array" ref="BS61">IF(MAX(IF(DATOS_[id]=DATOS_[[#This Row],[id]],DATOS_[F.fin.cal]))=DATOS_[[#This Row],[F.fin.cal]],"Sí","NO")</f>
        <v>Sí</v>
      </c>
      <c r="BT61" s="292" t="str">
        <f>IF(AND(DATOS_[[#This Row],[% normaliz]]&lt;&gt;1,DATOS_[[#This Row],[% anualiz]]=1),"Sí","NO")</f>
        <v>NO</v>
      </c>
      <c r="BU61" s="292" t="str">
        <f>IF(AND(DATOS_[[#This Row],[% normaliz]]=1,DATOS_[[#This Row],[% anualiz]]&lt;&gt;1),"Sí","NO")</f>
        <v>NO</v>
      </c>
      <c r="BV61" s="292" t="str">
        <f>IF(AND(DATOS_[[#This Row],[% normaliz]]&lt;&gt;1,DATOS_[[#This Row],[% anualiz]]&lt;&gt;1),"Sí","NO")</f>
        <v>NO</v>
      </c>
      <c r="BW61" s="322" t="str">
        <f>+IF(DATOS_[[#This Row],[% normaliz]]*DATOS_[[#This Row],[% anualiz]]=1,"NO","Sí")</f>
        <v>NO</v>
      </c>
      <c r="BX61" s="323">
        <f>(DATOS_[[#This Row],[S.BASE]]*(1/DATOS_[[#This Row],[% normaliz]])*(1/DATOS_[[#This Row],[% anualiz]]))*IF(DATOS_[[#This Row],[Check Equiparado]]="Sí",1,0)</f>
        <v>17266.330000000002</v>
      </c>
      <c r="BY6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61" s="323">
        <f>+DATOS_[[#This Row],[SALARIO BASE Eq]]+DATOS_[[#This Row],[Tot COMPL.SAL Eq]]</f>
        <v>23842.612800000003</v>
      </c>
      <c r="CA61" s="323">
        <f t="array" ref="CA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1" s="323">
        <f>+DATOS_[[#This Row],[TOTAL SALARIO Eq]]+DATOS_[[#This Row],[Tot Extrasalarial Eq]]</f>
        <v>23842.612800000003</v>
      </c>
      <c r="CC61" s="327">
        <f>DATOS_[[#This Row],[S.BASE]]</f>
        <v>17266.330000000002</v>
      </c>
      <c r="CD61" s="324">
        <f>+SUM(DATOS_[[#This Row],[Conc.Sal.01]:[Conc.Sal.30]])</f>
        <v>6576.282799999999</v>
      </c>
      <c r="CE61" s="324">
        <f>+DATOS_[[#This Row],[SALARIO BASE Ef]]+DATOS_[[#This Row],[Tot COMPL.SAL Ef]]</f>
        <v>23842.612800000003</v>
      </c>
      <c r="CF61" s="324">
        <f>+SUM(DATOS_[[#This Row],[C.Extra.01]:[C.Extra.05]])</f>
        <v>0</v>
      </c>
      <c r="CG61" s="330">
        <f>+DATOS_[[#This Row],[TOTAL SALARIO Ef]]+DATOS_[[#This Row],[Tot Extrasalarial Ef]]</f>
        <v>23842.612800000003</v>
      </c>
      <c r="CH61" s="303">
        <f>MIN(IF(DATOS_[[#This Row],[Fecha Fin Contrato]]="",$D$4,DATOS_[[#This Row],[Fecha Fin Contrato]]),$D$4)-MAX(DATOS_[[#This Row],[Fecha de Contratación]],$D$3)+1</f>
        <v>366</v>
      </c>
      <c r="CI61" s="304" t="str">
        <f>IF(COUNTIFS(DATOS_[id],DATOS_[[#This Row],[id]])&gt;1,DATOS_[[#This Row],[id]],"")</f>
        <v/>
      </c>
      <c r="CJ61" s="325">
        <f>(Inicio!$G$10-DATOS_[[#This Row],[Fecha Nacimiento]])/365.25</f>
        <v>27.069130732375086</v>
      </c>
      <c r="CK61" s="325">
        <f>(Inicio!$G$10-DATOS_[[#This Row],[Fecha de Antigüedad]])/365.25</f>
        <v>22.392881587953458</v>
      </c>
      <c r="CL61" s="325" t="str">
        <f>+VLOOKUP(DATOS_[[#This Row],[Clave de Contrato]],TblTiposContrato13[],3,FALSE)</f>
        <v>Completa</v>
      </c>
      <c r="CM61" s="325" t="str">
        <f>+VLOOKUP(DATOS_[[#This Row],[Clave de Contrato]],TblTiposContrato13[],4,FALSE)</f>
        <v>Indefinido</v>
      </c>
      <c r="CN61" s="325" t="str">
        <f>VLOOKUP(DATOS_[[#This Row],[Edad]],CONTRATOS!TblRngEdad,2,TRUE)</f>
        <v>25 a 30</v>
      </c>
      <c r="CO61" s="325" t="str">
        <f>VLOOKUP(DATOS_[[#This Row],[Antigüedad]],TblRngAntg14[],2,TRUE)</f>
        <v>más de 15</v>
      </c>
    </row>
    <row r="62" spans="2:93" x14ac:dyDescent="0.25">
      <c r="B62" s="146">
        <v>51</v>
      </c>
      <c r="C62" s="146" t="s">
        <v>162</v>
      </c>
      <c r="D62" s="295">
        <v>27375</v>
      </c>
      <c r="E62" s="296" t="s">
        <v>403</v>
      </c>
      <c r="F62" s="296">
        <v>3</v>
      </c>
      <c r="G62" s="296">
        <v>0</v>
      </c>
      <c r="H62" s="297">
        <v>36163</v>
      </c>
      <c r="I62" s="298"/>
      <c r="J62" s="295">
        <v>36163</v>
      </c>
      <c r="K62" s="326"/>
      <c r="L62" s="326"/>
      <c r="M62" s="299">
        <v>1</v>
      </c>
      <c r="N62" s="299"/>
      <c r="O62" s="299"/>
      <c r="P62" s="296">
        <v>100</v>
      </c>
      <c r="Q62" s="146" t="s">
        <v>412</v>
      </c>
      <c r="R62" s="146" t="s">
        <v>418</v>
      </c>
      <c r="S62" s="146" t="s">
        <v>424</v>
      </c>
      <c r="T62" s="146" t="s">
        <v>407</v>
      </c>
      <c r="U62" s="146" t="s">
        <v>400</v>
      </c>
      <c r="V62" s="146" t="s">
        <v>425</v>
      </c>
      <c r="W62" s="146" t="s">
        <v>299</v>
      </c>
      <c r="X62" s="146" t="s">
        <v>310</v>
      </c>
      <c r="Y62" s="146" t="s">
        <v>409</v>
      </c>
      <c r="Z62" s="293"/>
      <c r="AA62" s="294" t="s">
        <v>426</v>
      </c>
      <c r="AB62" s="294">
        <v>4</v>
      </c>
      <c r="AC62" s="296">
        <v>2</v>
      </c>
      <c r="AD62" s="301">
        <v>17266.330000000002</v>
      </c>
      <c r="AE62" s="301">
        <v>3733.6699999999983</v>
      </c>
      <c r="AF62" s="301">
        <v>3453.2660000000005</v>
      </c>
      <c r="AG62" s="301"/>
      <c r="AH62" s="301"/>
      <c r="AI62" s="301"/>
      <c r="AJ62" s="301"/>
      <c r="AK62" s="301">
        <v>80</v>
      </c>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2"/>
      <c r="BN62" s="291">
        <f>+MAX($D$3,DATOS_[[#This Row],[Fecha Inicio Sit. Contract.]])</f>
        <v>45292</v>
      </c>
      <c r="BO62" s="291">
        <f>+MIN($D$4,DATOS_[[#This Row],[Fecha Fin Sit. Contract.]])</f>
        <v>45657</v>
      </c>
      <c r="BP62" s="292">
        <f>+DATOS_[[#This Row],[% de jornada]]*IF(DATOS_[[#This Row],[% jornada reducida]]="",1,DATOS_[[#This Row],[% jornada reducida]])</f>
        <v>1</v>
      </c>
      <c r="BQ62" s="292">
        <f>+(DATOS_[[#This Row],[F.fin.cal]]-DATOS_[[#This Row],[F.ini.cal]]+1)/($D$4-$D$3+1)</f>
        <v>1</v>
      </c>
      <c r="BR62" s="322" t="str">
        <f>IF(OR(AND(DATOS_[[#This Row],[Fecha Fin Contrato]]&lt;$D$3,DATOS_[[#This Row],[Fecha Fin Contrato]]&lt;&gt;""),DATOS_[[#This Row],[Fecha de Contratación]]&gt;$D$4),"Fuera","Dentro")</f>
        <v>Dentro</v>
      </c>
      <c r="BS62" s="322" t="str">
        <f t="array" ref="BS62">IF(MAX(IF(DATOS_[id]=DATOS_[[#This Row],[id]],DATOS_[F.fin.cal]))=DATOS_[[#This Row],[F.fin.cal]],"Sí","NO")</f>
        <v>Sí</v>
      </c>
      <c r="BT62" s="292" t="str">
        <f>IF(AND(DATOS_[[#This Row],[% normaliz]]&lt;&gt;1,DATOS_[[#This Row],[% anualiz]]=1),"Sí","NO")</f>
        <v>NO</v>
      </c>
      <c r="BU62" s="292" t="str">
        <f>IF(AND(DATOS_[[#This Row],[% normaliz]]=1,DATOS_[[#This Row],[% anualiz]]&lt;&gt;1),"Sí","NO")</f>
        <v>NO</v>
      </c>
      <c r="BV62" s="292" t="str">
        <f>IF(AND(DATOS_[[#This Row],[% normaliz]]&lt;&gt;1,DATOS_[[#This Row],[% anualiz]]&lt;&gt;1),"Sí","NO")</f>
        <v>NO</v>
      </c>
      <c r="BW62" s="322" t="str">
        <f>+IF(DATOS_[[#This Row],[% normaliz]]*DATOS_[[#This Row],[% anualiz]]=1,"NO","Sí")</f>
        <v>NO</v>
      </c>
      <c r="BX62" s="323">
        <f>(DATOS_[[#This Row],[S.BASE]]*(1/DATOS_[[#This Row],[% normaliz]])*(1/DATOS_[[#This Row],[% anualiz]]))*IF(DATOS_[[#This Row],[Check Equiparado]]="Sí",1,0)</f>
        <v>17266.330000000002</v>
      </c>
      <c r="BY6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7266.9359999999988</v>
      </c>
      <c r="BZ62" s="323">
        <f>+DATOS_[[#This Row],[SALARIO BASE Eq]]+DATOS_[[#This Row],[Tot COMPL.SAL Eq]]</f>
        <v>24533.266</v>
      </c>
      <c r="CA62" s="323">
        <f t="array" ref="CA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2" s="323">
        <f>+DATOS_[[#This Row],[TOTAL SALARIO Eq]]+DATOS_[[#This Row],[Tot Extrasalarial Eq]]</f>
        <v>24533.266</v>
      </c>
      <c r="CC62" s="327">
        <f>DATOS_[[#This Row],[S.BASE]]</f>
        <v>17266.330000000002</v>
      </c>
      <c r="CD62" s="324">
        <f>+SUM(DATOS_[[#This Row],[Conc.Sal.01]:[Conc.Sal.30]])</f>
        <v>7266.9359999999988</v>
      </c>
      <c r="CE62" s="324">
        <f>+DATOS_[[#This Row],[SALARIO BASE Ef]]+DATOS_[[#This Row],[Tot COMPL.SAL Ef]]</f>
        <v>24533.266</v>
      </c>
      <c r="CF62" s="324">
        <f>+SUM(DATOS_[[#This Row],[C.Extra.01]:[C.Extra.05]])</f>
        <v>0</v>
      </c>
      <c r="CG62" s="330">
        <f>+DATOS_[[#This Row],[TOTAL SALARIO Ef]]+DATOS_[[#This Row],[Tot Extrasalarial Ef]]</f>
        <v>24533.266</v>
      </c>
      <c r="CH62" s="303">
        <f>MIN(IF(DATOS_[[#This Row],[Fecha Fin Contrato]]="",$D$4,DATOS_[[#This Row],[Fecha Fin Contrato]]),$D$4)-MAX(DATOS_[[#This Row],[Fecha de Contratación]],$D$3)+1</f>
        <v>366</v>
      </c>
      <c r="CI62" s="304" t="str">
        <f>IF(COUNTIFS(DATOS_[id],DATOS_[[#This Row],[id]])&gt;1,DATOS_[[#This Row],[id]],"")</f>
        <v/>
      </c>
      <c r="CJ62" s="325">
        <f>(Inicio!$G$10-DATOS_[[#This Row],[Fecha Nacimiento]])/365.25</f>
        <v>50.053388090349074</v>
      </c>
      <c r="CK62" s="325">
        <f>(Inicio!$G$10-DATOS_[[#This Row],[Fecha de Antigüedad]])/365.25</f>
        <v>25.99315537303217</v>
      </c>
      <c r="CL62" s="325" t="str">
        <f>+VLOOKUP(DATOS_[[#This Row],[Clave de Contrato]],TblTiposContrato13[],3,FALSE)</f>
        <v>Completa</v>
      </c>
      <c r="CM62" s="325" t="str">
        <f>+VLOOKUP(DATOS_[[#This Row],[Clave de Contrato]],TblTiposContrato13[],4,FALSE)</f>
        <v>Indefinido</v>
      </c>
      <c r="CN62" s="325" t="str">
        <f>VLOOKUP(DATOS_[[#This Row],[Edad]],CONTRATOS!TblRngEdad,2,TRUE)</f>
        <v>50 a 55</v>
      </c>
      <c r="CO62" s="325" t="str">
        <f>VLOOKUP(DATOS_[[#This Row],[Antigüedad]],TblRngAntg14[],2,TRUE)</f>
        <v>más de 15</v>
      </c>
    </row>
    <row r="63" spans="2:93" x14ac:dyDescent="0.25">
      <c r="B63" s="146">
        <v>52</v>
      </c>
      <c r="C63" s="146" t="s">
        <v>162</v>
      </c>
      <c r="D63" s="295">
        <v>33945</v>
      </c>
      <c r="E63" s="296" t="s">
        <v>403</v>
      </c>
      <c r="F63" s="296">
        <v>3</v>
      </c>
      <c r="G63" s="296">
        <v>0</v>
      </c>
      <c r="H63" s="297">
        <v>40437</v>
      </c>
      <c r="I63" s="298"/>
      <c r="J63" s="295">
        <v>40437</v>
      </c>
      <c r="K63" s="326"/>
      <c r="L63" s="326"/>
      <c r="M63" s="299">
        <v>1</v>
      </c>
      <c r="N63" s="299"/>
      <c r="O63" s="299"/>
      <c r="P63" s="296">
        <v>100</v>
      </c>
      <c r="Q63" s="146" t="s">
        <v>412</v>
      </c>
      <c r="R63" s="146" t="s">
        <v>418</v>
      </c>
      <c r="S63" s="146" t="s">
        <v>424</v>
      </c>
      <c r="T63" s="146" t="s">
        <v>407</v>
      </c>
      <c r="U63" s="146" t="s">
        <v>400</v>
      </c>
      <c r="V63" s="146" t="s">
        <v>425</v>
      </c>
      <c r="W63" s="146" t="s">
        <v>299</v>
      </c>
      <c r="X63" s="146" t="s">
        <v>310</v>
      </c>
      <c r="Y63" s="146" t="s">
        <v>409</v>
      </c>
      <c r="Z63" s="293"/>
      <c r="AA63" s="294" t="s">
        <v>426</v>
      </c>
      <c r="AB63" s="294">
        <v>4</v>
      </c>
      <c r="AC63" s="296">
        <v>2</v>
      </c>
      <c r="AD63" s="301">
        <v>17266.330000000002</v>
      </c>
      <c r="AE63" s="301">
        <v>3733.6699999999983</v>
      </c>
      <c r="AF63" s="301">
        <v>1381.3064000000002</v>
      </c>
      <c r="AG63" s="301"/>
      <c r="AH63" s="301"/>
      <c r="AI63" s="301"/>
      <c r="AJ63" s="301"/>
      <c r="AK63" s="301">
        <v>80</v>
      </c>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2"/>
      <c r="BN63" s="291">
        <f>+MAX($D$3,DATOS_[[#This Row],[Fecha Inicio Sit. Contract.]])</f>
        <v>45292</v>
      </c>
      <c r="BO63" s="291">
        <f>+MIN($D$4,DATOS_[[#This Row],[Fecha Fin Sit. Contract.]])</f>
        <v>45657</v>
      </c>
      <c r="BP63" s="292">
        <f>+DATOS_[[#This Row],[% de jornada]]*IF(DATOS_[[#This Row],[% jornada reducida]]="",1,DATOS_[[#This Row],[% jornada reducida]])</f>
        <v>1</v>
      </c>
      <c r="BQ63" s="292">
        <f>+(DATOS_[[#This Row],[F.fin.cal]]-DATOS_[[#This Row],[F.ini.cal]]+1)/($D$4-$D$3+1)</f>
        <v>1</v>
      </c>
      <c r="BR63" s="322" t="str">
        <f>IF(OR(AND(DATOS_[[#This Row],[Fecha Fin Contrato]]&lt;$D$3,DATOS_[[#This Row],[Fecha Fin Contrato]]&lt;&gt;""),DATOS_[[#This Row],[Fecha de Contratación]]&gt;$D$4),"Fuera","Dentro")</f>
        <v>Dentro</v>
      </c>
      <c r="BS63" s="322" t="str">
        <f t="array" ref="BS63">IF(MAX(IF(DATOS_[id]=DATOS_[[#This Row],[id]],DATOS_[F.fin.cal]))=DATOS_[[#This Row],[F.fin.cal]],"Sí","NO")</f>
        <v>Sí</v>
      </c>
      <c r="BT63" s="292" t="str">
        <f>IF(AND(DATOS_[[#This Row],[% normaliz]]&lt;&gt;1,DATOS_[[#This Row],[% anualiz]]=1),"Sí","NO")</f>
        <v>NO</v>
      </c>
      <c r="BU63" s="292" t="str">
        <f>IF(AND(DATOS_[[#This Row],[% normaliz]]=1,DATOS_[[#This Row],[% anualiz]]&lt;&gt;1),"Sí","NO")</f>
        <v>NO</v>
      </c>
      <c r="BV63" s="292" t="str">
        <f>IF(AND(DATOS_[[#This Row],[% normaliz]]&lt;&gt;1,DATOS_[[#This Row],[% anualiz]]&lt;&gt;1),"Sí","NO")</f>
        <v>NO</v>
      </c>
      <c r="BW63" s="322" t="str">
        <f>+IF(DATOS_[[#This Row],[% normaliz]]*DATOS_[[#This Row],[% anualiz]]=1,"NO","Sí")</f>
        <v>NO</v>
      </c>
      <c r="BX63" s="323">
        <f>(DATOS_[[#This Row],[S.BASE]]*(1/DATOS_[[#This Row],[% normaliz]])*(1/DATOS_[[#This Row],[% anualiz]]))*IF(DATOS_[[#This Row],[Check Equiparado]]="Sí",1,0)</f>
        <v>17266.330000000002</v>
      </c>
      <c r="BY6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63" s="323">
        <f>+DATOS_[[#This Row],[SALARIO BASE Eq]]+DATOS_[[#This Row],[Tot COMPL.SAL Eq]]</f>
        <v>22461.306400000001</v>
      </c>
      <c r="CA63" s="323">
        <f t="array" ref="CA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3" s="323">
        <f>+DATOS_[[#This Row],[TOTAL SALARIO Eq]]+DATOS_[[#This Row],[Tot Extrasalarial Eq]]</f>
        <v>22461.306400000001</v>
      </c>
      <c r="CC63" s="327">
        <f>DATOS_[[#This Row],[S.BASE]]</f>
        <v>17266.330000000002</v>
      </c>
      <c r="CD63" s="324">
        <f>+SUM(DATOS_[[#This Row],[Conc.Sal.01]:[Conc.Sal.30]])</f>
        <v>5194.9763999999986</v>
      </c>
      <c r="CE63" s="324">
        <f>+DATOS_[[#This Row],[SALARIO BASE Ef]]+DATOS_[[#This Row],[Tot COMPL.SAL Ef]]</f>
        <v>22461.306400000001</v>
      </c>
      <c r="CF63" s="324">
        <f>+SUM(DATOS_[[#This Row],[C.Extra.01]:[C.Extra.05]])</f>
        <v>0</v>
      </c>
      <c r="CG63" s="330">
        <f>+DATOS_[[#This Row],[TOTAL SALARIO Ef]]+DATOS_[[#This Row],[Tot Extrasalarial Ef]]</f>
        <v>22461.306400000001</v>
      </c>
      <c r="CH63" s="303">
        <f>MIN(IF(DATOS_[[#This Row],[Fecha Fin Contrato]]="",$D$4,DATOS_[[#This Row],[Fecha Fin Contrato]]),$D$4)-MAX(DATOS_[[#This Row],[Fecha de Contratación]],$D$3)+1</f>
        <v>366</v>
      </c>
      <c r="CI63" s="304" t="str">
        <f>IF(COUNTIFS(DATOS_[id],DATOS_[[#This Row],[id]])&gt;1,DATOS_[[#This Row],[id]],"")</f>
        <v/>
      </c>
      <c r="CJ63" s="325">
        <f>(Inicio!$G$10-DATOS_[[#This Row],[Fecha Nacimiento]])/365.25</f>
        <v>32.06570841889117</v>
      </c>
      <c r="CK63" s="325">
        <f>(Inicio!$G$10-DATOS_[[#This Row],[Fecha de Antigüedad]])/365.25</f>
        <v>14.291581108829568</v>
      </c>
      <c r="CL63" s="325" t="str">
        <f>+VLOOKUP(DATOS_[[#This Row],[Clave de Contrato]],TblTiposContrato13[],3,FALSE)</f>
        <v>Completa</v>
      </c>
      <c r="CM63" s="325" t="str">
        <f>+VLOOKUP(DATOS_[[#This Row],[Clave de Contrato]],TblTiposContrato13[],4,FALSE)</f>
        <v>Indefinido</v>
      </c>
      <c r="CN63" s="325" t="str">
        <f>VLOOKUP(DATOS_[[#This Row],[Edad]],CONTRATOS!TblRngEdad,2,TRUE)</f>
        <v>30 a 35</v>
      </c>
      <c r="CO63" s="325" t="str">
        <f>VLOOKUP(DATOS_[[#This Row],[Antigüedad]],TblRngAntg14[],2,TRUE)</f>
        <v>de 10 a 15  años</v>
      </c>
    </row>
    <row r="64" spans="2:93" x14ac:dyDescent="0.25">
      <c r="B64" s="146">
        <v>53</v>
      </c>
      <c r="C64" s="146" t="s">
        <v>162</v>
      </c>
      <c r="D64" s="295">
        <v>33945</v>
      </c>
      <c r="E64" s="296" t="s">
        <v>427</v>
      </c>
      <c r="F64" s="296">
        <v>3</v>
      </c>
      <c r="G64" s="296">
        <v>0</v>
      </c>
      <c r="H64" s="297">
        <v>43952</v>
      </c>
      <c r="I64" s="298">
        <v>44196</v>
      </c>
      <c r="J64" s="295">
        <v>43952</v>
      </c>
      <c r="K64" s="326">
        <v>43952</v>
      </c>
      <c r="L64" s="326">
        <v>44196</v>
      </c>
      <c r="M64" s="299">
        <v>1</v>
      </c>
      <c r="N64" s="299"/>
      <c r="O64" s="299"/>
      <c r="P64" s="296">
        <v>401</v>
      </c>
      <c r="Q64" s="146" t="s">
        <v>404</v>
      </c>
      <c r="R64" s="146" t="s">
        <v>411</v>
      </c>
      <c r="S64" s="146" t="s">
        <v>424</v>
      </c>
      <c r="T64" s="146" t="s">
        <v>407</v>
      </c>
      <c r="U64" s="146" t="s">
        <v>400</v>
      </c>
      <c r="V64" s="146" t="s">
        <v>425</v>
      </c>
      <c r="W64" s="146" t="s">
        <v>299</v>
      </c>
      <c r="X64" s="146" t="s">
        <v>310</v>
      </c>
      <c r="Y64" s="146" t="s">
        <v>409</v>
      </c>
      <c r="Z64" s="293"/>
      <c r="AA64" s="294" t="s">
        <v>426</v>
      </c>
      <c r="AB64" s="294">
        <v>4</v>
      </c>
      <c r="AC64" s="296">
        <v>2</v>
      </c>
      <c r="AD64" s="301">
        <v>11510.886666666667</v>
      </c>
      <c r="AE64" s="301">
        <v>2489.1133333333319</v>
      </c>
      <c r="AF64" s="301"/>
      <c r="AG64" s="301"/>
      <c r="AH64" s="301"/>
      <c r="AI64" s="301"/>
      <c r="AJ64" s="301"/>
      <c r="AK64" s="301">
        <v>80</v>
      </c>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2"/>
      <c r="BN64" s="291">
        <f>+MAX($D$3,DATOS_[[#This Row],[Fecha Inicio Sit. Contract.]])</f>
        <v>45292</v>
      </c>
      <c r="BO64" s="291">
        <f>+MIN($D$4,DATOS_[[#This Row],[Fecha Fin Sit. Contract.]])</f>
        <v>44196</v>
      </c>
      <c r="BP64" s="292">
        <f>+DATOS_[[#This Row],[% de jornada]]*IF(DATOS_[[#This Row],[% jornada reducida]]="",1,DATOS_[[#This Row],[% jornada reducida]])</f>
        <v>1</v>
      </c>
      <c r="BQ64" s="292">
        <f>+(DATOS_[[#This Row],[F.fin.cal]]-DATOS_[[#This Row],[F.ini.cal]]+1)/($D$4-$D$3+1)</f>
        <v>-2.9918032786885247</v>
      </c>
      <c r="BR64" s="322" t="str">
        <f>IF(OR(AND(DATOS_[[#This Row],[Fecha Fin Contrato]]&lt;$D$3,DATOS_[[#This Row],[Fecha Fin Contrato]]&lt;&gt;""),DATOS_[[#This Row],[Fecha de Contratación]]&gt;$D$4),"Fuera","Dentro")</f>
        <v>Fuera</v>
      </c>
      <c r="BS64" s="322" t="str">
        <f t="array" ref="BS64">IF(MAX(IF(DATOS_[id]=DATOS_[[#This Row],[id]],DATOS_[F.fin.cal]))=DATOS_[[#This Row],[F.fin.cal]],"Sí","NO")</f>
        <v>Sí</v>
      </c>
      <c r="BT64" s="292" t="str">
        <f>IF(AND(DATOS_[[#This Row],[% normaliz]]&lt;&gt;1,DATOS_[[#This Row],[% anualiz]]=1),"Sí","NO")</f>
        <v>NO</v>
      </c>
      <c r="BU64" s="292" t="str">
        <f>IF(AND(DATOS_[[#This Row],[% normaliz]]=1,DATOS_[[#This Row],[% anualiz]]&lt;&gt;1),"Sí","NO")</f>
        <v>Sí</v>
      </c>
      <c r="BV64" s="292" t="str">
        <f>IF(AND(DATOS_[[#This Row],[% normaliz]]&lt;&gt;1,DATOS_[[#This Row],[% anualiz]]&lt;&gt;1),"Sí","NO")</f>
        <v>NO</v>
      </c>
      <c r="BW64" s="322" t="str">
        <f>+IF(DATOS_[[#This Row],[% normaliz]]*DATOS_[[#This Row],[% anualiz]]=1,"NO","Sí")</f>
        <v>Sí</v>
      </c>
      <c r="BX64" s="323">
        <f>(DATOS_[[#This Row],[S.BASE]]*(1/DATOS_[[#This Row],[% normaliz]])*(1/DATOS_[[#This Row],[% anualiz]]))*IF(DATOS_[[#This Row],[Check Equiparado]]="Sí",1,0)</f>
        <v>-3847.4744474885847</v>
      </c>
      <c r="BY6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-751.97760730593563</v>
      </c>
      <c r="BZ64" s="323">
        <f>+DATOS_[[#This Row],[SALARIO BASE Eq]]+DATOS_[[#This Row],[Tot COMPL.SAL Eq]]</f>
        <v>-4599.4520547945203</v>
      </c>
      <c r="CA64" s="323">
        <f t="array" ref="CA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4" s="323">
        <f>+DATOS_[[#This Row],[TOTAL SALARIO Eq]]+DATOS_[[#This Row],[Tot Extrasalarial Eq]]</f>
        <v>-4599.4520547945203</v>
      </c>
      <c r="CC64" s="327">
        <f>DATOS_[[#This Row],[S.BASE]]</f>
        <v>11510.886666666667</v>
      </c>
      <c r="CD64" s="324">
        <f>+SUM(DATOS_[[#This Row],[Conc.Sal.01]:[Conc.Sal.30]])</f>
        <v>2569.1133333333319</v>
      </c>
      <c r="CE64" s="324">
        <f>+DATOS_[[#This Row],[SALARIO BASE Ef]]+DATOS_[[#This Row],[Tot COMPL.SAL Ef]]</f>
        <v>14080</v>
      </c>
      <c r="CF64" s="324">
        <f>+SUM(DATOS_[[#This Row],[C.Extra.01]:[C.Extra.05]])</f>
        <v>0</v>
      </c>
      <c r="CG64" s="330">
        <f>+DATOS_[[#This Row],[TOTAL SALARIO Ef]]+DATOS_[[#This Row],[Tot Extrasalarial Ef]]</f>
        <v>14080</v>
      </c>
      <c r="CH64" s="303">
        <f>MIN(IF(DATOS_[[#This Row],[Fecha Fin Contrato]]="",$D$4,DATOS_[[#This Row],[Fecha Fin Contrato]]),$D$4)-MAX(DATOS_[[#This Row],[Fecha de Contratación]],$D$3)+1</f>
        <v>-1095</v>
      </c>
      <c r="CI64" s="304" t="str">
        <f>IF(COUNTIFS(DATOS_[id],DATOS_[[#This Row],[id]])&gt;1,DATOS_[[#This Row],[id]],"")</f>
        <v/>
      </c>
      <c r="CJ64" s="325">
        <f>(Inicio!$G$10-DATOS_[[#This Row],[Fecha Nacimiento]])/365.25</f>
        <v>32.06570841889117</v>
      </c>
      <c r="CK64" s="325">
        <f>(Inicio!$G$10-DATOS_[[#This Row],[Fecha de Antigüedad]])/365.25</f>
        <v>4.6680355920602326</v>
      </c>
      <c r="CL64" s="325" t="str">
        <f>+VLOOKUP(DATOS_[[#This Row],[Clave de Contrato]],TblTiposContrato13[],3,FALSE)</f>
        <v>Completa</v>
      </c>
      <c r="CM64" s="325" t="str">
        <f>+VLOOKUP(DATOS_[[#This Row],[Clave de Contrato]],TblTiposContrato13[],4,FALSE)</f>
        <v>Temporal</v>
      </c>
      <c r="CN64" s="325" t="str">
        <f>VLOOKUP(DATOS_[[#This Row],[Edad]],CONTRATOS!TblRngEdad,2,TRUE)</f>
        <v>30 a 35</v>
      </c>
      <c r="CO64" s="325" t="str">
        <f>VLOOKUP(DATOS_[[#This Row],[Antigüedad]],TblRngAntg14[],2,TRUE)</f>
        <v>3 a 5  años</v>
      </c>
    </row>
    <row r="65" spans="2:93" x14ac:dyDescent="0.25">
      <c r="B65" s="146">
        <v>54</v>
      </c>
      <c r="C65" s="146" t="s">
        <v>162</v>
      </c>
      <c r="D65" s="295">
        <v>27375</v>
      </c>
      <c r="E65" s="296" t="s">
        <v>403</v>
      </c>
      <c r="F65" s="296">
        <v>3</v>
      </c>
      <c r="G65" s="296">
        <v>0</v>
      </c>
      <c r="H65" s="297">
        <v>43891</v>
      </c>
      <c r="I65" s="298">
        <v>44012</v>
      </c>
      <c r="J65" s="295">
        <v>43891</v>
      </c>
      <c r="K65" s="326">
        <v>43891</v>
      </c>
      <c r="L65" s="326">
        <v>44012</v>
      </c>
      <c r="M65" s="299">
        <v>1</v>
      </c>
      <c r="N65" s="299"/>
      <c r="O65" s="299"/>
      <c r="P65" s="296">
        <v>401</v>
      </c>
      <c r="Q65" s="146" t="s">
        <v>412</v>
      </c>
      <c r="R65" s="146" t="s">
        <v>418</v>
      </c>
      <c r="S65" s="146" t="s">
        <v>424</v>
      </c>
      <c r="T65" s="146" t="s">
        <v>407</v>
      </c>
      <c r="U65" s="146" t="s">
        <v>400</v>
      </c>
      <c r="V65" s="146" t="s">
        <v>425</v>
      </c>
      <c r="W65" s="146" t="s">
        <v>299</v>
      </c>
      <c r="X65" s="146" t="s">
        <v>310</v>
      </c>
      <c r="Y65" s="146" t="s">
        <v>409</v>
      </c>
      <c r="Z65" s="293"/>
      <c r="AA65" s="294" t="s">
        <v>426</v>
      </c>
      <c r="AB65" s="294">
        <v>4</v>
      </c>
      <c r="AC65" s="296">
        <v>2</v>
      </c>
      <c r="AD65" s="301">
        <v>5755</v>
      </c>
      <c r="AE65" s="301">
        <v>2354</v>
      </c>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2"/>
      <c r="BN65" s="291">
        <f>+MAX($D$3,DATOS_[[#This Row],[Fecha Inicio Sit. Contract.]])</f>
        <v>45292</v>
      </c>
      <c r="BO65" s="291">
        <f>+MIN($D$4,DATOS_[[#This Row],[Fecha Fin Sit. Contract.]])</f>
        <v>44012</v>
      </c>
      <c r="BP65" s="292">
        <f>+DATOS_[[#This Row],[% de jornada]]*IF(DATOS_[[#This Row],[% jornada reducida]]="",1,DATOS_[[#This Row],[% jornada reducida]])</f>
        <v>1</v>
      </c>
      <c r="BQ65" s="292">
        <f>+(DATOS_[[#This Row],[F.fin.cal]]-DATOS_[[#This Row],[F.ini.cal]]+1)/($D$4-$D$3+1)</f>
        <v>-3.4945355191256833</v>
      </c>
      <c r="BR65" s="322" t="str">
        <f>IF(OR(AND(DATOS_[[#This Row],[Fecha Fin Contrato]]&lt;$D$3,DATOS_[[#This Row],[Fecha Fin Contrato]]&lt;&gt;""),DATOS_[[#This Row],[Fecha de Contratación]]&gt;$D$4),"Fuera","Dentro")</f>
        <v>Fuera</v>
      </c>
      <c r="BS65" s="322" t="str">
        <f t="array" ref="BS65">IF(MAX(IF(DATOS_[id]=DATOS_[[#This Row],[id]],DATOS_[F.fin.cal]))=DATOS_[[#This Row],[F.fin.cal]],"Sí","NO")</f>
        <v>Sí</v>
      </c>
      <c r="BT65" s="292" t="str">
        <f>IF(AND(DATOS_[[#This Row],[% normaliz]]&lt;&gt;1,DATOS_[[#This Row],[% anualiz]]=1),"Sí","NO")</f>
        <v>NO</v>
      </c>
      <c r="BU65" s="292" t="str">
        <f>IF(AND(DATOS_[[#This Row],[% normaliz]]=1,DATOS_[[#This Row],[% anualiz]]&lt;&gt;1),"Sí","NO")</f>
        <v>Sí</v>
      </c>
      <c r="BV65" s="292" t="str">
        <f>IF(AND(DATOS_[[#This Row],[% normaliz]]&lt;&gt;1,DATOS_[[#This Row],[% anualiz]]&lt;&gt;1),"Sí","NO")</f>
        <v>NO</v>
      </c>
      <c r="BW65" s="322" t="str">
        <f>+IF(DATOS_[[#This Row],[% normaliz]]*DATOS_[[#This Row],[% anualiz]]=1,"NO","Sí")</f>
        <v>Sí</v>
      </c>
      <c r="BX65" s="323">
        <f>(DATOS_[[#This Row],[S.BASE]]*(1/DATOS_[[#This Row],[% normaliz]])*(1/DATOS_[[#This Row],[% anualiz]]))*IF(DATOS_[[#This Row],[Check Equiparado]]="Sí",1,0)</f>
        <v>-1646.8569194683346</v>
      </c>
      <c r="BY6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-673.62314308053158</v>
      </c>
      <c r="BZ65" s="323">
        <f>+DATOS_[[#This Row],[SALARIO BASE Eq]]+DATOS_[[#This Row],[Tot COMPL.SAL Eq]]</f>
        <v>-2320.480062548866</v>
      </c>
      <c r="CA65" s="323">
        <f t="array" ref="CA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5" s="323">
        <f>+DATOS_[[#This Row],[TOTAL SALARIO Eq]]+DATOS_[[#This Row],[Tot Extrasalarial Eq]]</f>
        <v>-2320.480062548866</v>
      </c>
      <c r="CC65" s="327">
        <f>DATOS_[[#This Row],[S.BASE]]</f>
        <v>5755</v>
      </c>
      <c r="CD65" s="324">
        <f>+SUM(DATOS_[[#This Row],[Conc.Sal.01]:[Conc.Sal.30]])</f>
        <v>2354</v>
      </c>
      <c r="CE65" s="324">
        <f>+DATOS_[[#This Row],[SALARIO BASE Ef]]+DATOS_[[#This Row],[Tot COMPL.SAL Ef]]</f>
        <v>8109</v>
      </c>
      <c r="CF65" s="324">
        <f>+SUM(DATOS_[[#This Row],[C.Extra.01]:[C.Extra.05]])</f>
        <v>0</v>
      </c>
      <c r="CG65" s="330">
        <f>+DATOS_[[#This Row],[TOTAL SALARIO Ef]]+DATOS_[[#This Row],[Tot Extrasalarial Ef]]</f>
        <v>8109</v>
      </c>
      <c r="CH65" s="303">
        <f>MIN(IF(DATOS_[[#This Row],[Fecha Fin Contrato]]="",$D$4,DATOS_[[#This Row],[Fecha Fin Contrato]]),$D$4)-MAX(DATOS_[[#This Row],[Fecha de Contratación]],$D$3)+1</f>
        <v>-1279</v>
      </c>
      <c r="CI65" s="304" t="str">
        <f>IF(COUNTIFS(DATOS_[id],DATOS_[[#This Row],[id]])&gt;1,DATOS_[[#This Row],[id]],"")</f>
        <v/>
      </c>
      <c r="CJ65" s="325">
        <f>(Inicio!$G$10-DATOS_[[#This Row],[Fecha Nacimiento]])/365.25</f>
        <v>50.053388090349074</v>
      </c>
      <c r="CK65" s="325">
        <f>(Inicio!$G$10-DATOS_[[#This Row],[Fecha de Antigüedad]])/365.25</f>
        <v>4.8350444900752905</v>
      </c>
      <c r="CL65" s="325" t="str">
        <f>+VLOOKUP(DATOS_[[#This Row],[Clave de Contrato]],TblTiposContrato13[],3,FALSE)</f>
        <v>Completa</v>
      </c>
      <c r="CM65" s="325" t="str">
        <f>+VLOOKUP(DATOS_[[#This Row],[Clave de Contrato]],TblTiposContrato13[],4,FALSE)</f>
        <v>Temporal</v>
      </c>
      <c r="CN65" s="325" t="str">
        <f>VLOOKUP(DATOS_[[#This Row],[Edad]],CONTRATOS!TblRngEdad,2,TRUE)</f>
        <v>50 a 55</v>
      </c>
      <c r="CO65" s="325" t="str">
        <f>VLOOKUP(DATOS_[[#This Row],[Antigüedad]],TblRngAntg14[],2,TRUE)</f>
        <v>3 a 5  años</v>
      </c>
    </row>
    <row r="66" spans="2:93" x14ac:dyDescent="0.25">
      <c r="B66" s="146">
        <v>55</v>
      </c>
      <c r="C66" s="146" t="s">
        <v>162</v>
      </c>
      <c r="D66" s="295">
        <v>28835</v>
      </c>
      <c r="E66" s="296" t="s">
        <v>403</v>
      </c>
      <c r="F66" s="296">
        <v>3</v>
      </c>
      <c r="G66" s="296">
        <v>0</v>
      </c>
      <c r="H66" s="297">
        <v>43891</v>
      </c>
      <c r="I66" s="298">
        <v>43982</v>
      </c>
      <c r="J66" s="295">
        <v>43891</v>
      </c>
      <c r="K66" s="326">
        <v>43891</v>
      </c>
      <c r="L66" s="326">
        <v>43982</v>
      </c>
      <c r="M66" s="299">
        <v>1</v>
      </c>
      <c r="N66" s="299"/>
      <c r="O66" s="299"/>
      <c r="P66" s="296">
        <v>401</v>
      </c>
      <c r="Q66" s="146" t="s">
        <v>412</v>
      </c>
      <c r="R66" s="146" t="s">
        <v>417</v>
      </c>
      <c r="S66" s="146" t="s">
        <v>424</v>
      </c>
      <c r="T66" s="146" t="s">
        <v>407</v>
      </c>
      <c r="U66" s="146" t="s">
        <v>400</v>
      </c>
      <c r="V66" s="146" t="s">
        <v>425</v>
      </c>
      <c r="W66" s="146" t="s">
        <v>299</v>
      </c>
      <c r="X66" s="146" t="s">
        <v>310</v>
      </c>
      <c r="Y66" s="146" t="s">
        <v>409</v>
      </c>
      <c r="Z66" s="293"/>
      <c r="AA66" s="294" t="s">
        <v>426</v>
      </c>
      <c r="AB66" s="294">
        <v>4</v>
      </c>
      <c r="AC66" s="296">
        <v>2</v>
      </c>
      <c r="AD66" s="301">
        <v>4316</v>
      </c>
      <c r="AE66" s="301">
        <v>933</v>
      </c>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2"/>
      <c r="BN66" s="291">
        <f>+MAX($D$3,DATOS_[[#This Row],[Fecha Inicio Sit. Contract.]])</f>
        <v>45292</v>
      </c>
      <c r="BO66" s="291">
        <f>+MIN($D$4,DATOS_[[#This Row],[Fecha Fin Sit. Contract.]])</f>
        <v>43982</v>
      </c>
      <c r="BP66" s="292">
        <f>+DATOS_[[#This Row],[% de jornada]]*IF(DATOS_[[#This Row],[% jornada reducida]]="",1,DATOS_[[#This Row],[% jornada reducida]])</f>
        <v>1</v>
      </c>
      <c r="BQ66" s="292">
        <f>+(DATOS_[[#This Row],[F.fin.cal]]-DATOS_[[#This Row],[F.ini.cal]]+1)/($D$4-$D$3+1)</f>
        <v>-3.5765027322404372</v>
      </c>
      <c r="BR66" s="322" t="str">
        <f>IF(OR(AND(DATOS_[[#This Row],[Fecha Fin Contrato]]&lt;$D$3,DATOS_[[#This Row],[Fecha Fin Contrato]]&lt;&gt;""),DATOS_[[#This Row],[Fecha de Contratación]]&gt;$D$4),"Fuera","Dentro")</f>
        <v>Fuera</v>
      </c>
      <c r="BS66" s="322" t="str">
        <f t="array" ref="BS66">IF(MAX(IF(DATOS_[id]=DATOS_[[#This Row],[id]],DATOS_[F.fin.cal]))=DATOS_[[#This Row],[F.fin.cal]],"Sí","NO")</f>
        <v>Sí</v>
      </c>
      <c r="BT66" s="292" t="str">
        <f>IF(AND(DATOS_[[#This Row],[% normaliz]]&lt;&gt;1,DATOS_[[#This Row],[% anualiz]]=1),"Sí","NO")</f>
        <v>NO</v>
      </c>
      <c r="BU66" s="292" t="str">
        <f>IF(AND(DATOS_[[#This Row],[% normaliz]]=1,DATOS_[[#This Row],[% anualiz]]&lt;&gt;1),"Sí","NO")</f>
        <v>Sí</v>
      </c>
      <c r="BV66" s="292" t="str">
        <f>IF(AND(DATOS_[[#This Row],[% normaliz]]&lt;&gt;1,DATOS_[[#This Row],[% anualiz]]&lt;&gt;1),"Sí","NO")</f>
        <v>NO</v>
      </c>
      <c r="BW66" s="322" t="str">
        <f>+IF(DATOS_[[#This Row],[% normaliz]]*DATOS_[[#This Row],[% anualiz]]=1,"NO","Sí")</f>
        <v>Sí</v>
      </c>
      <c r="BX66" s="323">
        <f>(DATOS_[[#This Row],[S.BASE]]*(1/DATOS_[[#This Row],[% normaliz]])*(1/DATOS_[[#This Row],[% anualiz]]))*IF(DATOS_[[#This Row],[Check Equiparado]]="Sí",1,0)</f>
        <v>-1206.7654698242932</v>
      </c>
      <c r="BY6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-260.86936592818944</v>
      </c>
      <c r="BZ66" s="323">
        <f>+DATOS_[[#This Row],[SALARIO BASE Eq]]+DATOS_[[#This Row],[Tot COMPL.SAL Eq]]</f>
        <v>-1467.6348357524826</v>
      </c>
      <c r="CA66" s="323">
        <f t="array" ref="CA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6" s="323">
        <f>+DATOS_[[#This Row],[TOTAL SALARIO Eq]]+DATOS_[[#This Row],[Tot Extrasalarial Eq]]</f>
        <v>-1467.6348357524826</v>
      </c>
      <c r="CC66" s="327">
        <f>DATOS_[[#This Row],[S.BASE]]</f>
        <v>4316</v>
      </c>
      <c r="CD66" s="324">
        <f>+SUM(DATOS_[[#This Row],[Conc.Sal.01]:[Conc.Sal.30]])</f>
        <v>933</v>
      </c>
      <c r="CE66" s="324">
        <f>+DATOS_[[#This Row],[SALARIO BASE Ef]]+DATOS_[[#This Row],[Tot COMPL.SAL Ef]]</f>
        <v>5249</v>
      </c>
      <c r="CF66" s="324">
        <f>+SUM(DATOS_[[#This Row],[C.Extra.01]:[C.Extra.05]])</f>
        <v>0</v>
      </c>
      <c r="CG66" s="330">
        <f>+DATOS_[[#This Row],[TOTAL SALARIO Ef]]+DATOS_[[#This Row],[Tot Extrasalarial Ef]]</f>
        <v>5249</v>
      </c>
      <c r="CH66" s="303">
        <f>MIN(IF(DATOS_[[#This Row],[Fecha Fin Contrato]]="",$D$4,DATOS_[[#This Row],[Fecha Fin Contrato]]),$D$4)-MAX(DATOS_[[#This Row],[Fecha de Contratación]],$D$3)+1</f>
        <v>-1309</v>
      </c>
      <c r="CI66" s="304" t="str">
        <f>IF(COUNTIFS(DATOS_[id],DATOS_[[#This Row],[id]])&gt;1,DATOS_[[#This Row],[id]],"")</f>
        <v/>
      </c>
      <c r="CJ66" s="325">
        <f>(Inicio!$G$10-DATOS_[[#This Row],[Fecha Nacimiento]])/365.25</f>
        <v>46.056125941136209</v>
      </c>
      <c r="CK66" s="325">
        <f>(Inicio!$G$10-DATOS_[[#This Row],[Fecha de Antigüedad]])/365.25</f>
        <v>4.8350444900752905</v>
      </c>
      <c r="CL66" s="325" t="str">
        <f>+VLOOKUP(DATOS_[[#This Row],[Clave de Contrato]],TblTiposContrato13[],3,FALSE)</f>
        <v>Completa</v>
      </c>
      <c r="CM66" s="325" t="str">
        <f>+VLOOKUP(DATOS_[[#This Row],[Clave de Contrato]],TblTiposContrato13[],4,FALSE)</f>
        <v>Temporal</v>
      </c>
      <c r="CN66" s="325" t="str">
        <f>VLOOKUP(DATOS_[[#This Row],[Edad]],CONTRATOS!TblRngEdad,2,TRUE)</f>
        <v>45 a 50</v>
      </c>
      <c r="CO66" s="325" t="str">
        <f>VLOOKUP(DATOS_[[#This Row],[Antigüedad]],TblRngAntg14[],2,TRUE)</f>
        <v>3 a 5  años</v>
      </c>
    </row>
    <row r="67" spans="2:93" x14ac:dyDescent="0.25">
      <c r="B67" s="146">
        <v>56</v>
      </c>
      <c r="C67" s="146" t="s">
        <v>162</v>
      </c>
      <c r="D67" s="295">
        <v>26280</v>
      </c>
      <c r="E67" s="296" t="s">
        <v>403</v>
      </c>
      <c r="F67" s="296">
        <v>3</v>
      </c>
      <c r="G67" s="296">
        <v>0</v>
      </c>
      <c r="H67" s="297">
        <v>44136</v>
      </c>
      <c r="I67" s="298"/>
      <c r="J67" s="295">
        <v>44136</v>
      </c>
      <c r="K67" s="326">
        <v>44136</v>
      </c>
      <c r="L67" s="326"/>
      <c r="M67" s="299">
        <v>1</v>
      </c>
      <c r="N67" s="299"/>
      <c r="O67" s="299"/>
      <c r="P67" s="296">
        <v>401</v>
      </c>
      <c r="Q67" s="146" t="s">
        <v>412</v>
      </c>
      <c r="R67" s="146" t="s">
        <v>418</v>
      </c>
      <c r="S67" s="146" t="s">
        <v>424</v>
      </c>
      <c r="T67" s="146" t="s">
        <v>407</v>
      </c>
      <c r="U67" s="146" t="s">
        <v>400</v>
      </c>
      <c r="V67" s="146" t="s">
        <v>425</v>
      </c>
      <c r="W67" s="146" t="s">
        <v>299</v>
      </c>
      <c r="X67" s="146" t="s">
        <v>310</v>
      </c>
      <c r="Y67" s="146" t="s">
        <v>409</v>
      </c>
      <c r="Z67" s="293"/>
      <c r="AA67" s="294" t="s">
        <v>426</v>
      </c>
      <c r="AB67" s="294">
        <v>4</v>
      </c>
      <c r="AC67" s="296">
        <v>2</v>
      </c>
      <c r="AD67" s="301">
        <v>2877</v>
      </c>
      <c r="AE67" s="301">
        <v>1204</v>
      </c>
      <c r="AF67" s="301"/>
      <c r="AG67" s="301"/>
      <c r="AH67" s="301"/>
      <c r="AI67" s="301"/>
      <c r="AJ67" s="301"/>
      <c r="AK67" s="301">
        <v>80</v>
      </c>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2"/>
      <c r="BN67" s="291">
        <f>+MAX($D$3,DATOS_[[#This Row],[Fecha Inicio Sit. Contract.]])</f>
        <v>45292</v>
      </c>
      <c r="BO67" s="291">
        <f>+MIN($D$4,DATOS_[[#This Row],[Fecha Fin Sit. Contract.]])</f>
        <v>45657</v>
      </c>
      <c r="BP67" s="292">
        <f>+DATOS_[[#This Row],[% de jornada]]*IF(DATOS_[[#This Row],[% jornada reducida]]="",1,DATOS_[[#This Row],[% jornada reducida]])</f>
        <v>1</v>
      </c>
      <c r="BQ67" s="292">
        <f>+(DATOS_[[#This Row],[F.fin.cal]]-DATOS_[[#This Row],[F.ini.cal]]+1)/($D$4-$D$3+1)</f>
        <v>1</v>
      </c>
      <c r="BR67" s="322" t="str">
        <f>IF(OR(AND(DATOS_[[#This Row],[Fecha Fin Contrato]]&lt;$D$3,DATOS_[[#This Row],[Fecha Fin Contrato]]&lt;&gt;""),DATOS_[[#This Row],[Fecha de Contratación]]&gt;$D$4),"Fuera","Dentro")</f>
        <v>Dentro</v>
      </c>
      <c r="BS67" s="322" t="str">
        <f t="array" ref="BS67">IF(MAX(IF(DATOS_[id]=DATOS_[[#This Row],[id]],DATOS_[F.fin.cal]))=DATOS_[[#This Row],[F.fin.cal]],"Sí","NO")</f>
        <v>Sí</v>
      </c>
      <c r="BT67" s="292" t="str">
        <f>IF(AND(DATOS_[[#This Row],[% normaliz]]&lt;&gt;1,DATOS_[[#This Row],[% anualiz]]=1),"Sí","NO")</f>
        <v>NO</v>
      </c>
      <c r="BU67" s="292" t="str">
        <f>IF(AND(DATOS_[[#This Row],[% normaliz]]=1,DATOS_[[#This Row],[% anualiz]]&lt;&gt;1),"Sí","NO")</f>
        <v>NO</v>
      </c>
      <c r="BV67" s="292" t="str">
        <f>IF(AND(DATOS_[[#This Row],[% normaliz]]&lt;&gt;1,DATOS_[[#This Row],[% anualiz]]&lt;&gt;1),"Sí","NO")</f>
        <v>NO</v>
      </c>
      <c r="BW67" s="322" t="str">
        <f>+IF(DATOS_[[#This Row],[% normaliz]]*DATOS_[[#This Row],[% anualiz]]=1,"NO","Sí")</f>
        <v>NO</v>
      </c>
      <c r="BX67" s="323">
        <f>(DATOS_[[#This Row],[S.BASE]]*(1/DATOS_[[#This Row],[% normaliz]])*(1/DATOS_[[#This Row],[% anualiz]]))*IF(DATOS_[[#This Row],[Check Equiparado]]="Sí",1,0)</f>
        <v>2877</v>
      </c>
      <c r="BY6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1284</v>
      </c>
      <c r="BZ67" s="323">
        <f>+DATOS_[[#This Row],[SALARIO BASE Eq]]+DATOS_[[#This Row],[Tot COMPL.SAL Eq]]</f>
        <v>4161</v>
      </c>
      <c r="CA67" s="323">
        <f t="array" ref="CA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7" s="323">
        <f>+DATOS_[[#This Row],[TOTAL SALARIO Eq]]+DATOS_[[#This Row],[Tot Extrasalarial Eq]]</f>
        <v>4161</v>
      </c>
      <c r="CC67" s="327">
        <f>DATOS_[[#This Row],[S.BASE]]</f>
        <v>2877</v>
      </c>
      <c r="CD67" s="324">
        <f>+SUM(DATOS_[[#This Row],[Conc.Sal.01]:[Conc.Sal.30]])</f>
        <v>1284</v>
      </c>
      <c r="CE67" s="324">
        <f>+DATOS_[[#This Row],[SALARIO BASE Ef]]+DATOS_[[#This Row],[Tot COMPL.SAL Ef]]</f>
        <v>4161</v>
      </c>
      <c r="CF67" s="324">
        <f>+SUM(DATOS_[[#This Row],[C.Extra.01]:[C.Extra.05]])</f>
        <v>0</v>
      </c>
      <c r="CG67" s="330">
        <f>+DATOS_[[#This Row],[TOTAL SALARIO Ef]]+DATOS_[[#This Row],[Tot Extrasalarial Ef]]</f>
        <v>4161</v>
      </c>
      <c r="CH67" s="303">
        <f>MIN(IF(DATOS_[[#This Row],[Fecha Fin Contrato]]="",$D$4,DATOS_[[#This Row],[Fecha Fin Contrato]]),$D$4)-MAX(DATOS_[[#This Row],[Fecha de Contratación]],$D$3)+1</f>
        <v>366</v>
      </c>
      <c r="CI67" s="304" t="str">
        <f>IF(COUNTIFS(DATOS_[id],DATOS_[[#This Row],[id]])&gt;1,DATOS_[[#This Row],[id]],"")</f>
        <v/>
      </c>
      <c r="CJ67" s="325">
        <f>(Inicio!$G$10-DATOS_[[#This Row],[Fecha Nacimiento]])/365.25</f>
        <v>53.051334702258728</v>
      </c>
      <c r="CK67" s="325">
        <f>(Inicio!$G$10-DATOS_[[#This Row],[Fecha de Antigüedad]])/365.25</f>
        <v>4.1642710472279258</v>
      </c>
      <c r="CL67" s="325" t="str">
        <f>+VLOOKUP(DATOS_[[#This Row],[Clave de Contrato]],TblTiposContrato13[],3,FALSE)</f>
        <v>Completa</v>
      </c>
      <c r="CM67" s="325" t="str">
        <f>+VLOOKUP(DATOS_[[#This Row],[Clave de Contrato]],TblTiposContrato13[],4,FALSE)</f>
        <v>Temporal</v>
      </c>
      <c r="CN67" s="325" t="str">
        <f>VLOOKUP(DATOS_[[#This Row],[Edad]],CONTRATOS!TblRngEdad,2,TRUE)</f>
        <v>50 a 55</v>
      </c>
      <c r="CO67" s="325" t="str">
        <f>VLOOKUP(DATOS_[[#This Row],[Antigüedad]],TblRngAntg14[],2,TRUE)</f>
        <v>3 a 5  años</v>
      </c>
    </row>
    <row r="68" spans="2:93" x14ac:dyDescent="0.25">
      <c r="B68" s="146">
        <v>57</v>
      </c>
      <c r="C68" s="146" t="s">
        <v>162</v>
      </c>
      <c r="D68" s="295">
        <v>28470</v>
      </c>
      <c r="E68" s="296" t="s">
        <v>427</v>
      </c>
      <c r="F68" s="296">
        <v>2</v>
      </c>
      <c r="G68" s="296">
        <v>1</v>
      </c>
      <c r="H68" s="297">
        <v>44044</v>
      </c>
      <c r="I68" s="298">
        <v>44165</v>
      </c>
      <c r="J68" s="295">
        <v>44044</v>
      </c>
      <c r="K68" s="326">
        <v>44044</v>
      </c>
      <c r="L68" s="326">
        <v>44165</v>
      </c>
      <c r="M68" s="299">
        <v>1</v>
      </c>
      <c r="N68" s="299"/>
      <c r="O68" s="299"/>
      <c r="P68" s="296">
        <v>401</v>
      </c>
      <c r="Q68" s="146" t="s">
        <v>412</v>
      </c>
      <c r="R68" s="146" t="s">
        <v>418</v>
      </c>
      <c r="S68" s="146" t="s">
        <v>424</v>
      </c>
      <c r="T68" s="146" t="s">
        <v>407</v>
      </c>
      <c r="U68" s="146" t="s">
        <v>400</v>
      </c>
      <c r="V68" s="146" t="s">
        <v>425</v>
      </c>
      <c r="W68" s="146" t="s">
        <v>299</v>
      </c>
      <c r="X68" s="146" t="s">
        <v>310</v>
      </c>
      <c r="Y68" s="146" t="s">
        <v>409</v>
      </c>
      <c r="Z68" s="293"/>
      <c r="AA68" s="294" t="s">
        <v>426</v>
      </c>
      <c r="AB68" s="294">
        <v>4</v>
      </c>
      <c r="AC68" s="296">
        <v>2</v>
      </c>
      <c r="AD68" s="301">
        <v>5755</v>
      </c>
      <c r="AE68" s="301">
        <v>2548</v>
      </c>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c r="BB68" s="301"/>
      <c r="BC68" s="301"/>
      <c r="BD68" s="301"/>
      <c r="BE68" s="301"/>
      <c r="BF68" s="301"/>
      <c r="BG68" s="301"/>
      <c r="BH68" s="301"/>
      <c r="BI68" s="301"/>
      <c r="BJ68" s="301">
        <v>231</v>
      </c>
      <c r="BK68" s="301"/>
      <c r="BL68" s="301"/>
      <c r="BM68" s="302"/>
      <c r="BN68" s="291">
        <f>+MAX($D$3,DATOS_[[#This Row],[Fecha Inicio Sit. Contract.]])</f>
        <v>45292</v>
      </c>
      <c r="BO68" s="291">
        <f>+MIN($D$4,DATOS_[[#This Row],[Fecha Fin Sit. Contract.]])</f>
        <v>44165</v>
      </c>
      <c r="BP68" s="292">
        <f>+DATOS_[[#This Row],[% de jornada]]*IF(DATOS_[[#This Row],[% jornada reducida]]="",1,DATOS_[[#This Row],[% jornada reducida]])</f>
        <v>1</v>
      </c>
      <c r="BQ68" s="292">
        <f>+(DATOS_[[#This Row],[F.fin.cal]]-DATOS_[[#This Row],[F.ini.cal]]+1)/($D$4-$D$3+1)</f>
        <v>-3.0765027322404372</v>
      </c>
      <c r="BR68" s="322" t="str">
        <f>IF(OR(AND(DATOS_[[#This Row],[Fecha Fin Contrato]]&lt;$D$3,DATOS_[[#This Row],[Fecha Fin Contrato]]&lt;&gt;""),DATOS_[[#This Row],[Fecha de Contratación]]&gt;$D$4),"Fuera","Dentro")</f>
        <v>Fuera</v>
      </c>
      <c r="BS68" s="322" t="str">
        <f t="array" ref="BS68">IF(MAX(IF(DATOS_[id]=DATOS_[[#This Row],[id]],DATOS_[F.fin.cal]))=DATOS_[[#This Row],[F.fin.cal]],"Sí","NO")</f>
        <v>Sí</v>
      </c>
      <c r="BT68" s="292" t="str">
        <f>IF(AND(DATOS_[[#This Row],[% normaliz]]&lt;&gt;1,DATOS_[[#This Row],[% anualiz]]=1),"Sí","NO")</f>
        <v>NO</v>
      </c>
      <c r="BU68" s="292" t="str">
        <f>IF(AND(DATOS_[[#This Row],[% normaliz]]=1,DATOS_[[#This Row],[% anualiz]]&lt;&gt;1),"Sí","NO")</f>
        <v>Sí</v>
      </c>
      <c r="BV68" s="292" t="str">
        <f>IF(AND(DATOS_[[#This Row],[% normaliz]]&lt;&gt;1,DATOS_[[#This Row],[% anualiz]]&lt;&gt;1),"Sí","NO")</f>
        <v>NO</v>
      </c>
      <c r="BW68" s="322" t="str">
        <f>+IF(DATOS_[[#This Row],[% normaliz]]*DATOS_[[#This Row],[% anualiz]]=1,"NO","Sí")</f>
        <v>Sí</v>
      </c>
      <c r="BX68" s="323">
        <f>(DATOS_[[#This Row],[S.BASE]]*(1/DATOS_[[#This Row],[% normaliz]])*(1/DATOS_[[#This Row],[% anualiz]]))*IF(DATOS_[[#This Row],[Check Equiparado]]="Sí",1,0)</f>
        <v>-1870.6305506216697</v>
      </c>
      <c r="BY6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-828.21314387211362</v>
      </c>
      <c r="BZ68" s="323">
        <f>+DATOS_[[#This Row],[SALARIO BASE Eq]]+DATOS_[[#This Row],[Tot COMPL.SAL Eq]]</f>
        <v>-2698.8436944937835</v>
      </c>
      <c r="CA68" s="323">
        <f t="array" ref="CA6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231</v>
      </c>
      <c r="CB68" s="323">
        <f>+DATOS_[[#This Row],[TOTAL SALARIO Eq]]+DATOS_[[#This Row],[Tot Extrasalarial Eq]]</f>
        <v>-2467.8436944937835</v>
      </c>
      <c r="CC68" s="327">
        <f>DATOS_[[#This Row],[S.BASE]]</f>
        <v>5755</v>
      </c>
      <c r="CD68" s="324">
        <f>+SUM(DATOS_[[#This Row],[Conc.Sal.01]:[Conc.Sal.30]])</f>
        <v>2548</v>
      </c>
      <c r="CE68" s="324">
        <f>+DATOS_[[#This Row],[SALARIO BASE Ef]]+DATOS_[[#This Row],[Tot COMPL.SAL Ef]]</f>
        <v>8303</v>
      </c>
      <c r="CF68" s="324">
        <f>+SUM(DATOS_[[#This Row],[C.Extra.01]:[C.Extra.05]])</f>
        <v>231</v>
      </c>
      <c r="CG68" s="330">
        <f>+DATOS_[[#This Row],[TOTAL SALARIO Ef]]+DATOS_[[#This Row],[Tot Extrasalarial Ef]]</f>
        <v>8534</v>
      </c>
      <c r="CH68" s="303">
        <f>MIN(IF(DATOS_[[#This Row],[Fecha Fin Contrato]]="",$D$4,DATOS_[[#This Row],[Fecha Fin Contrato]]),$D$4)-MAX(DATOS_[[#This Row],[Fecha de Contratación]],$D$3)+1</f>
        <v>-1126</v>
      </c>
      <c r="CI68" s="304" t="str">
        <f>IF(COUNTIFS(DATOS_[id],DATOS_[[#This Row],[id]])&gt;1,DATOS_[[#This Row],[id]],"")</f>
        <v/>
      </c>
      <c r="CJ68" s="325">
        <f>(Inicio!$G$10-DATOS_[[#This Row],[Fecha Nacimiento]])/365.25</f>
        <v>47.055441478439427</v>
      </c>
      <c r="CK68" s="325">
        <f>(Inicio!$G$10-DATOS_[[#This Row],[Fecha de Antigüedad]])/365.25</f>
        <v>4.4161533196440796</v>
      </c>
      <c r="CL68" s="325" t="str">
        <f>+VLOOKUP(DATOS_[[#This Row],[Clave de Contrato]],TblTiposContrato13[],3,FALSE)</f>
        <v>Completa</v>
      </c>
      <c r="CM68" s="325" t="str">
        <f>+VLOOKUP(DATOS_[[#This Row],[Clave de Contrato]],TblTiposContrato13[],4,FALSE)</f>
        <v>Temporal</v>
      </c>
      <c r="CN68" s="325" t="str">
        <f>VLOOKUP(DATOS_[[#This Row],[Edad]],CONTRATOS!TblRngEdad,2,TRUE)</f>
        <v>45 a 50</v>
      </c>
      <c r="CO68" s="325" t="str">
        <f>VLOOKUP(DATOS_[[#This Row],[Antigüedad]],TblRngAntg14[],2,TRUE)</f>
        <v>3 a 5  años</v>
      </c>
    </row>
    <row r="69" spans="2:93" x14ac:dyDescent="0.25">
      <c r="B69" s="146">
        <v>58</v>
      </c>
      <c r="C69" s="146" t="s">
        <v>162</v>
      </c>
      <c r="D69" s="295">
        <v>27740</v>
      </c>
      <c r="E69" s="296" t="s">
        <v>428</v>
      </c>
      <c r="F69" s="296">
        <v>2</v>
      </c>
      <c r="G69" s="296">
        <v>1</v>
      </c>
      <c r="H69" s="297">
        <v>38353</v>
      </c>
      <c r="I69" s="298"/>
      <c r="J69" s="295">
        <v>38353</v>
      </c>
      <c r="K69" s="326"/>
      <c r="L69" s="326">
        <v>44012</v>
      </c>
      <c r="M69" s="299">
        <v>1</v>
      </c>
      <c r="N69" s="299"/>
      <c r="O69" s="299"/>
      <c r="P69" s="296">
        <v>100</v>
      </c>
      <c r="Q69" s="146" t="s">
        <v>412</v>
      </c>
      <c r="R69" s="146" t="s">
        <v>417</v>
      </c>
      <c r="S69" s="146" t="s">
        <v>429</v>
      </c>
      <c r="T69" s="146" t="s">
        <v>407</v>
      </c>
      <c r="U69" s="146" t="s">
        <v>400</v>
      </c>
      <c r="V69" s="146" t="s">
        <v>126</v>
      </c>
      <c r="W69" s="146" t="s">
        <v>300</v>
      </c>
      <c r="X69" s="146" t="s">
        <v>309</v>
      </c>
      <c r="Y69" s="146" t="s">
        <v>409</v>
      </c>
      <c r="Z69" s="293"/>
      <c r="AA69" s="294" t="s">
        <v>430</v>
      </c>
      <c r="AB69" s="294">
        <v>5</v>
      </c>
      <c r="AC69" s="296">
        <v>6</v>
      </c>
      <c r="AD69" s="301">
        <v>7686</v>
      </c>
      <c r="AE69" s="301">
        <v>813</v>
      </c>
      <c r="AF69" s="301">
        <v>922</v>
      </c>
      <c r="AG69" s="301"/>
      <c r="AH69" s="301"/>
      <c r="AI69" s="301"/>
      <c r="AJ69" s="301"/>
      <c r="AK69" s="301">
        <v>80</v>
      </c>
      <c r="AL69" s="301">
        <f>+DATOS_[[#This Row],[S.BASE]]*$AL$1</f>
        <v>3074.4</v>
      </c>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2"/>
      <c r="BN69" s="291">
        <f>+MAX($D$3,DATOS_[[#This Row],[Fecha Inicio Sit. Contract.]])</f>
        <v>45292</v>
      </c>
      <c r="BO69" s="291">
        <f>+MIN($D$4,DATOS_[[#This Row],[Fecha Fin Sit. Contract.]])</f>
        <v>44012</v>
      </c>
      <c r="BP69" s="292">
        <f>+DATOS_[[#This Row],[% de jornada]]*IF(DATOS_[[#This Row],[% jornada reducida]]="",1,DATOS_[[#This Row],[% jornada reducida]])</f>
        <v>1</v>
      </c>
      <c r="BQ69" s="292">
        <f>+(DATOS_[[#This Row],[F.fin.cal]]-DATOS_[[#This Row],[F.ini.cal]]+1)/($D$4-$D$3+1)</f>
        <v>-3.4945355191256833</v>
      </c>
      <c r="BR69" s="322" t="str">
        <f>IF(OR(AND(DATOS_[[#This Row],[Fecha Fin Contrato]]&lt;$D$3,DATOS_[[#This Row],[Fecha Fin Contrato]]&lt;&gt;""),DATOS_[[#This Row],[Fecha de Contratación]]&gt;$D$4),"Fuera","Dentro")</f>
        <v>Dentro</v>
      </c>
      <c r="BS69" s="322" t="str">
        <f t="array" ref="BS69">IF(MAX(IF(DATOS_[id]=DATOS_[[#This Row],[id]],DATOS_[F.fin.cal]))=DATOS_[[#This Row],[F.fin.cal]],"Sí","NO")</f>
        <v>NO</v>
      </c>
      <c r="BT69" s="292" t="str">
        <f>IF(AND(DATOS_[[#This Row],[% normaliz]]&lt;&gt;1,DATOS_[[#This Row],[% anualiz]]=1),"Sí","NO")</f>
        <v>NO</v>
      </c>
      <c r="BU69" s="292" t="str">
        <f>IF(AND(DATOS_[[#This Row],[% normaliz]]=1,DATOS_[[#This Row],[% anualiz]]&lt;&gt;1),"Sí","NO")</f>
        <v>Sí</v>
      </c>
      <c r="BV69" s="292" t="str">
        <f>IF(AND(DATOS_[[#This Row],[% normaliz]]&lt;&gt;1,DATOS_[[#This Row],[% anualiz]]&lt;&gt;1),"Sí","NO")</f>
        <v>NO</v>
      </c>
      <c r="BW69" s="322" t="str">
        <f>+IF(DATOS_[[#This Row],[% normaliz]]*DATOS_[[#This Row],[% anualiz]]=1,"NO","Sí")</f>
        <v>Sí</v>
      </c>
      <c r="BX69" s="323">
        <f>(DATOS_[[#This Row],[S.BASE]]*(1/DATOS_[[#This Row],[% normaliz]])*(1/DATOS_[[#This Row],[% anualiz]]))*IF(DATOS_[[#This Row],[Check Equiparado]]="Sí",1,0)</f>
        <v>0</v>
      </c>
      <c r="BY6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69" s="323">
        <f>+DATOS_[[#This Row],[SALARIO BASE Eq]]+DATOS_[[#This Row],[Tot COMPL.SAL Eq]]</f>
        <v>0</v>
      </c>
      <c r="CA69" s="323">
        <f t="array" ref="CA6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9" s="323">
        <f>+DATOS_[[#This Row],[TOTAL SALARIO Eq]]+DATOS_[[#This Row],[Tot Extrasalarial Eq]]</f>
        <v>0</v>
      </c>
      <c r="CC69" s="327">
        <f>DATOS_[[#This Row],[S.BASE]]</f>
        <v>7686</v>
      </c>
      <c r="CD69" s="324">
        <f>+SUM(DATOS_[[#This Row],[Conc.Sal.01]:[Conc.Sal.30]])</f>
        <v>4889.3999999999996</v>
      </c>
      <c r="CE69" s="324">
        <f>+DATOS_[[#This Row],[SALARIO BASE Ef]]+DATOS_[[#This Row],[Tot COMPL.SAL Ef]]</f>
        <v>12575.4</v>
      </c>
      <c r="CF69" s="324">
        <f>+SUM(DATOS_[[#This Row],[C.Extra.01]:[C.Extra.05]])</f>
        <v>0</v>
      </c>
      <c r="CG69" s="330">
        <f>+DATOS_[[#This Row],[TOTAL SALARIO Ef]]+DATOS_[[#This Row],[Tot Extrasalarial Ef]]</f>
        <v>12575.4</v>
      </c>
      <c r="CH69" s="303">
        <f>MIN(IF(DATOS_[[#This Row],[Fecha Fin Contrato]]="",$D$4,DATOS_[[#This Row],[Fecha Fin Contrato]]),$D$4)-MAX(DATOS_[[#This Row],[Fecha de Contratación]],$D$3)+1</f>
        <v>366</v>
      </c>
      <c r="CI69" s="304">
        <f>IF(COUNTIFS(DATOS_[id],DATOS_[[#This Row],[id]])&gt;1,DATOS_[[#This Row],[id]],"")</f>
        <v>58</v>
      </c>
      <c r="CJ69" s="325">
        <f>(Inicio!$G$10-DATOS_[[#This Row],[Fecha Nacimiento]])/365.25</f>
        <v>49.054072553045856</v>
      </c>
      <c r="CK69" s="325">
        <f>(Inicio!$G$10-DATOS_[[#This Row],[Fecha de Antigüedad]])/365.25</f>
        <v>19.997262149212869</v>
      </c>
      <c r="CL69" s="325" t="str">
        <f>+VLOOKUP(DATOS_[[#This Row],[Clave de Contrato]],TblTiposContrato13[],3,FALSE)</f>
        <v>Completa</v>
      </c>
      <c r="CM69" s="325" t="str">
        <f>+VLOOKUP(DATOS_[[#This Row],[Clave de Contrato]],TblTiposContrato13[],4,FALSE)</f>
        <v>Indefinido</v>
      </c>
      <c r="CN69" s="325" t="str">
        <f>VLOOKUP(DATOS_[[#This Row],[Edad]],CONTRATOS!TblRngEdad,2,TRUE)</f>
        <v>45 a 50</v>
      </c>
      <c r="CO69" s="325" t="str">
        <f>VLOOKUP(DATOS_[[#This Row],[Antigüedad]],TblRngAntg14[],2,TRUE)</f>
        <v>más de 15</v>
      </c>
    </row>
    <row r="70" spans="2:93" x14ac:dyDescent="0.25">
      <c r="B70" s="146">
        <v>58</v>
      </c>
      <c r="C70" s="146" t="s">
        <v>162</v>
      </c>
      <c r="D70" s="295">
        <v>27740</v>
      </c>
      <c r="E70" s="296" t="s">
        <v>428</v>
      </c>
      <c r="F70" s="296">
        <v>2</v>
      </c>
      <c r="G70" s="296">
        <v>1</v>
      </c>
      <c r="H70" s="297">
        <v>38353</v>
      </c>
      <c r="I70" s="298"/>
      <c r="J70" s="295">
        <v>38353</v>
      </c>
      <c r="K70" s="326">
        <v>44013</v>
      </c>
      <c r="L70" s="326"/>
      <c r="M70" s="299">
        <v>1</v>
      </c>
      <c r="N70" s="299"/>
      <c r="O70" s="299"/>
      <c r="P70" s="296">
        <v>100</v>
      </c>
      <c r="Q70" s="146" t="s">
        <v>404</v>
      </c>
      <c r="R70" s="146" t="s">
        <v>411</v>
      </c>
      <c r="S70" s="146" t="s">
        <v>424</v>
      </c>
      <c r="T70" s="146" t="s">
        <v>407</v>
      </c>
      <c r="U70" s="146" t="s">
        <v>400</v>
      </c>
      <c r="V70" s="146" t="s">
        <v>425</v>
      </c>
      <c r="W70" s="146" t="s">
        <v>299</v>
      </c>
      <c r="X70" s="146" t="s">
        <v>310</v>
      </c>
      <c r="Y70" s="146" t="s">
        <v>409</v>
      </c>
      <c r="Z70" s="293"/>
      <c r="AA70" s="294" t="s">
        <v>426</v>
      </c>
      <c r="AB70" s="294">
        <v>4</v>
      </c>
      <c r="AC70" s="296">
        <v>2</v>
      </c>
      <c r="AD70" s="301">
        <v>8633</v>
      </c>
      <c r="AE70" s="301">
        <v>1866</v>
      </c>
      <c r="AF70" s="301">
        <v>1035</v>
      </c>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2"/>
      <c r="BN70" s="291">
        <f>+MAX($D$3,DATOS_[[#This Row],[Fecha Inicio Sit. Contract.]])</f>
        <v>45292</v>
      </c>
      <c r="BO70" s="291">
        <f>+MIN($D$4,DATOS_[[#This Row],[Fecha Fin Sit. Contract.]])</f>
        <v>45657</v>
      </c>
      <c r="BP70" s="292">
        <f>+DATOS_[[#This Row],[% de jornada]]*IF(DATOS_[[#This Row],[% jornada reducida]]="",1,DATOS_[[#This Row],[% jornada reducida]])</f>
        <v>1</v>
      </c>
      <c r="BQ70" s="292">
        <f>+(DATOS_[[#This Row],[F.fin.cal]]-DATOS_[[#This Row],[F.ini.cal]]+1)/($D$4-$D$3+1)</f>
        <v>1</v>
      </c>
      <c r="BR70" s="322" t="str">
        <f>IF(OR(AND(DATOS_[[#This Row],[Fecha Fin Contrato]]&lt;$D$3,DATOS_[[#This Row],[Fecha Fin Contrato]]&lt;&gt;""),DATOS_[[#This Row],[Fecha de Contratación]]&gt;$D$4),"Fuera","Dentro")</f>
        <v>Dentro</v>
      </c>
      <c r="BS70" s="322" t="str">
        <f t="array" ref="BS70">IF(MAX(IF(DATOS_[id]=DATOS_[[#This Row],[id]],DATOS_[F.fin.cal]))=DATOS_[[#This Row],[F.fin.cal]],"Sí","NO")</f>
        <v>Sí</v>
      </c>
      <c r="BT70" s="292" t="str">
        <f>IF(AND(DATOS_[[#This Row],[% normaliz]]&lt;&gt;1,DATOS_[[#This Row],[% anualiz]]=1),"Sí","NO")</f>
        <v>NO</v>
      </c>
      <c r="BU70" s="292" t="str">
        <f>IF(AND(DATOS_[[#This Row],[% normaliz]]=1,DATOS_[[#This Row],[% anualiz]]&lt;&gt;1),"Sí","NO")</f>
        <v>NO</v>
      </c>
      <c r="BV70" s="292" t="str">
        <f>IF(AND(DATOS_[[#This Row],[% normaliz]]&lt;&gt;1,DATOS_[[#This Row],[% anualiz]]&lt;&gt;1),"Sí","NO")</f>
        <v>NO</v>
      </c>
      <c r="BW70" s="322" t="str">
        <f>+IF(DATOS_[[#This Row],[% normaliz]]*DATOS_[[#This Row],[% anualiz]]=1,"NO","Sí")</f>
        <v>NO</v>
      </c>
      <c r="BX70" s="323">
        <f>(DATOS_[[#This Row],[S.BASE]]*(1/DATOS_[[#This Row],[% normaliz]])*(1/DATOS_[[#This Row],[% anualiz]]))*IF(DATOS_[[#This Row],[Check Equiparado]]="Sí",1,0)</f>
        <v>8633</v>
      </c>
      <c r="BY7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2901</v>
      </c>
      <c r="BZ70" s="323">
        <f>+DATOS_[[#This Row],[SALARIO BASE Eq]]+DATOS_[[#This Row],[Tot COMPL.SAL Eq]]</f>
        <v>11534</v>
      </c>
      <c r="CA70" s="323">
        <f t="array" ref="CA7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0" s="323">
        <f>+DATOS_[[#This Row],[TOTAL SALARIO Eq]]+DATOS_[[#This Row],[Tot Extrasalarial Eq]]</f>
        <v>11534</v>
      </c>
      <c r="CC70" s="327">
        <f>DATOS_[[#This Row],[S.BASE]]</f>
        <v>8633</v>
      </c>
      <c r="CD70" s="324">
        <f>+SUM(DATOS_[[#This Row],[Conc.Sal.01]:[Conc.Sal.30]])</f>
        <v>2901</v>
      </c>
      <c r="CE70" s="324">
        <f>+DATOS_[[#This Row],[SALARIO BASE Ef]]+DATOS_[[#This Row],[Tot COMPL.SAL Ef]]</f>
        <v>11534</v>
      </c>
      <c r="CF70" s="324">
        <f>+SUM(DATOS_[[#This Row],[C.Extra.01]:[C.Extra.05]])</f>
        <v>0</v>
      </c>
      <c r="CG70" s="330">
        <f>+DATOS_[[#This Row],[TOTAL SALARIO Ef]]+DATOS_[[#This Row],[Tot Extrasalarial Ef]]</f>
        <v>11534</v>
      </c>
      <c r="CH70" s="303">
        <f>MIN(IF(DATOS_[[#This Row],[Fecha Fin Contrato]]="",$D$4,DATOS_[[#This Row],[Fecha Fin Contrato]]),$D$4)-MAX(DATOS_[[#This Row],[Fecha de Contratación]],$D$3)+1</f>
        <v>366</v>
      </c>
      <c r="CI70" s="304">
        <f>IF(COUNTIFS(DATOS_[id],DATOS_[[#This Row],[id]])&gt;1,DATOS_[[#This Row],[id]],"")</f>
        <v>58</v>
      </c>
      <c r="CJ70" s="325">
        <f>(Inicio!$G$10-DATOS_[[#This Row],[Fecha Nacimiento]])/365.25</f>
        <v>49.054072553045856</v>
      </c>
      <c r="CK70" s="325">
        <f>(Inicio!$G$10-DATOS_[[#This Row],[Fecha de Antigüedad]])/365.25</f>
        <v>19.997262149212869</v>
      </c>
      <c r="CL70" s="325" t="str">
        <f>+VLOOKUP(DATOS_[[#This Row],[Clave de Contrato]],TblTiposContrato13[],3,FALSE)</f>
        <v>Completa</v>
      </c>
      <c r="CM70" s="325" t="str">
        <f>+VLOOKUP(DATOS_[[#This Row],[Clave de Contrato]],TblTiposContrato13[],4,FALSE)</f>
        <v>Indefinido</v>
      </c>
      <c r="CN70" s="325" t="str">
        <f>VLOOKUP(DATOS_[[#This Row],[Edad]],CONTRATOS!TblRngEdad,2,TRUE)</f>
        <v>45 a 50</v>
      </c>
      <c r="CO70" s="325" t="str">
        <f>VLOOKUP(DATOS_[[#This Row],[Antigüedad]],TblRngAntg14[],2,TRUE)</f>
        <v>más de 15</v>
      </c>
    </row>
    <row r="71" spans="2:93" x14ac:dyDescent="0.25">
      <c r="B71" s="146">
        <v>59</v>
      </c>
      <c r="C71" s="146" t="s">
        <v>163</v>
      </c>
      <c r="D71" s="295">
        <v>31755</v>
      </c>
      <c r="E71" s="296" t="s">
        <v>428</v>
      </c>
      <c r="F71" s="296">
        <v>1</v>
      </c>
      <c r="G71" s="296">
        <v>2</v>
      </c>
      <c r="H71" s="297">
        <v>38355</v>
      </c>
      <c r="I71" s="298"/>
      <c r="J71" s="295">
        <v>38355</v>
      </c>
      <c r="K71" s="326"/>
      <c r="L71" s="326">
        <v>44012</v>
      </c>
      <c r="M71" s="299">
        <v>1</v>
      </c>
      <c r="N71" s="299"/>
      <c r="O71" s="299"/>
      <c r="P71" s="296">
        <v>100</v>
      </c>
      <c r="Q71" s="146" t="s">
        <v>404</v>
      </c>
      <c r="R71" s="146" t="s">
        <v>411</v>
      </c>
      <c r="S71" s="146" t="s">
        <v>424</v>
      </c>
      <c r="T71" s="146" t="s">
        <v>407</v>
      </c>
      <c r="U71" s="146" t="s">
        <v>400</v>
      </c>
      <c r="V71" s="146" t="s">
        <v>425</v>
      </c>
      <c r="W71" s="146" t="s">
        <v>299</v>
      </c>
      <c r="X71" s="146" t="s">
        <v>310</v>
      </c>
      <c r="Y71" s="146" t="s">
        <v>409</v>
      </c>
      <c r="Z71" s="293"/>
      <c r="AA71" s="294" t="s">
        <v>426</v>
      </c>
      <c r="AB71" s="294">
        <v>4</v>
      </c>
      <c r="AC71" s="296">
        <v>2</v>
      </c>
      <c r="AD71" s="301">
        <v>8633</v>
      </c>
      <c r="AE71" s="301">
        <v>1800</v>
      </c>
      <c r="AF71" s="301">
        <v>1035</v>
      </c>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2"/>
      <c r="BN71" s="291">
        <f>+MAX($D$3,DATOS_[[#This Row],[Fecha Inicio Sit. Contract.]])</f>
        <v>45292</v>
      </c>
      <c r="BO71" s="291">
        <f>+MIN($D$4,DATOS_[[#This Row],[Fecha Fin Sit. Contract.]])</f>
        <v>44012</v>
      </c>
      <c r="BP71" s="292">
        <f>+DATOS_[[#This Row],[% de jornada]]*IF(DATOS_[[#This Row],[% jornada reducida]]="",1,DATOS_[[#This Row],[% jornada reducida]])</f>
        <v>1</v>
      </c>
      <c r="BQ71" s="292">
        <f>+(DATOS_[[#This Row],[F.fin.cal]]-DATOS_[[#This Row],[F.ini.cal]]+1)/($D$4-$D$3+1)</f>
        <v>-3.4945355191256833</v>
      </c>
      <c r="BR71" s="322" t="str">
        <f>IF(OR(AND(DATOS_[[#This Row],[Fecha Fin Contrato]]&lt;$D$3,DATOS_[[#This Row],[Fecha Fin Contrato]]&lt;&gt;""),DATOS_[[#This Row],[Fecha de Contratación]]&gt;$D$4),"Fuera","Dentro")</f>
        <v>Dentro</v>
      </c>
      <c r="BS71" s="322" t="str">
        <f t="array" ref="BS71">IF(MAX(IF(DATOS_[id]=DATOS_[[#This Row],[id]],DATOS_[F.fin.cal]))=DATOS_[[#This Row],[F.fin.cal]],"Sí","NO")</f>
        <v>NO</v>
      </c>
      <c r="BT71" s="292" t="str">
        <f>IF(AND(DATOS_[[#This Row],[% normaliz]]&lt;&gt;1,DATOS_[[#This Row],[% anualiz]]=1),"Sí","NO")</f>
        <v>NO</v>
      </c>
      <c r="BU71" s="292" t="str">
        <f>IF(AND(DATOS_[[#This Row],[% normaliz]]=1,DATOS_[[#This Row],[% anualiz]]&lt;&gt;1),"Sí","NO")</f>
        <v>Sí</v>
      </c>
      <c r="BV71" s="292" t="str">
        <f>IF(AND(DATOS_[[#This Row],[% normaliz]]&lt;&gt;1,DATOS_[[#This Row],[% anualiz]]&lt;&gt;1),"Sí","NO")</f>
        <v>NO</v>
      </c>
      <c r="BW71" s="322" t="str">
        <f>+IF(DATOS_[[#This Row],[% normaliz]]*DATOS_[[#This Row],[% anualiz]]=1,"NO","Sí")</f>
        <v>Sí</v>
      </c>
      <c r="BX71" s="323">
        <f>(DATOS_[[#This Row],[S.BASE]]*(1/DATOS_[[#This Row],[% normaliz]])*(1/DATOS_[[#This Row],[% anualiz]]))*IF(DATOS_[[#This Row],[Check Equiparado]]="Sí",1,0)</f>
        <v>0</v>
      </c>
      <c r="BY7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71" s="323">
        <f>+DATOS_[[#This Row],[SALARIO BASE Eq]]+DATOS_[[#This Row],[Tot COMPL.SAL Eq]]</f>
        <v>0</v>
      </c>
      <c r="CA71" s="323">
        <f t="array" ref="CA7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1" s="323">
        <f>+DATOS_[[#This Row],[TOTAL SALARIO Eq]]+DATOS_[[#This Row],[Tot Extrasalarial Eq]]</f>
        <v>0</v>
      </c>
      <c r="CC71" s="327">
        <f>DATOS_[[#This Row],[S.BASE]]</f>
        <v>8633</v>
      </c>
      <c r="CD71" s="324">
        <f>+SUM(DATOS_[[#This Row],[Conc.Sal.01]:[Conc.Sal.30]])</f>
        <v>2835</v>
      </c>
      <c r="CE71" s="324">
        <f>+DATOS_[[#This Row],[SALARIO BASE Ef]]+DATOS_[[#This Row],[Tot COMPL.SAL Ef]]</f>
        <v>11468</v>
      </c>
      <c r="CF71" s="324">
        <f>+SUM(DATOS_[[#This Row],[C.Extra.01]:[C.Extra.05]])</f>
        <v>0</v>
      </c>
      <c r="CG71" s="330">
        <f>+DATOS_[[#This Row],[TOTAL SALARIO Ef]]+DATOS_[[#This Row],[Tot Extrasalarial Ef]]</f>
        <v>11468</v>
      </c>
      <c r="CH71" s="303">
        <f>MIN(IF(DATOS_[[#This Row],[Fecha Fin Contrato]]="",$D$4,DATOS_[[#This Row],[Fecha Fin Contrato]]),$D$4)-MAX(DATOS_[[#This Row],[Fecha de Contratación]],$D$3)+1</f>
        <v>366</v>
      </c>
      <c r="CI71" s="304">
        <f>IF(COUNTIFS(DATOS_[id],DATOS_[[#This Row],[id]])&gt;1,DATOS_[[#This Row],[id]],"")</f>
        <v>59</v>
      </c>
      <c r="CJ71" s="325">
        <f>(Inicio!$G$10-DATOS_[[#This Row],[Fecha Nacimiento]])/365.25</f>
        <v>38.061601642710471</v>
      </c>
      <c r="CK71" s="325">
        <f>(Inicio!$G$10-DATOS_[[#This Row],[Fecha de Antigüedad]])/365.25</f>
        <v>19.991786447638603</v>
      </c>
      <c r="CL71" s="325" t="str">
        <f>+VLOOKUP(DATOS_[[#This Row],[Clave de Contrato]],TblTiposContrato13[],3,FALSE)</f>
        <v>Completa</v>
      </c>
      <c r="CM71" s="325" t="str">
        <f>+VLOOKUP(DATOS_[[#This Row],[Clave de Contrato]],TblTiposContrato13[],4,FALSE)</f>
        <v>Indefinido</v>
      </c>
      <c r="CN71" s="325" t="str">
        <f>VLOOKUP(DATOS_[[#This Row],[Edad]],CONTRATOS!TblRngEdad,2,TRUE)</f>
        <v>35 a 40</v>
      </c>
      <c r="CO71" s="325" t="str">
        <f>VLOOKUP(DATOS_[[#This Row],[Antigüedad]],TblRngAntg14[],2,TRUE)</f>
        <v>más de 15</v>
      </c>
    </row>
    <row r="72" spans="2:93" x14ac:dyDescent="0.25">
      <c r="B72" s="146">
        <v>59</v>
      </c>
      <c r="C72" s="146" t="s">
        <v>163</v>
      </c>
      <c r="D72" s="295">
        <v>31755</v>
      </c>
      <c r="E72" s="296" t="s">
        <v>428</v>
      </c>
      <c r="F72" s="296">
        <v>1</v>
      </c>
      <c r="G72" s="296">
        <v>1</v>
      </c>
      <c r="H72" s="297">
        <v>38355</v>
      </c>
      <c r="I72" s="298"/>
      <c r="J72" s="295">
        <v>38355</v>
      </c>
      <c r="K72" s="326">
        <v>44013</v>
      </c>
      <c r="L72" s="326"/>
      <c r="M72" s="299">
        <v>1</v>
      </c>
      <c r="N72" s="299"/>
      <c r="O72" s="299"/>
      <c r="P72" s="296">
        <v>100</v>
      </c>
      <c r="Q72" s="146" t="s">
        <v>412</v>
      </c>
      <c r="R72" s="146" t="s">
        <v>418</v>
      </c>
      <c r="S72" s="146" t="s">
        <v>429</v>
      </c>
      <c r="T72" s="146" t="s">
        <v>407</v>
      </c>
      <c r="U72" s="146" t="s">
        <v>400</v>
      </c>
      <c r="V72" s="146" t="s">
        <v>126</v>
      </c>
      <c r="W72" s="146" t="s">
        <v>300</v>
      </c>
      <c r="X72" s="146" t="s">
        <v>309</v>
      </c>
      <c r="Y72" s="146" t="s">
        <v>409</v>
      </c>
      <c r="Z72" s="293"/>
      <c r="AA72" s="294" t="s">
        <v>430</v>
      </c>
      <c r="AB72" s="294">
        <v>5</v>
      </c>
      <c r="AC72" s="296">
        <v>6</v>
      </c>
      <c r="AD72" s="301">
        <v>7686</v>
      </c>
      <c r="AE72" s="301">
        <v>813</v>
      </c>
      <c r="AF72" s="301">
        <v>922</v>
      </c>
      <c r="AG72" s="301"/>
      <c r="AH72" s="301"/>
      <c r="AI72" s="301"/>
      <c r="AJ72" s="301"/>
      <c r="AK72" s="301">
        <v>80</v>
      </c>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2"/>
      <c r="BN72" s="291">
        <f>+MAX($D$3,DATOS_[[#This Row],[Fecha Inicio Sit. Contract.]])</f>
        <v>45292</v>
      </c>
      <c r="BO72" s="291">
        <f>+MIN($D$4,DATOS_[[#This Row],[Fecha Fin Sit. Contract.]])</f>
        <v>45657</v>
      </c>
      <c r="BP72" s="292">
        <f>+DATOS_[[#This Row],[% de jornada]]*IF(DATOS_[[#This Row],[% jornada reducida]]="",1,DATOS_[[#This Row],[% jornada reducida]])</f>
        <v>1</v>
      </c>
      <c r="BQ72" s="292">
        <f>+(DATOS_[[#This Row],[F.fin.cal]]-DATOS_[[#This Row],[F.ini.cal]]+1)/($D$4-$D$3+1)</f>
        <v>1</v>
      </c>
      <c r="BR72" s="322" t="str">
        <f>IF(OR(AND(DATOS_[[#This Row],[Fecha Fin Contrato]]&lt;$D$3,DATOS_[[#This Row],[Fecha Fin Contrato]]&lt;&gt;""),DATOS_[[#This Row],[Fecha de Contratación]]&gt;$D$4),"Fuera","Dentro")</f>
        <v>Dentro</v>
      </c>
      <c r="BS72" s="322" t="str">
        <f t="array" ref="BS72">IF(MAX(IF(DATOS_[id]=DATOS_[[#This Row],[id]],DATOS_[F.fin.cal]))=DATOS_[[#This Row],[F.fin.cal]],"Sí","NO")</f>
        <v>Sí</v>
      </c>
      <c r="BT72" s="292" t="str">
        <f>IF(AND(DATOS_[[#This Row],[% normaliz]]&lt;&gt;1,DATOS_[[#This Row],[% anualiz]]=1),"Sí","NO")</f>
        <v>NO</v>
      </c>
      <c r="BU72" s="292" t="str">
        <f>IF(AND(DATOS_[[#This Row],[% normaliz]]=1,DATOS_[[#This Row],[% anualiz]]&lt;&gt;1),"Sí","NO")</f>
        <v>NO</v>
      </c>
      <c r="BV72" s="292" t="str">
        <f>IF(AND(DATOS_[[#This Row],[% normaliz]]&lt;&gt;1,DATOS_[[#This Row],[% anualiz]]&lt;&gt;1),"Sí","NO")</f>
        <v>NO</v>
      </c>
      <c r="BW72" s="322" t="str">
        <f>+IF(DATOS_[[#This Row],[% normaliz]]*DATOS_[[#This Row],[% anualiz]]=1,"NO","Sí")</f>
        <v>NO</v>
      </c>
      <c r="BX72" s="323">
        <f>(DATOS_[[#This Row],[S.BASE]]*(1/DATOS_[[#This Row],[% normaliz]])*(1/DATOS_[[#This Row],[% anualiz]]))*IF(DATOS_[[#This Row],[Check Equiparado]]="Sí",1,0)</f>
        <v>7686</v>
      </c>
      <c r="BY7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1815</v>
      </c>
      <c r="BZ72" s="323">
        <f>+DATOS_[[#This Row],[SALARIO BASE Eq]]+DATOS_[[#This Row],[Tot COMPL.SAL Eq]]</f>
        <v>9501</v>
      </c>
      <c r="CA72" s="323">
        <f t="array" ref="CA7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2" s="323">
        <f>+DATOS_[[#This Row],[TOTAL SALARIO Eq]]+DATOS_[[#This Row],[Tot Extrasalarial Eq]]</f>
        <v>9501</v>
      </c>
      <c r="CC72" s="327">
        <f>DATOS_[[#This Row],[S.BASE]]</f>
        <v>7686</v>
      </c>
      <c r="CD72" s="324">
        <f>+SUM(DATOS_[[#This Row],[Conc.Sal.01]:[Conc.Sal.30]])</f>
        <v>1815</v>
      </c>
      <c r="CE72" s="324">
        <f>+DATOS_[[#This Row],[SALARIO BASE Ef]]+DATOS_[[#This Row],[Tot COMPL.SAL Ef]]</f>
        <v>9501</v>
      </c>
      <c r="CF72" s="324">
        <f>+SUM(DATOS_[[#This Row],[C.Extra.01]:[C.Extra.05]])</f>
        <v>0</v>
      </c>
      <c r="CG72" s="330">
        <f>+DATOS_[[#This Row],[TOTAL SALARIO Ef]]+DATOS_[[#This Row],[Tot Extrasalarial Ef]]</f>
        <v>9501</v>
      </c>
      <c r="CH72" s="303">
        <f>MIN(IF(DATOS_[[#This Row],[Fecha Fin Contrato]]="",$D$4,DATOS_[[#This Row],[Fecha Fin Contrato]]),$D$4)-MAX(DATOS_[[#This Row],[Fecha de Contratación]],$D$3)+1</f>
        <v>366</v>
      </c>
      <c r="CI72" s="304">
        <f>IF(COUNTIFS(DATOS_[id],DATOS_[[#This Row],[id]])&gt;1,DATOS_[[#This Row],[id]],"")</f>
        <v>59</v>
      </c>
      <c r="CJ72" s="325">
        <f>(Inicio!$G$10-DATOS_[[#This Row],[Fecha Nacimiento]])/365.25</f>
        <v>38.061601642710471</v>
      </c>
      <c r="CK72" s="325">
        <f>(Inicio!$G$10-DATOS_[[#This Row],[Fecha de Antigüedad]])/365.25</f>
        <v>19.991786447638603</v>
      </c>
      <c r="CL72" s="325" t="str">
        <f>+VLOOKUP(DATOS_[[#This Row],[Clave de Contrato]],TblTiposContrato13[],3,FALSE)</f>
        <v>Completa</v>
      </c>
      <c r="CM72" s="325" t="str">
        <f>+VLOOKUP(DATOS_[[#This Row],[Clave de Contrato]],TblTiposContrato13[],4,FALSE)</f>
        <v>Indefinido</v>
      </c>
      <c r="CN72" s="325" t="str">
        <f>VLOOKUP(DATOS_[[#This Row],[Edad]],CONTRATOS!TblRngEdad,2,TRUE)</f>
        <v>35 a 40</v>
      </c>
      <c r="CO72" s="325" t="str">
        <f>VLOOKUP(DATOS_[[#This Row],[Antigüedad]],TblRngAntg14[],2,TRUE)</f>
        <v>más de 15</v>
      </c>
    </row>
    <row r="73" spans="2:93" x14ac:dyDescent="0.25">
      <c r="B73" s="146">
        <v>60</v>
      </c>
      <c r="C73" s="146" t="s">
        <v>163</v>
      </c>
      <c r="D73" s="295">
        <v>31755</v>
      </c>
      <c r="E73" s="296" t="s">
        <v>403</v>
      </c>
      <c r="F73" s="296">
        <v>3</v>
      </c>
      <c r="G73" s="296">
        <v>0</v>
      </c>
      <c r="H73" s="297">
        <v>44044</v>
      </c>
      <c r="I73" s="298">
        <v>44165</v>
      </c>
      <c r="J73" s="295">
        <v>44044</v>
      </c>
      <c r="K73" s="326">
        <v>44044</v>
      </c>
      <c r="L73" s="326">
        <v>44165</v>
      </c>
      <c r="M73" s="299">
        <v>1</v>
      </c>
      <c r="N73" s="299"/>
      <c r="O73" s="299"/>
      <c r="P73" s="296">
        <v>401</v>
      </c>
      <c r="Q73" s="146" t="s">
        <v>412</v>
      </c>
      <c r="R73" s="146" t="s">
        <v>417</v>
      </c>
      <c r="S73" s="146" t="s">
        <v>429</v>
      </c>
      <c r="T73" s="146" t="s">
        <v>407</v>
      </c>
      <c r="U73" s="146" t="s">
        <v>400</v>
      </c>
      <c r="V73" s="146" t="s">
        <v>126</v>
      </c>
      <c r="W73" s="146" t="s">
        <v>300</v>
      </c>
      <c r="X73" s="146" t="s">
        <v>309</v>
      </c>
      <c r="Y73" s="146" t="s">
        <v>409</v>
      </c>
      <c r="Z73" s="293"/>
      <c r="AA73" s="294" t="s">
        <v>430</v>
      </c>
      <c r="AB73" s="294">
        <v>5</v>
      </c>
      <c r="AC73" s="296">
        <v>6</v>
      </c>
      <c r="AD73" s="301">
        <v>5124</v>
      </c>
      <c r="AE73" s="301">
        <v>542</v>
      </c>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v>187</v>
      </c>
      <c r="BK73" s="301"/>
      <c r="BL73" s="301"/>
      <c r="BM73" s="302"/>
      <c r="BN73" s="291">
        <f>+MAX($D$3,DATOS_[[#This Row],[Fecha Inicio Sit. Contract.]])</f>
        <v>45292</v>
      </c>
      <c r="BO73" s="291">
        <f>+MIN($D$4,DATOS_[[#This Row],[Fecha Fin Sit. Contract.]])</f>
        <v>44165</v>
      </c>
      <c r="BP73" s="292">
        <f>+DATOS_[[#This Row],[% de jornada]]*IF(DATOS_[[#This Row],[% jornada reducida]]="",1,DATOS_[[#This Row],[% jornada reducida]])</f>
        <v>1</v>
      </c>
      <c r="BQ73" s="292">
        <f>+(DATOS_[[#This Row],[F.fin.cal]]-DATOS_[[#This Row],[F.ini.cal]]+1)/($D$4-$D$3+1)</f>
        <v>-3.0765027322404372</v>
      </c>
      <c r="BR73" s="322" t="str">
        <f>IF(OR(AND(DATOS_[[#This Row],[Fecha Fin Contrato]]&lt;$D$3,DATOS_[[#This Row],[Fecha Fin Contrato]]&lt;&gt;""),DATOS_[[#This Row],[Fecha de Contratación]]&gt;$D$4),"Fuera","Dentro")</f>
        <v>Fuera</v>
      </c>
      <c r="BS73" s="322" t="str">
        <f t="array" ref="BS73">IF(MAX(IF(DATOS_[id]=DATOS_[[#This Row],[id]],DATOS_[F.fin.cal]))=DATOS_[[#This Row],[F.fin.cal]],"Sí","NO")</f>
        <v>Sí</v>
      </c>
      <c r="BT73" s="292" t="str">
        <f>IF(AND(DATOS_[[#This Row],[% normaliz]]&lt;&gt;1,DATOS_[[#This Row],[% anualiz]]=1),"Sí","NO")</f>
        <v>NO</v>
      </c>
      <c r="BU73" s="292" t="str">
        <f>IF(AND(DATOS_[[#This Row],[% normaliz]]=1,DATOS_[[#This Row],[% anualiz]]&lt;&gt;1),"Sí","NO")</f>
        <v>Sí</v>
      </c>
      <c r="BV73" s="292" t="str">
        <f>IF(AND(DATOS_[[#This Row],[% normaliz]]&lt;&gt;1,DATOS_[[#This Row],[% anualiz]]&lt;&gt;1),"Sí","NO")</f>
        <v>NO</v>
      </c>
      <c r="BW73" s="322" t="str">
        <f>+IF(DATOS_[[#This Row],[% normaliz]]*DATOS_[[#This Row],[% anualiz]]=1,"NO","Sí")</f>
        <v>Sí</v>
      </c>
      <c r="BX73" s="323">
        <f>(DATOS_[[#This Row],[S.BASE]]*(1/DATOS_[[#This Row],[% normaliz]])*(1/DATOS_[[#This Row],[% anualiz]]))*IF(DATOS_[[#This Row],[Check Equiparado]]="Sí",1,0)</f>
        <v>-1665.5275310834813</v>
      </c>
      <c r="BY7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-176.17406749555951</v>
      </c>
      <c r="BZ73" s="323">
        <f>+DATOS_[[#This Row],[SALARIO BASE Eq]]+DATOS_[[#This Row],[Tot COMPL.SAL Eq]]</f>
        <v>-1841.7015985790408</v>
      </c>
      <c r="CA73" s="323">
        <f t="array" ref="CA7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187</v>
      </c>
      <c r="CB73" s="323">
        <f>+DATOS_[[#This Row],[TOTAL SALARIO Eq]]+DATOS_[[#This Row],[Tot Extrasalarial Eq]]</f>
        <v>-1654.7015985790408</v>
      </c>
      <c r="CC73" s="327">
        <f>DATOS_[[#This Row],[S.BASE]]</f>
        <v>5124</v>
      </c>
      <c r="CD73" s="324">
        <f>+SUM(DATOS_[[#This Row],[Conc.Sal.01]:[Conc.Sal.30]])</f>
        <v>542</v>
      </c>
      <c r="CE73" s="324">
        <f>+DATOS_[[#This Row],[SALARIO BASE Ef]]+DATOS_[[#This Row],[Tot COMPL.SAL Ef]]</f>
        <v>5666</v>
      </c>
      <c r="CF73" s="324">
        <f>+SUM(DATOS_[[#This Row],[C.Extra.01]:[C.Extra.05]])</f>
        <v>187</v>
      </c>
      <c r="CG73" s="330">
        <f>+DATOS_[[#This Row],[TOTAL SALARIO Ef]]+DATOS_[[#This Row],[Tot Extrasalarial Ef]]</f>
        <v>5853</v>
      </c>
      <c r="CH73" s="303">
        <f>MIN(IF(DATOS_[[#This Row],[Fecha Fin Contrato]]="",$D$4,DATOS_[[#This Row],[Fecha Fin Contrato]]),$D$4)-MAX(DATOS_[[#This Row],[Fecha de Contratación]],$D$3)+1</f>
        <v>-1126</v>
      </c>
      <c r="CI73" s="304" t="str">
        <f>IF(COUNTIFS(DATOS_[id],DATOS_[[#This Row],[id]])&gt;1,DATOS_[[#This Row],[id]],"")</f>
        <v/>
      </c>
      <c r="CJ73" s="325">
        <f>(Inicio!$G$10-DATOS_[[#This Row],[Fecha Nacimiento]])/365.25</f>
        <v>38.061601642710471</v>
      </c>
      <c r="CK73" s="325">
        <f>(Inicio!$G$10-DATOS_[[#This Row],[Fecha de Antigüedad]])/365.25</f>
        <v>4.4161533196440796</v>
      </c>
      <c r="CL73" s="325" t="str">
        <f>+VLOOKUP(DATOS_[[#This Row],[Clave de Contrato]],TblTiposContrato13[],3,FALSE)</f>
        <v>Completa</v>
      </c>
      <c r="CM73" s="325" t="str">
        <f>+VLOOKUP(DATOS_[[#This Row],[Clave de Contrato]],TblTiposContrato13[],4,FALSE)</f>
        <v>Temporal</v>
      </c>
      <c r="CN73" s="325" t="str">
        <f>VLOOKUP(DATOS_[[#This Row],[Edad]],CONTRATOS!TblRngEdad,2,TRUE)</f>
        <v>35 a 40</v>
      </c>
      <c r="CO73" s="325" t="str">
        <f>VLOOKUP(DATOS_[[#This Row],[Antigüedad]],TblRngAntg14[],2,TRUE)</f>
        <v>3 a 5  años</v>
      </c>
    </row>
    <row r="74" spans="2:93" x14ac:dyDescent="0.25">
      <c r="B74" s="146">
        <v>61</v>
      </c>
      <c r="C74" s="146" t="s">
        <v>163</v>
      </c>
      <c r="D74" s="295">
        <v>32850</v>
      </c>
      <c r="E74" s="296" t="s">
        <v>427</v>
      </c>
      <c r="F74" s="296">
        <v>3</v>
      </c>
      <c r="G74" s="296">
        <v>1</v>
      </c>
      <c r="H74" s="297">
        <v>43952</v>
      </c>
      <c r="I74" s="298">
        <v>44196</v>
      </c>
      <c r="J74" s="295">
        <v>43952</v>
      </c>
      <c r="K74" s="326">
        <v>43952</v>
      </c>
      <c r="L74" s="326">
        <v>44196</v>
      </c>
      <c r="M74" s="299">
        <v>1</v>
      </c>
      <c r="N74" s="299"/>
      <c r="O74" s="299"/>
      <c r="P74" s="296">
        <v>401</v>
      </c>
      <c r="Q74" s="146" t="s">
        <v>412</v>
      </c>
      <c r="R74" s="146" t="s">
        <v>417</v>
      </c>
      <c r="S74" s="146" t="s">
        <v>429</v>
      </c>
      <c r="T74" s="146" t="s">
        <v>407</v>
      </c>
      <c r="U74" s="146" t="s">
        <v>400</v>
      </c>
      <c r="V74" s="146" t="s">
        <v>126</v>
      </c>
      <c r="W74" s="146" t="s">
        <v>300</v>
      </c>
      <c r="X74" s="146" t="s">
        <v>309</v>
      </c>
      <c r="Y74" s="146" t="s">
        <v>409</v>
      </c>
      <c r="Z74" s="293"/>
      <c r="AA74" s="294" t="s">
        <v>430</v>
      </c>
      <c r="AB74" s="294">
        <v>5</v>
      </c>
      <c r="AC74" s="296">
        <v>6</v>
      </c>
      <c r="AD74" s="301">
        <v>11529</v>
      </c>
      <c r="AE74" s="301">
        <v>804</v>
      </c>
      <c r="AF74" s="301"/>
      <c r="AG74" s="301"/>
      <c r="AH74" s="301"/>
      <c r="AI74" s="301"/>
      <c r="AJ74" s="301"/>
      <c r="AK74" s="301">
        <v>80</v>
      </c>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v>420</v>
      </c>
      <c r="BK74" s="301"/>
      <c r="BL74" s="301"/>
      <c r="BM74" s="302"/>
      <c r="BN74" s="291">
        <f>+MAX($D$3,DATOS_[[#This Row],[Fecha Inicio Sit. Contract.]])</f>
        <v>45292</v>
      </c>
      <c r="BO74" s="291">
        <f>+MIN($D$4,DATOS_[[#This Row],[Fecha Fin Sit. Contract.]])</f>
        <v>44196</v>
      </c>
      <c r="BP74" s="292">
        <f>+DATOS_[[#This Row],[% de jornada]]*IF(DATOS_[[#This Row],[% jornada reducida]]="",1,DATOS_[[#This Row],[% jornada reducida]])</f>
        <v>1</v>
      </c>
      <c r="BQ74" s="292">
        <f>+(DATOS_[[#This Row],[F.fin.cal]]-DATOS_[[#This Row],[F.ini.cal]]+1)/($D$4-$D$3+1)</f>
        <v>-2.9918032786885247</v>
      </c>
      <c r="BR74" s="322" t="str">
        <f>IF(OR(AND(DATOS_[[#This Row],[Fecha Fin Contrato]]&lt;$D$3,DATOS_[[#This Row],[Fecha Fin Contrato]]&lt;&gt;""),DATOS_[[#This Row],[Fecha de Contratación]]&gt;$D$4),"Fuera","Dentro")</f>
        <v>Fuera</v>
      </c>
      <c r="BS74" s="322" t="str">
        <f t="array" ref="BS74">IF(MAX(IF(DATOS_[id]=DATOS_[[#This Row],[id]],DATOS_[F.fin.cal]))=DATOS_[[#This Row],[F.fin.cal]],"Sí","NO")</f>
        <v>Sí</v>
      </c>
      <c r="BT74" s="292" t="str">
        <f>IF(AND(DATOS_[[#This Row],[% normaliz]]&lt;&gt;1,DATOS_[[#This Row],[% anualiz]]=1),"Sí","NO")</f>
        <v>NO</v>
      </c>
      <c r="BU74" s="292" t="str">
        <f>IF(AND(DATOS_[[#This Row],[% normaliz]]=1,DATOS_[[#This Row],[% anualiz]]&lt;&gt;1),"Sí","NO")</f>
        <v>Sí</v>
      </c>
      <c r="BV74" s="292" t="str">
        <f>IF(AND(DATOS_[[#This Row],[% normaliz]]&lt;&gt;1,DATOS_[[#This Row],[% anualiz]]&lt;&gt;1),"Sí","NO")</f>
        <v>NO</v>
      </c>
      <c r="BW74" s="322" t="str">
        <f>+IF(DATOS_[[#This Row],[% normaliz]]*DATOS_[[#This Row],[% anualiz]]=1,"NO","Sí")</f>
        <v>Sí</v>
      </c>
      <c r="BX74" s="323">
        <f>(DATOS_[[#This Row],[S.BASE]]*(1/DATOS_[[#This Row],[% normaliz]])*(1/DATOS_[[#This Row],[% anualiz]]))*IF(DATOS_[[#This Row],[Check Equiparado]]="Sí",1,0)</f>
        <v>-3853.5287671232877</v>
      </c>
      <c r="BY7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-188.73424657534247</v>
      </c>
      <c r="BZ74" s="323">
        <f>+DATOS_[[#This Row],[SALARIO BASE Eq]]+DATOS_[[#This Row],[Tot COMPL.SAL Eq]]</f>
        <v>-4042.2630136986299</v>
      </c>
      <c r="CA74" s="323">
        <f t="array" ref="CA7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420</v>
      </c>
      <c r="CB74" s="323">
        <f>+DATOS_[[#This Row],[TOTAL SALARIO Eq]]+DATOS_[[#This Row],[Tot Extrasalarial Eq]]</f>
        <v>-3622.2630136986299</v>
      </c>
      <c r="CC74" s="327">
        <f>DATOS_[[#This Row],[S.BASE]]</f>
        <v>11529</v>
      </c>
      <c r="CD74" s="324">
        <f>+SUM(DATOS_[[#This Row],[Conc.Sal.01]:[Conc.Sal.30]])</f>
        <v>884</v>
      </c>
      <c r="CE74" s="324">
        <f>+DATOS_[[#This Row],[SALARIO BASE Ef]]+DATOS_[[#This Row],[Tot COMPL.SAL Ef]]</f>
        <v>12413</v>
      </c>
      <c r="CF74" s="324">
        <f>+SUM(DATOS_[[#This Row],[C.Extra.01]:[C.Extra.05]])</f>
        <v>420</v>
      </c>
      <c r="CG74" s="330">
        <f>+DATOS_[[#This Row],[TOTAL SALARIO Ef]]+DATOS_[[#This Row],[Tot Extrasalarial Ef]]</f>
        <v>12833</v>
      </c>
      <c r="CH74" s="303">
        <f>MIN(IF(DATOS_[[#This Row],[Fecha Fin Contrato]]="",$D$4,DATOS_[[#This Row],[Fecha Fin Contrato]]),$D$4)-MAX(DATOS_[[#This Row],[Fecha de Contratación]],$D$3)+1</f>
        <v>-1095</v>
      </c>
      <c r="CI74" s="304" t="str">
        <f>IF(COUNTIFS(DATOS_[id],DATOS_[[#This Row],[id]])&gt;1,DATOS_[[#This Row],[id]],"")</f>
        <v/>
      </c>
      <c r="CJ74" s="325">
        <f>(Inicio!$G$10-DATOS_[[#This Row],[Fecha Nacimiento]])/365.25</f>
        <v>35.063655030800824</v>
      </c>
      <c r="CK74" s="325">
        <f>(Inicio!$G$10-DATOS_[[#This Row],[Fecha de Antigüedad]])/365.25</f>
        <v>4.6680355920602326</v>
      </c>
      <c r="CL74" s="325" t="str">
        <f>+VLOOKUP(DATOS_[[#This Row],[Clave de Contrato]],TblTiposContrato13[],3,FALSE)</f>
        <v>Completa</v>
      </c>
      <c r="CM74" s="325" t="str">
        <f>+VLOOKUP(DATOS_[[#This Row],[Clave de Contrato]],TblTiposContrato13[],4,FALSE)</f>
        <v>Temporal</v>
      </c>
      <c r="CN74" s="325" t="str">
        <f>VLOOKUP(DATOS_[[#This Row],[Edad]],CONTRATOS!TblRngEdad,2,TRUE)</f>
        <v>35 a 40</v>
      </c>
      <c r="CO74" s="325" t="str">
        <f>VLOOKUP(DATOS_[[#This Row],[Antigüedad]],TblRngAntg14[],2,TRUE)</f>
        <v>3 a 5  años</v>
      </c>
    </row>
    <row r="75" spans="2:93" x14ac:dyDescent="0.25">
      <c r="B75" s="146">
        <v>62</v>
      </c>
      <c r="C75" s="146" t="s">
        <v>163</v>
      </c>
      <c r="D75" s="295">
        <v>29930</v>
      </c>
      <c r="E75" s="296" t="s">
        <v>427</v>
      </c>
      <c r="F75" s="296">
        <v>3</v>
      </c>
      <c r="G75" s="296">
        <v>0</v>
      </c>
      <c r="H75" s="297">
        <v>43891</v>
      </c>
      <c r="I75" s="298">
        <v>44012</v>
      </c>
      <c r="J75" s="295">
        <v>43891</v>
      </c>
      <c r="K75" s="326">
        <v>43891</v>
      </c>
      <c r="L75" s="326">
        <v>44012</v>
      </c>
      <c r="M75" s="299">
        <v>1</v>
      </c>
      <c r="N75" s="299"/>
      <c r="O75" s="299"/>
      <c r="P75" s="296">
        <v>401</v>
      </c>
      <c r="Q75" s="146" t="s">
        <v>412</v>
      </c>
      <c r="R75" s="146" t="s">
        <v>417</v>
      </c>
      <c r="S75" s="146" t="s">
        <v>429</v>
      </c>
      <c r="T75" s="146" t="s">
        <v>407</v>
      </c>
      <c r="U75" s="146" t="s">
        <v>400</v>
      </c>
      <c r="V75" s="146" t="s">
        <v>126</v>
      </c>
      <c r="W75" s="146" t="s">
        <v>300</v>
      </c>
      <c r="X75" s="146" t="s">
        <v>309</v>
      </c>
      <c r="Y75" s="146" t="s">
        <v>409</v>
      </c>
      <c r="Z75" s="293"/>
      <c r="AA75" s="294" t="s">
        <v>430</v>
      </c>
      <c r="AB75" s="294">
        <v>5</v>
      </c>
      <c r="AC75" s="296">
        <v>6</v>
      </c>
      <c r="AD75" s="301">
        <v>5124</v>
      </c>
      <c r="AE75" s="301">
        <v>542</v>
      </c>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v>187</v>
      </c>
      <c r="BK75" s="301"/>
      <c r="BL75" s="301"/>
      <c r="BM75" s="302"/>
      <c r="BN75" s="291">
        <f>+MAX($D$3,DATOS_[[#This Row],[Fecha Inicio Sit. Contract.]])</f>
        <v>45292</v>
      </c>
      <c r="BO75" s="291">
        <f>+MIN($D$4,DATOS_[[#This Row],[Fecha Fin Sit. Contract.]])</f>
        <v>44012</v>
      </c>
      <c r="BP75" s="292">
        <f>+DATOS_[[#This Row],[% de jornada]]*IF(DATOS_[[#This Row],[% jornada reducida]]="",1,DATOS_[[#This Row],[% jornada reducida]])</f>
        <v>1</v>
      </c>
      <c r="BQ75" s="292">
        <f>+(DATOS_[[#This Row],[F.fin.cal]]-DATOS_[[#This Row],[F.ini.cal]]+1)/($D$4-$D$3+1)</f>
        <v>-3.4945355191256833</v>
      </c>
      <c r="BR75" s="322" t="str">
        <f>IF(OR(AND(DATOS_[[#This Row],[Fecha Fin Contrato]]&lt;$D$3,DATOS_[[#This Row],[Fecha Fin Contrato]]&lt;&gt;""),DATOS_[[#This Row],[Fecha de Contratación]]&gt;$D$4),"Fuera","Dentro")</f>
        <v>Fuera</v>
      </c>
      <c r="BS75" s="322" t="str">
        <f t="array" ref="BS75">IF(MAX(IF(DATOS_[id]=DATOS_[[#This Row],[id]],DATOS_[F.fin.cal]))=DATOS_[[#This Row],[F.fin.cal]],"Sí","NO")</f>
        <v>Sí</v>
      </c>
      <c r="BT75" s="292" t="str">
        <f>IF(AND(DATOS_[[#This Row],[% normaliz]]&lt;&gt;1,DATOS_[[#This Row],[% anualiz]]=1),"Sí","NO")</f>
        <v>NO</v>
      </c>
      <c r="BU75" s="292" t="str">
        <f>IF(AND(DATOS_[[#This Row],[% normaliz]]=1,DATOS_[[#This Row],[% anualiz]]&lt;&gt;1),"Sí","NO")</f>
        <v>Sí</v>
      </c>
      <c r="BV75" s="292" t="str">
        <f>IF(AND(DATOS_[[#This Row],[% normaliz]]&lt;&gt;1,DATOS_[[#This Row],[% anualiz]]&lt;&gt;1),"Sí","NO")</f>
        <v>NO</v>
      </c>
      <c r="BW75" s="322" t="str">
        <f>+IF(DATOS_[[#This Row],[% normaliz]]*DATOS_[[#This Row],[% anualiz]]=1,"NO","Sí")</f>
        <v>Sí</v>
      </c>
      <c r="BX75" s="323">
        <f>(DATOS_[[#This Row],[S.BASE]]*(1/DATOS_[[#This Row],[% normaliz]])*(1/DATOS_[[#This Row],[% anualiz]]))*IF(DATOS_[[#This Row],[Check Equiparado]]="Sí",1,0)</f>
        <v>-1466.2892885066458</v>
      </c>
      <c r="BY7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-155.0992963252541</v>
      </c>
      <c r="BZ75" s="323">
        <f>+DATOS_[[#This Row],[SALARIO BASE Eq]]+DATOS_[[#This Row],[Tot COMPL.SAL Eq]]</f>
        <v>-1621.3885848318998</v>
      </c>
      <c r="CA75" s="323">
        <f t="array" ref="CA7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187</v>
      </c>
      <c r="CB75" s="323">
        <f>+DATOS_[[#This Row],[TOTAL SALARIO Eq]]+DATOS_[[#This Row],[Tot Extrasalarial Eq]]</f>
        <v>-1434.3885848318998</v>
      </c>
      <c r="CC75" s="327">
        <f>DATOS_[[#This Row],[S.BASE]]</f>
        <v>5124</v>
      </c>
      <c r="CD75" s="324">
        <f>+SUM(DATOS_[[#This Row],[Conc.Sal.01]:[Conc.Sal.30]])</f>
        <v>542</v>
      </c>
      <c r="CE75" s="324">
        <f>+DATOS_[[#This Row],[SALARIO BASE Ef]]+DATOS_[[#This Row],[Tot COMPL.SAL Ef]]</f>
        <v>5666</v>
      </c>
      <c r="CF75" s="324">
        <f>+SUM(DATOS_[[#This Row],[C.Extra.01]:[C.Extra.05]])</f>
        <v>187</v>
      </c>
      <c r="CG75" s="330">
        <f>+DATOS_[[#This Row],[TOTAL SALARIO Ef]]+DATOS_[[#This Row],[Tot Extrasalarial Ef]]</f>
        <v>5853</v>
      </c>
      <c r="CH75" s="303">
        <f>MIN(IF(DATOS_[[#This Row],[Fecha Fin Contrato]]="",$D$4,DATOS_[[#This Row],[Fecha Fin Contrato]]),$D$4)-MAX(DATOS_[[#This Row],[Fecha de Contratación]],$D$3)+1</f>
        <v>-1279</v>
      </c>
      <c r="CI75" s="304" t="str">
        <f>IF(COUNTIFS(DATOS_[id],DATOS_[[#This Row],[id]])&gt;1,DATOS_[[#This Row],[id]],"")</f>
        <v/>
      </c>
      <c r="CJ75" s="325">
        <f>(Inicio!$G$10-DATOS_[[#This Row],[Fecha Nacimiento]])/365.25</f>
        <v>43.058179329226554</v>
      </c>
      <c r="CK75" s="325">
        <f>(Inicio!$G$10-DATOS_[[#This Row],[Fecha de Antigüedad]])/365.25</f>
        <v>4.8350444900752905</v>
      </c>
      <c r="CL75" s="325" t="str">
        <f>+VLOOKUP(DATOS_[[#This Row],[Clave de Contrato]],TblTiposContrato13[],3,FALSE)</f>
        <v>Completa</v>
      </c>
      <c r="CM75" s="325" t="str">
        <f>+VLOOKUP(DATOS_[[#This Row],[Clave de Contrato]],TblTiposContrato13[],4,FALSE)</f>
        <v>Temporal</v>
      </c>
      <c r="CN75" s="325" t="str">
        <f>VLOOKUP(DATOS_[[#This Row],[Edad]],CONTRATOS!TblRngEdad,2,TRUE)</f>
        <v>40 a 45</v>
      </c>
      <c r="CO75" s="325" t="str">
        <f>VLOOKUP(DATOS_[[#This Row],[Antigüedad]],TblRngAntg14[],2,TRUE)</f>
        <v>3 a 5  años</v>
      </c>
    </row>
    <row r="76" spans="2:93" x14ac:dyDescent="0.25">
      <c r="B76" s="146">
        <v>63</v>
      </c>
      <c r="C76" s="146" t="s">
        <v>163</v>
      </c>
      <c r="D76" s="295">
        <v>26280</v>
      </c>
      <c r="E76" s="296" t="s">
        <v>427</v>
      </c>
      <c r="F76" s="296">
        <v>3</v>
      </c>
      <c r="G76" s="296">
        <v>0</v>
      </c>
      <c r="H76" s="297">
        <v>43891</v>
      </c>
      <c r="I76" s="298">
        <v>44012</v>
      </c>
      <c r="J76" s="295">
        <v>43891</v>
      </c>
      <c r="K76" s="326">
        <v>43891</v>
      </c>
      <c r="L76" s="326">
        <v>44012</v>
      </c>
      <c r="M76" s="299">
        <v>1</v>
      </c>
      <c r="N76" s="299"/>
      <c r="O76" s="299"/>
      <c r="P76" s="296">
        <v>401</v>
      </c>
      <c r="Q76" s="146" t="s">
        <v>412</v>
      </c>
      <c r="R76" s="146" t="s">
        <v>417</v>
      </c>
      <c r="S76" s="146" t="s">
        <v>429</v>
      </c>
      <c r="T76" s="146" t="s">
        <v>407</v>
      </c>
      <c r="U76" s="146" t="s">
        <v>400</v>
      </c>
      <c r="V76" s="146" t="s">
        <v>126</v>
      </c>
      <c r="W76" s="146" t="s">
        <v>300</v>
      </c>
      <c r="X76" s="146" t="s">
        <v>309</v>
      </c>
      <c r="Y76" s="146" t="s">
        <v>409</v>
      </c>
      <c r="Z76" s="293"/>
      <c r="AA76" s="294" t="s">
        <v>430</v>
      </c>
      <c r="AB76" s="294">
        <v>5</v>
      </c>
      <c r="AC76" s="296">
        <v>6</v>
      </c>
      <c r="AD76" s="301">
        <v>5124</v>
      </c>
      <c r="AE76" s="301">
        <v>542</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v>187</v>
      </c>
      <c r="BK76" s="301"/>
      <c r="BL76" s="301"/>
      <c r="BM76" s="302"/>
      <c r="BN76" s="291">
        <f>+MAX($D$3,DATOS_[[#This Row],[Fecha Inicio Sit. Contract.]])</f>
        <v>45292</v>
      </c>
      <c r="BO76" s="291">
        <f>+MIN($D$4,DATOS_[[#This Row],[Fecha Fin Sit. Contract.]])</f>
        <v>44012</v>
      </c>
      <c r="BP76" s="292">
        <f>+DATOS_[[#This Row],[% de jornada]]*IF(DATOS_[[#This Row],[% jornada reducida]]="",1,DATOS_[[#This Row],[% jornada reducida]])</f>
        <v>1</v>
      </c>
      <c r="BQ76" s="292">
        <f>+(DATOS_[[#This Row],[F.fin.cal]]-DATOS_[[#This Row],[F.ini.cal]]+1)/($D$4-$D$3+1)</f>
        <v>-3.4945355191256833</v>
      </c>
      <c r="BR76" s="322" t="str">
        <f>IF(OR(AND(DATOS_[[#This Row],[Fecha Fin Contrato]]&lt;$D$3,DATOS_[[#This Row],[Fecha Fin Contrato]]&lt;&gt;""),DATOS_[[#This Row],[Fecha de Contratación]]&gt;$D$4),"Fuera","Dentro")</f>
        <v>Fuera</v>
      </c>
      <c r="BS76" s="322" t="str">
        <f t="array" ref="BS76">IF(MAX(IF(DATOS_[id]=DATOS_[[#This Row],[id]],DATOS_[F.fin.cal]))=DATOS_[[#This Row],[F.fin.cal]],"Sí","NO")</f>
        <v>Sí</v>
      </c>
      <c r="BT76" s="292" t="str">
        <f>IF(AND(DATOS_[[#This Row],[% normaliz]]&lt;&gt;1,DATOS_[[#This Row],[% anualiz]]=1),"Sí","NO")</f>
        <v>NO</v>
      </c>
      <c r="BU76" s="292" t="str">
        <f>IF(AND(DATOS_[[#This Row],[% normaliz]]=1,DATOS_[[#This Row],[% anualiz]]&lt;&gt;1),"Sí","NO")</f>
        <v>Sí</v>
      </c>
      <c r="BV76" s="292" t="str">
        <f>IF(AND(DATOS_[[#This Row],[% normaliz]]&lt;&gt;1,DATOS_[[#This Row],[% anualiz]]&lt;&gt;1),"Sí","NO")</f>
        <v>NO</v>
      </c>
      <c r="BW76" s="322" t="str">
        <f>+IF(DATOS_[[#This Row],[% normaliz]]*DATOS_[[#This Row],[% anualiz]]=1,"NO","Sí")</f>
        <v>Sí</v>
      </c>
      <c r="BX76" s="323">
        <f>(DATOS_[[#This Row],[S.BASE]]*(1/DATOS_[[#This Row],[% normaliz]])*(1/DATOS_[[#This Row],[% anualiz]]))*IF(DATOS_[[#This Row],[Check Equiparado]]="Sí",1,0)</f>
        <v>-1466.2892885066458</v>
      </c>
      <c r="BY7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-155.0992963252541</v>
      </c>
      <c r="BZ76" s="323">
        <f>+DATOS_[[#This Row],[SALARIO BASE Eq]]+DATOS_[[#This Row],[Tot COMPL.SAL Eq]]</f>
        <v>-1621.3885848318998</v>
      </c>
      <c r="CA76" s="323">
        <f t="array" ref="CA7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187</v>
      </c>
      <c r="CB76" s="323">
        <f>+DATOS_[[#This Row],[TOTAL SALARIO Eq]]+DATOS_[[#This Row],[Tot Extrasalarial Eq]]</f>
        <v>-1434.3885848318998</v>
      </c>
      <c r="CC76" s="327">
        <f>DATOS_[[#This Row],[S.BASE]]</f>
        <v>5124</v>
      </c>
      <c r="CD76" s="324">
        <f>+SUM(DATOS_[[#This Row],[Conc.Sal.01]:[Conc.Sal.30]])</f>
        <v>542</v>
      </c>
      <c r="CE76" s="324">
        <f>+DATOS_[[#This Row],[SALARIO BASE Ef]]+DATOS_[[#This Row],[Tot COMPL.SAL Ef]]</f>
        <v>5666</v>
      </c>
      <c r="CF76" s="324">
        <f>+SUM(DATOS_[[#This Row],[C.Extra.01]:[C.Extra.05]])</f>
        <v>187</v>
      </c>
      <c r="CG76" s="330">
        <f>+DATOS_[[#This Row],[TOTAL SALARIO Ef]]+DATOS_[[#This Row],[Tot Extrasalarial Ef]]</f>
        <v>5853</v>
      </c>
      <c r="CH76" s="303">
        <f>MIN(IF(DATOS_[[#This Row],[Fecha Fin Contrato]]="",$D$4,DATOS_[[#This Row],[Fecha Fin Contrato]]),$D$4)-MAX(DATOS_[[#This Row],[Fecha de Contratación]],$D$3)+1</f>
        <v>-1279</v>
      </c>
      <c r="CI76" s="304" t="str">
        <f>IF(COUNTIFS(DATOS_[id],DATOS_[[#This Row],[id]])&gt;1,DATOS_[[#This Row],[id]],"")</f>
        <v/>
      </c>
      <c r="CJ76" s="325">
        <f>(Inicio!$G$10-DATOS_[[#This Row],[Fecha Nacimiento]])/365.25</f>
        <v>53.051334702258728</v>
      </c>
      <c r="CK76" s="325">
        <f>(Inicio!$G$10-DATOS_[[#This Row],[Fecha de Antigüedad]])/365.25</f>
        <v>4.8350444900752905</v>
      </c>
      <c r="CL76" s="325" t="str">
        <f>+VLOOKUP(DATOS_[[#This Row],[Clave de Contrato]],TblTiposContrato13[],3,FALSE)</f>
        <v>Completa</v>
      </c>
      <c r="CM76" s="325" t="str">
        <f>+VLOOKUP(DATOS_[[#This Row],[Clave de Contrato]],TblTiposContrato13[],4,FALSE)</f>
        <v>Temporal</v>
      </c>
      <c r="CN76" s="325" t="str">
        <f>VLOOKUP(DATOS_[[#This Row],[Edad]],CONTRATOS!TblRngEdad,2,TRUE)</f>
        <v>50 a 55</v>
      </c>
      <c r="CO76" s="325" t="str">
        <f>VLOOKUP(DATOS_[[#This Row],[Antigüedad]],TblRngAntg14[],2,TRUE)</f>
        <v>3 a 5  años</v>
      </c>
    </row>
    <row r="77" spans="2:93" x14ac:dyDescent="0.25">
      <c r="B77" s="146">
        <v>64</v>
      </c>
      <c r="C77" s="146" t="s">
        <v>163</v>
      </c>
      <c r="D77" s="295">
        <v>33945</v>
      </c>
      <c r="E77" s="296" t="s">
        <v>403</v>
      </c>
      <c r="F77" s="296">
        <v>3</v>
      </c>
      <c r="G77" s="296">
        <v>0</v>
      </c>
      <c r="H77" s="297">
        <v>44136</v>
      </c>
      <c r="I77" s="298"/>
      <c r="J77" s="295">
        <v>44136</v>
      </c>
      <c r="K77" s="326">
        <v>44136</v>
      </c>
      <c r="L77" s="326"/>
      <c r="M77" s="299">
        <v>0.5</v>
      </c>
      <c r="N77" s="299"/>
      <c r="O77" s="299"/>
      <c r="P77" s="296">
        <v>401</v>
      </c>
      <c r="Q77" s="146" t="s">
        <v>412</v>
      </c>
      <c r="R77" s="146" t="s">
        <v>418</v>
      </c>
      <c r="S77" s="146" t="s">
        <v>429</v>
      </c>
      <c r="T77" s="146" t="s">
        <v>407</v>
      </c>
      <c r="U77" s="146" t="s">
        <v>400</v>
      </c>
      <c r="V77" s="146" t="s">
        <v>126</v>
      </c>
      <c r="W77" s="146" t="s">
        <v>300</v>
      </c>
      <c r="X77" s="146" t="s">
        <v>309</v>
      </c>
      <c r="Y77" s="146" t="s">
        <v>409</v>
      </c>
      <c r="Z77" s="293"/>
      <c r="AA77" s="294" t="s">
        <v>430</v>
      </c>
      <c r="AB77" s="294">
        <v>5</v>
      </c>
      <c r="AC77" s="296">
        <v>6</v>
      </c>
      <c r="AD77" s="301">
        <v>1281</v>
      </c>
      <c r="AE77" s="301">
        <v>135.5</v>
      </c>
      <c r="AF77" s="301"/>
      <c r="AG77" s="301"/>
      <c r="AH77" s="301"/>
      <c r="AI77" s="301"/>
      <c r="AJ77" s="301"/>
      <c r="AK77" s="301">
        <v>80</v>
      </c>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2"/>
      <c r="BN77" s="291">
        <f>+MAX($D$3,DATOS_[[#This Row],[Fecha Inicio Sit. Contract.]])</f>
        <v>45292</v>
      </c>
      <c r="BO77" s="291">
        <f>+MIN($D$4,DATOS_[[#This Row],[Fecha Fin Sit. Contract.]])</f>
        <v>45657</v>
      </c>
      <c r="BP77" s="292">
        <f>+DATOS_[[#This Row],[% de jornada]]*IF(DATOS_[[#This Row],[% jornada reducida]]="",1,DATOS_[[#This Row],[% jornada reducida]])</f>
        <v>0.5</v>
      </c>
      <c r="BQ77" s="292">
        <f>+(DATOS_[[#This Row],[F.fin.cal]]-DATOS_[[#This Row],[F.ini.cal]]+1)/($D$4-$D$3+1)</f>
        <v>1</v>
      </c>
      <c r="BR77" s="322" t="str">
        <f>IF(OR(AND(DATOS_[[#This Row],[Fecha Fin Contrato]]&lt;$D$3,DATOS_[[#This Row],[Fecha Fin Contrato]]&lt;&gt;""),DATOS_[[#This Row],[Fecha de Contratación]]&gt;$D$4),"Fuera","Dentro")</f>
        <v>Dentro</v>
      </c>
      <c r="BS77" s="322" t="str">
        <f t="array" ref="BS77">IF(MAX(IF(DATOS_[id]=DATOS_[[#This Row],[id]],DATOS_[F.fin.cal]))=DATOS_[[#This Row],[F.fin.cal]],"Sí","NO")</f>
        <v>Sí</v>
      </c>
      <c r="BT77" s="292" t="str">
        <f>IF(AND(DATOS_[[#This Row],[% normaliz]]&lt;&gt;1,DATOS_[[#This Row],[% anualiz]]=1),"Sí","NO")</f>
        <v>Sí</v>
      </c>
      <c r="BU77" s="292" t="str">
        <f>IF(AND(DATOS_[[#This Row],[% normaliz]]=1,DATOS_[[#This Row],[% anualiz]]&lt;&gt;1),"Sí","NO")</f>
        <v>NO</v>
      </c>
      <c r="BV77" s="292" t="str">
        <f>IF(AND(DATOS_[[#This Row],[% normaliz]]&lt;&gt;1,DATOS_[[#This Row],[% anualiz]]&lt;&gt;1),"Sí","NO")</f>
        <v>NO</v>
      </c>
      <c r="BW77" s="322" t="str">
        <f>+IF(DATOS_[[#This Row],[% normaliz]]*DATOS_[[#This Row],[% anualiz]]=1,"NO","Sí")</f>
        <v>Sí</v>
      </c>
      <c r="BX77" s="323">
        <f>(DATOS_[[#This Row],[S.BASE]]*(1/DATOS_[[#This Row],[% normaliz]])*(1/DATOS_[[#This Row],[% anualiz]]))*IF(DATOS_[[#This Row],[Check Equiparado]]="Sí",1,0)</f>
        <v>2562</v>
      </c>
      <c r="BY7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351</v>
      </c>
      <c r="BZ77" s="323">
        <f>+DATOS_[[#This Row],[SALARIO BASE Eq]]+DATOS_[[#This Row],[Tot COMPL.SAL Eq]]</f>
        <v>2913</v>
      </c>
      <c r="CA77" s="323">
        <f t="array" ref="CA7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7" s="323">
        <f>+DATOS_[[#This Row],[TOTAL SALARIO Eq]]+DATOS_[[#This Row],[Tot Extrasalarial Eq]]</f>
        <v>2913</v>
      </c>
      <c r="CC77" s="327">
        <f>DATOS_[[#This Row],[S.BASE]]</f>
        <v>1281</v>
      </c>
      <c r="CD77" s="324">
        <f>+SUM(DATOS_[[#This Row],[Conc.Sal.01]:[Conc.Sal.30]])</f>
        <v>215.5</v>
      </c>
      <c r="CE77" s="324">
        <f>+DATOS_[[#This Row],[SALARIO BASE Ef]]+DATOS_[[#This Row],[Tot COMPL.SAL Ef]]</f>
        <v>1496.5</v>
      </c>
      <c r="CF77" s="324">
        <f>+SUM(DATOS_[[#This Row],[C.Extra.01]:[C.Extra.05]])</f>
        <v>0</v>
      </c>
      <c r="CG77" s="330">
        <f>+DATOS_[[#This Row],[TOTAL SALARIO Ef]]+DATOS_[[#This Row],[Tot Extrasalarial Ef]]</f>
        <v>1496.5</v>
      </c>
      <c r="CH77" s="303">
        <f>MIN(IF(DATOS_[[#This Row],[Fecha Fin Contrato]]="",$D$4,DATOS_[[#This Row],[Fecha Fin Contrato]]),$D$4)-MAX(DATOS_[[#This Row],[Fecha de Contratación]],$D$3)+1</f>
        <v>366</v>
      </c>
      <c r="CI77" s="304" t="str">
        <f>IF(COUNTIFS(DATOS_[id],DATOS_[[#This Row],[id]])&gt;1,DATOS_[[#This Row],[id]],"")</f>
        <v/>
      </c>
      <c r="CJ77" s="325">
        <f>(Inicio!$G$10-DATOS_[[#This Row],[Fecha Nacimiento]])/365.25</f>
        <v>32.06570841889117</v>
      </c>
      <c r="CK77" s="325">
        <f>(Inicio!$G$10-DATOS_[[#This Row],[Fecha de Antigüedad]])/365.25</f>
        <v>4.1642710472279258</v>
      </c>
      <c r="CL77" s="325" t="str">
        <f>+VLOOKUP(DATOS_[[#This Row],[Clave de Contrato]],TblTiposContrato13[],3,FALSE)</f>
        <v>Completa</v>
      </c>
      <c r="CM77" s="325" t="str">
        <f>+VLOOKUP(DATOS_[[#This Row],[Clave de Contrato]],TblTiposContrato13[],4,FALSE)</f>
        <v>Temporal</v>
      </c>
      <c r="CN77" s="325" t="str">
        <f>VLOOKUP(DATOS_[[#This Row],[Edad]],CONTRATOS!TblRngEdad,2,TRUE)</f>
        <v>30 a 35</v>
      </c>
      <c r="CO77" s="325" t="str">
        <f>VLOOKUP(DATOS_[[#This Row],[Antigüedad]],TblRngAntg14[],2,TRUE)</f>
        <v>3 a 5  años</v>
      </c>
    </row>
    <row r="78" spans="2:93" x14ac:dyDescent="0.25">
      <c r="B78" s="146">
        <v>65</v>
      </c>
      <c r="C78" s="146" t="s">
        <v>163</v>
      </c>
      <c r="D78" s="295">
        <v>26280</v>
      </c>
      <c r="E78" s="296" t="s">
        <v>403</v>
      </c>
      <c r="F78" s="296">
        <v>3</v>
      </c>
      <c r="G78" s="296">
        <v>0</v>
      </c>
      <c r="H78" s="297">
        <v>39560</v>
      </c>
      <c r="I78" s="298"/>
      <c r="J78" s="295">
        <v>39560</v>
      </c>
      <c r="K78" s="326"/>
      <c r="L78" s="326"/>
      <c r="M78" s="299">
        <v>1</v>
      </c>
      <c r="N78" s="299"/>
      <c r="O78" s="299"/>
      <c r="P78" s="296">
        <v>100</v>
      </c>
      <c r="Q78" s="146" t="s">
        <v>412</v>
      </c>
      <c r="R78" s="146" t="s">
        <v>417</v>
      </c>
      <c r="S78" s="146" t="s">
        <v>429</v>
      </c>
      <c r="T78" s="146" t="s">
        <v>407</v>
      </c>
      <c r="U78" s="146" t="s">
        <v>399</v>
      </c>
      <c r="V78" s="146" t="s">
        <v>126</v>
      </c>
      <c r="W78" s="146" t="s">
        <v>300</v>
      </c>
      <c r="X78" s="146" t="s">
        <v>309</v>
      </c>
      <c r="Y78" s="146" t="s">
        <v>409</v>
      </c>
      <c r="Z78" s="293"/>
      <c r="AA78" s="294" t="s">
        <v>430</v>
      </c>
      <c r="AB78" s="294">
        <v>5</v>
      </c>
      <c r="AC78" s="296">
        <v>6</v>
      </c>
      <c r="AD78" s="301">
        <v>15372.42</v>
      </c>
      <c r="AE78" s="301">
        <v>1627.58</v>
      </c>
      <c r="AF78" s="301">
        <v>1229.7936</v>
      </c>
      <c r="AG78" s="301"/>
      <c r="AH78" s="301"/>
      <c r="AI78" s="301"/>
      <c r="AJ78" s="301"/>
      <c r="AK78" s="301">
        <v>80</v>
      </c>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2"/>
      <c r="BN78" s="291">
        <f>+MAX($D$3,DATOS_[[#This Row],[Fecha Inicio Sit. Contract.]])</f>
        <v>45292</v>
      </c>
      <c r="BO78" s="291">
        <f>+MIN($D$4,DATOS_[[#This Row],[Fecha Fin Sit. Contract.]])</f>
        <v>45657</v>
      </c>
      <c r="BP78" s="292">
        <f>+DATOS_[[#This Row],[% de jornada]]*IF(DATOS_[[#This Row],[% jornada reducida]]="",1,DATOS_[[#This Row],[% jornada reducida]])</f>
        <v>1</v>
      </c>
      <c r="BQ78" s="292">
        <f>+(DATOS_[[#This Row],[F.fin.cal]]-DATOS_[[#This Row],[F.ini.cal]]+1)/($D$4-$D$3+1)</f>
        <v>1</v>
      </c>
      <c r="BR78" s="322" t="str">
        <f>IF(OR(AND(DATOS_[[#This Row],[Fecha Fin Contrato]]&lt;$D$3,DATOS_[[#This Row],[Fecha Fin Contrato]]&lt;&gt;""),DATOS_[[#This Row],[Fecha de Contratación]]&gt;$D$4),"Fuera","Dentro")</f>
        <v>Dentro</v>
      </c>
      <c r="BS78" s="322" t="str">
        <f t="array" ref="BS78">IF(MAX(IF(DATOS_[id]=DATOS_[[#This Row],[id]],DATOS_[F.fin.cal]))=DATOS_[[#This Row],[F.fin.cal]],"Sí","NO")</f>
        <v>Sí</v>
      </c>
      <c r="BT78" s="292" t="str">
        <f>IF(AND(DATOS_[[#This Row],[% normaliz]]&lt;&gt;1,DATOS_[[#This Row],[% anualiz]]=1),"Sí","NO")</f>
        <v>NO</v>
      </c>
      <c r="BU78" s="292" t="str">
        <f>IF(AND(DATOS_[[#This Row],[% normaliz]]=1,DATOS_[[#This Row],[% anualiz]]&lt;&gt;1),"Sí","NO")</f>
        <v>NO</v>
      </c>
      <c r="BV78" s="292" t="str">
        <f>IF(AND(DATOS_[[#This Row],[% normaliz]]&lt;&gt;1,DATOS_[[#This Row],[% anualiz]]&lt;&gt;1),"Sí","NO")</f>
        <v>NO</v>
      </c>
      <c r="BW78" s="322" t="str">
        <f>+IF(DATOS_[[#This Row],[% normaliz]]*DATOS_[[#This Row],[% anualiz]]=1,"NO","Sí")</f>
        <v>NO</v>
      </c>
      <c r="BX78" s="323">
        <f>(DATOS_[[#This Row],[S.BASE]]*(1/DATOS_[[#This Row],[% normaliz]])*(1/DATOS_[[#This Row],[% anualiz]]))*IF(DATOS_[[#This Row],[Check Equiparado]]="Sí",1,0)</f>
        <v>15372.42</v>
      </c>
      <c r="BY7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2937.3735999999999</v>
      </c>
      <c r="BZ78" s="323">
        <f>+DATOS_[[#This Row],[SALARIO BASE Eq]]+DATOS_[[#This Row],[Tot COMPL.SAL Eq]]</f>
        <v>18309.793600000001</v>
      </c>
      <c r="CA78" s="323">
        <f t="array" ref="CA7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8" s="323">
        <f>+DATOS_[[#This Row],[TOTAL SALARIO Eq]]+DATOS_[[#This Row],[Tot Extrasalarial Eq]]</f>
        <v>18309.793600000001</v>
      </c>
      <c r="CC78" s="327">
        <f>DATOS_[[#This Row],[S.BASE]]</f>
        <v>15372.42</v>
      </c>
      <c r="CD78" s="324">
        <f>+SUM(DATOS_[[#This Row],[Conc.Sal.01]:[Conc.Sal.30]])</f>
        <v>2937.3735999999999</v>
      </c>
      <c r="CE78" s="324">
        <f>+DATOS_[[#This Row],[SALARIO BASE Ef]]+DATOS_[[#This Row],[Tot COMPL.SAL Ef]]</f>
        <v>18309.793600000001</v>
      </c>
      <c r="CF78" s="324">
        <f>+SUM(DATOS_[[#This Row],[C.Extra.01]:[C.Extra.05]])</f>
        <v>0</v>
      </c>
      <c r="CG78" s="330">
        <f>+DATOS_[[#This Row],[TOTAL SALARIO Ef]]+DATOS_[[#This Row],[Tot Extrasalarial Ef]]</f>
        <v>18309.793600000001</v>
      </c>
      <c r="CH78" s="303">
        <f>MIN(IF(DATOS_[[#This Row],[Fecha Fin Contrato]]="",$D$4,DATOS_[[#This Row],[Fecha Fin Contrato]]),$D$4)-MAX(DATOS_[[#This Row],[Fecha de Contratación]],$D$3)+1</f>
        <v>366</v>
      </c>
      <c r="CI78" s="304" t="str">
        <f>IF(COUNTIFS(DATOS_[id],DATOS_[[#This Row],[id]])&gt;1,DATOS_[[#This Row],[id]],"")</f>
        <v/>
      </c>
      <c r="CJ78" s="325">
        <f>(Inicio!$G$10-DATOS_[[#This Row],[Fecha Nacimiento]])/365.25</f>
        <v>53.051334702258728</v>
      </c>
      <c r="CK78" s="325">
        <f>(Inicio!$G$10-DATOS_[[#This Row],[Fecha de Antigüedad]])/365.25</f>
        <v>16.692676249144423</v>
      </c>
      <c r="CL78" s="325" t="str">
        <f>+VLOOKUP(DATOS_[[#This Row],[Clave de Contrato]],TblTiposContrato13[],3,FALSE)</f>
        <v>Completa</v>
      </c>
      <c r="CM78" s="325" t="str">
        <f>+VLOOKUP(DATOS_[[#This Row],[Clave de Contrato]],TblTiposContrato13[],4,FALSE)</f>
        <v>Indefinido</v>
      </c>
      <c r="CN78" s="325" t="str">
        <f>VLOOKUP(DATOS_[[#This Row],[Edad]],CONTRATOS!TblRngEdad,2,TRUE)</f>
        <v>50 a 55</v>
      </c>
      <c r="CO78" s="325" t="str">
        <f>VLOOKUP(DATOS_[[#This Row],[Antigüedad]],TblRngAntg14[],2,TRUE)</f>
        <v>más de 15</v>
      </c>
    </row>
    <row r="79" spans="2:93" x14ac:dyDescent="0.25">
      <c r="B79" s="146">
        <v>66</v>
      </c>
      <c r="C79" s="146" t="s">
        <v>163</v>
      </c>
      <c r="D79" s="295">
        <v>36500</v>
      </c>
      <c r="E79" s="296" t="s">
        <v>403</v>
      </c>
      <c r="F79" s="296">
        <v>3</v>
      </c>
      <c r="G79" s="296">
        <v>0</v>
      </c>
      <c r="H79" s="297">
        <v>34666</v>
      </c>
      <c r="I79" s="298"/>
      <c r="J79" s="295">
        <v>34666</v>
      </c>
      <c r="K79" s="326"/>
      <c r="L79" s="326"/>
      <c r="M79" s="299">
        <v>1</v>
      </c>
      <c r="N79" s="299"/>
      <c r="O79" s="299"/>
      <c r="P79" s="296">
        <v>100</v>
      </c>
      <c r="Q79" s="146" t="s">
        <v>412</v>
      </c>
      <c r="R79" s="146" t="s">
        <v>417</v>
      </c>
      <c r="S79" s="146" t="s">
        <v>429</v>
      </c>
      <c r="T79" s="146" t="s">
        <v>407</v>
      </c>
      <c r="U79" s="146" t="s">
        <v>399</v>
      </c>
      <c r="V79" s="146" t="s">
        <v>126</v>
      </c>
      <c r="W79" s="146" t="s">
        <v>300</v>
      </c>
      <c r="X79" s="146" t="s">
        <v>309</v>
      </c>
      <c r="Y79" s="146" t="s">
        <v>409</v>
      </c>
      <c r="Z79" s="293"/>
      <c r="AA79" s="294" t="s">
        <v>430</v>
      </c>
      <c r="AB79" s="294">
        <v>5</v>
      </c>
      <c r="AC79" s="296">
        <v>6</v>
      </c>
      <c r="AD79" s="301">
        <v>15372.42</v>
      </c>
      <c r="AE79" s="301">
        <v>1627.58</v>
      </c>
      <c r="AF79" s="301">
        <v>3689.3807999999999</v>
      </c>
      <c r="AG79" s="301"/>
      <c r="AH79" s="301"/>
      <c r="AI79" s="301"/>
      <c r="AJ79" s="301"/>
      <c r="AK79" s="301">
        <v>80</v>
      </c>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2"/>
      <c r="BN79" s="291">
        <f>+MAX($D$3,DATOS_[[#This Row],[Fecha Inicio Sit. Contract.]])</f>
        <v>45292</v>
      </c>
      <c r="BO79" s="291">
        <f>+MIN($D$4,DATOS_[[#This Row],[Fecha Fin Sit. Contract.]])</f>
        <v>45657</v>
      </c>
      <c r="BP79" s="292">
        <f>+DATOS_[[#This Row],[% de jornada]]*IF(DATOS_[[#This Row],[% jornada reducida]]="",1,DATOS_[[#This Row],[% jornada reducida]])</f>
        <v>1</v>
      </c>
      <c r="BQ79" s="292">
        <f>+(DATOS_[[#This Row],[F.fin.cal]]-DATOS_[[#This Row],[F.ini.cal]]+1)/($D$4-$D$3+1)</f>
        <v>1</v>
      </c>
      <c r="BR79" s="322" t="str">
        <f>IF(OR(AND(DATOS_[[#This Row],[Fecha Fin Contrato]]&lt;$D$3,DATOS_[[#This Row],[Fecha Fin Contrato]]&lt;&gt;""),DATOS_[[#This Row],[Fecha de Contratación]]&gt;$D$4),"Fuera","Dentro")</f>
        <v>Dentro</v>
      </c>
      <c r="BS79" s="322" t="str">
        <f t="array" ref="BS79">IF(MAX(IF(DATOS_[id]=DATOS_[[#This Row],[id]],DATOS_[F.fin.cal]))=DATOS_[[#This Row],[F.fin.cal]],"Sí","NO")</f>
        <v>Sí</v>
      </c>
      <c r="BT79" s="292" t="str">
        <f>IF(AND(DATOS_[[#This Row],[% normaliz]]&lt;&gt;1,DATOS_[[#This Row],[% anualiz]]=1),"Sí","NO")</f>
        <v>NO</v>
      </c>
      <c r="BU79" s="292" t="str">
        <f>IF(AND(DATOS_[[#This Row],[% normaliz]]=1,DATOS_[[#This Row],[% anualiz]]&lt;&gt;1),"Sí","NO")</f>
        <v>NO</v>
      </c>
      <c r="BV79" s="292" t="str">
        <f>IF(AND(DATOS_[[#This Row],[% normaliz]]&lt;&gt;1,DATOS_[[#This Row],[% anualiz]]&lt;&gt;1),"Sí","NO")</f>
        <v>NO</v>
      </c>
      <c r="BW79" s="322" t="str">
        <f>+IF(DATOS_[[#This Row],[% normaliz]]*DATOS_[[#This Row],[% anualiz]]=1,"NO","Sí")</f>
        <v>NO</v>
      </c>
      <c r="BX79" s="323">
        <f>(DATOS_[[#This Row],[S.BASE]]*(1/DATOS_[[#This Row],[% normaliz]])*(1/DATOS_[[#This Row],[% anualiz]]))*IF(DATOS_[[#This Row],[Check Equiparado]]="Sí",1,0)</f>
        <v>15372.42</v>
      </c>
      <c r="BY7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5396.9607999999998</v>
      </c>
      <c r="BZ79" s="323">
        <f>+DATOS_[[#This Row],[SALARIO BASE Eq]]+DATOS_[[#This Row],[Tot COMPL.SAL Eq]]</f>
        <v>20769.380799999999</v>
      </c>
      <c r="CA79" s="323">
        <f t="array" ref="CA7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9" s="323">
        <f>+DATOS_[[#This Row],[TOTAL SALARIO Eq]]+DATOS_[[#This Row],[Tot Extrasalarial Eq]]</f>
        <v>20769.380799999999</v>
      </c>
      <c r="CC79" s="327">
        <f>DATOS_[[#This Row],[S.BASE]]</f>
        <v>15372.42</v>
      </c>
      <c r="CD79" s="324">
        <f>+SUM(DATOS_[[#This Row],[Conc.Sal.01]:[Conc.Sal.30]])</f>
        <v>5396.9607999999998</v>
      </c>
      <c r="CE79" s="324">
        <f>+DATOS_[[#This Row],[SALARIO BASE Ef]]+DATOS_[[#This Row],[Tot COMPL.SAL Ef]]</f>
        <v>20769.380799999999</v>
      </c>
      <c r="CF79" s="324">
        <f>+SUM(DATOS_[[#This Row],[C.Extra.01]:[C.Extra.05]])</f>
        <v>0</v>
      </c>
      <c r="CG79" s="330">
        <f>+DATOS_[[#This Row],[TOTAL SALARIO Ef]]+DATOS_[[#This Row],[Tot Extrasalarial Ef]]</f>
        <v>20769.380799999999</v>
      </c>
      <c r="CH79" s="303">
        <f>MIN(IF(DATOS_[[#This Row],[Fecha Fin Contrato]]="",$D$4,DATOS_[[#This Row],[Fecha Fin Contrato]]),$D$4)-MAX(DATOS_[[#This Row],[Fecha de Contratación]],$D$3)+1</f>
        <v>366</v>
      </c>
      <c r="CI79" s="304" t="str">
        <f>IF(COUNTIFS(DATOS_[id],DATOS_[[#This Row],[id]])&gt;1,DATOS_[[#This Row],[id]],"")</f>
        <v/>
      </c>
      <c r="CJ79" s="325">
        <f>(Inicio!$G$10-DATOS_[[#This Row],[Fecha Nacimiento]])/365.25</f>
        <v>25.07049965776865</v>
      </c>
      <c r="CK79" s="325">
        <f>(Inicio!$G$10-DATOS_[[#This Row],[Fecha de Antigüedad]])/365.25</f>
        <v>30.091718001368925</v>
      </c>
      <c r="CL79" s="325" t="str">
        <f>+VLOOKUP(DATOS_[[#This Row],[Clave de Contrato]],TblTiposContrato13[],3,FALSE)</f>
        <v>Completa</v>
      </c>
      <c r="CM79" s="325" t="str">
        <f>+VLOOKUP(DATOS_[[#This Row],[Clave de Contrato]],TblTiposContrato13[],4,FALSE)</f>
        <v>Indefinido</v>
      </c>
      <c r="CN79" s="325" t="str">
        <f>VLOOKUP(DATOS_[[#This Row],[Edad]],CONTRATOS!TblRngEdad,2,TRUE)</f>
        <v>25 a 30</v>
      </c>
      <c r="CO79" s="325" t="str">
        <f>VLOOKUP(DATOS_[[#This Row],[Antigüedad]],TblRngAntg14[],2,TRUE)</f>
        <v>más de 15</v>
      </c>
    </row>
    <row r="80" spans="2:93" x14ac:dyDescent="0.25">
      <c r="B80" s="146">
        <v>67</v>
      </c>
      <c r="C80" s="146" t="s">
        <v>163</v>
      </c>
      <c r="D80" s="295">
        <v>33580</v>
      </c>
      <c r="E80" s="296" t="s">
        <v>427</v>
      </c>
      <c r="F80" s="296">
        <v>3</v>
      </c>
      <c r="G80" s="296">
        <v>0</v>
      </c>
      <c r="H80" s="297">
        <v>36930</v>
      </c>
      <c r="I80" s="298"/>
      <c r="J80" s="295">
        <v>36930</v>
      </c>
      <c r="K80" s="326"/>
      <c r="L80" s="326"/>
      <c r="M80" s="299">
        <v>1</v>
      </c>
      <c r="N80" s="299">
        <v>0.8</v>
      </c>
      <c r="O80" s="299" t="s">
        <v>147</v>
      </c>
      <c r="P80" s="296">
        <v>100</v>
      </c>
      <c r="Q80" s="146" t="s">
        <v>412</v>
      </c>
      <c r="R80" s="146" t="s">
        <v>417</v>
      </c>
      <c r="S80" s="146" t="s">
        <v>429</v>
      </c>
      <c r="T80" s="146" t="s">
        <v>407</v>
      </c>
      <c r="U80" s="146" t="s">
        <v>399</v>
      </c>
      <c r="V80" s="146" t="s">
        <v>126</v>
      </c>
      <c r="W80" s="146" t="s">
        <v>300</v>
      </c>
      <c r="X80" s="146" t="s">
        <v>309</v>
      </c>
      <c r="Y80" s="146" t="s">
        <v>409</v>
      </c>
      <c r="Z80" s="293"/>
      <c r="AA80" s="294" t="s">
        <v>430</v>
      </c>
      <c r="AB80" s="294">
        <v>5</v>
      </c>
      <c r="AC80" s="296">
        <v>6</v>
      </c>
      <c r="AD80" s="301">
        <v>12297.936000000002</v>
      </c>
      <c r="AE80" s="301">
        <v>1302.0639999999985</v>
      </c>
      <c r="AF80" s="301">
        <v>1967.66976</v>
      </c>
      <c r="AG80" s="301"/>
      <c r="AH80" s="301"/>
      <c r="AI80" s="301"/>
      <c r="AJ80" s="301"/>
      <c r="AK80" s="301">
        <v>80</v>
      </c>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2"/>
      <c r="BN80" s="291">
        <f>+MAX($D$3,DATOS_[[#This Row],[Fecha Inicio Sit. Contract.]])</f>
        <v>45292</v>
      </c>
      <c r="BO80" s="291">
        <f>+MIN($D$4,DATOS_[[#This Row],[Fecha Fin Sit. Contract.]])</f>
        <v>45657</v>
      </c>
      <c r="BP80" s="292">
        <f>+DATOS_[[#This Row],[% de jornada]]*IF(DATOS_[[#This Row],[% jornada reducida]]="",1,DATOS_[[#This Row],[% jornada reducida]])</f>
        <v>0.8</v>
      </c>
      <c r="BQ80" s="292">
        <f>+(DATOS_[[#This Row],[F.fin.cal]]-DATOS_[[#This Row],[F.ini.cal]]+1)/($D$4-$D$3+1)</f>
        <v>1</v>
      </c>
      <c r="BR80" s="322" t="str">
        <f>IF(OR(AND(DATOS_[[#This Row],[Fecha Fin Contrato]]&lt;$D$3,DATOS_[[#This Row],[Fecha Fin Contrato]]&lt;&gt;""),DATOS_[[#This Row],[Fecha de Contratación]]&gt;$D$4),"Fuera","Dentro")</f>
        <v>Dentro</v>
      </c>
      <c r="BS80" s="322" t="str">
        <f t="array" ref="BS80">IF(MAX(IF(DATOS_[id]=DATOS_[[#This Row],[id]],DATOS_[F.fin.cal]))=DATOS_[[#This Row],[F.fin.cal]],"Sí","NO")</f>
        <v>Sí</v>
      </c>
      <c r="BT80" s="292" t="str">
        <f>IF(AND(DATOS_[[#This Row],[% normaliz]]&lt;&gt;1,DATOS_[[#This Row],[% anualiz]]=1),"Sí","NO")</f>
        <v>Sí</v>
      </c>
      <c r="BU80" s="292" t="str">
        <f>IF(AND(DATOS_[[#This Row],[% normaliz]]=1,DATOS_[[#This Row],[% anualiz]]&lt;&gt;1),"Sí","NO")</f>
        <v>NO</v>
      </c>
      <c r="BV80" s="292" t="str">
        <f>IF(AND(DATOS_[[#This Row],[% normaliz]]&lt;&gt;1,DATOS_[[#This Row],[% anualiz]]&lt;&gt;1),"Sí","NO")</f>
        <v>NO</v>
      </c>
      <c r="BW80" s="322" t="str">
        <f>+IF(DATOS_[[#This Row],[% normaliz]]*DATOS_[[#This Row],[% anualiz]]=1,"NO","Sí")</f>
        <v>Sí</v>
      </c>
      <c r="BX80" s="323">
        <f>(DATOS_[[#This Row],[S.BASE]]*(1/DATOS_[[#This Row],[% normaliz]])*(1/DATOS_[[#This Row],[% anualiz]]))*IF(DATOS_[[#This Row],[Check Equiparado]]="Sí",1,0)</f>
        <v>15372.420000000002</v>
      </c>
      <c r="BY8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4167.167199999998</v>
      </c>
      <c r="BZ80" s="323">
        <f>+DATOS_[[#This Row],[SALARIO BASE Eq]]+DATOS_[[#This Row],[Tot COMPL.SAL Eq]]</f>
        <v>19539.587200000002</v>
      </c>
      <c r="CA80" s="323">
        <f t="array" ref="CA8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0" s="323">
        <f>+DATOS_[[#This Row],[TOTAL SALARIO Eq]]+DATOS_[[#This Row],[Tot Extrasalarial Eq]]</f>
        <v>19539.587200000002</v>
      </c>
      <c r="CC80" s="327">
        <f>DATOS_[[#This Row],[S.BASE]]</f>
        <v>12297.936000000002</v>
      </c>
      <c r="CD80" s="324">
        <f>+SUM(DATOS_[[#This Row],[Conc.Sal.01]:[Conc.Sal.30]])</f>
        <v>3349.7337599999983</v>
      </c>
      <c r="CE80" s="324">
        <f>+DATOS_[[#This Row],[SALARIO BASE Ef]]+DATOS_[[#This Row],[Tot COMPL.SAL Ef]]</f>
        <v>15647.669760000001</v>
      </c>
      <c r="CF80" s="324">
        <f>+SUM(DATOS_[[#This Row],[C.Extra.01]:[C.Extra.05]])</f>
        <v>0</v>
      </c>
      <c r="CG80" s="330">
        <f>+DATOS_[[#This Row],[TOTAL SALARIO Ef]]+DATOS_[[#This Row],[Tot Extrasalarial Ef]]</f>
        <v>15647.669760000001</v>
      </c>
      <c r="CH80" s="303">
        <f>MIN(IF(DATOS_[[#This Row],[Fecha Fin Contrato]]="",$D$4,DATOS_[[#This Row],[Fecha Fin Contrato]]),$D$4)-MAX(DATOS_[[#This Row],[Fecha de Contratación]],$D$3)+1</f>
        <v>366</v>
      </c>
      <c r="CI80" s="304" t="str">
        <f>IF(COUNTIFS(DATOS_[id],DATOS_[[#This Row],[id]])&gt;1,DATOS_[[#This Row],[id]],"")</f>
        <v/>
      </c>
      <c r="CJ80" s="325">
        <f>(Inicio!$G$10-DATOS_[[#This Row],[Fecha Nacimiento]])/365.25</f>
        <v>33.065023956194388</v>
      </c>
      <c r="CK80" s="325">
        <f>(Inicio!$G$10-DATOS_[[#This Row],[Fecha de Antigüedad]])/365.25</f>
        <v>23.893223819301848</v>
      </c>
      <c r="CL80" s="325" t="str">
        <f>+VLOOKUP(DATOS_[[#This Row],[Clave de Contrato]],TblTiposContrato13[],3,FALSE)</f>
        <v>Completa</v>
      </c>
      <c r="CM80" s="325" t="str">
        <f>+VLOOKUP(DATOS_[[#This Row],[Clave de Contrato]],TblTiposContrato13[],4,FALSE)</f>
        <v>Indefinido</v>
      </c>
      <c r="CN80" s="325" t="str">
        <f>VLOOKUP(DATOS_[[#This Row],[Edad]],CONTRATOS!TblRngEdad,2,TRUE)</f>
        <v>30 a 35</v>
      </c>
      <c r="CO80" s="325" t="str">
        <f>VLOOKUP(DATOS_[[#This Row],[Antigüedad]],TblRngAntg14[],2,TRUE)</f>
        <v>más de 15</v>
      </c>
    </row>
    <row r="81" spans="2:93" x14ac:dyDescent="0.25">
      <c r="B81" s="146">
        <v>68</v>
      </c>
      <c r="C81" s="146" t="s">
        <v>163</v>
      </c>
      <c r="D81" s="295">
        <v>33580</v>
      </c>
      <c r="E81" s="296" t="s">
        <v>403</v>
      </c>
      <c r="F81" s="296">
        <v>3</v>
      </c>
      <c r="G81" s="296">
        <v>0</v>
      </c>
      <c r="H81" s="297">
        <v>34666</v>
      </c>
      <c r="I81" s="298"/>
      <c r="J81" s="295">
        <v>34666</v>
      </c>
      <c r="K81" s="326"/>
      <c r="L81" s="326"/>
      <c r="M81" s="299">
        <v>1</v>
      </c>
      <c r="N81" s="299"/>
      <c r="O81" s="299"/>
      <c r="P81" s="296">
        <v>100</v>
      </c>
      <c r="Q81" s="146" t="s">
        <v>412</v>
      </c>
      <c r="R81" s="146" t="s">
        <v>417</v>
      </c>
      <c r="S81" s="146" t="s">
        <v>429</v>
      </c>
      <c r="T81" s="146" t="s">
        <v>407</v>
      </c>
      <c r="U81" s="146" t="s">
        <v>399</v>
      </c>
      <c r="V81" s="146" t="s">
        <v>126</v>
      </c>
      <c r="W81" s="146" t="s">
        <v>300</v>
      </c>
      <c r="X81" s="146" t="s">
        <v>309</v>
      </c>
      <c r="Y81" s="146" t="s">
        <v>409</v>
      </c>
      <c r="Z81" s="293"/>
      <c r="AA81" s="294" t="s">
        <v>430</v>
      </c>
      <c r="AB81" s="294">
        <v>5</v>
      </c>
      <c r="AC81" s="296">
        <v>6</v>
      </c>
      <c r="AD81" s="301">
        <v>15372.42</v>
      </c>
      <c r="AE81" s="301">
        <v>1627.58</v>
      </c>
      <c r="AF81" s="301">
        <v>3689.3807999999999</v>
      </c>
      <c r="AG81" s="301"/>
      <c r="AH81" s="301"/>
      <c r="AI81" s="301"/>
      <c r="AJ81" s="301"/>
      <c r="AK81" s="301">
        <v>80</v>
      </c>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2"/>
      <c r="BN81" s="291">
        <f>+MAX($D$3,DATOS_[[#This Row],[Fecha Inicio Sit. Contract.]])</f>
        <v>45292</v>
      </c>
      <c r="BO81" s="291">
        <f>+MIN($D$4,DATOS_[[#This Row],[Fecha Fin Sit. Contract.]])</f>
        <v>45657</v>
      </c>
      <c r="BP81" s="292">
        <f>+DATOS_[[#This Row],[% de jornada]]*IF(DATOS_[[#This Row],[% jornada reducida]]="",1,DATOS_[[#This Row],[% jornada reducida]])</f>
        <v>1</v>
      </c>
      <c r="BQ81" s="292">
        <f>+(DATOS_[[#This Row],[F.fin.cal]]-DATOS_[[#This Row],[F.ini.cal]]+1)/($D$4-$D$3+1)</f>
        <v>1</v>
      </c>
      <c r="BR81" s="322" t="str">
        <f>IF(OR(AND(DATOS_[[#This Row],[Fecha Fin Contrato]]&lt;$D$3,DATOS_[[#This Row],[Fecha Fin Contrato]]&lt;&gt;""),DATOS_[[#This Row],[Fecha de Contratación]]&gt;$D$4),"Fuera","Dentro")</f>
        <v>Dentro</v>
      </c>
      <c r="BS81" s="322" t="str">
        <f t="array" ref="BS81">IF(MAX(IF(DATOS_[id]=DATOS_[[#This Row],[id]],DATOS_[F.fin.cal]))=DATOS_[[#This Row],[F.fin.cal]],"Sí","NO")</f>
        <v>Sí</v>
      </c>
      <c r="BT81" s="292" t="str">
        <f>IF(AND(DATOS_[[#This Row],[% normaliz]]&lt;&gt;1,DATOS_[[#This Row],[% anualiz]]=1),"Sí","NO")</f>
        <v>NO</v>
      </c>
      <c r="BU81" s="292" t="str">
        <f>IF(AND(DATOS_[[#This Row],[% normaliz]]=1,DATOS_[[#This Row],[% anualiz]]&lt;&gt;1),"Sí","NO")</f>
        <v>NO</v>
      </c>
      <c r="BV81" s="292" t="str">
        <f>IF(AND(DATOS_[[#This Row],[% normaliz]]&lt;&gt;1,DATOS_[[#This Row],[% anualiz]]&lt;&gt;1),"Sí","NO")</f>
        <v>NO</v>
      </c>
      <c r="BW81" s="322" t="str">
        <f>+IF(DATOS_[[#This Row],[% normaliz]]*DATOS_[[#This Row],[% anualiz]]=1,"NO","Sí")</f>
        <v>NO</v>
      </c>
      <c r="BX81" s="323">
        <f>(DATOS_[[#This Row],[S.BASE]]*(1/DATOS_[[#This Row],[% normaliz]])*(1/DATOS_[[#This Row],[% anualiz]]))*IF(DATOS_[[#This Row],[Check Equiparado]]="Sí",1,0)</f>
        <v>15372.42</v>
      </c>
      <c r="BY8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5396.9607999999998</v>
      </c>
      <c r="BZ81" s="323">
        <f>+DATOS_[[#This Row],[SALARIO BASE Eq]]+DATOS_[[#This Row],[Tot COMPL.SAL Eq]]</f>
        <v>20769.380799999999</v>
      </c>
      <c r="CA81" s="323">
        <f t="array" ref="CA8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1" s="323">
        <f>+DATOS_[[#This Row],[TOTAL SALARIO Eq]]+DATOS_[[#This Row],[Tot Extrasalarial Eq]]</f>
        <v>20769.380799999999</v>
      </c>
      <c r="CC81" s="327">
        <f>DATOS_[[#This Row],[S.BASE]]</f>
        <v>15372.42</v>
      </c>
      <c r="CD81" s="324">
        <f>+SUM(DATOS_[[#This Row],[Conc.Sal.01]:[Conc.Sal.30]])</f>
        <v>5396.9607999999998</v>
      </c>
      <c r="CE81" s="324">
        <f>+DATOS_[[#This Row],[SALARIO BASE Ef]]+DATOS_[[#This Row],[Tot COMPL.SAL Ef]]</f>
        <v>20769.380799999999</v>
      </c>
      <c r="CF81" s="324">
        <f>+SUM(DATOS_[[#This Row],[C.Extra.01]:[C.Extra.05]])</f>
        <v>0</v>
      </c>
      <c r="CG81" s="330">
        <f>+DATOS_[[#This Row],[TOTAL SALARIO Ef]]+DATOS_[[#This Row],[Tot Extrasalarial Ef]]</f>
        <v>20769.380799999999</v>
      </c>
      <c r="CH81" s="303">
        <f>MIN(IF(DATOS_[[#This Row],[Fecha Fin Contrato]]="",$D$4,DATOS_[[#This Row],[Fecha Fin Contrato]]),$D$4)-MAX(DATOS_[[#This Row],[Fecha de Contratación]],$D$3)+1</f>
        <v>366</v>
      </c>
      <c r="CI81" s="304" t="str">
        <f>IF(COUNTIFS(DATOS_[id],DATOS_[[#This Row],[id]])&gt;1,DATOS_[[#This Row],[id]],"")</f>
        <v/>
      </c>
      <c r="CJ81" s="325">
        <f>(Inicio!$G$10-DATOS_[[#This Row],[Fecha Nacimiento]])/365.25</f>
        <v>33.065023956194388</v>
      </c>
      <c r="CK81" s="325">
        <f>(Inicio!$G$10-DATOS_[[#This Row],[Fecha de Antigüedad]])/365.25</f>
        <v>30.091718001368925</v>
      </c>
      <c r="CL81" s="325" t="str">
        <f>+VLOOKUP(DATOS_[[#This Row],[Clave de Contrato]],TblTiposContrato13[],3,FALSE)</f>
        <v>Completa</v>
      </c>
      <c r="CM81" s="325" t="str">
        <f>+VLOOKUP(DATOS_[[#This Row],[Clave de Contrato]],TblTiposContrato13[],4,FALSE)</f>
        <v>Indefinido</v>
      </c>
      <c r="CN81" s="325" t="str">
        <f>VLOOKUP(DATOS_[[#This Row],[Edad]],CONTRATOS!TblRngEdad,2,TRUE)</f>
        <v>30 a 35</v>
      </c>
      <c r="CO81" s="325" t="str">
        <f>VLOOKUP(DATOS_[[#This Row],[Antigüedad]],TblRngAntg14[],2,TRUE)</f>
        <v>más de 15</v>
      </c>
    </row>
    <row r="82" spans="2:93" x14ac:dyDescent="0.25">
      <c r="B82" s="146">
        <v>69</v>
      </c>
      <c r="C82" s="146" t="s">
        <v>163</v>
      </c>
      <c r="D82" s="295">
        <v>29930</v>
      </c>
      <c r="E82" s="296" t="s">
        <v>427</v>
      </c>
      <c r="F82" s="296">
        <v>2</v>
      </c>
      <c r="G82" s="296">
        <v>1</v>
      </c>
      <c r="H82" s="297">
        <v>37113</v>
      </c>
      <c r="I82" s="298"/>
      <c r="J82" s="295">
        <v>37113</v>
      </c>
      <c r="K82" s="326"/>
      <c r="L82" s="326"/>
      <c r="M82" s="299">
        <v>1</v>
      </c>
      <c r="N82" s="299"/>
      <c r="O82" s="299"/>
      <c r="P82" s="296">
        <v>100</v>
      </c>
      <c r="Q82" s="146" t="s">
        <v>412</v>
      </c>
      <c r="R82" s="146" t="s">
        <v>418</v>
      </c>
      <c r="S82" s="146" t="s">
        <v>429</v>
      </c>
      <c r="T82" s="146" t="s">
        <v>407</v>
      </c>
      <c r="U82" s="146" t="s">
        <v>399</v>
      </c>
      <c r="V82" s="146" t="s">
        <v>126</v>
      </c>
      <c r="W82" s="146" t="s">
        <v>300</v>
      </c>
      <c r="X82" s="146" t="s">
        <v>309</v>
      </c>
      <c r="Y82" s="146" t="s">
        <v>409</v>
      </c>
      <c r="Z82" s="293"/>
      <c r="AA82" s="294" t="s">
        <v>430</v>
      </c>
      <c r="AB82" s="294">
        <v>5</v>
      </c>
      <c r="AC82" s="296">
        <v>6</v>
      </c>
      <c r="AD82" s="301">
        <v>15372.42</v>
      </c>
      <c r="AE82" s="301">
        <v>1627.58</v>
      </c>
      <c r="AF82" s="301">
        <v>2459.5871999999999</v>
      </c>
      <c r="AG82" s="301"/>
      <c r="AH82" s="301"/>
      <c r="AI82" s="301"/>
      <c r="AJ82" s="301"/>
      <c r="AK82" s="301">
        <v>80</v>
      </c>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2"/>
      <c r="BN82" s="291">
        <f>+MAX($D$3,DATOS_[[#This Row],[Fecha Inicio Sit. Contract.]])</f>
        <v>45292</v>
      </c>
      <c r="BO82" s="291">
        <f>+MIN($D$4,DATOS_[[#This Row],[Fecha Fin Sit. Contract.]])</f>
        <v>45657</v>
      </c>
      <c r="BP82" s="292">
        <f>+DATOS_[[#This Row],[% de jornada]]*IF(DATOS_[[#This Row],[% jornada reducida]]="",1,DATOS_[[#This Row],[% jornada reducida]])</f>
        <v>1</v>
      </c>
      <c r="BQ82" s="292">
        <f>+(DATOS_[[#This Row],[F.fin.cal]]-DATOS_[[#This Row],[F.ini.cal]]+1)/($D$4-$D$3+1)</f>
        <v>1</v>
      </c>
      <c r="BR82" s="322" t="str">
        <f>IF(OR(AND(DATOS_[[#This Row],[Fecha Fin Contrato]]&lt;$D$3,DATOS_[[#This Row],[Fecha Fin Contrato]]&lt;&gt;""),DATOS_[[#This Row],[Fecha de Contratación]]&gt;$D$4),"Fuera","Dentro")</f>
        <v>Dentro</v>
      </c>
      <c r="BS82" s="322" t="str">
        <f t="array" ref="BS82">IF(MAX(IF(DATOS_[id]=DATOS_[[#This Row],[id]],DATOS_[F.fin.cal]))=DATOS_[[#This Row],[F.fin.cal]],"Sí","NO")</f>
        <v>Sí</v>
      </c>
      <c r="BT82" s="292" t="str">
        <f>IF(AND(DATOS_[[#This Row],[% normaliz]]&lt;&gt;1,DATOS_[[#This Row],[% anualiz]]=1),"Sí","NO")</f>
        <v>NO</v>
      </c>
      <c r="BU82" s="292" t="str">
        <f>IF(AND(DATOS_[[#This Row],[% normaliz]]=1,DATOS_[[#This Row],[% anualiz]]&lt;&gt;1),"Sí","NO")</f>
        <v>NO</v>
      </c>
      <c r="BV82" s="292" t="str">
        <f>IF(AND(DATOS_[[#This Row],[% normaliz]]&lt;&gt;1,DATOS_[[#This Row],[% anualiz]]&lt;&gt;1),"Sí","NO")</f>
        <v>NO</v>
      </c>
      <c r="BW82" s="322" t="str">
        <f>+IF(DATOS_[[#This Row],[% normaliz]]*DATOS_[[#This Row],[% anualiz]]=1,"NO","Sí")</f>
        <v>NO</v>
      </c>
      <c r="BX82" s="323">
        <f>(DATOS_[[#This Row],[S.BASE]]*(1/DATOS_[[#This Row],[% normaliz]])*(1/DATOS_[[#This Row],[% anualiz]]))*IF(DATOS_[[#This Row],[Check Equiparado]]="Sí",1,0)</f>
        <v>15372.42</v>
      </c>
      <c r="BY8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4167.1671999999999</v>
      </c>
      <c r="BZ82" s="323">
        <f>+DATOS_[[#This Row],[SALARIO BASE Eq]]+DATOS_[[#This Row],[Tot COMPL.SAL Eq]]</f>
        <v>19539.587200000002</v>
      </c>
      <c r="CA82" s="323">
        <f t="array" ref="CA8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2" s="323">
        <f>+DATOS_[[#This Row],[TOTAL SALARIO Eq]]+DATOS_[[#This Row],[Tot Extrasalarial Eq]]</f>
        <v>19539.587200000002</v>
      </c>
      <c r="CC82" s="327">
        <f>DATOS_[[#This Row],[S.BASE]]</f>
        <v>15372.42</v>
      </c>
      <c r="CD82" s="324">
        <f>+SUM(DATOS_[[#This Row],[Conc.Sal.01]:[Conc.Sal.30]])</f>
        <v>4167.1671999999999</v>
      </c>
      <c r="CE82" s="324">
        <f>+DATOS_[[#This Row],[SALARIO BASE Ef]]+DATOS_[[#This Row],[Tot COMPL.SAL Ef]]</f>
        <v>19539.587200000002</v>
      </c>
      <c r="CF82" s="324">
        <f>+SUM(DATOS_[[#This Row],[C.Extra.01]:[C.Extra.05]])</f>
        <v>0</v>
      </c>
      <c r="CG82" s="330">
        <f>+DATOS_[[#This Row],[TOTAL SALARIO Ef]]+DATOS_[[#This Row],[Tot Extrasalarial Ef]]</f>
        <v>19539.587200000002</v>
      </c>
      <c r="CH82" s="303">
        <f>MIN(IF(DATOS_[[#This Row],[Fecha Fin Contrato]]="",$D$4,DATOS_[[#This Row],[Fecha Fin Contrato]]),$D$4)-MAX(DATOS_[[#This Row],[Fecha de Contratación]],$D$3)+1</f>
        <v>366</v>
      </c>
      <c r="CI82" s="304" t="str">
        <f>IF(COUNTIFS(DATOS_[id],DATOS_[[#This Row],[id]])&gt;1,DATOS_[[#This Row],[id]],"")</f>
        <v/>
      </c>
      <c r="CJ82" s="325">
        <f>(Inicio!$G$10-DATOS_[[#This Row],[Fecha Nacimiento]])/365.25</f>
        <v>43.058179329226554</v>
      </c>
      <c r="CK82" s="325">
        <f>(Inicio!$G$10-DATOS_[[#This Row],[Fecha de Antigüedad]])/365.25</f>
        <v>23.392197125256672</v>
      </c>
      <c r="CL82" s="325" t="str">
        <f>+VLOOKUP(DATOS_[[#This Row],[Clave de Contrato]],TblTiposContrato13[],3,FALSE)</f>
        <v>Completa</v>
      </c>
      <c r="CM82" s="325" t="str">
        <f>+VLOOKUP(DATOS_[[#This Row],[Clave de Contrato]],TblTiposContrato13[],4,FALSE)</f>
        <v>Indefinido</v>
      </c>
      <c r="CN82" s="325" t="str">
        <f>VLOOKUP(DATOS_[[#This Row],[Edad]],CONTRATOS!TblRngEdad,2,TRUE)</f>
        <v>40 a 45</v>
      </c>
      <c r="CO82" s="325" t="str">
        <f>VLOOKUP(DATOS_[[#This Row],[Antigüedad]],TblRngAntg14[],2,TRUE)</f>
        <v>más de 15</v>
      </c>
    </row>
    <row r="83" spans="2:93" x14ac:dyDescent="0.25">
      <c r="B83" s="146">
        <v>70</v>
      </c>
      <c r="C83" s="146" t="s">
        <v>163</v>
      </c>
      <c r="D83" s="295">
        <v>31755</v>
      </c>
      <c r="E83" s="296" t="s">
        <v>427</v>
      </c>
      <c r="F83" s="296">
        <v>2</v>
      </c>
      <c r="G83" s="296">
        <v>1</v>
      </c>
      <c r="H83" s="297">
        <v>40437</v>
      </c>
      <c r="I83" s="298"/>
      <c r="J83" s="295">
        <v>40437</v>
      </c>
      <c r="K83" s="326"/>
      <c r="L83" s="326"/>
      <c r="M83" s="299">
        <v>1</v>
      </c>
      <c r="N83" s="299"/>
      <c r="O83" s="299"/>
      <c r="P83" s="296">
        <v>100</v>
      </c>
      <c r="Q83" s="146" t="s">
        <v>412</v>
      </c>
      <c r="R83" s="146" t="s">
        <v>418</v>
      </c>
      <c r="S83" s="146" t="s">
        <v>429</v>
      </c>
      <c r="T83" s="146" t="s">
        <v>407</v>
      </c>
      <c r="U83" s="146" t="s">
        <v>399</v>
      </c>
      <c r="V83" s="146" t="s">
        <v>126</v>
      </c>
      <c r="W83" s="146" t="s">
        <v>300</v>
      </c>
      <c r="X83" s="146" t="s">
        <v>309</v>
      </c>
      <c r="Y83" s="146" t="s">
        <v>409</v>
      </c>
      <c r="Z83" s="293"/>
      <c r="AA83" s="294" t="s">
        <v>430</v>
      </c>
      <c r="AB83" s="294">
        <v>5</v>
      </c>
      <c r="AC83" s="296">
        <v>6</v>
      </c>
      <c r="AD83" s="301">
        <v>15372.42</v>
      </c>
      <c r="AE83" s="301">
        <v>1627.58</v>
      </c>
      <c r="AF83" s="301">
        <v>1229.7936</v>
      </c>
      <c r="AG83" s="301"/>
      <c r="AH83" s="301"/>
      <c r="AI83" s="301"/>
      <c r="AJ83" s="301"/>
      <c r="AK83" s="301">
        <v>80</v>
      </c>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2"/>
      <c r="BN83" s="291">
        <f>+MAX($D$3,DATOS_[[#This Row],[Fecha Inicio Sit. Contract.]])</f>
        <v>45292</v>
      </c>
      <c r="BO83" s="291">
        <f>+MIN($D$4,DATOS_[[#This Row],[Fecha Fin Sit. Contract.]])</f>
        <v>45657</v>
      </c>
      <c r="BP83" s="292">
        <f>+DATOS_[[#This Row],[% de jornada]]*IF(DATOS_[[#This Row],[% jornada reducida]]="",1,DATOS_[[#This Row],[% jornada reducida]])</f>
        <v>1</v>
      </c>
      <c r="BQ83" s="292">
        <f>+(DATOS_[[#This Row],[F.fin.cal]]-DATOS_[[#This Row],[F.ini.cal]]+1)/($D$4-$D$3+1)</f>
        <v>1</v>
      </c>
      <c r="BR83" s="322" t="str">
        <f>IF(OR(AND(DATOS_[[#This Row],[Fecha Fin Contrato]]&lt;$D$3,DATOS_[[#This Row],[Fecha Fin Contrato]]&lt;&gt;""),DATOS_[[#This Row],[Fecha de Contratación]]&gt;$D$4),"Fuera","Dentro")</f>
        <v>Dentro</v>
      </c>
      <c r="BS83" s="322" t="str">
        <f t="array" ref="BS83">IF(MAX(IF(DATOS_[id]=DATOS_[[#This Row],[id]],DATOS_[F.fin.cal]))=DATOS_[[#This Row],[F.fin.cal]],"Sí","NO")</f>
        <v>Sí</v>
      </c>
      <c r="BT83" s="292" t="str">
        <f>IF(AND(DATOS_[[#This Row],[% normaliz]]&lt;&gt;1,DATOS_[[#This Row],[% anualiz]]=1),"Sí","NO")</f>
        <v>NO</v>
      </c>
      <c r="BU83" s="292" t="str">
        <f>IF(AND(DATOS_[[#This Row],[% normaliz]]=1,DATOS_[[#This Row],[% anualiz]]&lt;&gt;1),"Sí","NO")</f>
        <v>NO</v>
      </c>
      <c r="BV83" s="292" t="str">
        <f>IF(AND(DATOS_[[#This Row],[% normaliz]]&lt;&gt;1,DATOS_[[#This Row],[% anualiz]]&lt;&gt;1),"Sí","NO")</f>
        <v>NO</v>
      </c>
      <c r="BW83" s="322" t="str">
        <f>+IF(DATOS_[[#This Row],[% normaliz]]*DATOS_[[#This Row],[% anualiz]]=1,"NO","Sí")</f>
        <v>NO</v>
      </c>
      <c r="BX83" s="323">
        <f>(DATOS_[[#This Row],[S.BASE]]*(1/DATOS_[[#This Row],[% normaliz]])*(1/DATOS_[[#This Row],[% anualiz]]))*IF(DATOS_[[#This Row],[Check Equiparado]]="Sí",1,0)</f>
        <v>15372.42</v>
      </c>
      <c r="BY8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2937.3735999999999</v>
      </c>
      <c r="BZ83" s="323">
        <f>+DATOS_[[#This Row],[SALARIO BASE Eq]]+DATOS_[[#This Row],[Tot COMPL.SAL Eq]]</f>
        <v>18309.793600000001</v>
      </c>
      <c r="CA83" s="323">
        <f t="array" ref="CA8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3" s="323">
        <f>+DATOS_[[#This Row],[TOTAL SALARIO Eq]]+DATOS_[[#This Row],[Tot Extrasalarial Eq]]</f>
        <v>18309.793600000001</v>
      </c>
      <c r="CC83" s="327">
        <f>DATOS_[[#This Row],[S.BASE]]</f>
        <v>15372.42</v>
      </c>
      <c r="CD83" s="324">
        <f>+SUM(DATOS_[[#This Row],[Conc.Sal.01]:[Conc.Sal.30]])</f>
        <v>2937.3735999999999</v>
      </c>
      <c r="CE83" s="324">
        <f>+DATOS_[[#This Row],[SALARIO BASE Ef]]+DATOS_[[#This Row],[Tot COMPL.SAL Ef]]</f>
        <v>18309.793600000001</v>
      </c>
      <c r="CF83" s="324">
        <f>+SUM(DATOS_[[#This Row],[C.Extra.01]:[C.Extra.05]])</f>
        <v>0</v>
      </c>
      <c r="CG83" s="330">
        <f>+DATOS_[[#This Row],[TOTAL SALARIO Ef]]+DATOS_[[#This Row],[Tot Extrasalarial Ef]]</f>
        <v>18309.793600000001</v>
      </c>
      <c r="CH83" s="303">
        <f>MIN(IF(DATOS_[[#This Row],[Fecha Fin Contrato]]="",$D$4,DATOS_[[#This Row],[Fecha Fin Contrato]]),$D$4)-MAX(DATOS_[[#This Row],[Fecha de Contratación]],$D$3)+1</f>
        <v>366</v>
      </c>
      <c r="CI83" s="304" t="str">
        <f>IF(COUNTIFS(DATOS_[id],DATOS_[[#This Row],[id]])&gt;1,DATOS_[[#This Row],[id]],"")</f>
        <v/>
      </c>
      <c r="CJ83" s="325">
        <f>(Inicio!$G$10-DATOS_[[#This Row],[Fecha Nacimiento]])/365.25</f>
        <v>38.061601642710471</v>
      </c>
      <c r="CK83" s="325">
        <f>(Inicio!$G$10-DATOS_[[#This Row],[Fecha de Antigüedad]])/365.25</f>
        <v>14.291581108829568</v>
      </c>
      <c r="CL83" s="325" t="str">
        <f>+VLOOKUP(DATOS_[[#This Row],[Clave de Contrato]],TblTiposContrato13[],3,FALSE)</f>
        <v>Completa</v>
      </c>
      <c r="CM83" s="325" t="str">
        <f>+VLOOKUP(DATOS_[[#This Row],[Clave de Contrato]],TblTiposContrato13[],4,FALSE)</f>
        <v>Indefinido</v>
      </c>
      <c r="CN83" s="325" t="str">
        <f>VLOOKUP(DATOS_[[#This Row],[Edad]],CONTRATOS!TblRngEdad,2,TRUE)</f>
        <v>35 a 40</v>
      </c>
      <c r="CO83" s="325" t="str">
        <f>VLOOKUP(DATOS_[[#This Row],[Antigüedad]],TblRngAntg14[],2,TRUE)</f>
        <v>de 10 a 15  años</v>
      </c>
    </row>
    <row r="84" spans="2:93" x14ac:dyDescent="0.25">
      <c r="B84" s="146">
        <v>71</v>
      </c>
      <c r="C84" s="146" t="s">
        <v>162</v>
      </c>
      <c r="D84" s="295">
        <v>28835</v>
      </c>
      <c r="E84" s="296" t="s">
        <v>428</v>
      </c>
      <c r="F84" s="296">
        <v>2</v>
      </c>
      <c r="G84" s="296">
        <v>1</v>
      </c>
      <c r="H84" s="297">
        <v>43497</v>
      </c>
      <c r="I84" s="298"/>
      <c r="J84" s="295">
        <v>43497</v>
      </c>
      <c r="K84" s="326"/>
      <c r="L84" s="326"/>
      <c r="M84" s="299">
        <v>1</v>
      </c>
      <c r="N84" s="299"/>
      <c r="O84" s="299"/>
      <c r="P84" s="296">
        <v>100</v>
      </c>
      <c r="Q84" s="146" t="s">
        <v>412</v>
      </c>
      <c r="R84" s="146" t="s">
        <v>417</v>
      </c>
      <c r="S84" s="146" t="s">
        <v>429</v>
      </c>
      <c r="T84" s="146" t="s">
        <v>407</v>
      </c>
      <c r="U84" s="146" t="s">
        <v>400</v>
      </c>
      <c r="V84" s="146" t="s">
        <v>126</v>
      </c>
      <c r="W84" s="146" t="s">
        <v>300</v>
      </c>
      <c r="X84" s="146" t="s">
        <v>309</v>
      </c>
      <c r="Y84" s="146" t="s">
        <v>409</v>
      </c>
      <c r="Z84" s="293"/>
      <c r="AA84" s="294" t="s">
        <v>430</v>
      </c>
      <c r="AB84" s="294">
        <v>5</v>
      </c>
      <c r="AC84" s="296">
        <v>6</v>
      </c>
      <c r="AD84" s="301">
        <v>15372.42</v>
      </c>
      <c r="AE84" s="301">
        <v>1627.58</v>
      </c>
      <c r="AF84" s="301"/>
      <c r="AG84" s="301"/>
      <c r="AH84" s="301"/>
      <c r="AI84" s="301"/>
      <c r="AJ84" s="301"/>
      <c r="AK84" s="301">
        <v>80</v>
      </c>
      <c r="AL84" s="301">
        <f>+DATOS_[[#This Row],[S.BASE]]*$AL$1</f>
        <v>6148.9680000000008</v>
      </c>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2"/>
      <c r="BN84" s="291">
        <f>+MAX($D$3,DATOS_[[#This Row],[Fecha Inicio Sit. Contract.]])</f>
        <v>45292</v>
      </c>
      <c r="BO84" s="291">
        <f>+MIN($D$4,DATOS_[[#This Row],[Fecha Fin Sit. Contract.]])</f>
        <v>45657</v>
      </c>
      <c r="BP84" s="292">
        <f>+DATOS_[[#This Row],[% de jornada]]*IF(DATOS_[[#This Row],[% jornada reducida]]="",1,DATOS_[[#This Row],[% jornada reducida]])</f>
        <v>1</v>
      </c>
      <c r="BQ84" s="292">
        <f>+(DATOS_[[#This Row],[F.fin.cal]]-DATOS_[[#This Row],[F.ini.cal]]+1)/($D$4-$D$3+1)</f>
        <v>1</v>
      </c>
      <c r="BR84" s="322" t="str">
        <f>IF(OR(AND(DATOS_[[#This Row],[Fecha Fin Contrato]]&lt;$D$3,DATOS_[[#This Row],[Fecha Fin Contrato]]&lt;&gt;""),DATOS_[[#This Row],[Fecha de Contratación]]&gt;$D$4),"Fuera","Dentro")</f>
        <v>Dentro</v>
      </c>
      <c r="BS84" s="322" t="str">
        <f t="array" ref="BS84">IF(MAX(IF(DATOS_[id]=DATOS_[[#This Row],[id]],DATOS_[F.fin.cal]))=DATOS_[[#This Row],[F.fin.cal]],"Sí","NO")</f>
        <v>Sí</v>
      </c>
      <c r="BT84" s="292" t="str">
        <f>IF(AND(DATOS_[[#This Row],[% normaliz]]&lt;&gt;1,DATOS_[[#This Row],[% anualiz]]=1),"Sí","NO")</f>
        <v>NO</v>
      </c>
      <c r="BU84" s="292" t="str">
        <f>IF(AND(DATOS_[[#This Row],[% normaliz]]=1,DATOS_[[#This Row],[% anualiz]]&lt;&gt;1),"Sí","NO")</f>
        <v>NO</v>
      </c>
      <c r="BV84" s="292" t="str">
        <f>IF(AND(DATOS_[[#This Row],[% normaliz]]&lt;&gt;1,DATOS_[[#This Row],[% anualiz]]&lt;&gt;1),"Sí","NO")</f>
        <v>NO</v>
      </c>
      <c r="BW84" s="322" t="str">
        <f>+IF(DATOS_[[#This Row],[% normaliz]]*DATOS_[[#This Row],[% anualiz]]=1,"NO","Sí")</f>
        <v>NO</v>
      </c>
      <c r="BX84" s="323">
        <f>(DATOS_[[#This Row],[S.BASE]]*(1/DATOS_[[#This Row],[% normaliz]])*(1/DATOS_[[#This Row],[% anualiz]]))*IF(DATOS_[[#This Row],[Check Equiparado]]="Sí",1,0)</f>
        <v>15372.42</v>
      </c>
      <c r="BY8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7856.5480000000007</v>
      </c>
      <c r="BZ84" s="323">
        <f>+DATOS_[[#This Row],[SALARIO BASE Eq]]+DATOS_[[#This Row],[Tot COMPL.SAL Eq]]</f>
        <v>23228.968000000001</v>
      </c>
      <c r="CA84" s="323">
        <f t="array" ref="CA8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4" s="323">
        <f>+DATOS_[[#This Row],[TOTAL SALARIO Eq]]+DATOS_[[#This Row],[Tot Extrasalarial Eq]]</f>
        <v>23228.968000000001</v>
      </c>
      <c r="CC84" s="327">
        <f>DATOS_[[#This Row],[S.BASE]]</f>
        <v>15372.42</v>
      </c>
      <c r="CD84" s="324">
        <f>+SUM(DATOS_[[#This Row],[Conc.Sal.01]:[Conc.Sal.30]])</f>
        <v>7856.5480000000007</v>
      </c>
      <c r="CE84" s="324">
        <f>+DATOS_[[#This Row],[SALARIO BASE Ef]]+DATOS_[[#This Row],[Tot COMPL.SAL Ef]]</f>
        <v>23228.968000000001</v>
      </c>
      <c r="CF84" s="324">
        <f>+SUM(DATOS_[[#This Row],[C.Extra.01]:[C.Extra.05]])</f>
        <v>0</v>
      </c>
      <c r="CG84" s="330">
        <f>+DATOS_[[#This Row],[TOTAL SALARIO Ef]]+DATOS_[[#This Row],[Tot Extrasalarial Ef]]</f>
        <v>23228.968000000001</v>
      </c>
      <c r="CH84" s="303">
        <f>MIN(IF(DATOS_[[#This Row],[Fecha Fin Contrato]]="",$D$4,DATOS_[[#This Row],[Fecha Fin Contrato]]),$D$4)-MAX(DATOS_[[#This Row],[Fecha de Contratación]],$D$3)+1</f>
        <v>366</v>
      </c>
      <c r="CI84" s="304" t="str">
        <f>IF(COUNTIFS(DATOS_[id],DATOS_[[#This Row],[id]])&gt;1,DATOS_[[#This Row],[id]],"")</f>
        <v/>
      </c>
      <c r="CJ84" s="325">
        <f>(Inicio!$G$10-DATOS_[[#This Row],[Fecha Nacimiento]])/365.25</f>
        <v>46.056125941136209</v>
      </c>
      <c r="CK84" s="325">
        <f>(Inicio!$G$10-DATOS_[[#This Row],[Fecha de Antigüedad]])/365.25</f>
        <v>5.9137577002053385</v>
      </c>
      <c r="CL84" s="325" t="str">
        <f>+VLOOKUP(DATOS_[[#This Row],[Clave de Contrato]],TblTiposContrato13[],3,FALSE)</f>
        <v>Completa</v>
      </c>
      <c r="CM84" s="325" t="str">
        <f>+VLOOKUP(DATOS_[[#This Row],[Clave de Contrato]],TblTiposContrato13[],4,FALSE)</f>
        <v>Indefinido</v>
      </c>
      <c r="CN84" s="325" t="str">
        <f>VLOOKUP(DATOS_[[#This Row],[Edad]],CONTRATOS!TblRngEdad,2,TRUE)</f>
        <v>45 a 50</v>
      </c>
      <c r="CO84" s="325" t="str">
        <f>VLOOKUP(DATOS_[[#This Row],[Antigüedad]],TblRngAntg14[],2,TRUE)</f>
        <v>5 a 10  años</v>
      </c>
    </row>
    <row r="85" spans="2:93" x14ac:dyDescent="0.25">
      <c r="B85" s="146">
        <v>72</v>
      </c>
      <c r="C85" s="146" t="s">
        <v>162</v>
      </c>
      <c r="D85" s="295">
        <v>28105</v>
      </c>
      <c r="E85" s="296" t="s">
        <v>428</v>
      </c>
      <c r="F85" s="296">
        <v>1</v>
      </c>
      <c r="G85" s="296">
        <v>2</v>
      </c>
      <c r="H85" s="297">
        <v>38356</v>
      </c>
      <c r="I85" s="298"/>
      <c r="J85" s="295">
        <v>38356</v>
      </c>
      <c r="K85" s="326"/>
      <c r="L85" s="326"/>
      <c r="M85" s="299">
        <v>1</v>
      </c>
      <c r="N85" s="299"/>
      <c r="O85" s="299"/>
      <c r="P85" s="296">
        <v>100</v>
      </c>
      <c r="Q85" s="146" t="s">
        <v>412</v>
      </c>
      <c r="R85" s="146" t="s">
        <v>417</v>
      </c>
      <c r="S85" s="146" t="s">
        <v>429</v>
      </c>
      <c r="T85" s="146" t="s">
        <v>407</v>
      </c>
      <c r="U85" s="146" t="s">
        <v>400</v>
      </c>
      <c r="V85" s="146" t="s">
        <v>126</v>
      </c>
      <c r="W85" s="146" t="s">
        <v>300</v>
      </c>
      <c r="X85" s="146" t="s">
        <v>309</v>
      </c>
      <c r="Y85" s="146" t="s">
        <v>409</v>
      </c>
      <c r="Z85" s="293"/>
      <c r="AA85" s="294" t="s">
        <v>430</v>
      </c>
      <c r="AB85" s="294">
        <v>5</v>
      </c>
      <c r="AC85" s="296">
        <v>6</v>
      </c>
      <c r="AD85" s="301">
        <v>15372.42</v>
      </c>
      <c r="AE85" s="301">
        <v>1627.58</v>
      </c>
      <c r="AF85" s="301">
        <v>1844.6904</v>
      </c>
      <c r="AG85" s="301"/>
      <c r="AH85" s="301"/>
      <c r="AI85" s="301"/>
      <c r="AJ85" s="301"/>
      <c r="AK85" s="301">
        <v>80</v>
      </c>
      <c r="AL85" s="301">
        <f>+DATOS_[[#This Row],[S.BASE]]*$AL$1</f>
        <v>6148.9680000000008</v>
      </c>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2"/>
      <c r="BN85" s="291">
        <f>+MAX($D$3,DATOS_[[#This Row],[Fecha Inicio Sit. Contract.]])</f>
        <v>45292</v>
      </c>
      <c r="BO85" s="291">
        <f>+MIN($D$4,DATOS_[[#This Row],[Fecha Fin Sit. Contract.]])</f>
        <v>45657</v>
      </c>
      <c r="BP85" s="292">
        <f>+DATOS_[[#This Row],[% de jornada]]*IF(DATOS_[[#This Row],[% jornada reducida]]="",1,DATOS_[[#This Row],[% jornada reducida]])</f>
        <v>1</v>
      </c>
      <c r="BQ85" s="292">
        <f>+(DATOS_[[#This Row],[F.fin.cal]]-DATOS_[[#This Row],[F.ini.cal]]+1)/($D$4-$D$3+1)</f>
        <v>1</v>
      </c>
      <c r="BR85" s="322" t="str">
        <f>IF(OR(AND(DATOS_[[#This Row],[Fecha Fin Contrato]]&lt;$D$3,DATOS_[[#This Row],[Fecha Fin Contrato]]&lt;&gt;""),DATOS_[[#This Row],[Fecha de Contratación]]&gt;$D$4),"Fuera","Dentro")</f>
        <v>Dentro</v>
      </c>
      <c r="BS85" s="322" t="str">
        <f t="array" ref="BS85">IF(MAX(IF(DATOS_[id]=DATOS_[[#This Row],[id]],DATOS_[F.fin.cal]))=DATOS_[[#This Row],[F.fin.cal]],"Sí","NO")</f>
        <v>Sí</v>
      </c>
      <c r="BT85" s="292" t="str">
        <f>IF(AND(DATOS_[[#This Row],[% normaliz]]&lt;&gt;1,DATOS_[[#This Row],[% anualiz]]=1),"Sí","NO")</f>
        <v>NO</v>
      </c>
      <c r="BU85" s="292" t="str">
        <f>IF(AND(DATOS_[[#This Row],[% normaliz]]=1,DATOS_[[#This Row],[% anualiz]]&lt;&gt;1),"Sí","NO")</f>
        <v>NO</v>
      </c>
      <c r="BV85" s="292" t="str">
        <f>IF(AND(DATOS_[[#This Row],[% normaliz]]&lt;&gt;1,DATOS_[[#This Row],[% anualiz]]&lt;&gt;1),"Sí","NO")</f>
        <v>NO</v>
      </c>
      <c r="BW85" s="322" t="str">
        <f>+IF(DATOS_[[#This Row],[% normaliz]]*DATOS_[[#This Row],[% anualiz]]=1,"NO","Sí")</f>
        <v>NO</v>
      </c>
      <c r="BX85" s="323">
        <f>(DATOS_[[#This Row],[S.BASE]]*(1/DATOS_[[#This Row],[% normaliz]])*(1/DATOS_[[#This Row],[% anualiz]]))*IF(DATOS_[[#This Row],[Check Equiparado]]="Sí",1,0)</f>
        <v>15372.42</v>
      </c>
      <c r="BY8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85" s="323">
        <f>+DATOS_[[#This Row],[SALARIO BASE Eq]]+DATOS_[[#This Row],[Tot COMPL.SAL Eq]]</f>
        <v>25073.6584</v>
      </c>
      <c r="CA85" s="323">
        <f t="array" ref="CA8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5" s="323">
        <f>+DATOS_[[#This Row],[TOTAL SALARIO Eq]]+DATOS_[[#This Row],[Tot Extrasalarial Eq]]</f>
        <v>25073.6584</v>
      </c>
      <c r="CC85" s="327">
        <f>DATOS_[[#This Row],[S.BASE]]</f>
        <v>15372.42</v>
      </c>
      <c r="CD85" s="324">
        <f>+SUM(DATOS_[[#This Row],[Conc.Sal.01]:[Conc.Sal.30]])</f>
        <v>9701.2384000000002</v>
      </c>
      <c r="CE85" s="324">
        <f>+DATOS_[[#This Row],[SALARIO BASE Ef]]+DATOS_[[#This Row],[Tot COMPL.SAL Ef]]</f>
        <v>25073.6584</v>
      </c>
      <c r="CF85" s="324">
        <f>+SUM(DATOS_[[#This Row],[C.Extra.01]:[C.Extra.05]])</f>
        <v>0</v>
      </c>
      <c r="CG85" s="330">
        <f>+DATOS_[[#This Row],[TOTAL SALARIO Ef]]+DATOS_[[#This Row],[Tot Extrasalarial Ef]]</f>
        <v>25073.6584</v>
      </c>
      <c r="CH85" s="303">
        <f>MIN(IF(DATOS_[[#This Row],[Fecha Fin Contrato]]="",$D$4,DATOS_[[#This Row],[Fecha Fin Contrato]]),$D$4)-MAX(DATOS_[[#This Row],[Fecha de Contratación]],$D$3)+1</f>
        <v>366</v>
      </c>
      <c r="CI85" s="304" t="str">
        <f>IF(COUNTIFS(DATOS_[id],DATOS_[[#This Row],[id]])&gt;1,DATOS_[[#This Row],[id]],"")</f>
        <v/>
      </c>
      <c r="CJ85" s="325">
        <f>(Inicio!$G$10-DATOS_[[#This Row],[Fecha Nacimiento]])/365.25</f>
        <v>48.054757015742645</v>
      </c>
      <c r="CK85" s="325">
        <f>(Inicio!$G$10-DATOS_[[#This Row],[Fecha de Antigüedad]])/365.25</f>
        <v>19.989048596851472</v>
      </c>
      <c r="CL85" s="325" t="str">
        <f>+VLOOKUP(DATOS_[[#This Row],[Clave de Contrato]],TblTiposContrato13[],3,FALSE)</f>
        <v>Completa</v>
      </c>
      <c r="CM85" s="325" t="str">
        <f>+VLOOKUP(DATOS_[[#This Row],[Clave de Contrato]],TblTiposContrato13[],4,FALSE)</f>
        <v>Indefinido</v>
      </c>
      <c r="CN85" s="325" t="str">
        <f>VLOOKUP(DATOS_[[#This Row],[Edad]],CONTRATOS!TblRngEdad,2,TRUE)</f>
        <v>45 a 50</v>
      </c>
      <c r="CO85" s="325" t="str">
        <f>VLOOKUP(DATOS_[[#This Row],[Antigüedad]],TblRngAntg14[],2,TRUE)</f>
        <v>más de 15</v>
      </c>
    </row>
    <row r="86" spans="2:93" x14ac:dyDescent="0.25">
      <c r="B86" s="146">
        <v>73</v>
      </c>
      <c r="C86" s="146" t="s">
        <v>163</v>
      </c>
      <c r="D86" s="295">
        <v>35770</v>
      </c>
      <c r="E86" s="296" t="s">
        <v>428</v>
      </c>
      <c r="F86" s="296">
        <v>1</v>
      </c>
      <c r="G86" s="296">
        <v>1</v>
      </c>
      <c r="H86" s="297">
        <v>41036</v>
      </c>
      <c r="I86" s="298"/>
      <c r="J86" s="295">
        <v>41036</v>
      </c>
      <c r="K86" s="326"/>
      <c r="L86" s="326"/>
      <c r="M86" s="299">
        <v>1</v>
      </c>
      <c r="N86" s="299"/>
      <c r="O86" s="299"/>
      <c r="P86" s="296">
        <v>100</v>
      </c>
      <c r="Q86" s="146" t="s">
        <v>412</v>
      </c>
      <c r="R86" s="146" t="s">
        <v>417</v>
      </c>
      <c r="S86" s="146" t="s">
        <v>429</v>
      </c>
      <c r="T86" s="146" t="s">
        <v>407</v>
      </c>
      <c r="U86" s="146" t="s">
        <v>400</v>
      </c>
      <c r="V86" s="146" t="s">
        <v>126</v>
      </c>
      <c r="W86" s="146" t="s">
        <v>300</v>
      </c>
      <c r="X86" s="146" t="s">
        <v>309</v>
      </c>
      <c r="Y86" s="146" t="s">
        <v>409</v>
      </c>
      <c r="Z86" s="293"/>
      <c r="AA86" s="294" t="s">
        <v>430</v>
      </c>
      <c r="AB86" s="294">
        <v>5</v>
      </c>
      <c r="AC86" s="296">
        <v>6</v>
      </c>
      <c r="AD86" s="301">
        <v>15372.42</v>
      </c>
      <c r="AE86" s="301">
        <v>1627.58</v>
      </c>
      <c r="AF86" s="301">
        <v>614.89679999999998</v>
      </c>
      <c r="AG86" s="301"/>
      <c r="AH86" s="301"/>
      <c r="AI86" s="301"/>
      <c r="AJ86" s="301"/>
      <c r="AK86" s="301">
        <v>80</v>
      </c>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2"/>
      <c r="BN86" s="291">
        <f>+MAX($D$3,DATOS_[[#This Row],[Fecha Inicio Sit. Contract.]])</f>
        <v>45292</v>
      </c>
      <c r="BO86" s="291">
        <f>+MIN($D$4,DATOS_[[#This Row],[Fecha Fin Sit. Contract.]])</f>
        <v>45657</v>
      </c>
      <c r="BP86" s="292">
        <f>+DATOS_[[#This Row],[% de jornada]]*IF(DATOS_[[#This Row],[% jornada reducida]]="",1,DATOS_[[#This Row],[% jornada reducida]])</f>
        <v>1</v>
      </c>
      <c r="BQ86" s="292">
        <f>+(DATOS_[[#This Row],[F.fin.cal]]-DATOS_[[#This Row],[F.ini.cal]]+1)/($D$4-$D$3+1)</f>
        <v>1</v>
      </c>
      <c r="BR86" s="322" t="str">
        <f>IF(OR(AND(DATOS_[[#This Row],[Fecha Fin Contrato]]&lt;$D$3,DATOS_[[#This Row],[Fecha Fin Contrato]]&lt;&gt;""),DATOS_[[#This Row],[Fecha de Contratación]]&gt;$D$4),"Fuera","Dentro")</f>
        <v>Dentro</v>
      </c>
      <c r="BS86" s="322" t="str">
        <f t="array" ref="BS86">IF(MAX(IF(DATOS_[id]=DATOS_[[#This Row],[id]],DATOS_[F.fin.cal]))=DATOS_[[#This Row],[F.fin.cal]],"Sí","NO")</f>
        <v>Sí</v>
      </c>
      <c r="BT86" s="292" t="str">
        <f>IF(AND(DATOS_[[#This Row],[% normaliz]]&lt;&gt;1,DATOS_[[#This Row],[% anualiz]]=1),"Sí","NO")</f>
        <v>NO</v>
      </c>
      <c r="BU86" s="292" t="str">
        <f>IF(AND(DATOS_[[#This Row],[% normaliz]]=1,DATOS_[[#This Row],[% anualiz]]&lt;&gt;1),"Sí","NO")</f>
        <v>NO</v>
      </c>
      <c r="BV86" s="292" t="str">
        <f>IF(AND(DATOS_[[#This Row],[% normaliz]]&lt;&gt;1,DATOS_[[#This Row],[% anualiz]]&lt;&gt;1),"Sí","NO")</f>
        <v>NO</v>
      </c>
      <c r="BW86" s="322" t="str">
        <f>+IF(DATOS_[[#This Row],[% normaliz]]*DATOS_[[#This Row],[% anualiz]]=1,"NO","Sí")</f>
        <v>NO</v>
      </c>
      <c r="BX86" s="323">
        <f>(DATOS_[[#This Row],[S.BASE]]*(1/DATOS_[[#This Row],[% normaliz]])*(1/DATOS_[[#This Row],[% anualiz]]))*IF(DATOS_[[#This Row],[Check Equiparado]]="Sí",1,0)</f>
        <v>15372.42</v>
      </c>
      <c r="BY8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2322.4767999999999</v>
      </c>
      <c r="BZ86" s="323">
        <f>+DATOS_[[#This Row],[SALARIO BASE Eq]]+DATOS_[[#This Row],[Tot COMPL.SAL Eq]]</f>
        <v>17694.896799999999</v>
      </c>
      <c r="CA86" s="323">
        <f t="array" ref="CA8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6" s="323">
        <f>+DATOS_[[#This Row],[TOTAL SALARIO Eq]]+DATOS_[[#This Row],[Tot Extrasalarial Eq]]</f>
        <v>17694.896799999999</v>
      </c>
      <c r="CC86" s="327">
        <f>DATOS_[[#This Row],[S.BASE]]</f>
        <v>15372.42</v>
      </c>
      <c r="CD86" s="324">
        <f>+SUM(DATOS_[[#This Row],[Conc.Sal.01]:[Conc.Sal.30]])</f>
        <v>2322.4767999999999</v>
      </c>
      <c r="CE86" s="324">
        <f>+DATOS_[[#This Row],[SALARIO BASE Ef]]+DATOS_[[#This Row],[Tot COMPL.SAL Ef]]</f>
        <v>17694.896799999999</v>
      </c>
      <c r="CF86" s="324">
        <f>+SUM(DATOS_[[#This Row],[C.Extra.01]:[C.Extra.05]])</f>
        <v>0</v>
      </c>
      <c r="CG86" s="330">
        <f>+DATOS_[[#This Row],[TOTAL SALARIO Ef]]+DATOS_[[#This Row],[Tot Extrasalarial Ef]]</f>
        <v>17694.896799999999</v>
      </c>
      <c r="CH86" s="303">
        <f>MIN(IF(DATOS_[[#This Row],[Fecha Fin Contrato]]="",$D$4,DATOS_[[#This Row],[Fecha Fin Contrato]]),$D$4)-MAX(DATOS_[[#This Row],[Fecha de Contratación]],$D$3)+1</f>
        <v>366</v>
      </c>
      <c r="CI86" s="304" t="str">
        <f>IF(COUNTIFS(DATOS_[id],DATOS_[[#This Row],[id]])&gt;1,DATOS_[[#This Row],[id]],"")</f>
        <v/>
      </c>
      <c r="CJ86" s="325">
        <f>(Inicio!$G$10-DATOS_[[#This Row],[Fecha Nacimiento]])/365.25</f>
        <v>27.069130732375086</v>
      </c>
      <c r="CK86" s="325">
        <f>(Inicio!$G$10-DATOS_[[#This Row],[Fecha de Antigüedad]])/365.25</f>
        <v>12.651608487337439</v>
      </c>
      <c r="CL86" s="325" t="str">
        <f>+VLOOKUP(DATOS_[[#This Row],[Clave de Contrato]],TblTiposContrato13[],3,FALSE)</f>
        <v>Completa</v>
      </c>
      <c r="CM86" s="325" t="str">
        <f>+VLOOKUP(DATOS_[[#This Row],[Clave de Contrato]],TblTiposContrato13[],4,FALSE)</f>
        <v>Indefinido</v>
      </c>
      <c r="CN86" s="325" t="str">
        <f>VLOOKUP(DATOS_[[#This Row],[Edad]],CONTRATOS!TblRngEdad,2,TRUE)</f>
        <v>25 a 30</v>
      </c>
      <c r="CO86" s="325" t="str">
        <f>VLOOKUP(DATOS_[[#This Row],[Antigüedad]],TblRngAntg14[],2,TRUE)</f>
        <v>de 10 a 15  años</v>
      </c>
    </row>
    <row r="87" spans="2:93" x14ac:dyDescent="0.25">
      <c r="B87" s="146">
        <v>74</v>
      </c>
      <c r="C87" s="146" t="s">
        <v>162</v>
      </c>
      <c r="D87" s="295">
        <v>36500</v>
      </c>
      <c r="E87" s="296" t="s">
        <v>428</v>
      </c>
      <c r="F87" s="296">
        <v>1</v>
      </c>
      <c r="G87" s="296">
        <v>1</v>
      </c>
      <c r="H87" s="297">
        <v>44136</v>
      </c>
      <c r="I87" s="298"/>
      <c r="J87" s="295">
        <v>44136</v>
      </c>
      <c r="K87" s="326">
        <v>44136</v>
      </c>
      <c r="L87" s="326"/>
      <c r="M87" s="299">
        <v>1</v>
      </c>
      <c r="N87" s="299"/>
      <c r="O87" s="299"/>
      <c r="P87" s="296">
        <v>401</v>
      </c>
      <c r="Q87" s="146" t="s">
        <v>412</v>
      </c>
      <c r="R87" s="146" t="s">
        <v>417</v>
      </c>
      <c r="S87" s="146" t="s">
        <v>429</v>
      </c>
      <c r="T87" s="146" t="s">
        <v>407</v>
      </c>
      <c r="U87" s="146" t="s">
        <v>400</v>
      </c>
      <c r="V87" s="146" t="s">
        <v>126</v>
      </c>
      <c r="W87" s="146" t="s">
        <v>300</v>
      </c>
      <c r="X87" s="146" t="s">
        <v>309</v>
      </c>
      <c r="Y87" s="146" t="s">
        <v>409</v>
      </c>
      <c r="Z87" s="293"/>
      <c r="AA87" s="294" t="s">
        <v>430</v>
      </c>
      <c r="AB87" s="294">
        <v>5</v>
      </c>
      <c r="AC87" s="296">
        <v>6</v>
      </c>
      <c r="AD87" s="301">
        <v>2562</v>
      </c>
      <c r="AE87" s="301">
        <v>271</v>
      </c>
      <c r="AF87" s="301"/>
      <c r="AG87" s="301"/>
      <c r="AH87" s="301"/>
      <c r="AI87" s="301"/>
      <c r="AJ87" s="301"/>
      <c r="AK87" s="301">
        <v>80</v>
      </c>
      <c r="AL87" s="301">
        <f>+DATOS_[[#This Row],[S.BASE]]*$AL$1</f>
        <v>1024.8</v>
      </c>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2"/>
      <c r="BN87" s="291">
        <f>+MAX($D$3,DATOS_[[#This Row],[Fecha Inicio Sit. Contract.]])</f>
        <v>45292</v>
      </c>
      <c r="BO87" s="291">
        <f>+MIN($D$4,DATOS_[[#This Row],[Fecha Fin Sit. Contract.]])</f>
        <v>45657</v>
      </c>
      <c r="BP87" s="292">
        <f>+DATOS_[[#This Row],[% de jornada]]*IF(DATOS_[[#This Row],[% jornada reducida]]="",1,DATOS_[[#This Row],[% jornada reducida]])</f>
        <v>1</v>
      </c>
      <c r="BQ87" s="292">
        <f>+(DATOS_[[#This Row],[F.fin.cal]]-DATOS_[[#This Row],[F.ini.cal]]+1)/($D$4-$D$3+1)</f>
        <v>1</v>
      </c>
      <c r="BR87" s="322" t="str">
        <f>IF(OR(AND(DATOS_[[#This Row],[Fecha Fin Contrato]]&lt;$D$3,DATOS_[[#This Row],[Fecha Fin Contrato]]&lt;&gt;""),DATOS_[[#This Row],[Fecha de Contratación]]&gt;$D$4),"Fuera","Dentro")</f>
        <v>Dentro</v>
      </c>
      <c r="BS87" s="322" t="str">
        <f t="array" ref="BS87">IF(MAX(IF(DATOS_[id]=DATOS_[[#This Row],[id]],DATOS_[F.fin.cal]))=DATOS_[[#This Row],[F.fin.cal]],"Sí","NO")</f>
        <v>Sí</v>
      </c>
      <c r="BT87" s="292" t="str">
        <f>IF(AND(DATOS_[[#This Row],[% normaliz]]&lt;&gt;1,DATOS_[[#This Row],[% anualiz]]=1),"Sí","NO")</f>
        <v>NO</v>
      </c>
      <c r="BU87" s="292" t="str">
        <f>IF(AND(DATOS_[[#This Row],[% normaliz]]=1,DATOS_[[#This Row],[% anualiz]]&lt;&gt;1),"Sí","NO")</f>
        <v>NO</v>
      </c>
      <c r="BV87" s="292" t="str">
        <f>IF(AND(DATOS_[[#This Row],[% normaliz]]&lt;&gt;1,DATOS_[[#This Row],[% anualiz]]&lt;&gt;1),"Sí","NO")</f>
        <v>NO</v>
      </c>
      <c r="BW87" s="322" t="str">
        <f>+IF(DATOS_[[#This Row],[% normaliz]]*DATOS_[[#This Row],[% anualiz]]=1,"NO","Sí")</f>
        <v>NO</v>
      </c>
      <c r="BX87" s="323">
        <f>(DATOS_[[#This Row],[S.BASE]]*(1/DATOS_[[#This Row],[% normaliz]])*(1/DATOS_[[#This Row],[% anualiz]]))*IF(DATOS_[[#This Row],[Check Equiparado]]="Sí",1,0)</f>
        <v>2562</v>
      </c>
      <c r="BY8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1375.8</v>
      </c>
      <c r="BZ87" s="323">
        <f>+DATOS_[[#This Row],[SALARIO BASE Eq]]+DATOS_[[#This Row],[Tot COMPL.SAL Eq]]</f>
        <v>3937.8</v>
      </c>
      <c r="CA87" s="323">
        <f t="array" ref="CA8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7" s="323">
        <f>+DATOS_[[#This Row],[TOTAL SALARIO Eq]]+DATOS_[[#This Row],[Tot Extrasalarial Eq]]</f>
        <v>3937.8</v>
      </c>
      <c r="CC87" s="327">
        <f>DATOS_[[#This Row],[S.BASE]]</f>
        <v>2562</v>
      </c>
      <c r="CD87" s="324">
        <f>+SUM(DATOS_[[#This Row],[Conc.Sal.01]:[Conc.Sal.30]])</f>
        <v>1375.8</v>
      </c>
      <c r="CE87" s="324">
        <f>+DATOS_[[#This Row],[SALARIO BASE Ef]]+DATOS_[[#This Row],[Tot COMPL.SAL Ef]]</f>
        <v>3937.8</v>
      </c>
      <c r="CF87" s="324">
        <f>+SUM(DATOS_[[#This Row],[C.Extra.01]:[C.Extra.05]])</f>
        <v>0</v>
      </c>
      <c r="CG87" s="330">
        <f>+DATOS_[[#This Row],[TOTAL SALARIO Ef]]+DATOS_[[#This Row],[Tot Extrasalarial Ef]]</f>
        <v>3937.8</v>
      </c>
      <c r="CH87" s="303">
        <f>MIN(IF(DATOS_[[#This Row],[Fecha Fin Contrato]]="",$D$4,DATOS_[[#This Row],[Fecha Fin Contrato]]),$D$4)-MAX(DATOS_[[#This Row],[Fecha de Contratación]],$D$3)+1</f>
        <v>366</v>
      </c>
      <c r="CI87" s="304" t="str">
        <f>IF(COUNTIFS(DATOS_[id],DATOS_[[#This Row],[id]])&gt;1,DATOS_[[#This Row],[id]],"")</f>
        <v/>
      </c>
      <c r="CJ87" s="325">
        <f>(Inicio!$G$10-DATOS_[[#This Row],[Fecha Nacimiento]])/365.25</f>
        <v>25.07049965776865</v>
      </c>
      <c r="CK87" s="325">
        <f>(Inicio!$G$10-DATOS_[[#This Row],[Fecha de Antigüedad]])/365.25</f>
        <v>4.1642710472279258</v>
      </c>
      <c r="CL87" s="325" t="str">
        <f>+VLOOKUP(DATOS_[[#This Row],[Clave de Contrato]],TblTiposContrato13[],3,FALSE)</f>
        <v>Completa</v>
      </c>
      <c r="CM87" s="325" t="str">
        <f>+VLOOKUP(DATOS_[[#This Row],[Clave de Contrato]],TblTiposContrato13[],4,FALSE)</f>
        <v>Temporal</v>
      </c>
      <c r="CN87" s="325" t="str">
        <f>VLOOKUP(DATOS_[[#This Row],[Edad]],CONTRATOS!TblRngEdad,2,TRUE)</f>
        <v>25 a 30</v>
      </c>
      <c r="CO87" s="325" t="str">
        <f>VLOOKUP(DATOS_[[#This Row],[Antigüedad]],TblRngAntg14[],2,TRUE)</f>
        <v>3 a 5  años</v>
      </c>
    </row>
    <row r="88" spans="2:93" x14ac:dyDescent="0.25">
      <c r="B88" s="146">
        <v>75</v>
      </c>
      <c r="C88" s="146" t="s">
        <v>162</v>
      </c>
      <c r="D88" s="295">
        <v>34675</v>
      </c>
      <c r="E88" s="296" t="s">
        <v>428</v>
      </c>
      <c r="F88" s="296">
        <v>1</v>
      </c>
      <c r="G88" s="296">
        <v>1</v>
      </c>
      <c r="H88" s="297">
        <v>38537</v>
      </c>
      <c r="I88" s="298"/>
      <c r="J88" s="295">
        <v>38537</v>
      </c>
      <c r="K88" s="326">
        <v>43983</v>
      </c>
      <c r="L88" s="326">
        <v>44104</v>
      </c>
      <c r="M88" s="299">
        <v>1</v>
      </c>
      <c r="N88" s="299"/>
      <c r="O88" s="299"/>
      <c r="P88" s="296">
        <v>300</v>
      </c>
      <c r="Q88" s="146" t="s">
        <v>412</v>
      </c>
      <c r="R88" s="146" t="s">
        <v>417</v>
      </c>
      <c r="S88" s="146" t="s">
        <v>429</v>
      </c>
      <c r="T88" s="146" t="s">
        <v>407</v>
      </c>
      <c r="U88" s="146" t="s">
        <v>400</v>
      </c>
      <c r="V88" s="146" t="s">
        <v>126</v>
      </c>
      <c r="W88" s="146" t="s">
        <v>300</v>
      </c>
      <c r="X88" s="146" t="s">
        <v>309</v>
      </c>
      <c r="Y88" s="146" t="s">
        <v>409</v>
      </c>
      <c r="Z88" s="293"/>
      <c r="AA88" s="294" t="s">
        <v>430</v>
      </c>
      <c r="AB88" s="294">
        <v>5</v>
      </c>
      <c r="AC88" s="296">
        <v>6</v>
      </c>
      <c r="AD88" s="301">
        <v>3843.105</v>
      </c>
      <c r="AE88" s="301">
        <v>406.89499999999998</v>
      </c>
      <c r="AF88" s="301">
        <v>461.17259999999999</v>
      </c>
      <c r="AG88" s="301"/>
      <c r="AH88" s="301"/>
      <c r="AI88" s="301"/>
      <c r="AJ88" s="301"/>
      <c r="AK88" s="301"/>
      <c r="AL88" s="301">
        <f>+DATOS_[[#This Row],[S.BASE]]*$AL$1</f>
        <v>1537.2420000000002</v>
      </c>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2"/>
      <c r="BN88" s="291">
        <f>+MAX($D$3,DATOS_[[#This Row],[Fecha Inicio Sit. Contract.]])</f>
        <v>45292</v>
      </c>
      <c r="BO88" s="291">
        <f>+MIN($D$4,DATOS_[[#This Row],[Fecha Fin Sit. Contract.]])</f>
        <v>44104</v>
      </c>
      <c r="BP88" s="292">
        <f>+DATOS_[[#This Row],[% de jornada]]*IF(DATOS_[[#This Row],[% jornada reducida]]="",1,DATOS_[[#This Row],[% jornada reducida]])</f>
        <v>1</v>
      </c>
      <c r="BQ88" s="292">
        <f>+(DATOS_[[#This Row],[F.fin.cal]]-DATOS_[[#This Row],[F.ini.cal]]+1)/($D$4-$D$3+1)</f>
        <v>-3.2431693989071038</v>
      </c>
      <c r="BR88" s="322" t="str">
        <f>IF(OR(AND(DATOS_[[#This Row],[Fecha Fin Contrato]]&lt;$D$3,DATOS_[[#This Row],[Fecha Fin Contrato]]&lt;&gt;""),DATOS_[[#This Row],[Fecha de Contratación]]&gt;$D$4),"Fuera","Dentro")</f>
        <v>Dentro</v>
      </c>
      <c r="BS88" s="322" t="str">
        <f t="array" ref="BS88">IF(MAX(IF(DATOS_[id]=DATOS_[[#This Row],[id]],DATOS_[F.fin.cal]))=DATOS_[[#This Row],[F.fin.cal]],"Sí","NO")</f>
        <v>Sí</v>
      </c>
      <c r="BT88" s="292" t="str">
        <f>IF(AND(DATOS_[[#This Row],[% normaliz]]&lt;&gt;1,DATOS_[[#This Row],[% anualiz]]=1),"Sí","NO")</f>
        <v>NO</v>
      </c>
      <c r="BU88" s="292" t="str">
        <f>IF(AND(DATOS_[[#This Row],[% normaliz]]=1,DATOS_[[#This Row],[% anualiz]]&lt;&gt;1),"Sí","NO")</f>
        <v>Sí</v>
      </c>
      <c r="BV88" s="292" t="str">
        <f>IF(AND(DATOS_[[#This Row],[% normaliz]]&lt;&gt;1,DATOS_[[#This Row],[% anualiz]]&lt;&gt;1),"Sí","NO")</f>
        <v>NO</v>
      </c>
      <c r="BW88" s="322" t="str">
        <f>+IF(DATOS_[[#This Row],[% normaliz]]*DATOS_[[#This Row],[% anualiz]]=1,"NO","Sí")</f>
        <v>Sí</v>
      </c>
      <c r="BX88" s="323">
        <f>(DATOS_[[#This Row],[S.BASE]]*(1/DATOS_[[#This Row],[% normaliz]])*(1/DATOS_[[#This Row],[% anualiz]]))*IF(DATOS_[[#This Row],[Check Equiparado]]="Sí",1,0)</f>
        <v>-1184.9843555181128</v>
      </c>
      <c r="BY8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-741.65401314237567</v>
      </c>
      <c r="BZ88" s="323">
        <f>+DATOS_[[#This Row],[SALARIO BASE Eq]]+DATOS_[[#This Row],[Tot COMPL.SAL Eq]]</f>
        <v>-1926.6383686604886</v>
      </c>
      <c r="CA88" s="323">
        <f t="array" ref="CA8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8" s="323">
        <f>+DATOS_[[#This Row],[TOTAL SALARIO Eq]]+DATOS_[[#This Row],[Tot Extrasalarial Eq]]</f>
        <v>-1926.6383686604886</v>
      </c>
      <c r="CC88" s="327">
        <f>DATOS_[[#This Row],[S.BASE]]</f>
        <v>3843.105</v>
      </c>
      <c r="CD88" s="324">
        <f>+SUM(DATOS_[[#This Row],[Conc.Sal.01]:[Conc.Sal.30]])</f>
        <v>2405.3096</v>
      </c>
      <c r="CE88" s="324">
        <f>+DATOS_[[#This Row],[SALARIO BASE Ef]]+DATOS_[[#This Row],[Tot COMPL.SAL Ef]]</f>
        <v>6248.4146000000001</v>
      </c>
      <c r="CF88" s="324">
        <f>+SUM(DATOS_[[#This Row],[C.Extra.01]:[C.Extra.05]])</f>
        <v>0</v>
      </c>
      <c r="CG88" s="330">
        <f>+DATOS_[[#This Row],[TOTAL SALARIO Ef]]+DATOS_[[#This Row],[Tot Extrasalarial Ef]]</f>
        <v>6248.4146000000001</v>
      </c>
      <c r="CH88" s="303">
        <f>MIN(IF(DATOS_[[#This Row],[Fecha Fin Contrato]]="",$D$4,DATOS_[[#This Row],[Fecha Fin Contrato]]),$D$4)-MAX(DATOS_[[#This Row],[Fecha de Contratación]],$D$3)+1</f>
        <v>366</v>
      </c>
      <c r="CI88" s="304" t="str">
        <f>IF(COUNTIFS(DATOS_[id],DATOS_[[#This Row],[id]])&gt;1,DATOS_[[#This Row],[id]],"")</f>
        <v/>
      </c>
      <c r="CJ88" s="325">
        <f>(Inicio!$G$10-DATOS_[[#This Row],[Fecha Nacimiento]])/365.25</f>
        <v>30.067077344284737</v>
      </c>
      <c r="CK88" s="325">
        <f>(Inicio!$G$10-DATOS_[[#This Row],[Fecha de Antigüedad]])/365.25</f>
        <v>19.493497604380561</v>
      </c>
      <c r="CL88" s="325" t="str">
        <f>+VLOOKUP(DATOS_[[#This Row],[Clave de Contrato]],TblTiposContrato13[],3,FALSE)</f>
        <v>N.D</v>
      </c>
      <c r="CM88" s="325" t="str">
        <f>+VLOOKUP(DATOS_[[#This Row],[Clave de Contrato]],TblTiposContrato13[],4,FALSE)</f>
        <v>Fijo discontinuo</v>
      </c>
      <c r="CN88" s="325" t="str">
        <f>VLOOKUP(DATOS_[[#This Row],[Edad]],CONTRATOS!TblRngEdad,2,TRUE)</f>
        <v>30 a 35</v>
      </c>
      <c r="CO88" s="325" t="str">
        <f>VLOOKUP(DATOS_[[#This Row],[Antigüedad]],TblRngAntg14[],2,TRUE)</f>
        <v>más de 15</v>
      </c>
    </row>
    <row r="89" spans="2:93" x14ac:dyDescent="0.25">
      <c r="B89" s="146">
        <v>76</v>
      </c>
      <c r="C89" s="146" t="s">
        <v>163</v>
      </c>
      <c r="D89" s="295">
        <v>28105</v>
      </c>
      <c r="E89" s="296" t="s">
        <v>428</v>
      </c>
      <c r="F89" s="296">
        <v>1</v>
      </c>
      <c r="G89" s="296">
        <v>2</v>
      </c>
      <c r="H89" s="297">
        <v>40108</v>
      </c>
      <c r="I89" s="298"/>
      <c r="J89" s="295">
        <v>40108</v>
      </c>
      <c r="K89" s="326">
        <v>43983</v>
      </c>
      <c r="L89" s="326">
        <v>44104</v>
      </c>
      <c r="M89" s="299">
        <v>1</v>
      </c>
      <c r="N89" s="299"/>
      <c r="O89" s="299"/>
      <c r="P89" s="296">
        <v>300</v>
      </c>
      <c r="Q89" s="146" t="s">
        <v>412</v>
      </c>
      <c r="R89" s="146" t="s">
        <v>417</v>
      </c>
      <c r="S89" s="146" t="s">
        <v>429</v>
      </c>
      <c r="T89" s="146" t="s">
        <v>407</v>
      </c>
      <c r="U89" s="146" t="s">
        <v>400</v>
      </c>
      <c r="V89" s="146" t="s">
        <v>126</v>
      </c>
      <c r="W89" s="146" t="s">
        <v>300</v>
      </c>
      <c r="X89" s="146" t="s">
        <v>309</v>
      </c>
      <c r="Y89" s="146" t="s">
        <v>409</v>
      </c>
      <c r="Z89" s="293"/>
      <c r="AA89" s="294" t="s">
        <v>430</v>
      </c>
      <c r="AB89" s="294">
        <v>5</v>
      </c>
      <c r="AC89" s="296">
        <v>6</v>
      </c>
      <c r="AD89" s="301">
        <v>3843.105</v>
      </c>
      <c r="AE89" s="301">
        <v>406.89499999999998</v>
      </c>
      <c r="AF89" s="301">
        <v>307.44839999999999</v>
      </c>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2"/>
      <c r="BN89" s="291">
        <f>+MAX($D$3,DATOS_[[#This Row],[Fecha Inicio Sit. Contract.]])</f>
        <v>45292</v>
      </c>
      <c r="BO89" s="291">
        <f>+MIN($D$4,DATOS_[[#This Row],[Fecha Fin Sit. Contract.]])</f>
        <v>44104</v>
      </c>
      <c r="BP89" s="292">
        <f>+DATOS_[[#This Row],[% de jornada]]*IF(DATOS_[[#This Row],[% jornada reducida]]="",1,DATOS_[[#This Row],[% jornada reducida]])</f>
        <v>1</v>
      </c>
      <c r="BQ89" s="292">
        <f>+(DATOS_[[#This Row],[F.fin.cal]]-DATOS_[[#This Row],[F.ini.cal]]+1)/($D$4-$D$3+1)</f>
        <v>-3.2431693989071038</v>
      </c>
      <c r="BR89" s="322" t="str">
        <f>IF(OR(AND(DATOS_[[#This Row],[Fecha Fin Contrato]]&lt;$D$3,DATOS_[[#This Row],[Fecha Fin Contrato]]&lt;&gt;""),DATOS_[[#This Row],[Fecha de Contratación]]&gt;$D$4),"Fuera","Dentro")</f>
        <v>Dentro</v>
      </c>
      <c r="BS89" s="322" t="str">
        <f t="array" ref="BS89">IF(MAX(IF(DATOS_[id]=DATOS_[[#This Row],[id]],DATOS_[F.fin.cal]))=DATOS_[[#This Row],[F.fin.cal]],"Sí","NO")</f>
        <v>Sí</v>
      </c>
      <c r="BT89" s="292" t="str">
        <f>IF(AND(DATOS_[[#This Row],[% normaliz]]&lt;&gt;1,DATOS_[[#This Row],[% anualiz]]=1),"Sí","NO")</f>
        <v>NO</v>
      </c>
      <c r="BU89" s="292" t="str">
        <f>IF(AND(DATOS_[[#This Row],[% normaliz]]=1,DATOS_[[#This Row],[% anualiz]]&lt;&gt;1),"Sí","NO")</f>
        <v>Sí</v>
      </c>
      <c r="BV89" s="292" t="str">
        <f>IF(AND(DATOS_[[#This Row],[% normaliz]]&lt;&gt;1,DATOS_[[#This Row],[% anualiz]]&lt;&gt;1),"Sí","NO")</f>
        <v>NO</v>
      </c>
      <c r="BW89" s="322" t="str">
        <f>+IF(DATOS_[[#This Row],[% normaliz]]*DATOS_[[#This Row],[% anualiz]]=1,"NO","Sí")</f>
        <v>Sí</v>
      </c>
      <c r="BX89" s="323">
        <f>(DATOS_[[#This Row],[S.BASE]]*(1/DATOS_[[#This Row],[% normaliz]])*(1/DATOS_[[#This Row],[% anualiz]]))*IF(DATOS_[[#This Row],[Check Equiparado]]="Sí",1,0)</f>
        <v>-1184.9843555181128</v>
      </c>
      <c r="BY8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-220.26089671440604</v>
      </c>
      <c r="BZ89" s="323">
        <f>+DATOS_[[#This Row],[SALARIO BASE Eq]]+DATOS_[[#This Row],[Tot COMPL.SAL Eq]]</f>
        <v>-1405.2452522325189</v>
      </c>
      <c r="CA89" s="323">
        <f t="array" ref="CA8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9" s="323">
        <f>+DATOS_[[#This Row],[TOTAL SALARIO Eq]]+DATOS_[[#This Row],[Tot Extrasalarial Eq]]</f>
        <v>-1405.2452522325189</v>
      </c>
      <c r="CC89" s="327">
        <f>DATOS_[[#This Row],[S.BASE]]</f>
        <v>3843.105</v>
      </c>
      <c r="CD89" s="324">
        <f>+SUM(DATOS_[[#This Row],[Conc.Sal.01]:[Conc.Sal.30]])</f>
        <v>714.34339999999997</v>
      </c>
      <c r="CE89" s="324">
        <f>+DATOS_[[#This Row],[SALARIO BASE Ef]]+DATOS_[[#This Row],[Tot COMPL.SAL Ef]]</f>
        <v>4557.4484000000002</v>
      </c>
      <c r="CF89" s="324">
        <f>+SUM(DATOS_[[#This Row],[C.Extra.01]:[C.Extra.05]])</f>
        <v>0</v>
      </c>
      <c r="CG89" s="330">
        <f>+DATOS_[[#This Row],[TOTAL SALARIO Ef]]+DATOS_[[#This Row],[Tot Extrasalarial Ef]]</f>
        <v>4557.4484000000002</v>
      </c>
      <c r="CH89" s="303">
        <f>MIN(IF(DATOS_[[#This Row],[Fecha Fin Contrato]]="",$D$4,DATOS_[[#This Row],[Fecha Fin Contrato]]),$D$4)-MAX(DATOS_[[#This Row],[Fecha de Contratación]],$D$3)+1</f>
        <v>366</v>
      </c>
      <c r="CI89" s="304" t="str">
        <f>IF(COUNTIFS(DATOS_[id],DATOS_[[#This Row],[id]])&gt;1,DATOS_[[#This Row],[id]],"")</f>
        <v/>
      </c>
      <c r="CJ89" s="325">
        <f>(Inicio!$G$10-DATOS_[[#This Row],[Fecha Nacimiento]])/365.25</f>
        <v>48.054757015742645</v>
      </c>
      <c r="CK89" s="325">
        <f>(Inicio!$G$10-DATOS_[[#This Row],[Fecha de Antigüedad]])/365.25</f>
        <v>15.19233401779603</v>
      </c>
      <c r="CL89" s="325" t="str">
        <f>+VLOOKUP(DATOS_[[#This Row],[Clave de Contrato]],TblTiposContrato13[],3,FALSE)</f>
        <v>N.D</v>
      </c>
      <c r="CM89" s="325" t="str">
        <f>+VLOOKUP(DATOS_[[#This Row],[Clave de Contrato]],TblTiposContrato13[],4,FALSE)</f>
        <v>Fijo discontinuo</v>
      </c>
      <c r="CN89" s="325" t="str">
        <f>VLOOKUP(DATOS_[[#This Row],[Edad]],CONTRATOS!TblRngEdad,2,TRUE)</f>
        <v>45 a 50</v>
      </c>
      <c r="CO89" s="325" t="str">
        <f>VLOOKUP(DATOS_[[#This Row],[Antigüedad]],TblRngAntg14[],2,TRUE)</f>
        <v>más de 15</v>
      </c>
    </row>
    <row r="90" spans="2:93" x14ac:dyDescent="0.25">
      <c r="B90" s="146">
        <v>77</v>
      </c>
      <c r="C90" s="146" t="s">
        <v>162</v>
      </c>
      <c r="D90" s="295">
        <v>28105</v>
      </c>
      <c r="E90" s="296" t="s">
        <v>428</v>
      </c>
      <c r="F90" s="296">
        <v>3</v>
      </c>
      <c r="G90" s="296">
        <v>0</v>
      </c>
      <c r="H90" s="297">
        <v>40400</v>
      </c>
      <c r="I90" s="298"/>
      <c r="J90" s="295">
        <v>40400</v>
      </c>
      <c r="K90" s="326">
        <v>43983</v>
      </c>
      <c r="L90" s="326">
        <v>44104</v>
      </c>
      <c r="M90" s="299">
        <v>1</v>
      </c>
      <c r="N90" s="299"/>
      <c r="O90" s="299"/>
      <c r="P90" s="296">
        <v>300</v>
      </c>
      <c r="Q90" s="146" t="s">
        <v>412</v>
      </c>
      <c r="R90" s="146" t="s">
        <v>417</v>
      </c>
      <c r="S90" s="146" t="s">
        <v>429</v>
      </c>
      <c r="T90" s="146" t="s">
        <v>407</v>
      </c>
      <c r="U90" s="146" t="s">
        <v>400</v>
      </c>
      <c r="V90" s="146" t="s">
        <v>126</v>
      </c>
      <c r="W90" s="146" t="s">
        <v>300</v>
      </c>
      <c r="X90" s="146" t="s">
        <v>309</v>
      </c>
      <c r="Y90" s="146" t="s">
        <v>409</v>
      </c>
      <c r="Z90" s="293"/>
      <c r="AA90" s="294" t="s">
        <v>430</v>
      </c>
      <c r="AB90" s="294">
        <v>5</v>
      </c>
      <c r="AC90" s="296">
        <v>6</v>
      </c>
      <c r="AD90" s="301">
        <v>3843.105</v>
      </c>
      <c r="AE90" s="301">
        <v>406.89499999999998</v>
      </c>
      <c r="AF90" s="301">
        <v>307.44839999999999</v>
      </c>
      <c r="AG90" s="301"/>
      <c r="AH90" s="301"/>
      <c r="AI90" s="301"/>
      <c r="AJ90" s="301"/>
      <c r="AK90" s="301"/>
      <c r="AL90" s="301">
        <f>+DATOS_[[#This Row],[S.BASE]]*$AL$1</f>
        <v>1537.2420000000002</v>
      </c>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2"/>
      <c r="BN90" s="291">
        <f>+MAX($D$3,DATOS_[[#This Row],[Fecha Inicio Sit. Contract.]])</f>
        <v>45292</v>
      </c>
      <c r="BO90" s="291">
        <f>+MIN($D$4,DATOS_[[#This Row],[Fecha Fin Sit. Contract.]])</f>
        <v>44104</v>
      </c>
      <c r="BP90" s="292">
        <f>+DATOS_[[#This Row],[% de jornada]]*IF(DATOS_[[#This Row],[% jornada reducida]]="",1,DATOS_[[#This Row],[% jornada reducida]])</f>
        <v>1</v>
      </c>
      <c r="BQ90" s="292">
        <f>+(DATOS_[[#This Row],[F.fin.cal]]-DATOS_[[#This Row],[F.ini.cal]]+1)/($D$4-$D$3+1)</f>
        <v>-3.2431693989071038</v>
      </c>
      <c r="BR90" s="322" t="str">
        <f>IF(OR(AND(DATOS_[[#This Row],[Fecha Fin Contrato]]&lt;$D$3,DATOS_[[#This Row],[Fecha Fin Contrato]]&lt;&gt;""),DATOS_[[#This Row],[Fecha de Contratación]]&gt;$D$4),"Fuera","Dentro")</f>
        <v>Dentro</v>
      </c>
      <c r="BS90" s="322" t="str">
        <f t="array" ref="BS90">IF(MAX(IF(DATOS_[id]=DATOS_[[#This Row],[id]],DATOS_[F.fin.cal]))=DATOS_[[#This Row],[F.fin.cal]],"Sí","NO")</f>
        <v>Sí</v>
      </c>
      <c r="BT90" s="292" t="str">
        <f>IF(AND(DATOS_[[#This Row],[% normaliz]]&lt;&gt;1,DATOS_[[#This Row],[% anualiz]]=1),"Sí","NO")</f>
        <v>NO</v>
      </c>
      <c r="BU90" s="292" t="str">
        <f>IF(AND(DATOS_[[#This Row],[% normaliz]]=1,DATOS_[[#This Row],[% anualiz]]&lt;&gt;1),"Sí","NO")</f>
        <v>Sí</v>
      </c>
      <c r="BV90" s="292" t="str">
        <f>IF(AND(DATOS_[[#This Row],[% normaliz]]&lt;&gt;1,DATOS_[[#This Row],[% anualiz]]&lt;&gt;1),"Sí","NO")</f>
        <v>NO</v>
      </c>
      <c r="BW90" s="322" t="str">
        <f>+IF(DATOS_[[#This Row],[% normaliz]]*DATOS_[[#This Row],[% anualiz]]=1,"NO","Sí")</f>
        <v>Sí</v>
      </c>
      <c r="BX90" s="323">
        <f>(DATOS_[[#This Row],[S.BASE]]*(1/DATOS_[[#This Row],[% normaliz]])*(1/DATOS_[[#This Row],[% anualiz]]))*IF(DATOS_[[#This Row],[Check Equiparado]]="Sí",1,0)</f>
        <v>-1184.9843555181128</v>
      </c>
      <c r="BY9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-694.25463892165124</v>
      </c>
      <c r="BZ90" s="323">
        <f>+DATOS_[[#This Row],[SALARIO BASE Eq]]+DATOS_[[#This Row],[Tot COMPL.SAL Eq]]</f>
        <v>-1879.2389944397642</v>
      </c>
      <c r="CA90" s="323">
        <f t="array" ref="CA9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0" s="323">
        <f>+DATOS_[[#This Row],[TOTAL SALARIO Eq]]+DATOS_[[#This Row],[Tot Extrasalarial Eq]]</f>
        <v>-1879.2389944397642</v>
      </c>
      <c r="CC90" s="327">
        <f>DATOS_[[#This Row],[S.BASE]]</f>
        <v>3843.105</v>
      </c>
      <c r="CD90" s="324">
        <f>+SUM(DATOS_[[#This Row],[Conc.Sal.01]:[Conc.Sal.30]])</f>
        <v>2251.5853999999999</v>
      </c>
      <c r="CE90" s="324">
        <f>+DATOS_[[#This Row],[SALARIO BASE Ef]]+DATOS_[[#This Row],[Tot COMPL.SAL Ef]]</f>
        <v>6094.6903999999995</v>
      </c>
      <c r="CF90" s="324">
        <f>+SUM(DATOS_[[#This Row],[C.Extra.01]:[C.Extra.05]])</f>
        <v>0</v>
      </c>
      <c r="CG90" s="330">
        <f>+DATOS_[[#This Row],[TOTAL SALARIO Ef]]+DATOS_[[#This Row],[Tot Extrasalarial Ef]]</f>
        <v>6094.6903999999995</v>
      </c>
      <c r="CH90" s="303">
        <f>MIN(IF(DATOS_[[#This Row],[Fecha Fin Contrato]]="",$D$4,DATOS_[[#This Row],[Fecha Fin Contrato]]),$D$4)-MAX(DATOS_[[#This Row],[Fecha de Contratación]],$D$3)+1</f>
        <v>366</v>
      </c>
      <c r="CI90" s="304" t="str">
        <f>IF(COUNTIFS(DATOS_[id],DATOS_[[#This Row],[id]])&gt;1,DATOS_[[#This Row],[id]],"")</f>
        <v/>
      </c>
      <c r="CJ90" s="325">
        <f>(Inicio!$G$10-DATOS_[[#This Row],[Fecha Nacimiento]])/365.25</f>
        <v>48.054757015742645</v>
      </c>
      <c r="CK90" s="325">
        <f>(Inicio!$G$10-DATOS_[[#This Row],[Fecha de Antigüedad]])/365.25</f>
        <v>14.392881587953456</v>
      </c>
      <c r="CL90" s="325" t="str">
        <f>+VLOOKUP(DATOS_[[#This Row],[Clave de Contrato]],TblTiposContrato13[],3,FALSE)</f>
        <v>N.D</v>
      </c>
      <c r="CM90" s="325" t="str">
        <f>+VLOOKUP(DATOS_[[#This Row],[Clave de Contrato]],TblTiposContrato13[],4,FALSE)</f>
        <v>Fijo discontinuo</v>
      </c>
      <c r="CN90" s="325" t="str">
        <f>VLOOKUP(DATOS_[[#This Row],[Edad]],CONTRATOS!TblRngEdad,2,TRUE)</f>
        <v>45 a 50</v>
      </c>
      <c r="CO90" s="325" t="str">
        <f>VLOOKUP(DATOS_[[#This Row],[Antigüedad]],TblRngAntg14[],2,TRUE)</f>
        <v>de 10 a 15  años</v>
      </c>
    </row>
    <row r="91" spans="2:93" x14ac:dyDescent="0.25">
      <c r="B91" s="146">
        <v>78</v>
      </c>
      <c r="C91" s="146" t="s">
        <v>163</v>
      </c>
      <c r="D91" s="295">
        <v>32120</v>
      </c>
      <c r="E91" s="296" t="s">
        <v>428</v>
      </c>
      <c r="F91" s="296">
        <v>3</v>
      </c>
      <c r="G91" s="296">
        <v>0</v>
      </c>
      <c r="H91" s="297">
        <v>40619</v>
      </c>
      <c r="I91" s="298"/>
      <c r="J91" s="295">
        <v>40619</v>
      </c>
      <c r="K91" s="326">
        <v>43983</v>
      </c>
      <c r="L91" s="326">
        <v>44104</v>
      </c>
      <c r="M91" s="299">
        <v>1</v>
      </c>
      <c r="N91" s="299"/>
      <c r="O91" s="299"/>
      <c r="P91" s="296">
        <v>300</v>
      </c>
      <c r="Q91" s="146" t="s">
        <v>412</v>
      </c>
      <c r="R91" s="146" t="s">
        <v>417</v>
      </c>
      <c r="S91" s="146" t="s">
        <v>429</v>
      </c>
      <c r="T91" s="146" t="s">
        <v>407</v>
      </c>
      <c r="U91" s="146" t="s">
        <v>400</v>
      </c>
      <c r="V91" s="146" t="s">
        <v>126</v>
      </c>
      <c r="W91" s="146" t="s">
        <v>300</v>
      </c>
      <c r="X91" s="146" t="s">
        <v>309</v>
      </c>
      <c r="Y91" s="146" t="s">
        <v>409</v>
      </c>
      <c r="Z91" s="293"/>
      <c r="AA91" s="294" t="s">
        <v>430</v>
      </c>
      <c r="AB91" s="294">
        <v>5</v>
      </c>
      <c r="AC91" s="296">
        <v>6</v>
      </c>
      <c r="AD91" s="301">
        <v>3843.105</v>
      </c>
      <c r="AE91" s="301">
        <v>406.89499999999998</v>
      </c>
      <c r="AF91" s="301">
        <v>307.44839999999999</v>
      </c>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2"/>
      <c r="BN91" s="291">
        <f>+MAX($D$3,DATOS_[[#This Row],[Fecha Inicio Sit. Contract.]])</f>
        <v>45292</v>
      </c>
      <c r="BO91" s="291">
        <f>+MIN($D$4,DATOS_[[#This Row],[Fecha Fin Sit. Contract.]])</f>
        <v>44104</v>
      </c>
      <c r="BP91" s="292">
        <f>+DATOS_[[#This Row],[% de jornada]]*IF(DATOS_[[#This Row],[% jornada reducida]]="",1,DATOS_[[#This Row],[% jornada reducida]])</f>
        <v>1</v>
      </c>
      <c r="BQ91" s="292">
        <f>+(DATOS_[[#This Row],[F.fin.cal]]-DATOS_[[#This Row],[F.ini.cal]]+1)/($D$4-$D$3+1)</f>
        <v>-3.2431693989071038</v>
      </c>
      <c r="BR91" s="322" t="str">
        <f>IF(OR(AND(DATOS_[[#This Row],[Fecha Fin Contrato]]&lt;$D$3,DATOS_[[#This Row],[Fecha Fin Contrato]]&lt;&gt;""),DATOS_[[#This Row],[Fecha de Contratación]]&gt;$D$4),"Fuera","Dentro")</f>
        <v>Dentro</v>
      </c>
      <c r="BS91" s="322" t="str">
        <f t="array" ref="BS91">IF(MAX(IF(DATOS_[id]=DATOS_[[#This Row],[id]],DATOS_[F.fin.cal]))=DATOS_[[#This Row],[F.fin.cal]],"Sí","NO")</f>
        <v>Sí</v>
      </c>
      <c r="BT91" s="292" t="str">
        <f>IF(AND(DATOS_[[#This Row],[% normaliz]]&lt;&gt;1,DATOS_[[#This Row],[% anualiz]]=1),"Sí","NO")</f>
        <v>NO</v>
      </c>
      <c r="BU91" s="292" t="str">
        <f>IF(AND(DATOS_[[#This Row],[% normaliz]]=1,DATOS_[[#This Row],[% anualiz]]&lt;&gt;1),"Sí","NO")</f>
        <v>Sí</v>
      </c>
      <c r="BV91" s="292" t="str">
        <f>IF(AND(DATOS_[[#This Row],[% normaliz]]&lt;&gt;1,DATOS_[[#This Row],[% anualiz]]&lt;&gt;1),"Sí","NO")</f>
        <v>NO</v>
      </c>
      <c r="BW91" s="322" t="str">
        <f>+IF(DATOS_[[#This Row],[% normaliz]]*DATOS_[[#This Row],[% anualiz]]=1,"NO","Sí")</f>
        <v>Sí</v>
      </c>
      <c r="BX91" s="323">
        <f>(DATOS_[[#This Row],[S.BASE]]*(1/DATOS_[[#This Row],[% normaliz]])*(1/DATOS_[[#This Row],[% anualiz]]))*IF(DATOS_[[#This Row],[Check Equiparado]]="Sí",1,0)</f>
        <v>-1184.9843555181128</v>
      </c>
      <c r="BY9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-220.26089671440604</v>
      </c>
      <c r="BZ91" s="323">
        <f>+DATOS_[[#This Row],[SALARIO BASE Eq]]+DATOS_[[#This Row],[Tot COMPL.SAL Eq]]</f>
        <v>-1405.2452522325189</v>
      </c>
      <c r="CA91" s="323">
        <f t="array" ref="CA9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1" s="323">
        <f>+DATOS_[[#This Row],[TOTAL SALARIO Eq]]+DATOS_[[#This Row],[Tot Extrasalarial Eq]]</f>
        <v>-1405.2452522325189</v>
      </c>
      <c r="CC91" s="327">
        <f>DATOS_[[#This Row],[S.BASE]]</f>
        <v>3843.105</v>
      </c>
      <c r="CD91" s="324">
        <f>+SUM(DATOS_[[#This Row],[Conc.Sal.01]:[Conc.Sal.30]])</f>
        <v>714.34339999999997</v>
      </c>
      <c r="CE91" s="324">
        <f>+DATOS_[[#This Row],[SALARIO BASE Ef]]+DATOS_[[#This Row],[Tot COMPL.SAL Ef]]</f>
        <v>4557.4484000000002</v>
      </c>
      <c r="CF91" s="324">
        <f>+SUM(DATOS_[[#This Row],[C.Extra.01]:[C.Extra.05]])</f>
        <v>0</v>
      </c>
      <c r="CG91" s="330">
        <f>+DATOS_[[#This Row],[TOTAL SALARIO Ef]]+DATOS_[[#This Row],[Tot Extrasalarial Ef]]</f>
        <v>4557.4484000000002</v>
      </c>
      <c r="CH91" s="303">
        <f>MIN(IF(DATOS_[[#This Row],[Fecha Fin Contrato]]="",$D$4,DATOS_[[#This Row],[Fecha Fin Contrato]]),$D$4)-MAX(DATOS_[[#This Row],[Fecha de Contratación]],$D$3)+1</f>
        <v>366</v>
      </c>
      <c r="CI91" s="304" t="str">
        <f>IF(COUNTIFS(DATOS_[id],DATOS_[[#This Row],[id]])&gt;1,DATOS_[[#This Row],[id]],"")</f>
        <v/>
      </c>
      <c r="CJ91" s="325">
        <f>(Inicio!$G$10-DATOS_[[#This Row],[Fecha Nacimiento]])/365.25</f>
        <v>37.062286105407253</v>
      </c>
      <c r="CK91" s="325">
        <f>(Inicio!$G$10-DATOS_[[#This Row],[Fecha de Antigüedad]])/365.25</f>
        <v>13.793292265571527</v>
      </c>
      <c r="CL91" s="325" t="str">
        <f>+VLOOKUP(DATOS_[[#This Row],[Clave de Contrato]],TblTiposContrato13[],3,FALSE)</f>
        <v>N.D</v>
      </c>
      <c r="CM91" s="325" t="str">
        <f>+VLOOKUP(DATOS_[[#This Row],[Clave de Contrato]],TblTiposContrato13[],4,FALSE)</f>
        <v>Fijo discontinuo</v>
      </c>
      <c r="CN91" s="325" t="str">
        <f>VLOOKUP(DATOS_[[#This Row],[Edad]],CONTRATOS!TblRngEdad,2,TRUE)</f>
        <v>35 a 40</v>
      </c>
      <c r="CO91" s="325" t="str">
        <f>VLOOKUP(DATOS_[[#This Row],[Antigüedad]],TblRngAntg14[],2,TRUE)</f>
        <v>de 10 a 15  años</v>
      </c>
    </row>
    <row r="92" spans="2:93" x14ac:dyDescent="0.25">
      <c r="B92" s="146">
        <v>79</v>
      </c>
      <c r="C92" s="146" t="s">
        <v>162</v>
      </c>
      <c r="D92" s="295">
        <v>26645</v>
      </c>
      <c r="E92" s="296" t="s">
        <v>428</v>
      </c>
      <c r="F92" s="296">
        <v>3</v>
      </c>
      <c r="G92" s="296">
        <v>0</v>
      </c>
      <c r="H92" s="297">
        <v>40912</v>
      </c>
      <c r="I92" s="298"/>
      <c r="J92" s="295">
        <v>40912</v>
      </c>
      <c r="K92" s="326">
        <v>43983</v>
      </c>
      <c r="L92" s="326">
        <v>44104</v>
      </c>
      <c r="M92" s="299">
        <v>1</v>
      </c>
      <c r="N92" s="299"/>
      <c r="O92" s="299"/>
      <c r="P92" s="296">
        <v>300</v>
      </c>
      <c r="Q92" s="146" t="s">
        <v>412</v>
      </c>
      <c r="R92" s="146" t="s">
        <v>417</v>
      </c>
      <c r="S92" s="146" t="s">
        <v>429</v>
      </c>
      <c r="T92" s="146" t="s">
        <v>407</v>
      </c>
      <c r="U92" s="146" t="s">
        <v>400</v>
      </c>
      <c r="V92" s="146" t="s">
        <v>126</v>
      </c>
      <c r="W92" s="146" t="s">
        <v>300</v>
      </c>
      <c r="X92" s="146" t="s">
        <v>309</v>
      </c>
      <c r="Y92" s="146" t="s">
        <v>409</v>
      </c>
      <c r="Z92" s="293"/>
      <c r="AA92" s="294" t="s">
        <v>430</v>
      </c>
      <c r="AB92" s="294">
        <v>5</v>
      </c>
      <c r="AC92" s="296">
        <v>6</v>
      </c>
      <c r="AD92" s="301">
        <v>3843.105</v>
      </c>
      <c r="AE92" s="301">
        <v>406.89499999999998</v>
      </c>
      <c r="AF92" s="301">
        <v>153.7242</v>
      </c>
      <c r="AG92" s="301"/>
      <c r="AH92" s="301"/>
      <c r="AI92" s="301"/>
      <c r="AJ92" s="301"/>
      <c r="AK92" s="301"/>
      <c r="AL92" s="301">
        <f>+DATOS_[[#This Row],[S.BASE]]*$AL$1</f>
        <v>1537.2420000000002</v>
      </c>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2"/>
      <c r="BN92" s="291">
        <f>+MAX($D$3,DATOS_[[#This Row],[Fecha Inicio Sit. Contract.]])</f>
        <v>45292</v>
      </c>
      <c r="BO92" s="291">
        <f>+MIN($D$4,DATOS_[[#This Row],[Fecha Fin Sit. Contract.]])</f>
        <v>44104</v>
      </c>
      <c r="BP92" s="292">
        <f>+DATOS_[[#This Row],[% de jornada]]*IF(DATOS_[[#This Row],[% jornada reducida]]="",1,DATOS_[[#This Row],[% jornada reducida]])</f>
        <v>1</v>
      </c>
      <c r="BQ92" s="292">
        <f>+(DATOS_[[#This Row],[F.fin.cal]]-DATOS_[[#This Row],[F.ini.cal]]+1)/($D$4-$D$3+1)</f>
        <v>-3.2431693989071038</v>
      </c>
      <c r="BR92" s="322" t="str">
        <f>IF(OR(AND(DATOS_[[#This Row],[Fecha Fin Contrato]]&lt;$D$3,DATOS_[[#This Row],[Fecha Fin Contrato]]&lt;&gt;""),DATOS_[[#This Row],[Fecha de Contratación]]&gt;$D$4),"Fuera","Dentro")</f>
        <v>Dentro</v>
      </c>
      <c r="BS92" s="322" t="str">
        <f t="array" ref="BS92">IF(MAX(IF(DATOS_[id]=DATOS_[[#This Row],[id]],DATOS_[F.fin.cal]))=DATOS_[[#This Row],[F.fin.cal]],"Sí","NO")</f>
        <v>Sí</v>
      </c>
      <c r="BT92" s="292" t="str">
        <f>IF(AND(DATOS_[[#This Row],[% normaliz]]&lt;&gt;1,DATOS_[[#This Row],[% anualiz]]=1),"Sí","NO")</f>
        <v>NO</v>
      </c>
      <c r="BU92" s="292" t="str">
        <f>IF(AND(DATOS_[[#This Row],[% normaliz]]=1,DATOS_[[#This Row],[% anualiz]]&lt;&gt;1),"Sí","NO")</f>
        <v>Sí</v>
      </c>
      <c r="BV92" s="292" t="str">
        <f>IF(AND(DATOS_[[#This Row],[% normaliz]]&lt;&gt;1,DATOS_[[#This Row],[% anualiz]]&lt;&gt;1),"Sí","NO")</f>
        <v>NO</v>
      </c>
      <c r="BW92" s="322" t="str">
        <f>+IF(DATOS_[[#This Row],[% normaliz]]*DATOS_[[#This Row],[% anualiz]]=1,"NO","Sí")</f>
        <v>Sí</v>
      </c>
      <c r="BX92" s="323">
        <f>(DATOS_[[#This Row],[S.BASE]]*(1/DATOS_[[#This Row],[% normaliz]])*(1/DATOS_[[#This Row],[% anualiz]]))*IF(DATOS_[[#This Row],[Check Equiparado]]="Sí",1,0)</f>
        <v>-1184.9843555181128</v>
      </c>
      <c r="BY9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-646.8552647009268</v>
      </c>
      <c r="BZ92" s="323">
        <f>+DATOS_[[#This Row],[SALARIO BASE Eq]]+DATOS_[[#This Row],[Tot COMPL.SAL Eq]]</f>
        <v>-1831.8396202190397</v>
      </c>
      <c r="CA92" s="323">
        <f t="array" ref="CA9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2" s="323">
        <f>+DATOS_[[#This Row],[TOTAL SALARIO Eq]]+DATOS_[[#This Row],[Tot Extrasalarial Eq]]</f>
        <v>-1831.8396202190397</v>
      </c>
      <c r="CC92" s="327">
        <f>DATOS_[[#This Row],[S.BASE]]</f>
        <v>3843.105</v>
      </c>
      <c r="CD92" s="324">
        <f>+SUM(DATOS_[[#This Row],[Conc.Sal.01]:[Conc.Sal.30]])</f>
        <v>2097.8612000000003</v>
      </c>
      <c r="CE92" s="324">
        <f>+DATOS_[[#This Row],[SALARIO BASE Ef]]+DATOS_[[#This Row],[Tot COMPL.SAL Ef]]</f>
        <v>5940.9662000000008</v>
      </c>
      <c r="CF92" s="324">
        <f>+SUM(DATOS_[[#This Row],[C.Extra.01]:[C.Extra.05]])</f>
        <v>0</v>
      </c>
      <c r="CG92" s="330">
        <f>+DATOS_[[#This Row],[TOTAL SALARIO Ef]]+DATOS_[[#This Row],[Tot Extrasalarial Ef]]</f>
        <v>5940.9662000000008</v>
      </c>
      <c r="CH92" s="303">
        <f>MIN(IF(DATOS_[[#This Row],[Fecha Fin Contrato]]="",$D$4,DATOS_[[#This Row],[Fecha Fin Contrato]]),$D$4)-MAX(DATOS_[[#This Row],[Fecha de Contratación]],$D$3)+1</f>
        <v>366</v>
      </c>
      <c r="CI92" s="304" t="str">
        <f>IF(COUNTIFS(DATOS_[id],DATOS_[[#This Row],[id]])&gt;1,DATOS_[[#This Row],[id]],"")</f>
        <v/>
      </c>
      <c r="CJ92" s="325">
        <f>(Inicio!$G$10-DATOS_[[#This Row],[Fecha Nacimiento]])/365.25</f>
        <v>52.05201916495551</v>
      </c>
      <c r="CK92" s="325">
        <f>(Inicio!$G$10-DATOS_[[#This Row],[Fecha de Antigüedad]])/365.25</f>
        <v>12.991101984941821</v>
      </c>
      <c r="CL92" s="325" t="str">
        <f>+VLOOKUP(DATOS_[[#This Row],[Clave de Contrato]],TblTiposContrato13[],3,FALSE)</f>
        <v>N.D</v>
      </c>
      <c r="CM92" s="325" t="str">
        <f>+VLOOKUP(DATOS_[[#This Row],[Clave de Contrato]],TblTiposContrato13[],4,FALSE)</f>
        <v>Fijo discontinuo</v>
      </c>
      <c r="CN92" s="325" t="str">
        <f>VLOOKUP(DATOS_[[#This Row],[Edad]],CONTRATOS!TblRngEdad,2,TRUE)</f>
        <v>50 a 55</v>
      </c>
      <c r="CO92" s="325" t="str">
        <f>VLOOKUP(DATOS_[[#This Row],[Antigüedad]],TblRngAntg14[],2,TRUE)</f>
        <v>de 10 a 15  años</v>
      </c>
    </row>
    <row r="93" spans="2:93" x14ac:dyDescent="0.25">
      <c r="B93" s="146">
        <v>80</v>
      </c>
      <c r="C93" s="146" t="s">
        <v>162</v>
      </c>
      <c r="D93" s="295">
        <v>27010</v>
      </c>
      <c r="E93" s="296" t="s">
        <v>428</v>
      </c>
      <c r="F93" s="296">
        <v>3</v>
      </c>
      <c r="G93" s="296">
        <v>0</v>
      </c>
      <c r="H93" s="297">
        <v>38209</v>
      </c>
      <c r="I93" s="298"/>
      <c r="J93" s="295">
        <v>38209</v>
      </c>
      <c r="K93" s="326"/>
      <c r="L93" s="326"/>
      <c r="M93" s="299">
        <v>1</v>
      </c>
      <c r="N93" s="299"/>
      <c r="O93" s="299"/>
      <c r="P93" s="296">
        <v>100</v>
      </c>
      <c r="Q93" s="146" t="s">
        <v>412</v>
      </c>
      <c r="R93" s="146" t="s">
        <v>417</v>
      </c>
      <c r="S93" s="146" t="s">
        <v>429</v>
      </c>
      <c r="T93" s="146" t="s">
        <v>407</v>
      </c>
      <c r="U93" s="146" t="s">
        <v>400</v>
      </c>
      <c r="V93" s="146" t="s">
        <v>126</v>
      </c>
      <c r="W93" s="146" t="s">
        <v>300</v>
      </c>
      <c r="X93" s="146" t="s">
        <v>309</v>
      </c>
      <c r="Y93" s="146" t="s">
        <v>409</v>
      </c>
      <c r="Z93" s="293"/>
      <c r="AA93" s="294" t="s">
        <v>430</v>
      </c>
      <c r="AB93" s="294">
        <v>5</v>
      </c>
      <c r="AC93" s="296">
        <v>6</v>
      </c>
      <c r="AD93" s="301">
        <v>15372.42</v>
      </c>
      <c r="AE93" s="301">
        <v>1627.58</v>
      </c>
      <c r="AF93" s="301">
        <v>1844.6904</v>
      </c>
      <c r="AG93" s="301"/>
      <c r="AH93" s="301"/>
      <c r="AI93" s="301"/>
      <c r="AJ93" s="301"/>
      <c r="AK93" s="301">
        <v>80</v>
      </c>
      <c r="AL93" s="301">
        <f>+DATOS_[[#This Row],[S.BASE]]*$AL$1</f>
        <v>6148.9680000000008</v>
      </c>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2"/>
      <c r="BN93" s="291">
        <f>+MAX($D$3,DATOS_[[#This Row],[Fecha Inicio Sit. Contract.]])</f>
        <v>45292</v>
      </c>
      <c r="BO93" s="291">
        <f>+MIN($D$4,DATOS_[[#This Row],[Fecha Fin Sit. Contract.]])</f>
        <v>45657</v>
      </c>
      <c r="BP93" s="292">
        <f>+DATOS_[[#This Row],[% de jornada]]*IF(DATOS_[[#This Row],[% jornada reducida]]="",1,DATOS_[[#This Row],[% jornada reducida]])</f>
        <v>1</v>
      </c>
      <c r="BQ93" s="292">
        <f>+(DATOS_[[#This Row],[F.fin.cal]]-DATOS_[[#This Row],[F.ini.cal]]+1)/($D$4-$D$3+1)</f>
        <v>1</v>
      </c>
      <c r="BR93" s="322" t="str">
        <f>IF(OR(AND(DATOS_[[#This Row],[Fecha Fin Contrato]]&lt;$D$3,DATOS_[[#This Row],[Fecha Fin Contrato]]&lt;&gt;""),DATOS_[[#This Row],[Fecha de Contratación]]&gt;$D$4),"Fuera","Dentro")</f>
        <v>Dentro</v>
      </c>
      <c r="BS93" s="322" t="str">
        <f t="array" ref="BS93">IF(MAX(IF(DATOS_[id]=DATOS_[[#This Row],[id]],DATOS_[F.fin.cal]))=DATOS_[[#This Row],[F.fin.cal]],"Sí","NO")</f>
        <v>Sí</v>
      </c>
      <c r="BT93" s="292" t="str">
        <f>IF(AND(DATOS_[[#This Row],[% normaliz]]&lt;&gt;1,DATOS_[[#This Row],[% anualiz]]=1),"Sí","NO")</f>
        <v>NO</v>
      </c>
      <c r="BU93" s="292" t="str">
        <f>IF(AND(DATOS_[[#This Row],[% normaliz]]=1,DATOS_[[#This Row],[% anualiz]]&lt;&gt;1),"Sí","NO")</f>
        <v>NO</v>
      </c>
      <c r="BV93" s="292" t="str">
        <f>IF(AND(DATOS_[[#This Row],[% normaliz]]&lt;&gt;1,DATOS_[[#This Row],[% anualiz]]&lt;&gt;1),"Sí","NO")</f>
        <v>NO</v>
      </c>
      <c r="BW93" s="322" t="str">
        <f>+IF(DATOS_[[#This Row],[% normaliz]]*DATOS_[[#This Row],[% anualiz]]=1,"NO","Sí")</f>
        <v>NO</v>
      </c>
      <c r="BX93" s="323">
        <f>(DATOS_[[#This Row],[S.BASE]]*(1/DATOS_[[#This Row],[% normaliz]])*(1/DATOS_[[#This Row],[% anualiz]]))*IF(DATOS_[[#This Row],[Check Equiparado]]="Sí",1,0)</f>
        <v>15372.42</v>
      </c>
      <c r="BY9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93" s="323">
        <f>+DATOS_[[#This Row],[SALARIO BASE Eq]]+DATOS_[[#This Row],[Tot COMPL.SAL Eq]]</f>
        <v>25073.6584</v>
      </c>
      <c r="CA93" s="323">
        <f t="array" ref="CA9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3" s="323">
        <f>+DATOS_[[#This Row],[TOTAL SALARIO Eq]]+DATOS_[[#This Row],[Tot Extrasalarial Eq]]</f>
        <v>25073.6584</v>
      </c>
      <c r="CC93" s="327">
        <f>DATOS_[[#This Row],[S.BASE]]</f>
        <v>15372.42</v>
      </c>
      <c r="CD93" s="324">
        <f>+SUM(DATOS_[[#This Row],[Conc.Sal.01]:[Conc.Sal.30]])</f>
        <v>9701.2384000000002</v>
      </c>
      <c r="CE93" s="324">
        <f>+DATOS_[[#This Row],[SALARIO BASE Ef]]+DATOS_[[#This Row],[Tot COMPL.SAL Ef]]</f>
        <v>25073.6584</v>
      </c>
      <c r="CF93" s="324">
        <f>+SUM(DATOS_[[#This Row],[C.Extra.01]:[C.Extra.05]])</f>
        <v>0</v>
      </c>
      <c r="CG93" s="330">
        <f>+DATOS_[[#This Row],[TOTAL SALARIO Ef]]+DATOS_[[#This Row],[Tot Extrasalarial Ef]]</f>
        <v>25073.6584</v>
      </c>
      <c r="CH93" s="303">
        <f>MIN(IF(DATOS_[[#This Row],[Fecha Fin Contrato]]="",$D$4,DATOS_[[#This Row],[Fecha Fin Contrato]]),$D$4)-MAX(DATOS_[[#This Row],[Fecha de Contratación]],$D$3)+1</f>
        <v>366</v>
      </c>
      <c r="CI93" s="304" t="str">
        <f>IF(COUNTIFS(DATOS_[id],DATOS_[[#This Row],[id]])&gt;1,DATOS_[[#This Row],[id]],"")</f>
        <v/>
      </c>
      <c r="CJ93" s="325">
        <f>(Inicio!$G$10-DATOS_[[#This Row],[Fecha Nacimiento]])/365.25</f>
        <v>51.052703627652292</v>
      </c>
      <c r="CK93" s="325">
        <f>(Inicio!$G$10-DATOS_[[#This Row],[Fecha de Antigüedad]])/365.25</f>
        <v>20.39151266255989</v>
      </c>
      <c r="CL93" s="325" t="str">
        <f>+VLOOKUP(DATOS_[[#This Row],[Clave de Contrato]],TblTiposContrato13[],3,FALSE)</f>
        <v>Completa</v>
      </c>
      <c r="CM93" s="325" t="str">
        <f>+VLOOKUP(DATOS_[[#This Row],[Clave de Contrato]],TblTiposContrato13[],4,FALSE)</f>
        <v>Indefinido</v>
      </c>
      <c r="CN93" s="325" t="str">
        <f>VLOOKUP(DATOS_[[#This Row],[Edad]],CONTRATOS!TblRngEdad,2,TRUE)</f>
        <v>50 a 55</v>
      </c>
      <c r="CO93" s="325" t="str">
        <f>VLOOKUP(DATOS_[[#This Row],[Antigüedad]],TblRngAntg14[],2,TRUE)</f>
        <v>más de 15</v>
      </c>
    </row>
    <row r="94" spans="2:93" x14ac:dyDescent="0.25">
      <c r="B94" s="146">
        <v>81</v>
      </c>
      <c r="C94" s="146" t="s">
        <v>163</v>
      </c>
      <c r="D94" s="295">
        <v>32485</v>
      </c>
      <c r="E94" s="296" t="s">
        <v>428</v>
      </c>
      <c r="F94" s="296">
        <v>3</v>
      </c>
      <c r="G94" s="296">
        <v>0</v>
      </c>
      <c r="H94" s="297">
        <v>37369</v>
      </c>
      <c r="I94" s="298"/>
      <c r="J94" s="295">
        <v>37369</v>
      </c>
      <c r="K94" s="326"/>
      <c r="L94" s="326"/>
      <c r="M94" s="299">
        <v>1</v>
      </c>
      <c r="N94" s="299"/>
      <c r="O94" s="299"/>
      <c r="P94" s="296">
        <v>100</v>
      </c>
      <c r="Q94" s="146" t="s">
        <v>412</v>
      </c>
      <c r="R94" s="146" t="s">
        <v>417</v>
      </c>
      <c r="S94" s="146" t="s">
        <v>429</v>
      </c>
      <c r="T94" s="146" t="s">
        <v>407</v>
      </c>
      <c r="U94" s="146" t="s">
        <v>400</v>
      </c>
      <c r="V94" s="146" t="s">
        <v>126</v>
      </c>
      <c r="W94" s="146" t="s">
        <v>300</v>
      </c>
      <c r="X94" s="146" t="s">
        <v>309</v>
      </c>
      <c r="Y94" s="146" t="s">
        <v>409</v>
      </c>
      <c r="Z94" s="293"/>
      <c r="AA94" s="294" t="s">
        <v>430</v>
      </c>
      <c r="AB94" s="294">
        <v>5</v>
      </c>
      <c r="AC94" s="296">
        <v>6</v>
      </c>
      <c r="AD94" s="301">
        <v>15372.42</v>
      </c>
      <c r="AE94" s="301">
        <v>1627.58</v>
      </c>
      <c r="AF94" s="301">
        <v>2459.5871999999999</v>
      </c>
      <c r="AG94" s="301"/>
      <c r="AH94" s="301"/>
      <c r="AI94" s="301"/>
      <c r="AJ94" s="301"/>
      <c r="AK94" s="301">
        <v>80</v>
      </c>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2"/>
      <c r="BN94" s="291">
        <f>+MAX($D$3,DATOS_[[#This Row],[Fecha Inicio Sit. Contract.]])</f>
        <v>45292</v>
      </c>
      <c r="BO94" s="291">
        <f>+MIN($D$4,DATOS_[[#This Row],[Fecha Fin Sit. Contract.]])</f>
        <v>45657</v>
      </c>
      <c r="BP94" s="292">
        <f>+DATOS_[[#This Row],[% de jornada]]*IF(DATOS_[[#This Row],[% jornada reducida]]="",1,DATOS_[[#This Row],[% jornada reducida]])</f>
        <v>1</v>
      </c>
      <c r="BQ94" s="292">
        <f>+(DATOS_[[#This Row],[F.fin.cal]]-DATOS_[[#This Row],[F.ini.cal]]+1)/($D$4-$D$3+1)</f>
        <v>1</v>
      </c>
      <c r="BR94" s="322" t="str">
        <f>IF(OR(AND(DATOS_[[#This Row],[Fecha Fin Contrato]]&lt;$D$3,DATOS_[[#This Row],[Fecha Fin Contrato]]&lt;&gt;""),DATOS_[[#This Row],[Fecha de Contratación]]&gt;$D$4),"Fuera","Dentro")</f>
        <v>Dentro</v>
      </c>
      <c r="BS94" s="322" t="str">
        <f t="array" ref="BS94">IF(MAX(IF(DATOS_[id]=DATOS_[[#This Row],[id]],DATOS_[F.fin.cal]))=DATOS_[[#This Row],[F.fin.cal]],"Sí","NO")</f>
        <v>Sí</v>
      </c>
      <c r="BT94" s="292" t="str">
        <f>IF(AND(DATOS_[[#This Row],[% normaliz]]&lt;&gt;1,DATOS_[[#This Row],[% anualiz]]=1),"Sí","NO")</f>
        <v>NO</v>
      </c>
      <c r="BU94" s="292" t="str">
        <f>IF(AND(DATOS_[[#This Row],[% normaliz]]=1,DATOS_[[#This Row],[% anualiz]]&lt;&gt;1),"Sí","NO")</f>
        <v>NO</v>
      </c>
      <c r="BV94" s="292" t="str">
        <f>IF(AND(DATOS_[[#This Row],[% normaliz]]&lt;&gt;1,DATOS_[[#This Row],[% anualiz]]&lt;&gt;1),"Sí","NO")</f>
        <v>NO</v>
      </c>
      <c r="BW94" s="322" t="str">
        <f>+IF(DATOS_[[#This Row],[% normaliz]]*DATOS_[[#This Row],[% anualiz]]=1,"NO","Sí")</f>
        <v>NO</v>
      </c>
      <c r="BX94" s="323">
        <f>(DATOS_[[#This Row],[S.BASE]]*(1/DATOS_[[#This Row],[% normaliz]])*(1/DATOS_[[#This Row],[% anualiz]]))*IF(DATOS_[[#This Row],[Check Equiparado]]="Sí",1,0)</f>
        <v>15372.42</v>
      </c>
      <c r="BY9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4167.1671999999999</v>
      </c>
      <c r="BZ94" s="323">
        <f>+DATOS_[[#This Row],[SALARIO BASE Eq]]+DATOS_[[#This Row],[Tot COMPL.SAL Eq]]</f>
        <v>19539.587200000002</v>
      </c>
      <c r="CA94" s="323">
        <f t="array" ref="CA9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4" s="323">
        <f>+DATOS_[[#This Row],[TOTAL SALARIO Eq]]+DATOS_[[#This Row],[Tot Extrasalarial Eq]]</f>
        <v>19539.587200000002</v>
      </c>
      <c r="CC94" s="327">
        <f>DATOS_[[#This Row],[S.BASE]]</f>
        <v>15372.42</v>
      </c>
      <c r="CD94" s="324">
        <f>+SUM(DATOS_[[#This Row],[Conc.Sal.01]:[Conc.Sal.30]])</f>
        <v>4167.1671999999999</v>
      </c>
      <c r="CE94" s="324">
        <f>+DATOS_[[#This Row],[SALARIO BASE Ef]]+DATOS_[[#This Row],[Tot COMPL.SAL Ef]]</f>
        <v>19539.587200000002</v>
      </c>
      <c r="CF94" s="324">
        <f>+SUM(DATOS_[[#This Row],[C.Extra.01]:[C.Extra.05]])</f>
        <v>0</v>
      </c>
      <c r="CG94" s="330">
        <f>+DATOS_[[#This Row],[TOTAL SALARIO Ef]]+DATOS_[[#This Row],[Tot Extrasalarial Ef]]</f>
        <v>19539.587200000002</v>
      </c>
      <c r="CH94" s="303">
        <f>MIN(IF(DATOS_[[#This Row],[Fecha Fin Contrato]]="",$D$4,DATOS_[[#This Row],[Fecha Fin Contrato]]),$D$4)-MAX(DATOS_[[#This Row],[Fecha de Contratación]],$D$3)+1</f>
        <v>366</v>
      </c>
      <c r="CI94" s="304" t="str">
        <f>IF(COUNTIFS(DATOS_[id],DATOS_[[#This Row],[id]])&gt;1,DATOS_[[#This Row],[id]],"")</f>
        <v/>
      </c>
      <c r="CJ94" s="325">
        <f>(Inicio!$G$10-DATOS_[[#This Row],[Fecha Nacimiento]])/365.25</f>
        <v>36.062970568104035</v>
      </c>
      <c r="CK94" s="325">
        <f>(Inicio!$G$10-DATOS_[[#This Row],[Fecha de Antigüedad]])/365.25</f>
        <v>22.691307323750856</v>
      </c>
      <c r="CL94" s="325" t="str">
        <f>+VLOOKUP(DATOS_[[#This Row],[Clave de Contrato]],TblTiposContrato13[],3,FALSE)</f>
        <v>Completa</v>
      </c>
      <c r="CM94" s="325" t="str">
        <f>+VLOOKUP(DATOS_[[#This Row],[Clave de Contrato]],TblTiposContrato13[],4,FALSE)</f>
        <v>Indefinido</v>
      </c>
      <c r="CN94" s="325" t="str">
        <f>VLOOKUP(DATOS_[[#This Row],[Edad]],CONTRATOS!TblRngEdad,2,TRUE)</f>
        <v>35 a 40</v>
      </c>
      <c r="CO94" s="325" t="str">
        <f>VLOOKUP(DATOS_[[#This Row],[Antigüedad]],TblRngAntg14[],2,TRUE)</f>
        <v>más de 15</v>
      </c>
    </row>
    <row r="95" spans="2:93" x14ac:dyDescent="0.25">
      <c r="B95" s="146">
        <v>82</v>
      </c>
      <c r="C95" s="146" t="s">
        <v>162</v>
      </c>
      <c r="D95" s="295">
        <v>27740</v>
      </c>
      <c r="E95" s="296" t="s">
        <v>428</v>
      </c>
      <c r="F95" s="296">
        <v>3</v>
      </c>
      <c r="G95" s="296">
        <v>0</v>
      </c>
      <c r="H95" s="297">
        <v>38866</v>
      </c>
      <c r="I95" s="298"/>
      <c r="J95" s="295">
        <v>38866</v>
      </c>
      <c r="K95" s="326"/>
      <c r="L95" s="326"/>
      <c r="M95" s="299">
        <v>1</v>
      </c>
      <c r="N95" s="299">
        <v>0.8</v>
      </c>
      <c r="O95" s="299" t="s">
        <v>147</v>
      </c>
      <c r="P95" s="296">
        <v>100</v>
      </c>
      <c r="Q95" s="146" t="s">
        <v>412</v>
      </c>
      <c r="R95" s="146" t="s">
        <v>418</v>
      </c>
      <c r="S95" s="146" t="s">
        <v>429</v>
      </c>
      <c r="T95" s="146" t="s">
        <v>407</v>
      </c>
      <c r="U95" s="146" t="s">
        <v>400</v>
      </c>
      <c r="V95" s="146" t="s">
        <v>126</v>
      </c>
      <c r="W95" s="146" t="s">
        <v>300</v>
      </c>
      <c r="X95" s="146" t="s">
        <v>309</v>
      </c>
      <c r="Y95" s="146" t="s">
        <v>409</v>
      </c>
      <c r="Z95" s="293"/>
      <c r="AA95" s="294" t="s">
        <v>430</v>
      </c>
      <c r="AB95" s="294">
        <v>5</v>
      </c>
      <c r="AC95" s="296">
        <v>6</v>
      </c>
      <c r="AD95" s="301">
        <v>12297.936000000002</v>
      </c>
      <c r="AE95" s="301">
        <v>1302.0639999999985</v>
      </c>
      <c r="AF95" s="301">
        <v>1475.7523200000001</v>
      </c>
      <c r="AG95" s="301"/>
      <c r="AH95" s="301"/>
      <c r="AI95" s="301"/>
      <c r="AJ95" s="301"/>
      <c r="AK95" s="301">
        <v>80</v>
      </c>
      <c r="AL95" s="301">
        <f>+DATOS_[[#This Row],[S.BASE]]*$AL$1</f>
        <v>4919.1744000000008</v>
      </c>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2"/>
      <c r="BN95" s="291">
        <f>+MAX($D$3,DATOS_[[#This Row],[Fecha Inicio Sit. Contract.]])</f>
        <v>45292</v>
      </c>
      <c r="BO95" s="291">
        <f>+MIN($D$4,DATOS_[[#This Row],[Fecha Fin Sit. Contract.]])</f>
        <v>45657</v>
      </c>
      <c r="BP95" s="292">
        <f>+DATOS_[[#This Row],[% de jornada]]*IF(DATOS_[[#This Row],[% jornada reducida]]="",1,DATOS_[[#This Row],[% jornada reducida]])</f>
        <v>0.8</v>
      </c>
      <c r="BQ95" s="292">
        <f>+(DATOS_[[#This Row],[F.fin.cal]]-DATOS_[[#This Row],[F.ini.cal]]+1)/($D$4-$D$3+1)</f>
        <v>1</v>
      </c>
      <c r="BR95" s="322" t="str">
        <f>IF(OR(AND(DATOS_[[#This Row],[Fecha Fin Contrato]]&lt;$D$3,DATOS_[[#This Row],[Fecha Fin Contrato]]&lt;&gt;""),DATOS_[[#This Row],[Fecha de Contratación]]&gt;$D$4),"Fuera","Dentro")</f>
        <v>Dentro</v>
      </c>
      <c r="BS95" s="322" t="str">
        <f t="array" ref="BS95">IF(MAX(IF(DATOS_[id]=DATOS_[[#This Row],[id]],DATOS_[F.fin.cal]))=DATOS_[[#This Row],[F.fin.cal]],"Sí","NO")</f>
        <v>Sí</v>
      </c>
      <c r="BT95" s="292" t="str">
        <f>IF(AND(DATOS_[[#This Row],[% normaliz]]&lt;&gt;1,DATOS_[[#This Row],[% anualiz]]=1),"Sí","NO")</f>
        <v>Sí</v>
      </c>
      <c r="BU95" s="292" t="str">
        <f>IF(AND(DATOS_[[#This Row],[% normaliz]]=1,DATOS_[[#This Row],[% anualiz]]&lt;&gt;1),"Sí","NO")</f>
        <v>NO</v>
      </c>
      <c r="BV95" s="292" t="str">
        <f>IF(AND(DATOS_[[#This Row],[% normaliz]]&lt;&gt;1,DATOS_[[#This Row],[% anualiz]]&lt;&gt;1),"Sí","NO")</f>
        <v>NO</v>
      </c>
      <c r="BW95" s="322" t="str">
        <f>+IF(DATOS_[[#This Row],[% normaliz]]*DATOS_[[#This Row],[% anualiz]]=1,"NO","Sí")</f>
        <v>Sí</v>
      </c>
      <c r="BX95" s="323">
        <f>(DATOS_[[#This Row],[S.BASE]]*(1/DATOS_[[#This Row],[% normaliz]])*(1/DATOS_[[#This Row],[% anualiz]]))*IF(DATOS_[[#This Row],[Check Equiparado]]="Sí",1,0)</f>
        <v>15372.420000000002</v>
      </c>
      <c r="BY9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95" s="323">
        <f>+DATOS_[[#This Row],[SALARIO BASE Eq]]+DATOS_[[#This Row],[Tot COMPL.SAL Eq]]</f>
        <v>25073.6584</v>
      </c>
      <c r="CA95" s="323">
        <f t="array" ref="CA9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5" s="323">
        <f>+DATOS_[[#This Row],[TOTAL SALARIO Eq]]+DATOS_[[#This Row],[Tot Extrasalarial Eq]]</f>
        <v>25073.6584</v>
      </c>
      <c r="CC95" s="327">
        <f>DATOS_[[#This Row],[S.BASE]]</f>
        <v>12297.936000000002</v>
      </c>
      <c r="CD95" s="324">
        <f>+SUM(DATOS_[[#This Row],[Conc.Sal.01]:[Conc.Sal.30]])</f>
        <v>7776.9907199999998</v>
      </c>
      <c r="CE95" s="324">
        <f>+DATOS_[[#This Row],[SALARIO BASE Ef]]+DATOS_[[#This Row],[Tot COMPL.SAL Ef]]</f>
        <v>20074.926720000003</v>
      </c>
      <c r="CF95" s="324">
        <f>+SUM(DATOS_[[#This Row],[C.Extra.01]:[C.Extra.05]])</f>
        <v>0</v>
      </c>
      <c r="CG95" s="330">
        <f>+DATOS_[[#This Row],[TOTAL SALARIO Ef]]+DATOS_[[#This Row],[Tot Extrasalarial Ef]]</f>
        <v>20074.926720000003</v>
      </c>
      <c r="CH95" s="303">
        <f>MIN(IF(DATOS_[[#This Row],[Fecha Fin Contrato]]="",$D$4,DATOS_[[#This Row],[Fecha Fin Contrato]]),$D$4)-MAX(DATOS_[[#This Row],[Fecha de Contratación]],$D$3)+1</f>
        <v>366</v>
      </c>
      <c r="CI95" s="304" t="str">
        <f>IF(COUNTIFS(DATOS_[id],DATOS_[[#This Row],[id]])&gt;1,DATOS_[[#This Row],[id]],"")</f>
        <v/>
      </c>
      <c r="CJ95" s="325">
        <f>(Inicio!$G$10-DATOS_[[#This Row],[Fecha Nacimiento]])/365.25</f>
        <v>49.054072553045856</v>
      </c>
      <c r="CK95" s="325">
        <f>(Inicio!$G$10-DATOS_[[#This Row],[Fecha de Antigüedad]])/365.25</f>
        <v>18.592744695414101</v>
      </c>
      <c r="CL95" s="325" t="str">
        <f>+VLOOKUP(DATOS_[[#This Row],[Clave de Contrato]],TblTiposContrato13[],3,FALSE)</f>
        <v>Completa</v>
      </c>
      <c r="CM95" s="325" t="str">
        <f>+VLOOKUP(DATOS_[[#This Row],[Clave de Contrato]],TblTiposContrato13[],4,FALSE)</f>
        <v>Indefinido</v>
      </c>
      <c r="CN95" s="325" t="str">
        <f>VLOOKUP(DATOS_[[#This Row],[Edad]],CONTRATOS!TblRngEdad,2,TRUE)</f>
        <v>45 a 50</v>
      </c>
      <c r="CO95" s="325" t="str">
        <f>VLOOKUP(DATOS_[[#This Row],[Antigüedad]],TblRngAntg14[],2,TRUE)</f>
        <v>más de 15</v>
      </c>
    </row>
    <row r="96" spans="2:93" x14ac:dyDescent="0.25">
      <c r="B96" s="146">
        <v>83</v>
      </c>
      <c r="C96" s="146" t="s">
        <v>163</v>
      </c>
      <c r="D96" s="295">
        <v>30660</v>
      </c>
      <c r="E96" s="296" t="s">
        <v>428</v>
      </c>
      <c r="F96" s="296">
        <v>3</v>
      </c>
      <c r="G96" s="296">
        <v>0</v>
      </c>
      <c r="H96" s="297">
        <v>43869</v>
      </c>
      <c r="I96" s="298"/>
      <c r="J96" s="295">
        <v>43869</v>
      </c>
      <c r="K96" s="326"/>
      <c r="L96" s="326"/>
      <c r="M96" s="299">
        <v>1</v>
      </c>
      <c r="N96" s="299"/>
      <c r="O96" s="299"/>
      <c r="P96" s="296">
        <v>100</v>
      </c>
      <c r="Q96" s="146" t="s">
        <v>412</v>
      </c>
      <c r="R96" s="146" t="s">
        <v>417</v>
      </c>
      <c r="S96" s="146" t="s">
        <v>429</v>
      </c>
      <c r="T96" s="146" t="s">
        <v>407</v>
      </c>
      <c r="U96" s="146" t="s">
        <v>400</v>
      </c>
      <c r="V96" s="146" t="s">
        <v>126</v>
      </c>
      <c r="W96" s="146" t="s">
        <v>300</v>
      </c>
      <c r="X96" s="146" t="s">
        <v>309</v>
      </c>
      <c r="Y96" s="146" t="s">
        <v>409</v>
      </c>
      <c r="Z96" s="293"/>
      <c r="AA96" s="294" t="s">
        <v>430</v>
      </c>
      <c r="AB96" s="294">
        <v>5</v>
      </c>
      <c r="AC96" s="296">
        <v>6</v>
      </c>
      <c r="AD96" s="301">
        <v>15372.42</v>
      </c>
      <c r="AE96" s="301">
        <v>1627.58</v>
      </c>
      <c r="AF96" s="301"/>
      <c r="AG96" s="301"/>
      <c r="AH96" s="301"/>
      <c r="AI96" s="301"/>
      <c r="AJ96" s="301"/>
      <c r="AK96" s="301">
        <v>80</v>
      </c>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2"/>
      <c r="BN96" s="291">
        <f>+MAX($D$3,DATOS_[[#This Row],[Fecha Inicio Sit. Contract.]])</f>
        <v>45292</v>
      </c>
      <c r="BO96" s="291">
        <f>+MIN($D$4,DATOS_[[#This Row],[Fecha Fin Sit. Contract.]])</f>
        <v>45657</v>
      </c>
      <c r="BP96" s="292">
        <f>+DATOS_[[#This Row],[% de jornada]]*IF(DATOS_[[#This Row],[% jornada reducida]]="",1,DATOS_[[#This Row],[% jornada reducida]])</f>
        <v>1</v>
      </c>
      <c r="BQ96" s="292">
        <f>+(DATOS_[[#This Row],[F.fin.cal]]-DATOS_[[#This Row],[F.ini.cal]]+1)/($D$4-$D$3+1)</f>
        <v>1</v>
      </c>
      <c r="BR96" s="322" t="str">
        <f>IF(OR(AND(DATOS_[[#This Row],[Fecha Fin Contrato]]&lt;$D$3,DATOS_[[#This Row],[Fecha Fin Contrato]]&lt;&gt;""),DATOS_[[#This Row],[Fecha de Contratación]]&gt;$D$4),"Fuera","Dentro")</f>
        <v>Dentro</v>
      </c>
      <c r="BS96" s="322" t="str">
        <f t="array" ref="BS96">IF(MAX(IF(DATOS_[id]=DATOS_[[#This Row],[id]],DATOS_[F.fin.cal]))=DATOS_[[#This Row],[F.fin.cal]],"Sí","NO")</f>
        <v>Sí</v>
      </c>
      <c r="BT96" s="292" t="str">
        <f>IF(AND(DATOS_[[#This Row],[% normaliz]]&lt;&gt;1,DATOS_[[#This Row],[% anualiz]]=1),"Sí","NO")</f>
        <v>NO</v>
      </c>
      <c r="BU96" s="292" t="str">
        <f>IF(AND(DATOS_[[#This Row],[% normaliz]]=1,DATOS_[[#This Row],[% anualiz]]&lt;&gt;1),"Sí","NO")</f>
        <v>NO</v>
      </c>
      <c r="BV96" s="292" t="str">
        <f>IF(AND(DATOS_[[#This Row],[% normaliz]]&lt;&gt;1,DATOS_[[#This Row],[% anualiz]]&lt;&gt;1),"Sí","NO")</f>
        <v>NO</v>
      </c>
      <c r="BW96" s="322" t="str">
        <f>+IF(DATOS_[[#This Row],[% normaliz]]*DATOS_[[#This Row],[% anualiz]]=1,"NO","Sí")</f>
        <v>NO</v>
      </c>
      <c r="BX96" s="323">
        <f>(DATOS_[[#This Row],[S.BASE]]*(1/DATOS_[[#This Row],[% normaliz]])*(1/DATOS_[[#This Row],[% anualiz]]))*IF(DATOS_[[#This Row],[Check Equiparado]]="Sí",1,0)</f>
        <v>15372.42</v>
      </c>
      <c r="BY9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1707.58</v>
      </c>
      <c r="BZ96" s="323">
        <f>+DATOS_[[#This Row],[SALARIO BASE Eq]]+DATOS_[[#This Row],[Tot COMPL.SAL Eq]]</f>
        <v>17080</v>
      </c>
      <c r="CA96" s="323">
        <f t="array" ref="CA9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6" s="323">
        <f>+DATOS_[[#This Row],[TOTAL SALARIO Eq]]+DATOS_[[#This Row],[Tot Extrasalarial Eq]]</f>
        <v>17080</v>
      </c>
      <c r="CC96" s="327">
        <f>DATOS_[[#This Row],[S.BASE]]</f>
        <v>15372.42</v>
      </c>
      <c r="CD96" s="324">
        <f>+SUM(DATOS_[[#This Row],[Conc.Sal.01]:[Conc.Sal.30]])</f>
        <v>1707.58</v>
      </c>
      <c r="CE96" s="324">
        <f>+DATOS_[[#This Row],[SALARIO BASE Ef]]+DATOS_[[#This Row],[Tot COMPL.SAL Ef]]</f>
        <v>17080</v>
      </c>
      <c r="CF96" s="324">
        <f>+SUM(DATOS_[[#This Row],[C.Extra.01]:[C.Extra.05]])</f>
        <v>0</v>
      </c>
      <c r="CG96" s="330">
        <f>+DATOS_[[#This Row],[TOTAL SALARIO Ef]]+DATOS_[[#This Row],[Tot Extrasalarial Ef]]</f>
        <v>17080</v>
      </c>
      <c r="CH96" s="303">
        <f>MIN(IF(DATOS_[[#This Row],[Fecha Fin Contrato]]="",$D$4,DATOS_[[#This Row],[Fecha Fin Contrato]]),$D$4)-MAX(DATOS_[[#This Row],[Fecha de Contratación]],$D$3)+1</f>
        <v>366</v>
      </c>
      <c r="CI96" s="304" t="str">
        <f>IF(COUNTIFS(DATOS_[id],DATOS_[[#This Row],[id]])&gt;1,DATOS_[[#This Row],[id]],"")</f>
        <v/>
      </c>
      <c r="CJ96" s="325">
        <f>(Inicio!$G$10-DATOS_[[#This Row],[Fecha Nacimiento]])/365.25</f>
        <v>41.059548254620125</v>
      </c>
      <c r="CK96" s="325">
        <f>(Inicio!$G$10-DATOS_[[#This Row],[Fecha de Antigüedad]])/365.25</f>
        <v>4.8952772073921968</v>
      </c>
      <c r="CL96" s="325" t="str">
        <f>+VLOOKUP(DATOS_[[#This Row],[Clave de Contrato]],TblTiposContrato13[],3,FALSE)</f>
        <v>Completa</v>
      </c>
      <c r="CM96" s="325" t="str">
        <f>+VLOOKUP(DATOS_[[#This Row],[Clave de Contrato]],TblTiposContrato13[],4,FALSE)</f>
        <v>Indefinido</v>
      </c>
      <c r="CN96" s="325" t="str">
        <f>VLOOKUP(DATOS_[[#This Row],[Edad]],CONTRATOS!TblRngEdad,2,TRUE)</f>
        <v>40 a 45</v>
      </c>
      <c r="CO96" s="325" t="str">
        <f>VLOOKUP(DATOS_[[#This Row],[Antigüedad]],TblRngAntg14[],2,TRUE)</f>
        <v>3 a 5  años</v>
      </c>
    </row>
    <row r="97" spans="2:93" x14ac:dyDescent="0.25">
      <c r="B97" s="146">
        <v>84</v>
      </c>
      <c r="C97" s="146" t="s">
        <v>162</v>
      </c>
      <c r="D97" s="295">
        <v>28470</v>
      </c>
      <c r="E97" s="296" t="s">
        <v>428</v>
      </c>
      <c r="F97" s="296">
        <v>3</v>
      </c>
      <c r="G97" s="296">
        <v>0</v>
      </c>
      <c r="H97" s="297">
        <v>36784</v>
      </c>
      <c r="I97" s="298"/>
      <c r="J97" s="295">
        <v>36784</v>
      </c>
      <c r="K97" s="326"/>
      <c r="L97" s="326"/>
      <c r="M97" s="299">
        <v>1</v>
      </c>
      <c r="N97" s="299"/>
      <c r="O97" s="299"/>
      <c r="P97" s="296">
        <v>100</v>
      </c>
      <c r="Q97" s="146" t="s">
        <v>412</v>
      </c>
      <c r="R97" s="146" t="s">
        <v>417</v>
      </c>
      <c r="S97" s="146" t="s">
        <v>429</v>
      </c>
      <c r="T97" s="146" t="s">
        <v>407</v>
      </c>
      <c r="U97" s="146" t="s">
        <v>400</v>
      </c>
      <c r="V97" s="146" t="s">
        <v>126</v>
      </c>
      <c r="W97" s="146" t="s">
        <v>300</v>
      </c>
      <c r="X97" s="146" t="s">
        <v>309</v>
      </c>
      <c r="Y97" s="146" t="s">
        <v>409</v>
      </c>
      <c r="Z97" s="293"/>
      <c r="AA97" s="294" t="s">
        <v>430</v>
      </c>
      <c r="AB97" s="294">
        <v>5</v>
      </c>
      <c r="AC97" s="296">
        <v>6</v>
      </c>
      <c r="AD97" s="301">
        <v>15372.42</v>
      </c>
      <c r="AE97" s="301">
        <v>1627.58</v>
      </c>
      <c r="AF97" s="301">
        <v>2459.5871999999999</v>
      </c>
      <c r="AG97" s="301"/>
      <c r="AH97" s="301"/>
      <c r="AI97" s="301"/>
      <c r="AJ97" s="301"/>
      <c r="AK97" s="301">
        <v>80</v>
      </c>
      <c r="AL97" s="301">
        <f>+DATOS_[[#This Row],[S.BASE]]*$AL$1</f>
        <v>6148.9680000000008</v>
      </c>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2"/>
      <c r="BN97" s="291">
        <f>+MAX($D$3,DATOS_[[#This Row],[Fecha Inicio Sit. Contract.]])</f>
        <v>45292</v>
      </c>
      <c r="BO97" s="291">
        <f>+MIN($D$4,DATOS_[[#This Row],[Fecha Fin Sit. Contract.]])</f>
        <v>45657</v>
      </c>
      <c r="BP97" s="292">
        <f>+DATOS_[[#This Row],[% de jornada]]*IF(DATOS_[[#This Row],[% jornada reducida]]="",1,DATOS_[[#This Row],[% jornada reducida]])</f>
        <v>1</v>
      </c>
      <c r="BQ97" s="292">
        <f>+(DATOS_[[#This Row],[F.fin.cal]]-DATOS_[[#This Row],[F.ini.cal]]+1)/($D$4-$D$3+1)</f>
        <v>1</v>
      </c>
      <c r="BR97" s="322" t="str">
        <f>IF(OR(AND(DATOS_[[#This Row],[Fecha Fin Contrato]]&lt;$D$3,DATOS_[[#This Row],[Fecha Fin Contrato]]&lt;&gt;""),DATOS_[[#This Row],[Fecha de Contratación]]&gt;$D$4),"Fuera","Dentro")</f>
        <v>Dentro</v>
      </c>
      <c r="BS97" s="322" t="str">
        <f t="array" ref="BS97">IF(MAX(IF(DATOS_[id]=DATOS_[[#This Row],[id]],DATOS_[F.fin.cal]))=DATOS_[[#This Row],[F.fin.cal]],"Sí","NO")</f>
        <v>Sí</v>
      </c>
      <c r="BT97" s="292" t="str">
        <f>IF(AND(DATOS_[[#This Row],[% normaliz]]&lt;&gt;1,DATOS_[[#This Row],[% anualiz]]=1),"Sí","NO")</f>
        <v>NO</v>
      </c>
      <c r="BU97" s="292" t="str">
        <f>IF(AND(DATOS_[[#This Row],[% normaliz]]=1,DATOS_[[#This Row],[% anualiz]]&lt;&gt;1),"Sí","NO")</f>
        <v>NO</v>
      </c>
      <c r="BV97" s="292" t="str">
        <f>IF(AND(DATOS_[[#This Row],[% normaliz]]&lt;&gt;1,DATOS_[[#This Row],[% anualiz]]&lt;&gt;1),"Sí","NO")</f>
        <v>NO</v>
      </c>
      <c r="BW97" s="322" t="str">
        <f>+IF(DATOS_[[#This Row],[% normaliz]]*DATOS_[[#This Row],[% anualiz]]=1,"NO","Sí")</f>
        <v>NO</v>
      </c>
      <c r="BX97" s="323">
        <f>(DATOS_[[#This Row],[S.BASE]]*(1/DATOS_[[#This Row],[% normaliz]])*(1/DATOS_[[#This Row],[% anualiz]]))*IF(DATOS_[[#This Row],[Check Equiparado]]="Sí",1,0)</f>
        <v>15372.42</v>
      </c>
      <c r="BY9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10316.135200000001</v>
      </c>
      <c r="BZ97" s="323">
        <f>+DATOS_[[#This Row],[SALARIO BASE Eq]]+DATOS_[[#This Row],[Tot COMPL.SAL Eq]]</f>
        <v>25688.555200000003</v>
      </c>
      <c r="CA97" s="323">
        <f t="array" ref="CA9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7" s="323">
        <f>+DATOS_[[#This Row],[TOTAL SALARIO Eq]]+DATOS_[[#This Row],[Tot Extrasalarial Eq]]</f>
        <v>25688.555200000003</v>
      </c>
      <c r="CC97" s="327">
        <f>DATOS_[[#This Row],[S.BASE]]</f>
        <v>15372.42</v>
      </c>
      <c r="CD97" s="324">
        <f>+SUM(DATOS_[[#This Row],[Conc.Sal.01]:[Conc.Sal.30]])</f>
        <v>10316.135200000001</v>
      </c>
      <c r="CE97" s="324">
        <f>+DATOS_[[#This Row],[SALARIO BASE Ef]]+DATOS_[[#This Row],[Tot COMPL.SAL Ef]]</f>
        <v>25688.555200000003</v>
      </c>
      <c r="CF97" s="324">
        <f>+SUM(DATOS_[[#This Row],[C.Extra.01]:[C.Extra.05]])</f>
        <v>0</v>
      </c>
      <c r="CG97" s="330">
        <f>+DATOS_[[#This Row],[TOTAL SALARIO Ef]]+DATOS_[[#This Row],[Tot Extrasalarial Ef]]</f>
        <v>25688.555200000003</v>
      </c>
      <c r="CH97" s="303">
        <f>MIN(IF(DATOS_[[#This Row],[Fecha Fin Contrato]]="",$D$4,DATOS_[[#This Row],[Fecha Fin Contrato]]),$D$4)-MAX(DATOS_[[#This Row],[Fecha de Contratación]],$D$3)+1</f>
        <v>366</v>
      </c>
      <c r="CI97" s="304" t="str">
        <f>IF(COUNTIFS(DATOS_[id],DATOS_[[#This Row],[id]])&gt;1,DATOS_[[#This Row],[id]],"")</f>
        <v/>
      </c>
      <c r="CJ97" s="325">
        <f>(Inicio!$G$10-DATOS_[[#This Row],[Fecha Nacimiento]])/365.25</f>
        <v>47.055441478439427</v>
      </c>
      <c r="CK97" s="325">
        <f>(Inicio!$G$10-DATOS_[[#This Row],[Fecha de Antigüedad]])/365.25</f>
        <v>24.292950034223136</v>
      </c>
      <c r="CL97" s="325" t="str">
        <f>+VLOOKUP(DATOS_[[#This Row],[Clave de Contrato]],TblTiposContrato13[],3,FALSE)</f>
        <v>Completa</v>
      </c>
      <c r="CM97" s="325" t="str">
        <f>+VLOOKUP(DATOS_[[#This Row],[Clave de Contrato]],TblTiposContrato13[],4,FALSE)</f>
        <v>Indefinido</v>
      </c>
      <c r="CN97" s="325" t="str">
        <f>VLOOKUP(DATOS_[[#This Row],[Edad]],CONTRATOS!TblRngEdad,2,TRUE)</f>
        <v>45 a 50</v>
      </c>
      <c r="CO97" s="325" t="str">
        <f>VLOOKUP(DATOS_[[#This Row],[Antigüedad]],TblRngAntg14[],2,TRUE)</f>
        <v>más de 15</v>
      </c>
    </row>
    <row r="98" spans="2:93" x14ac:dyDescent="0.25">
      <c r="B98" s="146">
        <v>85</v>
      </c>
      <c r="C98" s="146" t="s">
        <v>162</v>
      </c>
      <c r="D98" s="295">
        <v>29200</v>
      </c>
      <c r="E98" s="296" t="s">
        <v>428</v>
      </c>
      <c r="F98" s="296">
        <v>3</v>
      </c>
      <c r="G98" s="296">
        <v>0</v>
      </c>
      <c r="H98" s="297">
        <v>39122</v>
      </c>
      <c r="I98" s="298"/>
      <c r="J98" s="295">
        <v>39122</v>
      </c>
      <c r="K98" s="326"/>
      <c r="L98" s="326"/>
      <c r="M98" s="299">
        <v>1</v>
      </c>
      <c r="N98" s="299"/>
      <c r="O98" s="299"/>
      <c r="P98" s="296">
        <v>100</v>
      </c>
      <c r="Q98" s="146" t="s">
        <v>412</v>
      </c>
      <c r="R98" s="146" t="s">
        <v>418</v>
      </c>
      <c r="S98" s="146" t="s">
        <v>429</v>
      </c>
      <c r="T98" s="146" t="s">
        <v>407</v>
      </c>
      <c r="U98" s="146" t="s">
        <v>400</v>
      </c>
      <c r="V98" s="146" t="s">
        <v>126</v>
      </c>
      <c r="W98" s="146" t="s">
        <v>300</v>
      </c>
      <c r="X98" s="146" t="s">
        <v>309</v>
      </c>
      <c r="Y98" s="146" t="s">
        <v>409</v>
      </c>
      <c r="Z98" s="293"/>
      <c r="AA98" s="294" t="s">
        <v>430</v>
      </c>
      <c r="AB98" s="294">
        <v>5</v>
      </c>
      <c r="AC98" s="296">
        <v>6</v>
      </c>
      <c r="AD98" s="301">
        <v>15372.42</v>
      </c>
      <c r="AE98" s="301">
        <v>1627.58</v>
      </c>
      <c r="AF98" s="301">
        <v>1844.6904</v>
      </c>
      <c r="AG98" s="301"/>
      <c r="AH98" s="301"/>
      <c r="AI98" s="301"/>
      <c r="AJ98" s="301"/>
      <c r="AK98" s="301">
        <v>80</v>
      </c>
      <c r="AL98" s="301">
        <f>+DATOS_[[#This Row],[S.BASE]]*$AL$1</f>
        <v>6148.9680000000008</v>
      </c>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2"/>
      <c r="BN98" s="291">
        <f>+MAX($D$3,DATOS_[[#This Row],[Fecha Inicio Sit. Contract.]])</f>
        <v>45292</v>
      </c>
      <c r="BO98" s="291">
        <f>+MIN($D$4,DATOS_[[#This Row],[Fecha Fin Sit. Contract.]])</f>
        <v>45657</v>
      </c>
      <c r="BP98" s="292">
        <f>+DATOS_[[#This Row],[% de jornada]]*IF(DATOS_[[#This Row],[% jornada reducida]]="",1,DATOS_[[#This Row],[% jornada reducida]])</f>
        <v>1</v>
      </c>
      <c r="BQ98" s="292">
        <f>+(DATOS_[[#This Row],[F.fin.cal]]-DATOS_[[#This Row],[F.ini.cal]]+1)/($D$4-$D$3+1)</f>
        <v>1</v>
      </c>
      <c r="BR98" s="322" t="str">
        <f>IF(OR(AND(DATOS_[[#This Row],[Fecha Fin Contrato]]&lt;$D$3,DATOS_[[#This Row],[Fecha Fin Contrato]]&lt;&gt;""),DATOS_[[#This Row],[Fecha de Contratación]]&gt;$D$4),"Fuera","Dentro")</f>
        <v>Dentro</v>
      </c>
      <c r="BS98" s="322" t="str">
        <f t="array" ref="BS98">IF(MAX(IF(DATOS_[id]=DATOS_[[#This Row],[id]],DATOS_[F.fin.cal]))=DATOS_[[#This Row],[F.fin.cal]],"Sí","NO")</f>
        <v>Sí</v>
      </c>
      <c r="BT98" s="292" t="str">
        <f>IF(AND(DATOS_[[#This Row],[% normaliz]]&lt;&gt;1,DATOS_[[#This Row],[% anualiz]]=1),"Sí","NO")</f>
        <v>NO</v>
      </c>
      <c r="BU98" s="292" t="str">
        <f>IF(AND(DATOS_[[#This Row],[% normaliz]]=1,DATOS_[[#This Row],[% anualiz]]&lt;&gt;1),"Sí","NO")</f>
        <v>NO</v>
      </c>
      <c r="BV98" s="292" t="str">
        <f>IF(AND(DATOS_[[#This Row],[% normaliz]]&lt;&gt;1,DATOS_[[#This Row],[% anualiz]]&lt;&gt;1),"Sí","NO")</f>
        <v>NO</v>
      </c>
      <c r="BW98" s="322" t="str">
        <f>+IF(DATOS_[[#This Row],[% normaliz]]*DATOS_[[#This Row],[% anualiz]]=1,"NO","Sí")</f>
        <v>NO</v>
      </c>
      <c r="BX98" s="323">
        <f>(DATOS_[[#This Row],[S.BASE]]*(1/DATOS_[[#This Row],[% normaliz]])*(1/DATOS_[[#This Row],[% anualiz]]))*IF(DATOS_[[#This Row],[Check Equiparado]]="Sí",1,0)</f>
        <v>15372.42</v>
      </c>
      <c r="BY9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98" s="323">
        <f>+DATOS_[[#This Row],[SALARIO BASE Eq]]+DATOS_[[#This Row],[Tot COMPL.SAL Eq]]</f>
        <v>25073.6584</v>
      </c>
      <c r="CA98" s="323">
        <f t="array" ref="CA9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8" s="323">
        <f>+DATOS_[[#This Row],[TOTAL SALARIO Eq]]+DATOS_[[#This Row],[Tot Extrasalarial Eq]]</f>
        <v>25073.6584</v>
      </c>
      <c r="CC98" s="327">
        <f>DATOS_[[#This Row],[S.BASE]]</f>
        <v>15372.42</v>
      </c>
      <c r="CD98" s="324">
        <f>+SUM(DATOS_[[#This Row],[Conc.Sal.01]:[Conc.Sal.30]])</f>
        <v>9701.2384000000002</v>
      </c>
      <c r="CE98" s="324">
        <f>+DATOS_[[#This Row],[SALARIO BASE Ef]]+DATOS_[[#This Row],[Tot COMPL.SAL Ef]]</f>
        <v>25073.6584</v>
      </c>
      <c r="CF98" s="324">
        <f>+SUM(DATOS_[[#This Row],[C.Extra.01]:[C.Extra.05]])</f>
        <v>0</v>
      </c>
      <c r="CG98" s="330">
        <f>+DATOS_[[#This Row],[TOTAL SALARIO Ef]]+DATOS_[[#This Row],[Tot Extrasalarial Ef]]</f>
        <v>25073.6584</v>
      </c>
      <c r="CH98" s="303">
        <f>MIN(IF(DATOS_[[#This Row],[Fecha Fin Contrato]]="",$D$4,DATOS_[[#This Row],[Fecha Fin Contrato]]),$D$4)-MAX(DATOS_[[#This Row],[Fecha de Contratación]],$D$3)+1</f>
        <v>366</v>
      </c>
      <c r="CI98" s="304" t="str">
        <f>IF(COUNTIFS(DATOS_[id],DATOS_[[#This Row],[id]])&gt;1,DATOS_[[#This Row],[id]],"")</f>
        <v/>
      </c>
      <c r="CJ98" s="325">
        <f>(Inicio!$G$10-DATOS_[[#This Row],[Fecha Nacimiento]])/365.25</f>
        <v>45.056810403832991</v>
      </c>
      <c r="CK98" s="325">
        <f>(Inicio!$G$10-DATOS_[[#This Row],[Fecha de Antigüedad]])/365.25</f>
        <v>17.891854893908281</v>
      </c>
      <c r="CL98" s="325" t="str">
        <f>+VLOOKUP(DATOS_[[#This Row],[Clave de Contrato]],TblTiposContrato13[],3,FALSE)</f>
        <v>Completa</v>
      </c>
      <c r="CM98" s="325" t="str">
        <f>+VLOOKUP(DATOS_[[#This Row],[Clave de Contrato]],TblTiposContrato13[],4,FALSE)</f>
        <v>Indefinido</v>
      </c>
      <c r="CN98" s="325" t="str">
        <f>VLOOKUP(DATOS_[[#This Row],[Edad]],CONTRATOS!TblRngEdad,2,TRUE)</f>
        <v>45 a 50</v>
      </c>
      <c r="CO98" s="325" t="str">
        <f>VLOOKUP(DATOS_[[#This Row],[Antigüedad]],TblRngAntg14[],2,TRUE)</f>
        <v>más de 15</v>
      </c>
    </row>
    <row r="99" spans="2:93" x14ac:dyDescent="0.25">
      <c r="B99" s="146">
        <v>86</v>
      </c>
      <c r="C99" s="146" t="s">
        <v>162</v>
      </c>
      <c r="D99" s="295">
        <v>30295</v>
      </c>
      <c r="E99" s="296" t="s">
        <v>428</v>
      </c>
      <c r="F99" s="296">
        <v>3</v>
      </c>
      <c r="G99" s="296">
        <v>0</v>
      </c>
      <c r="H99" s="297">
        <v>38355</v>
      </c>
      <c r="I99" s="298"/>
      <c r="J99" s="295">
        <v>38355</v>
      </c>
      <c r="K99" s="326"/>
      <c r="L99" s="326"/>
      <c r="M99" s="299">
        <v>1</v>
      </c>
      <c r="N99" s="299"/>
      <c r="O99" s="299"/>
      <c r="P99" s="296">
        <v>100</v>
      </c>
      <c r="Q99" s="146" t="s">
        <v>412</v>
      </c>
      <c r="R99" s="146" t="s">
        <v>417</v>
      </c>
      <c r="S99" s="146" t="s">
        <v>429</v>
      </c>
      <c r="T99" s="146" t="s">
        <v>407</v>
      </c>
      <c r="U99" s="146" t="s">
        <v>400</v>
      </c>
      <c r="V99" s="146" t="s">
        <v>126</v>
      </c>
      <c r="W99" s="146" t="s">
        <v>300</v>
      </c>
      <c r="X99" s="146" t="s">
        <v>309</v>
      </c>
      <c r="Y99" s="146" t="s">
        <v>409</v>
      </c>
      <c r="Z99" s="293"/>
      <c r="AA99" s="294" t="s">
        <v>430</v>
      </c>
      <c r="AB99" s="294">
        <v>5</v>
      </c>
      <c r="AC99" s="296">
        <v>6</v>
      </c>
      <c r="AD99" s="301">
        <v>15372.42</v>
      </c>
      <c r="AE99" s="301">
        <v>1627.58</v>
      </c>
      <c r="AF99" s="301">
        <v>1844.6904</v>
      </c>
      <c r="AG99" s="301"/>
      <c r="AH99" s="301"/>
      <c r="AI99" s="301"/>
      <c r="AJ99" s="301"/>
      <c r="AK99" s="301">
        <v>80</v>
      </c>
      <c r="AL99" s="301">
        <f>+DATOS_[[#This Row],[S.BASE]]*$AL$1</f>
        <v>6148.9680000000008</v>
      </c>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2"/>
      <c r="BN99" s="291">
        <f>+MAX($D$3,DATOS_[[#This Row],[Fecha Inicio Sit. Contract.]])</f>
        <v>45292</v>
      </c>
      <c r="BO99" s="291">
        <f>+MIN($D$4,DATOS_[[#This Row],[Fecha Fin Sit. Contract.]])</f>
        <v>45657</v>
      </c>
      <c r="BP99" s="292">
        <f>+DATOS_[[#This Row],[% de jornada]]*IF(DATOS_[[#This Row],[% jornada reducida]]="",1,DATOS_[[#This Row],[% jornada reducida]])</f>
        <v>1</v>
      </c>
      <c r="BQ99" s="292">
        <f>+(DATOS_[[#This Row],[F.fin.cal]]-DATOS_[[#This Row],[F.ini.cal]]+1)/($D$4-$D$3+1)</f>
        <v>1</v>
      </c>
      <c r="BR99" s="322" t="str">
        <f>IF(OR(AND(DATOS_[[#This Row],[Fecha Fin Contrato]]&lt;$D$3,DATOS_[[#This Row],[Fecha Fin Contrato]]&lt;&gt;""),DATOS_[[#This Row],[Fecha de Contratación]]&gt;$D$4),"Fuera","Dentro")</f>
        <v>Dentro</v>
      </c>
      <c r="BS99" s="322" t="str">
        <f t="array" ref="BS99">IF(MAX(IF(DATOS_[id]=DATOS_[[#This Row],[id]],DATOS_[F.fin.cal]))=DATOS_[[#This Row],[F.fin.cal]],"Sí","NO")</f>
        <v>Sí</v>
      </c>
      <c r="BT99" s="292" t="str">
        <f>IF(AND(DATOS_[[#This Row],[% normaliz]]&lt;&gt;1,DATOS_[[#This Row],[% anualiz]]=1),"Sí","NO")</f>
        <v>NO</v>
      </c>
      <c r="BU99" s="292" t="str">
        <f>IF(AND(DATOS_[[#This Row],[% normaliz]]=1,DATOS_[[#This Row],[% anualiz]]&lt;&gt;1),"Sí","NO")</f>
        <v>NO</v>
      </c>
      <c r="BV99" s="292" t="str">
        <f>IF(AND(DATOS_[[#This Row],[% normaliz]]&lt;&gt;1,DATOS_[[#This Row],[% anualiz]]&lt;&gt;1),"Sí","NO")</f>
        <v>NO</v>
      </c>
      <c r="BW99" s="322" t="str">
        <f>+IF(DATOS_[[#This Row],[% normaliz]]*DATOS_[[#This Row],[% anualiz]]=1,"NO","Sí")</f>
        <v>NO</v>
      </c>
      <c r="BX99" s="323">
        <f>(DATOS_[[#This Row],[S.BASE]]*(1/DATOS_[[#This Row],[% normaliz]])*(1/DATOS_[[#This Row],[% anualiz]]))*IF(DATOS_[[#This Row],[Check Equiparado]]="Sí",1,0)</f>
        <v>15372.42</v>
      </c>
      <c r="BY9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99" s="323">
        <f>+DATOS_[[#This Row],[SALARIO BASE Eq]]+DATOS_[[#This Row],[Tot COMPL.SAL Eq]]</f>
        <v>25073.6584</v>
      </c>
      <c r="CA99" s="323">
        <f t="array" ref="CA9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9" s="323">
        <f>+DATOS_[[#This Row],[TOTAL SALARIO Eq]]+DATOS_[[#This Row],[Tot Extrasalarial Eq]]</f>
        <v>25073.6584</v>
      </c>
      <c r="CC99" s="327">
        <f>DATOS_[[#This Row],[S.BASE]]</f>
        <v>15372.42</v>
      </c>
      <c r="CD99" s="324">
        <f>+SUM(DATOS_[[#This Row],[Conc.Sal.01]:[Conc.Sal.30]])</f>
        <v>9701.2384000000002</v>
      </c>
      <c r="CE99" s="324">
        <f>+DATOS_[[#This Row],[SALARIO BASE Ef]]+DATOS_[[#This Row],[Tot COMPL.SAL Ef]]</f>
        <v>25073.6584</v>
      </c>
      <c r="CF99" s="324">
        <f>+SUM(DATOS_[[#This Row],[C.Extra.01]:[C.Extra.05]])</f>
        <v>0</v>
      </c>
      <c r="CG99" s="330">
        <f>+DATOS_[[#This Row],[TOTAL SALARIO Ef]]+DATOS_[[#This Row],[Tot Extrasalarial Ef]]</f>
        <v>25073.6584</v>
      </c>
      <c r="CH99" s="303">
        <f>MIN(IF(DATOS_[[#This Row],[Fecha Fin Contrato]]="",$D$4,DATOS_[[#This Row],[Fecha Fin Contrato]]),$D$4)-MAX(DATOS_[[#This Row],[Fecha de Contratación]],$D$3)+1</f>
        <v>366</v>
      </c>
      <c r="CI99" s="304" t="str">
        <f>IF(COUNTIFS(DATOS_[id],DATOS_[[#This Row],[id]])&gt;1,DATOS_[[#This Row],[id]],"")</f>
        <v/>
      </c>
      <c r="CJ99" s="325">
        <f>(Inicio!$G$10-DATOS_[[#This Row],[Fecha Nacimiento]])/365.25</f>
        <v>42.058863791923343</v>
      </c>
      <c r="CK99" s="325">
        <f>(Inicio!$G$10-DATOS_[[#This Row],[Fecha de Antigüedad]])/365.25</f>
        <v>19.991786447638603</v>
      </c>
      <c r="CL99" s="325" t="str">
        <f>+VLOOKUP(DATOS_[[#This Row],[Clave de Contrato]],TblTiposContrato13[],3,FALSE)</f>
        <v>Completa</v>
      </c>
      <c r="CM99" s="325" t="str">
        <f>+VLOOKUP(DATOS_[[#This Row],[Clave de Contrato]],TblTiposContrato13[],4,FALSE)</f>
        <v>Indefinido</v>
      </c>
      <c r="CN99" s="325" t="str">
        <f>VLOOKUP(DATOS_[[#This Row],[Edad]],CONTRATOS!TblRngEdad,2,TRUE)</f>
        <v>40 a 45</v>
      </c>
      <c r="CO99" s="325" t="str">
        <f>VLOOKUP(DATOS_[[#This Row],[Antigüedad]],TblRngAntg14[],2,TRUE)</f>
        <v>más de 15</v>
      </c>
    </row>
    <row r="100" spans="2:93" x14ac:dyDescent="0.25">
      <c r="B100" s="146">
        <v>87</v>
      </c>
      <c r="C100" s="146" t="s">
        <v>162</v>
      </c>
      <c r="D100" s="295">
        <v>28105</v>
      </c>
      <c r="E100" s="296" t="s">
        <v>428</v>
      </c>
      <c r="F100" s="296">
        <v>3</v>
      </c>
      <c r="G100" s="296">
        <v>0</v>
      </c>
      <c r="H100" s="297">
        <v>40108</v>
      </c>
      <c r="I100" s="298"/>
      <c r="J100" s="295">
        <v>40108</v>
      </c>
      <c r="K100" s="326"/>
      <c r="L100" s="326"/>
      <c r="M100" s="299">
        <v>1</v>
      </c>
      <c r="N100" s="299"/>
      <c r="O100" s="299"/>
      <c r="P100" s="296">
        <v>100</v>
      </c>
      <c r="Q100" s="146" t="s">
        <v>412</v>
      </c>
      <c r="R100" s="146" t="s">
        <v>417</v>
      </c>
      <c r="S100" s="146" t="s">
        <v>429</v>
      </c>
      <c r="T100" s="146" t="s">
        <v>407</v>
      </c>
      <c r="U100" s="146" t="s">
        <v>400</v>
      </c>
      <c r="V100" s="146" t="s">
        <v>126</v>
      </c>
      <c r="W100" s="146" t="s">
        <v>300</v>
      </c>
      <c r="X100" s="146" t="s">
        <v>309</v>
      </c>
      <c r="Y100" s="146" t="s">
        <v>409</v>
      </c>
      <c r="Z100" s="293"/>
      <c r="AA100" s="294" t="s">
        <v>430</v>
      </c>
      <c r="AB100" s="294">
        <v>5</v>
      </c>
      <c r="AC100" s="296">
        <v>6</v>
      </c>
      <c r="AD100" s="301">
        <v>15372.42</v>
      </c>
      <c r="AE100" s="301">
        <v>1627.58</v>
      </c>
      <c r="AF100" s="301">
        <v>1229.7936</v>
      </c>
      <c r="AG100" s="301"/>
      <c r="AH100" s="301"/>
      <c r="AI100" s="301"/>
      <c r="AJ100" s="301"/>
      <c r="AK100" s="301">
        <v>80</v>
      </c>
      <c r="AL100" s="301">
        <f>+DATOS_[[#This Row],[S.BASE]]*$AL$1</f>
        <v>6148.9680000000008</v>
      </c>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2"/>
      <c r="BN100" s="291">
        <f>+MAX($D$3,DATOS_[[#This Row],[Fecha Inicio Sit. Contract.]])</f>
        <v>45292</v>
      </c>
      <c r="BO100" s="291">
        <f>+MIN($D$4,DATOS_[[#This Row],[Fecha Fin Sit. Contract.]])</f>
        <v>45657</v>
      </c>
      <c r="BP100" s="292">
        <f>+DATOS_[[#This Row],[% de jornada]]*IF(DATOS_[[#This Row],[% jornada reducida]]="",1,DATOS_[[#This Row],[% jornada reducida]])</f>
        <v>1</v>
      </c>
      <c r="BQ100" s="292">
        <f>+(DATOS_[[#This Row],[F.fin.cal]]-DATOS_[[#This Row],[F.ini.cal]]+1)/($D$4-$D$3+1)</f>
        <v>1</v>
      </c>
      <c r="BR100" s="322" t="str">
        <f>IF(OR(AND(DATOS_[[#This Row],[Fecha Fin Contrato]]&lt;$D$3,DATOS_[[#This Row],[Fecha Fin Contrato]]&lt;&gt;""),DATOS_[[#This Row],[Fecha de Contratación]]&gt;$D$4),"Fuera","Dentro")</f>
        <v>Dentro</v>
      </c>
      <c r="BS100" s="322" t="str">
        <f t="array" ref="BS100">IF(MAX(IF(DATOS_[id]=DATOS_[[#This Row],[id]],DATOS_[F.fin.cal]))=DATOS_[[#This Row],[F.fin.cal]],"Sí","NO")</f>
        <v>Sí</v>
      </c>
      <c r="BT100" s="292" t="str">
        <f>IF(AND(DATOS_[[#This Row],[% normaliz]]&lt;&gt;1,DATOS_[[#This Row],[% anualiz]]=1),"Sí","NO")</f>
        <v>NO</v>
      </c>
      <c r="BU100" s="292" t="str">
        <f>IF(AND(DATOS_[[#This Row],[% normaliz]]=1,DATOS_[[#This Row],[% anualiz]]&lt;&gt;1),"Sí","NO")</f>
        <v>NO</v>
      </c>
      <c r="BV100" s="292" t="str">
        <f>IF(AND(DATOS_[[#This Row],[% normaliz]]&lt;&gt;1,DATOS_[[#This Row],[% anualiz]]&lt;&gt;1),"Sí","NO")</f>
        <v>NO</v>
      </c>
      <c r="BW100" s="322" t="str">
        <f>+IF(DATOS_[[#This Row],[% normaliz]]*DATOS_[[#This Row],[% anualiz]]=1,"NO","Sí")</f>
        <v>NO</v>
      </c>
      <c r="BX100" s="323">
        <f>(DATOS_[[#This Row],[S.BASE]]*(1/DATOS_[[#This Row],[% normaliz]])*(1/DATOS_[[#This Row],[% anualiz]]))*IF(DATOS_[[#This Row],[Check Equiparado]]="Sí",1,0)</f>
        <v>15372.42</v>
      </c>
      <c r="BY10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0" s="323">
        <f>+DATOS_[[#This Row],[SALARIO BASE Eq]]+DATOS_[[#This Row],[Tot COMPL.SAL Eq]]</f>
        <v>24458.761599999998</v>
      </c>
      <c r="CA100" s="323">
        <f t="array" ref="CA10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0" s="323">
        <f>+DATOS_[[#This Row],[TOTAL SALARIO Eq]]+DATOS_[[#This Row],[Tot Extrasalarial Eq]]</f>
        <v>24458.761599999998</v>
      </c>
      <c r="CC100" s="327">
        <f>DATOS_[[#This Row],[S.BASE]]</f>
        <v>15372.42</v>
      </c>
      <c r="CD100" s="324">
        <f>+SUM(DATOS_[[#This Row],[Conc.Sal.01]:[Conc.Sal.30]])</f>
        <v>9086.3415999999997</v>
      </c>
      <c r="CE100" s="324">
        <f>+DATOS_[[#This Row],[SALARIO BASE Ef]]+DATOS_[[#This Row],[Tot COMPL.SAL Ef]]</f>
        <v>24458.761599999998</v>
      </c>
      <c r="CF100" s="324">
        <f>+SUM(DATOS_[[#This Row],[C.Extra.01]:[C.Extra.05]])</f>
        <v>0</v>
      </c>
      <c r="CG100" s="330">
        <f>+DATOS_[[#This Row],[TOTAL SALARIO Ef]]+DATOS_[[#This Row],[Tot Extrasalarial Ef]]</f>
        <v>24458.761599999998</v>
      </c>
      <c r="CH100" s="303">
        <f>MIN(IF(DATOS_[[#This Row],[Fecha Fin Contrato]]="",$D$4,DATOS_[[#This Row],[Fecha Fin Contrato]]),$D$4)-MAX(DATOS_[[#This Row],[Fecha de Contratación]],$D$3)+1</f>
        <v>366</v>
      </c>
      <c r="CI100" s="304" t="str">
        <f>IF(COUNTIFS(DATOS_[id],DATOS_[[#This Row],[id]])&gt;1,DATOS_[[#This Row],[id]],"")</f>
        <v/>
      </c>
      <c r="CJ100" s="325">
        <f>(Inicio!$G$10-DATOS_[[#This Row],[Fecha Nacimiento]])/365.25</f>
        <v>48.054757015742645</v>
      </c>
      <c r="CK100" s="325">
        <f>(Inicio!$G$10-DATOS_[[#This Row],[Fecha de Antigüedad]])/365.25</f>
        <v>15.19233401779603</v>
      </c>
      <c r="CL100" s="325" t="str">
        <f>+VLOOKUP(DATOS_[[#This Row],[Clave de Contrato]],TblTiposContrato13[],3,FALSE)</f>
        <v>Completa</v>
      </c>
      <c r="CM100" s="325" t="str">
        <f>+VLOOKUP(DATOS_[[#This Row],[Clave de Contrato]],TblTiposContrato13[],4,FALSE)</f>
        <v>Indefinido</v>
      </c>
      <c r="CN100" s="325" t="str">
        <f>VLOOKUP(DATOS_[[#This Row],[Edad]],CONTRATOS!TblRngEdad,2,TRUE)</f>
        <v>45 a 50</v>
      </c>
      <c r="CO100" s="325" t="str">
        <f>VLOOKUP(DATOS_[[#This Row],[Antigüedad]],TblRngAntg14[],2,TRUE)</f>
        <v>más de 15</v>
      </c>
    </row>
    <row r="101" spans="2:93" x14ac:dyDescent="0.25">
      <c r="B101" s="146">
        <v>88</v>
      </c>
      <c r="C101" s="146" t="s">
        <v>162</v>
      </c>
      <c r="D101" s="295">
        <v>29930</v>
      </c>
      <c r="E101" s="296" t="s">
        <v>428</v>
      </c>
      <c r="F101" s="296">
        <v>2</v>
      </c>
      <c r="G101" s="296">
        <v>1</v>
      </c>
      <c r="H101" s="297">
        <v>39670</v>
      </c>
      <c r="I101" s="298"/>
      <c r="J101" s="295">
        <v>39670</v>
      </c>
      <c r="K101" s="326"/>
      <c r="L101" s="326"/>
      <c r="M101" s="299">
        <v>1</v>
      </c>
      <c r="N101" s="299"/>
      <c r="O101" s="299"/>
      <c r="P101" s="296">
        <v>100</v>
      </c>
      <c r="Q101" s="146" t="s">
        <v>412</v>
      </c>
      <c r="R101" s="146" t="s">
        <v>418</v>
      </c>
      <c r="S101" s="146" t="s">
        <v>429</v>
      </c>
      <c r="T101" s="146" t="s">
        <v>407</v>
      </c>
      <c r="U101" s="146" t="s">
        <v>400</v>
      </c>
      <c r="V101" s="146" t="s">
        <v>126</v>
      </c>
      <c r="W101" s="146" t="s">
        <v>300</v>
      </c>
      <c r="X101" s="146" t="s">
        <v>309</v>
      </c>
      <c r="Y101" s="146" t="s">
        <v>409</v>
      </c>
      <c r="Z101" s="293"/>
      <c r="AA101" s="294" t="s">
        <v>430</v>
      </c>
      <c r="AB101" s="294">
        <v>5</v>
      </c>
      <c r="AC101" s="296">
        <v>6</v>
      </c>
      <c r="AD101" s="301">
        <v>15372.42</v>
      </c>
      <c r="AE101" s="301">
        <v>1627.58</v>
      </c>
      <c r="AF101" s="301">
        <v>1229.7936</v>
      </c>
      <c r="AG101" s="301"/>
      <c r="AH101" s="301"/>
      <c r="AI101" s="301"/>
      <c r="AJ101" s="301"/>
      <c r="AK101" s="301">
        <v>80</v>
      </c>
      <c r="AL101" s="301">
        <f>+DATOS_[[#This Row],[S.BASE]]*$AL$1</f>
        <v>6148.9680000000008</v>
      </c>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2"/>
      <c r="BN101" s="291">
        <f>+MAX($D$3,DATOS_[[#This Row],[Fecha Inicio Sit. Contract.]])</f>
        <v>45292</v>
      </c>
      <c r="BO101" s="291">
        <f>+MIN($D$4,DATOS_[[#This Row],[Fecha Fin Sit. Contract.]])</f>
        <v>45657</v>
      </c>
      <c r="BP101" s="292">
        <f>+DATOS_[[#This Row],[% de jornada]]*IF(DATOS_[[#This Row],[% jornada reducida]]="",1,DATOS_[[#This Row],[% jornada reducida]])</f>
        <v>1</v>
      </c>
      <c r="BQ101" s="292">
        <f>+(DATOS_[[#This Row],[F.fin.cal]]-DATOS_[[#This Row],[F.ini.cal]]+1)/($D$4-$D$3+1)</f>
        <v>1</v>
      </c>
      <c r="BR101" s="322" t="str">
        <f>IF(OR(AND(DATOS_[[#This Row],[Fecha Fin Contrato]]&lt;$D$3,DATOS_[[#This Row],[Fecha Fin Contrato]]&lt;&gt;""),DATOS_[[#This Row],[Fecha de Contratación]]&gt;$D$4),"Fuera","Dentro")</f>
        <v>Dentro</v>
      </c>
      <c r="BS101" s="322" t="str">
        <f t="array" ref="BS101">IF(MAX(IF(DATOS_[id]=DATOS_[[#This Row],[id]],DATOS_[F.fin.cal]))=DATOS_[[#This Row],[F.fin.cal]],"Sí","NO")</f>
        <v>Sí</v>
      </c>
      <c r="BT101" s="292" t="str">
        <f>IF(AND(DATOS_[[#This Row],[% normaliz]]&lt;&gt;1,DATOS_[[#This Row],[% anualiz]]=1),"Sí","NO")</f>
        <v>NO</v>
      </c>
      <c r="BU101" s="292" t="str">
        <f>IF(AND(DATOS_[[#This Row],[% normaliz]]=1,DATOS_[[#This Row],[% anualiz]]&lt;&gt;1),"Sí","NO")</f>
        <v>NO</v>
      </c>
      <c r="BV101" s="292" t="str">
        <f>IF(AND(DATOS_[[#This Row],[% normaliz]]&lt;&gt;1,DATOS_[[#This Row],[% anualiz]]&lt;&gt;1),"Sí","NO")</f>
        <v>NO</v>
      </c>
      <c r="BW101" s="322" t="str">
        <f>+IF(DATOS_[[#This Row],[% normaliz]]*DATOS_[[#This Row],[% anualiz]]=1,"NO","Sí")</f>
        <v>NO</v>
      </c>
      <c r="BX101" s="323">
        <f>(DATOS_[[#This Row],[S.BASE]]*(1/DATOS_[[#This Row],[% normaliz]])*(1/DATOS_[[#This Row],[% anualiz]]))*IF(DATOS_[[#This Row],[Check Equiparado]]="Sí",1,0)</f>
        <v>15372.42</v>
      </c>
      <c r="BY10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1" s="323">
        <f>+DATOS_[[#This Row],[SALARIO BASE Eq]]+DATOS_[[#This Row],[Tot COMPL.SAL Eq]]</f>
        <v>24458.761599999998</v>
      </c>
      <c r="CA101" s="323">
        <f t="array" ref="CA10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1" s="323">
        <f>+DATOS_[[#This Row],[TOTAL SALARIO Eq]]+DATOS_[[#This Row],[Tot Extrasalarial Eq]]</f>
        <v>24458.761599999998</v>
      </c>
      <c r="CC101" s="327">
        <f>DATOS_[[#This Row],[S.BASE]]</f>
        <v>15372.42</v>
      </c>
      <c r="CD101" s="324">
        <f>+SUM(DATOS_[[#This Row],[Conc.Sal.01]:[Conc.Sal.30]])</f>
        <v>9086.3415999999997</v>
      </c>
      <c r="CE101" s="324">
        <f>+DATOS_[[#This Row],[SALARIO BASE Ef]]+DATOS_[[#This Row],[Tot COMPL.SAL Ef]]</f>
        <v>24458.761599999998</v>
      </c>
      <c r="CF101" s="324">
        <f>+SUM(DATOS_[[#This Row],[C.Extra.01]:[C.Extra.05]])</f>
        <v>0</v>
      </c>
      <c r="CG101" s="330">
        <f>+DATOS_[[#This Row],[TOTAL SALARIO Ef]]+DATOS_[[#This Row],[Tot Extrasalarial Ef]]</f>
        <v>24458.761599999998</v>
      </c>
      <c r="CH101" s="303">
        <f>MIN(IF(DATOS_[[#This Row],[Fecha Fin Contrato]]="",$D$4,DATOS_[[#This Row],[Fecha Fin Contrato]]),$D$4)-MAX(DATOS_[[#This Row],[Fecha de Contratación]],$D$3)+1</f>
        <v>366</v>
      </c>
      <c r="CI101" s="304" t="str">
        <f>IF(COUNTIFS(DATOS_[id],DATOS_[[#This Row],[id]])&gt;1,DATOS_[[#This Row],[id]],"")</f>
        <v/>
      </c>
      <c r="CJ101" s="325">
        <f>(Inicio!$G$10-DATOS_[[#This Row],[Fecha Nacimiento]])/365.25</f>
        <v>43.058179329226554</v>
      </c>
      <c r="CK101" s="325">
        <f>(Inicio!$G$10-DATOS_[[#This Row],[Fecha de Antigüedad]])/365.25</f>
        <v>16.39151266255989</v>
      </c>
      <c r="CL101" s="325" t="str">
        <f>+VLOOKUP(DATOS_[[#This Row],[Clave de Contrato]],TblTiposContrato13[],3,FALSE)</f>
        <v>Completa</v>
      </c>
      <c r="CM101" s="325" t="str">
        <f>+VLOOKUP(DATOS_[[#This Row],[Clave de Contrato]],TblTiposContrato13[],4,FALSE)</f>
        <v>Indefinido</v>
      </c>
      <c r="CN101" s="325" t="str">
        <f>VLOOKUP(DATOS_[[#This Row],[Edad]],CONTRATOS!TblRngEdad,2,TRUE)</f>
        <v>40 a 45</v>
      </c>
      <c r="CO101" s="325" t="str">
        <f>VLOOKUP(DATOS_[[#This Row],[Antigüedad]],TblRngAntg14[],2,TRUE)</f>
        <v>más de 15</v>
      </c>
    </row>
    <row r="102" spans="2:93" x14ac:dyDescent="0.25">
      <c r="B102" s="146">
        <v>89</v>
      </c>
      <c r="C102" s="146" t="s">
        <v>162</v>
      </c>
      <c r="D102" s="295">
        <v>36500</v>
      </c>
      <c r="E102" s="296" t="s">
        <v>428</v>
      </c>
      <c r="F102" s="296">
        <v>2</v>
      </c>
      <c r="G102" s="296">
        <v>2</v>
      </c>
      <c r="H102" s="297">
        <v>38757</v>
      </c>
      <c r="I102" s="298"/>
      <c r="J102" s="295">
        <v>38757</v>
      </c>
      <c r="K102" s="326"/>
      <c r="L102" s="326"/>
      <c r="M102" s="299">
        <v>1</v>
      </c>
      <c r="N102" s="299"/>
      <c r="O102" s="299"/>
      <c r="P102" s="296">
        <v>100</v>
      </c>
      <c r="Q102" s="146" t="s">
        <v>412</v>
      </c>
      <c r="R102" s="146" t="s">
        <v>418</v>
      </c>
      <c r="S102" s="146" t="s">
        <v>429</v>
      </c>
      <c r="T102" s="146" t="s">
        <v>407</v>
      </c>
      <c r="U102" s="146" t="s">
        <v>400</v>
      </c>
      <c r="V102" s="146" t="s">
        <v>126</v>
      </c>
      <c r="W102" s="146" t="s">
        <v>300</v>
      </c>
      <c r="X102" s="146" t="s">
        <v>309</v>
      </c>
      <c r="Y102" s="146" t="s">
        <v>409</v>
      </c>
      <c r="Z102" s="293"/>
      <c r="AA102" s="294" t="s">
        <v>430</v>
      </c>
      <c r="AB102" s="294">
        <v>5</v>
      </c>
      <c r="AC102" s="296">
        <v>6</v>
      </c>
      <c r="AD102" s="301">
        <v>15372.42</v>
      </c>
      <c r="AE102" s="301">
        <v>1627.58</v>
      </c>
      <c r="AF102" s="301">
        <v>1844.6904</v>
      </c>
      <c r="AG102" s="301"/>
      <c r="AH102" s="301"/>
      <c r="AI102" s="301"/>
      <c r="AJ102" s="301"/>
      <c r="AK102" s="301">
        <v>80</v>
      </c>
      <c r="AL102" s="301">
        <f>+DATOS_[[#This Row],[S.BASE]]*$AL$1</f>
        <v>6148.9680000000008</v>
      </c>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2"/>
      <c r="BN102" s="291">
        <f>+MAX($D$3,DATOS_[[#This Row],[Fecha Inicio Sit. Contract.]])</f>
        <v>45292</v>
      </c>
      <c r="BO102" s="291">
        <f>+MIN($D$4,DATOS_[[#This Row],[Fecha Fin Sit. Contract.]])</f>
        <v>45657</v>
      </c>
      <c r="BP102" s="292">
        <f>+DATOS_[[#This Row],[% de jornada]]*IF(DATOS_[[#This Row],[% jornada reducida]]="",1,DATOS_[[#This Row],[% jornada reducida]])</f>
        <v>1</v>
      </c>
      <c r="BQ102" s="292">
        <f>+(DATOS_[[#This Row],[F.fin.cal]]-DATOS_[[#This Row],[F.ini.cal]]+1)/($D$4-$D$3+1)</f>
        <v>1</v>
      </c>
      <c r="BR102" s="322" t="str">
        <f>IF(OR(AND(DATOS_[[#This Row],[Fecha Fin Contrato]]&lt;$D$3,DATOS_[[#This Row],[Fecha Fin Contrato]]&lt;&gt;""),DATOS_[[#This Row],[Fecha de Contratación]]&gt;$D$4),"Fuera","Dentro")</f>
        <v>Dentro</v>
      </c>
      <c r="BS102" s="322" t="str">
        <f t="array" ref="BS102">IF(MAX(IF(DATOS_[id]=DATOS_[[#This Row],[id]],DATOS_[F.fin.cal]))=DATOS_[[#This Row],[F.fin.cal]],"Sí","NO")</f>
        <v>Sí</v>
      </c>
      <c r="BT102" s="292" t="str">
        <f>IF(AND(DATOS_[[#This Row],[% normaliz]]&lt;&gt;1,DATOS_[[#This Row],[% anualiz]]=1),"Sí","NO")</f>
        <v>NO</v>
      </c>
      <c r="BU102" s="292" t="str">
        <f>IF(AND(DATOS_[[#This Row],[% normaliz]]=1,DATOS_[[#This Row],[% anualiz]]&lt;&gt;1),"Sí","NO")</f>
        <v>NO</v>
      </c>
      <c r="BV102" s="292" t="str">
        <f>IF(AND(DATOS_[[#This Row],[% normaliz]]&lt;&gt;1,DATOS_[[#This Row],[% anualiz]]&lt;&gt;1),"Sí","NO")</f>
        <v>NO</v>
      </c>
      <c r="BW102" s="322" t="str">
        <f>+IF(DATOS_[[#This Row],[% normaliz]]*DATOS_[[#This Row],[% anualiz]]=1,"NO","Sí")</f>
        <v>NO</v>
      </c>
      <c r="BX102" s="323">
        <f>(DATOS_[[#This Row],[S.BASE]]*(1/DATOS_[[#This Row],[% normaliz]])*(1/DATOS_[[#This Row],[% anualiz]]))*IF(DATOS_[[#This Row],[Check Equiparado]]="Sí",1,0)</f>
        <v>15372.42</v>
      </c>
      <c r="BY10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102" s="323">
        <f>+DATOS_[[#This Row],[SALARIO BASE Eq]]+DATOS_[[#This Row],[Tot COMPL.SAL Eq]]</f>
        <v>25073.6584</v>
      </c>
      <c r="CA102" s="323">
        <f t="array" ref="CA10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2" s="323">
        <f>+DATOS_[[#This Row],[TOTAL SALARIO Eq]]+DATOS_[[#This Row],[Tot Extrasalarial Eq]]</f>
        <v>25073.6584</v>
      </c>
      <c r="CC102" s="327">
        <f>DATOS_[[#This Row],[S.BASE]]</f>
        <v>15372.42</v>
      </c>
      <c r="CD102" s="324">
        <f>+SUM(DATOS_[[#This Row],[Conc.Sal.01]:[Conc.Sal.30]])</f>
        <v>9701.2384000000002</v>
      </c>
      <c r="CE102" s="324">
        <f>+DATOS_[[#This Row],[SALARIO BASE Ef]]+DATOS_[[#This Row],[Tot COMPL.SAL Ef]]</f>
        <v>25073.6584</v>
      </c>
      <c r="CF102" s="324">
        <f>+SUM(DATOS_[[#This Row],[C.Extra.01]:[C.Extra.05]])</f>
        <v>0</v>
      </c>
      <c r="CG102" s="330">
        <f>+DATOS_[[#This Row],[TOTAL SALARIO Ef]]+DATOS_[[#This Row],[Tot Extrasalarial Ef]]</f>
        <v>25073.6584</v>
      </c>
      <c r="CH102" s="303">
        <f>MIN(IF(DATOS_[[#This Row],[Fecha Fin Contrato]]="",$D$4,DATOS_[[#This Row],[Fecha Fin Contrato]]),$D$4)-MAX(DATOS_[[#This Row],[Fecha de Contratación]],$D$3)+1</f>
        <v>366</v>
      </c>
      <c r="CI102" s="304" t="str">
        <f>IF(COUNTIFS(DATOS_[id],DATOS_[[#This Row],[id]])&gt;1,DATOS_[[#This Row],[id]],"")</f>
        <v/>
      </c>
      <c r="CJ102" s="325">
        <f>(Inicio!$G$10-DATOS_[[#This Row],[Fecha Nacimiento]])/365.25</f>
        <v>25.07049965776865</v>
      </c>
      <c r="CK102" s="325">
        <f>(Inicio!$G$10-DATOS_[[#This Row],[Fecha de Antigüedad]])/365.25</f>
        <v>18.891170431211499</v>
      </c>
      <c r="CL102" s="325" t="str">
        <f>+VLOOKUP(DATOS_[[#This Row],[Clave de Contrato]],TblTiposContrato13[],3,FALSE)</f>
        <v>Completa</v>
      </c>
      <c r="CM102" s="325" t="str">
        <f>+VLOOKUP(DATOS_[[#This Row],[Clave de Contrato]],TblTiposContrato13[],4,FALSE)</f>
        <v>Indefinido</v>
      </c>
      <c r="CN102" s="325" t="str">
        <f>VLOOKUP(DATOS_[[#This Row],[Edad]],CONTRATOS!TblRngEdad,2,TRUE)</f>
        <v>25 a 30</v>
      </c>
      <c r="CO102" s="325" t="str">
        <f>VLOOKUP(DATOS_[[#This Row],[Antigüedad]],TblRngAntg14[],2,TRUE)</f>
        <v>más de 15</v>
      </c>
    </row>
    <row r="103" spans="2:93" x14ac:dyDescent="0.25">
      <c r="B103" s="146">
        <v>90</v>
      </c>
      <c r="C103" s="146" t="s">
        <v>163</v>
      </c>
      <c r="D103" s="295">
        <v>30660</v>
      </c>
      <c r="E103" s="296" t="s">
        <v>428</v>
      </c>
      <c r="F103" s="296">
        <v>2</v>
      </c>
      <c r="G103" s="296">
        <v>3</v>
      </c>
      <c r="H103" s="297">
        <v>40583</v>
      </c>
      <c r="I103" s="298"/>
      <c r="J103" s="295">
        <v>40583</v>
      </c>
      <c r="K103" s="326"/>
      <c r="L103" s="326"/>
      <c r="M103" s="299">
        <v>1</v>
      </c>
      <c r="N103" s="299"/>
      <c r="O103" s="299"/>
      <c r="P103" s="296">
        <v>100</v>
      </c>
      <c r="Q103" s="146" t="s">
        <v>431</v>
      </c>
      <c r="R103" s="146" t="s">
        <v>419</v>
      </c>
      <c r="S103" s="146" t="s">
        <v>429</v>
      </c>
      <c r="T103" s="146" t="s">
        <v>407</v>
      </c>
      <c r="U103" s="146" t="s">
        <v>400</v>
      </c>
      <c r="V103" s="146" t="s">
        <v>126</v>
      </c>
      <c r="W103" s="146" t="s">
        <v>300</v>
      </c>
      <c r="X103" s="146" t="s">
        <v>309</v>
      </c>
      <c r="Y103" s="146" t="s">
        <v>409</v>
      </c>
      <c r="Z103" s="293"/>
      <c r="AA103" s="294" t="s">
        <v>430</v>
      </c>
      <c r="AB103" s="294">
        <v>5</v>
      </c>
      <c r="AC103" s="296">
        <v>6</v>
      </c>
      <c r="AD103" s="301">
        <v>15372.42</v>
      </c>
      <c r="AE103" s="301">
        <v>1627.58</v>
      </c>
      <c r="AF103" s="301">
        <v>1229.7936</v>
      </c>
      <c r="AG103" s="301"/>
      <c r="AH103" s="301"/>
      <c r="AI103" s="301"/>
      <c r="AJ103" s="301"/>
      <c r="AK103" s="301">
        <v>80</v>
      </c>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2"/>
      <c r="BN103" s="291">
        <f>+MAX($D$3,DATOS_[[#This Row],[Fecha Inicio Sit. Contract.]])</f>
        <v>45292</v>
      </c>
      <c r="BO103" s="291">
        <f>+MIN($D$4,DATOS_[[#This Row],[Fecha Fin Sit. Contract.]])</f>
        <v>45657</v>
      </c>
      <c r="BP103" s="292">
        <f>+DATOS_[[#This Row],[% de jornada]]*IF(DATOS_[[#This Row],[% jornada reducida]]="",1,DATOS_[[#This Row],[% jornada reducida]])</f>
        <v>1</v>
      </c>
      <c r="BQ103" s="292">
        <f>+(DATOS_[[#This Row],[F.fin.cal]]-DATOS_[[#This Row],[F.ini.cal]]+1)/($D$4-$D$3+1)</f>
        <v>1</v>
      </c>
      <c r="BR103" s="322" t="str">
        <f>IF(OR(AND(DATOS_[[#This Row],[Fecha Fin Contrato]]&lt;$D$3,DATOS_[[#This Row],[Fecha Fin Contrato]]&lt;&gt;""),DATOS_[[#This Row],[Fecha de Contratación]]&gt;$D$4),"Fuera","Dentro")</f>
        <v>Dentro</v>
      </c>
      <c r="BS103" s="322" t="str">
        <f t="array" ref="BS103">IF(MAX(IF(DATOS_[id]=DATOS_[[#This Row],[id]],DATOS_[F.fin.cal]))=DATOS_[[#This Row],[F.fin.cal]],"Sí","NO")</f>
        <v>Sí</v>
      </c>
      <c r="BT103" s="292" t="str">
        <f>IF(AND(DATOS_[[#This Row],[% normaliz]]&lt;&gt;1,DATOS_[[#This Row],[% anualiz]]=1),"Sí","NO")</f>
        <v>NO</v>
      </c>
      <c r="BU103" s="292" t="str">
        <f>IF(AND(DATOS_[[#This Row],[% normaliz]]=1,DATOS_[[#This Row],[% anualiz]]&lt;&gt;1),"Sí","NO")</f>
        <v>NO</v>
      </c>
      <c r="BV103" s="292" t="str">
        <f>IF(AND(DATOS_[[#This Row],[% normaliz]]&lt;&gt;1,DATOS_[[#This Row],[% anualiz]]&lt;&gt;1),"Sí","NO")</f>
        <v>NO</v>
      </c>
      <c r="BW103" s="322" t="str">
        <f>+IF(DATOS_[[#This Row],[% normaliz]]*DATOS_[[#This Row],[% anualiz]]=1,"NO","Sí")</f>
        <v>NO</v>
      </c>
      <c r="BX103" s="323">
        <f>(DATOS_[[#This Row],[S.BASE]]*(1/DATOS_[[#This Row],[% normaliz]])*(1/DATOS_[[#This Row],[% anualiz]]))*IF(DATOS_[[#This Row],[Check Equiparado]]="Sí",1,0)</f>
        <v>15372.42</v>
      </c>
      <c r="BY10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2937.3735999999999</v>
      </c>
      <c r="BZ103" s="323">
        <f>+DATOS_[[#This Row],[SALARIO BASE Eq]]+DATOS_[[#This Row],[Tot COMPL.SAL Eq]]</f>
        <v>18309.793600000001</v>
      </c>
      <c r="CA103" s="323">
        <f t="array" ref="CA10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3" s="323">
        <f>+DATOS_[[#This Row],[TOTAL SALARIO Eq]]+DATOS_[[#This Row],[Tot Extrasalarial Eq]]</f>
        <v>18309.793600000001</v>
      </c>
      <c r="CC103" s="327">
        <f>DATOS_[[#This Row],[S.BASE]]</f>
        <v>15372.42</v>
      </c>
      <c r="CD103" s="324">
        <f>+SUM(DATOS_[[#This Row],[Conc.Sal.01]:[Conc.Sal.30]])</f>
        <v>2937.3735999999999</v>
      </c>
      <c r="CE103" s="324">
        <f>+DATOS_[[#This Row],[SALARIO BASE Ef]]+DATOS_[[#This Row],[Tot COMPL.SAL Ef]]</f>
        <v>18309.793600000001</v>
      </c>
      <c r="CF103" s="324">
        <f>+SUM(DATOS_[[#This Row],[C.Extra.01]:[C.Extra.05]])</f>
        <v>0</v>
      </c>
      <c r="CG103" s="330">
        <f>+DATOS_[[#This Row],[TOTAL SALARIO Ef]]+DATOS_[[#This Row],[Tot Extrasalarial Ef]]</f>
        <v>18309.793600000001</v>
      </c>
      <c r="CH103" s="303">
        <f>MIN(IF(DATOS_[[#This Row],[Fecha Fin Contrato]]="",$D$4,DATOS_[[#This Row],[Fecha Fin Contrato]]),$D$4)-MAX(DATOS_[[#This Row],[Fecha de Contratación]],$D$3)+1</f>
        <v>366</v>
      </c>
      <c r="CI103" s="304" t="str">
        <f>IF(COUNTIFS(DATOS_[id],DATOS_[[#This Row],[id]])&gt;1,DATOS_[[#This Row],[id]],"")</f>
        <v/>
      </c>
      <c r="CJ103" s="325">
        <f>(Inicio!$G$10-DATOS_[[#This Row],[Fecha Nacimiento]])/365.25</f>
        <v>41.059548254620125</v>
      </c>
      <c r="CK103" s="325">
        <f>(Inicio!$G$10-DATOS_[[#This Row],[Fecha de Antigüedad]])/365.25</f>
        <v>13.891854893908283</v>
      </c>
      <c r="CL103" s="325" t="str">
        <f>+VLOOKUP(DATOS_[[#This Row],[Clave de Contrato]],TblTiposContrato13[],3,FALSE)</f>
        <v>Completa</v>
      </c>
      <c r="CM103" s="325" t="str">
        <f>+VLOOKUP(DATOS_[[#This Row],[Clave de Contrato]],TblTiposContrato13[],4,FALSE)</f>
        <v>Indefinido</v>
      </c>
      <c r="CN103" s="325" t="str">
        <f>VLOOKUP(DATOS_[[#This Row],[Edad]],CONTRATOS!TblRngEdad,2,TRUE)</f>
        <v>40 a 45</v>
      </c>
      <c r="CO103" s="325" t="str">
        <f>VLOOKUP(DATOS_[[#This Row],[Antigüedad]],TblRngAntg14[],2,TRUE)</f>
        <v>de 10 a 15  años</v>
      </c>
    </row>
    <row r="104" spans="2:93" x14ac:dyDescent="0.25">
      <c r="B104" s="146">
        <v>91</v>
      </c>
      <c r="C104" s="146" t="s">
        <v>162</v>
      </c>
      <c r="D104" s="295">
        <v>33215</v>
      </c>
      <c r="E104" s="296" t="s">
        <v>428</v>
      </c>
      <c r="F104" s="296">
        <v>2</v>
      </c>
      <c r="G104" s="296">
        <v>2</v>
      </c>
      <c r="H104" s="297">
        <v>40546</v>
      </c>
      <c r="I104" s="298"/>
      <c r="J104" s="295">
        <v>40546</v>
      </c>
      <c r="K104" s="326"/>
      <c r="L104" s="326"/>
      <c r="M104" s="299">
        <v>1</v>
      </c>
      <c r="N104" s="299"/>
      <c r="O104" s="299"/>
      <c r="P104" s="296">
        <v>100</v>
      </c>
      <c r="Q104" s="146" t="s">
        <v>431</v>
      </c>
      <c r="R104" s="146" t="s">
        <v>419</v>
      </c>
      <c r="S104" s="146" t="s">
        <v>429</v>
      </c>
      <c r="T104" s="146" t="s">
        <v>407</v>
      </c>
      <c r="U104" s="146" t="s">
        <v>400</v>
      </c>
      <c r="V104" s="146" t="s">
        <v>126</v>
      </c>
      <c r="W104" s="146" t="s">
        <v>300</v>
      </c>
      <c r="X104" s="146" t="s">
        <v>309</v>
      </c>
      <c r="Y104" s="146" t="s">
        <v>409</v>
      </c>
      <c r="Z104" s="293"/>
      <c r="AA104" s="294" t="s">
        <v>430</v>
      </c>
      <c r="AB104" s="294">
        <v>5</v>
      </c>
      <c r="AC104" s="296">
        <v>6</v>
      </c>
      <c r="AD104" s="301">
        <v>15372.42</v>
      </c>
      <c r="AE104" s="301">
        <v>1627.58</v>
      </c>
      <c r="AF104" s="301">
        <v>1229.7936</v>
      </c>
      <c r="AG104" s="301"/>
      <c r="AH104" s="301"/>
      <c r="AI104" s="301"/>
      <c r="AJ104" s="301"/>
      <c r="AK104" s="301">
        <v>80</v>
      </c>
      <c r="AL104" s="301">
        <f>+DATOS_[[#This Row],[S.BASE]]*$AL$1</f>
        <v>6148.9680000000008</v>
      </c>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2"/>
      <c r="BN104" s="291">
        <f>+MAX($D$3,DATOS_[[#This Row],[Fecha Inicio Sit. Contract.]])</f>
        <v>45292</v>
      </c>
      <c r="BO104" s="291">
        <f>+MIN($D$4,DATOS_[[#This Row],[Fecha Fin Sit. Contract.]])</f>
        <v>45657</v>
      </c>
      <c r="BP104" s="292">
        <f>+DATOS_[[#This Row],[% de jornada]]*IF(DATOS_[[#This Row],[% jornada reducida]]="",1,DATOS_[[#This Row],[% jornada reducida]])</f>
        <v>1</v>
      </c>
      <c r="BQ104" s="292">
        <f>+(DATOS_[[#This Row],[F.fin.cal]]-DATOS_[[#This Row],[F.ini.cal]]+1)/($D$4-$D$3+1)</f>
        <v>1</v>
      </c>
      <c r="BR104" s="322" t="str">
        <f>IF(OR(AND(DATOS_[[#This Row],[Fecha Fin Contrato]]&lt;$D$3,DATOS_[[#This Row],[Fecha Fin Contrato]]&lt;&gt;""),DATOS_[[#This Row],[Fecha de Contratación]]&gt;$D$4),"Fuera","Dentro")</f>
        <v>Dentro</v>
      </c>
      <c r="BS104" s="322" t="str">
        <f t="array" ref="BS104">IF(MAX(IF(DATOS_[id]=DATOS_[[#This Row],[id]],DATOS_[F.fin.cal]))=DATOS_[[#This Row],[F.fin.cal]],"Sí","NO")</f>
        <v>Sí</v>
      </c>
      <c r="BT104" s="292" t="str">
        <f>IF(AND(DATOS_[[#This Row],[% normaliz]]&lt;&gt;1,DATOS_[[#This Row],[% anualiz]]=1),"Sí","NO")</f>
        <v>NO</v>
      </c>
      <c r="BU104" s="292" t="str">
        <f>IF(AND(DATOS_[[#This Row],[% normaliz]]=1,DATOS_[[#This Row],[% anualiz]]&lt;&gt;1),"Sí","NO")</f>
        <v>NO</v>
      </c>
      <c r="BV104" s="292" t="str">
        <f>IF(AND(DATOS_[[#This Row],[% normaliz]]&lt;&gt;1,DATOS_[[#This Row],[% anualiz]]&lt;&gt;1),"Sí","NO")</f>
        <v>NO</v>
      </c>
      <c r="BW104" s="322" t="str">
        <f>+IF(DATOS_[[#This Row],[% normaliz]]*DATOS_[[#This Row],[% anualiz]]=1,"NO","Sí")</f>
        <v>NO</v>
      </c>
      <c r="BX104" s="323">
        <f>(DATOS_[[#This Row],[S.BASE]]*(1/DATOS_[[#This Row],[% normaliz]])*(1/DATOS_[[#This Row],[% anualiz]]))*IF(DATOS_[[#This Row],[Check Equiparado]]="Sí",1,0)</f>
        <v>15372.42</v>
      </c>
      <c r="BY10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4" s="323">
        <f>+DATOS_[[#This Row],[SALARIO BASE Eq]]+DATOS_[[#This Row],[Tot COMPL.SAL Eq]]</f>
        <v>24458.761599999998</v>
      </c>
      <c r="CA104" s="323">
        <f t="array" ref="CA10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4" s="323">
        <f>+DATOS_[[#This Row],[TOTAL SALARIO Eq]]+DATOS_[[#This Row],[Tot Extrasalarial Eq]]</f>
        <v>24458.761599999998</v>
      </c>
      <c r="CC104" s="327">
        <f>DATOS_[[#This Row],[S.BASE]]</f>
        <v>15372.42</v>
      </c>
      <c r="CD104" s="324">
        <f>+SUM(DATOS_[[#This Row],[Conc.Sal.01]:[Conc.Sal.30]])</f>
        <v>9086.3415999999997</v>
      </c>
      <c r="CE104" s="324">
        <f>+DATOS_[[#This Row],[SALARIO BASE Ef]]+DATOS_[[#This Row],[Tot COMPL.SAL Ef]]</f>
        <v>24458.761599999998</v>
      </c>
      <c r="CF104" s="324">
        <f>+SUM(DATOS_[[#This Row],[C.Extra.01]:[C.Extra.05]])</f>
        <v>0</v>
      </c>
      <c r="CG104" s="330">
        <f>+DATOS_[[#This Row],[TOTAL SALARIO Ef]]+DATOS_[[#This Row],[Tot Extrasalarial Ef]]</f>
        <v>24458.761599999998</v>
      </c>
      <c r="CH104" s="303">
        <f>MIN(IF(DATOS_[[#This Row],[Fecha Fin Contrato]]="",$D$4,DATOS_[[#This Row],[Fecha Fin Contrato]]),$D$4)-MAX(DATOS_[[#This Row],[Fecha de Contratación]],$D$3)+1</f>
        <v>366</v>
      </c>
      <c r="CI104" s="304" t="str">
        <f>IF(COUNTIFS(DATOS_[id],DATOS_[[#This Row],[id]])&gt;1,DATOS_[[#This Row],[id]],"")</f>
        <v/>
      </c>
      <c r="CJ104" s="325">
        <f>(Inicio!$G$10-DATOS_[[#This Row],[Fecha Nacimiento]])/365.25</f>
        <v>34.064339493497606</v>
      </c>
      <c r="CK104" s="325">
        <f>(Inicio!$G$10-DATOS_[[#This Row],[Fecha de Antigüedad]])/365.25</f>
        <v>13.99315537303217</v>
      </c>
      <c r="CL104" s="325" t="str">
        <f>+VLOOKUP(DATOS_[[#This Row],[Clave de Contrato]],TblTiposContrato13[],3,FALSE)</f>
        <v>Completa</v>
      </c>
      <c r="CM104" s="325" t="str">
        <f>+VLOOKUP(DATOS_[[#This Row],[Clave de Contrato]],TblTiposContrato13[],4,FALSE)</f>
        <v>Indefinido</v>
      </c>
      <c r="CN104" s="325" t="str">
        <f>VLOOKUP(DATOS_[[#This Row],[Edad]],CONTRATOS!TblRngEdad,2,TRUE)</f>
        <v>30 a 35</v>
      </c>
      <c r="CO104" s="325" t="str">
        <f>VLOOKUP(DATOS_[[#This Row],[Antigüedad]],TblRngAntg14[],2,TRUE)</f>
        <v>de 10 a 15  años</v>
      </c>
    </row>
    <row r="105" spans="2:93" x14ac:dyDescent="0.25">
      <c r="B105" s="146">
        <v>92</v>
      </c>
      <c r="C105" s="146" t="s">
        <v>162</v>
      </c>
      <c r="D105" s="295">
        <v>29200</v>
      </c>
      <c r="E105" s="296" t="s">
        <v>428</v>
      </c>
      <c r="F105" s="296">
        <v>1</v>
      </c>
      <c r="G105" s="296">
        <v>2</v>
      </c>
      <c r="H105" s="297">
        <v>40583</v>
      </c>
      <c r="I105" s="298"/>
      <c r="J105" s="295">
        <v>40583</v>
      </c>
      <c r="K105" s="326"/>
      <c r="L105" s="326"/>
      <c r="M105" s="299">
        <v>1</v>
      </c>
      <c r="N105" s="299"/>
      <c r="O105" s="299"/>
      <c r="P105" s="296">
        <v>100</v>
      </c>
      <c r="Q105" s="146" t="s">
        <v>412</v>
      </c>
      <c r="R105" s="146" t="s">
        <v>417</v>
      </c>
      <c r="S105" s="146" t="s">
        <v>429</v>
      </c>
      <c r="T105" s="146" t="s">
        <v>432</v>
      </c>
      <c r="U105" s="146" t="s">
        <v>400</v>
      </c>
      <c r="V105" s="146" t="s">
        <v>126</v>
      </c>
      <c r="W105" s="146" t="s">
        <v>300</v>
      </c>
      <c r="X105" s="146" t="s">
        <v>309</v>
      </c>
      <c r="Y105" s="146" t="s">
        <v>409</v>
      </c>
      <c r="Z105" s="293"/>
      <c r="AA105" s="294" t="s">
        <v>430</v>
      </c>
      <c r="AB105" s="294">
        <v>5</v>
      </c>
      <c r="AC105" s="296">
        <v>6</v>
      </c>
      <c r="AD105" s="301">
        <v>15372.42</v>
      </c>
      <c r="AE105" s="301">
        <v>1627.58</v>
      </c>
      <c r="AF105" s="301">
        <v>1229.7936</v>
      </c>
      <c r="AG105" s="301"/>
      <c r="AH105" s="301"/>
      <c r="AI105" s="301"/>
      <c r="AJ105" s="301"/>
      <c r="AK105" s="301">
        <v>80</v>
      </c>
      <c r="AL105" s="301">
        <f>+DATOS_[[#This Row],[S.BASE]]*$AL$1</f>
        <v>6148.9680000000008</v>
      </c>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2"/>
      <c r="BN105" s="291">
        <f>+MAX($D$3,DATOS_[[#This Row],[Fecha Inicio Sit. Contract.]])</f>
        <v>45292</v>
      </c>
      <c r="BO105" s="291">
        <f>+MIN($D$4,DATOS_[[#This Row],[Fecha Fin Sit. Contract.]])</f>
        <v>45657</v>
      </c>
      <c r="BP105" s="292">
        <f>+DATOS_[[#This Row],[% de jornada]]*IF(DATOS_[[#This Row],[% jornada reducida]]="",1,DATOS_[[#This Row],[% jornada reducida]])</f>
        <v>1</v>
      </c>
      <c r="BQ105" s="292">
        <f>+(DATOS_[[#This Row],[F.fin.cal]]-DATOS_[[#This Row],[F.ini.cal]]+1)/($D$4-$D$3+1)</f>
        <v>1</v>
      </c>
      <c r="BR105" s="322" t="str">
        <f>IF(OR(AND(DATOS_[[#This Row],[Fecha Fin Contrato]]&lt;$D$3,DATOS_[[#This Row],[Fecha Fin Contrato]]&lt;&gt;""),DATOS_[[#This Row],[Fecha de Contratación]]&gt;$D$4),"Fuera","Dentro")</f>
        <v>Dentro</v>
      </c>
      <c r="BS105" s="322" t="str">
        <f t="array" ref="BS105">IF(MAX(IF(DATOS_[id]=DATOS_[[#This Row],[id]],DATOS_[F.fin.cal]))=DATOS_[[#This Row],[F.fin.cal]],"Sí","NO")</f>
        <v>Sí</v>
      </c>
      <c r="BT105" s="292" t="str">
        <f>IF(AND(DATOS_[[#This Row],[% normaliz]]&lt;&gt;1,DATOS_[[#This Row],[% anualiz]]=1),"Sí","NO")</f>
        <v>NO</v>
      </c>
      <c r="BU105" s="292" t="str">
        <f>IF(AND(DATOS_[[#This Row],[% normaliz]]=1,DATOS_[[#This Row],[% anualiz]]&lt;&gt;1),"Sí","NO")</f>
        <v>NO</v>
      </c>
      <c r="BV105" s="292" t="str">
        <f>IF(AND(DATOS_[[#This Row],[% normaliz]]&lt;&gt;1,DATOS_[[#This Row],[% anualiz]]&lt;&gt;1),"Sí","NO")</f>
        <v>NO</v>
      </c>
      <c r="BW105" s="322" t="str">
        <f>+IF(DATOS_[[#This Row],[% normaliz]]*DATOS_[[#This Row],[% anualiz]]=1,"NO","Sí")</f>
        <v>NO</v>
      </c>
      <c r="BX105" s="323">
        <f>(DATOS_[[#This Row],[S.BASE]]*(1/DATOS_[[#This Row],[% normaliz]])*(1/DATOS_[[#This Row],[% anualiz]]))*IF(DATOS_[[#This Row],[Check Equiparado]]="Sí",1,0)</f>
        <v>15372.42</v>
      </c>
      <c r="BY10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5" s="323">
        <f>+DATOS_[[#This Row],[SALARIO BASE Eq]]+DATOS_[[#This Row],[Tot COMPL.SAL Eq]]</f>
        <v>24458.761599999998</v>
      </c>
      <c r="CA105" s="323">
        <f t="array" ref="CA10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5" s="323">
        <f>+DATOS_[[#This Row],[TOTAL SALARIO Eq]]+DATOS_[[#This Row],[Tot Extrasalarial Eq]]</f>
        <v>24458.761599999998</v>
      </c>
      <c r="CC105" s="327">
        <f>DATOS_[[#This Row],[S.BASE]]</f>
        <v>15372.42</v>
      </c>
      <c r="CD105" s="324">
        <f>+SUM(DATOS_[[#This Row],[Conc.Sal.01]:[Conc.Sal.30]])</f>
        <v>9086.3415999999997</v>
      </c>
      <c r="CE105" s="324">
        <f>+DATOS_[[#This Row],[SALARIO BASE Ef]]+DATOS_[[#This Row],[Tot COMPL.SAL Ef]]</f>
        <v>24458.761599999998</v>
      </c>
      <c r="CF105" s="324">
        <f>+SUM(DATOS_[[#This Row],[C.Extra.01]:[C.Extra.05]])</f>
        <v>0</v>
      </c>
      <c r="CG105" s="330">
        <f>+DATOS_[[#This Row],[TOTAL SALARIO Ef]]+DATOS_[[#This Row],[Tot Extrasalarial Ef]]</f>
        <v>24458.761599999998</v>
      </c>
      <c r="CH105" s="303">
        <f>MIN(IF(DATOS_[[#This Row],[Fecha Fin Contrato]]="",$D$4,DATOS_[[#This Row],[Fecha Fin Contrato]]),$D$4)-MAX(DATOS_[[#This Row],[Fecha de Contratación]],$D$3)+1</f>
        <v>366</v>
      </c>
      <c r="CI105" s="304" t="str">
        <f>IF(COUNTIFS(DATOS_[id],DATOS_[[#This Row],[id]])&gt;1,DATOS_[[#This Row],[id]],"")</f>
        <v/>
      </c>
      <c r="CJ105" s="325">
        <f>(Inicio!$G$10-DATOS_[[#This Row],[Fecha Nacimiento]])/365.25</f>
        <v>45.056810403832991</v>
      </c>
      <c r="CK105" s="325">
        <f>(Inicio!$G$10-DATOS_[[#This Row],[Fecha de Antigüedad]])/365.25</f>
        <v>13.891854893908283</v>
      </c>
      <c r="CL105" s="325" t="str">
        <f>+VLOOKUP(DATOS_[[#This Row],[Clave de Contrato]],TblTiposContrato13[],3,FALSE)</f>
        <v>Completa</v>
      </c>
      <c r="CM105" s="325" t="str">
        <f>+VLOOKUP(DATOS_[[#This Row],[Clave de Contrato]],TblTiposContrato13[],4,FALSE)</f>
        <v>Indefinido</v>
      </c>
      <c r="CN105" s="325" t="str">
        <f>VLOOKUP(DATOS_[[#This Row],[Edad]],CONTRATOS!TblRngEdad,2,TRUE)</f>
        <v>45 a 50</v>
      </c>
      <c r="CO105" s="325" t="str">
        <f>VLOOKUP(DATOS_[[#This Row],[Antigüedad]],TblRngAntg14[],2,TRUE)</f>
        <v>de 10 a 15  años</v>
      </c>
    </row>
    <row r="106" spans="2:93" x14ac:dyDescent="0.25">
      <c r="B106" s="146">
        <v>93</v>
      </c>
      <c r="C106" s="146" t="s">
        <v>162</v>
      </c>
      <c r="D106" s="295">
        <v>36500</v>
      </c>
      <c r="E106" s="296" t="s">
        <v>428</v>
      </c>
      <c r="F106" s="296">
        <v>1</v>
      </c>
      <c r="G106" s="296">
        <v>2</v>
      </c>
      <c r="H106" s="297">
        <v>40656</v>
      </c>
      <c r="I106" s="298"/>
      <c r="J106" s="295">
        <v>40656</v>
      </c>
      <c r="K106" s="326"/>
      <c r="L106" s="326"/>
      <c r="M106" s="299">
        <v>1</v>
      </c>
      <c r="N106" s="299"/>
      <c r="O106" s="299"/>
      <c r="P106" s="296">
        <v>100</v>
      </c>
      <c r="Q106" s="146" t="s">
        <v>431</v>
      </c>
      <c r="R106" s="146" t="s">
        <v>419</v>
      </c>
      <c r="S106" s="146" t="s">
        <v>429</v>
      </c>
      <c r="T106" s="146" t="s">
        <v>432</v>
      </c>
      <c r="U106" s="146" t="s">
        <v>400</v>
      </c>
      <c r="V106" s="146" t="s">
        <v>126</v>
      </c>
      <c r="W106" s="146" t="s">
        <v>300</v>
      </c>
      <c r="X106" s="146" t="s">
        <v>309</v>
      </c>
      <c r="Y106" s="146" t="s">
        <v>409</v>
      </c>
      <c r="Z106" s="293"/>
      <c r="AA106" s="294" t="s">
        <v>430</v>
      </c>
      <c r="AB106" s="294">
        <v>5</v>
      </c>
      <c r="AC106" s="296">
        <v>6</v>
      </c>
      <c r="AD106" s="301">
        <v>15372.42</v>
      </c>
      <c r="AE106" s="301">
        <v>1627.58</v>
      </c>
      <c r="AF106" s="301">
        <v>1229.7936</v>
      </c>
      <c r="AG106" s="301"/>
      <c r="AH106" s="301"/>
      <c r="AI106" s="301"/>
      <c r="AJ106" s="301"/>
      <c r="AK106" s="301">
        <v>80</v>
      </c>
      <c r="AL106" s="301">
        <f>+DATOS_[[#This Row],[S.BASE]]*$AL$1</f>
        <v>6148.9680000000008</v>
      </c>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2"/>
      <c r="BN106" s="291">
        <f>+MAX($D$3,DATOS_[[#This Row],[Fecha Inicio Sit. Contract.]])</f>
        <v>45292</v>
      </c>
      <c r="BO106" s="291">
        <f>+MIN($D$4,DATOS_[[#This Row],[Fecha Fin Sit. Contract.]])</f>
        <v>45657</v>
      </c>
      <c r="BP106" s="292">
        <f>+DATOS_[[#This Row],[% de jornada]]*IF(DATOS_[[#This Row],[% jornada reducida]]="",1,DATOS_[[#This Row],[% jornada reducida]])</f>
        <v>1</v>
      </c>
      <c r="BQ106" s="292">
        <f>+(DATOS_[[#This Row],[F.fin.cal]]-DATOS_[[#This Row],[F.ini.cal]]+1)/($D$4-$D$3+1)</f>
        <v>1</v>
      </c>
      <c r="BR106" s="322" t="str">
        <f>IF(OR(AND(DATOS_[[#This Row],[Fecha Fin Contrato]]&lt;$D$3,DATOS_[[#This Row],[Fecha Fin Contrato]]&lt;&gt;""),DATOS_[[#This Row],[Fecha de Contratación]]&gt;$D$4),"Fuera","Dentro")</f>
        <v>Dentro</v>
      </c>
      <c r="BS106" s="322" t="str">
        <f t="array" ref="BS106">IF(MAX(IF(DATOS_[id]=DATOS_[[#This Row],[id]],DATOS_[F.fin.cal]))=DATOS_[[#This Row],[F.fin.cal]],"Sí","NO")</f>
        <v>Sí</v>
      </c>
      <c r="BT106" s="292" t="str">
        <f>IF(AND(DATOS_[[#This Row],[% normaliz]]&lt;&gt;1,DATOS_[[#This Row],[% anualiz]]=1),"Sí","NO")</f>
        <v>NO</v>
      </c>
      <c r="BU106" s="292" t="str">
        <f>IF(AND(DATOS_[[#This Row],[% normaliz]]=1,DATOS_[[#This Row],[% anualiz]]&lt;&gt;1),"Sí","NO")</f>
        <v>NO</v>
      </c>
      <c r="BV106" s="292" t="str">
        <f>IF(AND(DATOS_[[#This Row],[% normaliz]]&lt;&gt;1,DATOS_[[#This Row],[% anualiz]]&lt;&gt;1),"Sí","NO")</f>
        <v>NO</v>
      </c>
      <c r="BW106" s="322" t="str">
        <f>+IF(DATOS_[[#This Row],[% normaliz]]*DATOS_[[#This Row],[% anualiz]]=1,"NO","Sí")</f>
        <v>NO</v>
      </c>
      <c r="BX106" s="323">
        <f>(DATOS_[[#This Row],[S.BASE]]*(1/DATOS_[[#This Row],[% normaliz]])*(1/DATOS_[[#This Row],[% anualiz]]))*IF(DATOS_[[#This Row],[Check Equiparado]]="Sí",1,0)</f>
        <v>15372.42</v>
      </c>
      <c r="BY10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6" s="323">
        <f>+DATOS_[[#This Row],[SALARIO BASE Eq]]+DATOS_[[#This Row],[Tot COMPL.SAL Eq]]</f>
        <v>24458.761599999998</v>
      </c>
      <c r="CA106" s="323">
        <f t="array" ref="CA10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6" s="323">
        <f>+DATOS_[[#This Row],[TOTAL SALARIO Eq]]+DATOS_[[#This Row],[Tot Extrasalarial Eq]]</f>
        <v>24458.761599999998</v>
      </c>
      <c r="CC106" s="327">
        <f>DATOS_[[#This Row],[S.BASE]]</f>
        <v>15372.42</v>
      </c>
      <c r="CD106" s="324">
        <f>+SUM(DATOS_[[#This Row],[Conc.Sal.01]:[Conc.Sal.30]])</f>
        <v>9086.3415999999997</v>
      </c>
      <c r="CE106" s="324">
        <f>+DATOS_[[#This Row],[SALARIO BASE Ef]]+DATOS_[[#This Row],[Tot COMPL.SAL Ef]]</f>
        <v>24458.761599999998</v>
      </c>
      <c r="CF106" s="324">
        <f>+SUM(DATOS_[[#This Row],[C.Extra.01]:[C.Extra.05]])</f>
        <v>0</v>
      </c>
      <c r="CG106" s="330">
        <f>+DATOS_[[#This Row],[TOTAL SALARIO Ef]]+DATOS_[[#This Row],[Tot Extrasalarial Ef]]</f>
        <v>24458.761599999998</v>
      </c>
      <c r="CH106" s="303">
        <f>MIN(IF(DATOS_[[#This Row],[Fecha Fin Contrato]]="",$D$4,DATOS_[[#This Row],[Fecha Fin Contrato]]),$D$4)-MAX(DATOS_[[#This Row],[Fecha de Contratación]],$D$3)+1</f>
        <v>366</v>
      </c>
      <c r="CI106" s="304" t="str">
        <f>IF(COUNTIFS(DATOS_[id],DATOS_[[#This Row],[id]])&gt;1,DATOS_[[#This Row],[id]],"")</f>
        <v/>
      </c>
      <c r="CJ106" s="325">
        <f>(Inicio!$G$10-DATOS_[[#This Row],[Fecha Nacimiento]])/365.25</f>
        <v>25.07049965776865</v>
      </c>
      <c r="CK106" s="325">
        <f>(Inicio!$G$10-DATOS_[[#This Row],[Fecha de Antigüedad]])/365.25</f>
        <v>13.691991786447639</v>
      </c>
      <c r="CL106" s="325" t="str">
        <f>+VLOOKUP(DATOS_[[#This Row],[Clave de Contrato]],TblTiposContrato13[],3,FALSE)</f>
        <v>Completa</v>
      </c>
      <c r="CM106" s="325" t="str">
        <f>+VLOOKUP(DATOS_[[#This Row],[Clave de Contrato]],TblTiposContrato13[],4,FALSE)</f>
        <v>Indefinido</v>
      </c>
      <c r="CN106" s="325" t="str">
        <f>VLOOKUP(DATOS_[[#This Row],[Edad]],CONTRATOS!TblRngEdad,2,TRUE)</f>
        <v>25 a 30</v>
      </c>
      <c r="CO106" s="325" t="str">
        <f>VLOOKUP(DATOS_[[#This Row],[Antigüedad]],TblRngAntg14[],2,TRUE)</f>
        <v>de 10 a 15  años</v>
      </c>
    </row>
    <row r="107" spans="2:93" x14ac:dyDescent="0.25">
      <c r="B107" s="146">
        <v>94</v>
      </c>
      <c r="C107" s="146" t="s">
        <v>162</v>
      </c>
      <c r="D107" s="295">
        <v>33580</v>
      </c>
      <c r="E107" s="296" t="s">
        <v>428</v>
      </c>
      <c r="F107" s="296">
        <v>1</v>
      </c>
      <c r="G107" s="296">
        <v>1</v>
      </c>
      <c r="H107" s="297">
        <v>40692</v>
      </c>
      <c r="I107" s="298"/>
      <c r="J107" s="295">
        <v>40692</v>
      </c>
      <c r="K107" s="326"/>
      <c r="L107" s="326"/>
      <c r="M107" s="299">
        <v>1</v>
      </c>
      <c r="N107" s="299"/>
      <c r="O107" s="299"/>
      <c r="P107" s="296">
        <v>100</v>
      </c>
      <c r="Q107" s="146" t="s">
        <v>412</v>
      </c>
      <c r="R107" s="146" t="s">
        <v>417</v>
      </c>
      <c r="S107" s="146" t="s">
        <v>429</v>
      </c>
      <c r="T107" s="146" t="s">
        <v>432</v>
      </c>
      <c r="U107" s="146" t="s">
        <v>400</v>
      </c>
      <c r="V107" s="146" t="s">
        <v>126</v>
      </c>
      <c r="W107" s="146" t="s">
        <v>300</v>
      </c>
      <c r="X107" s="146" t="s">
        <v>309</v>
      </c>
      <c r="Y107" s="146" t="s">
        <v>409</v>
      </c>
      <c r="Z107" s="293"/>
      <c r="AA107" s="294" t="s">
        <v>430</v>
      </c>
      <c r="AB107" s="294">
        <v>5</v>
      </c>
      <c r="AC107" s="296">
        <v>6</v>
      </c>
      <c r="AD107" s="301">
        <v>15372.42</v>
      </c>
      <c r="AE107" s="301">
        <v>1627.58</v>
      </c>
      <c r="AF107" s="301">
        <v>1229.7936</v>
      </c>
      <c r="AG107" s="301"/>
      <c r="AH107" s="301"/>
      <c r="AI107" s="301"/>
      <c r="AJ107" s="301"/>
      <c r="AK107" s="301">
        <v>80</v>
      </c>
      <c r="AL107" s="301">
        <f>+DATOS_[[#This Row],[S.BASE]]*$AL$1</f>
        <v>6148.9680000000008</v>
      </c>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2"/>
      <c r="BN107" s="291">
        <f>+MAX($D$3,DATOS_[[#This Row],[Fecha Inicio Sit. Contract.]])</f>
        <v>45292</v>
      </c>
      <c r="BO107" s="291">
        <f>+MIN($D$4,DATOS_[[#This Row],[Fecha Fin Sit. Contract.]])</f>
        <v>45657</v>
      </c>
      <c r="BP107" s="292">
        <f>+DATOS_[[#This Row],[% de jornada]]*IF(DATOS_[[#This Row],[% jornada reducida]]="",1,DATOS_[[#This Row],[% jornada reducida]])</f>
        <v>1</v>
      </c>
      <c r="BQ107" s="292">
        <f>+(DATOS_[[#This Row],[F.fin.cal]]-DATOS_[[#This Row],[F.ini.cal]]+1)/($D$4-$D$3+1)</f>
        <v>1</v>
      </c>
      <c r="BR107" s="322" t="str">
        <f>IF(OR(AND(DATOS_[[#This Row],[Fecha Fin Contrato]]&lt;$D$3,DATOS_[[#This Row],[Fecha Fin Contrato]]&lt;&gt;""),DATOS_[[#This Row],[Fecha de Contratación]]&gt;$D$4),"Fuera","Dentro")</f>
        <v>Dentro</v>
      </c>
      <c r="BS107" s="322" t="str">
        <f t="array" ref="BS107">IF(MAX(IF(DATOS_[id]=DATOS_[[#This Row],[id]],DATOS_[F.fin.cal]))=DATOS_[[#This Row],[F.fin.cal]],"Sí","NO")</f>
        <v>Sí</v>
      </c>
      <c r="BT107" s="292" t="str">
        <f>IF(AND(DATOS_[[#This Row],[% normaliz]]&lt;&gt;1,DATOS_[[#This Row],[% anualiz]]=1),"Sí","NO")</f>
        <v>NO</v>
      </c>
      <c r="BU107" s="292" t="str">
        <f>IF(AND(DATOS_[[#This Row],[% normaliz]]=1,DATOS_[[#This Row],[% anualiz]]&lt;&gt;1),"Sí","NO")</f>
        <v>NO</v>
      </c>
      <c r="BV107" s="292" t="str">
        <f>IF(AND(DATOS_[[#This Row],[% normaliz]]&lt;&gt;1,DATOS_[[#This Row],[% anualiz]]&lt;&gt;1),"Sí","NO")</f>
        <v>NO</v>
      </c>
      <c r="BW107" s="322" t="str">
        <f>+IF(DATOS_[[#This Row],[% normaliz]]*DATOS_[[#This Row],[% anualiz]]=1,"NO","Sí")</f>
        <v>NO</v>
      </c>
      <c r="BX107" s="323">
        <f>(DATOS_[[#This Row],[S.BASE]]*(1/DATOS_[[#This Row],[% normaliz]])*(1/DATOS_[[#This Row],[% anualiz]]))*IF(DATOS_[[#This Row],[Check Equiparado]]="Sí",1,0)</f>
        <v>15372.42</v>
      </c>
      <c r="BY10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7" s="323">
        <f>+DATOS_[[#This Row],[SALARIO BASE Eq]]+DATOS_[[#This Row],[Tot COMPL.SAL Eq]]</f>
        <v>24458.761599999998</v>
      </c>
      <c r="CA107" s="323">
        <f t="array" ref="CA10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7" s="323">
        <f>+DATOS_[[#This Row],[TOTAL SALARIO Eq]]+DATOS_[[#This Row],[Tot Extrasalarial Eq]]</f>
        <v>24458.761599999998</v>
      </c>
      <c r="CC107" s="327">
        <f>DATOS_[[#This Row],[S.BASE]]</f>
        <v>15372.42</v>
      </c>
      <c r="CD107" s="324">
        <f>+SUM(DATOS_[[#This Row],[Conc.Sal.01]:[Conc.Sal.30]])</f>
        <v>9086.3415999999997</v>
      </c>
      <c r="CE107" s="324">
        <f>+DATOS_[[#This Row],[SALARIO BASE Ef]]+DATOS_[[#This Row],[Tot COMPL.SAL Ef]]</f>
        <v>24458.761599999998</v>
      </c>
      <c r="CF107" s="324">
        <f>+SUM(DATOS_[[#This Row],[C.Extra.01]:[C.Extra.05]])</f>
        <v>0</v>
      </c>
      <c r="CG107" s="330">
        <f>+DATOS_[[#This Row],[TOTAL SALARIO Ef]]+DATOS_[[#This Row],[Tot Extrasalarial Ef]]</f>
        <v>24458.761599999998</v>
      </c>
      <c r="CH107" s="303">
        <f>MIN(IF(DATOS_[[#This Row],[Fecha Fin Contrato]]="",$D$4,DATOS_[[#This Row],[Fecha Fin Contrato]]),$D$4)-MAX(DATOS_[[#This Row],[Fecha de Contratación]],$D$3)+1</f>
        <v>366</v>
      </c>
      <c r="CI107" s="304" t="str">
        <f>IF(COUNTIFS(DATOS_[id],DATOS_[[#This Row],[id]])&gt;1,DATOS_[[#This Row],[id]],"")</f>
        <v/>
      </c>
      <c r="CJ107" s="325">
        <f>(Inicio!$G$10-DATOS_[[#This Row],[Fecha Nacimiento]])/365.25</f>
        <v>33.065023956194388</v>
      </c>
      <c r="CK107" s="325">
        <f>(Inicio!$G$10-DATOS_[[#This Row],[Fecha de Antigüedad]])/365.25</f>
        <v>13.593429158110883</v>
      </c>
      <c r="CL107" s="325" t="str">
        <f>+VLOOKUP(DATOS_[[#This Row],[Clave de Contrato]],TblTiposContrato13[],3,FALSE)</f>
        <v>Completa</v>
      </c>
      <c r="CM107" s="325" t="str">
        <f>+VLOOKUP(DATOS_[[#This Row],[Clave de Contrato]],TblTiposContrato13[],4,FALSE)</f>
        <v>Indefinido</v>
      </c>
      <c r="CN107" s="325" t="str">
        <f>VLOOKUP(DATOS_[[#This Row],[Edad]],CONTRATOS!TblRngEdad,2,TRUE)</f>
        <v>30 a 35</v>
      </c>
      <c r="CO107" s="325" t="str">
        <f>VLOOKUP(DATOS_[[#This Row],[Antigüedad]],TblRngAntg14[],2,TRUE)</f>
        <v>de 10 a 15  años</v>
      </c>
    </row>
    <row r="108" spans="2:93" x14ac:dyDescent="0.25">
      <c r="B108" s="146">
        <v>95</v>
      </c>
      <c r="C108" s="146" t="s">
        <v>162</v>
      </c>
      <c r="D108" s="295">
        <v>31755</v>
      </c>
      <c r="E108" s="296" t="s">
        <v>428</v>
      </c>
      <c r="F108" s="296">
        <v>3</v>
      </c>
      <c r="G108" s="296">
        <v>0</v>
      </c>
      <c r="H108" s="297">
        <v>40802</v>
      </c>
      <c r="I108" s="298"/>
      <c r="J108" s="295">
        <v>40802</v>
      </c>
      <c r="K108" s="326"/>
      <c r="L108" s="326"/>
      <c r="M108" s="299">
        <v>1</v>
      </c>
      <c r="N108" s="299"/>
      <c r="O108" s="299"/>
      <c r="P108" s="296">
        <v>100</v>
      </c>
      <c r="Q108" s="146" t="s">
        <v>431</v>
      </c>
      <c r="R108" s="146" t="s">
        <v>419</v>
      </c>
      <c r="S108" s="146" t="s">
        <v>429</v>
      </c>
      <c r="T108" s="146" t="s">
        <v>432</v>
      </c>
      <c r="U108" s="146" t="s">
        <v>400</v>
      </c>
      <c r="V108" s="146" t="s">
        <v>126</v>
      </c>
      <c r="W108" s="146" t="s">
        <v>300</v>
      </c>
      <c r="X108" s="146" t="s">
        <v>309</v>
      </c>
      <c r="Y108" s="146" t="s">
        <v>409</v>
      </c>
      <c r="Z108" s="293"/>
      <c r="AA108" s="294" t="s">
        <v>430</v>
      </c>
      <c r="AB108" s="294">
        <v>5</v>
      </c>
      <c r="AC108" s="296">
        <v>6</v>
      </c>
      <c r="AD108" s="301">
        <v>15372.42</v>
      </c>
      <c r="AE108" s="301">
        <v>1627.58</v>
      </c>
      <c r="AF108" s="301">
        <v>1229.7936</v>
      </c>
      <c r="AG108" s="301"/>
      <c r="AH108" s="301"/>
      <c r="AI108" s="301"/>
      <c r="AJ108" s="301"/>
      <c r="AK108" s="301">
        <v>80</v>
      </c>
      <c r="AL108" s="301">
        <f>+DATOS_[[#This Row],[S.BASE]]*$AL$1</f>
        <v>6148.9680000000008</v>
      </c>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2"/>
      <c r="BN108" s="291">
        <f>+MAX($D$3,DATOS_[[#This Row],[Fecha Inicio Sit. Contract.]])</f>
        <v>45292</v>
      </c>
      <c r="BO108" s="291">
        <f>+MIN($D$4,DATOS_[[#This Row],[Fecha Fin Sit. Contract.]])</f>
        <v>45657</v>
      </c>
      <c r="BP108" s="292">
        <f>+DATOS_[[#This Row],[% de jornada]]*IF(DATOS_[[#This Row],[% jornada reducida]]="",1,DATOS_[[#This Row],[% jornada reducida]])</f>
        <v>1</v>
      </c>
      <c r="BQ108" s="292">
        <f>+(DATOS_[[#This Row],[F.fin.cal]]-DATOS_[[#This Row],[F.ini.cal]]+1)/($D$4-$D$3+1)</f>
        <v>1</v>
      </c>
      <c r="BR108" s="322" t="str">
        <f>IF(OR(AND(DATOS_[[#This Row],[Fecha Fin Contrato]]&lt;$D$3,DATOS_[[#This Row],[Fecha Fin Contrato]]&lt;&gt;""),DATOS_[[#This Row],[Fecha de Contratación]]&gt;$D$4),"Fuera","Dentro")</f>
        <v>Dentro</v>
      </c>
      <c r="BS108" s="322" t="str">
        <f t="array" ref="BS108">IF(MAX(IF(DATOS_[id]=DATOS_[[#This Row],[id]],DATOS_[F.fin.cal]))=DATOS_[[#This Row],[F.fin.cal]],"Sí","NO")</f>
        <v>Sí</v>
      </c>
      <c r="BT108" s="292" t="str">
        <f>IF(AND(DATOS_[[#This Row],[% normaliz]]&lt;&gt;1,DATOS_[[#This Row],[% anualiz]]=1),"Sí","NO")</f>
        <v>NO</v>
      </c>
      <c r="BU108" s="292" t="str">
        <f>IF(AND(DATOS_[[#This Row],[% normaliz]]=1,DATOS_[[#This Row],[% anualiz]]&lt;&gt;1),"Sí","NO")</f>
        <v>NO</v>
      </c>
      <c r="BV108" s="292" t="str">
        <f>IF(AND(DATOS_[[#This Row],[% normaliz]]&lt;&gt;1,DATOS_[[#This Row],[% anualiz]]&lt;&gt;1),"Sí","NO")</f>
        <v>NO</v>
      </c>
      <c r="BW108" s="322" t="str">
        <f>+IF(DATOS_[[#This Row],[% normaliz]]*DATOS_[[#This Row],[% anualiz]]=1,"NO","Sí")</f>
        <v>NO</v>
      </c>
      <c r="BX108" s="323">
        <f>(DATOS_[[#This Row],[S.BASE]]*(1/DATOS_[[#This Row],[% normaliz]])*(1/DATOS_[[#This Row],[% anualiz]]))*IF(DATOS_[[#This Row],[Check Equiparado]]="Sí",1,0)</f>
        <v>15372.42</v>
      </c>
      <c r="BY10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8" s="323">
        <f>+DATOS_[[#This Row],[SALARIO BASE Eq]]+DATOS_[[#This Row],[Tot COMPL.SAL Eq]]</f>
        <v>24458.761599999998</v>
      </c>
      <c r="CA108" s="323">
        <f t="array" ref="CA10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8" s="323">
        <f>+DATOS_[[#This Row],[TOTAL SALARIO Eq]]+DATOS_[[#This Row],[Tot Extrasalarial Eq]]</f>
        <v>24458.761599999998</v>
      </c>
      <c r="CC108" s="327">
        <f>DATOS_[[#This Row],[S.BASE]]</f>
        <v>15372.42</v>
      </c>
      <c r="CD108" s="324">
        <f>+SUM(DATOS_[[#This Row],[Conc.Sal.01]:[Conc.Sal.30]])</f>
        <v>9086.3415999999997</v>
      </c>
      <c r="CE108" s="324">
        <f>+DATOS_[[#This Row],[SALARIO BASE Ef]]+DATOS_[[#This Row],[Tot COMPL.SAL Ef]]</f>
        <v>24458.761599999998</v>
      </c>
      <c r="CF108" s="324">
        <f>+SUM(DATOS_[[#This Row],[C.Extra.01]:[C.Extra.05]])</f>
        <v>0</v>
      </c>
      <c r="CG108" s="330">
        <f>+DATOS_[[#This Row],[TOTAL SALARIO Ef]]+DATOS_[[#This Row],[Tot Extrasalarial Ef]]</f>
        <v>24458.761599999998</v>
      </c>
      <c r="CH108" s="303">
        <f>MIN(IF(DATOS_[[#This Row],[Fecha Fin Contrato]]="",$D$4,DATOS_[[#This Row],[Fecha Fin Contrato]]),$D$4)-MAX(DATOS_[[#This Row],[Fecha de Contratación]],$D$3)+1</f>
        <v>366</v>
      </c>
      <c r="CI108" s="304" t="str">
        <f>IF(COUNTIFS(DATOS_[id],DATOS_[[#This Row],[id]])&gt;1,DATOS_[[#This Row],[id]],"")</f>
        <v/>
      </c>
      <c r="CJ108" s="325">
        <f>(Inicio!$G$10-DATOS_[[#This Row],[Fecha Nacimiento]])/365.25</f>
        <v>38.061601642710471</v>
      </c>
      <c r="CK108" s="325">
        <f>(Inicio!$G$10-DATOS_[[#This Row],[Fecha de Antigüedad]])/365.25</f>
        <v>13.292265571526352</v>
      </c>
      <c r="CL108" s="325" t="str">
        <f>+VLOOKUP(DATOS_[[#This Row],[Clave de Contrato]],TblTiposContrato13[],3,FALSE)</f>
        <v>Completa</v>
      </c>
      <c r="CM108" s="325" t="str">
        <f>+VLOOKUP(DATOS_[[#This Row],[Clave de Contrato]],TblTiposContrato13[],4,FALSE)</f>
        <v>Indefinido</v>
      </c>
      <c r="CN108" s="325" t="str">
        <f>VLOOKUP(DATOS_[[#This Row],[Edad]],CONTRATOS!TblRngEdad,2,TRUE)</f>
        <v>35 a 40</v>
      </c>
      <c r="CO108" s="325" t="str">
        <f>VLOOKUP(DATOS_[[#This Row],[Antigüedad]],TblRngAntg14[],2,TRUE)</f>
        <v>de 10 a 15  años</v>
      </c>
    </row>
    <row r="109" spans="2:93" x14ac:dyDescent="0.25">
      <c r="B109" s="146">
        <v>96</v>
      </c>
      <c r="C109" s="146" t="s">
        <v>162</v>
      </c>
      <c r="D109" s="295">
        <v>31025</v>
      </c>
      <c r="E109" s="296" t="s">
        <v>428</v>
      </c>
      <c r="F109" s="296">
        <v>3</v>
      </c>
      <c r="G109" s="296">
        <v>0</v>
      </c>
      <c r="H109" s="297">
        <v>40948</v>
      </c>
      <c r="I109" s="298"/>
      <c r="J109" s="295">
        <v>40948</v>
      </c>
      <c r="K109" s="326"/>
      <c r="L109" s="326"/>
      <c r="M109" s="299">
        <v>1</v>
      </c>
      <c r="N109" s="299"/>
      <c r="O109" s="299"/>
      <c r="P109" s="296">
        <v>100</v>
      </c>
      <c r="Q109" s="146" t="s">
        <v>412</v>
      </c>
      <c r="R109" s="146" t="s">
        <v>417</v>
      </c>
      <c r="S109" s="146" t="s">
        <v>429</v>
      </c>
      <c r="T109" s="146" t="s">
        <v>432</v>
      </c>
      <c r="U109" s="146" t="s">
        <v>400</v>
      </c>
      <c r="V109" s="146" t="s">
        <v>126</v>
      </c>
      <c r="W109" s="146" t="s">
        <v>300</v>
      </c>
      <c r="X109" s="146" t="s">
        <v>309</v>
      </c>
      <c r="Y109" s="146" t="s">
        <v>409</v>
      </c>
      <c r="Z109" s="293"/>
      <c r="AA109" s="294" t="s">
        <v>430</v>
      </c>
      <c r="AB109" s="294">
        <v>5</v>
      </c>
      <c r="AC109" s="296">
        <v>6</v>
      </c>
      <c r="AD109" s="301">
        <v>15372.42</v>
      </c>
      <c r="AE109" s="301">
        <v>1627.58</v>
      </c>
      <c r="AF109" s="301">
        <v>614.89679999999998</v>
      </c>
      <c r="AG109" s="301"/>
      <c r="AH109" s="301"/>
      <c r="AI109" s="301"/>
      <c r="AJ109" s="301"/>
      <c r="AK109" s="301">
        <v>80</v>
      </c>
      <c r="AL109" s="301">
        <f>+DATOS_[[#This Row],[S.BASE]]*$AL$1</f>
        <v>6148.9680000000008</v>
      </c>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2"/>
      <c r="BN109" s="291">
        <f>+MAX($D$3,DATOS_[[#This Row],[Fecha Inicio Sit. Contract.]])</f>
        <v>45292</v>
      </c>
      <c r="BO109" s="291">
        <f>+MIN($D$4,DATOS_[[#This Row],[Fecha Fin Sit. Contract.]])</f>
        <v>45657</v>
      </c>
      <c r="BP109" s="292">
        <f>+DATOS_[[#This Row],[% de jornada]]*IF(DATOS_[[#This Row],[% jornada reducida]]="",1,DATOS_[[#This Row],[% jornada reducida]])</f>
        <v>1</v>
      </c>
      <c r="BQ109" s="292">
        <f>+(DATOS_[[#This Row],[F.fin.cal]]-DATOS_[[#This Row],[F.ini.cal]]+1)/($D$4-$D$3+1)</f>
        <v>1</v>
      </c>
      <c r="BR109" s="322" t="str">
        <f>IF(OR(AND(DATOS_[[#This Row],[Fecha Fin Contrato]]&lt;$D$3,DATOS_[[#This Row],[Fecha Fin Contrato]]&lt;&gt;""),DATOS_[[#This Row],[Fecha de Contratación]]&gt;$D$4),"Fuera","Dentro")</f>
        <v>Dentro</v>
      </c>
      <c r="BS109" s="322" t="str">
        <f t="array" ref="BS109">IF(MAX(IF(DATOS_[id]=DATOS_[[#This Row],[id]],DATOS_[F.fin.cal]))=DATOS_[[#This Row],[F.fin.cal]],"Sí","NO")</f>
        <v>Sí</v>
      </c>
      <c r="BT109" s="292" t="str">
        <f>IF(AND(DATOS_[[#This Row],[% normaliz]]&lt;&gt;1,DATOS_[[#This Row],[% anualiz]]=1),"Sí","NO")</f>
        <v>NO</v>
      </c>
      <c r="BU109" s="292" t="str">
        <f>IF(AND(DATOS_[[#This Row],[% normaliz]]=1,DATOS_[[#This Row],[% anualiz]]&lt;&gt;1),"Sí","NO")</f>
        <v>NO</v>
      </c>
      <c r="BV109" s="292" t="str">
        <f>IF(AND(DATOS_[[#This Row],[% normaliz]]&lt;&gt;1,DATOS_[[#This Row],[% anualiz]]&lt;&gt;1),"Sí","NO")</f>
        <v>NO</v>
      </c>
      <c r="BW109" s="322" t="str">
        <f>+IF(DATOS_[[#This Row],[% normaliz]]*DATOS_[[#This Row],[% anualiz]]=1,"NO","Sí")</f>
        <v>NO</v>
      </c>
      <c r="BX109" s="323">
        <f>(DATOS_[[#This Row],[S.BASE]]*(1/DATOS_[[#This Row],[% normaliz]])*(1/DATOS_[[#This Row],[% anualiz]]))*IF(DATOS_[[#This Row],[Check Equiparado]]="Sí",1,0)</f>
        <v>15372.42</v>
      </c>
      <c r="BY10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09" s="323">
        <f>+DATOS_[[#This Row],[SALARIO BASE Eq]]+DATOS_[[#This Row],[Tot COMPL.SAL Eq]]</f>
        <v>23843.864800000003</v>
      </c>
      <c r="CA109" s="323">
        <f t="array" ref="CA10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9" s="323">
        <f>+DATOS_[[#This Row],[TOTAL SALARIO Eq]]+DATOS_[[#This Row],[Tot Extrasalarial Eq]]</f>
        <v>23843.864800000003</v>
      </c>
      <c r="CC109" s="327">
        <f>DATOS_[[#This Row],[S.BASE]]</f>
        <v>15372.42</v>
      </c>
      <c r="CD109" s="324">
        <f>+SUM(DATOS_[[#This Row],[Conc.Sal.01]:[Conc.Sal.30]])</f>
        <v>8471.4448000000011</v>
      </c>
      <c r="CE109" s="324">
        <f>+DATOS_[[#This Row],[SALARIO BASE Ef]]+DATOS_[[#This Row],[Tot COMPL.SAL Ef]]</f>
        <v>23843.864800000003</v>
      </c>
      <c r="CF109" s="324">
        <f>+SUM(DATOS_[[#This Row],[C.Extra.01]:[C.Extra.05]])</f>
        <v>0</v>
      </c>
      <c r="CG109" s="330">
        <f>+DATOS_[[#This Row],[TOTAL SALARIO Ef]]+DATOS_[[#This Row],[Tot Extrasalarial Ef]]</f>
        <v>23843.864800000003</v>
      </c>
      <c r="CH109" s="303">
        <f>MIN(IF(DATOS_[[#This Row],[Fecha Fin Contrato]]="",$D$4,DATOS_[[#This Row],[Fecha Fin Contrato]]),$D$4)-MAX(DATOS_[[#This Row],[Fecha de Contratación]],$D$3)+1</f>
        <v>366</v>
      </c>
      <c r="CI109" s="304" t="str">
        <f>IF(COUNTIFS(DATOS_[id],DATOS_[[#This Row],[id]])&gt;1,DATOS_[[#This Row],[id]],"")</f>
        <v/>
      </c>
      <c r="CJ109" s="325">
        <f>(Inicio!$G$10-DATOS_[[#This Row],[Fecha Nacimiento]])/365.25</f>
        <v>40.060232717316907</v>
      </c>
      <c r="CK109" s="325">
        <f>(Inicio!$G$10-DATOS_[[#This Row],[Fecha de Antigüedad]])/365.25</f>
        <v>12.892539356605065</v>
      </c>
      <c r="CL109" s="325" t="str">
        <f>+VLOOKUP(DATOS_[[#This Row],[Clave de Contrato]],TblTiposContrato13[],3,FALSE)</f>
        <v>Completa</v>
      </c>
      <c r="CM109" s="325" t="str">
        <f>+VLOOKUP(DATOS_[[#This Row],[Clave de Contrato]],TblTiposContrato13[],4,FALSE)</f>
        <v>Indefinido</v>
      </c>
      <c r="CN109" s="325" t="str">
        <f>VLOOKUP(DATOS_[[#This Row],[Edad]],CONTRATOS!TblRngEdad,2,TRUE)</f>
        <v>40 a 45</v>
      </c>
      <c r="CO109" s="325" t="str">
        <f>VLOOKUP(DATOS_[[#This Row],[Antigüedad]],TblRngAntg14[],2,TRUE)</f>
        <v>de 10 a 15  años</v>
      </c>
    </row>
    <row r="110" spans="2:93" x14ac:dyDescent="0.25">
      <c r="B110" s="146">
        <v>97</v>
      </c>
      <c r="C110" s="146" t="s">
        <v>162</v>
      </c>
      <c r="D110" s="295">
        <v>35770</v>
      </c>
      <c r="E110" s="296" t="s">
        <v>428</v>
      </c>
      <c r="F110" s="296">
        <v>3</v>
      </c>
      <c r="G110" s="296">
        <v>0</v>
      </c>
      <c r="H110" s="297">
        <v>40948</v>
      </c>
      <c r="I110" s="298"/>
      <c r="J110" s="295">
        <v>40948</v>
      </c>
      <c r="K110" s="326"/>
      <c r="L110" s="326"/>
      <c r="M110" s="299">
        <v>1</v>
      </c>
      <c r="N110" s="299"/>
      <c r="O110" s="299"/>
      <c r="P110" s="296">
        <v>100</v>
      </c>
      <c r="Q110" s="146" t="s">
        <v>412</v>
      </c>
      <c r="R110" s="146" t="s">
        <v>417</v>
      </c>
      <c r="S110" s="146" t="s">
        <v>429</v>
      </c>
      <c r="T110" s="146" t="s">
        <v>432</v>
      </c>
      <c r="U110" s="146" t="s">
        <v>400</v>
      </c>
      <c r="V110" s="146" t="s">
        <v>126</v>
      </c>
      <c r="W110" s="146" t="s">
        <v>300</v>
      </c>
      <c r="X110" s="146" t="s">
        <v>309</v>
      </c>
      <c r="Y110" s="146" t="s">
        <v>409</v>
      </c>
      <c r="Z110" s="293"/>
      <c r="AA110" s="294" t="s">
        <v>430</v>
      </c>
      <c r="AB110" s="294">
        <v>5</v>
      </c>
      <c r="AC110" s="296">
        <v>6</v>
      </c>
      <c r="AD110" s="301">
        <v>15372.42</v>
      </c>
      <c r="AE110" s="301">
        <v>1627.58</v>
      </c>
      <c r="AF110" s="301">
        <v>614.89679999999998</v>
      </c>
      <c r="AG110" s="301"/>
      <c r="AH110" s="301"/>
      <c r="AI110" s="301"/>
      <c r="AJ110" s="301"/>
      <c r="AK110" s="301">
        <v>80</v>
      </c>
      <c r="AL110" s="301">
        <f>+DATOS_[[#This Row],[S.BASE]]*$AL$1</f>
        <v>6148.9680000000008</v>
      </c>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2"/>
      <c r="BN110" s="291">
        <f>+MAX($D$3,DATOS_[[#This Row],[Fecha Inicio Sit. Contract.]])</f>
        <v>45292</v>
      </c>
      <c r="BO110" s="291">
        <f>+MIN($D$4,DATOS_[[#This Row],[Fecha Fin Sit. Contract.]])</f>
        <v>45657</v>
      </c>
      <c r="BP110" s="292">
        <f>+DATOS_[[#This Row],[% de jornada]]*IF(DATOS_[[#This Row],[% jornada reducida]]="",1,DATOS_[[#This Row],[% jornada reducida]])</f>
        <v>1</v>
      </c>
      <c r="BQ110" s="292">
        <f>+(DATOS_[[#This Row],[F.fin.cal]]-DATOS_[[#This Row],[F.ini.cal]]+1)/($D$4-$D$3+1)</f>
        <v>1</v>
      </c>
      <c r="BR110" s="322" t="str">
        <f>IF(OR(AND(DATOS_[[#This Row],[Fecha Fin Contrato]]&lt;$D$3,DATOS_[[#This Row],[Fecha Fin Contrato]]&lt;&gt;""),DATOS_[[#This Row],[Fecha de Contratación]]&gt;$D$4),"Fuera","Dentro")</f>
        <v>Dentro</v>
      </c>
      <c r="BS110" s="322" t="str">
        <f t="array" ref="BS110">IF(MAX(IF(DATOS_[id]=DATOS_[[#This Row],[id]],DATOS_[F.fin.cal]))=DATOS_[[#This Row],[F.fin.cal]],"Sí","NO")</f>
        <v>Sí</v>
      </c>
      <c r="BT110" s="292" t="str">
        <f>IF(AND(DATOS_[[#This Row],[% normaliz]]&lt;&gt;1,DATOS_[[#This Row],[% anualiz]]=1),"Sí","NO")</f>
        <v>NO</v>
      </c>
      <c r="BU110" s="292" t="str">
        <f>IF(AND(DATOS_[[#This Row],[% normaliz]]=1,DATOS_[[#This Row],[% anualiz]]&lt;&gt;1),"Sí","NO")</f>
        <v>NO</v>
      </c>
      <c r="BV110" s="292" t="str">
        <f>IF(AND(DATOS_[[#This Row],[% normaliz]]&lt;&gt;1,DATOS_[[#This Row],[% anualiz]]&lt;&gt;1),"Sí","NO")</f>
        <v>NO</v>
      </c>
      <c r="BW110" s="322" t="str">
        <f>+IF(DATOS_[[#This Row],[% normaliz]]*DATOS_[[#This Row],[% anualiz]]=1,"NO","Sí")</f>
        <v>NO</v>
      </c>
      <c r="BX110" s="323">
        <f>(DATOS_[[#This Row],[S.BASE]]*(1/DATOS_[[#This Row],[% normaliz]])*(1/DATOS_[[#This Row],[% anualiz]]))*IF(DATOS_[[#This Row],[Check Equiparado]]="Sí",1,0)</f>
        <v>15372.42</v>
      </c>
      <c r="BY11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0" s="323">
        <f>+DATOS_[[#This Row],[SALARIO BASE Eq]]+DATOS_[[#This Row],[Tot COMPL.SAL Eq]]</f>
        <v>23843.864800000003</v>
      </c>
      <c r="CA110" s="323">
        <f t="array" ref="CA1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0" s="323">
        <f>+DATOS_[[#This Row],[TOTAL SALARIO Eq]]+DATOS_[[#This Row],[Tot Extrasalarial Eq]]</f>
        <v>23843.864800000003</v>
      </c>
      <c r="CC110" s="327">
        <f>DATOS_[[#This Row],[S.BASE]]</f>
        <v>15372.42</v>
      </c>
      <c r="CD110" s="324">
        <f>+SUM(DATOS_[[#This Row],[Conc.Sal.01]:[Conc.Sal.30]])</f>
        <v>8471.4448000000011</v>
      </c>
      <c r="CE110" s="324">
        <f>+DATOS_[[#This Row],[SALARIO BASE Ef]]+DATOS_[[#This Row],[Tot COMPL.SAL Ef]]</f>
        <v>23843.864800000003</v>
      </c>
      <c r="CF110" s="324">
        <f>+SUM(DATOS_[[#This Row],[C.Extra.01]:[C.Extra.05]])</f>
        <v>0</v>
      </c>
      <c r="CG110" s="330">
        <f>+DATOS_[[#This Row],[TOTAL SALARIO Ef]]+DATOS_[[#This Row],[Tot Extrasalarial Ef]]</f>
        <v>23843.864800000003</v>
      </c>
      <c r="CH110" s="303">
        <f>MIN(IF(DATOS_[[#This Row],[Fecha Fin Contrato]]="",$D$4,DATOS_[[#This Row],[Fecha Fin Contrato]]),$D$4)-MAX(DATOS_[[#This Row],[Fecha de Contratación]],$D$3)+1</f>
        <v>366</v>
      </c>
      <c r="CI110" s="304" t="str">
        <f>IF(COUNTIFS(DATOS_[id],DATOS_[[#This Row],[id]])&gt;1,DATOS_[[#This Row],[id]],"")</f>
        <v/>
      </c>
      <c r="CJ110" s="325">
        <f>(Inicio!$G$10-DATOS_[[#This Row],[Fecha Nacimiento]])/365.25</f>
        <v>27.069130732375086</v>
      </c>
      <c r="CK110" s="325">
        <f>(Inicio!$G$10-DATOS_[[#This Row],[Fecha de Antigüedad]])/365.25</f>
        <v>12.892539356605065</v>
      </c>
      <c r="CL110" s="325" t="str">
        <f>+VLOOKUP(DATOS_[[#This Row],[Clave de Contrato]],TblTiposContrato13[],3,FALSE)</f>
        <v>Completa</v>
      </c>
      <c r="CM110" s="325" t="str">
        <f>+VLOOKUP(DATOS_[[#This Row],[Clave de Contrato]],TblTiposContrato13[],4,FALSE)</f>
        <v>Indefinido</v>
      </c>
      <c r="CN110" s="325" t="str">
        <f>VLOOKUP(DATOS_[[#This Row],[Edad]],CONTRATOS!TblRngEdad,2,TRUE)</f>
        <v>25 a 30</v>
      </c>
      <c r="CO110" s="325" t="str">
        <f>VLOOKUP(DATOS_[[#This Row],[Antigüedad]],TblRngAntg14[],2,TRUE)</f>
        <v>de 10 a 15  años</v>
      </c>
    </row>
    <row r="111" spans="2:93" x14ac:dyDescent="0.25">
      <c r="B111" s="146">
        <v>98</v>
      </c>
      <c r="C111" s="146" t="s">
        <v>162</v>
      </c>
      <c r="D111" s="295">
        <v>32485</v>
      </c>
      <c r="E111" s="296" t="s">
        <v>428</v>
      </c>
      <c r="F111" s="296">
        <v>3</v>
      </c>
      <c r="G111" s="296">
        <v>0</v>
      </c>
      <c r="H111" s="297">
        <v>40948</v>
      </c>
      <c r="I111" s="298"/>
      <c r="J111" s="295">
        <v>40948</v>
      </c>
      <c r="K111" s="326"/>
      <c r="L111" s="326"/>
      <c r="M111" s="299">
        <v>1</v>
      </c>
      <c r="N111" s="299"/>
      <c r="O111" s="299"/>
      <c r="P111" s="296">
        <v>100</v>
      </c>
      <c r="Q111" s="146" t="s">
        <v>431</v>
      </c>
      <c r="R111" s="146" t="s">
        <v>419</v>
      </c>
      <c r="S111" s="146" t="s">
        <v>429</v>
      </c>
      <c r="T111" s="146" t="s">
        <v>432</v>
      </c>
      <c r="U111" s="146" t="s">
        <v>400</v>
      </c>
      <c r="V111" s="146" t="s">
        <v>126</v>
      </c>
      <c r="W111" s="146" t="s">
        <v>300</v>
      </c>
      <c r="X111" s="146" t="s">
        <v>309</v>
      </c>
      <c r="Y111" s="146" t="s">
        <v>409</v>
      </c>
      <c r="Z111" s="293"/>
      <c r="AA111" s="294" t="s">
        <v>430</v>
      </c>
      <c r="AB111" s="294">
        <v>5</v>
      </c>
      <c r="AC111" s="296">
        <v>6</v>
      </c>
      <c r="AD111" s="301">
        <v>15372.42</v>
      </c>
      <c r="AE111" s="301">
        <v>1627.58</v>
      </c>
      <c r="AF111" s="301">
        <v>614.89679999999998</v>
      </c>
      <c r="AG111" s="301"/>
      <c r="AH111" s="301"/>
      <c r="AI111" s="301"/>
      <c r="AJ111" s="301"/>
      <c r="AK111" s="301">
        <v>80</v>
      </c>
      <c r="AL111" s="301">
        <f>+DATOS_[[#This Row],[S.BASE]]*$AL$1</f>
        <v>6148.9680000000008</v>
      </c>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2"/>
      <c r="BN111" s="291">
        <f>+MAX($D$3,DATOS_[[#This Row],[Fecha Inicio Sit. Contract.]])</f>
        <v>45292</v>
      </c>
      <c r="BO111" s="291">
        <f>+MIN($D$4,DATOS_[[#This Row],[Fecha Fin Sit. Contract.]])</f>
        <v>45657</v>
      </c>
      <c r="BP111" s="292">
        <f>+DATOS_[[#This Row],[% de jornada]]*IF(DATOS_[[#This Row],[% jornada reducida]]="",1,DATOS_[[#This Row],[% jornada reducida]])</f>
        <v>1</v>
      </c>
      <c r="BQ111" s="292">
        <f>+(DATOS_[[#This Row],[F.fin.cal]]-DATOS_[[#This Row],[F.ini.cal]]+1)/($D$4-$D$3+1)</f>
        <v>1</v>
      </c>
      <c r="BR111" s="322" t="str">
        <f>IF(OR(AND(DATOS_[[#This Row],[Fecha Fin Contrato]]&lt;$D$3,DATOS_[[#This Row],[Fecha Fin Contrato]]&lt;&gt;""),DATOS_[[#This Row],[Fecha de Contratación]]&gt;$D$4),"Fuera","Dentro")</f>
        <v>Dentro</v>
      </c>
      <c r="BS111" s="322" t="str">
        <f t="array" ref="BS111">IF(MAX(IF(DATOS_[id]=DATOS_[[#This Row],[id]],DATOS_[F.fin.cal]))=DATOS_[[#This Row],[F.fin.cal]],"Sí","NO")</f>
        <v>Sí</v>
      </c>
      <c r="BT111" s="292" t="str">
        <f>IF(AND(DATOS_[[#This Row],[% normaliz]]&lt;&gt;1,DATOS_[[#This Row],[% anualiz]]=1),"Sí","NO")</f>
        <v>NO</v>
      </c>
      <c r="BU111" s="292" t="str">
        <f>IF(AND(DATOS_[[#This Row],[% normaliz]]=1,DATOS_[[#This Row],[% anualiz]]&lt;&gt;1),"Sí","NO")</f>
        <v>NO</v>
      </c>
      <c r="BV111" s="292" t="str">
        <f>IF(AND(DATOS_[[#This Row],[% normaliz]]&lt;&gt;1,DATOS_[[#This Row],[% anualiz]]&lt;&gt;1),"Sí","NO")</f>
        <v>NO</v>
      </c>
      <c r="BW111" s="322" t="str">
        <f>+IF(DATOS_[[#This Row],[% normaliz]]*DATOS_[[#This Row],[% anualiz]]=1,"NO","Sí")</f>
        <v>NO</v>
      </c>
      <c r="BX111" s="323">
        <f>(DATOS_[[#This Row],[S.BASE]]*(1/DATOS_[[#This Row],[% normaliz]])*(1/DATOS_[[#This Row],[% anualiz]]))*IF(DATOS_[[#This Row],[Check Equiparado]]="Sí",1,0)</f>
        <v>15372.42</v>
      </c>
      <c r="BY11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1" s="323">
        <f>+DATOS_[[#This Row],[SALARIO BASE Eq]]+DATOS_[[#This Row],[Tot COMPL.SAL Eq]]</f>
        <v>23843.864800000003</v>
      </c>
      <c r="CA111" s="323">
        <f t="array" ref="CA1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1" s="323">
        <f>+DATOS_[[#This Row],[TOTAL SALARIO Eq]]+DATOS_[[#This Row],[Tot Extrasalarial Eq]]</f>
        <v>23843.864800000003</v>
      </c>
      <c r="CC111" s="327">
        <f>DATOS_[[#This Row],[S.BASE]]</f>
        <v>15372.42</v>
      </c>
      <c r="CD111" s="324">
        <f>+SUM(DATOS_[[#This Row],[Conc.Sal.01]:[Conc.Sal.30]])</f>
        <v>8471.4448000000011</v>
      </c>
      <c r="CE111" s="324">
        <f>+DATOS_[[#This Row],[SALARIO BASE Ef]]+DATOS_[[#This Row],[Tot COMPL.SAL Ef]]</f>
        <v>23843.864800000003</v>
      </c>
      <c r="CF111" s="324">
        <f>+SUM(DATOS_[[#This Row],[C.Extra.01]:[C.Extra.05]])</f>
        <v>0</v>
      </c>
      <c r="CG111" s="330">
        <f>+DATOS_[[#This Row],[TOTAL SALARIO Ef]]+DATOS_[[#This Row],[Tot Extrasalarial Ef]]</f>
        <v>23843.864800000003</v>
      </c>
      <c r="CH111" s="303">
        <f>MIN(IF(DATOS_[[#This Row],[Fecha Fin Contrato]]="",$D$4,DATOS_[[#This Row],[Fecha Fin Contrato]]),$D$4)-MAX(DATOS_[[#This Row],[Fecha de Contratación]],$D$3)+1</f>
        <v>366</v>
      </c>
      <c r="CI111" s="304" t="str">
        <f>IF(COUNTIFS(DATOS_[id],DATOS_[[#This Row],[id]])&gt;1,DATOS_[[#This Row],[id]],"")</f>
        <v/>
      </c>
      <c r="CJ111" s="325">
        <f>(Inicio!$G$10-DATOS_[[#This Row],[Fecha Nacimiento]])/365.25</f>
        <v>36.062970568104035</v>
      </c>
      <c r="CK111" s="325">
        <f>(Inicio!$G$10-DATOS_[[#This Row],[Fecha de Antigüedad]])/365.25</f>
        <v>12.892539356605065</v>
      </c>
      <c r="CL111" s="325" t="str">
        <f>+VLOOKUP(DATOS_[[#This Row],[Clave de Contrato]],TblTiposContrato13[],3,FALSE)</f>
        <v>Completa</v>
      </c>
      <c r="CM111" s="325" t="str">
        <f>+VLOOKUP(DATOS_[[#This Row],[Clave de Contrato]],TblTiposContrato13[],4,FALSE)</f>
        <v>Indefinido</v>
      </c>
      <c r="CN111" s="325" t="str">
        <f>VLOOKUP(DATOS_[[#This Row],[Edad]],CONTRATOS!TblRngEdad,2,TRUE)</f>
        <v>35 a 40</v>
      </c>
      <c r="CO111" s="325" t="str">
        <f>VLOOKUP(DATOS_[[#This Row],[Antigüedad]],TblRngAntg14[],2,TRUE)</f>
        <v>de 10 a 15  años</v>
      </c>
    </row>
    <row r="112" spans="2:93" x14ac:dyDescent="0.25">
      <c r="B112" s="146">
        <v>99</v>
      </c>
      <c r="C112" s="146" t="s">
        <v>162</v>
      </c>
      <c r="D112" s="295">
        <v>34310</v>
      </c>
      <c r="E112" s="296" t="s">
        <v>428</v>
      </c>
      <c r="F112" s="296">
        <v>3</v>
      </c>
      <c r="G112" s="296">
        <v>0</v>
      </c>
      <c r="H112" s="297">
        <v>40985</v>
      </c>
      <c r="I112" s="298"/>
      <c r="J112" s="295">
        <v>40985</v>
      </c>
      <c r="K112" s="326"/>
      <c r="L112" s="326"/>
      <c r="M112" s="299">
        <v>1</v>
      </c>
      <c r="N112" s="299"/>
      <c r="O112" s="299"/>
      <c r="P112" s="296">
        <v>100</v>
      </c>
      <c r="Q112" s="146" t="s">
        <v>412</v>
      </c>
      <c r="R112" s="146" t="s">
        <v>417</v>
      </c>
      <c r="S112" s="146" t="s">
        <v>429</v>
      </c>
      <c r="T112" s="146" t="s">
        <v>432</v>
      </c>
      <c r="U112" s="146" t="s">
        <v>399</v>
      </c>
      <c r="V112" s="146" t="s">
        <v>126</v>
      </c>
      <c r="W112" s="146" t="s">
        <v>300</v>
      </c>
      <c r="X112" s="146" t="s">
        <v>309</v>
      </c>
      <c r="Y112" s="146" t="s">
        <v>409</v>
      </c>
      <c r="Z112" s="293"/>
      <c r="AA112" s="294" t="s">
        <v>430</v>
      </c>
      <c r="AB112" s="294">
        <v>5</v>
      </c>
      <c r="AC112" s="296">
        <v>6</v>
      </c>
      <c r="AD112" s="301">
        <v>15372.42</v>
      </c>
      <c r="AE112" s="301">
        <v>1627.58</v>
      </c>
      <c r="AF112" s="301">
        <v>614.89679999999998</v>
      </c>
      <c r="AG112" s="301"/>
      <c r="AH112" s="301"/>
      <c r="AI112" s="301"/>
      <c r="AJ112" s="301"/>
      <c r="AK112" s="301">
        <v>80</v>
      </c>
      <c r="AL112" s="301">
        <f>+DATOS_[[#This Row],[S.BASE]]*$AL$1</f>
        <v>6148.9680000000008</v>
      </c>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2"/>
      <c r="BN112" s="291">
        <f>+MAX($D$3,DATOS_[[#This Row],[Fecha Inicio Sit. Contract.]])</f>
        <v>45292</v>
      </c>
      <c r="BO112" s="291">
        <f>+MIN($D$4,DATOS_[[#This Row],[Fecha Fin Sit. Contract.]])</f>
        <v>45657</v>
      </c>
      <c r="BP112" s="292">
        <f>+DATOS_[[#This Row],[% de jornada]]*IF(DATOS_[[#This Row],[% jornada reducida]]="",1,DATOS_[[#This Row],[% jornada reducida]])</f>
        <v>1</v>
      </c>
      <c r="BQ112" s="292">
        <f>+(DATOS_[[#This Row],[F.fin.cal]]-DATOS_[[#This Row],[F.ini.cal]]+1)/($D$4-$D$3+1)</f>
        <v>1</v>
      </c>
      <c r="BR112" s="322" t="str">
        <f>IF(OR(AND(DATOS_[[#This Row],[Fecha Fin Contrato]]&lt;$D$3,DATOS_[[#This Row],[Fecha Fin Contrato]]&lt;&gt;""),DATOS_[[#This Row],[Fecha de Contratación]]&gt;$D$4),"Fuera","Dentro")</f>
        <v>Dentro</v>
      </c>
      <c r="BS112" s="322" t="str">
        <f t="array" ref="BS112">IF(MAX(IF(DATOS_[id]=DATOS_[[#This Row],[id]],DATOS_[F.fin.cal]))=DATOS_[[#This Row],[F.fin.cal]],"Sí","NO")</f>
        <v>Sí</v>
      </c>
      <c r="BT112" s="292" t="str">
        <f>IF(AND(DATOS_[[#This Row],[% normaliz]]&lt;&gt;1,DATOS_[[#This Row],[% anualiz]]=1),"Sí","NO")</f>
        <v>NO</v>
      </c>
      <c r="BU112" s="292" t="str">
        <f>IF(AND(DATOS_[[#This Row],[% normaliz]]=1,DATOS_[[#This Row],[% anualiz]]&lt;&gt;1),"Sí","NO")</f>
        <v>NO</v>
      </c>
      <c r="BV112" s="292" t="str">
        <f>IF(AND(DATOS_[[#This Row],[% normaliz]]&lt;&gt;1,DATOS_[[#This Row],[% anualiz]]&lt;&gt;1),"Sí","NO")</f>
        <v>NO</v>
      </c>
      <c r="BW112" s="322" t="str">
        <f>+IF(DATOS_[[#This Row],[% normaliz]]*DATOS_[[#This Row],[% anualiz]]=1,"NO","Sí")</f>
        <v>NO</v>
      </c>
      <c r="BX112" s="323">
        <f>(DATOS_[[#This Row],[S.BASE]]*(1/DATOS_[[#This Row],[% normaliz]])*(1/DATOS_[[#This Row],[% anualiz]]))*IF(DATOS_[[#This Row],[Check Equiparado]]="Sí",1,0)</f>
        <v>15372.42</v>
      </c>
      <c r="BY11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2" s="323">
        <f>+DATOS_[[#This Row],[SALARIO BASE Eq]]+DATOS_[[#This Row],[Tot COMPL.SAL Eq]]</f>
        <v>23843.864800000003</v>
      </c>
      <c r="CA112" s="323">
        <f t="array" ref="CA1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2" s="323">
        <f>+DATOS_[[#This Row],[TOTAL SALARIO Eq]]+DATOS_[[#This Row],[Tot Extrasalarial Eq]]</f>
        <v>23843.864800000003</v>
      </c>
      <c r="CC112" s="327">
        <f>DATOS_[[#This Row],[S.BASE]]</f>
        <v>15372.42</v>
      </c>
      <c r="CD112" s="324">
        <f>+SUM(DATOS_[[#This Row],[Conc.Sal.01]:[Conc.Sal.30]])</f>
        <v>8471.4448000000011</v>
      </c>
      <c r="CE112" s="324">
        <f>+DATOS_[[#This Row],[SALARIO BASE Ef]]+DATOS_[[#This Row],[Tot COMPL.SAL Ef]]</f>
        <v>23843.864800000003</v>
      </c>
      <c r="CF112" s="324">
        <f>+SUM(DATOS_[[#This Row],[C.Extra.01]:[C.Extra.05]])</f>
        <v>0</v>
      </c>
      <c r="CG112" s="330">
        <f>+DATOS_[[#This Row],[TOTAL SALARIO Ef]]+DATOS_[[#This Row],[Tot Extrasalarial Ef]]</f>
        <v>23843.864800000003</v>
      </c>
      <c r="CH112" s="303">
        <f>MIN(IF(DATOS_[[#This Row],[Fecha Fin Contrato]]="",$D$4,DATOS_[[#This Row],[Fecha Fin Contrato]]),$D$4)-MAX(DATOS_[[#This Row],[Fecha de Contratación]],$D$3)+1</f>
        <v>366</v>
      </c>
      <c r="CI112" s="304" t="str">
        <f>IF(COUNTIFS(DATOS_[id],DATOS_[[#This Row],[id]])&gt;1,DATOS_[[#This Row],[id]],"")</f>
        <v/>
      </c>
      <c r="CJ112" s="325">
        <f>(Inicio!$G$10-DATOS_[[#This Row],[Fecha Nacimiento]])/365.25</f>
        <v>31.066392881587955</v>
      </c>
      <c r="CK112" s="325">
        <f>(Inicio!$G$10-DATOS_[[#This Row],[Fecha de Antigüedad]])/365.25</f>
        <v>12.791238877481177</v>
      </c>
      <c r="CL112" s="325" t="str">
        <f>+VLOOKUP(DATOS_[[#This Row],[Clave de Contrato]],TblTiposContrato13[],3,FALSE)</f>
        <v>Completa</v>
      </c>
      <c r="CM112" s="325" t="str">
        <f>+VLOOKUP(DATOS_[[#This Row],[Clave de Contrato]],TblTiposContrato13[],4,FALSE)</f>
        <v>Indefinido</v>
      </c>
      <c r="CN112" s="325" t="str">
        <f>VLOOKUP(DATOS_[[#This Row],[Edad]],CONTRATOS!TblRngEdad,2,TRUE)</f>
        <v>30 a 35</v>
      </c>
      <c r="CO112" s="325" t="str">
        <f>VLOOKUP(DATOS_[[#This Row],[Antigüedad]],TblRngAntg14[],2,TRUE)</f>
        <v>de 10 a 15  años</v>
      </c>
    </row>
    <row r="113" spans="2:93" x14ac:dyDescent="0.25">
      <c r="B113" s="146">
        <v>100</v>
      </c>
      <c r="C113" s="146" t="s">
        <v>162</v>
      </c>
      <c r="D113" s="295">
        <v>27010</v>
      </c>
      <c r="E113" s="296" t="s">
        <v>428</v>
      </c>
      <c r="F113" s="296">
        <v>3</v>
      </c>
      <c r="G113" s="296">
        <v>0</v>
      </c>
      <c r="H113" s="297">
        <v>41021</v>
      </c>
      <c r="I113" s="298"/>
      <c r="J113" s="295">
        <v>41021</v>
      </c>
      <c r="K113" s="326"/>
      <c r="L113" s="326"/>
      <c r="M113" s="299">
        <v>1</v>
      </c>
      <c r="N113" s="299"/>
      <c r="O113" s="299"/>
      <c r="P113" s="296">
        <v>100</v>
      </c>
      <c r="Q113" s="146" t="s">
        <v>412</v>
      </c>
      <c r="R113" s="146" t="s">
        <v>417</v>
      </c>
      <c r="S113" s="146" t="s">
        <v>429</v>
      </c>
      <c r="T113" s="146" t="s">
        <v>432</v>
      </c>
      <c r="U113" s="146" t="s">
        <v>399</v>
      </c>
      <c r="V113" s="146" t="s">
        <v>126</v>
      </c>
      <c r="W113" s="146" t="s">
        <v>300</v>
      </c>
      <c r="X113" s="146" t="s">
        <v>309</v>
      </c>
      <c r="Y113" s="146" t="s">
        <v>409</v>
      </c>
      <c r="Z113" s="293"/>
      <c r="AA113" s="294" t="s">
        <v>430</v>
      </c>
      <c r="AB113" s="294">
        <v>5</v>
      </c>
      <c r="AC113" s="296">
        <v>6</v>
      </c>
      <c r="AD113" s="301">
        <v>15372.42</v>
      </c>
      <c r="AE113" s="301">
        <v>1627.58</v>
      </c>
      <c r="AF113" s="301">
        <v>614.89679999999998</v>
      </c>
      <c r="AG113" s="301"/>
      <c r="AH113" s="301"/>
      <c r="AI113" s="301"/>
      <c r="AJ113" s="301"/>
      <c r="AK113" s="301">
        <v>80</v>
      </c>
      <c r="AL113" s="301">
        <f>+DATOS_[[#This Row],[S.BASE]]*$AL$1</f>
        <v>6148.9680000000008</v>
      </c>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2"/>
      <c r="BN113" s="291">
        <f>+MAX($D$3,DATOS_[[#This Row],[Fecha Inicio Sit. Contract.]])</f>
        <v>45292</v>
      </c>
      <c r="BO113" s="291">
        <f>+MIN($D$4,DATOS_[[#This Row],[Fecha Fin Sit. Contract.]])</f>
        <v>45657</v>
      </c>
      <c r="BP113" s="292">
        <f>+DATOS_[[#This Row],[% de jornada]]*IF(DATOS_[[#This Row],[% jornada reducida]]="",1,DATOS_[[#This Row],[% jornada reducida]])</f>
        <v>1</v>
      </c>
      <c r="BQ113" s="292">
        <f>+(DATOS_[[#This Row],[F.fin.cal]]-DATOS_[[#This Row],[F.ini.cal]]+1)/($D$4-$D$3+1)</f>
        <v>1</v>
      </c>
      <c r="BR113" s="322" t="str">
        <f>IF(OR(AND(DATOS_[[#This Row],[Fecha Fin Contrato]]&lt;$D$3,DATOS_[[#This Row],[Fecha Fin Contrato]]&lt;&gt;""),DATOS_[[#This Row],[Fecha de Contratación]]&gt;$D$4),"Fuera","Dentro")</f>
        <v>Dentro</v>
      </c>
      <c r="BS113" s="322" t="str">
        <f t="array" ref="BS113">IF(MAX(IF(DATOS_[id]=DATOS_[[#This Row],[id]],DATOS_[F.fin.cal]))=DATOS_[[#This Row],[F.fin.cal]],"Sí","NO")</f>
        <v>Sí</v>
      </c>
      <c r="BT113" s="292" t="str">
        <f>IF(AND(DATOS_[[#This Row],[% normaliz]]&lt;&gt;1,DATOS_[[#This Row],[% anualiz]]=1),"Sí","NO")</f>
        <v>NO</v>
      </c>
      <c r="BU113" s="292" t="str">
        <f>IF(AND(DATOS_[[#This Row],[% normaliz]]=1,DATOS_[[#This Row],[% anualiz]]&lt;&gt;1),"Sí","NO")</f>
        <v>NO</v>
      </c>
      <c r="BV113" s="292" t="str">
        <f>IF(AND(DATOS_[[#This Row],[% normaliz]]&lt;&gt;1,DATOS_[[#This Row],[% anualiz]]&lt;&gt;1),"Sí","NO")</f>
        <v>NO</v>
      </c>
      <c r="BW113" s="322" t="str">
        <f>+IF(DATOS_[[#This Row],[% normaliz]]*DATOS_[[#This Row],[% anualiz]]=1,"NO","Sí")</f>
        <v>NO</v>
      </c>
      <c r="BX113" s="323">
        <f>(DATOS_[[#This Row],[S.BASE]]*(1/DATOS_[[#This Row],[% normaliz]])*(1/DATOS_[[#This Row],[% anualiz]]))*IF(DATOS_[[#This Row],[Check Equiparado]]="Sí",1,0)</f>
        <v>15372.42</v>
      </c>
      <c r="BY11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3" s="323">
        <f>+DATOS_[[#This Row],[SALARIO BASE Eq]]+DATOS_[[#This Row],[Tot COMPL.SAL Eq]]</f>
        <v>23843.864800000003</v>
      </c>
      <c r="CA113" s="323">
        <f t="array" ref="CA1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3" s="323">
        <f>+DATOS_[[#This Row],[TOTAL SALARIO Eq]]+DATOS_[[#This Row],[Tot Extrasalarial Eq]]</f>
        <v>23843.864800000003</v>
      </c>
      <c r="CC113" s="327">
        <f>DATOS_[[#This Row],[S.BASE]]</f>
        <v>15372.42</v>
      </c>
      <c r="CD113" s="324">
        <f>+SUM(DATOS_[[#This Row],[Conc.Sal.01]:[Conc.Sal.30]])</f>
        <v>8471.4448000000011</v>
      </c>
      <c r="CE113" s="324">
        <f>+DATOS_[[#This Row],[SALARIO BASE Ef]]+DATOS_[[#This Row],[Tot COMPL.SAL Ef]]</f>
        <v>23843.864800000003</v>
      </c>
      <c r="CF113" s="324">
        <f>+SUM(DATOS_[[#This Row],[C.Extra.01]:[C.Extra.05]])</f>
        <v>0</v>
      </c>
      <c r="CG113" s="330">
        <f>+DATOS_[[#This Row],[TOTAL SALARIO Ef]]+DATOS_[[#This Row],[Tot Extrasalarial Ef]]</f>
        <v>23843.864800000003</v>
      </c>
      <c r="CH113" s="303">
        <f>MIN(IF(DATOS_[[#This Row],[Fecha Fin Contrato]]="",$D$4,DATOS_[[#This Row],[Fecha Fin Contrato]]),$D$4)-MAX(DATOS_[[#This Row],[Fecha de Contratación]],$D$3)+1</f>
        <v>366</v>
      </c>
      <c r="CI113" s="304" t="str">
        <f>IF(COUNTIFS(DATOS_[id],DATOS_[[#This Row],[id]])&gt;1,DATOS_[[#This Row],[id]],"")</f>
        <v/>
      </c>
      <c r="CJ113" s="325">
        <f>(Inicio!$G$10-DATOS_[[#This Row],[Fecha Nacimiento]])/365.25</f>
        <v>51.052703627652292</v>
      </c>
      <c r="CK113" s="325">
        <f>(Inicio!$G$10-DATOS_[[#This Row],[Fecha de Antigüedad]])/365.25</f>
        <v>12.692676249144421</v>
      </c>
      <c r="CL113" s="325" t="str">
        <f>+VLOOKUP(DATOS_[[#This Row],[Clave de Contrato]],TblTiposContrato13[],3,FALSE)</f>
        <v>Completa</v>
      </c>
      <c r="CM113" s="325" t="str">
        <f>+VLOOKUP(DATOS_[[#This Row],[Clave de Contrato]],TblTiposContrato13[],4,FALSE)</f>
        <v>Indefinido</v>
      </c>
      <c r="CN113" s="325" t="str">
        <f>VLOOKUP(DATOS_[[#This Row],[Edad]],CONTRATOS!TblRngEdad,2,TRUE)</f>
        <v>50 a 55</v>
      </c>
      <c r="CO113" s="325" t="str">
        <f>VLOOKUP(DATOS_[[#This Row],[Antigüedad]],TblRngAntg14[],2,TRUE)</f>
        <v>de 10 a 15  años</v>
      </c>
    </row>
    <row r="114" spans="2:93" x14ac:dyDescent="0.25">
      <c r="B114" s="146">
        <v>101</v>
      </c>
      <c r="C114" s="146" t="s">
        <v>162</v>
      </c>
      <c r="D114" s="295">
        <v>26280</v>
      </c>
      <c r="E114" s="296" t="s">
        <v>428</v>
      </c>
      <c r="F114" s="296">
        <v>3</v>
      </c>
      <c r="G114" s="296">
        <v>0</v>
      </c>
      <c r="H114" s="297">
        <v>41021</v>
      </c>
      <c r="I114" s="298"/>
      <c r="J114" s="295">
        <v>41021</v>
      </c>
      <c r="K114" s="326"/>
      <c r="L114" s="326"/>
      <c r="M114" s="299">
        <v>1</v>
      </c>
      <c r="N114" s="299"/>
      <c r="O114" s="299"/>
      <c r="P114" s="296">
        <v>100</v>
      </c>
      <c r="Q114" s="146" t="s">
        <v>431</v>
      </c>
      <c r="R114" s="146" t="s">
        <v>419</v>
      </c>
      <c r="S114" s="146" t="s">
        <v>429</v>
      </c>
      <c r="T114" s="146" t="s">
        <v>432</v>
      </c>
      <c r="U114" s="146" t="s">
        <v>399</v>
      </c>
      <c r="V114" s="146" t="s">
        <v>126</v>
      </c>
      <c r="W114" s="146" t="s">
        <v>300</v>
      </c>
      <c r="X114" s="146" t="s">
        <v>309</v>
      </c>
      <c r="Y114" s="146" t="s">
        <v>409</v>
      </c>
      <c r="Z114" s="293"/>
      <c r="AA114" s="294" t="s">
        <v>430</v>
      </c>
      <c r="AB114" s="294">
        <v>5</v>
      </c>
      <c r="AC114" s="296">
        <v>6</v>
      </c>
      <c r="AD114" s="301">
        <v>15372.42</v>
      </c>
      <c r="AE114" s="301">
        <v>1627.58</v>
      </c>
      <c r="AF114" s="301">
        <v>614.89679999999998</v>
      </c>
      <c r="AG114" s="301"/>
      <c r="AH114" s="301"/>
      <c r="AI114" s="301"/>
      <c r="AJ114" s="301"/>
      <c r="AK114" s="301">
        <v>80</v>
      </c>
      <c r="AL114" s="301">
        <f>+DATOS_[[#This Row],[S.BASE]]*$AL$1</f>
        <v>6148.9680000000008</v>
      </c>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2"/>
      <c r="BN114" s="291">
        <f>+MAX($D$3,DATOS_[[#This Row],[Fecha Inicio Sit. Contract.]])</f>
        <v>45292</v>
      </c>
      <c r="BO114" s="291">
        <f>+MIN($D$4,DATOS_[[#This Row],[Fecha Fin Sit. Contract.]])</f>
        <v>45657</v>
      </c>
      <c r="BP114" s="292">
        <f>+DATOS_[[#This Row],[% de jornada]]*IF(DATOS_[[#This Row],[% jornada reducida]]="",1,DATOS_[[#This Row],[% jornada reducida]])</f>
        <v>1</v>
      </c>
      <c r="BQ114" s="292">
        <f>+(DATOS_[[#This Row],[F.fin.cal]]-DATOS_[[#This Row],[F.ini.cal]]+1)/($D$4-$D$3+1)</f>
        <v>1</v>
      </c>
      <c r="BR114" s="322" t="str">
        <f>IF(OR(AND(DATOS_[[#This Row],[Fecha Fin Contrato]]&lt;$D$3,DATOS_[[#This Row],[Fecha Fin Contrato]]&lt;&gt;""),DATOS_[[#This Row],[Fecha de Contratación]]&gt;$D$4),"Fuera","Dentro")</f>
        <v>Dentro</v>
      </c>
      <c r="BS114" s="322" t="str">
        <f t="array" ref="BS114">IF(MAX(IF(DATOS_[id]=DATOS_[[#This Row],[id]],DATOS_[F.fin.cal]))=DATOS_[[#This Row],[F.fin.cal]],"Sí","NO")</f>
        <v>Sí</v>
      </c>
      <c r="BT114" s="292" t="str">
        <f>IF(AND(DATOS_[[#This Row],[% normaliz]]&lt;&gt;1,DATOS_[[#This Row],[% anualiz]]=1),"Sí","NO")</f>
        <v>NO</v>
      </c>
      <c r="BU114" s="292" t="str">
        <f>IF(AND(DATOS_[[#This Row],[% normaliz]]=1,DATOS_[[#This Row],[% anualiz]]&lt;&gt;1),"Sí","NO")</f>
        <v>NO</v>
      </c>
      <c r="BV114" s="292" t="str">
        <f>IF(AND(DATOS_[[#This Row],[% normaliz]]&lt;&gt;1,DATOS_[[#This Row],[% anualiz]]&lt;&gt;1),"Sí","NO")</f>
        <v>NO</v>
      </c>
      <c r="BW114" s="322" t="str">
        <f>+IF(DATOS_[[#This Row],[% normaliz]]*DATOS_[[#This Row],[% anualiz]]=1,"NO","Sí")</f>
        <v>NO</v>
      </c>
      <c r="BX114" s="323">
        <f>(DATOS_[[#This Row],[S.BASE]]*(1/DATOS_[[#This Row],[% normaliz]])*(1/DATOS_[[#This Row],[% anualiz]]))*IF(DATOS_[[#This Row],[Check Equiparado]]="Sí",1,0)</f>
        <v>15372.42</v>
      </c>
      <c r="BY11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4" s="323">
        <f>+DATOS_[[#This Row],[SALARIO BASE Eq]]+DATOS_[[#This Row],[Tot COMPL.SAL Eq]]</f>
        <v>23843.864800000003</v>
      </c>
      <c r="CA114" s="323">
        <f t="array" ref="CA1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4" s="323">
        <f>+DATOS_[[#This Row],[TOTAL SALARIO Eq]]+DATOS_[[#This Row],[Tot Extrasalarial Eq]]</f>
        <v>23843.864800000003</v>
      </c>
      <c r="CC114" s="327">
        <f>DATOS_[[#This Row],[S.BASE]]</f>
        <v>15372.42</v>
      </c>
      <c r="CD114" s="324">
        <f>+SUM(DATOS_[[#This Row],[Conc.Sal.01]:[Conc.Sal.30]])</f>
        <v>8471.4448000000011</v>
      </c>
      <c r="CE114" s="324">
        <f>+DATOS_[[#This Row],[SALARIO BASE Ef]]+DATOS_[[#This Row],[Tot COMPL.SAL Ef]]</f>
        <v>23843.864800000003</v>
      </c>
      <c r="CF114" s="324">
        <f>+SUM(DATOS_[[#This Row],[C.Extra.01]:[C.Extra.05]])</f>
        <v>0</v>
      </c>
      <c r="CG114" s="330">
        <f>+DATOS_[[#This Row],[TOTAL SALARIO Ef]]+DATOS_[[#This Row],[Tot Extrasalarial Ef]]</f>
        <v>23843.864800000003</v>
      </c>
      <c r="CH114" s="303">
        <f>MIN(IF(DATOS_[[#This Row],[Fecha Fin Contrato]]="",$D$4,DATOS_[[#This Row],[Fecha Fin Contrato]]),$D$4)-MAX(DATOS_[[#This Row],[Fecha de Contratación]],$D$3)+1</f>
        <v>366</v>
      </c>
      <c r="CI114" s="304" t="str">
        <f>IF(COUNTIFS(DATOS_[id],DATOS_[[#This Row],[id]])&gt;1,DATOS_[[#This Row],[id]],"")</f>
        <v/>
      </c>
      <c r="CJ114" s="325">
        <f>(Inicio!$G$10-DATOS_[[#This Row],[Fecha Nacimiento]])/365.25</f>
        <v>53.051334702258728</v>
      </c>
      <c r="CK114" s="325">
        <f>(Inicio!$G$10-DATOS_[[#This Row],[Fecha de Antigüedad]])/365.25</f>
        <v>12.692676249144421</v>
      </c>
      <c r="CL114" s="325" t="str">
        <f>+VLOOKUP(DATOS_[[#This Row],[Clave de Contrato]],TblTiposContrato13[],3,FALSE)</f>
        <v>Completa</v>
      </c>
      <c r="CM114" s="325" t="str">
        <f>+VLOOKUP(DATOS_[[#This Row],[Clave de Contrato]],TblTiposContrato13[],4,FALSE)</f>
        <v>Indefinido</v>
      </c>
      <c r="CN114" s="325" t="str">
        <f>VLOOKUP(DATOS_[[#This Row],[Edad]],CONTRATOS!TblRngEdad,2,TRUE)</f>
        <v>50 a 55</v>
      </c>
      <c r="CO114" s="325" t="str">
        <f>VLOOKUP(DATOS_[[#This Row],[Antigüedad]],TblRngAntg14[],2,TRUE)</f>
        <v>de 10 a 15  años</v>
      </c>
    </row>
    <row r="115" spans="2:93" x14ac:dyDescent="0.25">
      <c r="B115" s="146">
        <v>102</v>
      </c>
      <c r="C115" s="146" t="s">
        <v>162</v>
      </c>
      <c r="D115" s="295">
        <v>35770</v>
      </c>
      <c r="E115" s="296" t="s">
        <v>71</v>
      </c>
      <c r="F115" s="296">
        <v>2</v>
      </c>
      <c r="G115" s="296">
        <v>1</v>
      </c>
      <c r="H115" s="297">
        <v>41167</v>
      </c>
      <c r="I115" s="298"/>
      <c r="J115" s="295">
        <v>41167</v>
      </c>
      <c r="K115" s="326"/>
      <c r="L115" s="326"/>
      <c r="M115" s="299">
        <v>1</v>
      </c>
      <c r="N115" s="299"/>
      <c r="O115" s="299"/>
      <c r="P115" s="296">
        <v>100</v>
      </c>
      <c r="Q115" s="146" t="s">
        <v>412</v>
      </c>
      <c r="R115" s="146" t="s">
        <v>417</v>
      </c>
      <c r="S115" s="146" t="s">
        <v>429</v>
      </c>
      <c r="T115" s="146" t="s">
        <v>432</v>
      </c>
      <c r="U115" s="146" t="s">
        <v>399</v>
      </c>
      <c r="V115" s="146" t="s">
        <v>126</v>
      </c>
      <c r="W115" s="146" t="s">
        <v>300</v>
      </c>
      <c r="X115" s="146" t="s">
        <v>309</v>
      </c>
      <c r="Y115" s="146" t="s">
        <v>409</v>
      </c>
      <c r="Z115" s="293"/>
      <c r="AA115" s="294" t="s">
        <v>430</v>
      </c>
      <c r="AB115" s="294">
        <v>5</v>
      </c>
      <c r="AC115" s="296">
        <v>6</v>
      </c>
      <c r="AD115" s="301">
        <v>15372.42</v>
      </c>
      <c r="AE115" s="301">
        <v>1627.58</v>
      </c>
      <c r="AF115" s="301">
        <v>614.89679999999998</v>
      </c>
      <c r="AG115" s="301"/>
      <c r="AH115" s="301"/>
      <c r="AI115" s="301"/>
      <c r="AJ115" s="301"/>
      <c r="AK115" s="301">
        <v>80</v>
      </c>
      <c r="AL115" s="301">
        <f>+DATOS_[[#This Row],[S.BASE]]*$AL$1</f>
        <v>6148.9680000000008</v>
      </c>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2"/>
      <c r="BN115" s="291">
        <f>+MAX($D$3,DATOS_[[#This Row],[Fecha Inicio Sit. Contract.]])</f>
        <v>45292</v>
      </c>
      <c r="BO115" s="291">
        <f>+MIN($D$4,DATOS_[[#This Row],[Fecha Fin Sit. Contract.]])</f>
        <v>45657</v>
      </c>
      <c r="BP115" s="292">
        <f>+DATOS_[[#This Row],[% de jornada]]*IF(DATOS_[[#This Row],[% jornada reducida]]="",1,DATOS_[[#This Row],[% jornada reducida]])</f>
        <v>1</v>
      </c>
      <c r="BQ115" s="292">
        <f>+(DATOS_[[#This Row],[F.fin.cal]]-DATOS_[[#This Row],[F.ini.cal]]+1)/($D$4-$D$3+1)</f>
        <v>1</v>
      </c>
      <c r="BR115" s="322" t="str">
        <f>IF(OR(AND(DATOS_[[#This Row],[Fecha Fin Contrato]]&lt;$D$3,DATOS_[[#This Row],[Fecha Fin Contrato]]&lt;&gt;""),DATOS_[[#This Row],[Fecha de Contratación]]&gt;$D$4),"Fuera","Dentro")</f>
        <v>Dentro</v>
      </c>
      <c r="BS115" s="322" t="str">
        <f t="array" ref="BS115">IF(MAX(IF(DATOS_[id]=DATOS_[[#This Row],[id]],DATOS_[F.fin.cal]))=DATOS_[[#This Row],[F.fin.cal]],"Sí","NO")</f>
        <v>Sí</v>
      </c>
      <c r="BT115" s="292" t="str">
        <f>IF(AND(DATOS_[[#This Row],[% normaliz]]&lt;&gt;1,DATOS_[[#This Row],[% anualiz]]=1),"Sí","NO")</f>
        <v>NO</v>
      </c>
      <c r="BU115" s="292" t="str">
        <f>IF(AND(DATOS_[[#This Row],[% normaliz]]=1,DATOS_[[#This Row],[% anualiz]]&lt;&gt;1),"Sí","NO")</f>
        <v>NO</v>
      </c>
      <c r="BV115" s="292" t="str">
        <f>IF(AND(DATOS_[[#This Row],[% normaliz]]&lt;&gt;1,DATOS_[[#This Row],[% anualiz]]&lt;&gt;1),"Sí","NO")</f>
        <v>NO</v>
      </c>
      <c r="BW115" s="322" t="str">
        <f>+IF(DATOS_[[#This Row],[% normaliz]]*DATOS_[[#This Row],[% anualiz]]=1,"NO","Sí")</f>
        <v>NO</v>
      </c>
      <c r="BX115" s="323">
        <f>(DATOS_[[#This Row],[S.BASE]]*(1/DATOS_[[#This Row],[% normaliz]])*(1/DATOS_[[#This Row],[% anualiz]]))*IF(DATOS_[[#This Row],[Check Equiparado]]="Sí",1,0)</f>
        <v>15372.42</v>
      </c>
      <c r="BY11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5" s="323">
        <f>+DATOS_[[#This Row],[SALARIO BASE Eq]]+DATOS_[[#This Row],[Tot COMPL.SAL Eq]]</f>
        <v>23843.864800000003</v>
      </c>
      <c r="CA115" s="323">
        <f t="array" ref="CA1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5" s="323">
        <f>+DATOS_[[#This Row],[TOTAL SALARIO Eq]]+DATOS_[[#This Row],[Tot Extrasalarial Eq]]</f>
        <v>23843.864800000003</v>
      </c>
      <c r="CC115" s="327">
        <f>DATOS_[[#This Row],[S.BASE]]</f>
        <v>15372.42</v>
      </c>
      <c r="CD115" s="324">
        <f>+SUM(DATOS_[[#This Row],[Conc.Sal.01]:[Conc.Sal.30]])</f>
        <v>8471.4448000000011</v>
      </c>
      <c r="CE115" s="324">
        <f>+DATOS_[[#This Row],[SALARIO BASE Ef]]+DATOS_[[#This Row],[Tot COMPL.SAL Ef]]</f>
        <v>23843.864800000003</v>
      </c>
      <c r="CF115" s="324">
        <f>+SUM(DATOS_[[#This Row],[C.Extra.01]:[C.Extra.05]])</f>
        <v>0</v>
      </c>
      <c r="CG115" s="330">
        <f>+DATOS_[[#This Row],[TOTAL SALARIO Ef]]+DATOS_[[#This Row],[Tot Extrasalarial Ef]]</f>
        <v>23843.864800000003</v>
      </c>
      <c r="CH115" s="303">
        <f>MIN(IF(DATOS_[[#This Row],[Fecha Fin Contrato]]="",$D$4,DATOS_[[#This Row],[Fecha Fin Contrato]]),$D$4)-MAX(DATOS_[[#This Row],[Fecha de Contratación]],$D$3)+1</f>
        <v>366</v>
      </c>
      <c r="CI115" s="304" t="str">
        <f>IF(COUNTIFS(DATOS_[id],DATOS_[[#This Row],[id]])&gt;1,DATOS_[[#This Row],[id]],"")</f>
        <v/>
      </c>
      <c r="CJ115" s="325">
        <f>(Inicio!$G$10-DATOS_[[#This Row],[Fecha Nacimiento]])/365.25</f>
        <v>27.069130732375086</v>
      </c>
      <c r="CK115" s="325">
        <f>(Inicio!$G$10-DATOS_[[#This Row],[Fecha de Antigüedad]])/365.25</f>
        <v>12.292950034223136</v>
      </c>
      <c r="CL115" s="325" t="str">
        <f>+VLOOKUP(DATOS_[[#This Row],[Clave de Contrato]],TblTiposContrato13[],3,FALSE)</f>
        <v>Completa</v>
      </c>
      <c r="CM115" s="325" t="str">
        <f>+VLOOKUP(DATOS_[[#This Row],[Clave de Contrato]],TblTiposContrato13[],4,FALSE)</f>
        <v>Indefinido</v>
      </c>
      <c r="CN115" s="325" t="str">
        <f>VLOOKUP(DATOS_[[#This Row],[Edad]],CONTRATOS!TblRngEdad,2,TRUE)</f>
        <v>25 a 30</v>
      </c>
      <c r="CO115" s="325" t="str">
        <f>VLOOKUP(DATOS_[[#This Row],[Antigüedad]],TblRngAntg14[],2,TRUE)</f>
        <v>de 10 a 15  años</v>
      </c>
    </row>
    <row r="116" spans="2:93" x14ac:dyDescent="0.25">
      <c r="B116" s="146">
        <v>103</v>
      </c>
      <c r="C116" s="146" t="s">
        <v>162</v>
      </c>
      <c r="D116" s="295">
        <v>27010</v>
      </c>
      <c r="E116" s="296" t="s">
        <v>71</v>
      </c>
      <c r="F116" s="296">
        <v>2</v>
      </c>
      <c r="G116" s="296">
        <v>1</v>
      </c>
      <c r="H116" s="297">
        <v>41204</v>
      </c>
      <c r="I116" s="298"/>
      <c r="J116" s="295">
        <v>41204</v>
      </c>
      <c r="K116" s="326"/>
      <c r="L116" s="326"/>
      <c r="M116" s="299">
        <v>1</v>
      </c>
      <c r="N116" s="299"/>
      <c r="O116" s="299"/>
      <c r="P116" s="296">
        <v>100</v>
      </c>
      <c r="Q116" s="146" t="s">
        <v>412</v>
      </c>
      <c r="R116" s="146" t="s">
        <v>417</v>
      </c>
      <c r="S116" s="146" t="s">
        <v>429</v>
      </c>
      <c r="T116" s="146" t="s">
        <v>432</v>
      </c>
      <c r="U116" s="146" t="s">
        <v>399</v>
      </c>
      <c r="V116" s="146" t="s">
        <v>126</v>
      </c>
      <c r="W116" s="146" t="s">
        <v>300</v>
      </c>
      <c r="X116" s="146" t="s">
        <v>309</v>
      </c>
      <c r="Y116" s="146" t="s">
        <v>409</v>
      </c>
      <c r="Z116" s="293"/>
      <c r="AA116" s="294" t="s">
        <v>430</v>
      </c>
      <c r="AB116" s="294">
        <v>5</v>
      </c>
      <c r="AC116" s="296">
        <v>6</v>
      </c>
      <c r="AD116" s="301">
        <v>15372.42</v>
      </c>
      <c r="AE116" s="301">
        <v>1627.58</v>
      </c>
      <c r="AF116" s="301">
        <v>614.89679999999998</v>
      </c>
      <c r="AG116" s="301"/>
      <c r="AH116" s="301"/>
      <c r="AI116" s="301"/>
      <c r="AJ116" s="301"/>
      <c r="AK116" s="301">
        <v>80</v>
      </c>
      <c r="AL116" s="301">
        <f>+DATOS_[[#This Row],[S.BASE]]*$AL$1</f>
        <v>6148.9680000000008</v>
      </c>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2"/>
      <c r="BN116" s="291">
        <f>+MAX($D$3,DATOS_[[#This Row],[Fecha Inicio Sit. Contract.]])</f>
        <v>45292</v>
      </c>
      <c r="BO116" s="291">
        <f>+MIN($D$4,DATOS_[[#This Row],[Fecha Fin Sit. Contract.]])</f>
        <v>45657</v>
      </c>
      <c r="BP116" s="292">
        <f>+DATOS_[[#This Row],[% de jornada]]*IF(DATOS_[[#This Row],[% jornada reducida]]="",1,DATOS_[[#This Row],[% jornada reducida]])</f>
        <v>1</v>
      </c>
      <c r="BQ116" s="292">
        <f>+(DATOS_[[#This Row],[F.fin.cal]]-DATOS_[[#This Row],[F.ini.cal]]+1)/($D$4-$D$3+1)</f>
        <v>1</v>
      </c>
      <c r="BR116" s="322" t="str">
        <f>IF(OR(AND(DATOS_[[#This Row],[Fecha Fin Contrato]]&lt;$D$3,DATOS_[[#This Row],[Fecha Fin Contrato]]&lt;&gt;""),DATOS_[[#This Row],[Fecha de Contratación]]&gt;$D$4),"Fuera","Dentro")</f>
        <v>Dentro</v>
      </c>
      <c r="BS116" s="322" t="str">
        <f t="array" ref="BS116">IF(MAX(IF(DATOS_[id]=DATOS_[[#This Row],[id]],DATOS_[F.fin.cal]))=DATOS_[[#This Row],[F.fin.cal]],"Sí","NO")</f>
        <v>Sí</v>
      </c>
      <c r="BT116" s="292" t="str">
        <f>IF(AND(DATOS_[[#This Row],[% normaliz]]&lt;&gt;1,DATOS_[[#This Row],[% anualiz]]=1),"Sí","NO")</f>
        <v>NO</v>
      </c>
      <c r="BU116" s="292" t="str">
        <f>IF(AND(DATOS_[[#This Row],[% normaliz]]=1,DATOS_[[#This Row],[% anualiz]]&lt;&gt;1),"Sí","NO")</f>
        <v>NO</v>
      </c>
      <c r="BV116" s="292" t="str">
        <f>IF(AND(DATOS_[[#This Row],[% normaliz]]&lt;&gt;1,DATOS_[[#This Row],[% anualiz]]&lt;&gt;1),"Sí","NO")</f>
        <v>NO</v>
      </c>
      <c r="BW116" s="322" t="str">
        <f>+IF(DATOS_[[#This Row],[% normaliz]]*DATOS_[[#This Row],[% anualiz]]=1,"NO","Sí")</f>
        <v>NO</v>
      </c>
      <c r="BX116" s="323">
        <f>(DATOS_[[#This Row],[S.BASE]]*(1/DATOS_[[#This Row],[% normaliz]])*(1/DATOS_[[#This Row],[% anualiz]]))*IF(DATOS_[[#This Row],[Check Equiparado]]="Sí",1,0)</f>
        <v>15372.42</v>
      </c>
      <c r="BY11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6" s="323">
        <f>+DATOS_[[#This Row],[SALARIO BASE Eq]]+DATOS_[[#This Row],[Tot COMPL.SAL Eq]]</f>
        <v>23843.864800000003</v>
      </c>
      <c r="CA116" s="323">
        <f t="array" ref="CA1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6" s="323">
        <f>+DATOS_[[#This Row],[TOTAL SALARIO Eq]]+DATOS_[[#This Row],[Tot Extrasalarial Eq]]</f>
        <v>23843.864800000003</v>
      </c>
      <c r="CC116" s="327">
        <f>DATOS_[[#This Row],[S.BASE]]</f>
        <v>15372.42</v>
      </c>
      <c r="CD116" s="324">
        <f>+SUM(DATOS_[[#This Row],[Conc.Sal.01]:[Conc.Sal.30]])</f>
        <v>8471.4448000000011</v>
      </c>
      <c r="CE116" s="324">
        <f>+DATOS_[[#This Row],[SALARIO BASE Ef]]+DATOS_[[#This Row],[Tot COMPL.SAL Ef]]</f>
        <v>23843.864800000003</v>
      </c>
      <c r="CF116" s="324">
        <f>+SUM(DATOS_[[#This Row],[C.Extra.01]:[C.Extra.05]])</f>
        <v>0</v>
      </c>
      <c r="CG116" s="330">
        <f>+DATOS_[[#This Row],[TOTAL SALARIO Ef]]+DATOS_[[#This Row],[Tot Extrasalarial Ef]]</f>
        <v>23843.864800000003</v>
      </c>
      <c r="CH116" s="303">
        <f>MIN(IF(DATOS_[[#This Row],[Fecha Fin Contrato]]="",$D$4,DATOS_[[#This Row],[Fecha Fin Contrato]]),$D$4)-MAX(DATOS_[[#This Row],[Fecha de Contratación]],$D$3)+1</f>
        <v>366</v>
      </c>
      <c r="CI116" s="304" t="str">
        <f>IF(COUNTIFS(DATOS_[id],DATOS_[[#This Row],[id]])&gt;1,DATOS_[[#This Row],[id]],"")</f>
        <v/>
      </c>
      <c r="CJ116" s="325">
        <f>(Inicio!$G$10-DATOS_[[#This Row],[Fecha Nacimiento]])/365.25</f>
        <v>51.052703627652292</v>
      </c>
      <c r="CK116" s="325">
        <f>(Inicio!$G$10-DATOS_[[#This Row],[Fecha de Antigüedad]])/365.25</f>
        <v>12.191649555099247</v>
      </c>
      <c r="CL116" s="325" t="str">
        <f>+VLOOKUP(DATOS_[[#This Row],[Clave de Contrato]],TblTiposContrato13[],3,FALSE)</f>
        <v>Completa</v>
      </c>
      <c r="CM116" s="325" t="str">
        <f>+VLOOKUP(DATOS_[[#This Row],[Clave de Contrato]],TblTiposContrato13[],4,FALSE)</f>
        <v>Indefinido</v>
      </c>
      <c r="CN116" s="325" t="str">
        <f>VLOOKUP(DATOS_[[#This Row],[Edad]],CONTRATOS!TblRngEdad,2,TRUE)</f>
        <v>50 a 55</v>
      </c>
      <c r="CO116" s="325" t="str">
        <f>VLOOKUP(DATOS_[[#This Row],[Antigüedad]],TblRngAntg14[],2,TRUE)</f>
        <v>de 10 a 15  años</v>
      </c>
    </row>
    <row r="117" spans="2:93" x14ac:dyDescent="0.25">
      <c r="B117" s="146">
        <v>104</v>
      </c>
      <c r="C117" s="146" t="s">
        <v>162</v>
      </c>
      <c r="D117" s="295">
        <v>26645</v>
      </c>
      <c r="E117" s="296" t="s">
        <v>71</v>
      </c>
      <c r="F117" s="296">
        <v>2</v>
      </c>
      <c r="G117" s="296">
        <v>1</v>
      </c>
      <c r="H117" s="297">
        <v>41240</v>
      </c>
      <c r="I117" s="298"/>
      <c r="J117" s="295">
        <v>41240</v>
      </c>
      <c r="K117" s="326"/>
      <c r="L117" s="326"/>
      <c r="M117" s="299">
        <v>1</v>
      </c>
      <c r="N117" s="299"/>
      <c r="O117" s="299"/>
      <c r="P117" s="296">
        <v>100</v>
      </c>
      <c r="Q117" s="146" t="s">
        <v>431</v>
      </c>
      <c r="R117" s="146" t="s">
        <v>419</v>
      </c>
      <c r="S117" s="146" t="s">
        <v>429</v>
      </c>
      <c r="T117" s="146" t="s">
        <v>432</v>
      </c>
      <c r="U117" s="146" t="s">
        <v>399</v>
      </c>
      <c r="V117" s="146" t="s">
        <v>126</v>
      </c>
      <c r="W117" s="146" t="s">
        <v>300</v>
      </c>
      <c r="X117" s="146" t="s">
        <v>309</v>
      </c>
      <c r="Y117" s="146" t="s">
        <v>409</v>
      </c>
      <c r="Z117" s="293"/>
      <c r="AA117" s="294" t="s">
        <v>430</v>
      </c>
      <c r="AB117" s="294">
        <v>5</v>
      </c>
      <c r="AC117" s="296">
        <v>6</v>
      </c>
      <c r="AD117" s="301">
        <v>15372.42</v>
      </c>
      <c r="AE117" s="301">
        <v>1627.58</v>
      </c>
      <c r="AF117" s="301">
        <v>614.89679999999998</v>
      </c>
      <c r="AG117" s="301"/>
      <c r="AH117" s="301"/>
      <c r="AI117" s="301"/>
      <c r="AJ117" s="301"/>
      <c r="AK117" s="301">
        <v>80</v>
      </c>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2"/>
      <c r="BN117" s="291">
        <f>+MAX($D$3,DATOS_[[#This Row],[Fecha Inicio Sit. Contract.]])</f>
        <v>45292</v>
      </c>
      <c r="BO117" s="291">
        <f>+MIN($D$4,DATOS_[[#This Row],[Fecha Fin Sit. Contract.]])</f>
        <v>45657</v>
      </c>
      <c r="BP117" s="292">
        <f>+DATOS_[[#This Row],[% de jornada]]*IF(DATOS_[[#This Row],[% jornada reducida]]="",1,DATOS_[[#This Row],[% jornada reducida]])</f>
        <v>1</v>
      </c>
      <c r="BQ117" s="292">
        <f>+(DATOS_[[#This Row],[F.fin.cal]]-DATOS_[[#This Row],[F.ini.cal]]+1)/($D$4-$D$3+1)</f>
        <v>1</v>
      </c>
      <c r="BR117" s="322" t="str">
        <f>IF(OR(AND(DATOS_[[#This Row],[Fecha Fin Contrato]]&lt;$D$3,DATOS_[[#This Row],[Fecha Fin Contrato]]&lt;&gt;""),DATOS_[[#This Row],[Fecha de Contratación]]&gt;$D$4),"Fuera","Dentro")</f>
        <v>Dentro</v>
      </c>
      <c r="BS117" s="322" t="str">
        <f t="array" ref="BS117">IF(MAX(IF(DATOS_[id]=DATOS_[[#This Row],[id]],DATOS_[F.fin.cal]))=DATOS_[[#This Row],[F.fin.cal]],"Sí","NO")</f>
        <v>Sí</v>
      </c>
      <c r="BT117" s="292" t="str">
        <f>IF(AND(DATOS_[[#This Row],[% normaliz]]&lt;&gt;1,DATOS_[[#This Row],[% anualiz]]=1),"Sí","NO")</f>
        <v>NO</v>
      </c>
      <c r="BU117" s="292" t="str">
        <f>IF(AND(DATOS_[[#This Row],[% normaliz]]=1,DATOS_[[#This Row],[% anualiz]]&lt;&gt;1),"Sí","NO")</f>
        <v>NO</v>
      </c>
      <c r="BV117" s="292" t="str">
        <f>IF(AND(DATOS_[[#This Row],[% normaliz]]&lt;&gt;1,DATOS_[[#This Row],[% anualiz]]&lt;&gt;1),"Sí","NO")</f>
        <v>NO</v>
      </c>
      <c r="BW117" s="322" t="str">
        <f>+IF(DATOS_[[#This Row],[% normaliz]]*DATOS_[[#This Row],[% anualiz]]=1,"NO","Sí")</f>
        <v>NO</v>
      </c>
      <c r="BX117" s="323">
        <f>(DATOS_[[#This Row],[S.BASE]]*(1/DATOS_[[#This Row],[% normaliz]])*(1/DATOS_[[#This Row],[% anualiz]]))*IF(DATOS_[[#This Row],[Check Equiparado]]="Sí",1,0)</f>
        <v>15372.42</v>
      </c>
      <c r="BY11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2322.4767999999999</v>
      </c>
      <c r="BZ117" s="323">
        <f>+DATOS_[[#This Row],[SALARIO BASE Eq]]+DATOS_[[#This Row],[Tot COMPL.SAL Eq]]</f>
        <v>17694.896799999999</v>
      </c>
      <c r="CA117" s="323">
        <f t="array" ref="CA1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7" s="323">
        <f>+DATOS_[[#This Row],[TOTAL SALARIO Eq]]+DATOS_[[#This Row],[Tot Extrasalarial Eq]]</f>
        <v>17694.896799999999</v>
      </c>
      <c r="CC117" s="327">
        <f>DATOS_[[#This Row],[S.BASE]]</f>
        <v>15372.42</v>
      </c>
      <c r="CD117" s="324">
        <f>+SUM(DATOS_[[#This Row],[Conc.Sal.01]:[Conc.Sal.30]])</f>
        <v>2322.4767999999999</v>
      </c>
      <c r="CE117" s="324">
        <f>+DATOS_[[#This Row],[SALARIO BASE Ef]]+DATOS_[[#This Row],[Tot COMPL.SAL Ef]]</f>
        <v>17694.896799999999</v>
      </c>
      <c r="CF117" s="324">
        <f>+SUM(DATOS_[[#This Row],[C.Extra.01]:[C.Extra.05]])</f>
        <v>0</v>
      </c>
      <c r="CG117" s="330">
        <f>+DATOS_[[#This Row],[TOTAL SALARIO Ef]]+DATOS_[[#This Row],[Tot Extrasalarial Ef]]</f>
        <v>17694.896799999999</v>
      </c>
      <c r="CH117" s="303">
        <f>MIN(IF(DATOS_[[#This Row],[Fecha Fin Contrato]]="",$D$4,DATOS_[[#This Row],[Fecha Fin Contrato]]),$D$4)-MAX(DATOS_[[#This Row],[Fecha de Contratación]],$D$3)+1</f>
        <v>366</v>
      </c>
      <c r="CI117" s="304" t="str">
        <f>IF(COUNTIFS(DATOS_[id],DATOS_[[#This Row],[id]])&gt;1,DATOS_[[#This Row],[id]],"")</f>
        <v/>
      </c>
      <c r="CJ117" s="325">
        <f>(Inicio!$G$10-DATOS_[[#This Row],[Fecha Nacimiento]])/365.25</f>
        <v>52.05201916495551</v>
      </c>
      <c r="CK117" s="325">
        <f>(Inicio!$G$10-DATOS_[[#This Row],[Fecha de Antigüedad]])/365.25</f>
        <v>12.093086926762492</v>
      </c>
      <c r="CL117" s="325" t="str">
        <f>+VLOOKUP(DATOS_[[#This Row],[Clave de Contrato]],TblTiposContrato13[],3,FALSE)</f>
        <v>Completa</v>
      </c>
      <c r="CM117" s="325" t="str">
        <f>+VLOOKUP(DATOS_[[#This Row],[Clave de Contrato]],TblTiposContrato13[],4,FALSE)</f>
        <v>Indefinido</v>
      </c>
      <c r="CN117" s="325" t="str">
        <f>VLOOKUP(DATOS_[[#This Row],[Edad]],CONTRATOS!TblRngEdad,2,TRUE)</f>
        <v>50 a 55</v>
      </c>
      <c r="CO117" s="325" t="str">
        <f>VLOOKUP(DATOS_[[#This Row],[Antigüedad]],TblRngAntg14[],2,TRUE)</f>
        <v>de 10 a 15  años</v>
      </c>
    </row>
    <row r="118" spans="2:93" x14ac:dyDescent="0.25">
      <c r="B118" s="146">
        <v>105</v>
      </c>
      <c r="C118" s="146" t="s">
        <v>162</v>
      </c>
      <c r="D118" s="295">
        <v>30295</v>
      </c>
      <c r="E118" s="296" t="s">
        <v>71</v>
      </c>
      <c r="F118" s="296">
        <v>2</v>
      </c>
      <c r="G118" s="296">
        <v>2</v>
      </c>
      <c r="H118" s="297">
        <v>43891</v>
      </c>
      <c r="I118" s="298">
        <v>44012</v>
      </c>
      <c r="J118" s="295">
        <v>43891</v>
      </c>
      <c r="K118" s="326">
        <v>43891</v>
      </c>
      <c r="L118" s="326">
        <v>44012</v>
      </c>
      <c r="M118" s="299">
        <v>1</v>
      </c>
      <c r="N118" s="299"/>
      <c r="O118" s="299"/>
      <c r="P118" s="296">
        <v>401</v>
      </c>
      <c r="Q118" s="146" t="s">
        <v>412</v>
      </c>
      <c r="R118" s="146" t="s">
        <v>417</v>
      </c>
      <c r="S118" s="146" t="s">
        <v>429</v>
      </c>
      <c r="T118" s="146" t="s">
        <v>432</v>
      </c>
      <c r="U118" s="146" t="s">
        <v>399</v>
      </c>
      <c r="V118" s="146" t="s">
        <v>126</v>
      </c>
      <c r="W118" s="146" t="s">
        <v>300</v>
      </c>
      <c r="X118" s="146" t="s">
        <v>309</v>
      </c>
      <c r="Y118" s="146" t="s">
        <v>409</v>
      </c>
      <c r="Z118" s="293"/>
      <c r="AA118" s="294" t="s">
        <v>430</v>
      </c>
      <c r="AB118" s="294">
        <v>5</v>
      </c>
      <c r="AC118" s="296">
        <v>6</v>
      </c>
      <c r="AD118" s="301">
        <v>5124</v>
      </c>
      <c r="AE118" s="301">
        <v>542</v>
      </c>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v>187</v>
      </c>
      <c r="BK118" s="301"/>
      <c r="BL118" s="301"/>
      <c r="BM118" s="302"/>
      <c r="BN118" s="291">
        <f>+MAX($D$3,DATOS_[[#This Row],[Fecha Inicio Sit. Contract.]])</f>
        <v>45292</v>
      </c>
      <c r="BO118" s="291">
        <f>+MIN($D$4,DATOS_[[#This Row],[Fecha Fin Sit. Contract.]])</f>
        <v>44012</v>
      </c>
      <c r="BP118" s="292">
        <f>+DATOS_[[#This Row],[% de jornada]]*IF(DATOS_[[#This Row],[% jornada reducida]]="",1,DATOS_[[#This Row],[% jornada reducida]])</f>
        <v>1</v>
      </c>
      <c r="BQ118" s="292">
        <f>+(DATOS_[[#This Row],[F.fin.cal]]-DATOS_[[#This Row],[F.ini.cal]]+1)/($D$4-$D$3+1)</f>
        <v>-3.4945355191256833</v>
      </c>
      <c r="BR118" s="322" t="str">
        <f>IF(OR(AND(DATOS_[[#This Row],[Fecha Fin Contrato]]&lt;$D$3,DATOS_[[#This Row],[Fecha Fin Contrato]]&lt;&gt;""),DATOS_[[#This Row],[Fecha de Contratación]]&gt;$D$4),"Fuera","Dentro")</f>
        <v>Fuera</v>
      </c>
      <c r="BS118" s="322" t="str">
        <f t="array" ref="BS118">IF(MAX(IF(DATOS_[id]=DATOS_[[#This Row],[id]],DATOS_[F.fin.cal]))=DATOS_[[#This Row],[F.fin.cal]],"Sí","NO")</f>
        <v>Sí</v>
      </c>
      <c r="BT118" s="292" t="str">
        <f>IF(AND(DATOS_[[#This Row],[% normaliz]]&lt;&gt;1,DATOS_[[#This Row],[% anualiz]]=1),"Sí","NO")</f>
        <v>NO</v>
      </c>
      <c r="BU118" s="292" t="str">
        <f>IF(AND(DATOS_[[#This Row],[% normaliz]]=1,DATOS_[[#This Row],[% anualiz]]&lt;&gt;1),"Sí","NO")</f>
        <v>Sí</v>
      </c>
      <c r="BV118" s="292" t="str">
        <f>IF(AND(DATOS_[[#This Row],[% normaliz]]&lt;&gt;1,DATOS_[[#This Row],[% anualiz]]&lt;&gt;1),"Sí","NO")</f>
        <v>NO</v>
      </c>
      <c r="BW118" s="322" t="str">
        <f>+IF(DATOS_[[#This Row],[% normaliz]]*DATOS_[[#This Row],[% anualiz]]=1,"NO","Sí")</f>
        <v>Sí</v>
      </c>
      <c r="BX118" s="323">
        <f>(DATOS_[[#This Row],[S.BASE]]*(1/DATOS_[[#This Row],[% normaliz]])*(1/DATOS_[[#This Row],[% anualiz]]))*IF(DATOS_[[#This Row],[Check Equiparado]]="Sí",1,0)</f>
        <v>-1466.2892885066458</v>
      </c>
      <c r="BY11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-155.0992963252541</v>
      </c>
      <c r="BZ118" s="323">
        <f>+DATOS_[[#This Row],[SALARIO BASE Eq]]+DATOS_[[#This Row],[Tot COMPL.SAL Eq]]</f>
        <v>-1621.3885848318998</v>
      </c>
      <c r="CA118" s="323">
        <f t="array" ref="CA1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187</v>
      </c>
      <c r="CB118" s="323">
        <f>+DATOS_[[#This Row],[TOTAL SALARIO Eq]]+DATOS_[[#This Row],[Tot Extrasalarial Eq]]</f>
        <v>-1434.3885848318998</v>
      </c>
      <c r="CC118" s="327">
        <f>DATOS_[[#This Row],[S.BASE]]</f>
        <v>5124</v>
      </c>
      <c r="CD118" s="324">
        <f>+SUM(DATOS_[[#This Row],[Conc.Sal.01]:[Conc.Sal.30]])</f>
        <v>542</v>
      </c>
      <c r="CE118" s="324">
        <f>+DATOS_[[#This Row],[SALARIO BASE Ef]]+DATOS_[[#This Row],[Tot COMPL.SAL Ef]]</f>
        <v>5666</v>
      </c>
      <c r="CF118" s="324">
        <f>+SUM(DATOS_[[#This Row],[C.Extra.01]:[C.Extra.05]])</f>
        <v>187</v>
      </c>
      <c r="CG118" s="330">
        <f>+DATOS_[[#This Row],[TOTAL SALARIO Ef]]+DATOS_[[#This Row],[Tot Extrasalarial Ef]]</f>
        <v>5853</v>
      </c>
      <c r="CH118" s="303">
        <f>MIN(IF(DATOS_[[#This Row],[Fecha Fin Contrato]]="",$D$4,DATOS_[[#This Row],[Fecha Fin Contrato]]),$D$4)-MAX(DATOS_[[#This Row],[Fecha de Contratación]],$D$3)+1</f>
        <v>-1279</v>
      </c>
      <c r="CI118" s="304" t="str">
        <f>IF(COUNTIFS(DATOS_[id],DATOS_[[#This Row],[id]])&gt;1,DATOS_[[#This Row],[id]],"")</f>
        <v/>
      </c>
      <c r="CJ118" s="325">
        <f>(Inicio!$G$10-DATOS_[[#This Row],[Fecha Nacimiento]])/365.25</f>
        <v>42.058863791923343</v>
      </c>
      <c r="CK118" s="325">
        <f>(Inicio!$G$10-DATOS_[[#This Row],[Fecha de Antigüedad]])/365.25</f>
        <v>4.8350444900752905</v>
      </c>
      <c r="CL118" s="325" t="str">
        <f>+VLOOKUP(DATOS_[[#This Row],[Clave de Contrato]],TblTiposContrato13[],3,FALSE)</f>
        <v>Completa</v>
      </c>
      <c r="CM118" s="325" t="str">
        <f>+VLOOKUP(DATOS_[[#This Row],[Clave de Contrato]],TblTiposContrato13[],4,FALSE)</f>
        <v>Temporal</v>
      </c>
      <c r="CN118" s="325" t="str">
        <f>VLOOKUP(DATOS_[[#This Row],[Edad]],CONTRATOS!TblRngEdad,2,TRUE)</f>
        <v>40 a 45</v>
      </c>
      <c r="CO118" s="325" t="str">
        <f>VLOOKUP(DATOS_[[#This Row],[Antigüedad]],TblRngAntg14[],2,TRUE)</f>
        <v>3 a 5  años</v>
      </c>
    </row>
    <row r="119" spans="2:93" x14ac:dyDescent="0.25">
      <c r="B119" s="146">
        <v>106</v>
      </c>
      <c r="C119" s="146" t="s">
        <v>162</v>
      </c>
      <c r="D119" s="295">
        <v>28105</v>
      </c>
      <c r="E119" s="296" t="s">
        <v>71</v>
      </c>
      <c r="F119" s="296">
        <v>1</v>
      </c>
      <c r="G119" s="296">
        <v>1</v>
      </c>
      <c r="H119" s="297">
        <v>43891</v>
      </c>
      <c r="I119" s="298">
        <v>44012</v>
      </c>
      <c r="J119" s="295">
        <v>43891</v>
      </c>
      <c r="K119" s="326">
        <v>43891</v>
      </c>
      <c r="L119" s="326">
        <v>44012</v>
      </c>
      <c r="M119" s="299">
        <v>1</v>
      </c>
      <c r="N119" s="299"/>
      <c r="O119" s="299"/>
      <c r="P119" s="296">
        <v>401</v>
      </c>
      <c r="Q119" s="146" t="s">
        <v>412</v>
      </c>
      <c r="R119" s="146" t="s">
        <v>417</v>
      </c>
      <c r="S119" s="146" t="s">
        <v>429</v>
      </c>
      <c r="T119" s="146" t="s">
        <v>432</v>
      </c>
      <c r="U119" s="146" t="s">
        <v>399</v>
      </c>
      <c r="V119" s="146" t="s">
        <v>126</v>
      </c>
      <c r="W119" s="146" t="s">
        <v>300</v>
      </c>
      <c r="X119" s="146" t="s">
        <v>309</v>
      </c>
      <c r="Y119" s="146" t="s">
        <v>409</v>
      </c>
      <c r="Z119" s="293"/>
      <c r="AA119" s="294" t="s">
        <v>430</v>
      </c>
      <c r="AB119" s="294">
        <v>5</v>
      </c>
      <c r="AC119" s="296">
        <v>6</v>
      </c>
      <c r="AD119" s="301">
        <v>5124</v>
      </c>
      <c r="AE119" s="301">
        <v>542</v>
      </c>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v>187</v>
      </c>
      <c r="BK119" s="301"/>
      <c r="BL119" s="301"/>
      <c r="BM119" s="302"/>
      <c r="BN119" s="291">
        <f>+MAX($D$3,DATOS_[[#This Row],[Fecha Inicio Sit. Contract.]])</f>
        <v>45292</v>
      </c>
      <c r="BO119" s="291">
        <f>+MIN($D$4,DATOS_[[#This Row],[Fecha Fin Sit. Contract.]])</f>
        <v>44012</v>
      </c>
      <c r="BP119" s="292">
        <f>+DATOS_[[#This Row],[% de jornada]]*IF(DATOS_[[#This Row],[% jornada reducida]]="",1,DATOS_[[#This Row],[% jornada reducida]])</f>
        <v>1</v>
      </c>
      <c r="BQ119" s="292">
        <f>+(DATOS_[[#This Row],[F.fin.cal]]-DATOS_[[#This Row],[F.ini.cal]]+1)/($D$4-$D$3+1)</f>
        <v>-3.4945355191256833</v>
      </c>
      <c r="BR119" s="322" t="str">
        <f>IF(OR(AND(DATOS_[[#This Row],[Fecha Fin Contrato]]&lt;$D$3,DATOS_[[#This Row],[Fecha Fin Contrato]]&lt;&gt;""),DATOS_[[#This Row],[Fecha de Contratación]]&gt;$D$4),"Fuera","Dentro")</f>
        <v>Fuera</v>
      </c>
      <c r="BS119" s="322" t="str">
        <f t="array" ref="BS119">IF(MAX(IF(DATOS_[id]=DATOS_[[#This Row],[id]],DATOS_[F.fin.cal]))=DATOS_[[#This Row],[F.fin.cal]],"Sí","NO")</f>
        <v>Sí</v>
      </c>
      <c r="BT119" s="292" t="str">
        <f>IF(AND(DATOS_[[#This Row],[% normaliz]]&lt;&gt;1,DATOS_[[#This Row],[% anualiz]]=1),"Sí","NO")</f>
        <v>NO</v>
      </c>
      <c r="BU119" s="292" t="str">
        <f>IF(AND(DATOS_[[#This Row],[% normaliz]]=1,DATOS_[[#This Row],[% anualiz]]&lt;&gt;1),"Sí","NO")</f>
        <v>Sí</v>
      </c>
      <c r="BV119" s="292" t="str">
        <f>IF(AND(DATOS_[[#This Row],[% normaliz]]&lt;&gt;1,DATOS_[[#This Row],[% anualiz]]&lt;&gt;1),"Sí","NO")</f>
        <v>NO</v>
      </c>
      <c r="BW119" s="322" t="str">
        <f>+IF(DATOS_[[#This Row],[% normaliz]]*DATOS_[[#This Row],[% anualiz]]=1,"NO","Sí")</f>
        <v>Sí</v>
      </c>
      <c r="BX119" s="323">
        <f>(DATOS_[[#This Row],[S.BASE]]*(1/DATOS_[[#This Row],[% normaliz]])*(1/DATOS_[[#This Row],[% anualiz]]))*IF(DATOS_[[#This Row],[Check Equiparado]]="Sí",1,0)</f>
        <v>-1466.2892885066458</v>
      </c>
      <c r="BY11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-155.0992963252541</v>
      </c>
      <c r="BZ119" s="323">
        <f>+DATOS_[[#This Row],[SALARIO BASE Eq]]+DATOS_[[#This Row],[Tot COMPL.SAL Eq]]</f>
        <v>-1621.3885848318998</v>
      </c>
      <c r="CA119" s="323">
        <f t="array" ref="CA1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187</v>
      </c>
      <c r="CB119" s="323">
        <f>+DATOS_[[#This Row],[TOTAL SALARIO Eq]]+DATOS_[[#This Row],[Tot Extrasalarial Eq]]</f>
        <v>-1434.3885848318998</v>
      </c>
      <c r="CC119" s="327">
        <f>DATOS_[[#This Row],[S.BASE]]</f>
        <v>5124</v>
      </c>
      <c r="CD119" s="324">
        <f>+SUM(DATOS_[[#This Row],[Conc.Sal.01]:[Conc.Sal.30]])</f>
        <v>542</v>
      </c>
      <c r="CE119" s="324">
        <f>+DATOS_[[#This Row],[SALARIO BASE Ef]]+DATOS_[[#This Row],[Tot COMPL.SAL Ef]]</f>
        <v>5666</v>
      </c>
      <c r="CF119" s="324">
        <f>+SUM(DATOS_[[#This Row],[C.Extra.01]:[C.Extra.05]])</f>
        <v>187</v>
      </c>
      <c r="CG119" s="330">
        <f>+DATOS_[[#This Row],[TOTAL SALARIO Ef]]+DATOS_[[#This Row],[Tot Extrasalarial Ef]]</f>
        <v>5853</v>
      </c>
      <c r="CH119" s="303">
        <f>MIN(IF(DATOS_[[#This Row],[Fecha Fin Contrato]]="",$D$4,DATOS_[[#This Row],[Fecha Fin Contrato]]),$D$4)-MAX(DATOS_[[#This Row],[Fecha de Contratación]],$D$3)+1</f>
        <v>-1279</v>
      </c>
      <c r="CI119" s="304" t="str">
        <f>IF(COUNTIFS(DATOS_[id],DATOS_[[#This Row],[id]])&gt;1,DATOS_[[#This Row],[id]],"")</f>
        <v/>
      </c>
      <c r="CJ119" s="325">
        <f>(Inicio!$G$10-DATOS_[[#This Row],[Fecha Nacimiento]])/365.25</f>
        <v>48.054757015742645</v>
      </c>
      <c r="CK119" s="325">
        <f>(Inicio!$G$10-DATOS_[[#This Row],[Fecha de Antigüedad]])/365.25</f>
        <v>4.8350444900752905</v>
      </c>
      <c r="CL119" s="325" t="str">
        <f>+VLOOKUP(DATOS_[[#This Row],[Clave de Contrato]],TblTiposContrato13[],3,FALSE)</f>
        <v>Completa</v>
      </c>
      <c r="CM119" s="325" t="str">
        <f>+VLOOKUP(DATOS_[[#This Row],[Clave de Contrato]],TblTiposContrato13[],4,FALSE)</f>
        <v>Temporal</v>
      </c>
      <c r="CN119" s="325" t="str">
        <f>VLOOKUP(DATOS_[[#This Row],[Edad]],CONTRATOS!TblRngEdad,2,TRUE)</f>
        <v>45 a 50</v>
      </c>
      <c r="CO119" s="325" t="str">
        <f>VLOOKUP(DATOS_[[#This Row],[Antigüedad]],TblRngAntg14[],2,TRUE)</f>
        <v>3 a 5  años</v>
      </c>
    </row>
    <row r="120" spans="2:93" x14ac:dyDescent="0.25">
      <c r="B120" s="146">
        <v>107</v>
      </c>
      <c r="C120" s="146" t="s">
        <v>162</v>
      </c>
      <c r="D120" s="295">
        <v>36500</v>
      </c>
      <c r="E120" s="296" t="s">
        <v>71</v>
      </c>
      <c r="F120" s="296">
        <v>1</v>
      </c>
      <c r="G120" s="296">
        <v>2</v>
      </c>
      <c r="H120" s="297">
        <v>44136</v>
      </c>
      <c r="I120" s="298"/>
      <c r="J120" s="295">
        <v>44136</v>
      </c>
      <c r="K120" s="326">
        <v>44136</v>
      </c>
      <c r="L120" s="326"/>
      <c r="M120" s="299">
        <v>1</v>
      </c>
      <c r="N120" s="299"/>
      <c r="O120" s="299"/>
      <c r="P120" s="296">
        <v>401</v>
      </c>
      <c r="Q120" s="146" t="s">
        <v>412</v>
      </c>
      <c r="R120" s="146" t="s">
        <v>417</v>
      </c>
      <c r="S120" s="146" t="s">
        <v>429</v>
      </c>
      <c r="T120" s="146" t="s">
        <v>432</v>
      </c>
      <c r="U120" s="146" t="s">
        <v>399</v>
      </c>
      <c r="V120" s="146" t="s">
        <v>126</v>
      </c>
      <c r="W120" s="146" t="s">
        <v>300</v>
      </c>
      <c r="X120" s="146" t="s">
        <v>309</v>
      </c>
      <c r="Y120" s="146" t="s">
        <v>409</v>
      </c>
      <c r="Z120" s="293"/>
      <c r="AA120" s="294" t="s">
        <v>430</v>
      </c>
      <c r="AB120" s="294">
        <v>5</v>
      </c>
      <c r="AC120" s="296">
        <v>6</v>
      </c>
      <c r="AD120" s="301">
        <v>2562</v>
      </c>
      <c r="AE120" s="301">
        <v>271</v>
      </c>
      <c r="AF120" s="301"/>
      <c r="AG120" s="301"/>
      <c r="AH120" s="301"/>
      <c r="AI120" s="301"/>
      <c r="AJ120" s="301"/>
      <c r="AK120" s="301">
        <v>80</v>
      </c>
      <c r="AL120" s="301"/>
      <c r="AM120" s="301"/>
      <c r="AN120" s="301"/>
      <c r="AO120" s="301"/>
      <c r="AP120" s="301"/>
      <c r="AQ120" s="301"/>
      <c r="AR120" s="301"/>
      <c r="AS120" s="301"/>
      <c r="AT120" s="301"/>
      <c r="AU120" s="301"/>
      <c r="AV120" s="301"/>
      <c r="AW120" s="301"/>
      <c r="AX120" s="301"/>
      <c r="AY120" s="301"/>
      <c r="AZ120" s="301"/>
      <c r="BA120" s="301"/>
      <c r="BB120" s="301"/>
      <c r="BC120" s="301"/>
      <c r="BD120" s="301"/>
      <c r="BE120" s="301"/>
      <c r="BF120" s="301"/>
      <c r="BG120" s="301"/>
      <c r="BH120" s="301"/>
      <c r="BI120" s="301"/>
      <c r="BJ120" s="301"/>
      <c r="BK120" s="301"/>
      <c r="BL120" s="301"/>
      <c r="BM120" s="302"/>
      <c r="BN120" s="291">
        <f>+MAX($D$3,DATOS_[[#This Row],[Fecha Inicio Sit. Contract.]])</f>
        <v>45292</v>
      </c>
      <c r="BO120" s="291">
        <f>+MIN($D$4,DATOS_[[#This Row],[Fecha Fin Sit. Contract.]])</f>
        <v>45657</v>
      </c>
      <c r="BP120" s="292">
        <f>+DATOS_[[#This Row],[% de jornada]]*IF(DATOS_[[#This Row],[% jornada reducida]]="",1,DATOS_[[#This Row],[% jornada reducida]])</f>
        <v>1</v>
      </c>
      <c r="BQ120" s="292">
        <f>+(DATOS_[[#This Row],[F.fin.cal]]-DATOS_[[#This Row],[F.ini.cal]]+1)/($D$4-$D$3+1)</f>
        <v>1</v>
      </c>
      <c r="BR120" s="322" t="str">
        <f>IF(OR(AND(DATOS_[[#This Row],[Fecha Fin Contrato]]&lt;$D$3,DATOS_[[#This Row],[Fecha Fin Contrato]]&lt;&gt;""),DATOS_[[#This Row],[Fecha de Contratación]]&gt;$D$4),"Fuera","Dentro")</f>
        <v>Dentro</v>
      </c>
      <c r="BS120" s="322" t="str">
        <f t="array" ref="BS120">IF(MAX(IF(DATOS_[id]=DATOS_[[#This Row],[id]],DATOS_[F.fin.cal]))=DATOS_[[#This Row],[F.fin.cal]],"Sí","NO")</f>
        <v>Sí</v>
      </c>
      <c r="BT120" s="292" t="str">
        <f>IF(AND(DATOS_[[#This Row],[% normaliz]]&lt;&gt;1,DATOS_[[#This Row],[% anualiz]]=1),"Sí","NO")</f>
        <v>NO</v>
      </c>
      <c r="BU120" s="292" t="str">
        <f>IF(AND(DATOS_[[#This Row],[% normaliz]]=1,DATOS_[[#This Row],[% anualiz]]&lt;&gt;1),"Sí","NO")</f>
        <v>NO</v>
      </c>
      <c r="BV120" s="292" t="str">
        <f>IF(AND(DATOS_[[#This Row],[% normaliz]]&lt;&gt;1,DATOS_[[#This Row],[% anualiz]]&lt;&gt;1),"Sí","NO")</f>
        <v>NO</v>
      </c>
      <c r="BW120" s="322" t="str">
        <f>+IF(DATOS_[[#This Row],[% normaliz]]*DATOS_[[#This Row],[% anualiz]]=1,"NO","Sí")</f>
        <v>NO</v>
      </c>
      <c r="BX120" s="323">
        <f>(DATOS_[[#This Row],[S.BASE]]*(1/DATOS_[[#This Row],[% normaliz]])*(1/DATOS_[[#This Row],[% anualiz]]))*IF(DATOS_[[#This Row],[Check Equiparado]]="Sí",1,0)</f>
        <v>2562</v>
      </c>
      <c r="BY12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351</v>
      </c>
      <c r="BZ120" s="323">
        <f>+DATOS_[[#This Row],[SALARIO BASE Eq]]+DATOS_[[#This Row],[Tot COMPL.SAL Eq]]</f>
        <v>2913</v>
      </c>
      <c r="CA120" s="323">
        <f t="array" ref="CA1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0" s="323">
        <f>+DATOS_[[#This Row],[TOTAL SALARIO Eq]]+DATOS_[[#This Row],[Tot Extrasalarial Eq]]</f>
        <v>2913</v>
      </c>
      <c r="CC120" s="327">
        <f>DATOS_[[#This Row],[S.BASE]]</f>
        <v>2562</v>
      </c>
      <c r="CD120" s="324">
        <f>+SUM(DATOS_[[#This Row],[Conc.Sal.01]:[Conc.Sal.30]])</f>
        <v>351</v>
      </c>
      <c r="CE120" s="324">
        <f>+DATOS_[[#This Row],[SALARIO BASE Ef]]+DATOS_[[#This Row],[Tot COMPL.SAL Ef]]</f>
        <v>2913</v>
      </c>
      <c r="CF120" s="324">
        <f>+SUM(DATOS_[[#This Row],[C.Extra.01]:[C.Extra.05]])</f>
        <v>0</v>
      </c>
      <c r="CG120" s="330">
        <f>+DATOS_[[#This Row],[TOTAL SALARIO Ef]]+DATOS_[[#This Row],[Tot Extrasalarial Ef]]</f>
        <v>2913</v>
      </c>
      <c r="CH120" s="303">
        <f>MIN(IF(DATOS_[[#This Row],[Fecha Fin Contrato]]="",$D$4,DATOS_[[#This Row],[Fecha Fin Contrato]]),$D$4)-MAX(DATOS_[[#This Row],[Fecha de Contratación]],$D$3)+1</f>
        <v>366</v>
      </c>
      <c r="CI120" s="304" t="str">
        <f>IF(COUNTIFS(DATOS_[id],DATOS_[[#This Row],[id]])&gt;1,DATOS_[[#This Row],[id]],"")</f>
        <v/>
      </c>
      <c r="CJ120" s="325">
        <f>(Inicio!$G$10-DATOS_[[#This Row],[Fecha Nacimiento]])/365.25</f>
        <v>25.07049965776865</v>
      </c>
      <c r="CK120" s="325">
        <f>(Inicio!$G$10-DATOS_[[#This Row],[Fecha de Antigüedad]])/365.25</f>
        <v>4.1642710472279258</v>
      </c>
      <c r="CL120" s="325" t="str">
        <f>+VLOOKUP(DATOS_[[#This Row],[Clave de Contrato]],TblTiposContrato13[],3,FALSE)</f>
        <v>Completa</v>
      </c>
      <c r="CM120" s="325" t="str">
        <f>+VLOOKUP(DATOS_[[#This Row],[Clave de Contrato]],TblTiposContrato13[],4,FALSE)</f>
        <v>Temporal</v>
      </c>
      <c r="CN120" s="325" t="str">
        <f>VLOOKUP(DATOS_[[#This Row],[Edad]],CONTRATOS!TblRngEdad,2,TRUE)</f>
        <v>25 a 30</v>
      </c>
      <c r="CO120" s="325" t="str">
        <f>VLOOKUP(DATOS_[[#This Row],[Antigüedad]],TblRngAntg14[],2,TRUE)</f>
        <v>3 a 5  años</v>
      </c>
    </row>
    <row r="121" spans="2:93" x14ac:dyDescent="0.25">
      <c r="B121" s="146">
        <v>108</v>
      </c>
      <c r="C121" s="146" t="s">
        <v>163</v>
      </c>
      <c r="D121" s="295">
        <v>31025</v>
      </c>
      <c r="E121" s="296" t="s">
        <v>428</v>
      </c>
      <c r="F121" s="296">
        <v>1</v>
      </c>
      <c r="G121" s="296">
        <v>1</v>
      </c>
      <c r="H121" s="297">
        <v>40583</v>
      </c>
      <c r="I121" s="298"/>
      <c r="J121" s="295">
        <v>40583</v>
      </c>
      <c r="K121" s="326"/>
      <c r="L121" s="326"/>
      <c r="M121" s="299">
        <v>1</v>
      </c>
      <c r="N121" s="299"/>
      <c r="O121" s="299"/>
      <c r="P121" s="296">
        <v>100</v>
      </c>
      <c r="Q121" s="146" t="s">
        <v>412</v>
      </c>
      <c r="R121" s="146" t="s">
        <v>417</v>
      </c>
      <c r="S121" s="146" t="s">
        <v>433</v>
      </c>
      <c r="T121" s="146" t="s">
        <v>432</v>
      </c>
      <c r="U121" s="146" t="s">
        <v>400</v>
      </c>
      <c r="V121" s="146" t="s">
        <v>126</v>
      </c>
      <c r="W121" s="146" t="s">
        <v>301</v>
      </c>
      <c r="X121" s="146" t="s">
        <v>309</v>
      </c>
      <c r="Y121" s="146" t="s">
        <v>409</v>
      </c>
      <c r="Z121" s="293"/>
      <c r="AA121" s="294" t="s">
        <v>434</v>
      </c>
      <c r="AB121" s="294">
        <v>7</v>
      </c>
      <c r="AC121" s="296">
        <v>6</v>
      </c>
      <c r="AD121" s="301">
        <v>14036.34</v>
      </c>
      <c r="AE121" s="301">
        <v>963.65999999999985</v>
      </c>
      <c r="AF121" s="301">
        <v>1122.9072000000001</v>
      </c>
      <c r="AG121" s="301"/>
      <c r="AH121" s="301"/>
      <c r="AI121" s="301"/>
      <c r="AJ121" s="301"/>
      <c r="AK121" s="301">
        <v>80</v>
      </c>
      <c r="AL121" s="301"/>
      <c r="AM121" s="301"/>
      <c r="AN121" s="301"/>
      <c r="AO121" s="301"/>
      <c r="AP121" s="301"/>
      <c r="AQ121" s="301"/>
      <c r="AR121" s="301"/>
      <c r="AS121" s="301"/>
      <c r="AT121" s="301"/>
      <c r="AU121" s="301"/>
      <c r="AV121" s="301"/>
      <c r="AW121" s="301"/>
      <c r="AX121" s="301"/>
      <c r="AY121" s="301"/>
      <c r="AZ121" s="301"/>
      <c r="BA121" s="301"/>
      <c r="BB121" s="301"/>
      <c r="BC121" s="301"/>
      <c r="BD121" s="301"/>
      <c r="BE121" s="301"/>
      <c r="BF121" s="301"/>
      <c r="BG121" s="301"/>
      <c r="BH121" s="301"/>
      <c r="BI121" s="301"/>
      <c r="BJ121" s="301"/>
      <c r="BK121" s="301"/>
      <c r="BL121" s="301"/>
      <c r="BM121" s="302"/>
      <c r="BN121" s="291">
        <f>+MAX($D$3,DATOS_[[#This Row],[Fecha Inicio Sit. Contract.]])</f>
        <v>45292</v>
      </c>
      <c r="BO121" s="291">
        <f>+MIN($D$4,DATOS_[[#This Row],[Fecha Fin Sit. Contract.]])</f>
        <v>45657</v>
      </c>
      <c r="BP121" s="292">
        <f>+DATOS_[[#This Row],[% de jornada]]*IF(DATOS_[[#This Row],[% jornada reducida]]="",1,DATOS_[[#This Row],[% jornada reducida]])</f>
        <v>1</v>
      </c>
      <c r="BQ121" s="292">
        <f>+(DATOS_[[#This Row],[F.fin.cal]]-DATOS_[[#This Row],[F.ini.cal]]+1)/($D$4-$D$3+1)</f>
        <v>1</v>
      </c>
      <c r="BR121" s="322" t="str">
        <f>IF(OR(AND(DATOS_[[#This Row],[Fecha Fin Contrato]]&lt;$D$3,DATOS_[[#This Row],[Fecha Fin Contrato]]&lt;&gt;""),DATOS_[[#This Row],[Fecha de Contratación]]&gt;$D$4),"Fuera","Dentro")</f>
        <v>Dentro</v>
      </c>
      <c r="BS121" s="322" t="str">
        <f t="array" ref="BS121">IF(MAX(IF(DATOS_[id]=DATOS_[[#This Row],[id]],DATOS_[F.fin.cal]))=DATOS_[[#This Row],[F.fin.cal]],"Sí","NO")</f>
        <v>Sí</v>
      </c>
      <c r="BT121" s="292" t="str">
        <f>IF(AND(DATOS_[[#This Row],[% normaliz]]&lt;&gt;1,DATOS_[[#This Row],[% anualiz]]=1),"Sí","NO")</f>
        <v>NO</v>
      </c>
      <c r="BU121" s="292" t="str">
        <f>IF(AND(DATOS_[[#This Row],[% normaliz]]=1,DATOS_[[#This Row],[% anualiz]]&lt;&gt;1),"Sí","NO")</f>
        <v>NO</v>
      </c>
      <c r="BV121" s="292" t="str">
        <f>IF(AND(DATOS_[[#This Row],[% normaliz]]&lt;&gt;1,DATOS_[[#This Row],[% anualiz]]&lt;&gt;1),"Sí","NO")</f>
        <v>NO</v>
      </c>
      <c r="BW121" s="322" t="str">
        <f>+IF(DATOS_[[#This Row],[% normaliz]]*DATOS_[[#This Row],[% anualiz]]=1,"NO","Sí")</f>
        <v>NO</v>
      </c>
      <c r="BX121" s="323">
        <f>(DATOS_[[#This Row],[S.BASE]]*(1/DATOS_[[#This Row],[% normaliz]])*(1/DATOS_[[#This Row],[% anualiz]]))*IF(DATOS_[[#This Row],[Check Equiparado]]="Sí",1,0)</f>
        <v>14036.34</v>
      </c>
      <c r="BY12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2166.5672</v>
      </c>
      <c r="BZ121" s="323">
        <f>+DATOS_[[#This Row],[SALARIO BASE Eq]]+DATOS_[[#This Row],[Tot COMPL.SAL Eq]]</f>
        <v>16202.9072</v>
      </c>
      <c r="CA121" s="323">
        <f t="array" ref="CA1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1" s="323">
        <f>+DATOS_[[#This Row],[TOTAL SALARIO Eq]]+DATOS_[[#This Row],[Tot Extrasalarial Eq]]</f>
        <v>16202.9072</v>
      </c>
      <c r="CC121" s="327">
        <f>DATOS_[[#This Row],[S.BASE]]</f>
        <v>14036.34</v>
      </c>
      <c r="CD121" s="324">
        <f>+SUM(DATOS_[[#This Row],[Conc.Sal.01]:[Conc.Sal.30]])</f>
        <v>2166.5672</v>
      </c>
      <c r="CE121" s="324">
        <f>+DATOS_[[#This Row],[SALARIO BASE Ef]]+DATOS_[[#This Row],[Tot COMPL.SAL Ef]]</f>
        <v>16202.9072</v>
      </c>
      <c r="CF121" s="324">
        <f>+SUM(DATOS_[[#This Row],[C.Extra.01]:[C.Extra.05]])</f>
        <v>0</v>
      </c>
      <c r="CG121" s="330">
        <f>+DATOS_[[#This Row],[TOTAL SALARIO Ef]]+DATOS_[[#This Row],[Tot Extrasalarial Ef]]</f>
        <v>16202.9072</v>
      </c>
      <c r="CH121" s="303">
        <f>MIN(IF(DATOS_[[#This Row],[Fecha Fin Contrato]]="",$D$4,DATOS_[[#This Row],[Fecha Fin Contrato]]),$D$4)-MAX(DATOS_[[#This Row],[Fecha de Contratación]],$D$3)+1</f>
        <v>366</v>
      </c>
      <c r="CI121" s="304" t="str">
        <f>IF(COUNTIFS(DATOS_[id],DATOS_[[#This Row],[id]])&gt;1,DATOS_[[#This Row],[id]],"")</f>
        <v/>
      </c>
      <c r="CJ121" s="325">
        <f>(Inicio!$G$10-DATOS_[[#This Row],[Fecha Nacimiento]])/365.25</f>
        <v>40.060232717316907</v>
      </c>
      <c r="CK121" s="325">
        <f>(Inicio!$G$10-DATOS_[[#This Row],[Fecha de Antigüedad]])/365.25</f>
        <v>13.891854893908283</v>
      </c>
      <c r="CL121" s="325" t="str">
        <f>+VLOOKUP(DATOS_[[#This Row],[Clave de Contrato]],TblTiposContrato13[],3,FALSE)</f>
        <v>Completa</v>
      </c>
      <c r="CM121" s="325" t="str">
        <f>+VLOOKUP(DATOS_[[#This Row],[Clave de Contrato]],TblTiposContrato13[],4,FALSE)</f>
        <v>Indefinido</v>
      </c>
      <c r="CN121" s="325" t="str">
        <f>VLOOKUP(DATOS_[[#This Row],[Edad]],CONTRATOS!TblRngEdad,2,TRUE)</f>
        <v>40 a 45</v>
      </c>
      <c r="CO121" s="325" t="str">
        <f>VLOOKUP(DATOS_[[#This Row],[Antigüedad]],TblRngAntg14[],2,TRUE)</f>
        <v>de 10 a 15  años</v>
      </c>
    </row>
    <row r="122" spans="2:93" x14ac:dyDescent="0.25">
      <c r="B122" s="146">
        <v>109</v>
      </c>
      <c r="C122" s="146" t="s">
        <v>163</v>
      </c>
      <c r="D122" s="295">
        <v>28470</v>
      </c>
      <c r="E122" s="296" t="s">
        <v>428</v>
      </c>
      <c r="F122" s="296">
        <v>1</v>
      </c>
      <c r="G122" s="296">
        <v>1</v>
      </c>
      <c r="H122" s="297">
        <v>40692</v>
      </c>
      <c r="I122" s="298"/>
      <c r="J122" s="295">
        <v>40692</v>
      </c>
      <c r="K122" s="326"/>
      <c r="L122" s="326"/>
      <c r="M122" s="299">
        <v>1</v>
      </c>
      <c r="N122" s="299"/>
      <c r="O122" s="299"/>
      <c r="P122" s="296">
        <v>100</v>
      </c>
      <c r="Q122" s="146" t="s">
        <v>412</v>
      </c>
      <c r="R122" s="146" t="s">
        <v>417</v>
      </c>
      <c r="S122" s="146" t="s">
        <v>433</v>
      </c>
      <c r="T122" s="146" t="s">
        <v>432</v>
      </c>
      <c r="U122" s="146" t="s">
        <v>400</v>
      </c>
      <c r="V122" s="146" t="s">
        <v>126</v>
      </c>
      <c r="W122" s="146" t="s">
        <v>301</v>
      </c>
      <c r="X122" s="146" t="s">
        <v>309</v>
      </c>
      <c r="Y122" s="146" t="s">
        <v>409</v>
      </c>
      <c r="Z122" s="293"/>
      <c r="AA122" s="294" t="s">
        <v>434</v>
      </c>
      <c r="AB122" s="294">
        <v>7</v>
      </c>
      <c r="AC122" s="296">
        <v>6</v>
      </c>
      <c r="AD122" s="301">
        <v>14036.34</v>
      </c>
      <c r="AE122" s="301">
        <v>963.65999999999985</v>
      </c>
      <c r="AF122" s="301">
        <v>1122.9072000000001</v>
      </c>
      <c r="AG122" s="301"/>
      <c r="AH122" s="301"/>
      <c r="AI122" s="301"/>
      <c r="AJ122" s="301"/>
      <c r="AK122" s="301">
        <v>80</v>
      </c>
      <c r="AL122" s="301"/>
      <c r="AM122" s="301"/>
      <c r="AN122" s="301"/>
      <c r="AO122" s="301"/>
      <c r="AP122" s="301"/>
      <c r="AQ122" s="301"/>
      <c r="AR122" s="301"/>
      <c r="AS122" s="301"/>
      <c r="AT122" s="301"/>
      <c r="AU122" s="301"/>
      <c r="AV122" s="301"/>
      <c r="AW122" s="301"/>
      <c r="AX122" s="301"/>
      <c r="AY122" s="301"/>
      <c r="AZ122" s="301"/>
      <c r="BA122" s="301"/>
      <c r="BB122" s="301"/>
      <c r="BC122" s="301"/>
      <c r="BD122" s="301"/>
      <c r="BE122" s="301"/>
      <c r="BF122" s="301"/>
      <c r="BG122" s="301"/>
      <c r="BH122" s="301"/>
      <c r="BI122" s="301"/>
      <c r="BJ122" s="301"/>
      <c r="BK122" s="301"/>
      <c r="BL122" s="301"/>
      <c r="BM122" s="302"/>
      <c r="BN122" s="291">
        <f>+MAX($D$3,DATOS_[[#This Row],[Fecha Inicio Sit. Contract.]])</f>
        <v>45292</v>
      </c>
      <c r="BO122" s="291">
        <f>+MIN($D$4,DATOS_[[#This Row],[Fecha Fin Sit. Contract.]])</f>
        <v>45657</v>
      </c>
      <c r="BP122" s="292">
        <f>+DATOS_[[#This Row],[% de jornada]]*IF(DATOS_[[#This Row],[% jornada reducida]]="",1,DATOS_[[#This Row],[% jornada reducida]])</f>
        <v>1</v>
      </c>
      <c r="BQ122" s="292">
        <f>+(DATOS_[[#This Row],[F.fin.cal]]-DATOS_[[#This Row],[F.ini.cal]]+1)/($D$4-$D$3+1)</f>
        <v>1</v>
      </c>
      <c r="BR122" s="322" t="str">
        <f>IF(OR(AND(DATOS_[[#This Row],[Fecha Fin Contrato]]&lt;$D$3,DATOS_[[#This Row],[Fecha Fin Contrato]]&lt;&gt;""),DATOS_[[#This Row],[Fecha de Contratación]]&gt;$D$4),"Fuera","Dentro")</f>
        <v>Dentro</v>
      </c>
      <c r="BS122" s="322" t="str">
        <f t="array" ref="BS122">IF(MAX(IF(DATOS_[id]=DATOS_[[#This Row],[id]],DATOS_[F.fin.cal]))=DATOS_[[#This Row],[F.fin.cal]],"Sí","NO")</f>
        <v>Sí</v>
      </c>
      <c r="BT122" s="292" t="str">
        <f>IF(AND(DATOS_[[#This Row],[% normaliz]]&lt;&gt;1,DATOS_[[#This Row],[% anualiz]]=1),"Sí","NO")</f>
        <v>NO</v>
      </c>
      <c r="BU122" s="292" t="str">
        <f>IF(AND(DATOS_[[#This Row],[% normaliz]]=1,DATOS_[[#This Row],[% anualiz]]&lt;&gt;1),"Sí","NO")</f>
        <v>NO</v>
      </c>
      <c r="BV122" s="292" t="str">
        <f>IF(AND(DATOS_[[#This Row],[% normaliz]]&lt;&gt;1,DATOS_[[#This Row],[% anualiz]]&lt;&gt;1),"Sí","NO")</f>
        <v>NO</v>
      </c>
      <c r="BW122" s="322" t="str">
        <f>+IF(DATOS_[[#This Row],[% normaliz]]*DATOS_[[#This Row],[% anualiz]]=1,"NO","Sí")</f>
        <v>NO</v>
      </c>
      <c r="BX122" s="323">
        <f>(DATOS_[[#This Row],[S.BASE]]*(1/DATOS_[[#This Row],[% normaliz]])*(1/DATOS_[[#This Row],[% anualiz]]))*IF(DATOS_[[#This Row],[Check Equiparado]]="Sí",1,0)</f>
        <v>14036.34</v>
      </c>
      <c r="BY12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2166.5672</v>
      </c>
      <c r="BZ122" s="323">
        <f>+DATOS_[[#This Row],[SALARIO BASE Eq]]+DATOS_[[#This Row],[Tot COMPL.SAL Eq]]</f>
        <v>16202.9072</v>
      </c>
      <c r="CA122" s="323">
        <f t="array" ref="CA1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2" s="323">
        <f>+DATOS_[[#This Row],[TOTAL SALARIO Eq]]+DATOS_[[#This Row],[Tot Extrasalarial Eq]]</f>
        <v>16202.9072</v>
      </c>
      <c r="CC122" s="327">
        <f>DATOS_[[#This Row],[S.BASE]]</f>
        <v>14036.34</v>
      </c>
      <c r="CD122" s="324">
        <f>+SUM(DATOS_[[#This Row],[Conc.Sal.01]:[Conc.Sal.30]])</f>
        <v>2166.5672</v>
      </c>
      <c r="CE122" s="324">
        <f>+DATOS_[[#This Row],[SALARIO BASE Ef]]+DATOS_[[#This Row],[Tot COMPL.SAL Ef]]</f>
        <v>16202.9072</v>
      </c>
      <c r="CF122" s="324">
        <f>+SUM(DATOS_[[#This Row],[C.Extra.01]:[C.Extra.05]])</f>
        <v>0</v>
      </c>
      <c r="CG122" s="330">
        <f>+DATOS_[[#This Row],[TOTAL SALARIO Ef]]+DATOS_[[#This Row],[Tot Extrasalarial Ef]]</f>
        <v>16202.9072</v>
      </c>
      <c r="CH122" s="303">
        <f>MIN(IF(DATOS_[[#This Row],[Fecha Fin Contrato]]="",$D$4,DATOS_[[#This Row],[Fecha Fin Contrato]]),$D$4)-MAX(DATOS_[[#This Row],[Fecha de Contratación]],$D$3)+1</f>
        <v>366</v>
      </c>
      <c r="CI122" s="304" t="str">
        <f>IF(COUNTIFS(DATOS_[id],DATOS_[[#This Row],[id]])&gt;1,DATOS_[[#This Row],[id]],"")</f>
        <v/>
      </c>
      <c r="CJ122" s="325">
        <f>(Inicio!$G$10-DATOS_[[#This Row],[Fecha Nacimiento]])/365.25</f>
        <v>47.055441478439427</v>
      </c>
      <c r="CK122" s="325">
        <f>(Inicio!$G$10-DATOS_[[#This Row],[Fecha de Antigüedad]])/365.25</f>
        <v>13.593429158110883</v>
      </c>
      <c r="CL122" s="325" t="str">
        <f>+VLOOKUP(DATOS_[[#This Row],[Clave de Contrato]],TblTiposContrato13[],3,FALSE)</f>
        <v>Completa</v>
      </c>
      <c r="CM122" s="325" t="str">
        <f>+VLOOKUP(DATOS_[[#This Row],[Clave de Contrato]],TblTiposContrato13[],4,FALSE)</f>
        <v>Indefinido</v>
      </c>
      <c r="CN122" s="325" t="str">
        <f>VLOOKUP(DATOS_[[#This Row],[Edad]],CONTRATOS!TblRngEdad,2,TRUE)</f>
        <v>45 a 50</v>
      </c>
      <c r="CO122" s="325" t="str">
        <f>VLOOKUP(DATOS_[[#This Row],[Antigüedad]],TblRngAntg14[],2,TRUE)</f>
        <v>de 10 a 15  años</v>
      </c>
    </row>
    <row r="123" spans="2:93" x14ac:dyDescent="0.25">
      <c r="B123" s="146">
        <v>110</v>
      </c>
      <c r="C123" s="146" t="s">
        <v>163</v>
      </c>
      <c r="D123" s="295">
        <v>31390</v>
      </c>
      <c r="E123" s="296" t="s">
        <v>428</v>
      </c>
      <c r="F123" s="296">
        <v>3</v>
      </c>
      <c r="G123" s="296">
        <v>0</v>
      </c>
      <c r="H123" s="297">
        <v>40765</v>
      </c>
      <c r="I123" s="298"/>
      <c r="J123" s="295">
        <v>40765</v>
      </c>
      <c r="K123" s="326"/>
      <c r="L123" s="326"/>
      <c r="M123" s="299">
        <v>1</v>
      </c>
      <c r="N123" s="299"/>
      <c r="O123" s="299"/>
      <c r="P123" s="296">
        <v>100</v>
      </c>
      <c r="Q123" s="146" t="s">
        <v>412</v>
      </c>
      <c r="R123" s="146" t="s">
        <v>417</v>
      </c>
      <c r="S123" s="146" t="s">
        <v>433</v>
      </c>
      <c r="T123" s="146" t="s">
        <v>432</v>
      </c>
      <c r="U123" s="146" t="s">
        <v>400</v>
      </c>
      <c r="V123" s="146" t="s">
        <v>126</v>
      </c>
      <c r="W123" s="146" t="s">
        <v>301</v>
      </c>
      <c r="X123" s="146" t="s">
        <v>309</v>
      </c>
      <c r="Y123" s="146" t="s">
        <v>409</v>
      </c>
      <c r="Z123" s="293"/>
      <c r="AA123" s="294" t="s">
        <v>434</v>
      </c>
      <c r="AB123" s="294">
        <v>7</v>
      </c>
      <c r="AC123" s="296">
        <v>6</v>
      </c>
      <c r="AD123" s="301">
        <v>14036.34</v>
      </c>
      <c r="AE123" s="301">
        <v>963.65999999999985</v>
      </c>
      <c r="AF123" s="301">
        <v>1122.9072000000001</v>
      </c>
      <c r="AG123" s="301"/>
      <c r="AH123" s="301"/>
      <c r="AI123" s="301"/>
      <c r="AJ123" s="301"/>
      <c r="AK123" s="301">
        <v>80</v>
      </c>
      <c r="AL123" s="301"/>
      <c r="AM123" s="301"/>
      <c r="AN123" s="301"/>
      <c r="AO123" s="301"/>
      <c r="AP123" s="301"/>
      <c r="AQ123" s="301"/>
      <c r="AR123" s="301"/>
      <c r="AS123" s="301"/>
      <c r="AT123" s="301"/>
      <c r="AU123" s="301"/>
      <c r="AV123" s="301"/>
      <c r="AW123" s="301"/>
      <c r="AX123" s="301"/>
      <c r="AY123" s="301"/>
      <c r="AZ123" s="301"/>
      <c r="BA123" s="301"/>
      <c r="BB123" s="301"/>
      <c r="BC123" s="301"/>
      <c r="BD123" s="301"/>
      <c r="BE123" s="301"/>
      <c r="BF123" s="301"/>
      <c r="BG123" s="301"/>
      <c r="BH123" s="301"/>
      <c r="BI123" s="301"/>
      <c r="BJ123" s="301"/>
      <c r="BK123" s="301"/>
      <c r="BL123" s="301"/>
      <c r="BM123" s="302"/>
      <c r="BN123" s="291">
        <f>+MAX($D$3,DATOS_[[#This Row],[Fecha Inicio Sit. Contract.]])</f>
        <v>45292</v>
      </c>
      <c r="BO123" s="291">
        <f>+MIN($D$4,DATOS_[[#This Row],[Fecha Fin Sit. Contract.]])</f>
        <v>45657</v>
      </c>
      <c r="BP123" s="292">
        <f>+DATOS_[[#This Row],[% de jornada]]*IF(DATOS_[[#This Row],[% jornada reducida]]="",1,DATOS_[[#This Row],[% jornada reducida]])</f>
        <v>1</v>
      </c>
      <c r="BQ123" s="292">
        <f>+(DATOS_[[#This Row],[F.fin.cal]]-DATOS_[[#This Row],[F.ini.cal]]+1)/($D$4-$D$3+1)</f>
        <v>1</v>
      </c>
      <c r="BR123" s="322" t="str">
        <f>IF(OR(AND(DATOS_[[#This Row],[Fecha Fin Contrato]]&lt;$D$3,DATOS_[[#This Row],[Fecha Fin Contrato]]&lt;&gt;""),DATOS_[[#This Row],[Fecha de Contratación]]&gt;$D$4),"Fuera","Dentro")</f>
        <v>Dentro</v>
      </c>
      <c r="BS123" s="322" t="str">
        <f t="array" ref="BS123">IF(MAX(IF(DATOS_[id]=DATOS_[[#This Row],[id]],DATOS_[F.fin.cal]))=DATOS_[[#This Row],[F.fin.cal]],"Sí","NO")</f>
        <v>Sí</v>
      </c>
      <c r="BT123" s="292" t="str">
        <f>IF(AND(DATOS_[[#This Row],[% normaliz]]&lt;&gt;1,DATOS_[[#This Row],[% anualiz]]=1),"Sí","NO")</f>
        <v>NO</v>
      </c>
      <c r="BU123" s="292" t="str">
        <f>IF(AND(DATOS_[[#This Row],[% normaliz]]=1,DATOS_[[#This Row],[% anualiz]]&lt;&gt;1),"Sí","NO")</f>
        <v>NO</v>
      </c>
      <c r="BV123" s="292" t="str">
        <f>IF(AND(DATOS_[[#This Row],[% normaliz]]&lt;&gt;1,DATOS_[[#This Row],[% anualiz]]&lt;&gt;1),"Sí","NO")</f>
        <v>NO</v>
      </c>
      <c r="BW123" s="322" t="str">
        <f>+IF(DATOS_[[#This Row],[% normaliz]]*DATOS_[[#This Row],[% anualiz]]=1,"NO","Sí")</f>
        <v>NO</v>
      </c>
      <c r="BX123" s="323">
        <f>(DATOS_[[#This Row],[S.BASE]]*(1/DATOS_[[#This Row],[% normaliz]])*(1/DATOS_[[#This Row],[% anualiz]]))*IF(DATOS_[[#This Row],[Check Equiparado]]="Sí",1,0)</f>
        <v>14036.34</v>
      </c>
      <c r="BY12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2166.5672</v>
      </c>
      <c r="BZ123" s="323">
        <f>+DATOS_[[#This Row],[SALARIO BASE Eq]]+DATOS_[[#This Row],[Tot COMPL.SAL Eq]]</f>
        <v>16202.9072</v>
      </c>
      <c r="CA123" s="323">
        <f t="array" ref="CA1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3" s="323">
        <f>+DATOS_[[#This Row],[TOTAL SALARIO Eq]]+DATOS_[[#This Row],[Tot Extrasalarial Eq]]</f>
        <v>16202.9072</v>
      </c>
      <c r="CC123" s="327">
        <f>DATOS_[[#This Row],[S.BASE]]</f>
        <v>14036.34</v>
      </c>
      <c r="CD123" s="324">
        <f>+SUM(DATOS_[[#This Row],[Conc.Sal.01]:[Conc.Sal.30]])</f>
        <v>2166.5672</v>
      </c>
      <c r="CE123" s="324">
        <f>+DATOS_[[#This Row],[SALARIO BASE Ef]]+DATOS_[[#This Row],[Tot COMPL.SAL Ef]]</f>
        <v>16202.9072</v>
      </c>
      <c r="CF123" s="324">
        <f>+SUM(DATOS_[[#This Row],[C.Extra.01]:[C.Extra.05]])</f>
        <v>0</v>
      </c>
      <c r="CG123" s="330">
        <f>+DATOS_[[#This Row],[TOTAL SALARIO Ef]]+DATOS_[[#This Row],[Tot Extrasalarial Ef]]</f>
        <v>16202.9072</v>
      </c>
      <c r="CH123" s="303">
        <f>MIN(IF(DATOS_[[#This Row],[Fecha Fin Contrato]]="",$D$4,DATOS_[[#This Row],[Fecha Fin Contrato]]),$D$4)-MAX(DATOS_[[#This Row],[Fecha de Contratación]],$D$3)+1</f>
        <v>366</v>
      </c>
      <c r="CI123" s="304" t="str">
        <f>IF(COUNTIFS(DATOS_[id],DATOS_[[#This Row],[id]])&gt;1,DATOS_[[#This Row],[id]],"")</f>
        <v/>
      </c>
      <c r="CJ123" s="325">
        <f>(Inicio!$G$10-DATOS_[[#This Row],[Fecha Nacimiento]])/365.25</f>
        <v>39.060917180013689</v>
      </c>
      <c r="CK123" s="325">
        <f>(Inicio!$G$10-DATOS_[[#This Row],[Fecha de Antigüedad]])/365.25</f>
        <v>13.393566050650239</v>
      </c>
      <c r="CL123" s="325" t="str">
        <f>+VLOOKUP(DATOS_[[#This Row],[Clave de Contrato]],TblTiposContrato13[],3,FALSE)</f>
        <v>Completa</v>
      </c>
      <c r="CM123" s="325" t="str">
        <f>+VLOOKUP(DATOS_[[#This Row],[Clave de Contrato]],TblTiposContrato13[],4,FALSE)</f>
        <v>Indefinido</v>
      </c>
      <c r="CN123" s="325" t="str">
        <f>VLOOKUP(DATOS_[[#This Row],[Edad]],CONTRATOS!TblRngEdad,2,TRUE)</f>
        <v>35 a 40</v>
      </c>
      <c r="CO123" s="325" t="str">
        <f>VLOOKUP(DATOS_[[#This Row],[Antigüedad]],TblRngAntg14[],2,TRUE)</f>
        <v>de 10 a 15  años</v>
      </c>
    </row>
    <row r="124" spans="2:93" x14ac:dyDescent="0.25">
      <c r="B124" s="146">
        <v>111</v>
      </c>
      <c r="C124" s="146" t="s">
        <v>163</v>
      </c>
      <c r="D124" s="295">
        <v>29565</v>
      </c>
      <c r="E124" s="296" t="s">
        <v>428</v>
      </c>
      <c r="F124" s="296">
        <v>3</v>
      </c>
      <c r="G124" s="296">
        <v>0</v>
      </c>
      <c r="H124" s="297">
        <v>40839</v>
      </c>
      <c r="I124" s="298"/>
      <c r="J124" s="295">
        <v>40839</v>
      </c>
      <c r="K124" s="326"/>
      <c r="L124" s="326"/>
      <c r="M124" s="299">
        <v>1</v>
      </c>
      <c r="N124" s="299"/>
      <c r="O124" s="299"/>
      <c r="P124" s="296">
        <v>100</v>
      </c>
      <c r="Q124" s="146" t="s">
        <v>412</v>
      </c>
      <c r="R124" s="146" t="s">
        <v>417</v>
      </c>
      <c r="S124" s="146" t="s">
        <v>433</v>
      </c>
      <c r="T124" s="146" t="s">
        <v>432</v>
      </c>
      <c r="U124" s="146" t="s">
        <v>400</v>
      </c>
      <c r="V124" s="146" t="s">
        <v>126</v>
      </c>
      <c r="W124" s="146" t="s">
        <v>301</v>
      </c>
      <c r="X124" s="146" t="s">
        <v>309</v>
      </c>
      <c r="Y124" s="146" t="s">
        <v>409</v>
      </c>
      <c r="Z124" s="293"/>
      <c r="AA124" s="294" t="s">
        <v>434</v>
      </c>
      <c r="AB124" s="294">
        <v>7</v>
      </c>
      <c r="AC124" s="296">
        <v>6</v>
      </c>
      <c r="AD124" s="301">
        <v>14036.34</v>
      </c>
      <c r="AE124" s="301">
        <v>963.65999999999985</v>
      </c>
      <c r="AF124" s="301">
        <v>1122.9072000000001</v>
      </c>
      <c r="AG124" s="301"/>
      <c r="AH124" s="301"/>
      <c r="AI124" s="301"/>
      <c r="AJ124" s="301"/>
      <c r="AK124" s="301">
        <v>80</v>
      </c>
      <c r="AL124" s="301"/>
      <c r="AM124" s="301"/>
      <c r="AN124" s="301"/>
      <c r="AO124" s="301"/>
      <c r="AP124" s="301"/>
      <c r="AQ124" s="301"/>
      <c r="AR124" s="301"/>
      <c r="AS124" s="301"/>
      <c r="AT124" s="301"/>
      <c r="AU124" s="301"/>
      <c r="AV124" s="301"/>
      <c r="AW124" s="301"/>
      <c r="AX124" s="301"/>
      <c r="AY124" s="301"/>
      <c r="AZ124" s="301"/>
      <c r="BA124" s="301"/>
      <c r="BB124" s="301"/>
      <c r="BC124" s="301"/>
      <c r="BD124" s="301"/>
      <c r="BE124" s="301"/>
      <c r="BF124" s="301"/>
      <c r="BG124" s="301"/>
      <c r="BH124" s="301"/>
      <c r="BI124" s="301"/>
      <c r="BJ124" s="301"/>
      <c r="BK124" s="301"/>
      <c r="BL124" s="301"/>
      <c r="BM124" s="302"/>
      <c r="BN124" s="291">
        <f>+MAX($D$3,DATOS_[[#This Row],[Fecha Inicio Sit. Contract.]])</f>
        <v>45292</v>
      </c>
      <c r="BO124" s="291">
        <f>+MIN($D$4,DATOS_[[#This Row],[Fecha Fin Sit. Contract.]])</f>
        <v>45657</v>
      </c>
      <c r="BP124" s="292">
        <f>+DATOS_[[#This Row],[% de jornada]]*IF(DATOS_[[#This Row],[% jornada reducida]]="",1,DATOS_[[#This Row],[% jornada reducida]])</f>
        <v>1</v>
      </c>
      <c r="BQ124" s="292">
        <f>+(DATOS_[[#This Row],[F.fin.cal]]-DATOS_[[#This Row],[F.ini.cal]]+1)/($D$4-$D$3+1)</f>
        <v>1</v>
      </c>
      <c r="BR124" s="322" t="str">
        <f>IF(OR(AND(DATOS_[[#This Row],[Fecha Fin Contrato]]&lt;$D$3,DATOS_[[#This Row],[Fecha Fin Contrato]]&lt;&gt;""),DATOS_[[#This Row],[Fecha de Contratación]]&gt;$D$4),"Fuera","Dentro")</f>
        <v>Dentro</v>
      </c>
      <c r="BS124" s="322" t="str">
        <f t="array" ref="BS124">IF(MAX(IF(DATOS_[id]=DATOS_[[#This Row],[id]],DATOS_[F.fin.cal]))=DATOS_[[#This Row],[F.fin.cal]],"Sí","NO")</f>
        <v>Sí</v>
      </c>
      <c r="BT124" s="292" t="str">
        <f>IF(AND(DATOS_[[#This Row],[% normaliz]]&lt;&gt;1,DATOS_[[#This Row],[% anualiz]]=1),"Sí","NO")</f>
        <v>NO</v>
      </c>
      <c r="BU124" s="292" t="str">
        <f>IF(AND(DATOS_[[#This Row],[% normaliz]]=1,DATOS_[[#This Row],[% anualiz]]&lt;&gt;1),"Sí","NO")</f>
        <v>NO</v>
      </c>
      <c r="BV124" s="292" t="str">
        <f>IF(AND(DATOS_[[#This Row],[% normaliz]]&lt;&gt;1,DATOS_[[#This Row],[% anualiz]]&lt;&gt;1),"Sí","NO")</f>
        <v>NO</v>
      </c>
      <c r="BW124" s="322" t="str">
        <f>+IF(DATOS_[[#This Row],[% normaliz]]*DATOS_[[#This Row],[% anualiz]]=1,"NO","Sí")</f>
        <v>NO</v>
      </c>
      <c r="BX124" s="323">
        <f>(DATOS_[[#This Row],[S.BASE]]*(1/DATOS_[[#This Row],[% normaliz]])*(1/DATOS_[[#This Row],[% anualiz]]))*IF(DATOS_[[#This Row],[Check Equiparado]]="Sí",1,0)</f>
        <v>14036.34</v>
      </c>
      <c r="BY12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2166.5672</v>
      </c>
      <c r="BZ124" s="323">
        <f>+DATOS_[[#This Row],[SALARIO BASE Eq]]+DATOS_[[#This Row],[Tot COMPL.SAL Eq]]</f>
        <v>16202.9072</v>
      </c>
      <c r="CA124" s="323">
        <f t="array" ref="CA1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4" s="323">
        <f>+DATOS_[[#This Row],[TOTAL SALARIO Eq]]+DATOS_[[#This Row],[Tot Extrasalarial Eq]]</f>
        <v>16202.9072</v>
      </c>
      <c r="CC124" s="327">
        <f>DATOS_[[#This Row],[S.BASE]]</f>
        <v>14036.34</v>
      </c>
      <c r="CD124" s="324">
        <f>+SUM(DATOS_[[#This Row],[Conc.Sal.01]:[Conc.Sal.30]])</f>
        <v>2166.5672</v>
      </c>
      <c r="CE124" s="324">
        <f>+DATOS_[[#This Row],[SALARIO BASE Ef]]+DATOS_[[#This Row],[Tot COMPL.SAL Ef]]</f>
        <v>16202.9072</v>
      </c>
      <c r="CF124" s="324">
        <f>+SUM(DATOS_[[#This Row],[C.Extra.01]:[C.Extra.05]])</f>
        <v>0</v>
      </c>
      <c r="CG124" s="330">
        <f>+DATOS_[[#This Row],[TOTAL SALARIO Ef]]+DATOS_[[#This Row],[Tot Extrasalarial Ef]]</f>
        <v>16202.9072</v>
      </c>
      <c r="CH124" s="303">
        <f>MIN(IF(DATOS_[[#This Row],[Fecha Fin Contrato]]="",$D$4,DATOS_[[#This Row],[Fecha Fin Contrato]]),$D$4)-MAX(DATOS_[[#This Row],[Fecha de Contratación]],$D$3)+1</f>
        <v>366</v>
      </c>
      <c r="CI124" s="304" t="str">
        <f>IF(COUNTIFS(DATOS_[id],DATOS_[[#This Row],[id]])&gt;1,DATOS_[[#This Row],[id]],"")</f>
        <v/>
      </c>
      <c r="CJ124" s="325">
        <f>(Inicio!$G$10-DATOS_[[#This Row],[Fecha Nacimiento]])/365.25</f>
        <v>44.057494866529773</v>
      </c>
      <c r="CK124" s="325">
        <f>(Inicio!$G$10-DATOS_[[#This Row],[Fecha de Antigüedad]])/365.25</f>
        <v>13.190965092402465</v>
      </c>
      <c r="CL124" s="325" t="str">
        <f>+VLOOKUP(DATOS_[[#This Row],[Clave de Contrato]],TblTiposContrato13[],3,FALSE)</f>
        <v>Completa</v>
      </c>
      <c r="CM124" s="325" t="str">
        <f>+VLOOKUP(DATOS_[[#This Row],[Clave de Contrato]],TblTiposContrato13[],4,FALSE)</f>
        <v>Indefinido</v>
      </c>
      <c r="CN124" s="325" t="str">
        <f>VLOOKUP(DATOS_[[#This Row],[Edad]],CONTRATOS!TblRngEdad,2,TRUE)</f>
        <v>40 a 45</v>
      </c>
      <c r="CO124" s="325" t="str">
        <f>VLOOKUP(DATOS_[[#This Row],[Antigüedad]],TblRngAntg14[],2,TRUE)</f>
        <v>de 10 a 15  años</v>
      </c>
    </row>
    <row r="125" spans="2:93" x14ac:dyDescent="0.25">
      <c r="B125" s="146">
        <v>112</v>
      </c>
      <c r="C125" s="146" t="s">
        <v>163</v>
      </c>
      <c r="D125" s="295">
        <v>32850</v>
      </c>
      <c r="E125" s="296" t="s">
        <v>428</v>
      </c>
      <c r="F125" s="296">
        <v>3</v>
      </c>
      <c r="G125" s="296">
        <v>0</v>
      </c>
      <c r="H125" s="297">
        <v>40948</v>
      </c>
      <c r="I125" s="298"/>
      <c r="J125" s="295">
        <v>40948</v>
      </c>
      <c r="K125" s="326"/>
      <c r="L125" s="326"/>
      <c r="M125" s="299">
        <v>1</v>
      </c>
      <c r="N125" s="299">
        <v>0.5</v>
      </c>
      <c r="O125" s="299" t="s">
        <v>147</v>
      </c>
      <c r="P125" s="296">
        <v>100</v>
      </c>
      <c r="Q125" s="146" t="s">
        <v>431</v>
      </c>
      <c r="R125" s="146" t="s">
        <v>419</v>
      </c>
      <c r="S125" s="146" t="s">
        <v>433</v>
      </c>
      <c r="T125" s="146" t="s">
        <v>432</v>
      </c>
      <c r="U125" s="146" t="s">
        <v>400</v>
      </c>
      <c r="V125" s="146" t="s">
        <v>126</v>
      </c>
      <c r="W125" s="146" t="s">
        <v>301</v>
      </c>
      <c r="X125" s="146" t="s">
        <v>309</v>
      </c>
      <c r="Y125" s="146" t="s">
        <v>409</v>
      </c>
      <c r="Z125" s="293"/>
      <c r="AA125" s="294" t="s">
        <v>434</v>
      </c>
      <c r="AB125" s="294">
        <v>7</v>
      </c>
      <c r="AC125" s="296">
        <v>6</v>
      </c>
      <c r="AD125" s="301">
        <v>7018.17</v>
      </c>
      <c r="AE125" s="301">
        <v>481.82999999999993</v>
      </c>
      <c r="AF125" s="301">
        <v>280.72680000000003</v>
      </c>
      <c r="AG125" s="301"/>
      <c r="AH125" s="301"/>
      <c r="AI125" s="301"/>
      <c r="AJ125" s="301"/>
      <c r="AK125" s="301">
        <v>80</v>
      </c>
      <c r="AL125" s="301"/>
      <c r="AM125" s="301"/>
      <c r="AN125" s="301"/>
      <c r="AO125" s="301"/>
      <c r="AP125" s="301"/>
      <c r="AQ125" s="301"/>
      <c r="AR125" s="301"/>
      <c r="AS125" s="301"/>
      <c r="AT125" s="301"/>
      <c r="AU125" s="301"/>
      <c r="AV125" s="301"/>
      <c r="AW125" s="301"/>
      <c r="AX125" s="301"/>
      <c r="AY125" s="301"/>
      <c r="AZ125" s="301"/>
      <c r="BA125" s="301"/>
      <c r="BB125" s="301"/>
      <c r="BC125" s="301"/>
      <c r="BD125" s="301"/>
      <c r="BE125" s="301"/>
      <c r="BF125" s="301"/>
      <c r="BG125" s="301"/>
      <c r="BH125" s="301"/>
      <c r="BI125" s="301"/>
      <c r="BJ125" s="301"/>
      <c r="BK125" s="301"/>
      <c r="BL125" s="301"/>
      <c r="BM125" s="302"/>
      <c r="BN125" s="291">
        <f>+MAX($D$3,DATOS_[[#This Row],[Fecha Inicio Sit. Contract.]])</f>
        <v>45292</v>
      </c>
      <c r="BO125" s="291">
        <f>+MIN($D$4,DATOS_[[#This Row],[Fecha Fin Sit. Contract.]])</f>
        <v>45657</v>
      </c>
      <c r="BP125" s="292">
        <f>+DATOS_[[#This Row],[% de jornada]]*IF(DATOS_[[#This Row],[% jornada reducida]]="",1,DATOS_[[#This Row],[% jornada reducida]])</f>
        <v>0.5</v>
      </c>
      <c r="BQ125" s="292">
        <f>+(DATOS_[[#This Row],[F.fin.cal]]-DATOS_[[#This Row],[F.ini.cal]]+1)/($D$4-$D$3+1)</f>
        <v>1</v>
      </c>
      <c r="BR125" s="322" t="str">
        <f>IF(OR(AND(DATOS_[[#This Row],[Fecha Fin Contrato]]&lt;$D$3,DATOS_[[#This Row],[Fecha Fin Contrato]]&lt;&gt;""),DATOS_[[#This Row],[Fecha de Contratación]]&gt;$D$4),"Fuera","Dentro")</f>
        <v>Dentro</v>
      </c>
      <c r="BS125" s="322" t="str">
        <f t="array" ref="BS125">IF(MAX(IF(DATOS_[id]=DATOS_[[#This Row],[id]],DATOS_[F.fin.cal]))=DATOS_[[#This Row],[F.fin.cal]],"Sí","NO")</f>
        <v>Sí</v>
      </c>
      <c r="BT125" s="292" t="str">
        <f>IF(AND(DATOS_[[#This Row],[% normaliz]]&lt;&gt;1,DATOS_[[#This Row],[% anualiz]]=1),"Sí","NO")</f>
        <v>Sí</v>
      </c>
      <c r="BU125" s="292" t="str">
        <f>IF(AND(DATOS_[[#This Row],[% normaliz]]=1,DATOS_[[#This Row],[% anualiz]]&lt;&gt;1),"Sí","NO")</f>
        <v>NO</v>
      </c>
      <c r="BV125" s="292" t="str">
        <f>IF(AND(DATOS_[[#This Row],[% normaliz]]&lt;&gt;1,DATOS_[[#This Row],[% anualiz]]&lt;&gt;1),"Sí","NO")</f>
        <v>NO</v>
      </c>
      <c r="BW125" s="322" t="str">
        <f>+IF(DATOS_[[#This Row],[% normaliz]]*DATOS_[[#This Row],[% anualiz]]=1,"NO","Sí")</f>
        <v>Sí</v>
      </c>
      <c r="BX125" s="323">
        <f>(DATOS_[[#This Row],[S.BASE]]*(1/DATOS_[[#This Row],[% normaliz]])*(1/DATOS_[[#This Row],[% anualiz]]))*IF(DATOS_[[#This Row],[Check Equiparado]]="Sí",1,0)</f>
        <v>14036.34</v>
      </c>
      <c r="BY12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1605.1135999999999</v>
      </c>
      <c r="BZ125" s="323">
        <f>+DATOS_[[#This Row],[SALARIO BASE Eq]]+DATOS_[[#This Row],[Tot COMPL.SAL Eq]]</f>
        <v>15641.453600000001</v>
      </c>
      <c r="CA125" s="323">
        <f t="array" ref="CA1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5" s="323">
        <f>+DATOS_[[#This Row],[TOTAL SALARIO Eq]]+DATOS_[[#This Row],[Tot Extrasalarial Eq]]</f>
        <v>15641.453600000001</v>
      </c>
      <c r="CC125" s="327">
        <f>DATOS_[[#This Row],[S.BASE]]</f>
        <v>7018.17</v>
      </c>
      <c r="CD125" s="324">
        <f>+SUM(DATOS_[[#This Row],[Conc.Sal.01]:[Conc.Sal.30]])</f>
        <v>842.55679999999995</v>
      </c>
      <c r="CE125" s="324">
        <f>+DATOS_[[#This Row],[SALARIO BASE Ef]]+DATOS_[[#This Row],[Tot COMPL.SAL Ef]]</f>
        <v>7860.7268000000004</v>
      </c>
      <c r="CF125" s="324">
        <f>+SUM(DATOS_[[#This Row],[C.Extra.01]:[C.Extra.05]])</f>
        <v>0</v>
      </c>
      <c r="CG125" s="330">
        <f>+DATOS_[[#This Row],[TOTAL SALARIO Ef]]+DATOS_[[#This Row],[Tot Extrasalarial Ef]]</f>
        <v>7860.7268000000004</v>
      </c>
      <c r="CH125" s="303">
        <f>MIN(IF(DATOS_[[#This Row],[Fecha Fin Contrato]]="",$D$4,DATOS_[[#This Row],[Fecha Fin Contrato]]),$D$4)-MAX(DATOS_[[#This Row],[Fecha de Contratación]],$D$3)+1</f>
        <v>366</v>
      </c>
      <c r="CI125" s="304" t="str">
        <f>IF(COUNTIFS(DATOS_[id],DATOS_[[#This Row],[id]])&gt;1,DATOS_[[#This Row],[id]],"")</f>
        <v/>
      </c>
      <c r="CJ125" s="325">
        <f>(Inicio!$G$10-DATOS_[[#This Row],[Fecha Nacimiento]])/365.25</f>
        <v>35.063655030800824</v>
      </c>
      <c r="CK125" s="325">
        <f>(Inicio!$G$10-DATOS_[[#This Row],[Fecha de Antigüedad]])/365.25</f>
        <v>12.892539356605065</v>
      </c>
      <c r="CL125" s="325" t="str">
        <f>+VLOOKUP(DATOS_[[#This Row],[Clave de Contrato]],TblTiposContrato13[],3,FALSE)</f>
        <v>Completa</v>
      </c>
      <c r="CM125" s="325" t="str">
        <f>+VLOOKUP(DATOS_[[#This Row],[Clave de Contrato]],TblTiposContrato13[],4,FALSE)</f>
        <v>Indefinido</v>
      </c>
      <c r="CN125" s="325" t="str">
        <f>VLOOKUP(DATOS_[[#This Row],[Edad]],CONTRATOS!TblRngEdad,2,TRUE)</f>
        <v>35 a 40</v>
      </c>
      <c r="CO125" s="325" t="str">
        <f>VLOOKUP(DATOS_[[#This Row],[Antigüedad]],TblRngAntg14[],2,TRUE)</f>
        <v>de 10 a 15  años</v>
      </c>
    </row>
    <row r="126" spans="2:93" x14ac:dyDescent="0.25">
      <c r="B126" s="146">
        <v>113</v>
      </c>
      <c r="C126" s="146" t="s">
        <v>163</v>
      </c>
      <c r="D126" s="295">
        <v>35040</v>
      </c>
      <c r="E126" s="296" t="s">
        <v>428</v>
      </c>
      <c r="F126" s="296">
        <v>3</v>
      </c>
      <c r="G126" s="296">
        <v>0</v>
      </c>
      <c r="H126" s="297">
        <v>40948</v>
      </c>
      <c r="I126" s="298"/>
      <c r="J126" s="295">
        <v>40948</v>
      </c>
      <c r="K126" s="326"/>
      <c r="L126" s="326"/>
      <c r="M126" s="299">
        <v>1</v>
      </c>
      <c r="N126" s="299">
        <v>0.5</v>
      </c>
      <c r="O126" s="299" t="s">
        <v>147</v>
      </c>
      <c r="P126" s="296">
        <v>100</v>
      </c>
      <c r="Q126" s="146" t="s">
        <v>412</v>
      </c>
      <c r="R126" s="146" t="s">
        <v>417</v>
      </c>
      <c r="S126" s="146" t="s">
        <v>433</v>
      </c>
      <c r="T126" s="146" t="s">
        <v>432</v>
      </c>
      <c r="U126" s="146" t="s">
        <v>400</v>
      </c>
      <c r="V126" s="146" t="s">
        <v>126</v>
      </c>
      <c r="W126" s="146" t="s">
        <v>301</v>
      </c>
      <c r="X126" s="146" t="s">
        <v>309</v>
      </c>
      <c r="Y126" s="146" t="s">
        <v>409</v>
      </c>
      <c r="Z126" s="293"/>
      <c r="AA126" s="294" t="s">
        <v>434</v>
      </c>
      <c r="AB126" s="294">
        <v>7</v>
      </c>
      <c r="AC126" s="296">
        <v>6</v>
      </c>
      <c r="AD126" s="301">
        <v>7018.17</v>
      </c>
      <c r="AE126" s="301">
        <v>481.82999999999993</v>
      </c>
      <c r="AF126" s="301">
        <v>280.72680000000003</v>
      </c>
      <c r="AG126" s="301"/>
      <c r="AH126" s="301"/>
      <c r="AI126" s="301"/>
      <c r="AJ126" s="301"/>
      <c r="AK126" s="301">
        <v>80</v>
      </c>
      <c r="AL126" s="301"/>
      <c r="AM126" s="301"/>
      <c r="AN126" s="301"/>
      <c r="AO126" s="301"/>
      <c r="AP126" s="301"/>
      <c r="AQ126" s="301"/>
      <c r="AR126" s="301"/>
      <c r="AS126" s="301"/>
      <c r="AT126" s="301"/>
      <c r="AU126" s="301"/>
      <c r="AV126" s="301"/>
      <c r="AW126" s="301"/>
      <c r="AX126" s="301"/>
      <c r="AY126" s="301"/>
      <c r="AZ126" s="301"/>
      <c r="BA126" s="301"/>
      <c r="BB126" s="301"/>
      <c r="BC126" s="301"/>
      <c r="BD126" s="301"/>
      <c r="BE126" s="301"/>
      <c r="BF126" s="301"/>
      <c r="BG126" s="301"/>
      <c r="BH126" s="301"/>
      <c r="BI126" s="301"/>
      <c r="BJ126" s="301"/>
      <c r="BK126" s="301"/>
      <c r="BL126" s="301"/>
      <c r="BM126" s="302"/>
      <c r="BN126" s="291">
        <f>+MAX($D$3,DATOS_[[#This Row],[Fecha Inicio Sit. Contract.]])</f>
        <v>45292</v>
      </c>
      <c r="BO126" s="291">
        <f>+MIN($D$4,DATOS_[[#This Row],[Fecha Fin Sit. Contract.]])</f>
        <v>45657</v>
      </c>
      <c r="BP126" s="292">
        <f>+DATOS_[[#This Row],[% de jornada]]*IF(DATOS_[[#This Row],[% jornada reducida]]="",1,DATOS_[[#This Row],[% jornada reducida]])</f>
        <v>0.5</v>
      </c>
      <c r="BQ126" s="292">
        <f>+(DATOS_[[#This Row],[F.fin.cal]]-DATOS_[[#This Row],[F.ini.cal]]+1)/($D$4-$D$3+1)</f>
        <v>1</v>
      </c>
      <c r="BR126" s="322" t="str">
        <f>IF(OR(AND(DATOS_[[#This Row],[Fecha Fin Contrato]]&lt;$D$3,DATOS_[[#This Row],[Fecha Fin Contrato]]&lt;&gt;""),DATOS_[[#This Row],[Fecha de Contratación]]&gt;$D$4),"Fuera","Dentro")</f>
        <v>Dentro</v>
      </c>
      <c r="BS126" s="322" t="str">
        <f t="array" ref="BS126">IF(MAX(IF(DATOS_[id]=DATOS_[[#This Row],[id]],DATOS_[F.fin.cal]))=DATOS_[[#This Row],[F.fin.cal]],"Sí","NO")</f>
        <v>Sí</v>
      </c>
      <c r="BT126" s="292" t="str">
        <f>IF(AND(DATOS_[[#This Row],[% normaliz]]&lt;&gt;1,DATOS_[[#This Row],[% anualiz]]=1),"Sí","NO")</f>
        <v>Sí</v>
      </c>
      <c r="BU126" s="292" t="str">
        <f>IF(AND(DATOS_[[#This Row],[% normaliz]]=1,DATOS_[[#This Row],[% anualiz]]&lt;&gt;1),"Sí","NO")</f>
        <v>NO</v>
      </c>
      <c r="BV126" s="292" t="str">
        <f>IF(AND(DATOS_[[#This Row],[% normaliz]]&lt;&gt;1,DATOS_[[#This Row],[% anualiz]]&lt;&gt;1),"Sí","NO")</f>
        <v>NO</v>
      </c>
      <c r="BW126" s="322" t="str">
        <f>+IF(DATOS_[[#This Row],[% normaliz]]*DATOS_[[#This Row],[% anualiz]]=1,"NO","Sí")</f>
        <v>Sí</v>
      </c>
      <c r="BX126" s="323">
        <f>(DATOS_[[#This Row],[S.BASE]]*(1/DATOS_[[#This Row],[% normaliz]])*(1/DATOS_[[#This Row],[% anualiz]]))*IF(DATOS_[[#This Row],[Check Equiparado]]="Sí",1,0)</f>
        <v>14036.34</v>
      </c>
      <c r="BY12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1605.1135999999999</v>
      </c>
      <c r="BZ126" s="323">
        <f>+DATOS_[[#This Row],[SALARIO BASE Eq]]+DATOS_[[#This Row],[Tot COMPL.SAL Eq]]</f>
        <v>15641.453600000001</v>
      </c>
      <c r="CA126" s="323">
        <f t="array" ref="CA1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6" s="323">
        <f>+DATOS_[[#This Row],[TOTAL SALARIO Eq]]+DATOS_[[#This Row],[Tot Extrasalarial Eq]]</f>
        <v>15641.453600000001</v>
      </c>
      <c r="CC126" s="327">
        <f>DATOS_[[#This Row],[S.BASE]]</f>
        <v>7018.17</v>
      </c>
      <c r="CD126" s="324">
        <f>+SUM(DATOS_[[#This Row],[Conc.Sal.01]:[Conc.Sal.30]])</f>
        <v>842.55679999999995</v>
      </c>
      <c r="CE126" s="324">
        <f>+DATOS_[[#This Row],[SALARIO BASE Ef]]+DATOS_[[#This Row],[Tot COMPL.SAL Ef]]</f>
        <v>7860.7268000000004</v>
      </c>
      <c r="CF126" s="324">
        <f>+SUM(DATOS_[[#This Row],[C.Extra.01]:[C.Extra.05]])</f>
        <v>0</v>
      </c>
      <c r="CG126" s="330">
        <f>+DATOS_[[#This Row],[TOTAL SALARIO Ef]]+DATOS_[[#This Row],[Tot Extrasalarial Ef]]</f>
        <v>7860.7268000000004</v>
      </c>
      <c r="CH126" s="303">
        <f>MIN(IF(DATOS_[[#This Row],[Fecha Fin Contrato]]="",$D$4,DATOS_[[#This Row],[Fecha Fin Contrato]]),$D$4)-MAX(DATOS_[[#This Row],[Fecha de Contratación]],$D$3)+1</f>
        <v>366</v>
      </c>
      <c r="CI126" s="304" t="str">
        <f>IF(COUNTIFS(DATOS_[id],DATOS_[[#This Row],[id]])&gt;1,DATOS_[[#This Row],[id]],"")</f>
        <v/>
      </c>
      <c r="CJ126" s="325">
        <f>(Inicio!$G$10-DATOS_[[#This Row],[Fecha Nacimiento]])/365.25</f>
        <v>29.067761806981519</v>
      </c>
      <c r="CK126" s="325">
        <f>(Inicio!$G$10-DATOS_[[#This Row],[Fecha de Antigüedad]])/365.25</f>
        <v>12.892539356605065</v>
      </c>
      <c r="CL126" s="325" t="str">
        <f>+VLOOKUP(DATOS_[[#This Row],[Clave de Contrato]],TblTiposContrato13[],3,FALSE)</f>
        <v>Completa</v>
      </c>
      <c r="CM126" s="325" t="str">
        <f>+VLOOKUP(DATOS_[[#This Row],[Clave de Contrato]],TblTiposContrato13[],4,FALSE)</f>
        <v>Indefinido</v>
      </c>
      <c r="CN126" s="325" t="str">
        <f>VLOOKUP(DATOS_[[#This Row],[Edad]],CONTRATOS!TblRngEdad,2,TRUE)</f>
        <v>25 a 30</v>
      </c>
      <c r="CO126" s="325" t="str">
        <f>VLOOKUP(DATOS_[[#This Row],[Antigüedad]],TblRngAntg14[],2,TRUE)</f>
        <v>de 10 a 15  años</v>
      </c>
    </row>
    <row r="127" spans="2:93" x14ac:dyDescent="0.25">
      <c r="B127" s="146">
        <v>114</v>
      </c>
      <c r="C127" s="146" t="s">
        <v>163</v>
      </c>
      <c r="D127" s="295">
        <v>26645</v>
      </c>
      <c r="E127" s="296" t="s">
        <v>428</v>
      </c>
      <c r="F127" s="296">
        <v>3</v>
      </c>
      <c r="G127" s="296">
        <v>0</v>
      </c>
      <c r="H127" s="297">
        <v>41021</v>
      </c>
      <c r="I127" s="298"/>
      <c r="J127" s="295">
        <v>41021</v>
      </c>
      <c r="K127" s="326"/>
      <c r="L127" s="326"/>
      <c r="M127" s="299">
        <v>1</v>
      </c>
      <c r="N127" s="299">
        <v>0.5</v>
      </c>
      <c r="O127" s="299" t="s">
        <v>147</v>
      </c>
      <c r="P127" s="296">
        <v>100</v>
      </c>
      <c r="Q127" s="146" t="s">
        <v>431</v>
      </c>
      <c r="R127" s="146" t="s">
        <v>419</v>
      </c>
      <c r="S127" s="146" t="s">
        <v>433</v>
      </c>
      <c r="T127" s="146" t="s">
        <v>432</v>
      </c>
      <c r="U127" s="146" t="s">
        <v>400</v>
      </c>
      <c r="V127" s="146" t="s">
        <v>126</v>
      </c>
      <c r="W127" s="146" t="s">
        <v>301</v>
      </c>
      <c r="X127" s="146" t="s">
        <v>309</v>
      </c>
      <c r="Y127" s="146" t="s">
        <v>409</v>
      </c>
      <c r="Z127" s="293"/>
      <c r="AA127" s="294" t="s">
        <v>434</v>
      </c>
      <c r="AB127" s="294">
        <v>7</v>
      </c>
      <c r="AC127" s="296">
        <v>6</v>
      </c>
      <c r="AD127" s="301">
        <v>7018.17</v>
      </c>
      <c r="AE127" s="301">
        <v>481.82999999999993</v>
      </c>
      <c r="AF127" s="301">
        <v>280.72680000000003</v>
      </c>
      <c r="AG127" s="301"/>
      <c r="AH127" s="301"/>
      <c r="AI127" s="301"/>
      <c r="AJ127" s="301"/>
      <c r="AK127" s="301">
        <v>80</v>
      </c>
      <c r="AL127" s="301"/>
      <c r="AM127" s="301"/>
      <c r="AN127" s="301"/>
      <c r="AO127" s="301"/>
      <c r="AP127" s="301"/>
      <c r="AQ127" s="301"/>
      <c r="AR127" s="301"/>
      <c r="AS127" s="301"/>
      <c r="AT127" s="301"/>
      <c r="AU127" s="301"/>
      <c r="AV127" s="301"/>
      <c r="AW127" s="301"/>
      <c r="AX127" s="301"/>
      <c r="AY127" s="301"/>
      <c r="AZ127" s="301"/>
      <c r="BA127" s="301"/>
      <c r="BB127" s="301"/>
      <c r="BC127" s="301"/>
      <c r="BD127" s="301"/>
      <c r="BE127" s="301"/>
      <c r="BF127" s="301"/>
      <c r="BG127" s="301"/>
      <c r="BH127" s="301"/>
      <c r="BI127" s="301"/>
      <c r="BJ127" s="301"/>
      <c r="BK127" s="301"/>
      <c r="BL127" s="301"/>
      <c r="BM127" s="302"/>
      <c r="BN127" s="291">
        <f>+MAX($D$3,DATOS_[[#This Row],[Fecha Inicio Sit. Contract.]])</f>
        <v>45292</v>
      </c>
      <c r="BO127" s="291">
        <f>+MIN($D$4,DATOS_[[#This Row],[Fecha Fin Sit. Contract.]])</f>
        <v>45657</v>
      </c>
      <c r="BP127" s="292">
        <f>+DATOS_[[#This Row],[% de jornada]]*IF(DATOS_[[#This Row],[% jornada reducida]]="",1,DATOS_[[#This Row],[% jornada reducida]])</f>
        <v>0.5</v>
      </c>
      <c r="BQ127" s="292">
        <f>+(DATOS_[[#This Row],[F.fin.cal]]-DATOS_[[#This Row],[F.ini.cal]]+1)/($D$4-$D$3+1)</f>
        <v>1</v>
      </c>
      <c r="BR127" s="322" t="str">
        <f>IF(OR(AND(DATOS_[[#This Row],[Fecha Fin Contrato]]&lt;$D$3,DATOS_[[#This Row],[Fecha Fin Contrato]]&lt;&gt;""),DATOS_[[#This Row],[Fecha de Contratación]]&gt;$D$4),"Fuera","Dentro")</f>
        <v>Dentro</v>
      </c>
      <c r="BS127" s="322" t="str">
        <f t="array" ref="BS127">IF(MAX(IF(DATOS_[id]=DATOS_[[#This Row],[id]],DATOS_[F.fin.cal]))=DATOS_[[#This Row],[F.fin.cal]],"Sí","NO")</f>
        <v>Sí</v>
      </c>
      <c r="BT127" s="292" t="str">
        <f>IF(AND(DATOS_[[#This Row],[% normaliz]]&lt;&gt;1,DATOS_[[#This Row],[% anualiz]]=1),"Sí","NO")</f>
        <v>Sí</v>
      </c>
      <c r="BU127" s="292" t="str">
        <f>IF(AND(DATOS_[[#This Row],[% normaliz]]=1,DATOS_[[#This Row],[% anualiz]]&lt;&gt;1),"Sí","NO")</f>
        <v>NO</v>
      </c>
      <c r="BV127" s="292" t="str">
        <f>IF(AND(DATOS_[[#This Row],[% normaliz]]&lt;&gt;1,DATOS_[[#This Row],[% anualiz]]&lt;&gt;1),"Sí","NO")</f>
        <v>NO</v>
      </c>
      <c r="BW127" s="322" t="str">
        <f>+IF(DATOS_[[#This Row],[% normaliz]]*DATOS_[[#This Row],[% anualiz]]=1,"NO","Sí")</f>
        <v>Sí</v>
      </c>
      <c r="BX127" s="323">
        <f>(DATOS_[[#This Row],[S.BASE]]*(1/DATOS_[[#This Row],[% normaliz]])*(1/DATOS_[[#This Row],[% anualiz]]))*IF(DATOS_[[#This Row],[Check Equiparado]]="Sí",1,0)</f>
        <v>14036.34</v>
      </c>
      <c r="BY12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1605.1135999999999</v>
      </c>
      <c r="BZ127" s="323">
        <f>+DATOS_[[#This Row],[SALARIO BASE Eq]]+DATOS_[[#This Row],[Tot COMPL.SAL Eq]]</f>
        <v>15641.453600000001</v>
      </c>
      <c r="CA127" s="323">
        <f t="array" ref="CA1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7" s="323">
        <f>+DATOS_[[#This Row],[TOTAL SALARIO Eq]]+DATOS_[[#This Row],[Tot Extrasalarial Eq]]</f>
        <v>15641.453600000001</v>
      </c>
      <c r="CC127" s="327">
        <f>DATOS_[[#This Row],[S.BASE]]</f>
        <v>7018.17</v>
      </c>
      <c r="CD127" s="324">
        <f>+SUM(DATOS_[[#This Row],[Conc.Sal.01]:[Conc.Sal.30]])</f>
        <v>842.55679999999995</v>
      </c>
      <c r="CE127" s="324">
        <f>+DATOS_[[#This Row],[SALARIO BASE Ef]]+DATOS_[[#This Row],[Tot COMPL.SAL Ef]]</f>
        <v>7860.7268000000004</v>
      </c>
      <c r="CF127" s="324">
        <f>+SUM(DATOS_[[#This Row],[C.Extra.01]:[C.Extra.05]])</f>
        <v>0</v>
      </c>
      <c r="CG127" s="330">
        <f>+DATOS_[[#This Row],[TOTAL SALARIO Ef]]+DATOS_[[#This Row],[Tot Extrasalarial Ef]]</f>
        <v>7860.7268000000004</v>
      </c>
      <c r="CH127" s="303">
        <f>MIN(IF(DATOS_[[#This Row],[Fecha Fin Contrato]]="",$D$4,DATOS_[[#This Row],[Fecha Fin Contrato]]),$D$4)-MAX(DATOS_[[#This Row],[Fecha de Contratación]],$D$3)+1</f>
        <v>366</v>
      </c>
      <c r="CI127" s="304" t="str">
        <f>IF(COUNTIFS(DATOS_[id],DATOS_[[#This Row],[id]])&gt;1,DATOS_[[#This Row],[id]],"")</f>
        <v/>
      </c>
      <c r="CJ127" s="325">
        <f>(Inicio!$G$10-DATOS_[[#This Row],[Fecha Nacimiento]])/365.25</f>
        <v>52.05201916495551</v>
      </c>
      <c r="CK127" s="325">
        <f>(Inicio!$G$10-DATOS_[[#This Row],[Fecha de Antigüedad]])/365.25</f>
        <v>12.692676249144421</v>
      </c>
      <c r="CL127" s="325" t="str">
        <f>+VLOOKUP(DATOS_[[#This Row],[Clave de Contrato]],TblTiposContrato13[],3,FALSE)</f>
        <v>Completa</v>
      </c>
      <c r="CM127" s="325" t="str">
        <f>+VLOOKUP(DATOS_[[#This Row],[Clave de Contrato]],TblTiposContrato13[],4,FALSE)</f>
        <v>Indefinido</v>
      </c>
      <c r="CN127" s="325" t="str">
        <f>VLOOKUP(DATOS_[[#This Row],[Edad]],CONTRATOS!TblRngEdad,2,TRUE)</f>
        <v>50 a 55</v>
      </c>
      <c r="CO127" s="325" t="str">
        <f>VLOOKUP(DATOS_[[#This Row],[Antigüedad]],TblRngAntg14[],2,TRUE)</f>
        <v>de 10 a 15  años</v>
      </c>
    </row>
    <row r="128" spans="2:93" x14ac:dyDescent="0.25">
      <c r="B128" s="146">
        <v>115</v>
      </c>
      <c r="C128" s="146" t="s">
        <v>163</v>
      </c>
      <c r="D128" s="295">
        <v>36500</v>
      </c>
      <c r="E128" s="296" t="s">
        <v>71</v>
      </c>
      <c r="F128" s="296">
        <v>3</v>
      </c>
      <c r="G128" s="296">
        <v>0</v>
      </c>
      <c r="H128" s="297">
        <v>41131</v>
      </c>
      <c r="I128" s="298"/>
      <c r="J128" s="295">
        <v>41131</v>
      </c>
      <c r="K128" s="326"/>
      <c r="L128" s="326"/>
      <c r="M128" s="299">
        <v>1</v>
      </c>
      <c r="N128" s="299"/>
      <c r="O128" s="299"/>
      <c r="P128" s="296">
        <v>100</v>
      </c>
      <c r="Q128" s="146" t="s">
        <v>412</v>
      </c>
      <c r="R128" s="146" t="s">
        <v>417</v>
      </c>
      <c r="S128" s="146" t="s">
        <v>433</v>
      </c>
      <c r="T128" s="146" t="s">
        <v>432</v>
      </c>
      <c r="U128" s="146" t="s">
        <v>400</v>
      </c>
      <c r="V128" s="146" t="s">
        <v>126</v>
      </c>
      <c r="W128" s="146" t="s">
        <v>301</v>
      </c>
      <c r="X128" s="146" t="s">
        <v>309</v>
      </c>
      <c r="Y128" s="146" t="s">
        <v>409</v>
      </c>
      <c r="Z128" s="293"/>
      <c r="AA128" s="294" t="s">
        <v>434</v>
      </c>
      <c r="AB128" s="294">
        <v>7</v>
      </c>
      <c r="AC128" s="296">
        <v>6</v>
      </c>
      <c r="AD128" s="301">
        <v>14036.34</v>
      </c>
      <c r="AE128" s="301">
        <v>963.65999999999985</v>
      </c>
      <c r="AF128" s="301">
        <v>561.45360000000005</v>
      </c>
      <c r="AG128" s="301"/>
      <c r="AH128" s="301"/>
      <c r="AI128" s="301"/>
      <c r="AJ128" s="301"/>
      <c r="AK128" s="301">
        <v>80</v>
      </c>
      <c r="AL128" s="301"/>
      <c r="AM128" s="301"/>
      <c r="AN128" s="301"/>
      <c r="AO128" s="301"/>
      <c r="AP128" s="301"/>
      <c r="AQ128" s="301"/>
      <c r="AR128" s="301"/>
      <c r="AS128" s="301"/>
      <c r="AT128" s="301"/>
      <c r="AU128" s="301"/>
      <c r="AV128" s="301"/>
      <c r="AW128" s="301"/>
      <c r="AX128" s="301"/>
      <c r="AY128" s="301"/>
      <c r="AZ128" s="301"/>
      <c r="BA128" s="301"/>
      <c r="BB128" s="301"/>
      <c r="BC128" s="301"/>
      <c r="BD128" s="301"/>
      <c r="BE128" s="301"/>
      <c r="BF128" s="301"/>
      <c r="BG128" s="301"/>
      <c r="BH128" s="301"/>
      <c r="BI128" s="301"/>
      <c r="BJ128" s="301"/>
      <c r="BK128" s="301"/>
      <c r="BL128" s="301"/>
      <c r="BM128" s="302"/>
      <c r="BN128" s="291">
        <f>+MAX($D$3,DATOS_[[#This Row],[Fecha Inicio Sit. Contract.]])</f>
        <v>45292</v>
      </c>
      <c r="BO128" s="291">
        <f>+MIN($D$4,DATOS_[[#This Row],[Fecha Fin Sit. Contract.]])</f>
        <v>45657</v>
      </c>
      <c r="BP128" s="292">
        <f>+DATOS_[[#This Row],[% de jornada]]*IF(DATOS_[[#This Row],[% jornada reducida]]="",1,DATOS_[[#This Row],[% jornada reducida]])</f>
        <v>1</v>
      </c>
      <c r="BQ128" s="292">
        <f>+(DATOS_[[#This Row],[F.fin.cal]]-DATOS_[[#This Row],[F.ini.cal]]+1)/($D$4-$D$3+1)</f>
        <v>1</v>
      </c>
      <c r="BR128" s="322" t="str">
        <f>IF(OR(AND(DATOS_[[#This Row],[Fecha Fin Contrato]]&lt;$D$3,DATOS_[[#This Row],[Fecha Fin Contrato]]&lt;&gt;""),DATOS_[[#This Row],[Fecha de Contratación]]&gt;$D$4),"Fuera","Dentro")</f>
        <v>Dentro</v>
      </c>
      <c r="BS128" s="322" t="str">
        <f t="array" ref="BS128">IF(MAX(IF(DATOS_[id]=DATOS_[[#This Row],[id]],DATOS_[F.fin.cal]))=DATOS_[[#This Row],[F.fin.cal]],"Sí","NO")</f>
        <v>Sí</v>
      </c>
      <c r="BT128" s="292" t="str">
        <f>IF(AND(DATOS_[[#This Row],[% normaliz]]&lt;&gt;1,DATOS_[[#This Row],[% anualiz]]=1),"Sí","NO")</f>
        <v>NO</v>
      </c>
      <c r="BU128" s="292" t="str">
        <f>IF(AND(DATOS_[[#This Row],[% normaliz]]=1,DATOS_[[#This Row],[% anualiz]]&lt;&gt;1),"Sí","NO")</f>
        <v>NO</v>
      </c>
      <c r="BV128" s="292" t="str">
        <f>IF(AND(DATOS_[[#This Row],[% normaliz]]&lt;&gt;1,DATOS_[[#This Row],[% anualiz]]&lt;&gt;1),"Sí","NO")</f>
        <v>NO</v>
      </c>
      <c r="BW128" s="322" t="str">
        <f>+IF(DATOS_[[#This Row],[% normaliz]]*DATOS_[[#This Row],[% anualiz]]=1,"NO","Sí")</f>
        <v>NO</v>
      </c>
      <c r="BX128" s="323">
        <f>(DATOS_[[#This Row],[S.BASE]]*(1/DATOS_[[#This Row],[% normaliz]])*(1/DATOS_[[#This Row],[% anualiz]]))*IF(DATOS_[[#This Row],[Check Equiparado]]="Sí",1,0)</f>
        <v>14036.34</v>
      </c>
      <c r="BY12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1605.1135999999999</v>
      </c>
      <c r="BZ128" s="323">
        <f>+DATOS_[[#This Row],[SALARIO BASE Eq]]+DATOS_[[#This Row],[Tot COMPL.SAL Eq]]</f>
        <v>15641.453600000001</v>
      </c>
      <c r="CA128" s="323">
        <f t="array" ref="CA1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8" s="323">
        <f>+DATOS_[[#This Row],[TOTAL SALARIO Eq]]+DATOS_[[#This Row],[Tot Extrasalarial Eq]]</f>
        <v>15641.453600000001</v>
      </c>
      <c r="CC128" s="327">
        <f>DATOS_[[#This Row],[S.BASE]]</f>
        <v>14036.34</v>
      </c>
      <c r="CD128" s="324">
        <f>+SUM(DATOS_[[#This Row],[Conc.Sal.01]:[Conc.Sal.30]])</f>
        <v>1605.1135999999999</v>
      </c>
      <c r="CE128" s="324">
        <f>+DATOS_[[#This Row],[SALARIO BASE Ef]]+DATOS_[[#This Row],[Tot COMPL.SAL Ef]]</f>
        <v>15641.453600000001</v>
      </c>
      <c r="CF128" s="324">
        <f>+SUM(DATOS_[[#This Row],[C.Extra.01]:[C.Extra.05]])</f>
        <v>0</v>
      </c>
      <c r="CG128" s="330">
        <f>+DATOS_[[#This Row],[TOTAL SALARIO Ef]]+DATOS_[[#This Row],[Tot Extrasalarial Ef]]</f>
        <v>15641.453600000001</v>
      </c>
      <c r="CH128" s="303">
        <f>MIN(IF(DATOS_[[#This Row],[Fecha Fin Contrato]]="",$D$4,DATOS_[[#This Row],[Fecha Fin Contrato]]),$D$4)-MAX(DATOS_[[#This Row],[Fecha de Contratación]],$D$3)+1</f>
        <v>366</v>
      </c>
      <c r="CI128" s="304" t="str">
        <f>IF(COUNTIFS(DATOS_[id],DATOS_[[#This Row],[id]])&gt;1,DATOS_[[#This Row],[id]],"")</f>
        <v/>
      </c>
      <c r="CJ128" s="325">
        <f>(Inicio!$G$10-DATOS_[[#This Row],[Fecha Nacimiento]])/365.25</f>
        <v>25.07049965776865</v>
      </c>
      <c r="CK128" s="325">
        <f>(Inicio!$G$10-DATOS_[[#This Row],[Fecha de Antigüedad]])/365.25</f>
        <v>12.39151266255989</v>
      </c>
      <c r="CL128" s="325" t="str">
        <f>+VLOOKUP(DATOS_[[#This Row],[Clave de Contrato]],TblTiposContrato13[],3,FALSE)</f>
        <v>Completa</v>
      </c>
      <c r="CM128" s="325" t="str">
        <f>+VLOOKUP(DATOS_[[#This Row],[Clave de Contrato]],TblTiposContrato13[],4,FALSE)</f>
        <v>Indefinido</v>
      </c>
      <c r="CN128" s="325" t="str">
        <f>VLOOKUP(DATOS_[[#This Row],[Edad]],CONTRATOS!TblRngEdad,2,TRUE)</f>
        <v>25 a 30</v>
      </c>
      <c r="CO128" s="325" t="str">
        <f>VLOOKUP(DATOS_[[#This Row],[Antigüedad]],TblRngAntg14[],2,TRUE)</f>
        <v>de 10 a 15  años</v>
      </c>
    </row>
    <row r="129" spans="2:93" x14ac:dyDescent="0.25">
      <c r="B129" s="146">
        <v>116</v>
      </c>
      <c r="C129" s="146" t="s">
        <v>163</v>
      </c>
      <c r="D129" s="295">
        <v>33945</v>
      </c>
      <c r="E129" s="296" t="s">
        <v>71</v>
      </c>
      <c r="F129" s="296">
        <v>2</v>
      </c>
      <c r="G129" s="296">
        <v>2</v>
      </c>
      <c r="H129" s="297">
        <v>41204</v>
      </c>
      <c r="I129" s="298"/>
      <c r="J129" s="295">
        <v>41204</v>
      </c>
      <c r="K129" s="326"/>
      <c r="L129" s="326"/>
      <c r="M129" s="299">
        <v>1</v>
      </c>
      <c r="N129" s="299"/>
      <c r="O129" s="299"/>
      <c r="P129" s="296">
        <v>100</v>
      </c>
      <c r="Q129" s="146" t="s">
        <v>431</v>
      </c>
      <c r="R129" s="146" t="s">
        <v>419</v>
      </c>
      <c r="S129" s="146" t="s">
        <v>433</v>
      </c>
      <c r="T129" s="146" t="s">
        <v>432</v>
      </c>
      <c r="U129" s="146" t="s">
        <v>400</v>
      </c>
      <c r="V129" s="146" t="s">
        <v>126</v>
      </c>
      <c r="W129" s="146" t="s">
        <v>301</v>
      </c>
      <c r="X129" s="146" t="s">
        <v>309</v>
      </c>
      <c r="Y129" s="146" t="s">
        <v>409</v>
      </c>
      <c r="Z129" s="293"/>
      <c r="AA129" s="294" t="s">
        <v>434</v>
      </c>
      <c r="AB129" s="294">
        <v>7</v>
      </c>
      <c r="AC129" s="296">
        <v>6</v>
      </c>
      <c r="AD129" s="301">
        <v>14036.34</v>
      </c>
      <c r="AE129" s="301">
        <v>963.65999999999985</v>
      </c>
      <c r="AF129" s="301">
        <v>561.45360000000005</v>
      </c>
      <c r="AG129" s="301"/>
      <c r="AH129" s="301"/>
      <c r="AI129" s="301"/>
      <c r="AJ129" s="301"/>
      <c r="AK129" s="301">
        <v>80</v>
      </c>
      <c r="AL129" s="301"/>
      <c r="AM129" s="301"/>
      <c r="AN129" s="301"/>
      <c r="AO129" s="301"/>
      <c r="AP129" s="301"/>
      <c r="AQ129" s="301"/>
      <c r="AR129" s="301"/>
      <c r="AS129" s="301"/>
      <c r="AT129" s="301"/>
      <c r="AU129" s="301"/>
      <c r="AV129" s="301"/>
      <c r="AW129" s="301"/>
      <c r="AX129" s="301"/>
      <c r="AY129" s="301"/>
      <c r="AZ129" s="301"/>
      <c r="BA129" s="301"/>
      <c r="BB129" s="301"/>
      <c r="BC129" s="301"/>
      <c r="BD129" s="301"/>
      <c r="BE129" s="301"/>
      <c r="BF129" s="301"/>
      <c r="BG129" s="301"/>
      <c r="BH129" s="301"/>
      <c r="BI129" s="301"/>
      <c r="BJ129" s="301"/>
      <c r="BK129" s="301"/>
      <c r="BL129" s="301"/>
      <c r="BM129" s="302"/>
      <c r="BN129" s="291">
        <f>+MAX($D$3,DATOS_[[#This Row],[Fecha Inicio Sit. Contract.]])</f>
        <v>45292</v>
      </c>
      <c r="BO129" s="291">
        <f>+MIN($D$4,DATOS_[[#This Row],[Fecha Fin Sit. Contract.]])</f>
        <v>45657</v>
      </c>
      <c r="BP129" s="292">
        <f>+DATOS_[[#This Row],[% de jornada]]*IF(DATOS_[[#This Row],[% jornada reducida]]="",1,DATOS_[[#This Row],[% jornada reducida]])</f>
        <v>1</v>
      </c>
      <c r="BQ129" s="292">
        <f>+(DATOS_[[#This Row],[F.fin.cal]]-DATOS_[[#This Row],[F.ini.cal]]+1)/($D$4-$D$3+1)</f>
        <v>1</v>
      </c>
      <c r="BR129" s="322" t="str">
        <f>IF(OR(AND(DATOS_[[#This Row],[Fecha Fin Contrato]]&lt;$D$3,DATOS_[[#This Row],[Fecha Fin Contrato]]&lt;&gt;""),DATOS_[[#This Row],[Fecha de Contratación]]&gt;$D$4),"Fuera","Dentro")</f>
        <v>Dentro</v>
      </c>
      <c r="BS129" s="322" t="str">
        <f t="array" ref="BS129">IF(MAX(IF(DATOS_[id]=DATOS_[[#This Row],[id]],DATOS_[F.fin.cal]))=DATOS_[[#This Row],[F.fin.cal]],"Sí","NO")</f>
        <v>Sí</v>
      </c>
      <c r="BT129" s="292" t="str">
        <f>IF(AND(DATOS_[[#This Row],[% normaliz]]&lt;&gt;1,DATOS_[[#This Row],[% anualiz]]=1),"Sí","NO")</f>
        <v>NO</v>
      </c>
      <c r="BU129" s="292" t="str">
        <f>IF(AND(DATOS_[[#This Row],[% normaliz]]=1,DATOS_[[#This Row],[% anualiz]]&lt;&gt;1),"Sí","NO")</f>
        <v>NO</v>
      </c>
      <c r="BV129" s="292" t="str">
        <f>IF(AND(DATOS_[[#This Row],[% normaliz]]&lt;&gt;1,DATOS_[[#This Row],[% anualiz]]&lt;&gt;1),"Sí","NO")</f>
        <v>NO</v>
      </c>
      <c r="BW129" s="322" t="str">
        <f>+IF(DATOS_[[#This Row],[% normaliz]]*DATOS_[[#This Row],[% anualiz]]=1,"NO","Sí")</f>
        <v>NO</v>
      </c>
      <c r="BX129" s="323">
        <f>(DATOS_[[#This Row],[S.BASE]]*(1/DATOS_[[#This Row],[% normaliz]])*(1/DATOS_[[#This Row],[% anualiz]]))*IF(DATOS_[[#This Row],[Check Equiparado]]="Sí",1,0)</f>
        <v>14036.34</v>
      </c>
      <c r="BY12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1605.1135999999999</v>
      </c>
      <c r="BZ129" s="323">
        <f>+DATOS_[[#This Row],[SALARIO BASE Eq]]+DATOS_[[#This Row],[Tot COMPL.SAL Eq]]</f>
        <v>15641.453600000001</v>
      </c>
      <c r="CA129" s="323">
        <f t="array" ref="CA1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9" s="323">
        <f>+DATOS_[[#This Row],[TOTAL SALARIO Eq]]+DATOS_[[#This Row],[Tot Extrasalarial Eq]]</f>
        <v>15641.453600000001</v>
      </c>
      <c r="CC129" s="327">
        <f>DATOS_[[#This Row],[S.BASE]]</f>
        <v>14036.34</v>
      </c>
      <c r="CD129" s="324">
        <f>+SUM(DATOS_[[#This Row],[Conc.Sal.01]:[Conc.Sal.30]])</f>
        <v>1605.1135999999999</v>
      </c>
      <c r="CE129" s="324">
        <f>+DATOS_[[#This Row],[SALARIO BASE Ef]]+DATOS_[[#This Row],[Tot COMPL.SAL Ef]]</f>
        <v>15641.453600000001</v>
      </c>
      <c r="CF129" s="324">
        <f>+SUM(DATOS_[[#This Row],[C.Extra.01]:[C.Extra.05]])</f>
        <v>0</v>
      </c>
      <c r="CG129" s="330">
        <f>+DATOS_[[#This Row],[TOTAL SALARIO Ef]]+DATOS_[[#This Row],[Tot Extrasalarial Ef]]</f>
        <v>15641.453600000001</v>
      </c>
      <c r="CH129" s="303">
        <f>MIN(IF(DATOS_[[#This Row],[Fecha Fin Contrato]]="",$D$4,DATOS_[[#This Row],[Fecha Fin Contrato]]),$D$4)-MAX(DATOS_[[#This Row],[Fecha de Contratación]],$D$3)+1</f>
        <v>366</v>
      </c>
      <c r="CI129" s="304" t="str">
        <f>IF(COUNTIFS(DATOS_[id],DATOS_[[#This Row],[id]])&gt;1,DATOS_[[#This Row],[id]],"")</f>
        <v/>
      </c>
      <c r="CJ129" s="325">
        <f>(Inicio!$G$10-DATOS_[[#This Row],[Fecha Nacimiento]])/365.25</f>
        <v>32.06570841889117</v>
      </c>
      <c r="CK129" s="325">
        <f>(Inicio!$G$10-DATOS_[[#This Row],[Fecha de Antigüedad]])/365.25</f>
        <v>12.191649555099247</v>
      </c>
      <c r="CL129" s="325" t="str">
        <f>+VLOOKUP(DATOS_[[#This Row],[Clave de Contrato]],TblTiposContrato13[],3,FALSE)</f>
        <v>Completa</v>
      </c>
      <c r="CM129" s="325" t="str">
        <f>+VLOOKUP(DATOS_[[#This Row],[Clave de Contrato]],TblTiposContrato13[],4,FALSE)</f>
        <v>Indefinido</v>
      </c>
      <c r="CN129" s="325" t="str">
        <f>VLOOKUP(DATOS_[[#This Row],[Edad]],CONTRATOS!TblRngEdad,2,TRUE)</f>
        <v>30 a 35</v>
      </c>
      <c r="CO129" s="325" t="str">
        <f>VLOOKUP(DATOS_[[#This Row],[Antigüedad]],TblRngAntg14[],2,TRUE)</f>
        <v>de 10 a 15  años</v>
      </c>
    </row>
    <row r="130" spans="2:93" x14ac:dyDescent="0.25">
      <c r="B130" s="146">
        <v>117</v>
      </c>
      <c r="C130" s="146" t="s">
        <v>163</v>
      </c>
      <c r="D130" s="295">
        <v>36500</v>
      </c>
      <c r="E130" s="296" t="s">
        <v>71</v>
      </c>
      <c r="F130" s="296">
        <v>2</v>
      </c>
      <c r="G130" s="296">
        <v>1</v>
      </c>
      <c r="H130" s="297">
        <v>44044</v>
      </c>
      <c r="I130" s="298">
        <v>44165</v>
      </c>
      <c r="J130" s="295">
        <v>44044</v>
      </c>
      <c r="K130" s="326">
        <v>44044</v>
      </c>
      <c r="L130" s="326">
        <v>44165</v>
      </c>
      <c r="M130" s="299">
        <v>1</v>
      </c>
      <c r="N130" s="299"/>
      <c r="O130" s="299"/>
      <c r="P130" s="296">
        <v>401</v>
      </c>
      <c r="Q130" s="146" t="s">
        <v>412</v>
      </c>
      <c r="R130" s="146" t="s">
        <v>417</v>
      </c>
      <c r="S130" s="146" t="s">
        <v>433</v>
      </c>
      <c r="T130" s="146" t="s">
        <v>432</v>
      </c>
      <c r="U130" s="146" t="s">
        <v>400</v>
      </c>
      <c r="V130" s="146" t="s">
        <v>126</v>
      </c>
      <c r="W130" s="146" t="s">
        <v>301</v>
      </c>
      <c r="X130" s="146" t="s">
        <v>309</v>
      </c>
      <c r="Y130" s="146" t="s">
        <v>409</v>
      </c>
      <c r="Z130" s="293"/>
      <c r="AA130" s="294" t="s">
        <v>434</v>
      </c>
      <c r="AB130" s="294">
        <v>7</v>
      </c>
      <c r="AC130" s="296">
        <v>6</v>
      </c>
      <c r="AD130" s="301">
        <v>4678</v>
      </c>
      <c r="AE130" s="301">
        <v>321</v>
      </c>
      <c r="AF130" s="301"/>
      <c r="AG130" s="301"/>
      <c r="AH130" s="301"/>
      <c r="AI130" s="301"/>
      <c r="AJ130" s="301"/>
      <c r="AK130" s="301"/>
      <c r="AL130" s="301"/>
      <c r="AM130" s="301"/>
      <c r="AN130" s="301"/>
      <c r="AO130" s="301"/>
      <c r="AP130" s="301"/>
      <c r="AQ130" s="301"/>
      <c r="AR130" s="301"/>
      <c r="AS130" s="301"/>
      <c r="AT130" s="301"/>
      <c r="AU130" s="301"/>
      <c r="AV130" s="301"/>
      <c r="AW130" s="301"/>
      <c r="AX130" s="301"/>
      <c r="AY130" s="301"/>
      <c r="AZ130" s="301"/>
      <c r="BA130" s="301"/>
      <c r="BB130" s="301"/>
      <c r="BC130" s="301"/>
      <c r="BD130" s="301"/>
      <c r="BE130" s="301"/>
      <c r="BF130" s="301"/>
      <c r="BG130" s="301"/>
      <c r="BH130" s="301"/>
      <c r="BI130" s="301"/>
      <c r="BJ130" s="301">
        <v>165</v>
      </c>
      <c r="BK130" s="301"/>
      <c r="BL130" s="301"/>
      <c r="BM130" s="302"/>
      <c r="BN130" s="291">
        <f>+MAX($D$3,DATOS_[[#This Row],[Fecha Inicio Sit. Contract.]])</f>
        <v>45292</v>
      </c>
      <c r="BO130" s="291">
        <f>+MIN($D$4,DATOS_[[#This Row],[Fecha Fin Sit. Contract.]])</f>
        <v>44165</v>
      </c>
      <c r="BP130" s="292">
        <f>+DATOS_[[#This Row],[% de jornada]]*IF(DATOS_[[#This Row],[% jornada reducida]]="",1,DATOS_[[#This Row],[% jornada reducida]])</f>
        <v>1</v>
      </c>
      <c r="BQ130" s="292">
        <f>+(DATOS_[[#This Row],[F.fin.cal]]-DATOS_[[#This Row],[F.ini.cal]]+1)/($D$4-$D$3+1)</f>
        <v>-3.0765027322404372</v>
      </c>
      <c r="BR130" s="322" t="str">
        <f>IF(OR(AND(DATOS_[[#This Row],[Fecha Fin Contrato]]&lt;$D$3,DATOS_[[#This Row],[Fecha Fin Contrato]]&lt;&gt;""),DATOS_[[#This Row],[Fecha de Contratación]]&gt;$D$4),"Fuera","Dentro")</f>
        <v>Fuera</v>
      </c>
      <c r="BS130" s="322" t="str">
        <f t="array" ref="BS130">IF(MAX(IF(DATOS_[id]=DATOS_[[#This Row],[id]],DATOS_[F.fin.cal]))=DATOS_[[#This Row],[F.fin.cal]],"Sí","NO")</f>
        <v>Sí</v>
      </c>
      <c r="BT130" s="292" t="str">
        <f>IF(AND(DATOS_[[#This Row],[% normaliz]]&lt;&gt;1,DATOS_[[#This Row],[% anualiz]]=1),"Sí","NO")</f>
        <v>NO</v>
      </c>
      <c r="BU130" s="292" t="str">
        <f>IF(AND(DATOS_[[#This Row],[% normaliz]]=1,DATOS_[[#This Row],[% anualiz]]&lt;&gt;1),"Sí","NO")</f>
        <v>Sí</v>
      </c>
      <c r="BV130" s="292" t="str">
        <f>IF(AND(DATOS_[[#This Row],[% normaliz]]&lt;&gt;1,DATOS_[[#This Row],[% anualiz]]&lt;&gt;1),"Sí","NO")</f>
        <v>NO</v>
      </c>
      <c r="BW130" s="322" t="str">
        <f>+IF(DATOS_[[#This Row],[% normaliz]]*DATOS_[[#This Row],[% anualiz]]=1,"NO","Sí")</f>
        <v>Sí</v>
      </c>
      <c r="BX130" s="323">
        <f>(DATOS_[[#This Row],[S.BASE]]*(1/DATOS_[[#This Row],[% normaliz]])*(1/DATOS_[[#This Row],[% anualiz]]))*IF(DATOS_[[#This Row],[Check Equiparado]]="Sí",1,0)</f>
        <v>-1520.5577264653641</v>
      </c>
      <c r="BY13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-104.3392539964476</v>
      </c>
      <c r="BZ130" s="323">
        <f>+DATOS_[[#This Row],[SALARIO BASE Eq]]+DATOS_[[#This Row],[Tot COMPL.SAL Eq]]</f>
        <v>-1624.8969804618116</v>
      </c>
      <c r="CA130" s="323">
        <f t="array" ref="CA1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165</v>
      </c>
      <c r="CB130" s="323">
        <f>+DATOS_[[#This Row],[TOTAL SALARIO Eq]]+DATOS_[[#This Row],[Tot Extrasalarial Eq]]</f>
        <v>-1459.8969804618116</v>
      </c>
      <c r="CC130" s="327">
        <f>DATOS_[[#This Row],[S.BASE]]</f>
        <v>4678</v>
      </c>
      <c r="CD130" s="324">
        <f>+SUM(DATOS_[[#This Row],[Conc.Sal.01]:[Conc.Sal.30]])</f>
        <v>321</v>
      </c>
      <c r="CE130" s="324">
        <f>+DATOS_[[#This Row],[SALARIO BASE Ef]]+DATOS_[[#This Row],[Tot COMPL.SAL Ef]]</f>
        <v>4999</v>
      </c>
      <c r="CF130" s="324">
        <f>+SUM(DATOS_[[#This Row],[C.Extra.01]:[C.Extra.05]])</f>
        <v>165</v>
      </c>
      <c r="CG130" s="330">
        <f>+DATOS_[[#This Row],[TOTAL SALARIO Ef]]+DATOS_[[#This Row],[Tot Extrasalarial Ef]]</f>
        <v>5164</v>
      </c>
      <c r="CH130" s="303">
        <f>MIN(IF(DATOS_[[#This Row],[Fecha Fin Contrato]]="",$D$4,DATOS_[[#This Row],[Fecha Fin Contrato]]),$D$4)-MAX(DATOS_[[#This Row],[Fecha de Contratación]],$D$3)+1</f>
        <v>-1126</v>
      </c>
      <c r="CI130" s="304" t="str">
        <f>IF(COUNTIFS(DATOS_[id],DATOS_[[#This Row],[id]])&gt;1,DATOS_[[#This Row],[id]],"")</f>
        <v/>
      </c>
      <c r="CJ130" s="325">
        <f>(Inicio!$G$10-DATOS_[[#This Row],[Fecha Nacimiento]])/365.25</f>
        <v>25.07049965776865</v>
      </c>
      <c r="CK130" s="325">
        <f>(Inicio!$G$10-DATOS_[[#This Row],[Fecha de Antigüedad]])/365.25</f>
        <v>4.4161533196440796</v>
      </c>
      <c r="CL130" s="325" t="str">
        <f>+VLOOKUP(DATOS_[[#This Row],[Clave de Contrato]],TblTiposContrato13[],3,FALSE)</f>
        <v>Completa</v>
      </c>
      <c r="CM130" s="325" t="str">
        <f>+VLOOKUP(DATOS_[[#This Row],[Clave de Contrato]],TblTiposContrato13[],4,FALSE)</f>
        <v>Temporal</v>
      </c>
      <c r="CN130" s="325" t="str">
        <f>VLOOKUP(DATOS_[[#This Row],[Edad]],CONTRATOS!TblRngEdad,2,TRUE)</f>
        <v>25 a 30</v>
      </c>
      <c r="CO130" s="325" t="str">
        <f>VLOOKUP(DATOS_[[#This Row],[Antigüedad]],TblRngAntg14[],2,TRUE)</f>
        <v>3 a 5  años</v>
      </c>
    </row>
    <row r="131" spans="2:93" x14ac:dyDescent="0.25">
      <c r="B131" s="146">
        <v>118</v>
      </c>
      <c r="C131" s="146" t="s">
        <v>163</v>
      </c>
      <c r="D131" s="295">
        <v>31025</v>
      </c>
      <c r="E131" s="296" t="s">
        <v>71</v>
      </c>
      <c r="F131" s="296">
        <v>1</v>
      </c>
      <c r="G131" s="296">
        <v>1</v>
      </c>
      <c r="H131" s="297">
        <v>43800</v>
      </c>
      <c r="I131" s="298">
        <v>44012</v>
      </c>
      <c r="J131" s="295">
        <v>43800</v>
      </c>
      <c r="K131" s="326"/>
      <c r="L131" s="326">
        <v>44012</v>
      </c>
      <c r="M131" s="299">
        <v>1</v>
      </c>
      <c r="N131" s="299"/>
      <c r="O131" s="299"/>
      <c r="P131" s="296">
        <v>401</v>
      </c>
      <c r="Q131" s="146" t="s">
        <v>431</v>
      </c>
      <c r="R131" s="146" t="s">
        <v>419</v>
      </c>
      <c r="S131" s="146" t="s">
        <v>433</v>
      </c>
      <c r="T131" s="146" t="s">
        <v>432</v>
      </c>
      <c r="U131" s="146" t="s">
        <v>400</v>
      </c>
      <c r="V131" s="146" t="s">
        <v>126</v>
      </c>
      <c r="W131" s="146" t="s">
        <v>301</v>
      </c>
      <c r="X131" s="146" t="s">
        <v>309</v>
      </c>
      <c r="Y131" s="146" t="s">
        <v>409</v>
      </c>
      <c r="Z131" s="293"/>
      <c r="AA131" s="294" t="s">
        <v>434</v>
      </c>
      <c r="AB131" s="294">
        <v>7</v>
      </c>
      <c r="AC131" s="296">
        <v>6</v>
      </c>
      <c r="AD131" s="301">
        <v>7018</v>
      </c>
      <c r="AE131" s="301">
        <v>481</v>
      </c>
      <c r="AF131" s="301"/>
      <c r="AG131" s="301"/>
      <c r="AH131" s="301"/>
      <c r="AI131" s="301"/>
      <c r="AJ131" s="301"/>
      <c r="AK131" s="301"/>
      <c r="AL131" s="301"/>
      <c r="AM131" s="301"/>
      <c r="AN131" s="301"/>
      <c r="AO131" s="301"/>
      <c r="AP131" s="301"/>
      <c r="AQ131" s="301"/>
      <c r="AR131" s="301"/>
      <c r="AS131" s="301"/>
      <c r="AT131" s="301"/>
      <c r="AU131" s="301"/>
      <c r="AV131" s="301"/>
      <c r="AW131" s="301"/>
      <c r="AX131" s="301"/>
      <c r="AY131" s="301"/>
      <c r="AZ131" s="301"/>
      <c r="BA131" s="301"/>
      <c r="BB131" s="301"/>
      <c r="BC131" s="301"/>
      <c r="BD131" s="301"/>
      <c r="BE131" s="301"/>
      <c r="BF131" s="301"/>
      <c r="BG131" s="301"/>
      <c r="BH131" s="301"/>
      <c r="BI131" s="301"/>
      <c r="BJ131" s="301">
        <v>257.5</v>
      </c>
      <c r="BK131" s="301"/>
      <c r="BL131" s="301"/>
      <c r="BM131" s="302"/>
      <c r="BN131" s="291">
        <f>+MAX($D$3,DATOS_[[#This Row],[Fecha Inicio Sit. Contract.]])</f>
        <v>45292</v>
      </c>
      <c r="BO131" s="291">
        <f>+MIN($D$4,DATOS_[[#This Row],[Fecha Fin Sit. Contract.]])</f>
        <v>44012</v>
      </c>
      <c r="BP131" s="292">
        <f>+DATOS_[[#This Row],[% de jornada]]*IF(DATOS_[[#This Row],[% jornada reducida]]="",1,DATOS_[[#This Row],[% jornada reducida]])</f>
        <v>1</v>
      </c>
      <c r="BQ131" s="292">
        <f>+(DATOS_[[#This Row],[F.fin.cal]]-DATOS_[[#This Row],[F.ini.cal]]+1)/($D$4-$D$3+1)</f>
        <v>-3.4945355191256833</v>
      </c>
      <c r="BR131" s="322" t="str">
        <f>IF(OR(AND(DATOS_[[#This Row],[Fecha Fin Contrato]]&lt;$D$3,DATOS_[[#This Row],[Fecha Fin Contrato]]&lt;&gt;""),DATOS_[[#This Row],[Fecha de Contratación]]&gt;$D$4),"Fuera","Dentro")</f>
        <v>Fuera</v>
      </c>
      <c r="BS131" s="322" t="str">
        <f t="array" ref="BS131">IF(MAX(IF(DATOS_[id]=DATOS_[[#This Row],[id]],DATOS_[F.fin.cal]))=DATOS_[[#This Row],[F.fin.cal]],"Sí","NO")</f>
        <v>Sí</v>
      </c>
      <c r="BT131" s="292" t="str">
        <f>IF(AND(DATOS_[[#This Row],[% normaliz]]&lt;&gt;1,DATOS_[[#This Row],[% anualiz]]=1),"Sí","NO")</f>
        <v>NO</v>
      </c>
      <c r="BU131" s="292" t="str">
        <f>IF(AND(DATOS_[[#This Row],[% normaliz]]=1,DATOS_[[#This Row],[% anualiz]]&lt;&gt;1),"Sí","NO")</f>
        <v>Sí</v>
      </c>
      <c r="BV131" s="292" t="str">
        <f>IF(AND(DATOS_[[#This Row],[% normaliz]]&lt;&gt;1,DATOS_[[#This Row],[% anualiz]]&lt;&gt;1),"Sí","NO")</f>
        <v>NO</v>
      </c>
      <c r="BW131" s="322" t="str">
        <f>+IF(DATOS_[[#This Row],[% normaliz]]*DATOS_[[#This Row],[% anualiz]]=1,"NO","Sí")</f>
        <v>Sí</v>
      </c>
      <c r="BX131" s="323">
        <f>(DATOS_[[#This Row],[S.BASE]]*(1/DATOS_[[#This Row],[% normaliz]])*(1/DATOS_[[#This Row],[% anualiz]]))*IF(DATOS_[[#This Row],[Check Equiparado]]="Sí",1,0)</f>
        <v>-2008.2783424550428</v>
      </c>
      <c r="BY13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-137.64347146207973</v>
      </c>
      <c r="BZ131" s="323">
        <f>+DATOS_[[#This Row],[SALARIO BASE Eq]]+DATOS_[[#This Row],[Tot COMPL.SAL Eq]]</f>
        <v>-2145.9218139171226</v>
      </c>
      <c r="CA131" s="323">
        <f t="array" ref="CA1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257.5</v>
      </c>
      <c r="CB131" s="323">
        <f>+DATOS_[[#This Row],[TOTAL SALARIO Eq]]+DATOS_[[#This Row],[Tot Extrasalarial Eq]]</f>
        <v>-1888.4218139171226</v>
      </c>
      <c r="CC131" s="327">
        <f>DATOS_[[#This Row],[S.BASE]]</f>
        <v>7018</v>
      </c>
      <c r="CD131" s="324">
        <f>+SUM(DATOS_[[#This Row],[Conc.Sal.01]:[Conc.Sal.30]])</f>
        <v>481</v>
      </c>
      <c r="CE131" s="324">
        <f>+DATOS_[[#This Row],[SALARIO BASE Ef]]+DATOS_[[#This Row],[Tot COMPL.SAL Ef]]</f>
        <v>7499</v>
      </c>
      <c r="CF131" s="324">
        <f>+SUM(DATOS_[[#This Row],[C.Extra.01]:[C.Extra.05]])</f>
        <v>257.5</v>
      </c>
      <c r="CG131" s="330">
        <f>+DATOS_[[#This Row],[TOTAL SALARIO Ef]]+DATOS_[[#This Row],[Tot Extrasalarial Ef]]</f>
        <v>7756.5</v>
      </c>
      <c r="CH131" s="303">
        <f>MIN(IF(DATOS_[[#This Row],[Fecha Fin Contrato]]="",$D$4,DATOS_[[#This Row],[Fecha Fin Contrato]]),$D$4)-MAX(DATOS_[[#This Row],[Fecha de Contratación]],$D$3)+1</f>
        <v>-1279</v>
      </c>
      <c r="CI131" s="304" t="str">
        <f>IF(COUNTIFS(DATOS_[id],DATOS_[[#This Row],[id]])&gt;1,DATOS_[[#This Row],[id]],"")</f>
        <v/>
      </c>
      <c r="CJ131" s="325">
        <f>(Inicio!$G$10-DATOS_[[#This Row],[Fecha Nacimiento]])/365.25</f>
        <v>40.060232717316907</v>
      </c>
      <c r="CK131" s="325">
        <f>(Inicio!$G$10-DATOS_[[#This Row],[Fecha de Antigüedad]])/365.25</f>
        <v>5.0841889117043122</v>
      </c>
      <c r="CL131" s="325" t="str">
        <f>+VLOOKUP(DATOS_[[#This Row],[Clave de Contrato]],TblTiposContrato13[],3,FALSE)</f>
        <v>Completa</v>
      </c>
      <c r="CM131" s="325" t="str">
        <f>+VLOOKUP(DATOS_[[#This Row],[Clave de Contrato]],TblTiposContrato13[],4,FALSE)</f>
        <v>Temporal</v>
      </c>
      <c r="CN131" s="325" t="str">
        <f>VLOOKUP(DATOS_[[#This Row],[Edad]],CONTRATOS!TblRngEdad,2,TRUE)</f>
        <v>40 a 45</v>
      </c>
      <c r="CO131" s="325" t="str">
        <f>VLOOKUP(DATOS_[[#This Row],[Antigüedad]],TblRngAntg14[],2,TRUE)</f>
        <v>5 a 10  años</v>
      </c>
    </row>
    <row r="132" spans="2:93" x14ac:dyDescent="0.25">
      <c r="B132" s="146">
        <v>119</v>
      </c>
      <c r="C132" s="146" t="s">
        <v>163</v>
      </c>
      <c r="D132" s="295">
        <v>35405</v>
      </c>
      <c r="E132" s="296" t="s">
        <v>71</v>
      </c>
      <c r="F132" s="296">
        <v>1</v>
      </c>
      <c r="G132" s="296">
        <v>2</v>
      </c>
      <c r="H132" s="297">
        <v>43800</v>
      </c>
      <c r="I132" s="298">
        <v>43982</v>
      </c>
      <c r="J132" s="295">
        <v>43800</v>
      </c>
      <c r="K132" s="326"/>
      <c r="L132" s="326">
        <v>43982</v>
      </c>
      <c r="M132" s="299">
        <v>1</v>
      </c>
      <c r="N132" s="299"/>
      <c r="O132" s="299"/>
      <c r="P132" s="296">
        <v>401</v>
      </c>
      <c r="Q132" s="146" t="s">
        <v>414</v>
      </c>
      <c r="R132" s="146" t="s">
        <v>415</v>
      </c>
      <c r="S132" s="146" t="s">
        <v>433</v>
      </c>
      <c r="T132" s="146" t="s">
        <v>432</v>
      </c>
      <c r="U132" s="146" t="s">
        <v>400</v>
      </c>
      <c r="V132" s="146" t="s">
        <v>126</v>
      </c>
      <c r="W132" s="146" t="s">
        <v>301</v>
      </c>
      <c r="X132" s="146" t="s">
        <v>309</v>
      </c>
      <c r="Y132" s="146" t="s">
        <v>409</v>
      </c>
      <c r="Z132" s="293"/>
      <c r="AA132" s="294" t="s">
        <v>434</v>
      </c>
      <c r="AB132" s="294">
        <v>7</v>
      </c>
      <c r="AC132" s="296">
        <v>6</v>
      </c>
      <c r="AD132" s="301">
        <v>5848</v>
      </c>
      <c r="AE132" s="301">
        <v>401</v>
      </c>
      <c r="AF132" s="301"/>
      <c r="AG132" s="301"/>
      <c r="AH132" s="301"/>
      <c r="AI132" s="301"/>
      <c r="AJ132" s="301"/>
      <c r="AK132" s="301"/>
      <c r="AL132" s="301"/>
      <c r="AM132" s="301"/>
      <c r="AN132" s="301"/>
      <c r="AO132" s="301"/>
      <c r="AP132" s="301"/>
      <c r="AQ132" s="301"/>
      <c r="AR132" s="301"/>
      <c r="AS132" s="301"/>
      <c r="AT132" s="301"/>
      <c r="AU132" s="301"/>
      <c r="AV132" s="301"/>
      <c r="AW132" s="301"/>
      <c r="AX132" s="301"/>
      <c r="AY132" s="301"/>
      <c r="AZ132" s="301"/>
      <c r="BA132" s="301"/>
      <c r="BB132" s="301"/>
      <c r="BC132" s="301"/>
      <c r="BD132" s="301"/>
      <c r="BE132" s="301"/>
      <c r="BF132" s="301"/>
      <c r="BG132" s="301"/>
      <c r="BH132" s="301"/>
      <c r="BI132" s="301"/>
      <c r="BJ132" s="301">
        <v>309</v>
      </c>
      <c r="BK132" s="301"/>
      <c r="BL132" s="301"/>
      <c r="BM132" s="302"/>
      <c r="BN132" s="291">
        <f>+MAX($D$3,DATOS_[[#This Row],[Fecha Inicio Sit. Contract.]])</f>
        <v>45292</v>
      </c>
      <c r="BO132" s="291">
        <f>+MIN($D$4,DATOS_[[#This Row],[Fecha Fin Sit. Contract.]])</f>
        <v>43982</v>
      </c>
      <c r="BP132" s="292">
        <f>+DATOS_[[#This Row],[% de jornada]]*IF(DATOS_[[#This Row],[% jornada reducida]]="",1,DATOS_[[#This Row],[% jornada reducida]])</f>
        <v>1</v>
      </c>
      <c r="BQ132" s="292">
        <f>+(DATOS_[[#This Row],[F.fin.cal]]-DATOS_[[#This Row],[F.ini.cal]]+1)/($D$4-$D$3+1)</f>
        <v>-3.5765027322404372</v>
      </c>
      <c r="BR132" s="322" t="str">
        <f>IF(OR(AND(DATOS_[[#This Row],[Fecha Fin Contrato]]&lt;$D$3,DATOS_[[#This Row],[Fecha Fin Contrato]]&lt;&gt;""),DATOS_[[#This Row],[Fecha de Contratación]]&gt;$D$4),"Fuera","Dentro")</f>
        <v>Fuera</v>
      </c>
      <c r="BS132" s="322" t="str">
        <f t="array" ref="BS132">IF(MAX(IF(DATOS_[id]=DATOS_[[#This Row],[id]],DATOS_[F.fin.cal]))=DATOS_[[#This Row],[F.fin.cal]],"Sí","NO")</f>
        <v>Sí</v>
      </c>
      <c r="BT132" s="292" t="str">
        <f>IF(AND(DATOS_[[#This Row],[% normaliz]]&lt;&gt;1,DATOS_[[#This Row],[% anualiz]]=1),"Sí","NO")</f>
        <v>NO</v>
      </c>
      <c r="BU132" s="292" t="str">
        <f>IF(AND(DATOS_[[#This Row],[% normaliz]]=1,DATOS_[[#This Row],[% anualiz]]&lt;&gt;1),"Sí","NO")</f>
        <v>Sí</v>
      </c>
      <c r="BV132" s="292" t="str">
        <f>IF(AND(DATOS_[[#This Row],[% normaliz]]&lt;&gt;1,DATOS_[[#This Row],[% anualiz]]&lt;&gt;1),"Sí","NO")</f>
        <v>NO</v>
      </c>
      <c r="BW132" s="322" t="str">
        <f>+IF(DATOS_[[#This Row],[% normaliz]]*DATOS_[[#This Row],[% anualiz]]=1,"NO","Sí")</f>
        <v>Sí</v>
      </c>
      <c r="BX132" s="323">
        <f>(DATOS_[[#This Row],[S.BASE]]*(1/DATOS_[[#This Row],[% normaliz]])*(1/DATOS_[[#This Row],[% anualiz]]))*IF(DATOS_[[#This Row],[Check Equiparado]]="Sí",1,0)</f>
        <v>-1635.1168831168829</v>
      </c>
      <c r="BY13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-112.12070282658517</v>
      </c>
      <c r="BZ132" s="323">
        <f>+DATOS_[[#This Row],[SALARIO BASE Eq]]+DATOS_[[#This Row],[Tot COMPL.SAL Eq]]</f>
        <v>-1747.237585943468</v>
      </c>
      <c r="CA132" s="323">
        <f t="array" ref="CA1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309</v>
      </c>
      <c r="CB132" s="323">
        <f>+DATOS_[[#This Row],[TOTAL SALARIO Eq]]+DATOS_[[#This Row],[Tot Extrasalarial Eq]]</f>
        <v>-1438.237585943468</v>
      </c>
      <c r="CC132" s="327">
        <f>DATOS_[[#This Row],[S.BASE]]</f>
        <v>5848</v>
      </c>
      <c r="CD132" s="324">
        <f>+SUM(DATOS_[[#This Row],[Conc.Sal.01]:[Conc.Sal.30]])</f>
        <v>401</v>
      </c>
      <c r="CE132" s="324">
        <f>+DATOS_[[#This Row],[SALARIO BASE Ef]]+DATOS_[[#This Row],[Tot COMPL.SAL Ef]]</f>
        <v>6249</v>
      </c>
      <c r="CF132" s="324">
        <f>+SUM(DATOS_[[#This Row],[C.Extra.01]:[C.Extra.05]])</f>
        <v>309</v>
      </c>
      <c r="CG132" s="330">
        <f>+DATOS_[[#This Row],[TOTAL SALARIO Ef]]+DATOS_[[#This Row],[Tot Extrasalarial Ef]]</f>
        <v>6558</v>
      </c>
      <c r="CH132" s="303">
        <f>MIN(IF(DATOS_[[#This Row],[Fecha Fin Contrato]]="",$D$4,DATOS_[[#This Row],[Fecha Fin Contrato]]),$D$4)-MAX(DATOS_[[#This Row],[Fecha de Contratación]],$D$3)+1</f>
        <v>-1309</v>
      </c>
      <c r="CI132" s="304" t="str">
        <f>IF(COUNTIFS(DATOS_[id],DATOS_[[#This Row],[id]])&gt;1,DATOS_[[#This Row],[id]],"")</f>
        <v/>
      </c>
      <c r="CJ132" s="325">
        <f>(Inicio!$G$10-DATOS_[[#This Row],[Fecha Nacimiento]])/365.25</f>
        <v>28.068446269678301</v>
      </c>
      <c r="CK132" s="325">
        <f>(Inicio!$G$10-DATOS_[[#This Row],[Fecha de Antigüedad]])/365.25</f>
        <v>5.0841889117043122</v>
      </c>
      <c r="CL132" s="325" t="str">
        <f>+VLOOKUP(DATOS_[[#This Row],[Clave de Contrato]],TblTiposContrato13[],3,FALSE)</f>
        <v>Completa</v>
      </c>
      <c r="CM132" s="325" t="str">
        <f>+VLOOKUP(DATOS_[[#This Row],[Clave de Contrato]],TblTiposContrato13[],4,FALSE)</f>
        <v>Temporal</v>
      </c>
      <c r="CN132" s="325" t="str">
        <f>VLOOKUP(DATOS_[[#This Row],[Edad]],CONTRATOS!TblRngEdad,2,TRUE)</f>
        <v>25 a 30</v>
      </c>
      <c r="CO132" s="325" t="str">
        <f>VLOOKUP(DATOS_[[#This Row],[Antigüedad]],TblRngAntg14[],2,TRUE)</f>
        <v>5 a 10  años</v>
      </c>
    </row>
    <row r="133" spans="2:93" x14ac:dyDescent="0.25">
      <c r="B133" s="146">
        <v>120</v>
      </c>
      <c r="C133" s="146" t="s">
        <v>162</v>
      </c>
      <c r="D133" s="295">
        <v>27010</v>
      </c>
      <c r="E133" s="296" t="s">
        <v>71</v>
      </c>
      <c r="F133" s="296">
        <v>1</v>
      </c>
      <c r="G133" s="296">
        <v>3</v>
      </c>
      <c r="H133" s="297">
        <v>41167</v>
      </c>
      <c r="I133" s="298"/>
      <c r="J133" s="295">
        <v>41167</v>
      </c>
      <c r="K133" s="326"/>
      <c r="L133" s="326"/>
      <c r="M133" s="299">
        <v>1</v>
      </c>
      <c r="N133" s="299"/>
      <c r="O133" s="299"/>
      <c r="P133" s="296">
        <v>100</v>
      </c>
      <c r="Q133" s="146" t="s">
        <v>414</v>
      </c>
      <c r="R133" s="146" t="s">
        <v>415</v>
      </c>
      <c r="S133" s="146" t="s">
        <v>433</v>
      </c>
      <c r="T133" s="146" t="s">
        <v>432</v>
      </c>
      <c r="U133" s="146" t="s">
        <v>399</v>
      </c>
      <c r="V133" s="146" t="s">
        <v>126</v>
      </c>
      <c r="W133" s="146" t="s">
        <v>301</v>
      </c>
      <c r="X133" s="146" t="s">
        <v>309</v>
      </c>
      <c r="Y133" s="146" t="s">
        <v>409</v>
      </c>
      <c r="Z133" s="293"/>
      <c r="AA133" s="294" t="s">
        <v>434</v>
      </c>
      <c r="AB133" s="294">
        <v>7</v>
      </c>
      <c r="AC133" s="296">
        <v>6</v>
      </c>
      <c r="AD133" s="301">
        <v>14036.34</v>
      </c>
      <c r="AE133" s="301">
        <v>963.65999999999985</v>
      </c>
      <c r="AF133" s="301">
        <v>561.45360000000005</v>
      </c>
      <c r="AG133" s="301">
        <v>960</v>
      </c>
      <c r="AH133" s="301"/>
      <c r="AI133" s="301"/>
      <c r="AJ133" s="301"/>
      <c r="AK133" s="301">
        <v>80</v>
      </c>
      <c r="AL133" s="301"/>
      <c r="AM133" s="301"/>
      <c r="AN133" s="301"/>
      <c r="AO133" s="301"/>
      <c r="AP133" s="301"/>
      <c r="AQ133" s="301"/>
      <c r="AR133" s="301"/>
      <c r="AS133" s="301"/>
      <c r="AT133" s="301"/>
      <c r="AU133" s="301"/>
      <c r="AV133" s="301"/>
      <c r="AW133" s="301"/>
      <c r="AX133" s="301"/>
      <c r="AY133" s="301"/>
      <c r="AZ133" s="301"/>
      <c r="BA133" s="301"/>
      <c r="BB133" s="301"/>
      <c r="BC133" s="301"/>
      <c r="BD133" s="301"/>
      <c r="BE133" s="301"/>
      <c r="BF133" s="301"/>
      <c r="BG133" s="301"/>
      <c r="BH133" s="301"/>
      <c r="BI133" s="301"/>
      <c r="BJ133" s="301"/>
      <c r="BK133" s="301"/>
      <c r="BL133" s="301"/>
      <c r="BM133" s="302"/>
      <c r="BN133" s="291">
        <f>+MAX($D$3,DATOS_[[#This Row],[Fecha Inicio Sit. Contract.]])</f>
        <v>45292</v>
      </c>
      <c r="BO133" s="291">
        <f>+MIN($D$4,DATOS_[[#This Row],[Fecha Fin Sit. Contract.]])</f>
        <v>45657</v>
      </c>
      <c r="BP133" s="292">
        <f>+DATOS_[[#This Row],[% de jornada]]*IF(DATOS_[[#This Row],[% jornada reducida]]="",1,DATOS_[[#This Row],[% jornada reducida]])</f>
        <v>1</v>
      </c>
      <c r="BQ133" s="292">
        <f>+(DATOS_[[#This Row],[F.fin.cal]]-DATOS_[[#This Row],[F.ini.cal]]+1)/($D$4-$D$3+1)</f>
        <v>1</v>
      </c>
      <c r="BR133" s="322" t="str">
        <f>IF(OR(AND(DATOS_[[#This Row],[Fecha Fin Contrato]]&lt;$D$3,DATOS_[[#This Row],[Fecha Fin Contrato]]&lt;&gt;""),DATOS_[[#This Row],[Fecha de Contratación]]&gt;$D$4),"Fuera","Dentro")</f>
        <v>Dentro</v>
      </c>
      <c r="BS133" s="322" t="str">
        <f t="array" ref="BS133">IF(MAX(IF(DATOS_[id]=DATOS_[[#This Row],[id]],DATOS_[F.fin.cal]))=DATOS_[[#This Row],[F.fin.cal]],"Sí","NO")</f>
        <v>Sí</v>
      </c>
      <c r="BT133" s="292" t="str">
        <f>IF(AND(DATOS_[[#This Row],[% normaliz]]&lt;&gt;1,DATOS_[[#This Row],[% anualiz]]=1),"Sí","NO")</f>
        <v>NO</v>
      </c>
      <c r="BU133" s="292" t="str">
        <f>IF(AND(DATOS_[[#This Row],[% normaliz]]=1,DATOS_[[#This Row],[% anualiz]]&lt;&gt;1),"Sí","NO")</f>
        <v>NO</v>
      </c>
      <c r="BV133" s="292" t="str">
        <f>IF(AND(DATOS_[[#This Row],[% normaliz]]&lt;&gt;1,DATOS_[[#This Row],[% anualiz]]&lt;&gt;1),"Sí","NO")</f>
        <v>NO</v>
      </c>
      <c r="BW133" s="322" t="str">
        <f>+IF(DATOS_[[#This Row],[% normaliz]]*DATOS_[[#This Row],[% anualiz]]=1,"NO","Sí")</f>
        <v>NO</v>
      </c>
      <c r="BX133" s="323">
        <f>(DATOS_[[#This Row],[S.BASE]]*(1/DATOS_[[#This Row],[% normaliz]])*(1/DATOS_[[#This Row],[% anualiz]]))*IF(DATOS_[[#This Row],[Check Equiparado]]="Sí",1,0)</f>
        <v>14036.34</v>
      </c>
      <c r="BY13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2565.1135999999997</v>
      </c>
      <c r="BZ133" s="323">
        <f>+DATOS_[[#This Row],[SALARIO BASE Eq]]+DATOS_[[#This Row],[Tot COMPL.SAL Eq]]</f>
        <v>16601.453600000001</v>
      </c>
      <c r="CA133" s="323">
        <f t="array" ref="CA1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3" s="323">
        <f>+DATOS_[[#This Row],[TOTAL SALARIO Eq]]+DATOS_[[#This Row],[Tot Extrasalarial Eq]]</f>
        <v>16601.453600000001</v>
      </c>
      <c r="CC133" s="327">
        <f>DATOS_[[#This Row],[S.BASE]]</f>
        <v>14036.34</v>
      </c>
      <c r="CD133" s="324">
        <f>+SUM(DATOS_[[#This Row],[Conc.Sal.01]:[Conc.Sal.30]])</f>
        <v>2565.1135999999997</v>
      </c>
      <c r="CE133" s="324">
        <f>+DATOS_[[#This Row],[SALARIO BASE Ef]]+DATOS_[[#This Row],[Tot COMPL.SAL Ef]]</f>
        <v>16601.453600000001</v>
      </c>
      <c r="CF133" s="324">
        <f>+SUM(DATOS_[[#This Row],[C.Extra.01]:[C.Extra.05]])</f>
        <v>0</v>
      </c>
      <c r="CG133" s="330">
        <f>+DATOS_[[#This Row],[TOTAL SALARIO Ef]]+DATOS_[[#This Row],[Tot Extrasalarial Ef]]</f>
        <v>16601.453600000001</v>
      </c>
      <c r="CH133" s="303">
        <f>MIN(IF(DATOS_[[#This Row],[Fecha Fin Contrato]]="",$D$4,DATOS_[[#This Row],[Fecha Fin Contrato]]),$D$4)-MAX(DATOS_[[#This Row],[Fecha de Contratación]],$D$3)+1</f>
        <v>366</v>
      </c>
      <c r="CI133" s="304" t="str">
        <f>IF(COUNTIFS(DATOS_[id],DATOS_[[#This Row],[id]])&gt;1,DATOS_[[#This Row],[id]],"")</f>
        <v/>
      </c>
      <c r="CJ133" s="325">
        <f>(Inicio!$G$10-DATOS_[[#This Row],[Fecha Nacimiento]])/365.25</f>
        <v>51.052703627652292</v>
      </c>
      <c r="CK133" s="325">
        <f>(Inicio!$G$10-DATOS_[[#This Row],[Fecha de Antigüedad]])/365.25</f>
        <v>12.292950034223136</v>
      </c>
      <c r="CL133" s="325" t="str">
        <f>+VLOOKUP(DATOS_[[#This Row],[Clave de Contrato]],TblTiposContrato13[],3,FALSE)</f>
        <v>Completa</v>
      </c>
      <c r="CM133" s="325" t="str">
        <f>+VLOOKUP(DATOS_[[#This Row],[Clave de Contrato]],TblTiposContrato13[],4,FALSE)</f>
        <v>Indefinido</v>
      </c>
      <c r="CN133" s="325" t="str">
        <f>VLOOKUP(DATOS_[[#This Row],[Edad]],CONTRATOS!TblRngEdad,2,TRUE)</f>
        <v>50 a 55</v>
      </c>
      <c r="CO133" s="325" t="str">
        <f>VLOOKUP(DATOS_[[#This Row],[Antigüedad]],TblRngAntg14[],2,TRUE)</f>
        <v>de 10 a 15  años</v>
      </c>
    </row>
    <row r="134" spans="2:93" x14ac:dyDescent="0.25">
      <c r="B134" s="146">
        <v>121</v>
      </c>
      <c r="C134" s="146" t="s">
        <v>162</v>
      </c>
      <c r="D134" s="295">
        <v>28470</v>
      </c>
      <c r="E134" s="296" t="s">
        <v>71</v>
      </c>
      <c r="F134" s="296">
        <v>3</v>
      </c>
      <c r="G134" s="296">
        <v>0</v>
      </c>
      <c r="H134" s="297">
        <v>41167</v>
      </c>
      <c r="I134" s="298"/>
      <c r="J134" s="295">
        <v>41167</v>
      </c>
      <c r="K134" s="326"/>
      <c r="L134" s="326"/>
      <c r="M134" s="299">
        <v>1</v>
      </c>
      <c r="N134" s="299"/>
      <c r="O134" s="299"/>
      <c r="P134" s="296">
        <v>100</v>
      </c>
      <c r="Q134" s="146" t="s">
        <v>414</v>
      </c>
      <c r="R134" s="146" t="s">
        <v>415</v>
      </c>
      <c r="S134" s="146" t="s">
        <v>433</v>
      </c>
      <c r="T134" s="146" t="s">
        <v>432</v>
      </c>
      <c r="U134" s="146" t="s">
        <v>399</v>
      </c>
      <c r="V134" s="146" t="s">
        <v>126</v>
      </c>
      <c r="W134" s="146" t="s">
        <v>301</v>
      </c>
      <c r="X134" s="146" t="s">
        <v>309</v>
      </c>
      <c r="Y134" s="146" t="s">
        <v>409</v>
      </c>
      <c r="Z134" s="293"/>
      <c r="AA134" s="294" t="s">
        <v>434</v>
      </c>
      <c r="AB134" s="294">
        <v>7</v>
      </c>
      <c r="AC134" s="296">
        <v>6</v>
      </c>
      <c r="AD134" s="301">
        <v>14036.34</v>
      </c>
      <c r="AE134" s="301">
        <v>963.65999999999985</v>
      </c>
      <c r="AF134" s="301">
        <v>561.45360000000005</v>
      </c>
      <c r="AG134" s="301">
        <v>960</v>
      </c>
      <c r="AH134" s="301"/>
      <c r="AI134" s="301"/>
      <c r="AJ134" s="301"/>
      <c r="AK134" s="301">
        <v>80</v>
      </c>
      <c r="AL134" s="301"/>
      <c r="AM134" s="301"/>
      <c r="AN134" s="301"/>
      <c r="AO134" s="301"/>
      <c r="AP134" s="301"/>
      <c r="AQ134" s="301"/>
      <c r="AR134" s="301"/>
      <c r="AS134" s="301"/>
      <c r="AT134" s="301"/>
      <c r="AU134" s="301"/>
      <c r="AV134" s="301"/>
      <c r="AW134" s="301"/>
      <c r="AX134" s="301"/>
      <c r="AY134" s="301"/>
      <c r="AZ134" s="301"/>
      <c r="BA134" s="301"/>
      <c r="BB134" s="301"/>
      <c r="BC134" s="301"/>
      <c r="BD134" s="301"/>
      <c r="BE134" s="301"/>
      <c r="BF134" s="301"/>
      <c r="BG134" s="301"/>
      <c r="BH134" s="301"/>
      <c r="BI134" s="301"/>
      <c r="BJ134" s="301"/>
      <c r="BK134" s="301"/>
      <c r="BL134" s="301"/>
      <c r="BM134" s="302"/>
      <c r="BN134" s="291">
        <f>+MAX($D$3,DATOS_[[#This Row],[Fecha Inicio Sit. Contract.]])</f>
        <v>45292</v>
      </c>
      <c r="BO134" s="291">
        <f>+MIN($D$4,DATOS_[[#This Row],[Fecha Fin Sit. Contract.]])</f>
        <v>45657</v>
      </c>
      <c r="BP134" s="292">
        <f>+DATOS_[[#This Row],[% de jornada]]*IF(DATOS_[[#This Row],[% jornada reducida]]="",1,DATOS_[[#This Row],[% jornada reducida]])</f>
        <v>1</v>
      </c>
      <c r="BQ134" s="292">
        <f>+(DATOS_[[#This Row],[F.fin.cal]]-DATOS_[[#This Row],[F.ini.cal]]+1)/($D$4-$D$3+1)</f>
        <v>1</v>
      </c>
      <c r="BR134" s="322" t="str">
        <f>IF(OR(AND(DATOS_[[#This Row],[Fecha Fin Contrato]]&lt;$D$3,DATOS_[[#This Row],[Fecha Fin Contrato]]&lt;&gt;""),DATOS_[[#This Row],[Fecha de Contratación]]&gt;$D$4),"Fuera","Dentro")</f>
        <v>Dentro</v>
      </c>
      <c r="BS134" s="322" t="str">
        <f t="array" ref="BS134">IF(MAX(IF(DATOS_[id]=DATOS_[[#This Row],[id]],DATOS_[F.fin.cal]))=DATOS_[[#This Row],[F.fin.cal]],"Sí","NO")</f>
        <v>Sí</v>
      </c>
      <c r="BT134" s="292" t="str">
        <f>IF(AND(DATOS_[[#This Row],[% normaliz]]&lt;&gt;1,DATOS_[[#This Row],[% anualiz]]=1),"Sí","NO")</f>
        <v>NO</v>
      </c>
      <c r="BU134" s="292" t="str">
        <f>IF(AND(DATOS_[[#This Row],[% normaliz]]=1,DATOS_[[#This Row],[% anualiz]]&lt;&gt;1),"Sí","NO")</f>
        <v>NO</v>
      </c>
      <c r="BV134" s="292" t="str">
        <f>IF(AND(DATOS_[[#This Row],[% normaliz]]&lt;&gt;1,DATOS_[[#This Row],[% anualiz]]&lt;&gt;1),"Sí","NO")</f>
        <v>NO</v>
      </c>
      <c r="BW134" s="322" t="str">
        <f>+IF(DATOS_[[#This Row],[% normaliz]]*DATOS_[[#This Row],[% anualiz]]=1,"NO","Sí")</f>
        <v>NO</v>
      </c>
      <c r="BX134" s="323">
        <f>(DATOS_[[#This Row],[S.BASE]]*(1/DATOS_[[#This Row],[% normaliz]])*(1/DATOS_[[#This Row],[% anualiz]]))*IF(DATOS_[[#This Row],[Check Equiparado]]="Sí",1,0)</f>
        <v>14036.34</v>
      </c>
      <c r="BY13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2565.1135999999997</v>
      </c>
      <c r="BZ134" s="323">
        <f>+DATOS_[[#This Row],[SALARIO BASE Eq]]+DATOS_[[#This Row],[Tot COMPL.SAL Eq]]</f>
        <v>16601.453600000001</v>
      </c>
      <c r="CA134" s="323">
        <f t="array" ref="CA1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4" s="323">
        <f>+DATOS_[[#This Row],[TOTAL SALARIO Eq]]+DATOS_[[#This Row],[Tot Extrasalarial Eq]]</f>
        <v>16601.453600000001</v>
      </c>
      <c r="CC134" s="327">
        <f>DATOS_[[#This Row],[S.BASE]]</f>
        <v>14036.34</v>
      </c>
      <c r="CD134" s="324">
        <f>+SUM(DATOS_[[#This Row],[Conc.Sal.01]:[Conc.Sal.30]])</f>
        <v>2565.1135999999997</v>
      </c>
      <c r="CE134" s="324">
        <f>+DATOS_[[#This Row],[SALARIO BASE Ef]]+DATOS_[[#This Row],[Tot COMPL.SAL Ef]]</f>
        <v>16601.453600000001</v>
      </c>
      <c r="CF134" s="324">
        <f>+SUM(DATOS_[[#This Row],[C.Extra.01]:[C.Extra.05]])</f>
        <v>0</v>
      </c>
      <c r="CG134" s="330">
        <f>+DATOS_[[#This Row],[TOTAL SALARIO Ef]]+DATOS_[[#This Row],[Tot Extrasalarial Ef]]</f>
        <v>16601.453600000001</v>
      </c>
      <c r="CH134" s="303">
        <f>MIN(IF(DATOS_[[#This Row],[Fecha Fin Contrato]]="",$D$4,DATOS_[[#This Row],[Fecha Fin Contrato]]),$D$4)-MAX(DATOS_[[#This Row],[Fecha de Contratación]],$D$3)+1</f>
        <v>366</v>
      </c>
      <c r="CI134" s="304" t="str">
        <f>IF(COUNTIFS(DATOS_[id],DATOS_[[#This Row],[id]])&gt;1,DATOS_[[#This Row],[id]],"")</f>
        <v/>
      </c>
      <c r="CJ134" s="325">
        <f>(Inicio!$G$10-DATOS_[[#This Row],[Fecha Nacimiento]])/365.25</f>
        <v>47.055441478439427</v>
      </c>
      <c r="CK134" s="325">
        <f>(Inicio!$G$10-DATOS_[[#This Row],[Fecha de Antigüedad]])/365.25</f>
        <v>12.292950034223136</v>
      </c>
      <c r="CL134" s="325" t="str">
        <f>+VLOOKUP(DATOS_[[#This Row],[Clave de Contrato]],TblTiposContrato13[],3,FALSE)</f>
        <v>Completa</v>
      </c>
      <c r="CM134" s="325" t="str">
        <f>+VLOOKUP(DATOS_[[#This Row],[Clave de Contrato]],TblTiposContrato13[],4,FALSE)</f>
        <v>Indefinido</v>
      </c>
      <c r="CN134" s="325" t="str">
        <f>VLOOKUP(DATOS_[[#This Row],[Edad]],CONTRATOS!TblRngEdad,2,TRUE)</f>
        <v>45 a 50</v>
      </c>
      <c r="CO134" s="325" t="str">
        <f>VLOOKUP(DATOS_[[#This Row],[Antigüedad]],TblRngAntg14[],2,TRUE)</f>
        <v>de 10 a 15  años</v>
      </c>
    </row>
    <row r="135" spans="2:93" x14ac:dyDescent="0.25">
      <c r="B135" s="146">
        <v>122</v>
      </c>
      <c r="C135" s="146" t="s">
        <v>162</v>
      </c>
      <c r="D135" s="295">
        <v>32850</v>
      </c>
      <c r="E135" s="296" t="s">
        <v>71</v>
      </c>
      <c r="F135" s="296">
        <v>3</v>
      </c>
      <c r="G135" s="296">
        <v>0</v>
      </c>
      <c r="H135" s="297">
        <v>41167</v>
      </c>
      <c r="I135" s="298"/>
      <c r="J135" s="295">
        <v>41167</v>
      </c>
      <c r="K135" s="326"/>
      <c r="L135" s="326"/>
      <c r="M135" s="299">
        <v>1</v>
      </c>
      <c r="N135" s="299"/>
      <c r="O135" s="299"/>
      <c r="P135" s="296">
        <v>100</v>
      </c>
      <c r="Q135" s="146" t="s">
        <v>414</v>
      </c>
      <c r="R135" s="146" t="s">
        <v>415</v>
      </c>
      <c r="S135" s="146" t="s">
        <v>433</v>
      </c>
      <c r="T135" s="146" t="s">
        <v>407</v>
      </c>
      <c r="U135" s="146" t="s">
        <v>399</v>
      </c>
      <c r="V135" s="146" t="s">
        <v>126</v>
      </c>
      <c r="W135" s="146" t="s">
        <v>301</v>
      </c>
      <c r="X135" s="146" t="s">
        <v>309</v>
      </c>
      <c r="Y135" s="146" t="s">
        <v>409</v>
      </c>
      <c r="Z135" s="293"/>
      <c r="AA135" s="294" t="s">
        <v>434</v>
      </c>
      <c r="AB135" s="294">
        <v>7</v>
      </c>
      <c r="AC135" s="296">
        <v>6</v>
      </c>
      <c r="AD135" s="301">
        <v>14036.34</v>
      </c>
      <c r="AE135" s="301">
        <v>963.65999999999985</v>
      </c>
      <c r="AF135" s="301">
        <v>561.45360000000005</v>
      </c>
      <c r="AG135" s="301">
        <v>960</v>
      </c>
      <c r="AH135" s="301"/>
      <c r="AI135" s="301"/>
      <c r="AJ135" s="301"/>
      <c r="AK135" s="301">
        <v>80</v>
      </c>
      <c r="AL135" s="301"/>
      <c r="AM135" s="301"/>
      <c r="AN135" s="301"/>
      <c r="AO135" s="301"/>
      <c r="AP135" s="301"/>
      <c r="AQ135" s="301"/>
      <c r="AR135" s="301"/>
      <c r="AS135" s="301"/>
      <c r="AT135" s="301"/>
      <c r="AU135" s="301"/>
      <c r="AV135" s="301"/>
      <c r="AW135" s="301"/>
      <c r="AX135" s="301"/>
      <c r="AY135" s="301"/>
      <c r="AZ135" s="301"/>
      <c r="BA135" s="301"/>
      <c r="BB135" s="301"/>
      <c r="BC135" s="301"/>
      <c r="BD135" s="301"/>
      <c r="BE135" s="301"/>
      <c r="BF135" s="301"/>
      <c r="BG135" s="301"/>
      <c r="BH135" s="301"/>
      <c r="BI135" s="301"/>
      <c r="BJ135" s="301"/>
      <c r="BK135" s="301"/>
      <c r="BL135" s="301"/>
      <c r="BM135" s="302"/>
      <c r="BN135" s="291">
        <f>+MAX($D$3,DATOS_[[#This Row],[Fecha Inicio Sit. Contract.]])</f>
        <v>45292</v>
      </c>
      <c r="BO135" s="291">
        <f>+MIN($D$4,DATOS_[[#This Row],[Fecha Fin Sit. Contract.]])</f>
        <v>45657</v>
      </c>
      <c r="BP135" s="292">
        <f>+DATOS_[[#This Row],[% de jornada]]*IF(DATOS_[[#This Row],[% jornada reducida]]="",1,DATOS_[[#This Row],[% jornada reducida]])</f>
        <v>1</v>
      </c>
      <c r="BQ135" s="292">
        <f>+(DATOS_[[#This Row],[F.fin.cal]]-DATOS_[[#This Row],[F.ini.cal]]+1)/($D$4-$D$3+1)</f>
        <v>1</v>
      </c>
      <c r="BR135" s="322" t="str">
        <f>IF(OR(AND(DATOS_[[#This Row],[Fecha Fin Contrato]]&lt;$D$3,DATOS_[[#This Row],[Fecha Fin Contrato]]&lt;&gt;""),DATOS_[[#This Row],[Fecha de Contratación]]&gt;$D$4),"Fuera","Dentro")</f>
        <v>Dentro</v>
      </c>
      <c r="BS135" s="322" t="str">
        <f t="array" ref="BS135">IF(MAX(IF(DATOS_[id]=DATOS_[[#This Row],[id]],DATOS_[F.fin.cal]))=DATOS_[[#This Row],[F.fin.cal]],"Sí","NO")</f>
        <v>Sí</v>
      </c>
      <c r="BT135" s="292" t="str">
        <f>IF(AND(DATOS_[[#This Row],[% normaliz]]&lt;&gt;1,DATOS_[[#This Row],[% anualiz]]=1),"Sí","NO")</f>
        <v>NO</v>
      </c>
      <c r="BU135" s="292" t="str">
        <f>IF(AND(DATOS_[[#This Row],[% normaliz]]=1,DATOS_[[#This Row],[% anualiz]]&lt;&gt;1),"Sí","NO")</f>
        <v>NO</v>
      </c>
      <c r="BV135" s="292" t="str">
        <f>IF(AND(DATOS_[[#This Row],[% normaliz]]&lt;&gt;1,DATOS_[[#This Row],[% anualiz]]&lt;&gt;1),"Sí","NO")</f>
        <v>NO</v>
      </c>
      <c r="BW135" s="322" t="str">
        <f>+IF(DATOS_[[#This Row],[% normaliz]]*DATOS_[[#This Row],[% anualiz]]=1,"NO","Sí")</f>
        <v>NO</v>
      </c>
      <c r="BX135" s="323">
        <f>(DATOS_[[#This Row],[S.BASE]]*(1/DATOS_[[#This Row],[% normaliz]])*(1/DATOS_[[#This Row],[% anualiz]]))*IF(DATOS_[[#This Row],[Check Equiparado]]="Sí",1,0)</f>
        <v>14036.34</v>
      </c>
      <c r="BY13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2565.1135999999997</v>
      </c>
      <c r="BZ135" s="323">
        <f>+DATOS_[[#This Row],[SALARIO BASE Eq]]+DATOS_[[#This Row],[Tot COMPL.SAL Eq]]</f>
        <v>16601.453600000001</v>
      </c>
      <c r="CA135" s="323">
        <f t="array" ref="CA1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5" s="323">
        <f>+DATOS_[[#This Row],[TOTAL SALARIO Eq]]+DATOS_[[#This Row],[Tot Extrasalarial Eq]]</f>
        <v>16601.453600000001</v>
      </c>
      <c r="CC135" s="327">
        <f>DATOS_[[#This Row],[S.BASE]]</f>
        <v>14036.34</v>
      </c>
      <c r="CD135" s="324">
        <f>+SUM(DATOS_[[#This Row],[Conc.Sal.01]:[Conc.Sal.30]])</f>
        <v>2565.1135999999997</v>
      </c>
      <c r="CE135" s="324">
        <f>+DATOS_[[#This Row],[SALARIO BASE Ef]]+DATOS_[[#This Row],[Tot COMPL.SAL Ef]]</f>
        <v>16601.453600000001</v>
      </c>
      <c r="CF135" s="324">
        <f>+SUM(DATOS_[[#This Row],[C.Extra.01]:[C.Extra.05]])</f>
        <v>0</v>
      </c>
      <c r="CG135" s="330">
        <f>+DATOS_[[#This Row],[TOTAL SALARIO Ef]]+DATOS_[[#This Row],[Tot Extrasalarial Ef]]</f>
        <v>16601.453600000001</v>
      </c>
      <c r="CH135" s="303">
        <f>MIN(IF(DATOS_[[#This Row],[Fecha Fin Contrato]]="",$D$4,DATOS_[[#This Row],[Fecha Fin Contrato]]),$D$4)-MAX(DATOS_[[#This Row],[Fecha de Contratación]],$D$3)+1</f>
        <v>366</v>
      </c>
      <c r="CI135" s="304" t="str">
        <f>IF(COUNTIFS(DATOS_[id],DATOS_[[#This Row],[id]])&gt;1,DATOS_[[#This Row],[id]],"")</f>
        <v/>
      </c>
      <c r="CJ135" s="325">
        <f>(Inicio!$G$10-DATOS_[[#This Row],[Fecha Nacimiento]])/365.25</f>
        <v>35.063655030800824</v>
      </c>
      <c r="CK135" s="325">
        <f>(Inicio!$G$10-DATOS_[[#This Row],[Fecha de Antigüedad]])/365.25</f>
        <v>12.292950034223136</v>
      </c>
      <c r="CL135" s="325" t="str">
        <f>+VLOOKUP(DATOS_[[#This Row],[Clave de Contrato]],TblTiposContrato13[],3,FALSE)</f>
        <v>Completa</v>
      </c>
      <c r="CM135" s="325" t="str">
        <f>+VLOOKUP(DATOS_[[#This Row],[Clave de Contrato]],TblTiposContrato13[],4,FALSE)</f>
        <v>Indefinido</v>
      </c>
      <c r="CN135" s="325" t="str">
        <f>VLOOKUP(DATOS_[[#This Row],[Edad]],CONTRATOS!TblRngEdad,2,TRUE)</f>
        <v>35 a 40</v>
      </c>
      <c r="CO135" s="325" t="str">
        <f>VLOOKUP(DATOS_[[#This Row],[Antigüedad]],TblRngAntg14[],2,TRUE)</f>
        <v>de 10 a 15  años</v>
      </c>
    </row>
    <row r="136" spans="2:93" x14ac:dyDescent="0.25">
      <c r="B136" s="146">
        <v>123</v>
      </c>
      <c r="C136" s="146" t="s">
        <v>163</v>
      </c>
      <c r="D136" s="295">
        <v>32485</v>
      </c>
      <c r="E136" s="296" t="s">
        <v>71</v>
      </c>
      <c r="F136" s="296">
        <v>3</v>
      </c>
      <c r="G136" s="296">
        <v>0</v>
      </c>
      <c r="H136" s="297">
        <v>44044</v>
      </c>
      <c r="I136" s="298">
        <v>44196</v>
      </c>
      <c r="J136" s="295">
        <v>44044</v>
      </c>
      <c r="K136" s="326">
        <v>44044</v>
      </c>
      <c r="L136" s="326">
        <v>44196</v>
      </c>
      <c r="M136" s="299">
        <v>1</v>
      </c>
      <c r="N136" s="299"/>
      <c r="O136" s="299"/>
      <c r="P136" s="296">
        <v>401</v>
      </c>
      <c r="Q136" s="146" t="s">
        <v>414</v>
      </c>
      <c r="R136" s="146" t="s">
        <v>415</v>
      </c>
      <c r="S136" s="146" t="s">
        <v>433</v>
      </c>
      <c r="T136" s="146" t="s">
        <v>407</v>
      </c>
      <c r="U136" s="146" t="s">
        <v>399</v>
      </c>
      <c r="V136" s="146" t="s">
        <v>126</v>
      </c>
      <c r="W136" s="146" t="s">
        <v>301</v>
      </c>
      <c r="X136" s="146" t="s">
        <v>309</v>
      </c>
      <c r="Y136" s="146" t="s">
        <v>409</v>
      </c>
      <c r="Z136" s="293"/>
      <c r="AA136" s="294" t="s">
        <v>434</v>
      </c>
      <c r="AB136" s="294">
        <v>7</v>
      </c>
      <c r="AC136" s="296">
        <v>6</v>
      </c>
      <c r="AD136" s="301">
        <v>5848</v>
      </c>
      <c r="AE136" s="301">
        <v>401</v>
      </c>
      <c r="AF136" s="301"/>
      <c r="AG136" s="301">
        <v>400</v>
      </c>
      <c r="AH136" s="301"/>
      <c r="AI136" s="301"/>
      <c r="AJ136" s="301"/>
      <c r="AK136" s="301">
        <v>80</v>
      </c>
      <c r="AL136" s="301"/>
      <c r="AM136" s="301"/>
      <c r="AN136" s="301"/>
      <c r="AO136" s="301"/>
      <c r="AP136" s="301"/>
      <c r="AQ136" s="301"/>
      <c r="AR136" s="301"/>
      <c r="AS136" s="301"/>
      <c r="AT136" s="301"/>
      <c r="AU136" s="301"/>
      <c r="AV136" s="301"/>
      <c r="AW136" s="301"/>
      <c r="AX136" s="301"/>
      <c r="AY136" s="301"/>
      <c r="AZ136" s="301"/>
      <c r="BA136" s="301"/>
      <c r="BB136" s="301"/>
      <c r="BC136" s="301"/>
      <c r="BD136" s="301"/>
      <c r="BE136" s="301"/>
      <c r="BF136" s="301"/>
      <c r="BG136" s="301"/>
      <c r="BH136" s="301"/>
      <c r="BI136" s="301"/>
      <c r="BJ136" s="301">
        <v>206</v>
      </c>
      <c r="BK136" s="301"/>
      <c r="BL136" s="301"/>
      <c r="BM136" s="302"/>
      <c r="BN136" s="291">
        <f>+MAX($D$3,DATOS_[[#This Row],[Fecha Inicio Sit. Contract.]])</f>
        <v>45292</v>
      </c>
      <c r="BO136" s="291">
        <f>+MIN($D$4,DATOS_[[#This Row],[Fecha Fin Sit. Contract.]])</f>
        <v>44196</v>
      </c>
      <c r="BP136" s="292">
        <f>+DATOS_[[#This Row],[% de jornada]]*IF(DATOS_[[#This Row],[% jornada reducida]]="",1,DATOS_[[#This Row],[% jornada reducida]])</f>
        <v>1</v>
      </c>
      <c r="BQ136" s="292">
        <f>+(DATOS_[[#This Row],[F.fin.cal]]-DATOS_[[#This Row],[F.ini.cal]]+1)/($D$4-$D$3+1)</f>
        <v>-2.9918032786885247</v>
      </c>
      <c r="BR136" s="322" t="str">
        <f>IF(OR(AND(DATOS_[[#This Row],[Fecha Fin Contrato]]&lt;$D$3,DATOS_[[#This Row],[Fecha Fin Contrato]]&lt;&gt;""),DATOS_[[#This Row],[Fecha de Contratación]]&gt;$D$4),"Fuera","Dentro")</f>
        <v>Fuera</v>
      </c>
      <c r="BS136" s="322" t="str">
        <f t="array" ref="BS136">IF(MAX(IF(DATOS_[id]=DATOS_[[#This Row],[id]],DATOS_[F.fin.cal]))=DATOS_[[#This Row],[F.fin.cal]],"Sí","NO")</f>
        <v>Sí</v>
      </c>
      <c r="BT136" s="292" t="str">
        <f>IF(AND(DATOS_[[#This Row],[% normaliz]]&lt;&gt;1,DATOS_[[#This Row],[% anualiz]]=1),"Sí","NO")</f>
        <v>NO</v>
      </c>
      <c r="BU136" s="292" t="str">
        <f>IF(AND(DATOS_[[#This Row],[% normaliz]]=1,DATOS_[[#This Row],[% anualiz]]&lt;&gt;1),"Sí","NO")</f>
        <v>Sí</v>
      </c>
      <c r="BV136" s="292" t="str">
        <f>IF(AND(DATOS_[[#This Row],[% normaliz]]&lt;&gt;1,DATOS_[[#This Row],[% anualiz]]&lt;&gt;1),"Sí","NO")</f>
        <v>NO</v>
      </c>
      <c r="BW136" s="322" t="str">
        <f>+IF(DATOS_[[#This Row],[% normaliz]]*DATOS_[[#This Row],[% anualiz]]=1,"NO","Sí")</f>
        <v>Sí</v>
      </c>
      <c r="BX136" s="323">
        <f>(DATOS_[[#This Row],[S.BASE]]*(1/DATOS_[[#This Row],[% normaliz]])*(1/DATOS_[[#This Row],[% anualiz]]))*IF(DATOS_[[#This Row],[Check Equiparado]]="Sí",1,0)</f>
        <v>-1954.6739726027399</v>
      </c>
      <c r="BY13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-187.73150684931511</v>
      </c>
      <c r="BZ136" s="323">
        <f>+DATOS_[[#This Row],[SALARIO BASE Eq]]+DATOS_[[#This Row],[Tot COMPL.SAL Eq]]</f>
        <v>-2142.4054794520553</v>
      </c>
      <c r="CA136" s="323">
        <f t="array" ref="CA1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206</v>
      </c>
      <c r="CB136" s="323">
        <f>+DATOS_[[#This Row],[TOTAL SALARIO Eq]]+DATOS_[[#This Row],[Tot Extrasalarial Eq]]</f>
        <v>-1936.4054794520553</v>
      </c>
      <c r="CC136" s="327">
        <f>DATOS_[[#This Row],[S.BASE]]</f>
        <v>5848</v>
      </c>
      <c r="CD136" s="324">
        <f>+SUM(DATOS_[[#This Row],[Conc.Sal.01]:[Conc.Sal.30]])</f>
        <v>881</v>
      </c>
      <c r="CE136" s="324">
        <f>+DATOS_[[#This Row],[SALARIO BASE Ef]]+DATOS_[[#This Row],[Tot COMPL.SAL Ef]]</f>
        <v>6729</v>
      </c>
      <c r="CF136" s="324">
        <f>+SUM(DATOS_[[#This Row],[C.Extra.01]:[C.Extra.05]])</f>
        <v>206</v>
      </c>
      <c r="CG136" s="330">
        <f>+DATOS_[[#This Row],[TOTAL SALARIO Ef]]+DATOS_[[#This Row],[Tot Extrasalarial Ef]]</f>
        <v>6935</v>
      </c>
      <c r="CH136" s="303">
        <f>MIN(IF(DATOS_[[#This Row],[Fecha Fin Contrato]]="",$D$4,DATOS_[[#This Row],[Fecha Fin Contrato]]),$D$4)-MAX(DATOS_[[#This Row],[Fecha de Contratación]],$D$3)+1</f>
        <v>-1095</v>
      </c>
      <c r="CI136" s="304" t="str">
        <f>IF(COUNTIFS(DATOS_[id],DATOS_[[#This Row],[id]])&gt;1,DATOS_[[#This Row],[id]],"")</f>
        <v/>
      </c>
      <c r="CJ136" s="325">
        <f>(Inicio!$G$10-DATOS_[[#This Row],[Fecha Nacimiento]])/365.25</f>
        <v>36.062970568104035</v>
      </c>
      <c r="CK136" s="325">
        <f>(Inicio!$G$10-DATOS_[[#This Row],[Fecha de Antigüedad]])/365.25</f>
        <v>4.4161533196440796</v>
      </c>
      <c r="CL136" s="325" t="str">
        <f>+VLOOKUP(DATOS_[[#This Row],[Clave de Contrato]],TblTiposContrato13[],3,FALSE)</f>
        <v>Completa</v>
      </c>
      <c r="CM136" s="325" t="str">
        <f>+VLOOKUP(DATOS_[[#This Row],[Clave de Contrato]],TblTiposContrato13[],4,FALSE)</f>
        <v>Temporal</v>
      </c>
      <c r="CN136" s="325" t="str">
        <f>VLOOKUP(DATOS_[[#This Row],[Edad]],CONTRATOS!TblRngEdad,2,TRUE)</f>
        <v>35 a 40</v>
      </c>
      <c r="CO136" s="325" t="str">
        <f>VLOOKUP(DATOS_[[#This Row],[Antigüedad]],TblRngAntg14[],2,TRUE)</f>
        <v>3 a 5  años</v>
      </c>
    </row>
    <row r="137" spans="2:93" x14ac:dyDescent="0.25">
      <c r="B137" s="146">
        <v>124</v>
      </c>
      <c r="C137" s="146" t="s">
        <v>162</v>
      </c>
      <c r="D137" s="295">
        <v>28470</v>
      </c>
      <c r="E137" s="296" t="s">
        <v>71</v>
      </c>
      <c r="F137" s="296">
        <v>3</v>
      </c>
      <c r="G137" s="296">
        <v>0</v>
      </c>
      <c r="H137" s="297">
        <v>41167</v>
      </c>
      <c r="I137" s="298"/>
      <c r="J137" s="295">
        <v>41167</v>
      </c>
      <c r="K137" s="326"/>
      <c r="L137" s="326"/>
      <c r="M137" s="299">
        <v>1</v>
      </c>
      <c r="N137" s="299"/>
      <c r="O137" s="299"/>
      <c r="P137" s="296">
        <v>100</v>
      </c>
      <c r="Q137" s="146" t="s">
        <v>414</v>
      </c>
      <c r="R137" s="146" t="s">
        <v>415</v>
      </c>
      <c r="S137" s="146" t="s">
        <v>433</v>
      </c>
      <c r="T137" s="146" t="s">
        <v>407</v>
      </c>
      <c r="U137" s="146" t="s">
        <v>399</v>
      </c>
      <c r="V137" s="146" t="s">
        <v>126</v>
      </c>
      <c r="W137" s="146" t="s">
        <v>301</v>
      </c>
      <c r="X137" s="146" t="s">
        <v>309</v>
      </c>
      <c r="Y137" s="146" t="s">
        <v>409</v>
      </c>
      <c r="Z137" s="293"/>
      <c r="AA137" s="294" t="s">
        <v>434</v>
      </c>
      <c r="AB137" s="294">
        <v>7</v>
      </c>
      <c r="AC137" s="296">
        <v>6</v>
      </c>
      <c r="AD137" s="301">
        <v>14036.34</v>
      </c>
      <c r="AE137" s="301">
        <v>963.65999999999985</v>
      </c>
      <c r="AF137" s="301">
        <v>561.45360000000005</v>
      </c>
      <c r="AG137" s="301">
        <v>960</v>
      </c>
      <c r="AH137" s="301"/>
      <c r="AI137" s="301"/>
      <c r="AJ137" s="301"/>
      <c r="AK137" s="301">
        <v>80</v>
      </c>
      <c r="AL137" s="301"/>
      <c r="AM137" s="301"/>
      <c r="AN137" s="301"/>
      <c r="AO137" s="301"/>
      <c r="AP137" s="301"/>
      <c r="AQ137" s="301"/>
      <c r="AR137" s="301"/>
      <c r="AS137" s="301"/>
      <c r="AT137" s="301"/>
      <c r="AU137" s="301"/>
      <c r="AV137" s="301"/>
      <c r="AW137" s="301"/>
      <c r="AX137" s="301"/>
      <c r="AY137" s="301"/>
      <c r="AZ137" s="301"/>
      <c r="BA137" s="301"/>
      <c r="BB137" s="301"/>
      <c r="BC137" s="301"/>
      <c r="BD137" s="301"/>
      <c r="BE137" s="301"/>
      <c r="BF137" s="301"/>
      <c r="BG137" s="301"/>
      <c r="BH137" s="301"/>
      <c r="BI137" s="301"/>
      <c r="BJ137" s="301"/>
      <c r="BK137" s="301"/>
      <c r="BL137" s="301"/>
      <c r="BM137" s="302"/>
      <c r="BN137" s="291">
        <f>+MAX($D$3,DATOS_[[#This Row],[Fecha Inicio Sit. Contract.]])</f>
        <v>45292</v>
      </c>
      <c r="BO137" s="291">
        <f>+MIN($D$4,DATOS_[[#This Row],[Fecha Fin Sit. Contract.]])</f>
        <v>45657</v>
      </c>
      <c r="BP137" s="292">
        <f>+DATOS_[[#This Row],[% de jornada]]*IF(DATOS_[[#This Row],[% jornada reducida]]="",1,DATOS_[[#This Row],[% jornada reducida]])</f>
        <v>1</v>
      </c>
      <c r="BQ137" s="292">
        <f>+(DATOS_[[#This Row],[F.fin.cal]]-DATOS_[[#This Row],[F.ini.cal]]+1)/($D$4-$D$3+1)</f>
        <v>1</v>
      </c>
      <c r="BR137" s="322" t="str">
        <f>IF(OR(AND(DATOS_[[#This Row],[Fecha Fin Contrato]]&lt;$D$3,DATOS_[[#This Row],[Fecha Fin Contrato]]&lt;&gt;""),DATOS_[[#This Row],[Fecha de Contratación]]&gt;$D$4),"Fuera","Dentro")</f>
        <v>Dentro</v>
      </c>
      <c r="BS137" s="322" t="str">
        <f t="array" ref="BS137">IF(MAX(IF(DATOS_[id]=DATOS_[[#This Row],[id]],DATOS_[F.fin.cal]))=DATOS_[[#This Row],[F.fin.cal]],"Sí","NO")</f>
        <v>Sí</v>
      </c>
      <c r="BT137" s="292" t="str">
        <f>IF(AND(DATOS_[[#This Row],[% normaliz]]&lt;&gt;1,DATOS_[[#This Row],[% anualiz]]=1),"Sí","NO")</f>
        <v>NO</v>
      </c>
      <c r="BU137" s="292" t="str">
        <f>IF(AND(DATOS_[[#This Row],[% normaliz]]=1,DATOS_[[#This Row],[% anualiz]]&lt;&gt;1),"Sí","NO")</f>
        <v>NO</v>
      </c>
      <c r="BV137" s="292" t="str">
        <f>IF(AND(DATOS_[[#This Row],[% normaliz]]&lt;&gt;1,DATOS_[[#This Row],[% anualiz]]&lt;&gt;1),"Sí","NO")</f>
        <v>NO</v>
      </c>
      <c r="BW137" s="322" t="str">
        <f>+IF(DATOS_[[#This Row],[% normaliz]]*DATOS_[[#This Row],[% anualiz]]=1,"NO","Sí")</f>
        <v>NO</v>
      </c>
      <c r="BX137" s="323">
        <f>(DATOS_[[#This Row],[S.BASE]]*(1/DATOS_[[#This Row],[% normaliz]])*(1/DATOS_[[#This Row],[% anualiz]]))*IF(DATOS_[[#This Row],[Check Equiparado]]="Sí",1,0)</f>
        <v>14036.34</v>
      </c>
      <c r="BY13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2565.1135999999997</v>
      </c>
      <c r="BZ137" s="323">
        <f>+DATOS_[[#This Row],[SALARIO BASE Eq]]+DATOS_[[#This Row],[Tot COMPL.SAL Eq]]</f>
        <v>16601.453600000001</v>
      </c>
      <c r="CA137" s="323">
        <f t="array" ref="CA1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7" s="323">
        <f>+DATOS_[[#This Row],[TOTAL SALARIO Eq]]+DATOS_[[#This Row],[Tot Extrasalarial Eq]]</f>
        <v>16601.453600000001</v>
      </c>
      <c r="CC137" s="327">
        <f>DATOS_[[#This Row],[S.BASE]]</f>
        <v>14036.34</v>
      </c>
      <c r="CD137" s="324">
        <f>+SUM(DATOS_[[#This Row],[Conc.Sal.01]:[Conc.Sal.30]])</f>
        <v>2565.1135999999997</v>
      </c>
      <c r="CE137" s="324">
        <f>+DATOS_[[#This Row],[SALARIO BASE Ef]]+DATOS_[[#This Row],[Tot COMPL.SAL Ef]]</f>
        <v>16601.453600000001</v>
      </c>
      <c r="CF137" s="324">
        <f>+SUM(DATOS_[[#This Row],[C.Extra.01]:[C.Extra.05]])</f>
        <v>0</v>
      </c>
      <c r="CG137" s="330">
        <f>+DATOS_[[#This Row],[TOTAL SALARIO Ef]]+DATOS_[[#This Row],[Tot Extrasalarial Ef]]</f>
        <v>16601.453600000001</v>
      </c>
      <c r="CH137" s="303">
        <f>MIN(IF(DATOS_[[#This Row],[Fecha Fin Contrato]]="",$D$4,DATOS_[[#This Row],[Fecha Fin Contrato]]),$D$4)-MAX(DATOS_[[#This Row],[Fecha de Contratación]],$D$3)+1</f>
        <v>366</v>
      </c>
      <c r="CI137" s="304" t="str">
        <f>IF(COUNTIFS(DATOS_[id],DATOS_[[#This Row],[id]])&gt;1,DATOS_[[#This Row],[id]],"")</f>
        <v/>
      </c>
      <c r="CJ137" s="325">
        <f>(Inicio!$G$10-DATOS_[[#This Row],[Fecha Nacimiento]])/365.25</f>
        <v>47.055441478439427</v>
      </c>
      <c r="CK137" s="325">
        <f>(Inicio!$G$10-DATOS_[[#This Row],[Fecha de Antigüedad]])/365.25</f>
        <v>12.292950034223136</v>
      </c>
      <c r="CL137" s="325" t="str">
        <f>+VLOOKUP(DATOS_[[#This Row],[Clave de Contrato]],TblTiposContrato13[],3,FALSE)</f>
        <v>Completa</v>
      </c>
      <c r="CM137" s="325" t="str">
        <f>+VLOOKUP(DATOS_[[#This Row],[Clave de Contrato]],TblTiposContrato13[],4,FALSE)</f>
        <v>Indefinido</v>
      </c>
      <c r="CN137" s="325" t="str">
        <f>VLOOKUP(DATOS_[[#This Row],[Edad]],CONTRATOS!TblRngEdad,2,TRUE)</f>
        <v>45 a 50</v>
      </c>
      <c r="CO137" s="325" t="str">
        <f>VLOOKUP(DATOS_[[#This Row],[Antigüedad]],TblRngAntg14[],2,TRUE)</f>
        <v>de 10 a 15  años</v>
      </c>
    </row>
    <row r="138" spans="2:93" x14ac:dyDescent="0.25">
      <c r="B138" s="146">
        <v>125</v>
      </c>
      <c r="C138" s="146" t="s">
        <v>162</v>
      </c>
      <c r="D138" s="295">
        <v>26280</v>
      </c>
      <c r="E138" s="296" t="s">
        <v>403</v>
      </c>
      <c r="F138" s="296">
        <v>2</v>
      </c>
      <c r="G138" s="296">
        <v>2</v>
      </c>
      <c r="H138" s="297">
        <v>35360</v>
      </c>
      <c r="I138" s="298"/>
      <c r="J138" s="295">
        <v>35360</v>
      </c>
      <c r="K138" s="326"/>
      <c r="L138" s="326"/>
      <c r="M138" s="299">
        <v>1</v>
      </c>
      <c r="N138" s="299"/>
      <c r="O138" s="299"/>
      <c r="P138" s="296">
        <v>100</v>
      </c>
      <c r="Q138" s="146" t="s">
        <v>414</v>
      </c>
      <c r="R138" s="146" t="s">
        <v>415</v>
      </c>
      <c r="S138" s="146" t="s">
        <v>435</v>
      </c>
      <c r="T138" s="146" t="s">
        <v>407</v>
      </c>
      <c r="U138" s="146" t="s">
        <v>400</v>
      </c>
      <c r="V138" s="146" t="s">
        <v>436</v>
      </c>
      <c r="W138" s="146" t="s">
        <v>301</v>
      </c>
      <c r="X138" s="146" t="s">
        <v>309</v>
      </c>
      <c r="Y138" s="146" t="s">
        <v>409</v>
      </c>
      <c r="Z138" s="293"/>
      <c r="AA138" s="294" t="s">
        <v>434</v>
      </c>
      <c r="AB138" s="294">
        <v>8</v>
      </c>
      <c r="AC138" s="296">
        <v>5</v>
      </c>
      <c r="AD138" s="301">
        <v>14036.34</v>
      </c>
      <c r="AE138" s="301">
        <v>163.65999999999985</v>
      </c>
      <c r="AF138" s="301">
        <v>2807.268</v>
      </c>
      <c r="AG138" s="301">
        <v>960</v>
      </c>
      <c r="AH138" s="301"/>
      <c r="AI138" s="301"/>
      <c r="AJ138" s="301"/>
      <c r="AK138" s="301">
        <v>80</v>
      </c>
      <c r="AL138" s="301"/>
      <c r="AM138" s="301"/>
      <c r="AN138" s="301"/>
      <c r="AO138" s="301"/>
      <c r="AP138" s="301"/>
      <c r="AQ138" s="301"/>
      <c r="AR138" s="301"/>
      <c r="AS138" s="301"/>
      <c r="AT138" s="301"/>
      <c r="AU138" s="301"/>
      <c r="AV138" s="301"/>
      <c r="AW138" s="301"/>
      <c r="AX138" s="301"/>
      <c r="AY138" s="301"/>
      <c r="AZ138" s="301"/>
      <c r="BA138" s="301"/>
      <c r="BB138" s="301"/>
      <c r="BC138" s="301"/>
      <c r="BD138" s="301"/>
      <c r="BE138" s="301"/>
      <c r="BF138" s="301"/>
      <c r="BG138" s="301"/>
      <c r="BH138" s="301"/>
      <c r="BI138" s="301">
        <v>240</v>
      </c>
      <c r="BJ138" s="301"/>
      <c r="BK138" s="301"/>
      <c r="BL138" s="301"/>
      <c r="BM138" s="302"/>
      <c r="BN138" s="291">
        <f>+MAX($D$3,DATOS_[[#This Row],[Fecha Inicio Sit. Contract.]])</f>
        <v>45292</v>
      </c>
      <c r="BO138" s="291">
        <f>+MIN($D$4,DATOS_[[#This Row],[Fecha Fin Sit. Contract.]])</f>
        <v>45657</v>
      </c>
      <c r="BP138" s="292">
        <f>+DATOS_[[#This Row],[% de jornada]]*IF(DATOS_[[#This Row],[% jornada reducida]]="",1,DATOS_[[#This Row],[% jornada reducida]])</f>
        <v>1</v>
      </c>
      <c r="BQ138" s="292">
        <f>+(DATOS_[[#This Row],[F.fin.cal]]-DATOS_[[#This Row],[F.ini.cal]]+1)/($D$4-$D$3+1)</f>
        <v>1</v>
      </c>
      <c r="BR138" s="322" t="str">
        <f>IF(OR(AND(DATOS_[[#This Row],[Fecha Fin Contrato]]&lt;$D$3,DATOS_[[#This Row],[Fecha Fin Contrato]]&lt;&gt;""),DATOS_[[#This Row],[Fecha de Contratación]]&gt;$D$4),"Fuera","Dentro")</f>
        <v>Dentro</v>
      </c>
      <c r="BS138" s="322" t="str">
        <f t="array" ref="BS138">IF(MAX(IF(DATOS_[id]=DATOS_[[#This Row],[id]],DATOS_[F.fin.cal]))=DATOS_[[#This Row],[F.fin.cal]],"Sí","NO")</f>
        <v>Sí</v>
      </c>
      <c r="BT138" s="292" t="str">
        <f>IF(AND(DATOS_[[#This Row],[% normaliz]]&lt;&gt;1,DATOS_[[#This Row],[% anualiz]]=1),"Sí","NO")</f>
        <v>NO</v>
      </c>
      <c r="BU138" s="292" t="str">
        <f>IF(AND(DATOS_[[#This Row],[% normaliz]]=1,DATOS_[[#This Row],[% anualiz]]&lt;&gt;1),"Sí","NO")</f>
        <v>NO</v>
      </c>
      <c r="BV138" s="292" t="str">
        <f>IF(AND(DATOS_[[#This Row],[% normaliz]]&lt;&gt;1,DATOS_[[#This Row],[% anualiz]]&lt;&gt;1),"Sí","NO")</f>
        <v>NO</v>
      </c>
      <c r="BW138" s="322" t="str">
        <f>+IF(DATOS_[[#This Row],[% normaliz]]*DATOS_[[#This Row],[% anualiz]]=1,"NO","Sí")</f>
        <v>NO</v>
      </c>
      <c r="BX138" s="323">
        <f>(DATOS_[[#This Row],[S.BASE]]*(1/DATOS_[[#This Row],[% normaliz]])*(1/DATOS_[[#This Row],[% anualiz]]))*IF(DATOS_[[#This Row],[Check Equiparado]]="Sí",1,0)</f>
        <v>14036.34</v>
      </c>
      <c r="BY13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38" s="323">
        <f>+DATOS_[[#This Row],[SALARIO BASE Eq]]+DATOS_[[#This Row],[Tot COMPL.SAL Eq]]</f>
        <v>18047.268</v>
      </c>
      <c r="CA138" s="323">
        <f t="array" ref="CA1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240</v>
      </c>
      <c r="CB138" s="323">
        <f>+DATOS_[[#This Row],[TOTAL SALARIO Eq]]+DATOS_[[#This Row],[Tot Extrasalarial Eq]]</f>
        <v>18287.268</v>
      </c>
      <c r="CC138" s="327">
        <f>DATOS_[[#This Row],[S.BASE]]</f>
        <v>14036.34</v>
      </c>
      <c r="CD138" s="324">
        <f>+SUM(DATOS_[[#This Row],[Conc.Sal.01]:[Conc.Sal.30]])</f>
        <v>4010.9279999999999</v>
      </c>
      <c r="CE138" s="324">
        <f>+DATOS_[[#This Row],[SALARIO BASE Ef]]+DATOS_[[#This Row],[Tot COMPL.SAL Ef]]</f>
        <v>18047.268</v>
      </c>
      <c r="CF138" s="324">
        <f>+SUM(DATOS_[[#This Row],[C.Extra.01]:[C.Extra.05]])</f>
        <v>240</v>
      </c>
      <c r="CG138" s="330">
        <f>+DATOS_[[#This Row],[TOTAL SALARIO Ef]]+DATOS_[[#This Row],[Tot Extrasalarial Ef]]</f>
        <v>18287.268</v>
      </c>
      <c r="CH138" s="303">
        <f>MIN(IF(DATOS_[[#This Row],[Fecha Fin Contrato]]="",$D$4,DATOS_[[#This Row],[Fecha Fin Contrato]]),$D$4)-MAX(DATOS_[[#This Row],[Fecha de Contratación]],$D$3)+1</f>
        <v>366</v>
      </c>
      <c r="CI138" s="304" t="str">
        <f>IF(COUNTIFS(DATOS_[id],DATOS_[[#This Row],[id]])&gt;1,DATOS_[[#This Row],[id]],"")</f>
        <v/>
      </c>
      <c r="CJ138" s="325">
        <f>(Inicio!$G$10-DATOS_[[#This Row],[Fecha Nacimiento]])/365.25</f>
        <v>53.051334702258728</v>
      </c>
      <c r="CK138" s="325">
        <f>(Inicio!$G$10-DATOS_[[#This Row],[Fecha de Antigüedad]])/365.25</f>
        <v>28.191649555099247</v>
      </c>
      <c r="CL138" s="325" t="str">
        <f>+VLOOKUP(DATOS_[[#This Row],[Clave de Contrato]],TblTiposContrato13[],3,FALSE)</f>
        <v>Completa</v>
      </c>
      <c r="CM138" s="325" t="str">
        <f>+VLOOKUP(DATOS_[[#This Row],[Clave de Contrato]],TblTiposContrato13[],4,FALSE)</f>
        <v>Indefinido</v>
      </c>
      <c r="CN138" s="325" t="str">
        <f>VLOOKUP(DATOS_[[#This Row],[Edad]],CONTRATOS!TblRngEdad,2,TRUE)</f>
        <v>50 a 55</v>
      </c>
      <c r="CO138" s="325" t="str">
        <f>VLOOKUP(DATOS_[[#This Row],[Antigüedad]],TblRngAntg14[],2,TRUE)</f>
        <v>más de 15</v>
      </c>
    </row>
    <row r="139" spans="2:93" x14ac:dyDescent="0.25">
      <c r="B139" s="146">
        <v>126</v>
      </c>
      <c r="C139" s="146" t="s">
        <v>162</v>
      </c>
      <c r="D139" s="295">
        <v>27740</v>
      </c>
      <c r="E139" s="296" t="s">
        <v>403</v>
      </c>
      <c r="F139" s="296">
        <v>3</v>
      </c>
      <c r="G139" s="296">
        <v>0</v>
      </c>
      <c r="H139" s="297">
        <v>40985</v>
      </c>
      <c r="I139" s="298"/>
      <c r="J139" s="295">
        <v>40985</v>
      </c>
      <c r="K139" s="326">
        <v>43983</v>
      </c>
      <c r="L139" s="326">
        <v>44104</v>
      </c>
      <c r="M139" s="299">
        <v>1</v>
      </c>
      <c r="N139" s="299"/>
      <c r="O139" s="299"/>
      <c r="P139" s="296">
        <v>300</v>
      </c>
      <c r="Q139" s="146" t="s">
        <v>412</v>
      </c>
      <c r="R139" s="146" t="s">
        <v>417</v>
      </c>
      <c r="S139" s="146" t="s">
        <v>435</v>
      </c>
      <c r="T139" s="146" t="s">
        <v>407</v>
      </c>
      <c r="U139" s="146" t="s">
        <v>400</v>
      </c>
      <c r="V139" s="146" t="s">
        <v>436</v>
      </c>
      <c r="W139" s="146" t="s">
        <v>301</v>
      </c>
      <c r="X139" s="146" t="s">
        <v>309</v>
      </c>
      <c r="Y139" s="146" t="s">
        <v>409</v>
      </c>
      <c r="Z139" s="293"/>
      <c r="AA139" s="294" t="s">
        <v>434</v>
      </c>
      <c r="AB139" s="294">
        <v>8</v>
      </c>
      <c r="AC139" s="296">
        <v>5</v>
      </c>
      <c r="AD139" s="301">
        <v>3509.085</v>
      </c>
      <c r="AE139" s="301">
        <v>40.914999999999964</v>
      </c>
      <c r="AF139" s="301">
        <v>140.36340000000001</v>
      </c>
      <c r="AG139" s="301">
        <v>320</v>
      </c>
      <c r="AH139" s="301"/>
      <c r="AI139" s="301"/>
      <c r="AJ139" s="301"/>
      <c r="AK139" s="301"/>
      <c r="AL139" s="301"/>
      <c r="AM139" s="301"/>
      <c r="AN139" s="301"/>
      <c r="AO139" s="301"/>
      <c r="AP139" s="301"/>
      <c r="AQ139" s="301"/>
      <c r="AR139" s="301"/>
      <c r="AS139" s="301"/>
      <c r="AT139" s="301"/>
      <c r="AU139" s="301"/>
      <c r="AV139" s="301"/>
      <c r="AW139" s="301"/>
      <c r="AX139" s="301"/>
      <c r="AY139" s="301"/>
      <c r="AZ139" s="301"/>
      <c r="BA139" s="301"/>
      <c r="BB139" s="301"/>
      <c r="BC139" s="301"/>
      <c r="BD139" s="301"/>
      <c r="BE139" s="301"/>
      <c r="BF139" s="301"/>
      <c r="BG139" s="301"/>
      <c r="BH139" s="301"/>
      <c r="BI139" s="301">
        <v>240</v>
      </c>
      <c r="BJ139" s="301"/>
      <c r="BK139" s="301"/>
      <c r="BL139" s="301"/>
      <c r="BM139" s="302"/>
      <c r="BN139" s="291">
        <f>+MAX($D$3,DATOS_[[#This Row],[Fecha Inicio Sit. Contract.]])</f>
        <v>45292</v>
      </c>
      <c r="BO139" s="291">
        <f>+MIN($D$4,DATOS_[[#This Row],[Fecha Fin Sit. Contract.]])</f>
        <v>44104</v>
      </c>
      <c r="BP139" s="292">
        <f>+DATOS_[[#This Row],[% de jornada]]*IF(DATOS_[[#This Row],[% jornada reducida]]="",1,DATOS_[[#This Row],[% jornada reducida]])</f>
        <v>1</v>
      </c>
      <c r="BQ139" s="292">
        <f>+(DATOS_[[#This Row],[F.fin.cal]]-DATOS_[[#This Row],[F.ini.cal]]+1)/($D$4-$D$3+1)</f>
        <v>-3.2431693989071038</v>
      </c>
      <c r="BR139" s="322" t="str">
        <f>IF(OR(AND(DATOS_[[#This Row],[Fecha Fin Contrato]]&lt;$D$3,DATOS_[[#This Row],[Fecha Fin Contrato]]&lt;&gt;""),DATOS_[[#This Row],[Fecha de Contratación]]&gt;$D$4),"Fuera","Dentro")</f>
        <v>Dentro</v>
      </c>
      <c r="BS139" s="322" t="str">
        <f t="array" ref="BS139">IF(MAX(IF(DATOS_[id]=DATOS_[[#This Row],[id]],DATOS_[F.fin.cal]))=DATOS_[[#This Row],[F.fin.cal]],"Sí","NO")</f>
        <v>Sí</v>
      </c>
      <c r="BT139" s="292" t="str">
        <f>IF(AND(DATOS_[[#This Row],[% normaliz]]&lt;&gt;1,DATOS_[[#This Row],[% anualiz]]=1),"Sí","NO")</f>
        <v>NO</v>
      </c>
      <c r="BU139" s="292" t="str">
        <f>IF(AND(DATOS_[[#This Row],[% normaliz]]=1,DATOS_[[#This Row],[% anualiz]]&lt;&gt;1),"Sí","NO")</f>
        <v>Sí</v>
      </c>
      <c r="BV139" s="292" t="str">
        <f>IF(AND(DATOS_[[#This Row],[% normaliz]]&lt;&gt;1,DATOS_[[#This Row],[% anualiz]]&lt;&gt;1),"Sí","NO")</f>
        <v>NO</v>
      </c>
      <c r="BW139" s="322" t="str">
        <f>+IF(DATOS_[[#This Row],[% normaliz]]*DATOS_[[#This Row],[% anualiz]]=1,"NO","Sí")</f>
        <v>Sí</v>
      </c>
      <c r="BX139" s="323">
        <f>(DATOS_[[#This Row],[S.BASE]]*(1/DATOS_[[#This Row],[% normaliz]])*(1/DATOS_[[#This Row],[% anualiz]]))*IF(DATOS_[[#This Row],[Check Equiparado]]="Sí",1,0)</f>
        <v>-1081.9925105307498</v>
      </c>
      <c r="BY13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-154.56435922493679</v>
      </c>
      <c r="BZ139" s="323">
        <f>+DATOS_[[#This Row],[SALARIO BASE Eq]]+DATOS_[[#This Row],[Tot COMPL.SAL Eq]]</f>
        <v>-1236.5568697556866</v>
      </c>
      <c r="CA139" s="323">
        <f t="array" ref="CA1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240</v>
      </c>
      <c r="CB139" s="323">
        <f>+DATOS_[[#This Row],[TOTAL SALARIO Eq]]+DATOS_[[#This Row],[Tot Extrasalarial Eq]]</f>
        <v>-996.55686975568665</v>
      </c>
      <c r="CC139" s="327">
        <f>DATOS_[[#This Row],[S.BASE]]</f>
        <v>3509.085</v>
      </c>
      <c r="CD139" s="324">
        <f>+SUM(DATOS_[[#This Row],[Conc.Sal.01]:[Conc.Sal.30]])</f>
        <v>501.27839999999998</v>
      </c>
      <c r="CE139" s="324">
        <f>+DATOS_[[#This Row],[SALARIO BASE Ef]]+DATOS_[[#This Row],[Tot COMPL.SAL Ef]]</f>
        <v>4010.3634000000002</v>
      </c>
      <c r="CF139" s="324">
        <f>+SUM(DATOS_[[#This Row],[C.Extra.01]:[C.Extra.05]])</f>
        <v>240</v>
      </c>
      <c r="CG139" s="330">
        <f>+DATOS_[[#This Row],[TOTAL SALARIO Ef]]+DATOS_[[#This Row],[Tot Extrasalarial Ef]]</f>
        <v>4250.3634000000002</v>
      </c>
      <c r="CH139" s="303">
        <f>MIN(IF(DATOS_[[#This Row],[Fecha Fin Contrato]]="",$D$4,DATOS_[[#This Row],[Fecha Fin Contrato]]),$D$4)-MAX(DATOS_[[#This Row],[Fecha de Contratación]],$D$3)+1</f>
        <v>366</v>
      </c>
      <c r="CI139" s="304" t="str">
        <f>IF(COUNTIFS(DATOS_[id],DATOS_[[#This Row],[id]])&gt;1,DATOS_[[#This Row],[id]],"")</f>
        <v/>
      </c>
      <c r="CJ139" s="325">
        <f>(Inicio!$G$10-DATOS_[[#This Row],[Fecha Nacimiento]])/365.25</f>
        <v>49.054072553045856</v>
      </c>
      <c r="CK139" s="325">
        <f>(Inicio!$G$10-DATOS_[[#This Row],[Fecha de Antigüedad]])/365.25</f>
        <v>12.791238877481177</v>
      </c>
      <c r="CL139" s="325" t="str">
        <f>+VLOOKUP(DATOS_[[#This Row],[Clave de Contrato]],TblTiposContrato13[],3,FALSE)</f>
        <v>N.D</v>
      </c>
      <c r="CM139" s="325" t="str">
        <f>+VLOOKUP(DATOS_[[#This Row],[Clave de Contrato]],TblTiposContrato13[],4,FALSE)</f>
        <v>Fijo discontinuo</v>
      </c>
      <c r="CN139" s="325" t="str">
        <f>VLOOKUP(DATOS_[[#This Row],[Edad]],CONTRATOS!TblRngEdad,2,TRUE)</f>
        <v>45 a 50</v>
      </c>
      <c r="CO139" s="325" t="str">
        <f>VLOOKUP(DATOS_[[#This Row],[Antigüedad]],TblRngAntg14[],2,TRUE)</f>
        <v>de 10 a 15  años</v>
      </c>
    </row>
    <row r="140" spans="2:93" x14ac:dyDescent="0.25">
      <c r="B140" s="146">
        <v>127</v>
      </c>
      <c r="C140" s="146" t="s">
        <v>163</v>
      </c>
      <c r="D140" s="295">
        <v>29565</v>
      </c>
      <c r="E140" s="296" t="s">
        <v>403</v>
      </c>
      <c r="F140" s="296">
        <v>3</v>
      </c>
      <c r="G140" s="296">
        <v>0</v>
      </c>
      <c r="H140" s="297">
        <v>41058</v>
      </c>
      <c r="I140" s="298"/>
      <c r="J140" s="295">
        <v>41058</v>
      </c>
      <c r="K140" s="326">
        <v>43983</v>
      </c>
      <c r="L140" s="326">
        <v>44104</v>
      </c>
      <c r="M140" s="299">
        <v>1</v>
      </c>
      <c r="N140" s="299"/>
      <c r="O140" s="299"/>
      <c r="P140" s="296">
        <v>300</v>
      </c>
      <c r="Q140" s="146" t="s">
        <v>431</v>
      </c>
      <c r="R140" s="146" t="s">
        <v>419</v>
      </c>
      <c r="S140" s="146" t="s">
        <v>435</v>
      </c>
      <c r="T140" s="146" t="s">
        <v>407</v>
      </c>
      <c r="U140" s="146" t="s">
        <v>400</v>
      </c>
      <c r="V140" s="146" t="s">
        <v>436</v>
      </c>
      <c r="W140" s="146" t="s">
        <v>301</v>
      </c>
      <c r="X140" s="146" t="s">
        <v>309</v>
      </c>
      <c r="Y140" s="146" t="s">
        <v>409</v>
      </c>
      <c r="Z140" s="293"/>
      <c r="AA140" s="294" t="s">
        <v>434</v>
      </c>
      <c r="AB140" s="294">
        <v>8</v>
      </c>
      <c r="AC140" s="296">
        <v>5</v>
      </c>
      <c r="AD140" s="301">
        <v>3509.085</v>
      </c>
      <c r="AE140" s="301">
        <v>40.914999999999964</v>
      </c>
      <c r="AF140" s="301">
        <v>140.36340000000001</v>
      </c>
      <c r="AG140" s="301">
        <v>320</v>
      </c>
      <c r="AH140" s="301"/>
      <c r="AI140" s="301"/>
      <c r="AJ140" s="301"/>
      <c r="AK140" s="301"/>
      <c r="AL140" s="301"/>
      <c r="AM140" s="301"/>
      <c r="AN140" s="301"/>
      <c r="AO140" s="301"/>
      <c r="AP140" s="301"/>
      <c r="AQ140" s="301"/>
      <c r="AR140" s="301"/>
      <c r="AS140" s="301"/>
      <c r="AT140" s="301"/>
      <c r="AU140" s="301"/>
      <c r="AV140" s="301"/>
      <c r="AW140" s="301"/>
      <c r="AX140" s="301"/>
      <c r="AY140" s="301"/>
      <c r="AZ140" s="301"/>
      <c r="BA140" s="301"/>
      <c r="BB140" s="301"/>
      <c r="BC140" s="301"/>
      <c r="BD140" s="301"/>
      <c r="BE140" s="301"/>
      <c r="BF140" s="301"/>
      <c r="BG140" s="301"/>
      <c r="BH140" s="301"/>
      <c r="BI140" s="301">
        <v>80</v>
      </c>
      <c r="BJ140" s="301"/>
      <c r="BK140" s="301"/>
      <c r="BL140" s="301"/>
      <c r="BM140" s="302"/>
      <c r="BN140" s="291">
        <f>+MAX($D$3,DATOS_[[#This Row],[Fecha Inicio Sit. Contract.]])</f>
        <v>45292</v>
      </c>
      <c r="BO140" s="291">
        <f>+MIN($D$4,DATOS_[[#This Row],[Fecha Fin Sit. Contract.]])</f>
        <v>44104</v>
      </c>
      <c r="BP140" s="292">
        <f>+DATOS_[[#This Row],[% de jornada]]*IF(DATOS_[[#This Row],[% jornada reducida]]="",1,DATOS_[[#This Row],[% jornada reducida]])</f>
        <v>1</v>
      </c>
      <c r="BQ140" s="292">
        <f>+(DATOS_[[#This Row],[F.fin.cal]]-DATOS_[[#This Row],[F.ini.cal]]+1)/($D$4-$D$3+1)</f>
        <v>-3.2431693989071038</v>
      </c>
      <c r="BR140" s="322" t="str">
        <f>IF(OR(AND(DATOS_[[#This Row],[Fecha Fin Contrato]]&lt;$D$3,DATOS_[[#This Row],[Fecha Fin Contrato]]&lt;&gt;""),DATOS_[[#This Row],[Fecha de Contratación]]&gt;$D$4),"Fuera","Dentro")</f>
        <v>Dentro</v>
      </c>
      <c r="BS140" s="322" t="str">
        <f t="array" ref="BS140">IF(MAX(IF(DATOS_[id]=DATOS_[[#This Row],[id]],DATOS_[F.fin.cal]))=DATOS_[[#This Row],[F.fin.cal]],"Sí","NO")</f>
        <v>Sí</v>
      </c>
      <c r="BT140" s="292" t="str">
        <f>IF(AND(DATOS_[[#This Row],[% normaliz]]&lt;&gt;1,DATOS_[[#This Row],[% anualiz]]=1),"Sí","NO")</f>
        <v>NO</v>
      </c>
      <c r="BU140" s="292" t="str">
        <f>IF(AND(DATOS_[[#This Row],[% normaliz]]=1,DATOS_[[#This Row],[% anualiz]]&lt;&gt;1),"Sí","NO")</f>
        <v>Sí</v>
      </c>
      <c r="BV140" s="292" t="str">
        <f>IF(AND(DATOS_[[#This Row],[% normaliz]]&lt;&gt;1,DATOS_[[#This Row],[% anualiz]]&lt;&gt;1),"Sí","NO")</f>
        <v>NO</v>
      </c>
      <c r="BW140" s="322" t="str">
        <f>+IF(DATOS_[[#This Row],[% normaliz]]*DATOS_[[#This Row],[% anualiz]]=1,"NO","Sí")</f>
        <v>Sí</v>
      </c>
      <c r="BX140" s="323">
        <f>(DATOS_[[#This Row],[S.BASE]]*(1/DATOS_[[#This Row],[% normaliz]])*(1/DATOS_[[#This Row],[% anualiz]]))*IF(DATOS_[[#This Row],[Check Equiparado]]="Sí",1,0)</f>
        <v>-1081.9925105307498</v>
      </c>
      <c r="BY14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-154.56435922493679</v>
      </c>
      <c r="BZ140" s="323">
        <f>+DATOS_[[#This Row],[SALARIO BASE Eq]]+DATOS_[[#This Row],[Tot COMPL.SAL Eq]]</f>
        <v>-1236.5568697556866</v>
      </c>
      <c r="CA140" s="323">
        <f t="array" ref="CA1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80</v>
      </c>
      <c r="CB140" s="323">
        <f>+DATOS_[[#This Row],[TOTAL SALARIO Eq]]+DATOS_[[#This Row],[Tot Extrasalarial Eq]]</f>
        <v>-1156.5568697556866</v>
      </c>
      <c r="CC140" s="327">
        <f>DATOS_[[#This Row],[S.BASE]]</f>
        <v>3509.085</v>
      </c>
      <c r="CD140" s="324">
        <f>+SUM(DATOS_[[#This Row],[Conc.Sal.01]:[Conc.Sal.30]])</f>
        <v>501.27839999999998</v>
      </c>
      <c r="CE140" s="324">
        <f>+DATOS_[[#This Row],[SALARIO BASE Ef]]+DATOS_[[#This Row],[Tot COMPL.SAL Ef]]</f>
        <v>4010.3634000000002</v>
      </c>
      <c r="CF140" s="324">
        <f>+SUM(DATOS_[[#This Row],[C.Extra.01]:[C.Extra.05]])</f>
        <v>80</v>
      </c>
      <c r="CG140" s="330">
        <f>+DATOS_[[#This Row],[TOTAL SALARIO Ef]]+DATOS_[[#This Row],[Tot Extrasalarial Ef]]</f>
        <v>4090.3634000000002</v>
      </c>
      <c r="CH140" s="303">
        <f>MIN(IF(DATOS_[[#This Row],[Fecha Fin Contrato]]="",$D$4,DATOS_[[#This Row],[Fecha Fin Contrato]]),$D$4)-MAX(DATOS_[[#This Row],[Fecha de Contratación]],$D$3)+1</f>
        <v>366</v>
      </c>
      <c r="CI140" s="304" t="str">
        <f>IF(COUNTIFS(DATOS_[id],DATOS_[[#This Row],[id]])&gt;1,DATOS_[[#This Row],[id]],"")</f>
        <v/>
      </c>
      <c r="CJ140" s="325">
        <f>(Inicio!$G$10-DATOS_[[#This Row],[Fecha Nacimiento]])/365.25</f>
        <v>44.057494866529773</v>
      </c>
      <c r="CK140" s="325">
        <f>(Inicio!$G$10-DATOS_[[#This Row],[Fecha de Antigüedad]])/365.25</f>
        <v>12.591375770020534</v>
      </c>
      <c r="CL140" s="325" t="str">
        <f>+VLOOKUP(DATOS_[[#This Row],[Clave de Contrato]],TblTiposContrato13[],3,FALSE)</f>
        <v>N.D</v>
      </c>
      <c r="CM140" s="325" t="str">
        <f>+VLOOKUP(DATOS_[[#This Row],[Clave de Contrato]],TblTiposContrato13[],4,FALSE)</f>
        <v>Fijo discontinuo</v>
      </c>
      <c r="CN140" s="325" t="str">
        <f>VLOOKUP(DATOS_[[#This Row],[Edad]],CONTRATOS!TblRngEdad,2,TRUE)</f>
        <v>40 a 45</v>
      </c>
      <c r="CO140" s="325" t="str">
        <f>VLOOKUP(DATOS_[[#This Row],[Antigüedad]],TblRngAntg14[],2,TRUE)</f>
        <v>de 10 a 15  años</v>
      </c>
    </row>
    <row r="141" spans="2:93" x14ac:dyDescent="0.25">
      <c r="B141" s="146">
        <v>128</v>
      </c>
      <c r="C141" s="146" t="s">
        <v>162</v>
      </c>
      <c r="D141" s="295">
        <v>31025</v>
      </c>
      <c r="E141" s="296" t="s">
        <v>427</v>
      </c>
      <c r="F141" s="296">
        <v>2</v>
      </c>
      <c r="G141" s="296">
        <v>3</v>
      </c>
      <c r="H141" s="297">
        <v>41240</v>
      </c>
      <c r="I141" s="298"/>
      <c r="J141" s="295">
        <v>41240</v>
      </c>
      <c r="K141" s="326">
        <v>43983</v>
      </c>
      <c r="L141" s="326">
        <v>44104</v>
      </c>
      <c r="M141" s="299">
        <v>1</v>
      </c>
      <c r="N141" s="299"/>
      <c r="O141" s="299"/>
      <c r="P141" s="296">
        <v>300</v>
      </c>
      <c r="Q141" s="146" t="s">
        <v>414</v>
      </c>
      <c r="R141" s="146" t="s">
        <v>415</v>
      </c>
      <c r="S141" s="146" t="s">
        <v>435</v>
      </c>
      <c r="T141" s="146" t="s">
        <v>407</v>
      </c>
      <c r="U141" s="146" t="s">
        <v>400</v>
      </c>
      <c r="V141" s="146" t="s">
        <v>436</v>
      </c>
      <c r="W141" s="146" t="s">
        <v>301</v>
      </c>
      <c r="X141" s="146" t="s">
        <v>309</v>
      </c>
      <c r="Y141" s="146" t="s">
        <v>409</v>
      </c>
      <c r="Z141" s="293"/>
      <c r="AA141" s="294" t="s">
        <v>434</v>
      </c>
      <c r="AB141" s="294">
        <v>8</v>
      </c>
      <c r="AC141" s="296">
        <v>5</v>
      </c>
      <c r="AD141" s="301">
        <v>3509.085</v>
      </c>
      <c r="AE141" s="301">
        <v>40.914999999999964</v>
      </c>
      <c r="AF141" s="301">
        <v>140.36340000000001</v>
      </c>
      <c r="AG141" s="301">
        <v>320</v>
      </c>
      <c r="AH141" s="301"/>
      <c r="AI141" s="301"/>
      <c r="AJ141" s="301"/>
      <c r="AK141" s="301"/>
      <c r="AL141" s="301"/>
      <c r="AM141" s="301"/>
      <c r="AN141" s="301"/>
      <c r="AO141" s="301"/>
      <c r="AP141" s="301"/>
      <c r="AQ141" s="301"/>
      <c r="AR141" s="301"/>
      <c r="AS141" s="301"/>
      <c r="AT141" s="301"/>
      <c r="AU141" s="301"/>
      <c r="AV141" s="301"/>
      <c r="AW141" s="301"/>
      <c r="AX141" s="301"/>
      <c r="AY141" s="301"/>
      <c r="AZ141" s="301"/>
      <c r="BA141" s="301"/>
      <c r="BB141" s="301"/>
      <c r="BC141" s="301"/>
      <c r="BD141" s="301"/>
      <c r="BE141" s="301"/>
      <c r="BF141" s="301"/>
      <c r="BG141" s="301"/>
      <c r="BH141" s="301"/>
      <c r="BI141" s="301"/>
      <c r="BJ141" s="301"/>
      <c r="BK141" s="301"/>
      <c r="BL141" s="301"/>
      <c r="BM141" s="302"/>
      <c r="BN141" s="291">
        <f>+MAX($D$3,DATOS_[[#This Row],[Fecha Inicio Sit. Contract.]])</f>
        <v>45292</v>
      </c>
      <c r="BO141" s="291">
        <f>+MIN($D$4,DATOS_[[#This Row],[Fecha Fin Sit. Contract.]])</f>
        <v>44104</v>
      </c>
      <c r="BP141" s="292">
        <f>+DATOS_[[#This Row],[% de jornada]]*IF(DATOS_[[#This Row],[% jornada reducida]]="",1,DATOS_[[#This Row],[% jornada reducida]])</f>
        <v>1</v>
      </c>
      <c r="BQ141" s="292">
        <f>+(DATOS_[[#This Row],[F.fin.cal]]-DATOS_[[#This Row],[F.ini.cal]]+1)/($D$4-$D$3+1)</f>
        <v>-3.2431693989071038</v>
      </c>
      <c r="BR141" s="322" t="str">
        <f>IF(OR(AND(DATOS_[[#This Row],[Fecha Fin Contrato]]&lt;$D$3,DATOS_[[#This Row],[Fecha Fin Contrato]]&lt;&gt;""),DATOS_[[#This Row],[Fecha de Contratación]]&gt;$D$4),"Fuera","Dentro")</f>
        <v>Dentro</v>
      </c>
      <c r="BS141" s="322" t="str">
        <f t="array" ref="BS141">IF(MAX(IF(DATOS_[id]=DATOS_[[#This Row],[id]],DATOS_[F.fin.cal]))=DATOS_[[#This Row],[F.fin.cal]],"Sí","NO")</f>
        <v>Sí</v>
      </c>
      <c r="BT141" s="292" t="str">
        <f>IF(AND(DATOS_[[#This Row],[% normaliz]]&lt;&gt;1,DATOS_[[#This Row],[% anualiz]]=1),"Sí","NO")</f>
        <v>NO</v>
      </c>
      <c r="BU141" s="292" t="str">
        <f>IF(AND(DATOS_[[#This Row],[% normaliz]]=1,DATOS_[[#This Row],[% anualiz]]&lt;&gt;1),"Sí","NO")</f>
        <v>Sí</v>
      </c>
      <c r="BV141" s="292" t="str">
        <f>IF(AND(DATOS_[[#This Row],[% normaliz]]&lt;&gt;1,DATOS_[[#This Row],[% anualiz]]&lt;&gt;1),"Sí","NO")</f>
        <v>NO</v>
      </c>
      <c r="BW141" s="322" t="str">
        <f>+IF(DATOS_[[#This Row],[% normaliz]]*DATOS_[[#This Row],[% anualiz]]=1,"NO","Sí")</f>
        <v>Sí</v>
      </c>
      <c r="BX141" s="323">
        <f>(DATOS_[[#This Row],[S.BASE]]*(1/DATOS_[[#This Row],[% normaliz]])*(1/DATOS_[[#This Row],[% anualiz]]))*IF(DATOS_[[#This Row],[Check Equiparado]]="Sí",1,0)</f>
        <v>-1081.9925105307498</v>
      </c>
      <c r="BY14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-154.56435922493679</v>
      </c>
      <c r="BZ141" s="323">
        <f>+DATOS_[[#This Row],[SALARIO BASE Eq]]+DATOS_[[#This Row],[Tot COMPL.SAL Eq]]</f>
        <v>-1236.5568697556866</v>
      </c>
      <c r="CA141" s="323">
        <f t="array" ref="CA1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1" s="323">
        <f>+DATOS_[[#This Row],[TOTAL SALARIO Eq]]+DATOS_[[#This Row],[Tot Extrasalarial Eq]]</f>
        <v>-1236.5568697556866</v>
      </c>
      <c r="CC141" s="327">
        <f>DATOS_[[#This Row],[S.BASE]]</f>
        <v>3509.085</v>
      </c>
      <c r="CD141" s="324">
        <f>+SUM(DATOS_[[#This Row],[Conc.Sal.01]:[Conc.Sal.30]])</f>
        <v>501.27839999999998</v>
      </c>
      <c r="CE141" s="324">
        <f>+DATOS_[[#This Row],[SALARIO BASE Ef]]+DATOS_[[#This Row],[Tot COMPL.SAL Ef]]</f>
        <v>4010.3634000000002</v>
      </c>
      <c r="CF141" s="324">
        <f>+SUM(DATOS_[[#This Row],[C.Extra.01]:[C.Extra.05]])</f>
        <v>0</v>
      </c>
      <c r="CG141" s="330">
        <f>+DATOS_[[#This Row],[TOTAL SALARIO Ef]]+DATOS_[[#This Row],[Tot Extrasalarial Ef]]</f>
        <v>4010.3634000000002</v>
      </c>
      <c r="CH141" s="303">
        <f>MIN(IF(DATOS_[[#This Row],[Fecha Fin Contrato]]="",$D$4,DATOS_[[#This Row],[Fecha Fin Contrato]]),$D$4)-MAX(DATOS_[[#This Row],[Fecha de Contratación]],$D$3)+1</f>
        <v>366</v>
      </c>
      <c r="CI141" s="304" t="str">
        <f>IF(COUNTIFS(DATOS_[id],DATOS_[[#This Row],[id]])&gt;1,DATOS_[[#This Row],[id]],"")</f>
        <v/>
      </c>
      <c r="CJ141" s="325">
        <f>(Inicio!$G$10-DATOS_[[#This Row],[Fecha Nacimiento]])/365.25</f>
        <v>40.060232717316907</v>
      </c>
      <c r="CK141" s="325">
        <f>(Inicio!$G$10-DATOS_[[#This Row],[Fecha de Antigüedad]])/365.25</f>
        <v>12.093086926762492</v>
      </c>
      <c r="CL141" s="325" t="str">
        <f>+VLOOKUP(DATOS_[[#This Row],[Clave de Contrato]],TblTiposContrato13[],3,FALSE)</f>
        <v>N.D</v>
      </c>
      <c r="CM141" s="325" t="str">
        <f>+VLOOKUP(DATOS_[[#This Row],[Clave de Contrato]],TblTiposContrato13[],4,FALSE)</f>
        <v>Fijo discontinuo</v>
      </c>
      <c r="CN141" s="325" t="str">
        <f>VLOOKUP(DATOS_[[#This Row],[Edad]],CONTRATOS!TblRngEdad,2,TRUE)</f>
        <v>40 a 45</v>
      </c>
      <c r="CO141" s="325" t="str">
        <f>VLOOKUP(DATOS_[[#This Row],[Antigüedad]],TblRngAntg14[],2,TRUE)</f>
        <v>de 10 a 15  años</v>
      </c>
    </row>
    <row r="142" spans="2:93" x14ac:dyDescent="0.25">
      <c r="B142" s="146">
        <v>129</v>
      </c>
      <c r="C142" s="146" t="s">
        <v>163</v>
      </c>
      <c r="D142" s="295">
        <v>32485</v>
      </c>
      <c r="E142" s="296" t="s">
        <v>427</v>
      </c>
      <c r="F142" s="296">
        <v>2</v>
      </c>
      <c r="G142" s="296">
        <v>2</v>
      </c>
      <c r="H142" s="297">
        <v>44053</v>
      </c>
      <c r="I142" s="298"/>
      <c r="J142" s="295">
        <v>44053</v>
      </c>
      <c r="K142" s="326"/>
      <c r="L142" s="326"/>
      <c r="M142" s="299">
        <v>1</v>
      </c>
      <c r="N142" s="299"/>
      <c r="O142" s="299"/>
      <c r="P142" s="296">
        <v>100</v>
      </c>
      <c r="Q142" s="146" t="s">
        <v>414</v>
      </c>
      <c r="R142" s="146" t="s">
        <v>415</v>
      </c>
      <c r="S142" s="146" t="s">
        <v>435</v>
      </c>
      <c r="T142" s="146" t="s">
        <v>407</v>
      </c>
      <c r="U142" s="146" t="s">
        <v>400</v>
      </c>
      <c r="V142" s="146" t="s">
        <v>436</v>
      </c>
      <c r="W142" s="146" t="s">
        <v>301</v>
      </c>
      <c r="X142" s="146" t="s">
        <v>309</v>
      </c>
      <c r="Y142" s="146" t="s">
        <v>409</v>
      </c>
      <c r="Z142" s="293"/>
      <c r="AA142" s="294" t="s">
        <v>434</v>
      </c>
      <c r="AB142" s="294">
        <v>8</v>
      </c>
      <c r="AC142" s="296">
        <v>5</v>
      </c>
      <c r="AD142" s="301">
        <v>14036.34</v>
      </c>
      <c r="AE142" s="301">
        <v>163.65999999999985</v>
      </c>
      <c r="AF142" s="301"/>
      <c r="AG142" s="301">
        <v>960</v>
      </c>
      <c r="AH142" s="301"/>
      <c r="AI142" s="301"/>
      <c r="AJ142" s="301"/>
      <c r="AK142" s="301">
        <v>80</v>
      </c>
      <c r="AL142" s="301"/>
      <c r="AM142" s="301"/>
      <c r="AN142" s="301"/>
      <c r="AO142" s="301"/>
      <c r="AP142" s="301"/>
      <c r="AQ142" s="301"/>
      <c r="AR142" s="301"/>
      <c r="AS142" s="301"/>
      <c r="AT142" s="301"/>
      <c r="AU142" s="301"/>
      <c r="AV142" s="301"/>
      <c r="AW142" s="301"/>
      <c r="AX142" s="301"/>
      <c r="AY142" s="301"/>
      <c r="AZ142" s="301"/>
      <c r="BA142" s="301"/>
      <c r="BB142" s="301"/>
      <c r="BC142" s="301"/>
      <c r="BD142" s="301"/>
      <c r="BE142" s="301"/>
      <c r="BF142" s="301"/>
      <c r="BG142" s="301"/>
      <c r="BH142" s="301"/>
      <c r="BI142" s="301">
        <v>160</v>
      </c>
      <c r="BJ142" s="301"/>
      <c r="BK142" s="301"/>
      <c r="BL142" s="301"/>
      <c r="BM142" s="302"/>
      <c r="BN142" s="291">
        <f>+MAX($D$3,DATOS_[[#This Row],[Fecha Inicio Sit. Contract.]])</f>
        <v>45292</v>
      </c>
      <c r="BO142" s="291">
        <f>+MIN($D$4,DATOS_[[#This Row],[Fecha Fin Sit. Contract.]])</f>
        <v>45657</v>
      </c>
      <c r="BP142" s="292">
        <f>+DATOS_[[#This Row],[% de jornada]]*IF(DATOS_[[#This Row],[% jornada reducida]]="",1,DATOS_[[#This Row],[% jornada reducida]])</f>
        <v>1</v>
      </c>
      <c r="BQ142" s="292">
        <f>+(DATOS_[[#This Row],[F.fin.cal]]-DATOS_[[#This Row],[F.ini.cal]]+1)/($D$4-$D$3+1)</f>
        <v>1</v>
      </c>
      <c r="BR142" s="322" t="str">
        <f>IF(OR(AND(DATOS_[[#This Row],[Fecha Fin Contrato]]&lt;$D$3,DATOS_[[#This Row],[Fecha Fin Contrato]]&lt;&gt;""),DATOS_[[#This Row],[Fecha de Contratación]]&gt;$D$4),"Fuera","Dentro")</f>
        <v>Dentro</v>
      </c>
      <c r="BS142" s="322" t="str">
        <f t="array" ref="BS142">IF(MAX(IF(DATOS_[id]=DATOS_[[#This Row],[id]],DATOS_[F.fin.cal]))=DATOS_[[#This Row],[F.fin.cal]],"Sí","NO")</f>
        <v>Sí</v>
      </c>
      <c r="BT142" s="292" t="str">
        <f>IF(AND(DATOS_[[#This Row],[% normaliz]]&lt;&gt;1,DATOS_[[#This Row],[% anualiz]]=1),"Sí","NO")</f>
        <v>NO</v>
      </c>
      <c r="BU142" s="292" t="str">
        <f>IF(AND(DATOS_[[#This Row],[% normaliz]]=1,DATOS_[[#This Row],[% anualiz]]&lt;&gt;1),"Sí","NO")</f>
        <v>NO</v>
      </c>
      <c r="BV142" s="292" t="str">
        <f>IF(AND(DATOS_[[#This Row],[% normaliz]]&lt;&gt;1,DATOS_[[#This Row],[% anualiz]]&lt;&gt;1),"Sí","NO")</f>
        <v>NO</v>
      </c>
      <c r="BW142" s="322" t="str">
        <f>+IF(DATOS_[[#This Row],[% normaliz]]*DATOS_[[#This Row],[% anualiz]]=1,"NO","Sí")</f>
        <v>NO</v>
      </c>
      <c r="BX142" s="323">
        <f>(DATOS_[[#This Row],[S.BASE]]*(1/DATOS_[[#This Row],[% normaliz]])*(1/DATOS_[[#This Row],[% anualiz]]))*IF(DATOS_[[#This Row],[Check Equiparado]]="Sí",1,0)</f>
        <v>14036.34</v>
      </c>
      <c r="BY14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1203.6599999999999</v>
      </c>
      <c r="BZ142" s="323">
        <f>+DATOS_[[#This Row],[SALARIO BASE Eq]]+DATOS_[[#This Row],[Tot COMPL.SAL Eq]]</f>
        <v>15240</v>
      </c>
      <c r="CA142" s="323">
        <f t="array" ref="CA1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160</v>
      </c>
      <c r="CB142" s="323">
        <f>+DATOS_[[#This Row],[TOTAL SALARIO Eq]]+DATOS_[[#This Row],[Tot Extrasalarial Eq]]</f>
        <v>15400</v>
      </c>
      <c r="CC142" s="327">
        <f>DATOS_[[#This Row],[S.BASE]]</f>
        <v>14036.34</v>
      </c>
      <c r="CD142" s="324">
        <f>+SUM(DATOS_[[#This Row],[Conc.Sal.01]:[Conc.Sal.30]])</f>
        <v>1203.6599999999999</v>
      </c>
      <c r="CE142" s="324">
        <f>+DATOS_[[#This Row],[SALARIO BASE Ef]]+DATOS_[[#This Row],[Tot COMPL.SAL Ef]]</f>
        <v>15240</v>
      </c>
      <c r="CF142" s="324">
        <f>+SUM(DATOS_[[#This Row],[C.Extra.01]:[C.Extra.05]])</f>
        <v>160</v>
      </c>
      <c r="CG142" s="330">
        <f>+DATOS_[[#This Row],[TOTAL SALARIO Ef]]+DATOS_[[#This Row],[Tot Extrasalarial Ef]]</f>
        <v>15400</v>
      </c>
      <c r="CH142" s="303">
        <f>MIN(IF(DATOS_[[#This Row],[Fecha Fin Contrato]]="",$D$4,DATOS_[[#This Row],[Fecha Fin Contrato]]),$D$4)-MAX(DATOS_[[#This Row],[Fecha de Contratación]],$D$3)+1</f>
        <v>366</v>
      </c>
      <c r="CI142" s="304" t="str">
        <f>IF(COUNTIFS(DATOS_[id],DATOS_[[#This Row],[id]])&gt;1,DATOS_[[#This Row],[id]],"")</f>
        <v/>
      </c>
      <c r="CJ142" s="325">
        <f>(Inicio!$G$10-DATOS_[[#This Row],[Fecha Nacimiento]])/365.25</f>
        <v>36.062970568104035</v>
      </c>
      <c r="CK142" s="325">
        <f>(Inicio!$G$10-DATOS_[[#This Row],[Fecha de Antigüedad]])/365.25</f>
        <v>4.3915126625598901</v>
      </c>
      <c r="CL142" s="325" t="str">
        <f>+VLOOKUP(DATOS_[[#This Row],[Clave de Contrato]],TblTiposContrato13[],3,FALSE)</f>
        <v>Completa</v>
      </c>
      <c r="CM142" s="325" t="str">
        <f>+VLOOKUP(DATOS_[[#This Row],[Clave de Contrato]],TblTiposContrato13[],4,FALSE)</f>
        <v>Indefinido</v>
      </c>
      <c r="CN142" s="325" t="str">
        <f>VLOOKUP(DATOS_[[#This Row],[Edad]],CONTRATOS!TblRngEdad,2,TRUE)</f>
        <v>35 a 40</v>
      </c>
      <c r="CO142" s="325" t="str">
        <f>VLOOKUP(DATOS_[[#This Row],[Antigüedad]],TblRngAntg14[],2,TRUE)</f>
        <v>3 a 5  años</v>
      </c>
    </row>
    <row r="143" spans="2:93" x14ac:dyDescent="0.25">
      <c r="B143" s="146">
        <v>130</v>
      </c>
      <c r="C143" s="146" t="s">
        <v>162</v>
      </c>
      <c r="D143" s="295">
        <v>29930</v>
      </c>
      <c r="E143" s="296" t="s">
        <v>427</v>
      </c>
      <c r="F143" s="296">
        <v>2</v>
      </c>
      <c r="G143" s="296">
        <v>3</v>
      </c>
      <c r="H143" s="297">
        <v>38318</v>
      </c>
      <c r="I143" s="298"/>
      <c r="J143" s="295">
        <v>38318</v>
      </c>
      <c r="K143" s="326"/>
      <c r="L143" s="326"/>
      <c r="M143" s="299">
        <v>1</v>
      </c>
      <c r="N143" s="299"/>
      <c r="O143" s="299"/>
      <c r="P143" s="296">
        <v>100</v>
      </c>
      <c r="Q143" s="146" t="s">
        <v>431</v>
      </c>
      <c r="R143" s="146" t="s">
        <v>419</v>
      </c>
      <c r="S143" s="146" t="s">
        <v>435</v>
      </c>
      <c r="T143" s="146" t="s">
        <v>407</v>
      </c>
      <c r="U143" s="146" t="s">
        <v>400</v>
      </c>
      <c r="V143" s="146" t="s">
        <v>436</v>
      </c>
      <c r="W143" s="146" t="s">
        <v>301</v>
      </c>
      <c r="X143" s="146" t="s">
        <v>309</v>
      </c>
      <c r="Y143" s="146" t="s">
        <v>409</v>
      </c>
      <c r="Z143" s="293"/>
      <c r="AA143" s="294" t="s">
        <v>434</v>
      </c>
      <c r="AB143" s="294">
        <v>8</v>
      </c>
      <c r="AC143" s="296">
        <v>5</v>
      </c>
      <c r="AD143" s="301">
        <v>14036.34</v>
      </c>
      <c r="AE143" s="301">
        <v>163.65999999999985</v>
      </c>
      <c r="AF143" s="301">
        <v>1684.3607999999999</v>
      </c>
      <c r="AG143" s="301">
        <v>960</v>
      </c>
      <c r="AH143" s="301"/>
      <c r="AI143" s="301"/>
      <c r="AJ143" s="301"/>
      <c r="AK143" s="301">
        <v>80</v>
      </c>
      <c r="AL143" s="301"/>
      <c r="AM143" s="301"/>
      <c r="AN143" s="301"/>
      <c r="AO143" s="301"/>
      <c r="AP143" s="301"/>
      <c r="AQ143" s="301"/>
      <c r="AR143" s="301"/>
      <c r="AS143" s="301"/>
      <c r="AT143" s="301"/>
      <c r="AU143" s="301"/>
      <c r="AV143" s="301"/>
      <c r="AW143" s="301"/>
      <c r="AX143" s="301"/>
      <c r="AY143" s="301"/>
      <c r="AZ143" s="301"/>
      <c r="BA143" s="301"/>
      <c r="BB143" s="301"/>
      <c r="BC143" s="301"/>
      <c r="BD143" s="301"/>
      <c r="BE143" s="301"/>
      <c r="BF143" s="301"/>
      <c r="BG143" s="301"/>
      <c r="BH143" s="301"/>
      <c r="BI143" s="301"/>
      <c r="BJ143" s="301"/>
      <c r="BK143" s="301"/>
      <c r="BL143" s="301"/>
      <c r="BM143" s="302"/>
      <c r="BN143" s="291">
        <f>+MAX($D$3,DATOS_[[#This Row],[Fecha Inicio Sit. Contract.]])</f>
        <v>45292</v>
      </c>
      <c r="BO143" s="291">
        <f>+MIN($D$4,DATOS_[[#This Row],[Fecha Fin Sit. Contract.]])</f>
        <v>45657</v>
      </c>
      <c r="BP143" s="292">
        <f>+DATOS_[[#This Row],[% de jornada]]*IF(DATOS_[[#This Row],[% jornada reducida]]="",1,DATOS_[[#This Row],[% jornada reducida]])</f>
        <v>1</v>
      </c>
      <c r="BQ143" s="292">
        <f>+(DATOS_[[#This Row],[F.fin.cal]]-DATOS_[[#This Row],[F.ini.cal]]+1)/($D$4-$D$3+1)</f>
        <v>1</v>
      </c>
      <c r="BR143" s="322" t="str">
        <f>IF(OR(AND(DATOS_[[#This Row],[Fecha Fin Contrato]]&lt;$D$3,DATOS_[[#This Row],[Fecha Fin Contrato]]&lt;&gt;""),DATOS_[[#This Row],[Fecha de Contratación]]&gt;$D$4),"Fuera","Dentro")</f>
        <v>Dentro</v>
      </c>
      <c r="BS143" s="322" t="str">
        <f t="array" ref="BS143">IF(MAX(IF(DATOS_[id]=DATOS_[[#This Row],[id]],DATOS_[F.fin.cal]))=DATOS_[[#This Row],[F.fin.cal]],"Sí","NO")</f>
        <v>Sí</v>
      </c>
      <c r="BT143" s="292" t="str">
        <f>IF(AND(DATOS_[[#This Row],[% normaliz]]&lt;&gt;1,DATOS_[[#This Row],[% anualiz]]=1),"Sí","NO")</f>
        <v>NO</v>
      </c>
      <c r="BU143" s="292" t="str">
        <f>IF(AND(DATOS_[[#This Row],[% normaliz]]=1,DATOS_[[#This Row],[% anualiz]]&lt;&gt;1),"Sí","NO")</f>
        <v>NO</v>
      </c>
      <c r="BV143" s="292" t="str">
        <f>IF(AND(DATOS_[[#This Row],[% normaliz]]&lt;&gt;1,DATOS_[[#This Row],[% anualiz]]&lt;&gt;1),"Sí","NO")</f>
        <v>NO</v>
      </c>
      <c r="BW143" s="322" t="str">
        <f>+IF(DATOS_[[#This Row],[% normaliz]]*DATOS_[[#This Row],[% anualiz]]=1,"NO","Sí")</f>
        <v>NO</v>
      </c>
      <c r="BX143" s="323">
        <f>(DATOS_[[#This Row],[S.BASE]]*(1/DATOS_[[#This Row],[% normaliz]])*(1/DATOS_[[#This Row],[% anualiz]]))*IF(DATOS_[[#This Row],[Check Equiparado]]="Sí",1,0)</f>
        <v>14036.34</v>
      </c>
      <c r="BY14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43" s="323">
        <f>+DATOS_[[#This Row],[SALARIO BASE Eq]]+DATOS_[[#This Row],[Tot COMPL.SAL Eq]]</f>
        <v>16924.360799999999</v>
      </c>
      <c r="CA143" s="323">
        <f t="array" ref="CA1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3" s="323">
        <f>+DATOS_[[#This Row],[TOTAL SALARIO Eq]]+DATOS_[[#This Row],[Tot Extrasalarial Eq]]</f>
        <v>16924.360799999999</v>
      </c>
      <c r="CC143" s="327">
        <f>DATOS_[[#This Row],[S.BASE]]</f>
        <v>14036.34</v>
      </c>
      <c r="CD143" s="324">
        <f>+SUM(DATOS_[[#This Row],[Conc.Sal.01]:[Conc.Sal.30]])</f>
        <v>2888.0207999999998</v>
      </c>
      <c r="CE143" s="324">
        <f>+DATOS_[[#This Row],[SALARIO BASE Ef]]+DATOS_[[#This Row],[Tot COMPL.SAL Ef]]</f>
        <v>16924.360799999999</v>
      </c>
      <c r="CF143" s="324">
        <f>+SUM(DATOS_[[#This Row],[C.Extra.01]:[C.Extra.05]])</f>
        <v>0</v>
      </c>
      <c r="CG143" s="330">
        <f>+DATOS_[[#This Row],[TOTAL SALARIO Ef]]+DATOS_[[#This Row],[Tot Extrasalarial Ef]]</f>
        <v>16924.360799999999</v>
      </c>
      <c r="CH143" s="303">
        <f>MIN(IF(DATOS_[[#This Row],[Fecha Fin Contrato]]="",$D$4,DATOS_[[#This Row],[Fecha Fin Contrato]]),$D$4)-MAX(DATOS_[[#This Row],[Fecha de Contratación]],$D$3)+1</f>
        <v>366</v>
      </c>
      <c r="CI143" s="304" t="str">
        <f>IF(COUNTIFS(DATOS_[id],DATOS_[[#This Row],[id]])&gt;1,DATOS_[[#This Row],[id]],"")</f>
        <v/>
      </c>
      <c r="CJ143" s="325">
        <f>(Inicio!$G$10-DATOS_[[#This Row],[Fecha Nacimiento]])/365.25</f>
        <v>43.058179329226554</v>
      </c>
      <c r="CK143" s="325">
        <f>(Inicio!$G$10-DATOS_[[#This Row],[Fecha de Antigüedad]])/365.25</f>
        <v>20.093086926762492</v>
      </c>
      <c r="CL143" s="325" t="str">
        <f>+VLOOKUP(DATOS_[[#This Row],[Clave de Contrato]],TblTiposContrato13[],3,FALSE)</f>
        <v>Completa</v>
      </c>
      <c r="CM143" s="325" t="str">
        <f>+VLOOKUP(DATOS_[[#This Row],[Clave de Contrato]],TblTiposContrato13[],4,FALSE)</f>
        <v>Indefinido</v>
      </c>
      <c r="CN143" s="325" t="str">
        <f>VLOOKUP(DATOS_[[#This Row],[Edad]],CONTRATOS!TblRngEdad,2,TRUE)</f>
        <v>40 a 45</v>
      </c>
      <c r="CO143" s="325" t="str">
        <f>VLOOKUP(DATOS_[[#This Row],[Antigüedad]],TblRngAntg14[],2,TRUE)</f>
        <v>más de 15</v>
      </c>
    </row>
    <row r="144" spans="2:93" x14ac:dyDescent="0.25">
      <c r="B144" s="146">
        <v>131</v>
      </c>
      <c r="C144" s="146" t="s">
        <v>163</v>
      </c>
      <c r="D144" s="295">
        <v>29200</v>
      </c>
      <c r="E144" s="296" t="s">
        <v>403</v>
      </c>
      <c r="F144" s="296">
        <v>2</v>
      </c>
      <c r="G144" s="296">
        <v>1</v>
      </c>
      <c r="H144" s="297">
        <v>37369</v>
      </c>
      <c r="I144" s="298"/>
      <c r="J144" s="295">
        <v>37369</v>
      </c>
      <c r="K144" s="326"/>
      <c r="L144" s="326"/>
      <c r="M144" s="299">
        <v>1</v>
      </c>
      <c r="N144" s="299"/>
      <c r="O144" s="299"/>
      <c r="P144" s="296">
        <v>100</v>
      </c>
      <c r="Q144" s="146" t="s">
        <v>412</v>
      </c>
      <c r="R144" s="146" t="s">
        <v>417</v>
      </c>
      <c r="S144" s="146" t="s">
        <v>435</v>
      </c>
      <c r="T144" s="146" t="s">
        <v>407</v>
      </c>
      <c r="U144" s="146" t="s">
        <v>400</v>
      </c>
      <c r="V144" s="146" t="s">
        <v>436</v>
      </c>
      <c r="W144" s="146" t="s">
        <v>301</v>
      </c>
      <c r="X144" s="146" t="s">
        <v>309</v>
      </c>
      <c r="Y144" s="146" t="s">
        <v>409</v>
      </c>
      <c r="Z144" s="293"/>
      <c r="AA144" s="294" t="s">
        <v>434</v>
      </c>
      <c r="AB144" s="294">
        <v>8</v>
      </c>
      <c r="AC144" s="296">
        <v>5</v>
      </c>
      <c r="AD144" s="301">
        <v>14036.34</v>
      </c>
      <c r="AE144" s="301">
        <v>163.65999999999985</v>
      </c>
      <c r="AF144" s="301">
        <v>2245.8144000000002</v>
      </c>
      <c r="AG144" s="301">
        <v>960</v>
      </c>
      <c r="AH144" s="301"/>
      <c r="AI144" s="301"/>
      <c r="AJ144" s="301"/>
      <c r="AK144" s="301">
        <v>80</v>
      </c>
      <c r="AL144" s="301"/>
      <c r="AM144" s="301"/>
      <c r="AN144" s="301"/>
      <c r="AO144" s="301"/>
      <c r="AP144" s="301"/>
      <c r="AQ144" s="301"/>
      <c r="AR144" s="301"/>
      <c r="AS144" s="301"/>
      <c r="AT144" s="301"/>
      <c r="AU144" s="301"/>
      <c r="AV144" s="301"/>
      <c r="AW144" s="301"/>
      <c r="AX144" s="301"/>
      <c r="AY144" s="301"/>
      <c r="AZ144" s="301"/>
      <c r="BA144" s="301"/>
      <c r="BB144" s="301"/>
      <c r="BC144" s="301"/>
      <c r="BD144" s="301"/>
      <c r="BE144" s="301"/>
      <c r="BF144" s="301"/>
      <c r="BG144" s="301"/>
      <c r="BH144" s="301"/>
      <c r="BI144" s="301"/>
      <c r="BJ144" s="301"/>
      <c r="BK144" s="301"/>
      <c r="BL144" s="301"/>
      <c r="BM144" s="302"/>
      <c r="BN144" s="291">
        <f>+MAX($D$3,DATOS_[[#This Row],[Fecha Inicio Sit. Contract.]])</f>
        <v>45292</v>
      </c>
      <c r="BO144" s="291">
        <f>+MIN($D$4,DATOS_[[#This Row],[Fecha Fin Sit. Contract.]])</f>
        <v>45657</v>
      </c>
      <c r="BP144" s="292">
        <f>+DATOS_[[#This Row],[% de jornada]]*IF(DATOS_[[#This Row],[% jornada reducida]]="",1,DATOS_[[#This Row],[% jornada reducida]])</f>
        <v>1</v>
      </c>
      <c r="BQ144" s="292">
        <f>+(DATOS_[[#This Row],[F.fin.cal]]-DATOS_[[#This Row],[F.ini.cal]]+1)/($D$4-$D$3+1)</f>
        <v>1</v>
      </c>
      <c r="BR144" s="322" t="str">
        <f>IF(OR(AND(DATOS_[[#This Row],[Fecha Fin Contrato]]&lt;$D$3,DATOS_[[#This Row],[Fecha Fin Contrato]]&lt;&gt;""),DATOS_[[#This Row],[Fecha de Contratación]]&gt;$D$4),"Fuera","Dentro")</f>
        <v>Dentro</v>
      </c>
      <c r="BS144" s="322" t="str">
        <f t="array" ref="BS144">IF(MAX(IF(DATOS_[id]=DATOS_[[#This Row],[id]],DATOS_[F.fin.cal]))=DATOS_[[#This Row],[F.fin.cal]],"Sí","NO")</f>
        <v>Sí</v>
      </c>
      <c r="BT144" s="292" t="str">
        <f>IF(AND(DATOS_[[#This Row],[% normaliz]]&lt;&gt;1,DATOS_[[#This Row],[% anualiz]]=1),"Sí","NO")</f>
        <v>NO</v>
      </c>
      <c r="BU144" s="292" t="str">
        <f>IF(AND(DATOS_[[#This Row],[% normaliz]]=1,DATOS_[[#This Row],[% anualiz]]&lt;&gt;1),"Sí","NO")</f>
        <v>NO</v>
      </c>
      <c r="BV144" s="292" t="str">
        <f>IF(AND(DATOS_[[#This Row],[% normaliz]]&lt;&gt;1,DATOS_[[#This Row],[% anualiz]]&lt;&gt;1),"Sí","NO")</f>
        <v>NO</v>
      </c>
      <c r="BW144" s="322" t="str">
        <f>+IF(DATOS_[[#This Row],[% normaliz]]*DATOS_[[#This Row],[% anualiz]]=1,"NO","Sí")</f>
        <v>NO</v>
      </c>
      <c r="BX144" s="323">
        <f>(DATOS_[[#This Row],[S.BASE]]*(1/DATOS_[[#This Row],[% normaliz]])*(1/DATOS_[[#This Row],[% anualiz]]))*IF(DATOS_[[#This Row],[Check Equiparado]]="Sí",1,0)</f>
        <v>14036.34</v>
      </c>
      <c r="BY14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44" s="323">
        <f>+DATOS_[[#This Row],[SALARIO BASE Eq]]+DATOS_[[#This Row],[Tot COMPL.SAL Eq]]</f>
        <v>17485.814399999999</v>
      </c>
      <c r="CA144" s="323">
        <f t="array" ref="CA1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4" s="323">
        <f>+DATOS_[[#This Row],[TOTAL SALARIO Eq]]+DATOS_[[#This Row],[Tot Extrasalarial Eq]]</f>
        <v>17485.814399999999</v>
      </c>
      <c r="CC144" s="327">
        <f>DATOS_[[#This Row],[S.BASE]]</f>
        <v>14036.34</v>
      </c>
      <c r="CD144" s="324">
        <f>+SUM(DATOS_[[#This Row],[Conc.Sal.01]:[Conc.Sal.30]])</f>
        <v>3449.4744000000001</v>
      </c>
      <c r="CE144" s="324">
        <f>+DATOS_[[#This Row],[SALARIO BASE Ef]]+DATOS_[[#This Row],[Tot COMPL.SAL Ef]]</f>
        <v>17485.814399999999</v>
      </c>
      <c r="CF144" s="324">
        <f>+SUM(DATOS_[[#This Row],[C.Extra.01]:[C.Extra.05]])</f>
        <v>0</v>
      </c>
      <c r="CG144" s="330">
        <f>+DATOS_[[#This Row],[TOTAL SALARIO Ef]]+DATOS_[[#This Row],[Tot Extrasalarial Ef]]</f>
        <v>17485.814399999999</v>
      </c>
      <c r="CH144" s="303">
        <f>MIN(IF(DATOS_[[#This Row],[Fecha Fin Contrato]]="",$D$4,DATOS_[[#This Row],[Fecha Fin Contrato]]),$D$4)-MAX(DATOS_[[#This Row],[Fecha de Contratación]],$D$3)+1</f>
        <v>366</v>
      </c>
      <c r="CI144" s="304" t="str">
        <f>IF(COUNTIFS(DATOS_[id],DATOS_[[#This Row],[id]])&gt;1,DATOS_[[#This Row],[id]],"")</f>
        <v/>
      </c>
      <c r="CJ144" s="325">
        <f>(Inicio!$G$10-DATOS_[[#This Row],[Fecha Nacimiento]])/365.25</f>
        <v>45.056810403832991</v>
      </c>
      <c r="CK144" s="325">
        <f>(Inicio!$G$10-DATOS_[[#This Row],[Fecha de Antigüedad]])/365.25</f>
        <v>22.691307323750856</v>
      </c>
      <c r="CL144" s="325" t="str">
        <f>+VLOOKUP(DATOS_[[#This Row],[Clave de Contrato]],TblTiposContrato13[],3,FALSE)</f>
        <v>Completa</v>
      </c>
      <c r="CM144" s="325" t="str">
        <f>+VLOOKUP(DATOS_[[#This Row],[Clave de Contrato]],TblTiposContrato13[],4,FALSE)</f>
        <v>Indefinido</v>
      </c>
      <c r="CN144" s="325" t="str">
        <f>VLOOKUP(DATOS_[[#This Row],[Edad]],CONTRATOS!TblRngEdad,2,TRUE)</f>
        <v>45 a 50</v>
      </c>
      <c r="CO144" s="325" t="str">
        <f>VLOOKUP(DATOS_[[#This Row],[Antigüedad]],TblRngAntg14[],2,TRUE)</f>
        <v>más de 15</v>
      </c>
    </row>
    <row r="145" spans="2:93" x14ac:dyDescent="0.25">
      <c r="B145" s="146">
        <v>132</v>
      </c>
      <c r="C145" s="146" t="s">
        <v>162</v>
      </c>
      <c r="D145" s="295">
        <v>26645</v>
      </c>
      <c r="E145" s="296" t="s">
        <v>403</v>
      </c>
      <c r="F145" s="296">
        <v>3</v>
      </c>
      <c r="G145" s="296">
        <v>2</v>
      </c>
      <c r="H145" s="297">
        <v>37515</v>
      </c>
      <c r="I145" s="298"/>
      <c r="J145" s="295">
        <v>37515</v>
      </c>
      <c r="K145" s="326"/>
      <c r="L145" s="326"/>
      <c r="M145" s="299">
        <v>1</v>
      </c>
      <c r="N145" s="299"/>
      <c r="O145" s="299"/>
      <c r="P145" s="296">
        <v>100</v>
      </c>
      <c r="Q145" s="146" t="s">
        <v>412</v>
      </c>
      <c r="R145" s="146" t="s">
        <v>418</v>
      </c>
      <c r="S145" s="146" t="s">
        <v>435</v>
      </c>
      <c r="T145" s="146" t="s">
        <v>407</v>
      </c>
      <c r="U145" s="146" t="s">
        <v>400</v>
      </c>
      <c r="V145" s="146" t="s">
        <v>436</v>
      </c>
      <c r="W145" s="146" t="s">
        <v>301</v>
      </c>
      <c r="X145" s="146" t="s">
        <v>309</v>
      </c>
      <c r="Y145" s="146" t="s">
        <v>409</v>
      </c>
      <c r="Z145" s="293"/>
      <c r="AA145" s="294" t="s">
        <v>434</v>
      </c>
      <c r="AB145" s="294">
        <v>8</v>
      </c>
      <c r="AC145" s="296">
        <v>5</v>
      </c>
      <c r="AD145" s="301">
        <v>14036.34</v>
      </c>
      <c r="AE145" s="301">
        <v>163.65999999999985</v>
      </c>
      <c r="AF145" s="301">
        <v>2245.8144000000002</v>
      </c>
      <c r="AG145" s="301">
        <v>960</v>
      </c>
      <c r="AH145" s="301"/>
      <c r="AI145" s="301"/>
      <c r="AJ145" s="301"/>
      <c r="AK145" s="301">
        <v>80</v>
      </c>
      <c r="AL145" s="301"/>
      <c r="AM145" s="301"/>
      <c r="AN145" s="301"/>
      <c r="AO145" s="301"/>
      <c r="AP145" s="301"/>
      <c r="AQ145" s="301"/>
      <c r="AR145" s="301"/>
      <c r="AS145" s="301"/>
      <c r="AT145" s="301"/>
      <c r="AU145" s="301"/>
      <c r="AV145" s="301"/>
      <c r="AW145" s="301"/>
      <c r="AX145" s="301"/>
      <c r="AY145" s="301"/>
      <c r="AZ145" s="301"/>
      <c r="BA145" s="301"/>
      <c r="BB145" s="301"/>
      <c r="BC145" s="301"/>
      <c r="BD145" s="301"/>
      <c r="BE145" s="301"/>
      <c r="BF145" s="301"/>
      <c r="BG145" s="301"/>
      <c r="BH145" s="301"/>
      <c r="BI145" s="301"/>
      <c r="BJ145" s="301"/>
      <c r="BK145" s="301"/>
      <c r="BL145" s="301"/>
      <c r="BM145" s="302"/>
      <c r="BN145" s="291">
        <f>+MAX($D$3,DATOS_[[#This Row],[Fecha Inicio Sit. Contract.]])</f>
        <v>45292</v>
      </c>
      <c r="BO145" s="291">
        <f>+MIN($D$4,DATOS_[[#This Row],[Fecha Fin Sit. Contract.]])</f>
        <v>45657</v>
      </c>
      <c r="BP145" s="292">
        <f>+DATOS_[[#This Row],[% de jornada]]*IF(DATOS_[[#This Row],[% jornada reducida]]="",1,DATOS_[[#This Row],[% jornada reducida]])</f>
        <v>1</v>
      </c>
      <c r="BQ145" s="292">
        <f>+(DATOS_[[#This Row],[F.fin.cal]]-DATOS_[[#This Row],[F.ini.cal]]+1)/($D$4-$D$3+1)</f>
        <v>1</v>
      </c>
      <c r="BR145" s="322" t="str">
        <f>IF(OR(AND(DATOS_[[#This Row],[Fecha Fin Contrato]]&lt;$D$3,DATOS_[[#This Row],[Fecha Fin Contrato]]&lt;&gt;""),DATOS_[[#This Row],[Fecha de Contratación]]&gt;$D$4),"Fuera","Dentro")</f>
        <v>Dentro</v>
      </c>
      <c r="BS145" s="322" t="str">
        <f t="array" ref="BS145">IF(MAX(IF(DATOS_[id]=DATOS_[[#This Row],[id]],DATOS_[F.fin.cal]))=DATOS_[[#This Row],[F.fin.cal]],"Sí","NO")</f>
        <v>Sí</v>
      </c>
      <c r="BT145" s="292" t="str">
        <f>IF(AND(DATOS_[[#This Row],[% normaliz]]&lt;&gt;1,DATOS_[[#This Row],[% anualiz]]=1),"Sí","NO")</f>
        <v>NO</v>
      </c>
      <c r="BU145" s="292" t="str">
        <f>IF(AND(DATOS_[[#This Row],[% normaliz]]=1,DATOS_[[#This Row],[% anualiz]]&lt;&gt;1),"Sí","NO")</f>
        <v>NO</v>
      </c>
      <c r="BV145" s="292" t="str">
        <f>IF(AND(DATOS_[[#This Row],[% normaliz]]&lt;&gt;1,DATOS_[[#This Row],[% anualiz]]&lt;&gt;1),"Sí","NO")</f>
        <v>NO</v>
      </c>
      <c r="BW145" s="322" t="str">
        <f>+IF(DATOS_[[#This Row],[% normaliz]]*DATOS_[[#This Row],[% anualiz]]=1,"NO","Sí")</f>
        <v>NO</v>
      </c>
      <c r="BX145" s="323">
        <f>(DATOS_[[#This Row],[S.BASE]]*(1/DATOS_[[#This Row],[% normaliz]])*(1/DATOS_[[#This Row],[% anualiz]]))*IF(DATOS_[[#This Row],[Check Equiparado]]="Sí",1,0)</f>
        <v>14036.34</v>
      </c>
      <c r="BY14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45" s="323">
        <f>+DATOS_[[#This Row],[SALARIO BASE Eq]]+DATOS_[[#This Row],[Tot COMPL.SAL Eq]]</f>
        <v>17485.814399999999</v>
      </c>
      <c r="CA145" s="323">
        <f t="array" ref="CA1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5" s="323">
        <f>+DATOS_[[#This Row],[TOTAL SALARIO Eq]]+DATOS_[[#This Row],[Tot Extrasalarial Eq]]</f>
        <v>17485.814399999999</v>
      </c>
      <c r="CC145" s="327">
        <f>DATOS_[[#This Row],[S.BASE]]</f>
        <v>14036.34</v>
      </c>
      <c r="CD145" s="324">
        <f>+SUM(DATOS_[[#This Row],[Conc.Sal.01]:[Conc.Sal.30]])</f>
        <v>3449.4744000000001</v>
      </c>
      <c r="CE145" s="324">
        <f>+DATOS_[[#This Row],[SALARIO BASE Ef]]+DATOS_[[#This Row],[Tot COMPL.SAL Ef]]</f>
        <v>17485.814399999999</v>
      </c>
      <c r="CF145" s="324">
        <f>+SUM(DATOS_[[#This Row],[C.Extra.01]:[C.Extra.05]])</f>
        <v>0</v>
      </c>
      <c r="CG145" s="330">
        <f>+DATOS_[[#This Row],[TOTAL SALARIO Ef]]+DATOS_[[#This Row],[Tot Extrasalarial Ef]]</f>
        <v>17485.814399999999</v>
      </c>
      <c r="CH145" s="303">
        <f>MIN(IF(DATOS_[[#This Row],[Fecha Fin Contrato]]="",$D$4,DATOS_[[#This Row],[Fecha Fin Contrato]]),$D$4)-MAX(DATOS_[[#This Row],[Fecha de Contratación]],$D$3)+1</f>
        <v>366</v>
      </c>
      <c r="CI145" s="304" t="str">
        <f>IF(COUNTIFS(DATOS_[id],DATOS_[[#This Row],[id]])&gt;1,DATOS_[[#This Row],[id]],"")</f>
        <v/>
      </c>
      <c r="CJ145" s="325">
        <f>(Inicio!$G$10-DATOS_[[#This Row],[Fecha Nacimiento]])/365.25</f>
        <v>52.05201916495551</v>
      </c>
      <c r="CK145" s="325">
        <f>(Inicio!$G$10-DATOS_[[#This Row],[Fecha de Antigüedad]])/365.25</f>
        <v>22.291581108829568</v>
      </c>
      <c r="CL145" s="325" t="str">
        <f>+VLOOKUP(DATOS_[[#This Row],[Clave de Contrato]],TblTiposContrato13[],3,FALSE)</f>
        <v>Completa</v>
      </c>
      <c r="CM145" s="325" t="str">
        <f>+VLOOKUP(DATOS_[[#This Row],[Clave de Contrato]],TblTiposContrato13[],4,FALSE)</f>
        <v>Indefinido</v>
      </c>
      <c r="CN145" s="325" t="str">
        <f>VLOOKUP(DATOS_[[#This Row],[Edad]],CONTRATOS!TblRngEdad,2,TRUE)</f>
        <v>50 a 55</v>
      </c>
      <c r="CO145" s="325" t="str">
        <f>VLOOKUP(DATOS_[[#This Row],[Antigüedad]],TblRngAntg14[],2,TRUE)</f>
        <v>más de 15</v>
      </c>
    </row>
    <row r="146" spans="2:93" x14ac:dyDescent="0.25">
      <c r="B146" s="146">
        <v>133</v>
      </c>
      <c r="C146" s="146" t="s">
        <v>163</v>
      </c>
      <c r="D146" s="295">
        <v>34310</v>
      </c>
      <c r="E146" s="296" t="s">
        <v>403</v>
      </c>
      <c r="F146" s="296">
        <v>2</v>
      </c>
      <c r="G146" s="296">
        <v>3</v>
      </c>
      <c r="H146" s="297">
        <v>40802</v>
      </c>
      <c r="I146" s="298"/>
      <c r="J146" s="295">
        <v>40802</v>
      </c>
      <c r="K146" s="326"/>
      <c r="L146" s="326"/>
      <c r="M146" s="299">
        <v>1</v>
      </c>
      <c r="N146" s="299"/>
      <c r="O146" s="299"/>
      <c r="P146" s="296">
        <v>100</v>
      </c>
      <c r="Q146" s="146" t="s">
        <v>431</v>
      </c>
      <c r="R146" s="146" t="s">
        <v>419</v>
      </c>
      <c r="S146" s="146" t="s">
        <v>435</v>
      </c>
      <c r="T146" s="146" t="s">
        <v>407</v>
      </c>
      <c r="U146" s="146" t="s">
        <v>400</v>
      </c>
      <c r="V146" s="146" t="s">
        <v>436</v>
      </c>
      <c r="W146" s="146" t="s">
        <v>301</v>
      </c>
      <c r="X146" s="146" t="s">
        <v>309</v>
      </c>
      <c r="Y146" s="146" t="s">
        <v>409</v>
      </c>
      <c r="Z146" s="293"/>
      <c r="AA146" s="294" t="s">
        <v>434</v>
      </c>
      <c r="AB146" s="294">
        <v>8</v>
      </c>
      <c r="AC146" s="296">
        <v>5</v>
      </c>
      <c r="AD146" s="301">
        <v>14036.34</v>
      </c>
      <c r="AE146" s="301">
        <v>163.65999999999985</v>
      </c>
      <c r="AF146" s="301">
        <v>1122.9072000000001</v>
      </c>
      <c r="AG146" s="301">
        <v>960</v>
      </c>
      <c r="AH146" s="301"/>
      <c r="AI146" s="301"/>
      <c r="AJ146" s="301"/>
      <c r="AK146" s="301">
        <v>80</v>
      </c>
      <c r="AL146" s="301"/>
      <c r="AM146" s="301"/>
      <c r="AN146" s="301"/>
      <c r="AO146" s="301"/>
      <c r="AP146" s="301"/>
      <c r="AQ146" s="301"/>
      <c r="AR146" s="301"/>
      <c r="AS146" s="301"/>
      <c r="AT146" s="301"/>
      <c r="AU146" s="301"/>
      <c r="AV146" s="301"/>
      <c r="AW146" s="301"/>
      <c r="AX146" s="301"/>
      <c r="AY146" s="301"/>
      <c r="AZ146" s="301"/>
      <c r="BA146" s="301"/>
      <c r="BB146" s="301"/>
      <c r="BC146" s="301"/>
      <c r="BD146" s="301"/>
      <c r="BE146" s="301"/>
      <c r="BF146" s="301"/>
      <c r="BG146" s="301"/>
      <c r="BH146" s="301"/>
      <c r="BI146" s="301"/>
      <c r="BJ146" s="301"/>
      <c r="BK146" s="301"/>
      <c r="BL146" s="301"/>
      <c r="BM146" s="302"/>
      <c r="BN146" s="291">
        <f>+MAX($D$3,DATOS_[[#This Row],[Fecha Inicio Sit. Contract.]])</f>
        <v>45292</v>
      </c>
      <c r="BO146" s="291">
        <f>+MIN($D$4,DATOS_[[#This Row],[Fecha Fin Sit. Contract.]])</f>
        <v>45657</v>
      </c>
      <c r="BP146" s="292">
        <f>+DATOS_[[#This Row],[% de jornada]]*IF(DATOS_[[#This Row],[% jornada reducida]]="",1,DATOS_[[#This Row],[% jornada reducida]])</f>
        <v>1</v>
      </c>
      <c r="BQ146" s="292">
        <f>+(DATOS_[[#This Row],[F.fin.cal]]-DATOS_[[#This Row],[F.ini.cal]]+1)/($D$4-$D$3+1)</f>
        <v>1</v>
      </c>
      <c r="BR146" s="322" t="str">
        <f>IF(OR(AND(DATOS_[[#This Row],[Fecha Fin Contrato]]&lt;$D$3,DATOS_[[#This Row],[Fecha Fin Contrato]]&lt;&gt;""),DATOS_[[#This Row],[Fecha de Contratación]]&gt;$D$4),"Fuera","Dentro")</f>
        <v>Dentro</v>
      </c>
      <c r="BS146" s="322" t="str">
        <f t="array" ref="BS146">IF(MAX(IF(DATOS_[id]=DATOS_[[#This Row],[id]],DATOS_[F.fin.cal]))=DATOS_[[#This Row],[F.fin.cal]],"Sí","NO")</f>
        <v>Sí</v>
      </c>
      <c r="BT146" s="292" t="str">
        <f>IF(AND(DATOS_[[#This Row],[% normaliz]]&lt;&gt;1,DATOS_[[#This Row],[% anualiz]]=1),"Sí","NO")</f>
        <v>NO</v>
      </c>
      <c r="BU146" s="292" t="str">
        <f>IF(AND(DATOS_[[#This Row],[% normaliz]]=1,DATOS_[[#This Row],[% anualiz]]&lt;&gt;1),"Sí","NO")</f>
        <v>NO</v>
      </c>
      <c r="BV146" s="292" t="str">
        <f>IF(AND(DATOS_[[#This Row],[% normaliz]]&lt;&gt;1,DATOS_[[#This Row],[% anualiz]]&lt;&gt;1),"Sí","NO")</f>
        <v>NO</v>
      </c>
      <c r="BW146" s="322" t="str">
        <f>+IF(DATOS_[[#This Row],[% normaliz]]*DATOS_[[#This Row],[% anualiz]]=1,"NO","Sí")</f>
        <v>NO</v>
      </c>
      <c r="BX146" s="323">
        <f>(DATOS_[[#This Row],[S.BASE]]*(1/DATOS_[[#This Row],[% normaliz]])*(1/DATOS_[[#This Row],[% anualiz]]))*IF(DATOS_[[#This Row],[Check Equiparado]]="Sí",1,0)</f>
        <v>14036.34</v>
      </c>
      <c r="BY14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2326.5672</v>
      </c>
      <c r="BZ146" s="323">
        <f>+DATOS_[[#This Row],[SALARIO BASE Eq]]+DATOS_[[#This Row],[Tot COMPL.SAL Eq]]</f>
        <v>16362.9072</v>
      </c>
      <c r="CA146" s="323">
        <f t="array" ref="CA1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6" s="323">
        <f>+DATOS_[[#This Row],[TOTAL SALARIO Eq]]+DATOS_[[#This Row],[Tot Extrasalarial Eq]]</f>
        <v>16362.9072</v>
      </c>
      <c r="CC146" s="327">
        <f>DATOS_[[#This Row],[S.BASE]]</f>
        <v>14036.34</v>
      </c>
      <c r="CD146" s="324">
        <f>+SUM(DATOS_[[#This Row],[Conc.Sal.01]:[Conc.Sal.30]])</f>
        <v>2326.5672</v>
      </c>
      <c r="CE146" s="324">
        <f>+DATOS_[[#This Row],[SALARIO BASE Ef]]+DATOS_[[#This Row],[Tot COMPL.SAL Ef]]</f>
        <v>16362.9072</v>
      </c>
      <c r="CF146" s="324">
        <f>+SUM(DATOS_[[#This Row],[C.Extra.01]:[C.Extra.05]])</f>
        <v>0</v>
      </c>
      <c r="CG146" s="330">
        <f>+DATOS_[[#This Row],[TOTAL SALARIO Ef]]+DATOS_[[#This Row],[Tot Extrasalarial Ef]]</f>
        <v>16362.9072</v>
      </c>
      <c r="CH146" s="303">
        <f>MIN(IF(DATOS_[[#This Row],[Fecha Fin Contrato]]="",$D$4,DATOS_[[#This Row],[Fecha Fin Contrato]]),$D$4)-MAX(DATOS_[[#This Row],[Fecha de Contratación]],$D$3)+1</f>
        <v>366</v>
      </c>
      <c r="CI146" s="304" t="str">
        <f>IF(COUNTIFS(DATOS_[id],DATOS_[[#This Row],[id]])&gt;1,DATOS_[[#This Row],[id]],"")</f>
        <v/>
      </c>
      <c r="CJ146" s="325">
        <f>(Inicio!$G$10-DATOS_[[#This Row],[Fecha Nacimiento]])/365.25</f>
        <v>31.066392881587955</v>
      </c>
      <c r="CK146" s="325">
        <f>(Inicio!$G$10-DATOS_[[#This Row],[Fecha de Antigüedad]])/365.25</f>
        <v>13.292265571526352</v>
      </c>
      <c r="CL146" s="325" t="str">
        <f>+VLOOKUP(DATOS_[[#This Row],[Clave de Contrato]],TblTiposContrato13[],3,FALSE)</f>
        <v>Completa</v>
      </c>
      <c r="CM146" s="325" t="str">
        <f>+VLOOKUP(DATOS_[[#This Row],[Clave de Contrato]],TblTiposContrato13[],4,FALSE)</f>
        <v>Indefinido</v>
      </c>
      <c r="CN146" s="325" t="str">
        <f>VLOOKUP(DATOS_[[#This Row],[Edad]],CONTRATOS!TblRngEdad,2,TRUE)</f>
        <v>30 a 35</v>
      </c>
      <c r="CO146" s="325" t="str">
        <f>VLOOKUP(DATOS_[[#This Row],[Antigüedad]],TblRngAntg14[],2,TRUE)</f>
        <v>de 10 a 15  años</v>
      </c>
    </row>
    <row r="147" spans="2:93" x14ac:dyDescent="0.25">
      <c r="B147" s="146">
        <v>134</v>
      </c>
      <c r="C147" s="146" t="s">
        <v>162</v>
      </c>
      <c r="D147" s="295">
        <v>27740</v>
      </c>
      <c r="E147" s="296" t="s">
        <v>403</v>
      </c>
      <c r="F147" s="296">
        <v>3</v>
      </c>
      <c r="G147" s="296">
        <v>1</v>
      </c>
      <c r="H147" s="297">
        <v>36090</v>
      </c>
      <c r="I147" s="298"/>
      <c r="J147" s="295">
        <v>36090</v>
      </c>
      <c r="K147" s="326"/>
      <c r="L147" s="326"/>
      <c r="M147" s="299">
        <v>1</v>
      </c>
      <c r="N147" s="299"/>
      <c r="O147" s="299"/>
      <c r="P147" s="296">
        <v>100</v>
      </c>
      <c r="Q147" s="146" t="s">
        <v>431</v>
      </c>
      <c r="R147" s="146" t="s">
        <v>419</v>
      </c>
      <c r="S147" s="146" t="s">
        <v>435</v>
      </c>
      <c r="T147" s="146" t="s">
        <v>407</v>
      </c>
      <c r="U147" s="146" t="s">
        <v>400</v>
      </c>
      <c r="V147" s="146" t="s">
        <v>436</v>
      </c>
      <c r="W147" s="146" t="s">
        <v>301</v>
      </c>
      <c r="X147" s="146" t="s">
        <v>309</v>
      </c>
      <c r="Y147" s="146" t="s">
        <v>409</v>
      </c>
      <c r="Z147" s="293"/>
      <c r="AA147" s="294" t="s">
        <v>434</v>
      </c>
      <c r="AB147" s="294">
        <v>8</v>
      </c>
      <c r="AC147" s="296">
        <v>5</v>
      </c>
      <c r="AD147" s="301">
        <v>14036.34</v>
      </c>
      <c r="AE147" s="301">
        <v>163.65999999999985</v>
      </c>
      <c r="AF147" s="301">
        <v>2807.268</v>
      </c>
      <c r="AG147" s="301">
        <v>960</v>
      </c>
      <c r="AH147" s="301"/>
      <c r="AI147" s="301"/>
      <c r="AJ147" s="301"/>
      <c r="AK147" s="301">
        <v>80</v>
      </c>
      <c r="AL147" s="301"/>
      <c r="AM147" s="301"/>
      <c r="AN147" s="301"/>
      <c r="AO147" s="301"/>
      <c r="AP147" s="301"/>
      <c r="AQ147" s="301"/>
      <c r="AR147" s="301"/>
      <c r="AS147" s="301"/>
      <c r="AT147" s="301"/>
      <c r="AU147" s="301"/>
      <c r="AV147" s="301"/>
      <c r="AW147" s="301"/>
      <c r="AX147" s="301"/>
      <c r="AY147" s="301"/>
      <c r="AZ147" s="301"/>
      <c r="BA147" s="301"/>
      <c r="BB147" s="301"/>
      <c r="BC147" s="301"/>
      <c r="BD147" s="301"/>
      <c r="BE147" s="301"/>
      <c r="BF147" s="301"/>
      <c r="BG147" s="301"/>
      <c r="BH147" s="301"/>
      <c r="BI147" s="301"/>
      <c r="BJ147" s="301"/>
      <c r="BK147" s="301"/>
      <c r="BL147" s="301"/>
      <c r="BM147" s="302"/>
      <c r="BN147" s="291">
        <f>+MAX($D$3,DATOS_[[#This Row],[Fecha Inicio Sit. Contract.]])</f>
        <v>45292</v>
      </c>
      <c r="BO147" s="291">
        <f>+MIN($D$4,DATOS_[[#This Row],[Fecha Fin Sit. Contract.]])</f>
        <v>45657</v>
      </c>
      <c r="BP147" s="292">
        <f>+DATOS_[[#This Row],[% de jornada]]*IF(DATOS_[[#This Row],[% jornada reducida]]="",1,DATOS_[[#This Row],[% jornada reducida]])</f>
        <v>1</v>
      </c>
      <c r="BQ147" s="292">
        <f>+(DATOS_[[#This Row],[F.fin.cal]]-DATOS_[[#This Row],[F.ini.cal]]+1)/($D$4-$D$3+1)</f>
        <v>1</v>
      </c>
      <c r="BR147" s="322" t="str">
        <f>IF(OR(AND(DATOS_[[#This Row],[Fecha Fin Contrato]]&lt;$D$3,DATOS_[[#This Row],[Fecha Fin Contrato]]&lt;&gt;""),DATOS_[[#This Row],[Fecha de Contratación]]&gt;$D$4),"Fuera","Dentro")</f>
        <v>Dentro</v>
      </c>
      <c r="BS147" s="322" t="str">
        <f t="array" ref="BS147">IF(MAX(IF(DATOS_[id]=DATOS_[[#This Row],[id]],DATOS_[F.fin.cal]))=DATOS_[[#This Row],[F.fin.cal]],"Sí","NO")</f>
        <v>Sí</v>
      </c>
      <c r="BT147" s="292" t="str">
        <f>IF(AND(DATOS_[[#This Row],[% normaliz]]&lt;&gt;1,DATOS_[[#This Row],[% anualiz]]=1),"Sí","NO")</f>
        <v>NO</v>
      </c>
      <c r="BU147" s="292" t="str">
        <f>IF(AND(DATOS_[[#This Row],[% normaliz]]=1,DATOS_[[#This Row],[% anualiz]]&lt;&gt;1),"Sí","NO")</f>
        <v>NO</v>
      </c>
      <c r="BV147" s="292" t="str">
        <f>IF(AND(DATOS_[[#This Row],[% normaliz]]&lt;&gt;1,DATOS_[[#This Row],[% anualiz]]&lt;&gt;1),"Sí","NO")</f>
        <v>NO</v>
      </c>
      <c r="BW147" s="322" t="str">
        <f>+IF(DATOS_[[#This Row],[% normaliz]]*DATOS_[[#This Row],[% anualiz]]=1,"NO","Sí")</f>
        <v>NO</v>
      </c>
      <c r="BX147" s="323">
        <f>(DATOS_[[#This Row],[S.BASE]]*(1/DATOS_[[#This Row],[% normaliz]])*(1/DATOS_[[#This Row],[% anualiz]]))*IF(DATOS_[[#This Row],[Check Equiparado]]="Sí",1,0)</f>
        <v>14036.34</v>
      </c>
      <c r="BY14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47" s="323">
        <f>+DATOS_[[#This Row],[SALARIO BASE Eq]]+DATOS_[[#This Row],[Tot COMPL.SAL Eq]]</f>
        <v>18047.268</v>
      </c>
      <c r="CA147" s="323">
        <f t="array" ref="CA1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7" s="323">
        <f>+DATOS_[[#This Row],[TOTAL SALARIO Eq]]+DATOS_[[#This Row],[Tot Extrasalarial Eq]]</f>
        <v>18047.268</v>
      </c>
      <c r="CC147" s="327">
        <f>DATOS_[[#This Row],[S.BASE]]</f>
        <v>14036.34</v>
      </c>
      <c r="CD147" s="324">
        <f>+SUM(DATOS_[[#This Row],[Conc.Sal.01]:[Conc.Sal.30]])</f>
        <v>4010.9279999999999</v>
      </c>
      <c r="CE147" s="324">
        <f>+DATOS_[[#This Row],[SALARIO BASE Ef]]+DATOS_[[#This Row],[Tot COMPL.SAL Ef]]</f>
        <v>18047.268</v>
      </c>
      <c r="CF147" s="324">
        <f>+SUM(DATOS_[[#This Row],[C.Extra.01]:[C.Extra.05]])</f>
        <v>0</v>
      </c>
      <c r="CG147" s="330">
        <f>+DATOS_[[#This Row],[TOTAL SALARIO Ef]]+DATOS_[[#This Row],[Tot Extrasalarial Ef]]</f>
        <v>18047.268</v>
      </c>
      <c r="CH147" s="303">
        <f>MIN(IF(DATOS_[[#This Row],[Fecha Fin Contrato]]="",$D$4,DATOS_[[#This Row],[Fecha Fin Contrato]]),$D$4)-MAX(DATOS_[[#This Row],[Fecha de Contratación]],$D$3)+1</f>
        <v>366</v>
      </c>
      <c r="CI147" s="304" t="str">
        <f>IF(COUNTIFS(DATOS_[id],DATOS_[[#This Row],[id]])&gt;1,DATOS_[[#This Row],[id]],"")</f>
        <v/>
      </c>
      <c r="CJ147" s="325">
        <f>(Inicio!$G$10-DATOS_[[#This Row],[Fecha Nacimiento]])/365.25</f>
        <v>49.054072553045856</v>
      </c>
      <c r="CK147" s="325">
        <f>(Inicio!$G$10-DATOS_[[#This Row],[Fecha de Antigüedad]])/365.25</f>
        <v>26.193018480492814</v>
      </c>
      <c r="CL147" s="325" t="str">
        <f>+VLOOKUP(DATOS_[[#This Row],[Clave de Contrato]],TblTiposContrato13[],3,FALSE)</f>
        <v>Completa</v>
      </c>
      <c r="CM147" s="325" t="str">
        <f>+VLOOKUP(DATOS_[[#This Row],[Clave de Contrato]],TblTiposContrato13[],4,FALSE)</f>
        <v>Indefinido</v>
      </c>
      <c r="CN147" s="325" t="str">
        <f>VLOOKUP(DATOS_[[#This Row],[Edad]],CONTRATOS!TblRngEdad,2,TRUE)</f>
        <v>45 a 50</v>
      </c>
      <c r="CO147" s="325" t="str">
        <f>VLOOKUP(DATOS_[[#This Row],[Antigüedad]],TblRngAntg14[],2,TRUE)</f>
        <v>más de 15</v>
      </c>
    </row>
    <row r="148" spans="2:93" x14ac:dyDescent="0.25">
      <c r="B148" s="146">
        <v>135</v>
      </c>
      <c r="C148" s="146" t="s">
        <v>163</v>
      </c>
      <c r="D148" s="295">
        <v>26645</v>
      </c>
      <c r="E148" s="296" t="s">
        <v>403</v>
      </c>
      <c r="F148" s="296">
        <v>3</v>
      </c>
      <c r="G148" s="296">
        <v>1</v>
      </c>
      <c r="H148" s="297">
        <v>34775</v>
      </c>
      <c r="I148" s="298"/>
      <c r="J148" s="295">
        <v>34775</v>
      </c>
      <c r="K148" s="326"/>
      <c r="L148" s="326"/>
      <c r="M148" s="299">
        <v>1</v>
      </c>
      <c r="N148" s="299"/>
      <c r="O148" s="299"/>
      <c r="P148" s="296">
        <v>100</v>
      </c>
      <c r="Q148" s="146" t="s">
        <v>412</v>
      </c>
      <c r="R148" s="146" t="s">
        <v>418</v>
      </c>
      <c r="S148" s="146" t="s">
        <v>435</v>
      </c>
      <c r="T148" s="146" t="s">
        <v>407</v>
      </c>
      <c r="U148" s="146" t="s">
        <v>400</v>
      </c>
      <c r="V148" s="146" t="s">
        <v>436</v>
      </c>
      <c r="W148" s="146" t="s">
        <v>301</v>
      </c>
      <c r="X148" s="146" t="s">
        <v>309</v>
      </c>
      <c r="Y148" s="146" t="s">
        <v>409</v>
      </c>
      <c r="Z148" s="293"/>
      <c r="AA148" s="294" t="s">
        <v>434</v>
      </c>
      <c r="AB148" s="294">
        <v>8</v>
      </c>
      <c r="AC148" s="296">
        <v>5</v>
      </c>
      <c r="AD148" s="301">
        <v>14036.34</v>
      </c>
      <c r="AE148" s="301">
        <v>163.65999999999985</v>
      </c>
      <c r="AF148" s="301">
        <v>3368.7215999999999</v>
      </c>
      <c r="AG148" s="301">
        <v>960</v>
      </c>
      <c r="AH148" s="301"/>
      <c r="AI148" s="301"/>
      <c r="AJ148" s="301"/>
      <c r="AK148" s="301">
        <v>80</v>
      </c>
      <c r="AL148" s="301"/>
      <c r="AM148" s="301"/>
      <c r="AN148" s="301"/>
      <c r="AO148" s="301"/>
      <c r="AP148" s="301"/>
      <c r="AQ148" s="301"/>
      <c r="AR148" s="301"/>
      <c r="AS148" s="301"/>
      <c r="AT148" s="301"/>
      <c r="AU148" s="301"/>
      <c r="AV148" s="301"/>
      <c r="AW148" s="301"/>
      <c r="AX148" s="301"/>
      <c r="AY148" s="301"/>
      <c r="AZ148" s="301"/>
      <c r="BA148" s="301"/>
      <c r="BB148" s="301"/>
      <c r="BC148" s="301"/>
      <c r="BD148" s="301"/>
      <c r="BE148" s="301"/>
      <c r="BF148" s="301"/>
      <c r="BG148" s="301"/>
      <c r="BH148" s="301"/>
      <c r="BI148" s="301"/>
      <c r="BJ148" s="301"/>
      <c r="BK148" s="301"/>
      <c r="BL148" s="301"/>
      <c r="BM148" s="302"/>
      <c r="BN148" s="291">
        <f>+MAX($D$3,DATOS_[[#This Row],[Fecha Inicio Sit. Contract.]])</f>
        <v>45292</v>
      </c>
      <c r="BO148" s="291">
        <f>+MIN($D$4,DATOS_[[#This Row],[Fecha Fin Sit. Contract.]])</f>
        <v>45657</v>
      </c>
      <c r="BP148" s="292">
        <f>+DATOS_[[#This Row],[% de jornada]]*IF(DATOS_[[#This Row],[% jornada reducida]]="",1,DATOS_[[#This Row],[% jornada reducida]])</f>
        <v>1</v>
      </c>
      <c r="BQ148" s="292">
        <f>+(DATOS_[[#This Row],[F.fin.cal]]-DATOS_[[#This Row],[F.ini.cal]]+1)/($D$4-$D$3+1)</f>
        <v>1</v>
      </c>
      <c r="BR148" s="322" t="str">
        <f>IF(OR(AND(DATOS_[[#This Row],[Fecha Fin Contrato]]&lt;$D$3,DATOS_[[#This Row],[Fecha Fin Contrato]]&lt;&gt;""),DATOS_[[#This Row],[Fecha de Contratación]]&gt;$D$4),"Fuera","Dentro")</f>
        <v>Dentro</v>
      </c>
      <c r="BS148" s="322" t="str">
        <f t="array" ref="BS148">IF(MAX(IF(DATOS_[id]=DATOS_[[#This Row],[id]],DATOS_[F.fin.cal]))=DATOS_[[#This Row],[F.fin.cal]],"Sí","NO")</f>
        <v>Sí</v>
      </c>
      <c r="BT148" s="292" t="str">
        <f>IF(AND(DATOS_[[#This Row],[% normaliz]]&lt;&gt;1,DATOS_[[#This Row],[% anualiz]]=1),"Sí","NO")</f>
        <v>NO</v>
      </c>
      <c r="BU148" s="292" t="str">
        <f>IF(AND(DATOS_[[#This Row],[% normaliz]]=1,DATOS_[[#This Row],[% anualiz]]&lt;&gt;1),"Sí","NO")</f>
        <v>NO</v>
      </c>
      <c r="BV148" s="292" t="str">
        <f>IF(AND(DATOS_[[#This Row],[% normaliz]]&lt;&gt;1,DATOS_[[#This Row],[% anualiz]]&lt;&gt;1),"Sí","NO")</f>
        <v>NO</v>
      </c>
      <c r="BW148" s="322" t="str">
        <f>+IF(DATOS_[[#This Row],[% normaliz]]*DATOS_[[#This Row],[% anualiz]]=1,"NO","Sí")</f>
        <v>NO</v>
      </c>
      <c r="BX148" s="323">
        <f>(DATOS_[[#This Row],[S.BASE]]*(1/DATOS_[[#This Row],[% normaliz]])*(1/DATOS_[[#This Row],[% anualiz]]))*IF(DATOS_[[#This Row],[Check Equiparado]]="Sí",1,0)</f>
        <v>14036.34</v>
      </c>
      <c r="BY14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4572.3815999999997</v>
      </c>
      <c r="BZ148" s="323">
        <f>+DATOS_[[#This Row],[SALARIO BASE Eq]]+DATOS_[[#This Row],[Tot COMPL.SAL Eq]]</f>
        <v>18608.721600000001</v>
      </c>
      <c r="CA148" s="323">
        <f t="array" ref="CA1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8" s="323">
        <f>+DATOS_[[#This Row],[TOTAL SALARIO Eq]]+DATOS_[[#This Row],[Tot Extrasalarial Eq]]</f>
        <v>18608.721600000001</v>
      </c>
      <c r="CC148" s="327">
        <f>DATOS_[[#This Row],[S.BASE]]</f>
        <v>14036.34</v>
      </c>
      <c r="CD148" s="324">
        <f>+SUM(DATOS_[[#This Row],[Conc.Sal.01]:[Conc.Sal.30]])</f>
        <v>4572.3815999999997</v>
      </c>
      <c r="CE148" s="324">
        <f>+DATOS_[[#This Row],[SALARIO BASE Ef]]+DATOS_[[#This Row],[Tot COMPL.SAL Ef]]</f>
        <v>18608.721600000001</v>
      </c>
      <c r="CF148" s="324">
        <f>+SUM(DATOS_[[#This Row],[C.Extra.01]:[C.Extra.05]])</f>
        <v>0</v>
      </c>
      <c r="CG148" s="330">
        <f>+DATOS_[[#This Row],[TOTAL SALARIO Ef]]+DATOS_[[#This Row],[Tot Extrasalarial Ef]]</f>
        <v>18608.721600000001</v>
      </c>
      <c r="CH148" s="303">
        <f>MIN(IF(DATOS_[[#This Row],[Fecha Fin Contrato]]="",$D$4,DATOS_[[#This Row],[Fecha Fin Contrato]]),$D$4)-MAX(DATOS_[[#This Row],[Fecha de Contratación]],$D$3)+1</f>
        <v>366</v>
      </c>
      <c r="CI148" s="304" t="str">
        <f>IF(COUNTIFS(DATOS_[id],DATOS_[[#This Row],[id]])&gt;1,DATOS_[[#This Row],[id]],"")</f>
        <v/>
      </c>
      <c r="CJ148" s="325">
        <f>(Inicio!$G$10-DATOS_[[#This Row],[Fecha Nacimiento]])/365.25</f>
        <v>52.05201916495551</v>
      </c>
      <c r="CK148" s="325">
        <f>(Inicio!$G$10-DATOS_[[#This Row],[Fecha de Antigüedad]])/365.25</f>
        <v>29.793292265571527</v>
      </c>
      <c r="CL148" s="325" t="str">
        <f>+VLOOKUP(DATOS_[[#This Row],[Clave de Contrato]],TblTiposContrato13[],3,FALSE)</f>
        <v>Completa</v>
      </c>
      <c r="CM148" s="325" t="str">
        <f>+VLOOKUP(DATOS_[[#This Row],[Clave de Contrato]],TblTiposContrato13[],4,FALSE)</f>
        <v>Indefinido</v>
      </c>
      <c r="CN148" s="325" t="str">
        <f>VLOOKUP(DATOS_[[#This Row],[Edad]],CONTRATOS!TblRngEdad,2,TRUE)</f>
        <v>50 a 55</v>
      </c>
      <c r="CO148" s="325" t="str">
        <f>VLOOKUP(DATOS_[[#This Row],[Antigüedad]],TblRngAntg14[],2,TRUE)</f>
        <v>más de 15</v>
      </c>
    </row>
    <row r="149" spans="2:93" x14ac:dyDescent="0.25">
      <c r="B149" s="146">
        <v>136</v>
      </c>
      <c r="C149" s="146" t="s">
        <v>162</v>
      </c>
      <c r="D149" s="295">
        <v>34310</v>
      </c>
      <c r="E149" s="296" t="s">
        <v>427</v>
      </c>
      <c r="F149" s="296">
        <v>3</v>
      </c>
      <c r="G149" s="296">
        <v>2</v>
      </c>
      <c r="H149" s="297">
        <v>36930</v>
      </c>
      <c r="I149" s="298"/>
      <c r="J149" s="295">
        <v>36930</v>
      </c>
      <c r="K149" s="326"/>
      <c r="L149" s="326"/>
      <c r="M149" s="299">
        <v>1</v>
      </c>
      <c r="N149" s="299"/>
      <c r="O149" s="299"/>
      <c r="P149" s="296">
        <v>100</v>
      </c>
      <c r="Q149" s="146" t="s">
        <v>414</v>
      </c>
      <c r="R149" s="146" t="s">
        <v>415</v>
      </c>
      <c r="S149" s="146" t="s">
        <v>435</v>
      </c>
      <c r="T149" s="146" t="s">
        <v>407</v>
      </c>
      <c r="U149" s="146" t="s">
        <v>400</v>
      </c>
      <c r="V149" s="146" t="s">
        <v>436</v>
      </c>
      <c r="W149" s="146" t="s">
        <v>301</v>
      </c>
      <c r="X149" s="146" t="s">
        <v>309</v>
      </c>
      <c r="Y149" s="146" t="s">
        <v>409</v>
      </c>
      <c r="Z149" s="293"/>
      <c r="AA149" s="294" t="s">
        <v>434</v>
      </c>
      <c r="AB149" s="294">
        <v>8</v>
      </c>
      <c r="AC149" s="296">
        <v>5</v>
      </c>
      <c r="AD149" s="301">
        <v>14036.34</v>
      </c>
      <c r="AE149" s="301">
        <v>163.65999999999985</v>
      </c>
      <c r="AF149" s="301">
        <v>2245.8144000000002</v>
      </c>
      <c r="AG149" s="301">
        <v>960</v>
      </c>
      <c r="AH149" s="301"/>
      <c r="AI149" s="301"/>
      <c r="AJ149" s="301"/>
      <c r="AK149" s="301">
        <v>80</v>
      </c>
      <c r="AL149" s="301"/>
      <c r="AM149" s="301"/>
      <c r="AN149" s="301"/>
      <c r="AO149" s="301"/>
      <c r="AP149" s="301"/>
      <c r="AQ149" s="301"/>
      <c r="AR149" s="301"/>
      <c r="AS149" s="301"/>
      <c r="AT149" s="301"/>
      <c r="AU149" s="301"/>
      <c r="AV149" s="301"/>
      <c r="AW149" s="301"/>
      <c r="AX149" s="301"/>
      <c r="AY149" s="301"/>
      <c r="AZ149" s="301"/>
      <c r="BA149" s="301"/>
      <c r="BB149" s="301"/>
      <c r="BC149" s="301"/>
      <c r="BD149" s="301"/>
      <c r="BE149" s="301"/>
      <c r="BF149" s="301"/>
      <c r="BG149" s="301"/>
      <c r="BH149" s="301"/>
      <c r="BI149" s="301"/>
      <c r="BJ149" s="301"/>
      <c r="BK149" s="301"/>
      <c r="BL149" s="301"/>
      <c r="BM149" s="302"/>
      <c r="BN149" s="291">
        <f>+MAX($D$3,DATOS_[[#This Row],[Fecha Inicio Sit. Contract.]])</f>
        <v>45292</v>
      </c>
      <c r="BO149" s="291">
        <f>+MIN($D$4,DATOS_[[#This Row],[Fecha Fin Sit. Contract.]])</f>
        <v>45657</v>
      </c>
      <c r="BP149" s="292">
        <f>+DATOS_[[#This Row],[% de jornada]]*IF(DATOS_[[#This Row],[% jornada reducida]]="",1,DATOS_[[#This Row],[% jornada reducida]])</f>
        <v>1</v>
      </c>
      <c r="BQ149" s="292">
        <f>+(DATOS_[[#This Row],[F.fin.cal]]-DATOS_[[#This Row],[F.ini.cal]]+1)/($D$4-$D$3+1)</f>
        <v>1</v>
      </c>
      <c r="BR149" s="322" t="str">
        <f>IF(OR(AND(DATOS_[[#This Row],[Fecha Fin Contrato]]&lt;$D$3,DATOS_[[#This Row],[Fecha Fin Contrato]]&lt;&gt;""),DATOS_[[#This Row],[Fecha de Contratación]]&gt;$D$4),"Fuera","Dentro")</f>
        <v>Dentro</v>
      </c>
      <c r="BS149" s="322" t="str">
        <f t="array" ref="BS149">IF(MAX(IF(DATOS_[id]=DATOS_[[#This Row],[id]],DATOS_[F.fin.cal]))=DATOS_[[#This Row],[F.fin.cal]],"Sí","NO")</f>
        <v>Sí</v>
      </c>
      <c r="BT149" s="292" t="str">
        <f>IF(AND(DATOS_[[#This Row],[% normaliz]]&lt;&gt;1,DATOS_[[#This Row],[% anualiz]]=1),"Sí","NO")</f>
        <v>NO</v>
      </c>
      <c r="BU149" s="292" t="str">
        <f>IF(AND(DATOS_[[#This Row],[% normaliz]]=1,DATOS_[[#This Row],[% anualiz]]&lt;&gt;1),"Sí","NO")</f>
        <v>NO</v>
      </c>
      <c r="BV149" s="292" t="str">
        <f>IF(AND(DATOS_[[#This Row],[% normaliz]]&lt;&gt;1,DATOS_[[#This Row],[% anualiz]]&lt;&gt;1),"Sí","NO")</f>
        <v>NO</v>
      </c>
      <c r="BW149" s="322" t="str">
        <f>+IF(DATOS_[[#This Row],[% normaliz]]*DATOS_[[#This Row],[% anualiz]]=1,"NO","Sí")</f>
        <v>NO</v>
      </c>
      <c r="BX149" s="323">
        <f>(DATOS_[[#This Row],[S.BASE]]*(1/DATOS_[[#This Row],[% normaliz]])*(1/DATOS_[[#This Row],[% anualiz]]))*IF(DATOS_[[#This Row],[Check Equiparado]]="Sí",1,0)</f>
        <v>14036.34</v>
      </c>
      <c r="BY14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49" s="323">
        <f>+DATOS_[[#This Row],[SALARIO BASE Eq]]+DATOS_[[#This Row],[Tot COMPL.SAL Eq]]</f>
        <v>17485.814399999999</v>
      </c>
      <c r="CA149" s="323">
        <f t="array" ref="CA1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9" s="323">
        <f>+DATOS_[[#This Row],[TOTAL SALARIO Eq]]+DATOS_[[#This Row],[Tot Extrasalarial Eq]]</f>
        <v>17485.814399999999</v>
      </c>
      <c r="CC149" s="327">
        <f>DATOS_[[#This Row],[S.BASE]]</f>
        <v>14036.34</v>
      </c>
      <c r="CD149" s="324">
        <f>+SUM(DATOS_[[#This Row],[Conc.Sal.01]:[Conc.Sal.30]])</f>
        <v>3449.4744000000001</v>
      </c>
      <c r="CE149" s="324">
        <f>+DATOS_[[#This Row],[SALARIO BASE Ef]]+DATOS_[[#This Row],[Tot COMPL.SAL Ef]]</f>
        <v>17485.814399999999</v>
      </c>
      <c r="CF149" s="324">
        <f>+SUM(DATOS_[[#This Row],[C.Extra.01]:[C.Extra.05]])</f>
        <v>0</v>
      </c>
      <c r="CG149" s="330">
        <f>+DATOS_[[#This Row],[TOTAL SALARIO Ef]]+DATOS_[[#This Row],[Tot Extrasalarial Ef]]</f>
        <v>17485.814399999999</v>
      </c>
      <c r="CH149" s="303">
        <f>MIN(IF(DATOS_[[#This Row],[Fecha Fin Contrato]]="",$D$4,DATOS_[[#This Row],[Fecha Fin Contrato]]),$D$4)-MAX(DATOS_[[#This Row],[Fecha de Contratación]],$D$3)+1</f>
        <v>366</v>
      </c>
      <c r="CI149" s="304" t="str">
        <f>IF(COUNTIFS(DATOS_[id],DATOS_[[#This Row],[id]])&gt;1,DATOS_[[#This Row],[id]],"")</f>
        <v/>
      </c>
      <c r="CJ149" s="325">
        <f>(Inicio!$G$10-DATOS_[[#This Row],[Fecha Nacimiento]])/365.25</f>
        <v>31.066392881587955</v>
      </c>
      <c r="CK149" s="325">
        <f>(Inicio!$G$10-DATOS_[[#This Row],[Fecha de Antigüedad]])/365.25</f>
        <v>23.893223819301848</v>
      </c>
      <c r="CL149" s="325" t="str">
        <f>+VLOOKUP(DATOS_[[#This Row],[Clave de Contrato]],TblTiposContrato13[],3,FALSE)</f>
        <v>Completa</v>
      </c>
      <c r="CM149" s="325" t="str">
        <f>+VLOOKUP(DATOS_[[#This Row],[Clave de Contrato]],TblTiposContrato13[],4,FALSE)</f>
        <v>Indefinido</v>
      </c>
      <c r="CN149" s="325" t="str">
        <f>VLOOKUP(DATOS_[[#This Row],[Edad]],CONTRATOS!TblRngEdad,2,TRUE)</f>
        <v>30 a 35</v>
      </c>
      <c r="CO149" s="325" t="str">
        <f>VLOOKUP(DATOS_[[#This Row],[Antigüedad]],TblRngAntg14[],2,TRUE)</f>
        <v>más de 15</v>
      </c>
    </row>
    <row r="150" spans="2:93" x14ac:dyDescent="0.25">
      <c r="B150" s="146">
        <v>137</v>
      </c>
      <c r="C150" s="146" t="s">
        <v>163</v>
      </c>
      <c r="D150" s="295">
        <v>31755</v>
      </c>
      <c r="E150" s="296" t="s">
        <v>427</v>
      </c>
      <c r="F150" s="296">
        <v>2</v>
      </c>
      <c r="G150" s="296">
        <v>3</v>
      </c>
      <c r="H150" s="297">
        <v>36090</v>
      </c>
      <c r="I150" s="298"/>
      <c r="J150" s="295">
        <v>36090</v>
      </c>
      <c r="K150" s="326"/>
      <c r="L150" s="326"/>
      <c r="M150" s="299">
        <v>1</v>
      </c>
      <c r="N150" s="299"/>
      <c r="O150" s="299"/>
      <c r="P150" s="296">
        <v>100</v>
      </c>
      <c r="Q150" s="146" t="s">
        <v>431</v>
      </c>
      <c r="R150" s="146" t="s">
        <v>419</v>
      </c>
      <c r="S150" s="146" t="s">
        <v>435</v>
      </c>
      <c r="T150" s="146" t="s">
        <v>407</v>
      </c>
      <c r="U150" s="146" t="s">
        <v>400</v>
      </c>
      <c r="V150" s="146" t="s">
        <v>436</v>
      </c>
      <c r="W150" s="146" t="s">
        <v>301</v>
      </c>
      <c r="X150" s="146" t="s">
        <v>309</v>
      </c>
      <c r="Y150" s="146" t="s">
        <v>409</v>
      </c>
      <c r="Z150" s="293"/>
      <c r="AA150" s="294" t="s">
        <v>434</v>
      </c>
      <c r="AB150" s="294">
        <v>8</v>
      </c>
      <c r="AC150" s="296">
        <v>5</v>
      </c>
      <c r="AD150" s="301">
        <v>14036.34</v>
      </c>
      <c r="AE150" s="301">
        <v>163.65999999999985</v>
      </c>
      <c r="AF150" s="301">
        <v>2807.268</v>
      </c>
      <c r="AG150" s="301">
        <v>960</v>
      </c>
      <c r="AH150" s="301"/>
      <c r="AI150" s="301"/>
      <c r="AJ150" s="301"/>
      <c r="AK150" s="301">
        <v>80</v>
      </c>
      <c r="AL150" s="301"/>
      <c r="AM150" s="301"/>
      <c r="AN150" s="301"/>
      <c r="AO150" s="301"/>
      <c r="AP150" s="301"/>
      <c r="AQ150" s="301"/>
      <c r="AR150" s="301"/>
      <c r="AS150" s="301"/>
      <c r="AT150" s="301"/>
      <c r="AU150" s="301"/>
      <c r="AV150" s="301"/>
      <c r="AW150" s="301"/>
      <c r="AX150" s="301"/>
      <c r="AY150" s="301"/>
      <c r="AZ150" s="301"/>
      <c r="BA150" s="301"/>
      <c r="BB150" s="301"/>
      <c r="BC150" s="301"/>
      <c r="BD150" s="301"/>
      <c r="BE150" s="301"/>
      <c r="BF150" s="301"/>
      <c r="BG150" s="301"/>
      <c r="BH150" s="301"/>
      <c r="BI150" s="301"/>
      <c r="BJ150" s="301"/>
      <c r="BK150" s="301"/>
      <c r="BL150" s="301"/>
      <c r="BM150" s="302"/>
      <c r="BN150" s="291">
        <f>+MAX($D$3,DATOS_[[#This Row],[Fecha Inicio Sit. Contract.]])</f>
        <v>45292</v>
      </c>
      <c r="BO150" s="291">
        <f>+MIN($D$4,DATOS_[[#This Row],[Fecha Fin Sit. Contract.]])</f>
        <v>45657</v>
      </c>
      <c r="BP150" s="292">
        <f>+DATOS_[[#This Row],[% de jornada]]*IF(DATOS_[[#This Row],[% jornada reducida]]="",1,DATOS_[[#This Row],[% jornada reducida]])</f>
        <v>1</v>
      </c>
      <c r="BQ150" s="292">
        <f>+(DATOS_[[#This Row],[F.fin.cal]]-DATOS_[[#This Row],[F.ini.cal]]+1)/($D$4-$D$3+1)</f>
        <v>1</v>
      </c>
      <c r="BR150" s="322" t="str">
        <f>IF(OR(AND(DATOS_[[#This Row],[Fecha Fin Contrato]]&lt;$D$3,DATOS_[[#This Row],[Fecha Fin Contrato]]&lt;&gt;""),DATOS_[[#This Row],[Fecha de Contratación]]&gt;$D$4),"Fuera","Dentro")</f>
        <v>Dentro</v>
      </c>
      <c r="BS150" s="322" t="str">
        <f t="array" ref="BS150">IF(MAX(IF(DATOS_[id]=DATOS_[[#This Row],[id]],DATOS_[F.fin.cal]))=DATOS_[[#This Row],[F.fin.cal]],"Sí","NO")</f>
        <v>Sí</v>
      </c>
      <c r="BT150" s="292" t="str">
        <f>IF(AND(DATOS_[[#This Row],[% normaliz]]&lt;&gt;1,DATOS_[[#This Row],[% anualiz]]=1),"Sí","NO")</f>
        <v>NO</v>
      </c>
      <c r="BU150" s="292" t="str">
        <f>IF(AND(DATOS_[[#This Row],[% normaliz]]=1,DATOS_[[#This Row],[% anualiz]]&lt;&gt;1),"Sí","NO")</f>
        <v>NO</v>
      </c>
      <c r="BV150" s="292" t="str">
        <f>IF(AND(DATOS_[[#This Row],[% normaliz]]&lt;&gt;1,DATOS_[[#This Row],[% anualiz]]&lt;&gt;1),"Sí","NO")</f>
        <v>NO</v>
      </c>
      <c r="BW150" s="322" t="str">
        <f>+IF(DATOS_[[#This Row],[% normaliz]]*DATOS_[[#This Row],[% anualiz]]=1,"NO","Sí")</f>
        <v>NO</v>
      </c>
      <c r="BX150" s="323">
        <f>(DATOS_[[#This Row],[S.BASE]]*(1/DATOS_[[#This Row],[% normaliz]])*(1/DATOS_[[#This Row],[% anualiz]]))*IF(DATOS_[[#This Row],[Check Equiparado]]="Sí",1,0)</f>
        <v>14036.34</v>
      </c>
      <c r="BY15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50" s="323">
        <f>+DATOS_[[#This Row],[SALARIO BASE Eq]]+DATOS_[[#This Row],[Tot COMPL.SAL Eq]]</f>
        <v>18047.268</v>
      </c>
      <c r="CA150" s="323">
        <f t="array" ref="CA1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0" s="323">
        <f>+DATOS_[[#This Row],[TOTAL SALARIO Eq]]+DATOS_[[#This Row],[Tot Extrasalarial Eq]]</f>
        <v>18047.268</v>
      </c>
      <c r="CC150" s="327">
        <f>DATOS_[[#This Row],[S.BASE]]</f>
        <v>14036.34</v>
      </c>
      <c r="CD150" s="324">
        <f>+SUM(DATOS_[[#This Row],[Conc.Sal.01]:[Conc.Sal.30]])</f>
        <v>4010.9279999999999</v>
      </c>
      <c r="CE150" s="324">
        <f>+DATOS_[[#This Row],[SALARIO BASE Ef]]+DATOS_[[#This Row],[Tot COMPL.SAL Ef]]</f>
        <v>18047.268</v>
      </c>
      <c r="CF150" s="324">
        <f>+SUM(DATOS_[[#This Row],[C.Extra.01]:[C.Extra.05]])</f>
        <v>0</v>
      </c>
      <c r="CG150" s="330">
        <f>+DATOS_[[#This Row],[TOTAL SALARIO Ef]]+DATOS_[[#This Row],[Tot Extrasalarial Ef]]</f>
        <v>18047.268</v>
      </c>
      <c r="CH150" s="303">
        <f>MIN(IF(DATOS_[[#This Row],[Fecha Fin Contrato]]="",$D$4,DATOS_[[#This Row],[Fecha Fin Contrato]]),$D$4)-MAX(DATOS_[[#This Row],[Fecha de Contratación]],$D$3)+1</f>
        <v>366</v>
      </c>
      <c r="CI150" s="304" t="str">
        <f>IF(COUNTIFS(DATOS_[id],DATOS_[[#This Row],[id]])&gt;1,DATOS_[[#This Row],[id]],"")</f>
        <v/>
      </c>
      <c r="CJ150" s="325">
        <f>(Inicio!$G$10-DATOS_[[#This Row],[Fecha Nacimiento]])/365.25</f>
        <v>38.061601642710471</v>
      </c>
      <c r="CK150" s="325">
        <f>(Inicio!$G$10-DATOS_[[#This Row],[Fecha de Antigüedad]])/365.25</f>
        <v>26.193018480492814</v>
      </c>
      <c r="CL150" s="325" t="str">
        <f>+VLOOKUP(DATOS_[[#This Row],[Clave de Contrato]],TblTiposContrato13[],3,FALSE)</f>
        <v>Completa</v>
      </c>
      <c r="CM150" s="325" t="str">
        <f>+VLOOKUP(DATOS_[[#This Row],[Clave de Contrato]],TblTiposContrato13[],4,FALSE)</f>
        <v>Indefinido</v>
      </c>
      <c r="CN150" s="325" t="str">
        <f>VLOOKUP(DATOS_[[#This Row],[Edad]],CONTRATOS!TblRngEdad,2,TRUE)</f>
        <v>35 a 40</v>
      </c>
      <c r="CO150" s="325" t="str">
        <f>VLOOKUP(DATOS_[[#This Row],[Antigüedad]],TblRngAntg14[],2,TRUE)</f>
        <v>más de 15</v>
      </c>
    </row>
    <row r="151" spans="2:93" x14ac:dyDescent="0.25">
      <c r="B151" s="146">
        <v>138</v>
      </c>
      <c r="C151" s="146" t="s">
        <v>162</v>
      </c>
      <c r="D151" s="295">
        <v>32120</v>
      </c>
      <c r="E151" s="296" t="s">
        <v>403</v>
      </c>
      <c r="F151" s="296">
        <v>2</v>
      </c>
      <c r="G151" s="296">
        <v>3</v>
      </c>
      <c r="H151" s="297">
        <v>36054</v>
      </c>
      <c r="I151" s="298"/>
      <c r="J151" s="295">
        <v>36054</v>
      </c>
      <c r="K151" s="326"/>
      <c r="L151" s="326">
        <v>44012</v>
      </c>
      <c r="M151" s="299">
        <v>1</v>
      </c>
      <c r="N151" s="299">
        <v>0.8</v>
      </c>
      <c r="O151" s="299" t="s">
        <v>147</v>
      </c>
      <c r="P151" s="296">
        <v>100</v>
      </c>
      <c r="Q151" s="146" t="s">
        <v>431</v>
      </c>
      <c r="R151" s="146" t="s">
        <v>419</v>
      </c>
      <c r="S151" s="146" t="s">
        <v>435</v>
      </c>
      <c r="T151" s="146" t="s">
        <v>407</v>
      </c>
      <c r="U151" s="146" t="s">
        <v>400</v>
      </c>
      <c r="V151" s="146" t="s">
        <v>436</v>
      </c>
      <c r="W151" s="146" t="s">
        <v>301</v>
      </c>
      <c r="X151" s="146" t="s">
        <v>309</v>
      </c>
      <c r="Y151" s="146" t="s">
        <v>409</v>
      </c>
      <c r="Z151" s="293"/>
      <c r="AA151" s="294" t="s">
        <v>434</v>
      </c>
      <c r="AB151" s="294">
        <v>8</v>
      </c>
      <c r="AC151" s="296">
        <v>5</v>
      </c>
      <c r="AD151" s="301">
        <v>5614.5360000000001</v>
      </c>
      <c r="AE151" s="301">
        <v>65.463999999999942</v>
      </c>
      <c r="AF151" s="301">
        <v>1122.9072000000001</v>
      </c>
      <c r="AG151" s="301">
        <v>480</v>
      </c>
      <c r="AH151" s="301"/>
      <c r="AI151" s="301"/>
      <c r="AJ151" s="301"/>
      <c r="AK151" s="301"/>
      <c r="AL151" s="301"/>
      <c r="AM151" s="301"/>
      <c r="AN151" s="301"/>
      <c r="AO151" s="301"/>
      <c r="AP151" s="301"/>
      <c r="AQ151" s="301"/>
      <c r="AR151" s="301"/>
      <c r="AS151" s="301"/>
      <c r="AT151" s="301"/>
      <c r="AU151" s="301"/>
      <c r="AV151" s="301"/>
      <c r="AW151" s="301"/>
      <c r="AX151" s="301"/>
      <c r="AY151" s="301"/>
      <c r="AZ151" s="301"/>
      <c r="BA151" s="301"/>
      <c r="BB151" s="301"/>
      <c r="BC151" s="301"/>
      <c r="BD151" s="301"/>
      <c r="BE151" s="301"/>
      <c r="BF151" s="301"/>
      <c r="BG151" s="301"/>
      <c r="BH151" s="301"/>
      <c r="BI151" s="301"/>
      <c r="BJ151" s="301"/>
      <c r="BK151" s="301"/>
      <c r="BL151" s="301"/>
      <c r="BM151" s="302"/>
      <c r="BN151" s="291">
        <f>+MAX($D$3,DATOS_[[#This Row],[Fecha Inicio Sit. Contract.]])</f>
        <v>45292</v>
      </c>
      <c r="BO151" s="291">
        <f>+MIN($D$4,DATOS_[[#This Row],[Fecha Fin Sit. Contract.]])</f>
        <v>44012</v>
      </c>
      <c r="BP151" s="292">
        <f>+DATOS_[[#This Row],[% de jornada]]*IF(DATOS_[[#This Row],[% jornada reducida]]="",1,DATOS_[[#This Row],[% jornada reducida]])</f>
        <v>0.8</v>
      </c>
      <c r="BQ151" s="292">
        <f>+(DATOS_[[#This Row],[F.fin.cal]]-DATOS_[[#This Row],[F.ini.cal]]+1)/($D$4-$D$3+1)</f>
        <v>-3.4945355191256833</v>
      </c>
      <c r="BR151" s="322" t="str">
        <f>IF(OR(AND(DATOS_[[#This Row],[Fecha Fin Contrato]]&lt;$D$3,DATOS_[[#This Row],[Fecha Fin Contrato]]&lt;&gt;""),DATOS_[[#This Row],[Fecha de Contratación]]&gt;$D$4),"Fuera","Dentro")</f>
        <v>Dentro</v>
      </c>
      <c r="BS151" s="322" t="str">
        <f t="array" ref="BS151">IF(MAX(IF(DATOS_[id]=DATOS_[[#This Row],[id]],DATOS_[F.fin.cal]))=DATOS_[[#This Row],[F.fin.cal]],"Sí","NO")</f>
        <v>NO</v>
      </c>
      <c r="BT151" s="292" t="str">
        <f>IF(AND(DATOS_[[#This Row],[% normaliz]]&lt;&gt;1,DATOS_[[#This Row],[% anualiz]]=1),"Sí","NO")</f>
        <v>NO</v>
      </c>
      <c r="BU151" s="292" t="str">
        <f>IF(AND(DATOS_[[#This Row],[% normaliz]]=1,DATOS_[[#This Row],[% anualiz]]&lt;&gt;1),"Sí","NO")</f>
        <v>NO</v>
      </c>
      <c r="BV151" s="292" t="str">
        <f>IF(AND(DATOS_[[#This Row],[% normaliz]]&lt;&gt;1,DATOS_[[#This Row],[% anualiz]]&lt;&gt;1),"Sí","NO")</f>
        <v>Sí</v>
      </c>
      <c r="BW151" s="322" t="str">
        <f>+IF(DATOS_[[#This Row],[% normaliz]]*DATOS_[[#This Row],[% anualiz]]=1,"NO","Sí")</f>
        <v>Sí</v>
      </c>
      <c r="BX151" s="323">
        <f>(DATOS_[[#This Row],[S.BASE]]*(1/DATOS_[[#This Row],[% normaliz]])*(1/DATOS_[[#This Row],[% anualiz]]))*IF(DATOS_[[#This Row],[Check Equiparado]]="Sí",1,0)</f>
        <v>0</v>
      </c>
      <c r="BY15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51" s="323">
        <f>+DATOS_[[#This Row],[SALARIO BASE Eq]]+DATOS_[[#This Row],[Tot COMPL.SAL Eq]]</f>
        <v>0</v>
      </c>
      <c r="CA151" s="323">
        <f t="array" ref="CA1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1" s="323">
        <f>+DATOS_[[#This Row],[TOTAL SALARIO Eq]]+DATOS_[[#This Row],[Tot Extrasalarial Eq]]</f>
        <v>0</v>
      </c>
      <c r="CC151" s="327">
        <f>DATOS_[[#This Row],[S.BASE]]</f>
        <v>5614.5360000000001</v>
      </c>
      <c r="CD151" s="324">
        <f>+SUM(DATOS_[[#This Row],[Conc.Sal.01]:[Conc.Sal.30]])</f>
        <v>1668.3712</v>
      </c>
      <c r="CE151" s="324">
        <f>+DATOS_[[#This Row],[SALARIO BASE Ef]]+DATOS_[[#This Row],[Tot COMPL.SAL Ef]]</f>
        <v>7282.9071999999996</v>
      </c>
      <c r="CF151" s="324">
        <f>+SUM(DATOS_[[#This Row],[C.Extra.01]:[C.Extra.05]])</f>
        <v>0</v>
      </c>
      <c r="CG151" s="330">
        <f>+DATOS_[[#This Row],[TOTAL SALARIO Ef]]+DATOS_[[#This Row],[Tot Extrasalarial Ef]]</f>
        <v>7282.9071999999996</v>
      </c>
      <c r="CH151" s="303">
        <f>MIN(IF(DATOS_[[#This Row],[Fecha Fin Contrato]]="",$D$4,DATOS_[[#This Row],[Fecha Fin Contrato]]),$D$4)-MAX(DATOS_[[#This Row],[Fecha de Contratación]],$D$3)+1</f>
        <v>366</v>
      </c>
      <c r="CI151" s="304">
        <f>IF(COUNTIFS(DATOS_[id],DATOS_[[#This Row],[id]])&gt;1,DATOS_[[#This Row],[id]],"")</f>
        <v>138</v>
      </c>
      <c r="CJ151" s="325">
        <f>(Inicio!$G$10-DATOS_[[#This Row],[Fecha Nacimiento]])/365.25</f>
        <v>37.062286105407253</v>
      </c>
      <c r="CK151" s="325">
        <f>(Inicio!$G$10-DATOS_[[#This Row],[Fecha de Antigüedad]])/365.25</f>
        <v>26.291581108829568</v>
      </c>
      <c r="CL151" s="325" t="str">
        <f>+VLOOKUP(DATOS_[[#This Row],[Clave de Contrato]],TblTiposContrato13[],3,FALSE)</f>
        <v>Completa</v>
      </c>
      <c r="CM151" s="325" t="str">
        <f>+VLOOKUP(DATOS_[[#This Row],[Clave de Contrato]],TblTiposContrato13[],4,FALSE)</f>
        <v>Indefinido</v>
      </c>
      <c r="CN151" s="325" t="str">
        <f>VLOOKUP(DATOS_[[#This Row],[Edad]],CONTRATOS!TblRngEdad,2,TRUE)</f>
        <v>35 a 40</v>
      </c>
      <c r="CO151" s="325" t="str">
        <f>VLOOKUP(DATOS_[[#This Row],[Antigüedad]],TblRngAntg14[],2,TRUE)</f>
        <v>más de 15</v>
      </c>
    </row>
    <row r="152" spans="2:93" x14ac:dyDescent="0.25">
      <c r="B152" s="146">
        <v>138</v>
      </c>
      <c r="C152" s="146" t="s">
        <v>162</v>
      </c>
      <c r="D152" s="295">
        <v>32120</v>
      </c>
      <c r="E152" s="296" t="s">
        <v>403</v>
      </c>
      <c r="F152" s="296">
        <v>2</v>
      </c>
      <c r="G152" s="296">
        <v>3</v>
      </c>
      <c r="H152" s="297">
        <v>36054</v>
      </c>
      <c r="I152" s="298"/>
      <c r="J152" s="295">
        <v>36054</v>
      </c>
      <c r="K152" s="326">
        <v>44013</v>
      </c>
      <c r="L152" s="326"/>
      <c r="M152" s="299">
        <v>1</v>
      </c>
      <c r="N152" s="299"/>
      <c r="O152" s="299"/>
      <c r="P152" s="296">
        <v>100</v>
      </c>
      <c r="Q152" s="146" t="s">
        <v>431</v>
      </c>
      <c r="R152" s="146" t="s">
        <v>419</v>
      </c>
      <c r="S152" s="146" t="s">
        <v>435</v>
      </c>
      <c r="T152" s="146" t="s">
        <v>407</v>
      </c>
      <c r="U152" s="146" t="s">
        <v>400</v>
      </c>
      <c r="V152" s="146" t="s">
        <v>436</v>
      </c>
      <c r="W152" s="146" t="s">
        <v>301</v>
      </c>
      <c r="X152" s="146" t="s">
        <v>309</v>
      </c>
      <c r="Y152" s="146" t="s">
        <v>409</v>
      </c>
      <c r="Z152" s="293"/>
      <c r="AA152" s="294" t="s">
        <v>434</v>
      </c>
      <c r="AB152" s="294">
        <v>8</v>
      </c>
      <c r="AC152" s="296">
        <v>5</v>
      </c>
      <c r="AD152" s="301">
        <v>7018.17</v>
      </c>
      <c r="AE152" s="301">
        <v>81.829999999999927</v>
      </c>
      <c r="AF152" s="301">
        <v>1403.634</v>
      </c>
      <c r="AG152" s="301">
        <v>480</v>
      </c>
      <c r="AH152" s="301"/>
      <c r="AI152" s="301"/>
      <c r="AJ152" s="301"/>
      <c r="AK152" s="301">
        <v>80</v>
      </c>
      <c r="AL152" s="301"/>
      <c r="AM152" s="301"/>
      <c r="AN152" s="301"/>
      <c r="AO152" s="301"/>
      <c r="AP152" s="301"/>
      <c r="AQ152" s="301"/>
      <c r="AR152" s="301"/>
      <c r="AS152" s="301"/>
      <c r="AT152" s="301"/>
      <c r="AU152" s="301"/>
      <c r="AV152" s="301"/>
      <c r="AW152" s="301"/>
      <c r="AX152" s="301"/>
      <c r="AY152" s="301"/>
      <c r="AZ152" s="301"/>
      <c r="BA152" s="301"/>
      <c r="BB152" s="301"/>
      <c r="BC152" s="301"/>
      <c r="BD152" s="301"/>
      <c r="BE152" s="301"/>
      <c r="BF152" s="301"/>
      <c r="BG152" s="301"/>
      <c r="BH152" s="301"/>
      <c r="BI152" s="301"/>
      <c r="BJ152" s="301"/>
      <c r="BK152" s="301"/>
      <c r="BL152" s="301"/>
      <c r="BM152" s="302"/>
      <c r="BN152" s="291">
        <f>+MAX($D$3,DATOS_[[#This Row],[Fecha Inicio Sit. Contract.]])</f>
        <v>45292</v>
      </c>
      <c r="BO152" s="291">
        <f>+MIN($D$4,DATOS_[[#This Row],[Fecha Fin Sit. Contract.]])</f>
        <v>45657</v>
      </c>
      <c r="BP152" s="292">
        <f>+DATOS_[[#This Row],[% de jornada]]*IF(DATOS_[[#This Row],[% jornada reducida]]="",1,DATOS_[[#This Row],[% jornada reducida]])</f>
        <v>1</v>
      </c>
      <c r="BQ152" s="292">
        <f>+(DATOS_[[#This Row],[F.fin.cal]]-DATOS_[[#This Row],[F.ini.cal]]+1)/($D$4-$D$3+1)</f>
        <v>1</v>
      </c>
      <c r="BR152" s="322" t="str">
        <f>IF(OR(AND(DATOS_[[#This Row],[Fecha Fin Contrato]]&lt;$D$3,DATOS_[[#This Row],[Fecha Fin Contrato]]&lt;&gt;""),DATOS_[[#This Row],[Fecha de Contratación]]&gt;$D$4),"Fuera","Dentro")</f>
        <v>Dentro</v>
      </c>
      <c r="BS152" s="322" t="str">
        <f t="array" ref="BS152">IF(MAX(IF(DATOS_[id]=DATOS_[[#This Row],[id]],DATOS_[F.fin.cal]))=DATOS_[[#This Row],[F.fin.cal]],"Sí","NO")</f>
        <v>Sí</v>
      </c>
      <c r="BT152" s="292" t="str">
        <f>IF(AND(DATOS_[[#This Row],[% normaliz]]&lt;&gt;1,DATOS_[[#This Row],[% anualiz]]=1),"Sí","NO")</f>
        <v>NO</v>
      </c>
      <c r="BU152" s="292" t="str">
        <f>IF(AND(DATOS_[[#This Row],[% normaliz]]=1,DATOS_[[#This Row],[% anualiz]]&lt;&gt;1),"Sí","NO")</f>
        <v>NO</v>
      </c>
      <c r="BV152" s="292" t="str">
        <f>IF(AND(DATOS_[[#This Row],[% normaliz]]&lt;&gt;1,DATOS_[[#This Row],[% anualiz]]&lt;&gt;1),"Sí","NO")</f>
        <v>NO</v>
      </c>
      <c r="BW152" s="322" t="str">
        <f>+IF(DATOS_[[#This Row],[% normaliz]]*DATOS_[[#This Row],[% anualiz]]=1,"NO","Sí")</f>
        <v>NO</v>
      </c>
      <c r="BX152" s="323">
        <f>(DATOS_[[#This Row],[S.BASE]]*(1/DATOS_[[#This Row],[% normaliz]])*(1/DATOS_[[#This Row],[% anualiz]]))*IF(DATOS_[[#This Row],[Check Equiparado]]="Sí",1,0)</f>
        <v>7018.17</v>
      </c>
      <c r="BY15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2045.4639999999999</v>
      </c>
      <c r="BZ152" s="323">
        <f>+DATOS_[[#This Row],[SALARIO BASE Eq]]+DATOS_[[#This Row],[Tot COMPL.SAL Eq]]</f>
        <v>9063.634</v>
      </c>
      <c r="CA152" s="323">
        <f t="array" ref="CA1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2" s="323">
        <f>+DATOS_[[#This Row],[TOTAL SALARIO Eq]]+DATOS_[[#This Row],[Tot Extrasalarial Eq]]</f>
        <v>9063.634</v>
      </c>
      <c r="CC152" s="327">
        <f>DATOS_[[#This Row],[S.BASE]]</f>
        <v>7018.17</v>
      </c>
      <c r="CD152" s="324">
        <f>+SUM(DATOS_[[#This Row],[Conc.Sal.01]:[Conc.Sal.30]])</f>
        <v>2045.4639999999999</v>
      </c>
      <c r="CE152" s="324">
        <f>+DATOS_[[#This Row],[SALARIO BASE Ef]]+DATOS_[[#This Row],[Tot COMPL.SAL Ef]]</f>
        <v>9063.634</v>
      </c>
      <c r="CF152" s="324">
        <f>+SUM(DATOS_[[#This Row],[C.Extra.01]:[C.Extra.05]])</f>
        <v>0</v>
      </c>
      <c r="CG152" s="330">
        <f>+DATOS_[[#This Row],[TOTAL SALARIO Ef]]+DATOS_[[#This Row],[Tot Extrasalarial Ef]]</f>
        <v>9063.634</v>
      </c>
      <c r="CH152" s="303">
        <f>MIN(IF(DATOS_[[#This Row],[Fecha Fin Contrato]]="",$D$4,DATOS_[[#This Row],[Fecha Fin Contrato]]),$D$4)-MAX(DATOS_[[#This Row],[Fecha de Contratación]],$D$3)+1</f>
        <v>366</v>
      </c>
      <c r="CI152" s="304">
        <f>IF(COUNTIFS(DATOS_[id],DATOS_[[#This Row],[id]])&gt;1,DATOS_[[#This Row],[id]],"")</f>
        <v>138</v>
      </c>
      <c r="CJ152" s="325">
        <f>(Inicio!$G$10-DATOS_[[#This Row],[Fecha Nacimiento]])/365.25</f>
        <v>37.062286105407253</v>
      </c>
      <c r="CK152" s="325">
        <f>(Inicio!$G$10-DATOS_[[#This Row],[Fecha de Antigüedad]])/365.25</f>
        <v>26.291581108829568</v>
      </c>
      <c r="CL152" s="325" t="str">
        <f>+VLOOKUP(DATOS_[[#This Row],[Clave de Contrato]],TblTiposContrato13[],3,FALSE)</f>
        <v>Completa</v>
      </c>
      <c r="CM152" s="325" t="str">
        <f>+VLOOKUP(DATOS_[[#This Row],[Clave de Contrato]],TblTiposContrato13[],4,FALSE)</f>
        <v>Indefinido</v>
      </c>
      <c r="CN152" s="325" t="str">
        <f>VLOOKUP(DATOS_[[#This Row],[Edad]],CONTRATOS!TblRngEdad,2,TRUE)</f>
        <v>35 a 40</v>
      </c>
      <c r="CO152" s="325" t="str">
        <f>VLOOKUP(DATOS_[[#This Row],[Antigüedad]],TblRngAntg14[],2,TRUE)</f>
        <v>más de 15</v>
      </c>
    </row>
    <row r="153" spans="2:93" x14ac:dyDescent="0.25">
      <c r="B153" s="146">
        <v>139</v>
      </c>
      <c r="C153" s="146" t="s">
        <v>163</v>
      </c>
      <c r="D153" s="295">
        <v>28470</v>
      </c>
      <c r="E153" s="296" t="s">
        <v>427</v>
      </c>
      <c r="F153" s="296">
        <v>2</v>
      </c>
      <c r="G153" s="296">
        <v>1</v>
      </c>
      <c r="H153" s="297">
        <v>35469</v>
      </c>
      <c r="I153" s="298"/>
      <c r="J153" s="295">
        <v>35469</v>
      </c>
      <c r="K153" s="326"/>
      <c r="L153" s="326"/>
      <c r="M153" s="299">
        <v>1</v>
      </c>
      <c r="N153" s="299"/>
      <c r="O153" s="299"/>
      <c r="P153" s="296">
        <v>100</v>
      </c>
      <c r="Q153" s="146" t="s">
        <v>414</v>
      </c>
      <c r="R153" s="146" t="s">
        <v>415</v>
      </c>
      <c r="S153" s="146" t="s">
        <v>435</v>
      </c>
      <c r="T153" s="146" t="s">
        <v>407</v>
      </c>
      <c r="U153" s="146" t="s">
        <v>400</v>
      </c>
      <c r="V153" s="146" t="s">
        <v>436</v>
      </c>
      <c r="W153" s="146" t="s">
        <v>301</v>
      </c>
      <c r="X153" s="146" t="s">
        <v>309</v>
      </c>
      <c r="Y153" s="146" t="s">
        <v>409</v>
      </c>
      <c r="Z153" s="293"/>
      <c r="AA153" s="294" t="s">
        <v>434</v>
      </c>
      <c r="AB153" s="294">
        <v>8</v>
      </c>
      <c r="AC153" s="296">
        <v>5</v>
      </c>
      <c r="AD153" s="301">
        <v>14036.34</v>
      </c>
      <c r="AE153" s="301">
        <v>163.65999999999985</v>
      </c>
      <c r="AF153" s="301">
        <v>2807.268</v>
      </c>
      <c r="AG153" s="301">
        <v>960</v>
      </c>
      <c r="AH153" s="301"/>
      <c r="AI153" s="301"/>
      <c r="AJ153" s="301"/>
      <c r="AK153" s="301">
        <v>80</v>
      </c>
      <c r="AL153" s="301"/>
      <c r="AM153" s="301"/>
      <c r="AN153" s="301"/>
      <c r="AO153" s="301"/>
      <c r="AP153" s="301"/>
      <c r="AQ153" s="301"/>
      <c r="AR153" s="301"/>
      <c r="AS153" s="301"/>
      <c r="AT153" s="301"/>
      <c r="AU153" s="301"/>
      <c r="AV153" s="301"/>
      <c r="AW153" s="301"/>
      <c r="AX153" s="301"/>
      <c r="AY153" s="301"/>
      <c r="AZ153" s="301"/>
      <c r="BA153" s="301"/>
      <c r="BB153" s="301"/>
      <c r="BC153" s="301"/>
      <c r="BD153" s="301"/>
      <c r="BE153" s="301"/>
      <c r="BF153" s="301"/>
      <c r="BG153" s="301"/>
      <c r="BH153" s="301"/>
      <c r="BI153" s="301"/>
      <c r="BJ153" s="301"/>
      <c r="BK153" s="301"/>
      <c r="BL153" s="301"/>
      <c r="BM153" s="302"/>
      <c r="BN153" s="291">
        <f>+MAX($D$3,DATOS_[[#This Row],[Fecha Inicio Sit. Contract.]])</f>
        <v>45292</v>
      </c>
      <c r="BO153" s="291">
        <f>+MIN($D$4,DATOS_[[#This Row],[Fecha Fin Sit. Contract.]])</f>
        <v>45657</v>
      </c>
      <c r="BP153" s="292">
        <f>+DATOS_[[#This Row],[% de jornada]]*IF(DATOS_[[#This Row],[% jornada reducida]]="",1,DATOS_[[#This Row],[% jornada reducida]])</f>
        <v>1</v>
      </c>
      <c r="BQ153" s="292">
        <f>+(DATOS_[[#This Row],[F.fin.cal]]-DATOS_[[#This Row],[F.ini.cal]]+1)/($D$4-$D$3+1)</f>
        <v>1</v>
      </c>
      <c r="BR153" s="322" t="str">
        <f>IF(OR(AND(DATOS_[[#This Row],[Fecha Fin Contrato]]&lt;$D$3,DATOS_[[#This Row],[Fecha Fin Contrato]]&lt;&gt;""),DATOS_[[#This Row],[Fecha de Contratación]]&gt;$D$4),"Fuera","Dentro")</f>
        <v>Dentro</v>
      </c>
      <c r="BS153" s="322" t="str">
        <f t="array" ref="BS153">IF(MAX(IF(DATOS_[id]=DATOS_[[#This Row],[id]],DATOS_[F.fin.cal]))=DATOS_[[#This Row],[F.fin.cal]],"Sí","NO")</f>
        <v>Sí</v>
      </c>
      <c r="BT153" s="292" t="str">
        <f>IF(AND(DATOS_[[#This Row],[% normaliz]]&lt;&gt;1,DATOS_[[#This Row],[% anualiz]]=1),"Sí","NO")</f>
        <v>NO</v>
      </c>
      <c r="BU153" s="292" t="str">
        <f>IF(AND(DATOS_[[#This Row],[% normaliz]]=1,DATOS_[[#This Row],[% anualiz]]&lt;&gt;1),"Sí","NO")</f>
        <v>NO</v>
      </c>
      <c r="BV153" s="292" t="str">
        <f>IF(AND(DATOS_[[#This Row],[% normaliz]]&lt;&gt;1,DATOS_[[#This Row],[% anualiz]]&lt;&gt;1),"Sí","NO")</f>
        <v>NO</v>
      </c>
      <c r="BW153" s="322" t="str">
        <f>+IF(DATOS_[[#This Row],[% normaliz]]*DATOS_[[#This Row],[% anualiz]]=1,"NO","Sí")</f>
        <v>NO</v>
      </c>
      <c r="BX153" s="323">
        <f>(DATOS_[[#This Row],[S.BASE]]*(1/DATOS_[[#This Row],[% normaliz]])*(1/DATOS_[[#This Row],[% anualiz]]))*IF(DATOS_[[#This Row],[Check Equiparado]]="Sí",1,0)</f>
        <v>14036.34</v>
      </c>
      <c r="BY15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53" s="323">
        <f>+DATOS_[[#This Row],[SALARIO BASE Eq]]+DATOS_[[#This Row],[Tot COMPL.SAL Eq]]</f>
        <v>18047.268</v>
      </c>
      <c r="CA153" s="323">
        <f t="array" ref="CA1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3" s="323">
        <f>+DATOS_[[#This Row],[TOTAL SALARIO Eq]]+DATOS_[[#This Row],[Tot Extrasalarial Eq]]</f>
        <v>18047.268</v>
      </c>
      <c r="CC153" s="327">
        <f>DATOS_[[#This Row],[S.BASE]]</f>
        <v>14036.34</v>
      </c>
      <c r="CD153" s="324">
        <f>+SUM(DATOS_[[#This Row],[Conc.Sal.01]:[Conc.Sal.30]])</f>
        <v>4010.9279999999999</v>
      </c>
      <c r="CE153" s="324">
        <f>+DATOS_[[#This Row],[SALARIO BASE Ef]]+DATOS_[[#This Row],[Tot COMPL.SAL Ef]]</f>
        <v>18047.268</v>
      </c>
      <c r="CF153" s="324">
        <f>+SUM(DATOS_[[#This Row],[C.Extra.01]:[C.Extra.05]])</f>
        <v>0</v>
      </c>
      <c r="CG153" s="330">
        <f>+DATOS_[[#This Row],[TOTAL SALARIO Ef]]+DATOS_[[#This Row],[Tot Extrasalarial Ef]]</f>
        <v>18047.268</v>
      </c>
      <c r="CH153" s="303">
        <f>MIN(IF(DATOS_[[#This Row],[Fecha Fin Contrato]]="",$D$4,DATOS_[[#This Row],[Fecha Fin Contrato]]),$D$4)-MAX(DATOS_[[#This Row],[Fecha de Contratación]],$D$3)+1</f>
        <v>366</v>
      </c>
      <c r="CI153" s="304" t="str">
        <f>IF(COUNTIFS(DATOS_[id],DATOS_[[#This Row],[id]])&gt;1,DATOS_[[#This Row],[id]],"")</f>
        <v/>
      </c>
      <c r="CJ153" s="325">
        <f>(Inicio!$G$10-DATOS_[[#This Row],[Fecha Nacimiento]])/365.25</f>
        <v>47.055441478439427</v>
      </c>
      <c r="CK153" s="325">
        <f>(Inicio!$G$10-DATOS_[[#This Row],[Fecha de Antigüedad]])/365.25</f>
        <v>27.893223819301848</v>
      </c>
      <c r="CL153" s="325" t="str">
        <f>+VLOOKUP(DATOS_[[#This Row],[Clave de Contrato]],TblTiposContrato13[],3,FALSE)</f>
        <v>Completa</v>
      </c>
      <c r="CM153" s="325" t="str">
        <f>+VLOOKUP(DATOS_[[#This Row],[Clave de Contrato]],TblTiposContrato13[],4,FALSE)</f>
        <v>Indefinido</v>
      </c>
      <c r="CN153" s="325" t="str">
        <f>VLOOKUP(DATOS_[[#This Row],[Edad]],CONTRATOS!TblRngEdad,2,TRUE)</f>
        <v>45 a 50</v>
      </c>
      <c r="CO153" s="325" t="str">
        <f>VLOOKUP(DATOS_[[#This Row],[Antigüedad]],TblRngAntg14[],2,TRUE)</f>
        <v>más de 15</v>
      </c>
    </row>
    <row r="154" spans="2:93" x14ac:dyDescent="0.25">
      <c r="B154" s="146">
        <v>140</v>
      </c>
      <c r="C154" s="146" t="s">
        <v>162</v>
      </c>
      <c r="D154" s="295">
        <v>29565</v>
      </c>
      <c r="E154" s="296" t="s">
        <v>403</v>
      </c>
      <c r="F154" s="296">
        <v>2</v>
      </c>
      <c r="G154" s="296">
        <v>1</v>
      </c>
      <c r="H154" s="297">
        <v>38574</v>
      </c>
      <c r="I154" s="298"/>
      <c r="J154" s="295">
        <v>38574</v>
      </c>
      <c r="K154" s="326"/>
      <c r="L154" s="326"/>
      <c r="M154" s="299">
        <v>1</v>
      </c>
      <c r="N154" s="299"/>
      <c r="O154" s="299"/>
      <c r="P154" s="296">
        <v>100</v>
      </c>
      <c r="Q154" s="146" t="s">
        <v>412</v>
      </c>
      <c r="R154" s="146" t="s">
        <v>418</v>
      </c>
      <c r="S154" s="146" t="s">
        <v>435</v>
      </c>
      <c r="T154" s="146" t="s">
        <v>407</v>
      </c>
      <c r="U154" s="146" t="s">
        <v>400</v>
      </c>
      <c r="V154" s="146" t="s">
        <v>436</v>
      </c>
      <c r="W154" s="146" t="s">
        <v>301</v>
      </c>
      <c r="X154" s="146" t="s">
        <v>309</v>
      </c>
      <c r="Y154" s="146" t="s">
        <v>409</v>
      </c>
      <c r="Z154" s="293"/>
      <c r="AA154" s="294" t="s">
        <v>434</v>
      </c>
      <c r="AB154" s="294">
        <v>8</v>
      </c>
      <c r="AC154" s="296">
        <v>5</v>
      </c>
      <c r="AD154" s="301">
        <v>14036.34</v>
      </c>
      <c r="AE154" s="301">
        <v>163.65999999999985</v>
      </c>
      <c r="AF154" s="301">
        <v>1684.3607999999999</v>
      </c>
      <c r="AG154" s="301">
        <v>960</v>
      </c>
      <c r="AH154" s="301"/>
      <c r="AI154" s="301"/>
      <c r="AJ154" s="301"/>
      <c r="AK154" s="301">
        <v>80</v>
      </c>
      <c r="AL154" s="301"/>
      <c r="AM154" s="301"/>
      <c r="AN154" s="301"/>
      <c r="AO154" s="301"/>
      <c r="AP154" s="301"/>
      <c r="AQ154" s="301"/>
      <c r="AR154" s="301"/>
      <c r="AS154" s="301"/>
      <c r="AT154" s="301"/>
      <c r="AU154" s="301"/>
      <c r="AV154" s="301"/>
      <c r="AW154" s="301"/>
      <c r="AX154" s="301"/>
      <c r="AY154" s="301"/>
      <c r="AZ154" s="301"/>
      <c r="BA154" s="301"/>
      <c r="BB154" s="301"/>
      <c r="BC154" s="301"/>
      <c r="BD154" s="301"/>
      <c r="BE154" s="301"/>
      <c r="BF154" s="301"/>
      <c r="BG154" s="301"/>
      <c r="BH154" s="301"/>
      <c r="BI154" s="301"/>
      <c r="BJ154" s="301"/>
      <c r="BK154" s="301"/>
      <c r="BL154" s="301"/>
      <c r="BM154" s="302"/>
      <c r="BN154" s="291">
        <f>+MAX($D$3,DATOS_[[#This Row],[Fecha Inicio Sit. Contract.]])</f>
        <v>45292</v>
      </c>
      <c r="BO154" s="291">
        <f>+MIN($D$4,DATOS_[[#This Row],[Fecha Fin Sit. Contract.]])</f>
        <v>45657</v>
      </c>
      <c r="BP154" s="292">
        <f>+DATOS_[[#This Row],[% de jornada]]*IF(DATOS_[[#This Row],[% jornada reducida]]="",1,DATOS_[[#This Row],[% jornada reducida]])</f>
        <v>1</v>
      </c>
      <c r="BQ154" s="292">
        <f>+(DATOS_[[#This Row],[F.fin.cal]]-DATOS_[[#This Row],[F.ini.cal]]+1)/($D$4-$D$3+1)</f>
        <v>1</v>
      </c>
      <c r="BR154" s="322" t="str">
        <f>IF(OR(AND(DATOS_[[#This Row],[Fecha Fin Contrato]]&lt;$D$3,DATOS_[[#This Row],[Fecha Fin Contrato]]&lt;&gt;""),DATOS_[[#This Row],[Fecha de Contratación]]&gt;$D$4),"Fuera","Dentro")</f>
        <v>Dentro</v>
      </c>
      <c r="BS154" s="322" t="str">
        <f t="array" ref="BS154">IF(MAX(IF(DATOS_[id]=DATOS_[[#This Row],[id]],DATOS_[F.fin.cal]))=DATOS_[[#This Row],[F.fin.cal]],"Sí","NO")</f>
        <v>Sí</v>
      </c>
      <c r="BT154" s="292" t="str">
        <f>IF(AND(DATOS_[[#This Row],[% normaliz]]&lt;&gt;1,DATOS_[[#This Row],[% anualiz]]=1),"Sí","NO")</f>
        <v>NO</v>
      </c>
      <c r="BU154" s="292" t="str">
        <f>IF(AND(DATOS_[[#This Row],[% normaliz]]=1,DATOS_[[#This Row],[% anualiz]]&lt;&gt;1),"Sí","NO")</f>
        <v>NO</v>
      </c>
      <c r="BV154" s="292" t="str">
        <f>IF(AND(DATOS_[[#This Row],[% normaliz]]&lt;&gt;1,DATOS_[[#This Row],[% anualiz]]&lt;&gt;1),"Sí","NO")</f>
        <v>NO</v>
      </c>
      <c r="BW154" s="322" t="str">
        <f>+IF(DATOS_[[#This Row],[% normaliz]]*DATOS_[[#This Row],[% anualiz]]=1,"NO","Sí")</f>
        <v>NO</v>
      </c>
      <c r="BX154" s="323">
        <f>(DATOS_[[#This Row],[S.BASE]]*(1/DATOS_[[#This Row],[% normaliz]])*(1/DATOS_[[#This Row],[% anualiz]]))*IF(DATOS_[[#This Row],[Check Equiparado]]="Sí",1,0)</f>
        <v>14036.34</v>
      </c>
      <c r="BY15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54" s="323">
        <f>+DATOS_[[#This Row],[SALARIO BASE Eq]]+DATOS_[[#This Row],[Tot COMPL.SAL Eq]]</f>
        <v>16924.360799999999</v>
      </c>
      <c r="CA154" s="323">
        <f t="array" ref="CA1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4" s="323">
        <f>+DATOS_[[#This Row],[TOTAL SALARIO Eq]]+DATOS_[[#This Row],[Tot Extrasalarial Eq]]</f>
        <v>16924.360799999999</v>
      </c>
      <c r="CC154" s="327">
        <f>DATOS_[[#This Row],[S.BASE]]</f>
        <v>14036.34</v>
      </c>
      <c r="CD154" s="324">
        <f>+SUM(DATOS_[[#This Row],[Conc.Sal.01]:[Conc.Sal.30]])</f>
        <v>2888.0207999999998</v>
      </c>
      <c r="CE154" s="324">
        <f>+DATOS_[[#This Row],[SALARIO BASE Ef]]+DATOS_[[#This Row],[Tot COMPL.SAL Ef]]</f>
        <v>16924.360799999999</v>
      </c>
      <c r="CF154" s="324">
        <f>+SUM(DATOS_[[#This Row],[C.Extra.01]:[C.Extra.05]])</f>
        <v>0</v>
      </c>
      <c r="CG154" s="330">
        <f>+DATOS_[[#This Row],[TOTAL SALARIO Ef]]+DATOS_[[#This Row],[Tot Extrasalarial Ef]]</f>
        <v>16924.360799999999</v>
      </c>
      <c r="CH154" s="303">
        <f>MIN(IF(DATOS_[[#This Row],[Fecha Fin Contrato]]="",$D$4,DATOS_[[#This Row],[Fecha Fin Contrato]]),$D$4)-MAX(DATOS_[[#This Row],[Fecha de Contratación]],$D$3)+1</f>
        <v>366</v>
      </c>
      <c r="CI154" s="304" t="str">
        <f>IF(COUNTIFS(DATOS_[id],DATOS_[[#This Row],[id]])&gt;1,DATOS_[[#This Row],[id]],"")</f>
        <v/>
      </c>
      <c r="CJ154" s="325">
        <f>(Inicio!$G$10-DATOS_[[#This Row],[Fecha Nacimiento]])/365.25</f>
        <v>44.057494866529773</v>
      </c>
      <c r="CK154" s="325">
        <f>(Inicio!$G$10-DATOS_[[#This Row],[Fecha de Antigüedad]])/365.25</f>
        <v>19.392197125256672</v>
      </c>
      <c r="CL154" s="325" t="str">
        <f>+VLOOKUP(DATOS_[[#This Row],[Clave de Contrato]],TblTiposContrato13[],3,FALSE)</f>
        <v>Completa</v>
      </c>
      <c r="CM154" s="325" t="str">
        <f>+VLOOKUP(DATOS_[[#This Row],[Clave de Contrato]],TblTiposContrato13[],4,FALSE)</f>
        <v>Indefinido</v>
      </c>
      <c r="CN154" s="325" t="str">
        <f>VLOOKUP(DATOS_[[#This Row],[Edad]],CONTRATOS!TblRngEdad,2,TRUE)</f>
        <v>40 a 45</v>
      </c>
      <c r="CO154" s="325" t="str">
        <f>VLOOKUP(DATOS_[[#This Row],[Antigüedad]],TblRngAntg14[],2,TRUE)</f>
        <v>más de 15</v>
      </c>
    </row>
    <row r="155" spans="2:93" x14ac:dyDescent="0.25">
      <c r="B155" s="146">
        <v>141</v>
      </c>
      <c r="C155" s="146" t="s">
        <v>163</v>
      </c>
      <c r="D155" s="295">
        <v>27375</v>
      </c>
      <c r="E155" s="296" t="s">
        <v>403</v>
      </c>
      <c r="F155" s="296">
        <v>2</v>
      </c>
      <c r="G155" s="296">
        <v>1</v>
      </c>
      <c r="H155" s="297">
        <v>37186</v>
      </c>
      <c r="I155" s="298"/>
      <c r="J155" s="295">
        <v>37186</v>
      </c>
      <c r="K155" s="326"/>
      <c r="L155" s="326"/>
      <c r="M155" s="299">
        <v>1</v>
      </c>
      <c r="N155" s="299"/>
      <c r="O155" s="299"/>
      <c r="P155" s="296">
        <v>100</v>
      </c>
      <c r="Q155" s="146" t="s">
        <v>414</v>
      </c>
      <c r="R155" s="146" t="s">
        <v>415</v>
      </c>
      <c r="S155" s="146" t="s">
        <v>435</v>
      </c>
      <c r="T155" s="146" t="s">
        <v>407</v>
      </c>
      <c r="U155" s="146" t="s">
        <v>400</v>
      </c>
      <c r="V155" s="146" t="s">
        <v>436</v>
      </c>
      <c r="W155" s="146" t="s">
        <v>301</v>
      </c>
      <c r="X155" s="146" t="s">
        <v>309</v>
      </c>
      <c r="Y155" s="146" t="s">
        <v>409</v>
      </c>
      <c r="Z155" s="293"/>
      <c r="AA155" s="294" t="s">
        <v>434</v>
      </c>
      <c r="AB155" s="294">
        <v>8</v>
      </c>
      <c r="AC155" s="296">
        <v>5</v>
      </c>
      <c r="AD155" s="301">
        <v>14036.34</v>
      </c>
      <c r="AE155" s="301">
        <v>163.65999999999985</v>
      </c>
      <c r="AF155" s="301">
        <v>2245.8144000000002</v>
      </c>
      <c r="AG155" s="301">
        <v>960</v>
      </c>
      <c r="AH155" s="301"/>
      <c r="AI155" s="301"/>
      <c r="AJ155" s="301"/>
      <c r="AK155" s="301">
        <v>80</v>
      </c>
      <c r="AL155" s="301"/>
      <c r="AM155" s="301"/>
      <c r="AN155" s="301"/>
      <c r="AO155" s="301"/>
      <c r="AP155" s="301"/>
      <c r="AQ155" s="301"/>
      <c r="AR155" s="301"/>
      <c r="AS155" s="301"/>
      <c r="AT155" s="301"/>
      <c r="AU155" s="301"/>
      <c r="AV155" s="301"/>
      <c r="AW155" s="301"/>
      <c r="AX155" s="301"/>
      <c r="AY155" s="301"/>
      <c r="AZ155" s="301"/>
      <c r="BA155" s="301"/>
      <c r="BB155" s="301"/>
      <c r="BC155" s="301"/>
      <c r="BD155" s="301"/>
      <c r="BE155" s="301"/>
      <c r="BF155" s="301"/>
      <c r="BG155" s="301"/>
      <c r="BH155" s="301"/>
      <c r="BI155" s="301"/>
      <c r="BJ155" s="301"/>
      <c r="BK155" s="301"/>
      <c r="BL155" s="301"/>
      <c r="BM155" s="302"/>
      <c r="BN155" s="291">
        <f>+MAX($D$3,DATOS_[[#This Row],[Fecha Inicio Sit. Contract.]])</f>
        <v>45292</v>
      </c>
      <c r="BO155" s="291">
        <f>+MIN($D$4,DATOS_[[#This Row],[Fecha Fin Sit. Contract.]])</f>
        <v>45657</v>
      </c>
      <c r="BP155" s="292">
        <f>+DATOS_[[#This Row],[% de jornada]]*IF(DATOS_[[#This Row],[% jornada reducida]]="",1,DATOS_[[#This Row],[% jornada reducida]])</f>
        <v>1</v>
      </c>
      <c r="BQ155" s="292">
        <f>+(DATOS_[[#This Row],[F.fin.cal]]-DATOS_[[#This Row],[F.ini.cal]]+1)/($D$4-$D$3+1)</f>
        <v>1</v>
      </c>
      <c r="BR155" s="322" t="str">
        <f>IF(OR(AND(DATOS_[[#This Row],[Fecha Fin Contrato]]&lt;$D$3,DATOS_[[#This Row],[Fecha Fin Contrato]]&lt;&gt;""),DATOS_[[#This Row],[Fecha de Contratación]]&gt;$D$4),"Fuera","Dentro")</f>
        <v>Dentro</v>
      </c>
      <c r="BS155" s="322" t="str">
        <f t="array" ref="BS155">IF(MAX(IF(DATOS_[id]=DATOS_[[#This Row],[id]],DATOS_[F.fin.cal]))=DATOS_[[#This Row],[F.fin.cal]],"Sí","NO")</f>
        <v>Sí</v>
      </c>
      <c r="BT155" s="292" t="str">
        <f>IF(AND(DATOS_[[#This Row],[% normaliz]]&lt;&gt;1,DATOS_[[#This Row],[% anualiz]]=1),"Sí","NO")</f>
        <v>NO</v>
      </c>
      <c r="BU155" s="292" t="str">
        <f>IF(AND(DATOS_[[#This Row],[% normaliz]]=1,DATOS_[[#This Row],[% anualiz]]&lt;&gt;1),"Sí","NO")</f>
        <v>NO</v>
      </c>
      <c r="BV155" s="292" t="str">
        <f>IF(AND(DATOS_[[#This Row],[% normaliz]]&lt;&gt;1,DATOS_[[#This Row],[% anualiz]]&lt;&gt;1),"Sí","NO")</f>
        <v>NO</v>
      </c>
      <c r="BW155" s="322" t="str">
        <f>+IF(DATOS_[[#This Row],[% normaliz]]*DATOS_[[#This Row],[% anualiz]]=1,"NO","Sí")</f>
        <v>NO</v>
      </c>
      <c r="BX155" s="323">
        <f>(DATOS_[[#This Row],[S.BASE]]*(1/DATOS_[[#This Row],[% normaliz]])*(1/DATOS_[[#This Row],[% anualiz]]))*IF(DATOS_[[#This Row],[Check Equiparado]]="Sí",1,0)</f>
        <v>14036.34</v>
      </c>
      <c r="BY15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55" s="323">
        <f>+DATOS_[[#This Row],[SALARIO BASE Eq]]+DATOS_[[#This Row],[Tot COMPL.SAL Eq]]</f>
        <v>17485.814399999999</v>
      </c>
      <c r="CA155" s="323">
        <f t="array" ref="CA1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5" s="323">
        <f>+DATOS_[[#This Row],[TOTAL SALARIO Eq]]+DATOS_[[#This Row],[Tot Extrasalarial Eq]]</f>
        <v>17485.814399999999</v>
      </c>
      <c r="CC155" s="327">
        <f>DATOS_[[#This Row],[S.BASE]]</f>
        <v>14036.34</v>
      </c>
      <c r="CD155" s="324">
        <f>+SUM(DATOS_[[#This Row],[Conc.Sal.01]:[Conc.Sal.30]])</f>
        <v>3449.4744000000001</v>
      </c>
      <c r="CE155" s="324">
        <f>+DATOS_[[#This Row],[SALARIO BASE Ef]]+DATOS_[[#This Row],[Tot COMPL.SAL Ef]]</f>
        <v>17485.814399999999</v>
      </c>
      <c r="CF155" s="324">
        <f>+SUM(DATOS_[[#This Row],[C.Extra.01]:[C.Extra.05]])</f>
        <v>0</v>
      </c>
      <c r="CG155" s="330">
        <f>+DATOS_[[#This Row],[TOTAL SALARIO Ef]]+DATOS_[[#This Row],[Tot Extrasalarial Ef]]</f>
        <v>17485.814399999999</v>
      </c>
      <c r="CH155" s="303">
        <f>MIN(IF(DATOS_[[#This Row],[Fecha Fin Contrato]]="",$D$4,DATOS_[[#This Row],[Fecha Fin Contrato]]),$D$4)-MAX(DATOS_[[#This Row],[Fecha de Contratación]],$D$3)+1</f>
        <v>366</v>
      </c>
      <c r="CI155" s="304" t="str">
        <f>IF(COUNTIFS(DATOS_[id],DATOS_[[#This Row],[id]])&gt;1,DATOS_[[#This Row],[id]],"")</f>
        <v/>
      </c>
      <c r="CJ155" s="325">
        <f>(Inicio!$G$10-DATOS_[[#This Row],[Fecha Nacimiento]])/365.25</f>
        <v>50.053388090349074</v>
      </c>
      <c r="CK155" s="325">
        <f>(Inicio!$G$10-DATOS_[[#This Row],[Fecha de Antigüedad]])/365.25</f>
        <v>23.192334017796028</v>
      </c>
      <c r="CL155" s="325" t="str">
        <f>+VLOOKUP(DATOS_[[#This Row],[Clave de Contrato]],TblTiposContrato13[],3,FALSE)</f>
        <v>Completa</v>
      </c>
      <c r="CM155" s="325" t="str">
        <f>+VLOOKUP(DATOS_[[#This Row],[Clave de Contrato]],TblTiposContrato13[],4,FALSE)</f>
        <v>Indefinido</v>
      </c>
      <c r="CN155" s="325" t="str">
        <f>VLOOKUP(DATOS_[[#This Row],[Edad]],CONTRATOS!TblRngEdad,2,TRUE)</f>
        <v>50 a 55</v>
      </c>
      <c r="CO155" s="325" t="str">
        <f>VLOOKUP(DATOS_[[#This Row],[Antigüedad]],TblRngAntg14[],2,TRUE)</f>
        <v>más de 15</v>
      </c>
    </row>
    <row r="156" spans="2:93" x14ac:dyDescent="0.25">
      <c r="B156" s="146">
        <v>142</v>
      </c>
      <c r="C156" s="146" t="s">
        <v>162</v>
      </c>
      <c r="D156" s="295">
        <v>31755</v>
      </c>
      <c r="E156" s="296" t="s">
        <v>427</v>
      </c>
      <c r="F156" s="296">
        <v>3</v>
      </c>
      <c r="G156" s="296">
        <v>1</v>
      </c>
      <c r="H156" s="297">
        <v>36565</v>
      </c>
      <c r="I156" s="298"/>
      <c r="J156" s="295">
        <v>36565</v>
      </c>
      <c r="K156" s="326"/>
      <c r="L156" s="326"/>
      <c r="M156" s="299">
        <v>1</v>
      </c>
      <c r="N156" s="299"/>
      <c r="O156" s="299"/>
      <c r="P156" s="296">
        <v>100</v>
      </c>
      <c r="Q156" s="146" t="s">
        <v>431</v>
      </c>
      <c r="R156" s="146" t="s">
        <v>419</v>
      </c>
      <c r="S156" s="146" t="s">
        <v>435</v>
      </c>
      <c r="T156" s="146" t="s">
        <v>407</v>
      </c>
      <c r="U156" s="146" t="s">
        <v>400</v>
      </c>
      <c r="V156" s="146" t="s">
        <v>436</v>
      </c>
      <c r="W156" s="146" t="s">
        <v>301</v>
      </c>
      <c r="X156" s="146" t="s">
        <v>309</v>
      </c>
      <c r="Y156" s="146" t="s">
        <v>409</v>
      </c>
      <c r="Z156" s="293"/>
      <c r="AA156" s="294" t="s">
        <v>434</v>
      </c>
      <c r="AB156" s="294">
        <v>8</v>
      </c>
      <c r="AC156" s="296">
        <v>5</v>
      </c>
      <c r="AD156" s="301">
        <v>14036.34</v>
      </c>
      <c r="AE156" s="301">
        <v>163.65999999999985</v>
      </c>
      <c r="AF156" s="301">
        <v>2245.8144000000002</v>
      </c>
      <c r="AG156" s="301">
        <v>960</v>
      </c>
      <c r="AH156" s="301"/>
      <c r="AI156" s="301"/>
      <c r="AJ156" s="301"/>
      <c r="AK156" s="301">
        <v>80</v>
      </c>
      <c r="AL156" s="301"/>
      <c r="AM156" s="301"/>
      <c r="AN156" s="301"/>
      <c r="AO156" s="301"/>
      <c r="AP156" s="301"/>
      <c r="AQ156" s="301"/>
      <c r="AR156" s="301"/>
      <c r="AS156" s="301"/>
      <c r="AT156" s="301"/>
      <c r="AU156" s="301"/>
      <c r="AV156" s="301"/>
      <c r="AW156" s="301"/>
      <c r="AX156" s="301"/>
      <c r="AY156" s="301"/>
      <c r="AZ156" s="301"/>
      <c r="BA156" s="301"/>
      <c r="BB156" s="301"/>
      <c r="BC156" s="301"/>
      <c r="BD156" s="301"/>
      <c r="BE156" s="301"/>
      <c r="BF156" s="301"/>
      <c r="BG156" s="301"/>
      <c r="BH156" s="301"/>
      <c r="BI156" s="301"/>
      <c r="BJ156" s="301"/>
      <c r="BK156" s="301"/>
      <c r="BL156" s="301"/>
      <c r="BM156" s="302"/>
      <c r="BN156" s="291">
        <f>+MAX($D$3,DATOS_[[#This Row],[Fecha Inicio Sit. Contract.]])</f>
        <v>45292</v>
      </c>
      <c r="BO156" s="291">
        <f>+MIN($D$4,DATOS_[[#This Row],[Fecha Fin Sit. Contract.]])</f>
        <v>45657</v>
      </c>
      <c r="BP156" s="292">
        <f>+DATOS_[[#This Row],[% de jornada]]*IF(DATOS_[[#This Row],[% jornada reducida]]="",1,DATOS_[[#This Row],[% jornada reducida]])</f>
        <v>1</v>
      </c>
      <c r="BQ156" s="292">
        <f>+(DATOS_[[#This Row],[F.fin.cal]]-DATOS_[[#This Row],[F.ini.cal]]+1)/($D$4-$D$3+1)</f>
        <v>1</v>
      </c>
      <c r="BR156" s="322" t="str">
        <f>IF(OR(AND(DATOS_[[#This Row],[Fecha Fin Contrato]]&lt;$D$3,DATOS_[[#This Row],[Fecha Fin Contrato]]&lt;&gt;""),DATOS_[[#This Row],[Fecha de Contratación]]&gt;$D$4),"Fuera","Dentro")</f>
        <v>Dentro</v>
      </c>
      <c r="BS156" s="322" t="str">
        <f t="array" ref="BS156">IF(MAX(IF(DATOS_[id]=DATOS_[[#This Row],[id]],DATOS_[F.fin.cal]))=DATOS_[[#This Row],[F.fin.cal]],"Sí","NO")</f>
        <v>Sí</v>
      </c>
      <c r="BT156" s="292" t="str">
        <f>IF(AND(DATOS_[[#This Row],[% normaliz]]&lt;&gt;1,DATOS_[[#This Row],[% anualiz]]=1),"Sí","NO")</f>
        <v>NO</v>
      </c>
      <c r="BU156" s="292" t="str">
        <f>IF(AND(DATOS_[[#This Row],[% normaliz]]=1,DATOS_[[#This Row],[% anualiz]]&lt;&gt;1),"Sí","NO")</f>
        <v>NO</v>
      </c>
      <c r="BV156" s="292" t="str">
        <f>IF(AND(DATOS_[[#This Row],[% normaliz]]&lt;&gt;1,DATOS_[[#This Row],[% anualiz]]&lt;&gt;1),"Sí","NO")</f>
        <v>NO</v>
      </c>
      <c r="BW156" s="322" t="str">
        <f>+IF(DATOS_[[#This Row],[% normaliz]]*DATOS_[[#This Row],[% anualiz]]=1,"NO","Sí")</f>
        <v>NO</v>
      </c>
      <c r="BX156" s="323">
        <f>(DATOS_[[#This Row],[S.BASE]]*(1/DATOS_[[#This Row],[% normaliz]])*(1/DATOS_[[#This Row],[% anualiz]]))*IF(DATOS_[[#This Row],[Check Equiparado]]="Sí",1,0)</f>
        <v>14036.34</v>
      </c>
      <c r="BY15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56" s="323">
        <f>+DATOS_[[#This Row],[SALARIO BASE Eq]]+DATOS_[[#This Row],[Tot COMPL.SAL Eq]]</f>
        <v>17485.814399999999</v>
      </c>
      <c r="CA156" s="323">
        <f t="array" ref="CA1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6" s="323">
        <f>+DATOS_[[#This Row],[TOTAL SALARIO Eq]]+DATOS_[[#This Row],[Tot Extrasalarial Eq]]</f>
        <v>17485.814399999999</v>
      </c>
      <c r="CC156" s="327">
        <f>DATOS_[[#This Row],[S.BASE]]</f>
        <v>14036.34</v>
      </c>
      <c r="CD156" s="324">
        <f>+SUM(DATOS_[[#This Row],[Conc.Sal.01]:[Conc.Sal.30]])</f>
        <v>3449.4744000000001</v>
      </c>
      <c r="CE156" s="324">
        <f>+DATOS_[[#This Row],[SALARIO BASE Ef]]+DATOS_[[#This Row],[Tot COMPL.SAL Ef]]</f>
        <v>17485.814399999999</v>
      </c>
      <c r="CF156" s="324">
        <f>+SUM(DATOS_[[#This Row],[C.Extra.01]:[C.Extra.05]])</f>
        <v>0</v>
      </c>
      <c r="CG156" s="330">
        <f>+DATOS_[[#This Row],[TOTAL SALARIO Ef]]+DATOS_[[#This Row],[Tot Extrasalarial Ef]]</f>
        <v>17485.814399999999</v>
      </c>
      <c r="CH156" s="303">
        <f>MIN(IF(DATOS_[[#This Row],[Fecha Fin Contrato]]="",$D$4,DATOS_[[#This Row],[Fecha Fin Contrato]]),$D$4)-MAX(DATOS_[[#This Row],[Fecha de Contratación]],$D$3)+1</f>
        <v>366</v>
      </c>
      <c r="CI156" s="304" t="str">
        <f>IF(COUNTIFS(DATOS_[id],DATOS_[[#This Row],[id]])&gt;1,DATOS_[[#This Row],[id]],"")</f>
        <v/>
      </c>
      <c r="CJ156" s="325">
        <f>(Inicio!$G$10-DATOS_[[#This Row],[Fecha Nacimiento]])/365.25</f>
        <v>38.061601642710471</v>
      </c>
      <c r="CK156" s="325">
        <f>(Inicio!$G$10-DATOS_[[#This Row],[Fecha de Antigüedad]])/365.25</f>
        <v>24.892539356605067</v>
      </c>
      <c r="CL156" s="325" t="str">
        <f>+VLOOKUP(DATOS_[[#This Row],[Clave de Contrato]],TblTiposContrato13[],3,FALSE)</f>
        <v>Completa</v>
      </c>
      <c r="CM156" s="325" t="str">
        <f>+VLOOKUP(DATOS_[[#This Row],[Clave de Contrato]],TblTiposContrato13[],4,FALSE)</f>
        <v>Indefinido</v>
      </c>
      <c r="CN156" s="325" t="str">
        <f>VLOOKUP(DATOS_[[#This Row],[Edad]],CONTRATOS!TblRngEdad,2,TRUE)</f>
        <v>35 a 40</v>
      </c>
      <c r="CO156" s="325" t="str">
        <f>VLOOKUP(DATOS_[[#This Row],[Antigüedad]],TblRngAntg14[],2,TRUE)</f>
        <v>más de 15</v>
      </c>
    </row>
    <row r="157" spans="2:93" x14ac:dyDescent="0.25">
      <c r="B157" s="146">
        <v>143</v>
      </c>
      <c r="C157" s="146" t="s">
        <v>163</v>
      </c>
      <c r="D157" s="295">
        <v>31755</v>
      </c>
      <c r="E157" s="296" t="s">
        <v>403</v>
      </c>
      <c r="F157" s="296">
        <v>2</v>
      </c>
      <c r="G157" s="296">
        <v>1</v>
      </c>
      <c r="H157" s="297">
        <v>38464</v>
      </c>
      <c r="I157" s="298"/>
      <c r="J157" s="295">
        <v>38464</v>
      </c>
      <c r="K157" s="326"/>
      <c r="L157" s="326"/>
      <c r="M157" s="299">
        <v>1</v>
      </c>
      <c r="N157" s="299"/>
      <c r="O157" s="299"/>
      <c r="P157" s="296">
        <v>100</v>
      </c>
      <c r="Q157" s="146" t="s">
        <v>431</v>
      </c>
      <c r="R157" s="146" t="s">
        <v>419</v>
      </c>
      <c r="S157" s="146" t="s">
        <v>435</v>
      </c>
      <c r="T157" s="146" t="s">
        <v>407</v>
      </c>
      <c r="U157" s="146" t="s">
        <v>400</v>
      </c>
      <c r="V157" s="146" t="s">
        <v>436</v>
      </c>
      <c r="W157" s="146" t="s">
        <v>301</v>
      </c>
      <c r="X157" s="146" t="s">
        <v>309</v>
      </c>
      <c r="Y157" s="146" t="s">
        <v>409</v>
      </c>
      <c r="Z157" s="293"/>
      <c r="AA157" s="294" t="s">
        <v>434</v>
      </c>
      <c r="AB157" s="294">
        <v>8</v>
      </c>
      <c r="AC157" s="296">
        <v>5</v>
      </c>
      <c r="AD157" s="301">
        <v>14036.34</v>
      </c>
      <c r="AE157" s="301">
        <v>163.65999999999985</v>
      </c>
      <c r="AF157" s="301">
        <v>1684.3607999999999</v>
      </c>
      <c r="AG157" s="301">
        <v>960</v>
      </c>
      <c r="AH157" s="301"/>
      <c r="AI157" s="301"/>
      <c r="AJ157" s="301"/>
      <c r="AK157" s="301">
        <v>80</v>
      </c>
      <c r="AL157" s="301"/>
      <c r="AM157" s="301"/>
      <c r="AN157" s="301"/>
      <c r="AO157" s="301"/>
      <c r="AP157" s="301"/>
      <c r="AQ157" s="301"/>
      <c r="AR157" s="301"/>
      <c r="AS157" s="301"/>
      <c r="AT157" s="301"/>
      <c r="AU157" s="301"/>
      <c r="AV157" s="301"/>
      <c r="AW157" s="301"/>
      <c r="AX157" s="301"/>
      <c r="AY157" s="301"/>
      <c r="AZ157" s="301"/>
      <c r="BA157" s="301"/>
      <c r="BB157" s="301"/>
      <c r="BC157" s="301"/>
      <c r="BD157" s="301"/>
      <c r="BE157" s="301"/>
      <c r="BF157" s="301"/>
      <c r="BG157" s="301"/>
      <c r="BH157" s="301"/>
      <c r="BI157" s="301"/>
      <c r="BJ157" s="301"/>
      <c r="BK157" s="301"/>
      <c r="BL157" s="301"/>
      <c r="BM157" s="302"/>
      <c r="BN157" s="291">
        <f>+MAX($D$3,DATOS_[[#This Row],[Fecha Inicio Sit. Contract.]])</f>
        <v>45292</v>
      </c>
      <c r="BO157" s="291">
        <f>+MIN($D$4,DATOS_[[#This Row],[Fecha Fin Sit. Contract.]])</f>
        <v>45657</v>
      </c>
      <c r="BP157" s="292">
        <f>+DATOS_[[#This Row],[% de jornada]]*IF(DATOS_[[#This Row],[% jornada reducida]]="",1,DATOS_[[#This Row],[% jornada reducida]])</f>
        <v>1</v>
      </c>
      <c r="BQ157" s="292">
        <f>+(DATOS_[[#This Row],[F.fin.cal]]-DATOS_[[#This Row],[F.ini.cal]]+1)/($D$4-$D$3+1)</f>
        <v>1</v>
      </c>
      <c r="BR157" s="322" t="str">
        <f>IF(OR(AND(DATOS_[[#This Row],[Fecha Fin Contrato]]&lt;$D$3,DATOS_[[#This Row],[Fecha Fin Contrato]]&lt;&gt;""),DATOS_[[#This Row],[Fecha de Contratación]]&gt;$D$4),"Fuera","Dentro")</f>
        <v>Dentro</v>
      </c>
      <c r="BS157" s="322" t="str">
        <f t="array" ref="BS157">IF(MAX(IF(DATOS_[id]=DATOS_[[#This Row],[id]],DATOS_[F.fin.cal]))=DATOS_[[#This Row],[F.fin.cal]],"Sí","NO")</f>
        <v>Sí</v>
      </c>
      <c r="BT157" s="292" t="str">
        <f>IF(AND(DATOS_[[#This Row],[% normaliz]]&lt;&gt;1,DATOS_[[#This Row],[% anualiz]]=1),"Sí","NO")</f>
        <v>NO</v>
      </c>
      <c r="BU157" s="292" t="str">
        <f>IF(AND(DATOS_[[#This Row],[% normaliz]]=1,DATOS_[[#This Row],[% anualiz]]&lt;&gt;1),"Sí","NO")</f>
        <v>NO</v>
      </c>
      <c r="BV157" s="292" t="str">
        <f>IF(AND(DATOS_[[#This Row],[% normaliz]]&lt;&gt;1,DATOS_[[#This Row],[% anualiz]]&lt;&gt;1),"Sí","NO")</f>
        <v>NO</v>
      </c>
      <c r="BW157" s="322" t="str">
        <f>+IF(DATOS_[[#This Row],[% normaliz]]*DATOS_[[#This Row],[% anualiz]]=1,"NO","Sí")</f>
        <v>NO</v>
      </c>
      <c r="BX157" s="323">
        <f>(DATOS_[[#This Row],[S.BASE]]*(1/DATOS_[[#This Row],[% normaliz]])*(1/DATOS_[[#This Row],[% anualiz]]))*IF(DATOS_[[#This Row],[Check Equiparado]]="Sí",1,0)</f>
        <v>14036.34</v>
      </c>
      <c r="BY15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57" s="323">
        <f>+DATOS_[[#This Row],[SALARIO BASE Eq]]+DATOS_[[#This Row],[Tot COMPL.SAL Eq]]</f>
        <v>16924.360799999999</v>
      </c>
      <c r="CA157" s="323">
        <f t="array" ref="CA1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7" s="323">
        <f>+DATOS_[[#This Row],[TOTAL SALARIO Eq]]+DATOS_[[#This Row],[Tot Extrasalarial Eq]]</f>
        <v>16924.360799999999</v>
      </c>
      <c r="CC157" s="327">
        <f>DATOS_[[#This Row],[S.BASE]]</f>
        <v>14036.34</v>
      </c>
      <c r="CD157" s="324">
        <f>+SUM(DATOS_[[#This Row],[Conc.Sal.01]:[Conc.Sal.30]])</f>
        <v>2888.0207999999998</v>
      </c>
      <c r="CE157" s="324">
        <f>+DATOS_[[#This Row],[SALARIO BASE Ef]]+DATOS_[[#This Row],[Tot COMPL.SAL Ef]]</f>
        <v>16924.360799999999</v>
      </c>
      <c r="CF157" s="324">
        <f>+SUM(DATOS_[[#This Row],[C.Extra.01]:[C.Extra.05]])</f>
        <v>0</v>
      </c>
      <c r="CG157" s="330">
        <f>+DATOS_[[#This Row],[TOTAL SALARIO Ef]]+DATOS_[[#This Row],[Tot Extrasalarial Ef]]</f>
        <v>16924.360799999999</v>
      </c>
      <c r="CH157" s="303">
        <f>MIN(IF(DATOS_[[#This Row],[Fecha Fin Contrato]]="",$D$4,DATOS_[[#This Row],[Fecha Fin Contrato]]),$D$4)-MAX(DATOS_[[#This Row],[Fecha de Contratación]],$D$3)+1</f>
        <v>366</v>
      </c>
      <c r="CI157" s="304" t="str">
        <f>IF(COUNTIFS(DATOS_[id],DATOS_[[#This Row],[id]])&gt;1,DATOS_[[#This Row],[id]],"")</f>
        <v/>
      </c>
      <c r="CJ157" s="325">
        <f>(Inicio!$G$10-DATOS_[[#This Row],[Fecha Nacimiento]])/365.25</f>
        <v>38.061601642710471</v>
      </c>
      <c r="CK157" s="325">
        <f>(Inicio!$G$10-DATOS_[[#This Row],[Fecha de Antigüedad]])/365.25</f>
        <v>19.693360711841205</v>
      </c>
      <c r="CL157" s="325" t="str">
        <f>+VLOOKUP(DATOS_[[#This Row],[Clave de Contrato]],TblTiposContrato13[],3,FALSE)</f>
        <v>Completa</v>
      </c>
      <c r="CM157" s="325" t="str">
        <f>+VLOOKUP(DATOS_[[#This Row],[Clave de Contrato]],TblTiposContrato13[],4,FALSE)</f>
        <v>Indefinido</v>
      </c>
      <c r="CN157" s="325" t="str">
        <f>VLOOKUP(DATOS_[[#This Row],[Edad]],CONTRATOS!TblRngEdad,2,TRUE)</f>
        <v>35 a 40</v>
      </c>
      <c r="CO157" s="325" t="str">
        <f>VLOOKUP(DATOS_[[#This Row],[Antigüedad]],TblRngAntg14[],2,TRUE)</f>
        <v>más de 15</v>
      </c>
    </row>
    <row r="158" spans="2:93" x14ac:dyDescent="0.25">
      <c r="B158" s="146">
        <v>144</v>
      </c>
      <c r="C158" s="146" t="s">
        <v>162</v>
      </c>
      <c r="D158" s="295">
        <v>31025</v>
      </c>
      <c r="E158" s="296" t="s">
        <v>427</v>
      </c>
      <c r="F158" s="296">
        <v>3</v>
      </c>
      <c r="G158" s="296">
        <v>1</v>
      </c>
      <c r="H158" s="297">
        <v>37515</v>
      </c>
      <c r="I158" s="298"/>
      <c r="J158" s="295">
        <v>37515</v>
      </c>
      <c r="K158" s="326"/>
      <c r="L158" s="326"/>
      <c r="M158" s="299">
        <v>1</v>
      </c>
      <c r="N158" s="299"/>
      <c r="O158" s="299"/>
      <c r="P158" s="296">
        <v>100</v>
      </c>
      <c r="Q158" s="146" t="s">
        <v>414</v>
      </c>
      <c r="R158" s="146" t="s">
        <v>415</v>
      </c>
      <c r="S158" s="146" t="s">
        <v>435</v>
      </c>
      <c r="T158" s="146" t="s">
        <v>407</v>
      </c>
      <c r="U158" s="146" t="s">
        <v>400</v>
      </c>
      <c r="V158" s="146" t="s">
        <v>436</v>
      </c>
      <c r="W158" s="146" t="s">
        <v>301</v>
      </c>
      <c r="X158" s="146" t="s">
        <v>309</v>
      </c>
      <c r="Y158" s="146" t="s">
        <v>409</v>
      </c>
      <c r="Z158" s="293"/>
      <c r="AA158" s="294" t="s">
        <v>434</v>
      </c>
      <c r="AB158" s="294">
        <v>8</v>
      </c>
      <c r="AC158" s="296">
        <v>5</v>
      </c>
      <c r="AD158" s="301">
        <v>14036.34</v>
      </c>
      <c r="AE158" s="301">
        <v>163.65999999999985</v>
      </c>
      <c r="AF158" s="301">
        <v>2245.8144000000002</v>
      </c>
      <c r="AG158" s="301">
        <v>960</v>
      </c>
      <c r="AH158" s="301"/>
      <c r="AI158" s="301"/>
      <c r="AJ158" s="301"/>
      <c r="AK158" s="301">
        <v>80</v>
      </c>
      <c r="AL158" s="301"/>
      <c r="AM158" s="301"/>
      <c r="AN158" s="301"/>
      <c r="AO158" s="301"/>
      <c r="AP158" s="301"/>
      <c r="AQ158" s="301"/>
      <c r="AR158" s="301"/>
      <c r="AS158" s="301"/>
      <c r="AT158" s="301"/>
      <c r="AU158" s="301"/>
      <c r="AV158" s="301"/>
      <c r="AW158" s="301"/>
      <c r="AX158" s="301"/>
      <c r="AY158" s="301"/>
      <c r="AZ158" s="301"/>
      <c r="BA158" s="301"/>
      <c r="BB158" s="301"/>
      <c r="BC158" s="301"/>
      <c r="BD158" s="301"/>
      <c r="BE158" s="301"/>
      <c r="BF158" s="301"/>
      <c r="BG158" s="301"/>
      <c r="BH158" s="301"/>
      <c r="BI158" s="301"/>
      <c r="BJ158" s="301"/>
      <c r="BK158" s="301"/>
      <c r="BL158" s="301"/>
      <c r="BM158" s="302"/>
      <c r="BN158" s="291">
        <f>+MAX($D$3,DATOS_[[#This Row],[Fecha Inicio Sit. Contract.]])</f>
        <v>45292</v>
      </c>
      <c r="BO158" s="291">
        <f>+MIN($D$4,DATOS_[[#This Row],[Fecha Fin Sit. Contract.]])</f>
        <v>45657</v>
      </c>
      <c r="BP158" s="292">
        <f>+DATOS_[[#This Row],[% de jornada]]*IF(DATOS_[[#This Row],[% jornada reducida]]="",1,DATOS_[[#This Row],[% jornada reducida]])</f>
        <v>1</v>
      </c>
      <c r="BQ158" s="292">
        <f>+(DATOS_[[#This Row],[F.fin.cal]]-DATOS_[[#This Row],[F.ini.cal]]+1)/($D$4-$D$3+1)</f>
        <v>1</v>
      </c>
      <c r="BR158" s="322" t="str">
        <f>IF(OR(AND(DATOS_[[#This Row],[Fecha Fin Contrato]]&lt;$D$3,DATOS_[[#This Row],[Fecha Fin Contrato]]&lt;&gt;""),DATOS_[[#This Row],[Fecha de Contratación]]&gt;$D$4),"Fuera","Dentro")</f>
        <v>Dentro</v>
      </c>
      <c r="BS158" s="322" t="str">
        <f t="array" ref="BS158">IF(MAX(IF(DATOS_[id]=DATOS_[[#This Row],[id]],DATOS_[F.fin.cal]))=DATOS_[[#This Row],[F.fin.cal]],"Sí","NO")</f>
        <v>Sí</v>
      </c>
      <c r="BT158" s="292" t="str">
        <f>IF(AND(DATOS_[[#This Row],[% normaliz]]&lt;&gt;1,DATOS_[[#This Row],[% anualiz]]=1),"Sí","NO")</f>
        <v>NO</v>
      </c>
      <c r="BU158" s="292" t="str">
        <f>IF(AND(DATOS_[[#This Row],[% normaliz]]=1,DATOS_[[#This Row],[% anualiz]]&lt;&gt;1),"Sí","NO")</f>
        <v>NO</v>
      </c>
      <c r="BV158" s="292" t="str">
        <f>IF(AND(DATOS_[[#This Row],[% normaliz]]&lt;&gt;1,DATOS_[[#This Row],[% anualiz]]&lt;&gt;1),"Sí","NO")</f>
        <v>NO</v>
      </c>
      <c r="BW158" s="322" t="str">
        <f>+IF(DATOS_[[#This Row],[% normaliz]]*DATOS_[[#This Row],[% anualiz]]=1,"NO","Sí")</f>
        <v>NO</v>
      </c>
      <c r="BX158" s="323">
        <f>(DATOS_[[#This Row],[S.BASE]]*(1/DATOS_[[#This Row],[% normaliz]])*(1/DATOS_[[#This Row],[% anualiz]]))*IF(DATOS_[[#This Row],[Check Equiparado]]="Sí",1,0)</f>
        <v>14036.34</v>
      </c>
      <c r="BY15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58" s="323">
        <f>+DATOS_[[#This Row],[SALARIO BASE Eq]]+DATOS_[[#This Row],[Tot COMPL.SAL Eq]]</f>
        <v>17485.814399999999</v>
      </c>
      <c r="CA158" s="323">
        <f t="array" ref="CA1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8" s="323">
        <f>+DATOS_[[#This Row],[TOTAL SALARIO Eq]]+DATOS_[[#This Row],[Tot Extrasalarial Eq]]</f>
        <v>17485.814399999999</v>
      </c>
      <c r="CC158" s="327">
        <f>DATOS_[[#This Row],[S.BASE]]</f>
        <v>14036.34</v>
      </c>
      <c r="CD158" s="324">
        <f>+SUM(DATOS_[[#This Row],[Conc.Sal.01]:[Conc.Sal.30]])</f>
        <v>3449.4744000000001</v>
      </c>
      <c r="CE158" s="324">
        <f>+DATOS_[[#This Row],[SALARIO BASE Ef]]+DATOS_[[#This Row],[Tot COMPL.SAL Ef]]</f>
        <v>17485.814399999999</v>
      </c>
      <c r="CF158" s="324">
        <f>+SUM(DATOS_[[#This Row],[C.Extra.01]:[C.Extra.05]])</f>
        <v>0</v>
      </c>
      <c r="CG158" s="330">
        <f>+DATOS_[[#This Row],[TOTAL SALARIO Ef]]+DATOS_[[#This Row],[Tot Extrasalarial Ef]]</f>
        <v>17485.814399999999</v>
      </c>
      <c r="CH158" s="303">
        <f>MIN(IF(DATOS_[[#This Row],[Fecha Fin Contrato]]="",$D$4,DATOS_[[#This Row],[Fecha Fin Contrato]]),$D$4)-MAX(DATOS_[[#This Row],[Fecha de Contratación]],$D$3)+1</f>
        <v>366</v>
      </c>
      <c r="CI158" s="304" t="str">
        <f>IF(COUNTIFS(DATOS_[id],DATOS_[[#This Row],[id]])&gt;1,DATOS_[[#This Row],[id]],"")</f>
        <v/>
      </c>
      <c r="CJ158" s="325">
        <f>(Inicio!$G$10-DATOS_[[#This Row],[Fecha Nacimiento]])/365.25</f>
        <v>40.060232717316907</v>
      </c>
      <c r="CK158" s="325">
        <f>(Inicio!$G$10-DATOS_[[#This Row],[Fecha de Antigüedad]])/365.25</f>
        <v>22.291581108829568</v>
      </c>
      <c r="CL158" s="325" t="str">
        <f>+VLOOKUP(DATOS_[[#This Row],[Clave de Contrato]],TblTiposContrato13[],3,FALSE)</f>
        <v>Completa</v>
      </c>
      <c r="CM158" s="325" t="str">
        <f>+VLOOKUP(DATOS_[[#This Row],[Clave de Contrato]],TblTiposContrato13[],4,FALSE)</f>
        <v>Indefinido</v>
      </c>
      <c r="CN158" s="325" t="str">
        <f>VLOOKUP(DATOS_[[#This Row],[Edad]],CONTRATOS!TblRngEdad,2,TRUE)</f>
        <v>40 a 45</v>
      </c>
      <c r="CO158" s="325" t="str">
        <f>VLOOKUP(DATOS_[[#This Row],[Antigüedad]],TblRngAntg14[],2,TRUE)</f>
        <v>más de 15</v>
      </c>
    </row>
    <row r="159" spans="2:93" x14ac:dyDescent="0.25">
      <c r="B159" s="146">
        <v>145</v>
      </c>
      <c r="C159" s="146" t="s">
        <v>163</v>
      </c>
      <c r="D159" s="295">
        <v>33580</v>
      </c>
      <c r="E159" s="296" t="s">
        <v>403</v>
      </c>
      <c r="F159" s="296">
        <v>3</v>
      </c>
      <c r="G159" s="296">
        <v>2</v>
      </c>
      <c r="H159" s="297">
        <v>43869</v>
      </c>
      <c r="I159" s="298"/>
      <c r="J159" s="295">
        <v>43869</v>
      </c>
      <c r="K159" s="326"/>
      <c r="L159" s="326"/>
      <c r="M159" s="299">
        <v>1</v>
      </c>
      <c r="N159" s="299"/>
      <c r="O159" s="299"/>
      <c r="P159" s="296">
        <v>100</v>
      </c>
      <c r="Q159" s="146" t="s">
        <v>412</v>
      </c>
      <c r="R159" s="146" t="s">
        <v>418</v>
      </c>
      <c r="S159" s="146" t="s">
        <v>435</v>
      </c>
      <c r="T159" s="146" t="s">
        <v>407</v>
      </c>
      <c r="U159" s="146" t="s">
        <v>400</v>
      </c>
      <c r="V159" s="146" t="s">
        <v>436</v>
      </c>
      <c r="W159" s="146" t="s">
        <v>301</v>
      </c>
      <c r="X159" s="146" t="s">
        <v>309</v>
      </c>
      <c r="Y159" s="146" t="s">
        <v>409</v>
      </c>
      <c r="Z159" s="293"/>
      <c r="AA159" s="294" t="s">
        <v>434</v>
      </c>
      <c r="AB159" s="294">
        <v>8</v>
      </c>
      <c r="AC159" s="296">
        <v>5</v>
      </c>
      <c r="AD159" s="301">
        <v>14036.34</v>
      </c>
      <c r="AE159" s="301">
        <v>163.65999999999985</v>
      </c>
      <c r="AF159" s="301"/>
      <c r="AG159" s="301">
        <v>960</v>
      </c>
      <c r="AH159" s="301"/>
      <c r="AI159" s="301"/>
      <c r="AJ159" s="301"/>
      <c r="AK159" s="301">
        <v>80</v>
      </c>
      <c r="AL159" s="301"/>
      <c r="AM159" s="301"/>
      <c r="AN159" s="301"/>
      <c r="AO159" s="301"/>
      <c r="AP159" s="301"/>
      <c r="AQ159" s="301"/>
      <c r="AR159" s="301"/>
      <c r="AS159" s="301"/>
      <c r="AT159" s="301"/>
      <c r="AU159" s="301"/>
      <c r="AV159" s="301"/>
      <c r="AW159" s="301"/>
      <c r="AX159" s="301"/>
      <c r="AY159" s="301"/>
      <c r="AZ159" s="301"/>
      <c r="BA159" s="301"/>
      <c r="BB159" s="301"/>
      <c r="BC159" s="301"/>
      <c r="BD159" s="301"/>
      <c r="BE159" s="301"/>
      <c r="BF159" s="301"/>
      <c r="BG159" s="301"/>
      <c r="BH159" s="301"/>
      <c r="BI159" s="301"/>
      <c r="BJ159" s="301"/>
      <c r="BK159" s="301"/>
      <c r="BL159" s="301"/>
      <c r="BM159" s="302"/>
      <c r="BN159" s="291">
        <f>+MAX($D$3,DATOS_[[#This Row],[Fecha Inicio Sit. Contract.]])</f>
        <v>45292</v>
      </c>
      <c r="BO159" s="291">
        <f>+MIN($D$4,DATOS_[[#This Row],[Fecha Fin Sit. Contract.]])</f>
        <v>45657</v>
      </c>
      <c r="BP159" s="292">
        <f>+DATOS_[[#This Row],[% de jornada]]*IF(DATOS_[[#This Row],[% jornada reducida]]="",1,DATOS_[[#This Row],[% jornada reducida]])</f>
        <v>1</v>
      </c>
      <c r="BQ159" s="292">
        <f>+(DATOS_[[#This Row],[F.fin.cal]]-DATOS_[[#This Row],[F.ini.cal]]+1)/($D$4-$D$3+1)</f>
        <v>1</v>
      </c>
      <c r="BR159" s="322" t="str">
        <f>IF(OR(AND(DATOS_[[#This Row],[Fecha Fin Contrato]]&lt;$D$3,DATOS_[[#This Row],[Fecha Fin Contrato]]&lt;&gt;""),DATOS_[[#This Row],[Fecha de Contratación]]&gt;$D$4),"Fuera","Dentro")</f>
        <v>Dentro</v>
      </c>
      <c r="BS159" s="322" t="str">
        <f t="array" ref="BS159">IF(MAX(IF(DATOS_[id]=DATOS_[[#This Row],[id]],DATOS_[F.fin.cal]))=DATOS_[[#This Row],[F.fin.cal]],"Sí","NO")</f>
        <v>Sí</v>
      </c>
      <c r="BT159" s="292" t="str">
        <f>IF(AND(DATOS_[[#This Row],[% normaliz]]&lt;&gt;1,DATOS_[[#This Row],[% anualiz]]=1),"Sí","NO")</f>
        <v>NO</v>
      </c>
      <c r="BU159" s="292" t="str">
        <f>IF(AND(DATOS_[[#This Row],[% normaliz]]=1,DATOS_[[#This Row],[% anualiz]]&lt;&gt;1),"Sí","NO")</f>
        <v>NO</v>
      </c>
      <c r="BV159" s="292" t="str">
        <f>IF(AND(DATOS_[[#This Row],[% normaliz]]&lt;&gt;1,DATOS_[[#This Row],[% anualiz]]&lt;&gt;1),"Sí","NO")</f>
        <v>NO</v>
      </c>
      <c r="BW159" s="322" t="str">
        <f>+IF(DATOS_[[#This Row],[% normaliz]]*DATOS_[[#This Row],[% anualiz]]=1,"NO","Sí")</f>
        <v>NO</v>
      </c>
      <c r="BX159" s="323">
        <f>(DATOS_[[#This Row],[S.BASE]]*(1/DATOS_[[#This Row],[% normaliz]])*(1/DATOS_[[#This Row],[% anualiz]]))*IF(DATOS_[[#This Row],[Check Equiparado]]="Sí",1,0)</f>
        <v>14036.34</v>
      </c>
      <c r="BY15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1203.6599999999999</v>
      </c>
      <c r="BZ159" s="323">
        <f>+DATOS_[[#This Row],[SALARIO BASE Eq]]+DATOS_[[#This Row],[Tot COMPL.SAL Eq]]</f>
        <v>15240</v>
      </c>
      <c r="CA159" s="323">
        <f t="array" ref="CA1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9" s="323">
        <f>+DATOS_[[#This Row],[TOTAL SALARIO Eq]]+DATOS_[[#This Row],[Tot Extrasalarial Eq]]</f>
        <v>15240</v>
      </c>
      <c r="CC159" s="327">
        <f>DATOS_[[#This Row],[S.BASE]]</f>
        <v>14036.34</v>
      </c>
      <c r="CD159" s="324">
        <f>+SUM(DATOS_[[#This Row],[Conc.Sal.01]:[Conc.Sal.30]])</f>
        <v>1203.6599999999999</v>
      </c>
      <c r="CE159" s="324">
        <f>+DATOS_[[#This Row],[SALARIO BASE Ef]]+DATOS_[[#This Row],[Tot COMPL.SAL Ef]]</f>
        <v>15240</v>
      </c>
      <c r="CF159" s="324">
        <f>+SUM(DATOS_[[#This Row],[C.Extra.01]:[C.Extra.05]])</f>
        <v>0</v>
      </c>
      <c r="CG159" s="330">
        <f>+DATOS_[[#This Row],[TOTAL SALARIO Ef]]+DATOS_[[#This Row],[Tot Extrasalarial Ef]]</f>
        <v>15240</v>
      </c>
      <c r="CH159" s="303">
        <f>MIN(IF(DATOS_[[#This Row],[Fecha Fin Contrato]]="",$D$4,DATOS_[[#This Row],[Fecha Fin Contrato]]),$D$4)-MAX(DATOS_[[#This Row],[Fecha de Contratación]],$D$3)+1</f>
        <v>366</v>
      </c>
      <c r="CI159" s="304" t="str">
        <f>IF(COUNTIFS(DATOS_[id],DATOS_[[#This Row],[id]])&gt;1,DATOS_[[#This Row],[id]],"")</f>
        <v/>
      </c>
      <c r="CJ159" s="325">
        <f>(Inicio!$G$10-DATOS_[[#This Row],[Fecha Nacimiento]])/365.25</f>
        <v>33.065023956194388</v>
      </c>
      <c r="CK159" s="325">
        <f>(Inicio!$G$10-DATOS_[[#This Row],[Fecha de Antigüedad]])/365.25</f>
        <v>4.8952772073921968</v>
      </c>
      <c r="CL159" s="325" t="str">
        <f>+VLOOKUP(DATOS_[[#This Row],[Clave de Contrato]],TblTiposContrato13[],3,FALSE)</f>
        <v>Completa</v>
      </c>
      <c r="CM159" s="325" t="str">
        <f>+VLOOKUP(DATOS_[[#This Row],[Clave de Contrato]],TblTiposContrato13[],4,FALSE)</f>
        <v>Indefinido</v>
      </c>
      <c r="CN159" s="325" t="str">
        <f>VLOOKUP(DATOS_[[#This Row],[Edad]],CONTRATOS!TblRngEdad,2,TRUE)</f>
        <v>30 a 35</v>
      </c>
      <c r="CO159" s="325" t="str">
        <f>VLOOKUP(DATOS_[[#This Row],[Antigüedad]],TblRngAntg14[],2,TRUE)</f>
        <v>3 a 5  años</v>
      </c>
    </row>
    <row r="160" spans="2:93" x14ac:dyDescent="0.25">
      <c r="B160" s="146">
        <v>146</v>
      </c>
      <c r="C160" s="146" t="s">
        <v>162</v>
      </c>
      <c r="D160" s="295">
        <v>27375</v>
      </c>
      <c r="E160" s="296" t="s">
        <v>427</v>
      </c>
      <c r="F160" s="296">
        <v>2</v>
      </c>
      <c r="G160" s="296">
        <v>2</v>
      </c>
      <c r="H160" s="297">
        <v>35944</v>
      </c>
      <c r="I160" s="298"/>
      <c r="J160" s="295">
        <v>35944</v>
      </c>
      <c r="K160" s="326"/>
      <c r="L160" s="326"/>
      <c r="M160" s="299">
        <v>1</v>
      </c>
      <c r="N160" s="299"/>
      <c r="O160" s="299"/>
      <c r="P160" s="296">
        <v>100</v>
      </c>
      <c r="Q160" s="146" t="s">
        <v>414</v>
      </c>
      <c r="R160" s="146" t="s">
        <v>415</v>
      </c>
      <c r="S160" s="146" t="s">
        <v>435</v>
      </c>
      <c r="T160" s="146" t="s">
        <v>407</v>
      </c>
      <c r="U160" s="146" t="s">
        <v>400</v>
      </c>
      <c r="V160" s="146" t="s">
        <v>436</v>
      </c>
      <c r="W160" s="146" t="s">
        <v>301</v>
      </c>
      <c r="X160" s="146" t="s">
        <v>309</v>
      </c>
      <c r="Y160" s="146" t="s">
        <v>409</v>
      </c>
      <c r="Z160" s="293"/>
      <c r="AA160" s="294" t="s">
        <v>434</v>
      </c>
      <c r="AB160" s="294">
        <v>8</v>
      </c>
      <c r="AC160" s="296">
        <v>5</v>
      </c>
      <c r="AD160" s="301">
        <v>14036.34</v>
      </c>
      <c r="AE160" s="301">
        <v>163.65999999999985</v>
      </c>
      <c r="AF160" s="301">
        <v>2807.268</v>
      </c>
      <c r="AG160" s="301">
        <v>960</v>
      </c>
      <c r="AH160" s="301"/>
      <c r="AI160" s="301"/>
      <c r="AJ160" s="301"/>
      <c r="AK160" s="301">
        <v>80</v>
      </c>
      <c r="AL160" s="301"/>
      <c r="AM160" s="301"/>
      <c r="AN160" s="301"/>
      <c r="AO160" s="301"/>
      <c r="AP160" s="301"/>
      <c r="AQ160" s="301"/>
      <c r="AR160" s="301"/>
      <c r="AS160" s="301"/>
      <c r="AT160" s="301"/>
      <c r="AU160" s="301"/>
      <c r="AV160" s="301"/>
      <c r="AW160" s="301"/>
      <c r="AX160" s="301"/>
      <c r="AY160" s="301"/>
      <c r="AZ160" s="301"/>
      <c r="BA160" s="301"/>
      <c r="BB160" s="301"/>
      <c r="BC160" s="301"/>
      <c r="BD160" s="301"/>
      <c r="BE160" s="301"/>
      <c r="BF160" s="301"/>
      <c r="BG160" s="301"/>
      <c r="BH160" s="301"/>
      <c r="BI160" s="301"/>
      <c r="BJ160" s="301"/>
      <c r="BK160" s="301"/>
      <c r="BL160" s="301"/>
      <c r="BM160" s="302"/>
      <c r="BN160" s="291">
        <f>+MAX($D$3,DATOS_[[#This Row],[Fecha Inicio Sit. Contract.]])</f>
        <v>45292</v>
      </c>
      <c r="BO160" s="291">
        <f>+MIN($D$4,DATOS_[[#This Row],[Fecha Fin Sit. Contract.]])</f>
        <v>45657</v>
      </c>
      <c r="BP160" s="292">
        <f>+DATOS_[[#This Row],[% de jornada]]*IF(DATOS_[[#This Row],[% jornada reducida]]="",1,DATOS_[[#This Row],[% jornada reducida]])</f>
        <v>1</v>
      </c>
      <c r="BQ160" s="292">
        <f>+(DATOS_[[#This Row],[F.fin.cal]]-DATOS_[[#This Row],[F.ini.cal]]+1)/($D$4-$D$3+1)</f>
        <v>1</v>
      </c>
      <c r="BR160" s="322" t="str">
        <f>IF(OR(AND(DATOS_[[#This Row],[Fecha Fin Contrato]]&lt;$D$3,DATOS_[[#This Row],[Fecha Fin Contrato]]&lt;&gt;""),DATOS_[[#This Row],[Fecha de Contratación]]&gt;$D$4),"Fuera","Dentro")</f>
        <v>Dentro</v>
      </c>
      <c r="BS160" s="322" t="str">
        <f t="array" ref="BS160">IF(MAX(IF(DATOS_[id]=DATOS_[[#This Row],[id]],DATOS_[F.fin.cal]))=DATOS_[[#This Row],[F.fin.cal]],"Sí","NO")</f>
        <v>Sí</v>
      </c>
      <c r="BT160" s="292" t="str">
        <f>IF(AND(DATOS_[[#This Row],[% normaliz]]&lt;&gt;1,DATOS_[[#This Row],[% anualiz]]=1),"Sí","NO")</f>
        <v>NO</v>
      </c>
      <c r="BU160" s="292" t="str">
        <f>IF(AND(DATOS_[[#This Row],[% normaliz]]=1,DATOS_[[#This Row],[% anualiz]]&lt;&gt;1),"Sí","NO")</f>
        <v>NO</v>
      </c>
      <c r="BV160" s="292" t="str">
        <f>IF(AND(DATOS_[[#This Row],[% normaliz]]&lt;&gt;1,DATOS_[[#This Row],[% anualiz]]&lt;&gt;1),"Sí","NO")</f>
        <v>NO</v>
      </c>
      <c r="BW160" s="322" t="str">
        <f>+IF(DATOS_[[#This Row],[% normaliz]]*DATOS_[[#This Row],[% anualiz]]=1,"NO","Sí")</f>
        <v>NO</v>
      </c>
      <c r="BX160" s="323">
        <f>(DATOS_[[#This Row],[S.BASE]]*(1/DATOS_[[#This Row],[% normaliz]])*(1/DATOS_[[#This Row],[% anualiz]]))*IF(DATOS_[[#This Row],[Check Equiparado]]="Sí",1,0)</f>
        <v>14036.34</v>
      </c>
      <c r="BY16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60" s="323">
        <f>+DATOS_[[#This Row],[SALARIO BASE Eq]]+DATOS_[[#This Row],[Tot COMPL.SAL Eq]]</f>
        <v>18047.268</v>
      </c>
      <c r="CA160" s="323">
        <f t="array" ref="CA1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0" s="323">
        <f>+DATOS_[[#This Row],[TOTAL SALARIO Eq]]+DATOS_[[#This Row],[Tot Extrasalarial Eq]]</f>
        <v>18047.268</v>
      </c>
      <c r="CC160" s="327">
        <f>DATOS_[[#This Row],[S.BASE]]</f>
        <v>14036.34</v>
      </c>
      <c r="CD160" s="324">
        <f>+SUM(DATOS_[[#This Row],[Conc.Sal.01]:[Conc.Sal.30]])</f>
        <v>4010.9279999999999</v>
      </c>
      <c r="CE160" s="324">
        <f>+DATOS_[[#This Row],[SALARIO BASE Ef]]+DATOS_[[#This Row],[Tot COMPL.SAL Ef]]</f>
        <v>18047.268</v>
      </c>
      <c r="CF160" s="324">
        <f>+SUM(DATOS_[[#This Row],[C.Extra.01]:[C.Extra.05]])</f>
        <v>0</v>
      </c>
      <c r="CG160" s="330">
        <f>+DATOS_[[#This Row],[TOTAL SALARIO Ef]]+DATOS_[[#This Row],[Tot Extrasalarial Ef]]</f>
        <v>18047.268</v>
      </c>
      <c r="CH160" s="303">
        <f>MIN(IF(DATOS_[[#This Row],[Fecha Fin Contrato]]="",$D$4,DATOS_[[#This Row],[Fecha Fin Contrato]]),$D$4)-MAX(DATOS_[[#This Row],[Fecha de Contratación]],$D$3)+1</f>
        <v>366</v>
      </c>
      <c r="CI160" s="304" t="str">
        <f>IF(COUNTIFS(DATOS_[id],DATOS_[[#This Row],[id]])&gt;1,DATOS_[[#This Row],[id]],"")</f>
        <v/>
      </c>
      <c r="CJ160" s="325">
        <f>(Inicio!$G$10-DATOS_[[#This Row],[Fecha Nacimiento]])/365.25</f>
        <v>50.053388090349074</v>
      </c>
      <c r="CK160" s="325">
        <f>(Inicio!$G$10-DATOS_[[#This Row],[Fecha de Antigüedad]])/365.25</f>
        <v>26.592744695414101</v>
      </c>
      <c r="CL160" s="325" t="str">
        <f>+VLOOKUP(DATOS_[[#This Row],[Clave de Contrato]],TblTiposContrato13[],3,FALSE)</f>
        <v>Completa</v>
      </c>
      <c r="CM160" s="325" t="str">
        <f>+VLOOKUP(DATOS_[[#This Row],[Clave de Contrato]],TblTiposContrato13[],4,FALSE)</f>
        <v>Indefinido</v>
      </c>
      <c r="CN160" s="325" t="str">
        <f>VLOOKUP(DATOS_[[#This Row],[Edad]],CONTRATOS!TblRngEdad,2,TRUE)</f>
        <v>50 a 55</v>
      </c>
      <c r="CO160" s="325" t="str">
        <f>VLOOKUP(DATOS_[[#This Row],[Antigüedad]],TblRngAntg14[],2,TRUE)</f>
        <v>más de 15</v>
      </c>
    </row>
    <row r="161" spans="2:93" x14ac:dyDescent="0.25">
      <c r="B161" s="146">
        <v>147</v>
      </c>
      <c r="C161" s="146" t="s">
        <v>163</v>
      </c>
      <c r="D161" s="295">
        <v>28470</v>
      </c>
      <c r="E161" s="296" t="s">
        <v>427</v>
      </c>
      <c r="F161" s="296">
        <v>2</v>
      </c>
      <c r="G161" s="296">
        <v>3</v>
      </c>
      <c r="H161" s="297">
        <v>35762</v>
      </c>
      <c r="I161" s="298"/>
      <c r="J161" s="295">
        <v>35762</v>
      </c>
      <c r="K161" s="326"/>
      <c r="L161" s="326"/>
      <c r="M161" s="299">
        <v>1</v>
      </c>
      <c r="N161" s="299"/>
      <c r="O161" s="299"/>
      <c r="P161" s="296">
        <v>100</v>
      </c>
      <c r="Q161" s="146" t="s">
        <v>431</v>
      </c>
      <c r="R161" s="146" t="s">
        <v>419</v>
      </c>
      <c r="S161" s="146" t="s">
        <v>435</v>
      </c>
      <c r="T161" s="146" t="s">
        <v>407</v>
      </c>
      <c r="U161" s="146" t="s">
        <v>400</v>
      </c>
      <c r="V161" s="146" t="s">
        <v>436</v>
      </c>
      <c r="W161" s="146" t="s">
        <v>301</v>
      </c>
      <c r="X161" s="146" t="s">
        <v>309</v>
      </c>
      <c r="Y161" s="146" t="s">
        <v>409</v>
      </c>
      <c r="Z161" s="293"/>
      <c r="AA161" s="294" t="s">
        <v>434</v>
      </c>
      <c r="AB161" s="294">
        <v>8</v>
      </c>
      <c r="AC161" s="296">
        <v>5</v>
      </c>
      <c r="AD161" s="301">
        <v>14036.34</v>
      </c>
      <c r="AE161" s="301">
        <v>163.65999999999985</v>
      </c>
      <c r="AF161" s="301">
        <v>2807.268</v>
      </c>
      <c r="AG161" s="301">
        <v>960</v>
      </c>
      <c r="AH161" s="301"/>
      <c r="AI161" s="301"/>
      <c r="AJ161" s="301"/>
      <c r="AK161" s="301">
        <v>80</v>
      </c>
      <c r="AL161" s="301"/>
      <c r="AM161" s="301"/>
      <c r="AN161" s="301"/>
      <c r="AO161" s="301"/>
      <c r="AP161" s="301"/>
      <c r="AQ161" s="301"/>
      <c r="AR161" s="301"/>
      <c r="AS161" s="301"/>
      <c r="AT161" s="301"/>
      <c r="AU161" s="301"/>
      <c r="AV161" s="301"/>
      <c r="AW161" s="301"/>
      <c r="AX161" s="301"/>
      <c r="AY161" s="301"/>
      <c r="AZ161" s="301"/>
      <c r="BA161" s="301"/>
      <c r="BB161" s="301"/>
      <c r="BC161" s="301"/>
      <c r="BD161" s="301"/>
      <c r="BE161" s="301"/>
      <c r="BF161" s="301"/>
      <c r="BG161" s="301"/>
      <c r="BH161" s="301"/>
      <c r="BI161" s="301"/>
      <c r="BJ161" s="301"/>
      <c r="BK161" s="301"/>
      <c r="BL161" s="301"/>
      <c r="BM161" s="302"/>
      <c r="BN161" s="291">
        <f>+MAX($D$3,DATOS_[[#This Row],[Fecha Inicio Sit. Contract.]])</f>
        <v>45292</v>
      </c>
      <c r="BO161" s="291">
        <f>+MIN($D$4,DATOS_[[#This Row],[Fecha Fin Sit. Contract.]])</f>
        <v>45657</v>
      </c>
      <c r="BP161" s="292">
        <f>+DATOS_[[#This Row],[% de jornada]]*IF(DATOS_[[#This Row],[% jornada reducida]]="",1,DATOS_[[#This Row],[% jornada reducida]])</f>
        <v>1</v>
      </c>
      <c r="BQ161" s="292">
        <f>+(DATOS_[[#This Row],[F.fin.cal]]-DATOS_[[#This Row],[F.ini.cal]]+1)/($D$4-$D$3+1)</f>
        <v>1</v>
      </c>
      <c r="BR161" s="322" t="str">
        <f>IF(OR(AND(DATOS_[[#This Row],[Fecha Fin Contrato]]&lt;$D$3,DATOS_[[#This Row],[Fecha Fin Contrato]]&lt;&gt;""),DATOS_[[#This Row],[Fecha de Contratación]]&gt;$D$4),"Fuera","Dentro")</f>
        <v>Dentro</v>
      </c>
      <c r="BS161" s="322" t="str">
        <f t="array" ref="BS161">IF(MAX(IF(DATOS_[id]=DATOS_[[#This Row],[id]],DATOS_[F.fin.cal]))=DATOS_[[#This Row],[F.fin.cal]],"Sí","NO")</f>
        <v>Sí</v>
      </c>
      <c r="BT161" s="292" t="str">
        <f>IF(AND(DATOS_[[#This Row],[% normaliz]]&lt;&gt;1,DATOS_[[#This Row],[% anualiz]]=1),"Sí","NO")</f>
        <v>NO</v>
      </c>
      <c r="BU161" s="292" t="str">
        <f>IF(AND(DATOS_[[#This Row],[% normaliz]]=1,DATOS_[[#This Row],[% anualiz]]&lt;&gt;1),"Sí","NO")</f>
        <v>NO</v>
      </c>
      <c r="BV161" s="292" t="str">
        <f>IF(AND(DATOS_[[#This Row],[% normaliz]]&lt;&gt;1,DATOS_[[#This Row],[% anualiz]]&lt;&gt;1),"Sí","NO")</f>
        <v>NO</v>
      </c>
      <c r="BW161" s="322" t="str">
        <f>+IF(DATOS_[[#This Row],[% normaliz]]*DATOS_[[#This Row],[% anualiz]]=1,"NO","Sí")</f>
        <v>NO</v>
      </c>
      <c r="BX161" s="323">
        <f>(DATOS_[[#This Row],[S.BASE]]*(1/DATOS_[[#This Row],[% normaliz]])*(1/DATOS_[[#This Row],[% anualiz]]))*IF(DATOS_[[#This Row],[Check Equiparado]]="Sí",1,0)</f>
        <v>14036.34</v>
      </c>
      <c r="BY16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61" s="323">
        <f>+DATOS_[[#This Row],[SALARIO BASE Eq]]+DATOS_[[#This Row],[Tot COMPL.SAL Eq]]</f>
        <v>18047.268</v>
      </c>
      <c r="CA161" s="323">
        <f t="array" ref="CA1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1" s="323">
        <f>+DATOS_[[#This Row],[TOTAL SALARIO Eq]]+DATOS_[[#This Row],[Tot Extrasalarial Eq]]</f>
        <v>18047.268</v>
      </c>
      <c r="CC161" s="327">
        <f>DATOS_[[#This Row],[S.BASE]]</f>
        <v>14036.34</v>
      </c>
      <c r="CD161" s="324">
        <f>+SUM(DATOS_[[#This Row],[Conc.Sal.01]:[Conc.Sal.30]])</f>
        <v>4010.9279999999999</v>
      </c>
      <c r="CE161" s="324">
        <f>+DATOS_[[#This Row],[SALARIO BASE Ef]]+DATOS_[[#This Row],[Tot COMPL.SAL Ef]]</f>
        <v>18047.268</v>
      </c>
      <c r="CF161" s="324">
        <f>+SUM(DATOS_[[#This Row],[C.Extra.01]:[C.Extra.05]])</f>
        <v>0</v>
      </c>
      <c r="CG161" s="330">
        <f>+DATOS_[[#This Row],[TOTAL SALARIO Ef]]+DATOS_[[#This Row],[Tot Extrasalarial Ef]]</f>
        <v>18047.268</v>
      </c>
      <c r="CH161" s="303">
        <f>MIN(IF(DATOS_[[#This Row],[Fecha Fin Contrato]]="",$D$4,DATOS_[[#This Row],[Fecha Fin Contrato]]),$D$4)-MAX(DATOS_[[#This Row],[Fecha de Contratación]],$D$3)+1</f>
        <v>366</v>
      </c>
      <c r="CI161" s="304" t="str">
        <f>IF(COUNTIFS(DATOS_[id],DATOS_[[#This Row],[id]])&gt;1,DATOS_[[#This Row],[id]],"")</f>
        <v/>
      </c>
      <c r="CJ161" s="325">
        <f>(Inicio!$G$10-DATOS_[[#This Row],[Fecha Nacimiento]])/365.25</f>
        <v>47.055441478439427</v>
      </c>
      <c r="CK161" s="325">
        <f>(Inicio!$G$10-DATOS_[[#This Row],[Fecha de Antigüedad]])/365.25</f>
        <v>27.091033538672143</v>
      </c>
      <c r="CL161" s="325" t="str">
        <f>+VLOOKUP(DATOS_[[#This Row],[Clave de Contrato]],TblTiposContrato13[],3,FALSE)</f>
        <v>Completa</v>
      </c>
      <c r="CM161" s="325" t="str">
        <f>+VLOOKUP(DATOS_[[#This Row],[Clave de Contrato]],TblTiposContrato13[],4,FALSE)</f>
        <v>Indefinido</v>
      </c>
      <c r="CN161" s="325" t="str">
        <f>VLOOKUP(DATOS_[[#This Row],[Edad]],CONTRATOS!TblRngEdad,2,TRUE)</f>
        <v>45 a 50</v>
      </c>
      <c r="CO161" s="325" t="str">
        <f>VLOOKUP(DATOS_[[#This Row],[Antigüedad]],TblRngAntg14[],2,TRUE)</f>
        <v>más de 15</v>
      </c>
    </row>
    <row r="162" spans="2:93" x14ac:dyDescent="0.25">
      <c r="B162" s="146">
        <v>148</v>
      </c>
      <c r="C162" s="146" t="s">
        <v>163</v>
      </c>
      <c r="D162" s="295">
        <v>32120</v>
      </c>
      <c r="E162" s="296" t="s">
        <v>428</v>
      </c>
      <c r="F162" s="296">
        <v>3</v>
      </c>
      <c r="G162" s="296">
        <v>0</v>
      </c>
      <c r="H162" s="297">
        <v>37113</v>
      </c>
      <c r="I162" s="298"/>
      <c r="J162" s="295">
        <v>37113</v>
      </c>
      <c r="K162" s="326"/>
      <c r="L162" s="326"/>
      <c r="M162" s="299">
        <v>1</v>
      </c>
      <c r="N162" s="299"/>
      <c r="O162" s="299"/>
      <c r="P162" s="296">
        <v>100</v>
      </c>
      <c r="Q162" s="146" t="s">
        <v>431</v>
      </c>
      <c r="R162" s="146" t="s">
        <v>419</v>
      </c>
      <c r="S162" s="146" t="s">
        <v>435</v>
      </c>
      <c r="T162" s="146" t="s">
        <v>407</v>
      </c>
      <c r="U162" s="146" t="s">
        <v>400</v>
      </c>
      <c r="V162" s="146" t="s">
        <v>436</v>
      </c>
      <c r="W162" s="146" t="s">
        <v>301</v>
      </c>
      <c r="X162" s="146" t="s">
        <v>309</v>
      </c>
      <c r="Y162" s="146" t="s">
        <v>409</v>
      </c>
      <c r="Z162" s="293"/>
      <c r="AA162" s="294" t="s">
        <v>434</v>
      </c>
      <c r="AB162" s="294">
        <v>8</v>
      </c>
      <c r="AC162" s="296">
        <v>5</v>
      </c>
      <c r="AD162" s="301">
        <v>14036.34</v>
      </c>
      <c r="AE162" s="301">
        <v>163.65999999999985</v>
      </c>
      <c r="AF162" s="301">
        <v>2245.8144000000002</v>
      </c>
      <c r="AG162" s="301">
        <v>960</v>
      </c>
      <c r="AH162" s="301"/>
      <c r="AI162" s="301"/>
      <c r="AJ162" s="301"/>
      <c r="AK162" s="301">
        <v>80</v>
      </c>
      <c r="AL162" s="301"/>
      <c r="AM162" s="301"/>
      <c r="AN162" s="301"/>
      <c r="AO162" s="301"/>
      <c r="AP162" s="301"/>
      <c r="AQ162" s="301"/>
      <c r="AR162" s="301"/>
      <c r="AS162" s="301"/>
      <c r="AT162" s="301"/>
      <c r="AU162" s="301"/>
      <c r="AV162" s="301"/>
      <c r="AW162" s="301"/>
      <c r="AX162" s="301"/>
      <c r="AY162" s="301"/>
      <c r="AZ162" s="301"/>
      <c r="BA162" s="301"/>
      <c r="BB162" s="301"/>
      <c r="BC162" s="301"/>
      <c r="BD162" s="301"/>
      <c r="BE162" s="301"/>
      <c r="BF162" s="301"/>
      <c r="BG162" s="301"/>
      <c r="BH162" s="301"/>
      <c r="BI162" s="301"/>
      <c r="BJ162" s="301"/>
      <c r="BK162" s="301"/>
      <c r="BL162" s="301"/>
      <c r="BM162" s="302"/>
      <c r="BN162" s="291">
        <f>+MAX($D$3,DATOS_[[#This Row],[Fecha Inicio Sit. Contract.]])</f>
        <v>45292</v>
      </c>
      <c r="BO162" s="291">
        <f>+MIN($D$4,DATOS_[[#This Row],[Fecha Fin Sit. Contract.]])</f>
        <v>45657</v>
      </c>
      <c r="BP162" s="292">
        <f>+DATOS_[[#This Row],[% de jornada]]*IF(DATOS_[[#This Row],[% jornada reducida]]="",1,DATOS_[[#This Row],[% jornada reducida]])</f>
        <v>1</v>
      </c>
      <c r="BQ162" s="292">
        <f>+(DATOS_[[#This Row],[F.fin.cal]]-DATOS_[[#This Row],[F.ini.cal]]+1)/($D$4-$D$3+1)</f>
        <v>1</v>
      </c>
      <c r="BR162" s="322" t="str">
        <f>IF(OR(AND(DATOS_[[#This Row],[Fecha Fin Contrato]]&lt;$D$3,DATOS_[[#This Row],[Fecha Fin Contrato]]&lt;&gt;""),DATOS_[[#This Row],[Fecha de Contratación]]&gt;$D$4),"Fuera","Dentro")</f>
        <v>Dentro</v>
      </c>
      <c r="BS162" s="322" t="str">
        <f t="array" ref="BS162">IF(MAX(IF(DATOS_[id]=DATOS_[[#This Row],[id]],DATOS_[F.fin.cal]))=DATOS_[[#This Row],[F.fin.cal]],"Sí","NO")</f>
        <v>Sí</v>
      </c>
      <c r="BT162" s="292" t="str">
        <f>IF(AND(DATOS_[[#This Row],[% normaliz]]&lt;&gt;1,DATOS_[[#This Row],[% anualiz]]=1),"Sí","NO")</f>
        <v>NO</v>
      </c>
      <c r="BU162" s="292" t="str">
        <f>IF(AND(DATOS_[[#This Row],[% normaliz]]=1,DATOS_[[#This Row],[% anualiz]]&lt;&gt;1),"Sí","NO")</f>
        <v>NO</v>
      </c>
      <c r="BV162" s="292" t="str">
        <f>IF(AND(DATOS_[[#This Row],[% normaliz]]&lt;&gt;1,DATOS_[[#This Row],[% anualiz]]&lt;&gt;1),"Sí","NO")</f>
        <v>NO</v>
      </c>
      <c r="BW162" s="322" t="str">
        <f>+IF(DATOS_[[#This Row],[% normaliz]]*DATOS_[[#This Row],[% anualiz]]=1,"NO","Sí")</f>
        <v>NO</v>
      </c>
      <c r="BX162" s="323">
        <f>(DATOS_[[#This Row],[S.BASE]]*(1/DATOS_[[#This Row],[% normaliz]])*(1/DATOS_[[#This Row],[% anualiz]]))*IF(DATOS_[[#This Row],[Check Equiparado]]="Sí",1,0)</f>
        <v>14036.34</v>
      </c>
      <c r="BY16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62" s="323">
        <f>+DATOS_[[#This Row],[SALARIO BASE Eq]]+DATOS_[[#This Row],[Tot COMPL.SAL Eq]]</f>
        <v>17485.814399999999</v>
      </c>
      <c r="CA162" s="323">
        <f t="array" ref="CA1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2" s="323">
        <f>+DATOS_[[#This Row],[TOTAL SALARIO Eq]]+DATOS_[[#This Row],[Tot Extrasalarial Eq]]</f>
        <v>17485.814399999999</v>
      </c>
      <c r="CC162" s="327">
        <f>DATOS_[[#This Row],[S.BASE]]</f>
        <v>14036.34</v>
      </c>
      <c r="CD162" s="324">
        <f>+SUM(DATOS_[[#This Row],[Conc.Sal.01]:[Conc.Sal.30]])</f>
        <v>3449.4744000000001</v>
      </c>
      <c r="CE162" s="324">
        <f>+DATOS_[[#This Row],[SALARIO BASE Ef]]+DATOS_[[#This Row],[Tot COMPL.SAL Ef]]</f>
        <v>17485.814399999999</v>
      </c>
      <c r="CF162" s="324">
        <f>+SUM(DATOS_[[#This Row],[C.Extra.01]:[C.Extra.05]])</f>
        <v>0</v>
      </c>
      <c r="CG162" s="330">
        <f>+DATOS_[[#This Row],[TOTAL SALARIO Ef]]+DATOS_[[#This Row],[Tot Extrasalarial Ef]]</f>
        <v>17485.814399999999</v>
      </c>
      <c r="CH162" s="303">
        <f>MIN(IF(DATOS_[[#This Row],[Fecha Fin Contrato]]="",$D$4,DATOS_[[#This Row],[Fecha Fin Contrato]]),$D$4)-MAX(DATOS_[[#This Row],[Fecha de Contratación]],$D$3)+1</f>
        <v>366</v>
      </c>
      <c r="CI162" s="304" t="str">
        <f>IF(COUNTIFS(DATOS_[id],DATOS_[[#This Row],[id]])&gt;1,DATOS_[[#This Row],[id]],"")</f>
        <v/>
      </c>
      <c r="CJ162" s="325">
        <f>(Inicio!$G$10-DATOS_[[#This Row],[Fecha Nacimiento]])/365.25</f>
        <v>37.062286105407253</v>
      </c>
      <c r="CK162" s="325">
        <f>(Inicio!$G$10-DATOS_[[#This Row],[Fecha de Antigüedad]])/365.25</f>
        <v>23.392197125256672</v>
      </c>
      <c r="CL162" s="325" t="str">
        <f>+VLOOKUP(DATOS_[[#This Row],[Clave de Contrato]],TblTiposContrato13[],3,FALSE)</f>
        <v>Completa</v>
      </c>
      <c r="CM162" s="325" t="str">
        <f>+VLOOKUP(DATOS_[[#This Row],[Clave de Contrato]],TblTiposContrato13[],4,FALSE)</f>
        <v>Indefinido</v>
      </c>
      <c r="CN162" s="325" t="str">
        <f>VLOOKUP(DATOS_[[#This Row],[Edad]],CONTRATOS!TblRngEdad,2,TRUE)</f>
        <v>35 a 40</v>
      </c>
      <c r="CO162" s="325" t="str">
        <f>VLOOKUP(DATOS_[[#This Row],[Antigüedad]],TblRngAntg14[],2,TRUE)</f>
        <v>más de 15</v>
      </c>
    </row>
    <row r="163" spans="2:93" x14ac:dyDescent="0.25">
      <c r="B163" s="146">
        <v>149</v>
      </c>
      <c r="C163" s="146" t="s">
        <v>163</v>
      </c>
      <c r="D163" s="295">
        <v>27375</v>
      </c>
      <c r="E163" s="296" t="s">
        <v>428</v>
      </c>
      <c r="F163" s="296">
        <v>3</v>
      </c>
      <c r="G163" s="296">
        <v>0</v>
      </c>
      <c r="H163" s="297">
        <v>38976</v>
      </c>
      <c r="I163" s="298"/>
      <c r="J163" s="295">
        <v>38976</v>
      </c>
      <c r="K163" s="326"/>
      <c r="L163" s="326"/>
      <c r="M163" s="299">
        <v>1</v>
      </c>
      <c r="N163" s="299"/>
      <c r="O163" s="299"/>
      <c r="P163" s="296">
        <v>100</v>
      </c>
      <c r="Q163" s="146" t="s">
        <v>412</v>
      </c>
      <c r="R163" s="146" t="s">
        <v>418</v>
      </c>
      <c r="S163" s="146" t="s">
        <v>435</v>
      </c>
      <c r="T163" s="146" t="s">
        <v>407</v>
      </c>
      <c r="U163" s="146" t="s">
        <v>400</v>
      </c>
      <c r="V163" s="146" t="s">
        <v>436</v>
      </c>
      <c r="W163" s="146" t="s">
        <v>301</v>
      </c>
      <c r="X163" s="146" t="s">
        <v>309</v>
      </c>
      <c r="Y163" s="146" t="s">
        <v>409</v>
      </c>
      <c r="Z163" s="293"/>
      <c r="AA163" s="294" t="s">
        <v>434</v>
      </c>
      <c r="AB163" s="294">
        <v>8</v>
      </c>
      <c r="AC163" s="296">
        <v>5</v>
      </c>
      <c r="AD163" s="301">
        <v>14036.34</v>
      </c>
      <c r="AE163" s="301">
        <v>163.65999999999985</v>
      </c>
      <c r="AF163" s="301">
        <v>1684.3607999999999</v>
      </c>
      <c r="AG163" s="301">
        <v>960</v>
      </c>
      <c r="AH163" s="301"/>
      <c r="AI163" s="301"/>
      <c r="AJ163" s="301"/>
      <c r="AK163" s="301">
        <v>80</v>
      </c>
      <c r="AL163" s="301"/>
      <c r="AM163" s="301"/>
      <c r="AN163" s="301"/>
      <c r="AO163" s="301"/>
      <c r="AP163" s="301"/>
      <c r="AQ163" s="301"/>
      <c r="AR163" s="301"/>
      <c r="AS163" s="301"/>
      <c r="AT163" s="301"/>
      <c r="AU163" s="301"/>
      <c r="AV163" s="301"/>
      <c r="AW163" s="301"/>
      <c r="AX163" s="301"/>
      <c r="AY163" s="301"/>
      <c r="AZ163" s="301"/>
      <c r="BA163" s="301"/>
      <c r="BB163" s="301"/>
      <c r="BC163" s="301"/>
      <c r="BD163" s="301"/>
      <c r="BE163" s="301"/>
      <c r="BF163" s="301"/>
      <c r="BG163" s="301"/>
      <c r="BH163" s="301"/>
      <c r="BI163" s="301"/>
      <c r="BJ163" s="301"/>
      <c r="BK163" s="301"/>
      <c r="BL163" s="301"/>
      <c r="BM163" s="302"/>
      <c r="BN163" s="291">
        <f>+MAX($D$3,DATOS_[[#This Row],[Fecha Inicio Sit. Contract.]])</f>
        <v>45292</v>
      </c>
      <c r="BO163" s="291">
        <f>+MIN($D$4,DATOS_[[#This Row],[Fecha Fin Sit. Contract.]])</f>
        <v>45657</v>
      </c>
      <c r="BP163" s="292">
        <f>+DATOS_[[#This Row],[% de jornada]]*IF(DATOS_[[#This Row],[% jornada reducida]]="",1,DATOS_[[#This Row],[% jornada reducida]])</f>
        <v>1</v>
      </c>
      <c r="BQ163" s="292">
        <f>+(DATOS_[[#This Row],[F.fin.cal]]-DATOS_[[#This Row],[F.ini.cal]]+1)/($D$4-$D$3+1)</f>
        <v>1</v>
      </c>
      <c r="BR163" s="322" t="str">
        <f>IF(OR(AND(DATOS_[[#This Row],[Fecha Fin Contrato]]&lt;$D$3,DATOS_[[#This Row],[Fecha Fin Contrato]]&lt;&gt;""),DATOS_[[#This Row],[Fecha de Contratación]]&gt;$D$4),"Fuera","Dentro")</f>
        <v>Dentro</v>
      </c>
      <c r="BS163" s="322" t="str">
        <f t="array" ref="BS163">IF(MAX(IF(DATOS_[id]=DATOS_[[#This Row],[id]],DATOS_[F.fin.cal]))=DATOS_[[#This Row],[F.fin.cal]],"Sí","NO")</f>
        <v>Sí</v>
      </c>
      <c r="BT163" s="292" t="str">
        <f>IF(AND(DATOS_[[#This Row],[% normaliz]]&lt;&gt;1,DATOS_[[#This Row],[% anualiz]]=1),"Sí","NO")</f>
        <v>NO</v>
      </c>
      <c r="BU163" s="292" t="str">
        <f>IF(AND(DATOS_[[#This Row],[% normaliz]]=1,DATOS_[[#This Row],[% anualiz]]&lt;&gt;1),"Sí","NO")</f>
        <v>NO</v>
      </c>
      <c r="BV163" s="292" t="str">
        <f>IF(AND(DATOS_[[#This Row],[% normaliz]]&lt;&gt;1,DATOS_[[#This Row],[% anualiz]]&lt;&gt;1),"Sí","NO")</f>
        <v>NO</v>
      </c>
      <c r="BW163" s="322" t="str">
        <f>+IF(DATOS_[[#This Row],[% normaliz]]*DATOS_[[#This Row],[% anualiz]]=1,"NO","Sí")</f>
        <v>NO</v>
      </c>
      <c r="BX163" s="323">
        <f>(DATOS_[[#This Row],[S.BASE]]*(1/DATOS_[[#This Row],[% normaliz]])*(1/DATOS_[[#This Row],[% anualiz]]))*IF(DATOS_[[#This Row],[Check Equiparado]]="Sí",1,0)</f>
        <v>14036.34</v>
      </c>
      <c r="BY16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63" s="323">
        <f>+DATOS_[[#This Row],[SALARIO BASE Eq]]+DATOS_[[#This Row],[Tot COMPL.SAL Eq]]</f>
        <v>16924.360799999999</v>
      </c>
      <c r="CA163" s="323">
        <f t="array" ref="CA1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3" s="323">
        <f>+DATOS_[[#This Row],[TOTAL SALARIO Eq]]+DATOS_[[#This Row],[Tot Extrasalarial Eq]]</f>
        <v>16924.360799999999</v>
      </c>
      <c r="CC163" s="327">
        <f>DATOS_[[#This Row],[S.BASE]]</f>
        <v>14036.34</v>
      </c>
      <c r="CD163" s="324">
        <f>+SUM(DATOS_[[#This Row],[Conc.Sal.01]:[Conc.Sal.30]])</f>
        <v>2888.0207999999998</v>
      </c>
      <c r="CE163" s="324">
        <f>+DATOS_[[#This Row],[SALARIO BASE Ef]]+DATOS_[[#This Row],[Tot COMPL.SAL Ef]]</f>
        <v>16924.360799999999</v>
      </c>
      <c r="CF163" s="324">
        <f>+SUM(DATOS_[[#This Row],[C.Extra.01]:[C.Extra.05]])</f>
        <v>0</v>
      </c>
      <c r="CG163" s="330">
        <f>+DATOS_[[#This Row],[TOTAL SALARIO Ef]]+DATOS_[[#This Row],[Tot Extrasalarial Ef]]</f>
        <v>16924.360799999999</v>
      </c>
      <c r="CH163" s="303">
        <f>MIN(IF(DATOS_[[#This Row],[Fecha Fin Contrato]]="",$D$4,DATOS_[[#This Row],[Fecha Fin Contrato]]),$D$4)-MAX(DATOS_[[#This Row],[Fecha de Contratación]],$D$3)+1</f>
        <v>366</v>
      </c>
      <c r="CI163" s="304" t="str">
        <f>IF(COUNTIFS(DATOS_[id],DATOS_[[#This Row],[id]])&gt;1,DATOS_[[#This Row],[id]],"")</f>
        <v/>
      </c>
      <c r="CJ163" s="325">
        <f>(Inicio!$G$10-DATOS_[[#This Row],[Fecha Nacimiento]])/365.25</f>
        <v>50.053388090349074</v>
      </c>
      <c r="CK163" s="325">
        <f>(Inicio!$G$10-DATOS_[[#This Row],[Fecha de Antigüedad]])/365.25</f>
        <v>18.291581108829568</v>
      </c>
      <c r="CL163" s="325" t="str">
        <f>+VLOOKUP(DATOS_[[#This Row],[Clave de Contrato]],TblTiposContrato13[],3,FALSE)</f>
        <v>Completa</v>
      </c>
      <c r="CM163" s="325" t="str">
        <f>+VLOOKUP(DATOS_[[#This Row],[Clave de Contrato]],TblTiposContrato13[],4,FALSE)</f>
        <v>Indefinido</v>
      </c>
      <c r="CN163" s="325" t="str">
        <f>VLOOKUP(DATOS_[[#This Row],[Edad]],CONTRATOS!TblRngEdad,2,TRUE)</f>
        <v>50 a 55</v>
      </c>
      <c r="CO163" s="325" t="str">
        <f>VLOOKUP(DATOS_[[#This Row],[Antigüedad]],TblRngAntg14[],2,TRUE)</f>
        <v>más de 15</v>
      </c>
    </row>
    <row r="164" spans="2:93" x14ac:dyDescent="0.25">
      <c r="B164" s="146">
        <v>150</v>
      </c>
      <c r="C164" s="146" t="s">
        <v>163</v>
      </c>
      <c r="D164" s="295">
        <v>36500</v>
      </c>
      <c r="E164" s="296" t="s">
        <v>428</v>
      </c>
      <c r="F164" s="296">
        <v>2</v>
      </c>
      <c r="G164" s="296">
        <v>2</v>
      </c>
      <c r="H164" s="297">
        <v>38939</v>
      </c>
      <c r="I164" s="298"/>
      <c r="J164" s="295">
        <v>38939</v>
      </c>
      <c r="K164" s="326"/>
      <c r="L164" s="326"/>
      <c r="M164" s="299">
        <v>1</v>
      </c>
      <c r="N164" s="299"/>
      <c r="O164" s="299"/>
      <c r="P164" s="296">
        <v>100</v>
      </c>
      <c r="Q164" s="146" t="s">
        <v>414</v>
      </c>
      <c r="R164" s="146" t="s">
        <v>415</v>
      </c>
      <c r="S164" s="146" t="s">
        <v>435</v>
      </c>
      <c r="T164" s="146" t="s">
        <v>407</v>
      </c>
      <c r="U164" s="146" t="s">
        <v>400</v>
      </c>
      <c r="V164" s="146" t="s">
        <v>436</v>
      </c>
      <c r="W164" s="146" t="s">
        <v>301</v>
      </c>
      <c r="X164" s="146" t="s">
        <v>309</v>
      </c>
      <c r="Y164" s="146" t="s">
        <v>409</v>
      </c>
      <c r="Z164" s="293"/>
      <c r="AA164" s="294" t="s">
        <v>434</v>
      </c>
      <c r="AB164" s="294">
        <v>8</v>
      </c>
      <c r="AC164" s="296">
        <v>5</v>
      </c>
      <c r="AD164" s="301">
        <v>14036.34</v>
      </c>
      <c r="AE164" s="301">
        <v>163.65999999999985</v>
      </c>
      <c r="AF164" s="301">
        <v>1684.3607999999999</v>
      </c>
      <c r="AG164" s="301">
        <v>960</v>
      </c>
      <c r="AH164" s="301"/>
      <c r="AI164" s="301"/>
      <c r="AJ164" s="301"/>
      <c r="AK164" s="301">
        <v>80</v>
      </c>
      <c r="AL164" s="301"/>
      <c r="AM164" s="301"/>
      <c r="AN164" s="301"/>
      <c r="AO164" s="301"/>
      <c r="AP164" s="301"/>
      <c r="AQ164" s="301"/>
      <c r="AR164" s="301"/>
      <c r="AS164" s="301"/>
      <c r="AT164" s="301"/>
      <c r="AU164" s="301"/>
      <c r="AV164" s="301"/>
      <c r="AW164" s="301"/>
      <c r="AX164" s="301"/>
      <c r="AY164" s="301"/>
      <c r="AZ164" s="301"/>
      <c r="BA164" s="301"/>
      <c r="BB164" s="301"/>
      <c r="BC164" s="301"/>
      <c r="BD164" s="301"/>
      <c r="BE164" s="301"/>
      <c r="BF164" s="301"/>
      <c r="BG164" s="301"/>
      <c r="BH164" s="301"/>
      <c r="BI164" s="301"/>
      <c r="BJ164" s="301"/>
      <c r="BK164" s="301"/>
      <c r="BL164" s="301"/>
      <c r="BM164" s="302"/>
      <c r="BN164" s="291">
        <f>+MAX($D$3,DATOS_[[#This Row],[Fecha Inicio Sit. Contract.]])</f>
        <v>45292</v>
      </c>
      <c r="BO164" s="291">
        <f>+MIN($D$4,DATOS_[[#This Row],[Fecha Fin Sit. Contract.]])</f>
        <v>45657</v>
      </c>
      <c r="BP164" s="292">
        <f>+DATOS_[[#This Row],[% de jornada]]*IF(DATOS_[[#This Row],[% jornada reducida]]="",1,DATOS_[[#This Row],[% jornada reducida]])</f>
        <v>1</v>
      </c>
      <c r="BQ164" s="292">
        <f>+(DATOS_[[#This Row],[F.fin.cal]]-DATOS_[[#This Row],[F.ini.cal]]+1)/($D$4-$D$3+1)</f>
        <v>1</v>
      </c>
      <c r="BR164" s="322" t="str">
        <f>IF(OR(AND(DATOS_[[#This Row],[Fecha Fin Contrato]]&lt;$D$3,DATOS_[[#This Row],[Fecha Fin Contrato]]&lt;&gt;""),DATOS_[[#This Row],[Fecha de Contratación]]&gt;$D$4),"Fuera","Dentro")</f>
        <v>Dentro</v>
      </c>
      <c r="BS164" s="322" t="str">
        <f t="array" ref="BS164">IF(MAX(IF(DATOS_[id]=DATOS_[[#This Row],[id]],DATOS_[F.fin.cal]))=DATOS_[[#This Row],[F.fin.cal]],"Sí","NO")</f>
        <v>Sí</v>
      </c>
      <c r="BT164" s="292" t="str">
        <f>IF(AND(DATOS_[[#This Row],[% normaliz]]&lt;&gt;1,DATOS_[[#This Row],[% anualiz]]=1),"Sí","NO")</f>
        <v>NO</v>
      </c>
      <c r="BU164" s="292" t="str">
        <f>IF(AND(DATOS_[[#This Row],[% normaliz]]=1,DATOS_[[#This Row],[% anualiz]]&lt;&gt;1),"Sí","NO")</f>
        <v>NO</v>
      </c>
      <c r="BV164" s="292" t="str">
        <f>IF(AND(DATOS_[[#This Row],[% normaliz]]&lt;&gt;1,DATOS_[[#This Row],[% anualiz]]&lt;&gt;1),"Sí","NO")</f>
        <v>NO</v>
      </c>
      <c r="BW164" s="322" t="str">
        <f>+IF(DATOS_[[#This Row],[% normaliz]]*DATOS_[[#This Row],[% anualiz]]=1,"NO","Sí")</f>
        <v>NO</v>
      </c>
      <c r="BX164" s="323">
        <f>(DATOS_[[#This Row],[S.BASE]]*(1/DATOS_[[#This Row],[% normaliz]])*(1/DATOS_[[#This Row],[% anualiz]]))*IF(DATOS_[[#This Row],[Check Equiparado]]="Sí",1,0)</f>
        <v>14036.34</v>
      </c>
      <c r="BY16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64" s="323">
        <f>+DATOS_[[#This Row],[SALARIO BASE Eq]]+DATOS_[[#This Row],[Tot COMPL.SAL Eq]]</f>
        <v>16924.360799999999</v>
      </c>
      <c r="CA164" s="323">
        <f t="array" ref="CA1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4" s="323">
        <f>+DATOS_[[#This Row],[TOTAL SALARIO Eq]]+DATOS_[[#This Row],[Tot Extrasalarial Eq]]</f>
        <v>16924.360799999999</v>
      </c>
      <c r="CC164" s="327">
        <f>DATOS_[[#This Row],[S.BASE]]</f>
        <v>14036.34</v>
      </c>
      <c r="CD164" s="324">
        <f>+SUM(DATOS_[[#This Row],[Conc.Sal.01]:[Conc.Sal.30]])</f>
        <v>2888.0207999999998</v>
      </c>
      <c r="CE164" s="324">
        <f>+DATOS_[[#This Row],[SALARIO BASE Ef]]+DATOS_[[#This Row],[Tot COMPL.SAL Ef]]</f>
        <v>16924.360799999999</v>
      </c>
      <c r="CF164" s="324">
        <f>+SUM(DATOS_[[#This Row],[C.Extra.01]:[C.Extra.05]])</f>
        <v>0</v>
      </c>
      <c r="CG164" s="330">
        <f>+DATOS_[[#This Row],[TOTAL SALARIO Ef]]+DATOS_[[#This Row],[Tot Extrasalarial Ef]]</f>
        <v>16924.360799999999</v>
      </c>
      <c r="CH164" s="303">
        <f>MIN(IF(DATOS_[[#This Row],[Fecha Fin Contrato]]="",$D$4,DATOS_[[#This Row],[Fecha Fin Contrato]]),$D$4)-MAX(DATOS_[[#This Row],[Fecha de Contratación]],$D$3)+1</f>
        <v>366</v>
      </c>
      <c r="CI164" s="304" t="str">
        <f>IF(COUNTIFS(DATOS_[id],DATOS_[[#This Row],[id]])&gt;1,DATOS_[[#This Row],[id]],"")</f>
        <v/>
      </c>
      <c r="CJ164" s="325">
        <f>(Inicio!$G$10-DATOS_[[#This Row],[Fecha Nacimiento]])/365.25</f>
        <v>25.07049965776865</v>
      </c>
      <c r="CK164" s="325">
        <f>(Inicio!$G$10-DATOS_[[#This Row],[Fecha de Antigüedad]])/365.25</f>
        <v>18.392881587953458</v>
      </c>
      <c r="CL164" s="325" t="str">
        <f>+VLOOKUP(DATOS_[[#This Row],[Clave de Contrato]],TblTiposContrato13[],3,FALSE)</f>
        <v>Completa</v>
      </c>
      <c r="CM164" s="325" t="str">
        <f>+VLOOKUP(DATOS_[[#This Row],[Clave de Contrato]],TblTiposContrato13[],4,FALSE)</f>
        <v>Indefinido</v>
      </c>
      <c r="CN164" s="325" t="str">
        <f>VLOOKUP(DATOS_[[#This Row],[Edad]],CONTRATOS!TblRngEdad,2,TRUE)</f>
        <v>25 a 30</v>
      </c>
      <c r="CO164" s="325" t="str">
        <f>VLOOKUP(DATOS_[[#This Row],[Antigüedad]],TblRngAntg14[],2,TRUE)</f>
        <v>más de 15</v>
      </c>
    </row>
    <row r="165" spans="2:93" x14ac:dyDescent="0.25">
      <c r="B165" s="146">
        <v>151</v>
      </c>
      <c r="C165" s="146" t="s">
        <v>163</v>
      </c>
      <c r="D165" s="295">
        <v>27375</v>
      </c>
      <c r="E165" s="296" t="s">
        <v>428</v>
      </c>
      <c r="F165" s="296">
        <v>2</v>
      </c>
      <c r="G165" s="296">
        <v>3</v>
      </c>
      <c r="H165" s="297">
        <v>38209</v>
      </c>
      <c r="I165" s="298"/>
      <c r="J165" s="295">
        <v>38209</v>
      </c>
      <c r="K165" s="326"/>
      <c r="L165" s="326"/>
      <c r="M165" s="299">
        <v>1</v>
      </c>
      <c r="N165" s="299"/>
      <c r="O165" s="299"/>
      <c r="P165" s="296">
        <v>100</v>
      </c>
      <c r="Q165" s="146" t="s">
        <v>431</v>
      </c>
      <c r="R165" s="146" t="s">
        <v>419</v>
      </c>
      <c r="S165" s="146" t="s">
        <v>435</v>
      </c>
      <c r="T165" s="146" t="s">
        <v>407</v>
      </c>
      <c r="U165" s="146" t="s">
        <v>400</v>
      </c>
      <c r="V165" s="146" t="s">
        <v>436</v>
      </c>
      <c r="W165" s="146" t="s">
        <v>301</v>
      </c>
      <c r="X165" s="146" t="s">
        <v>309</v>
      </c>
      <c r="Y165" s="146" t="s">
        <v>409</v>
      </c>
      <c r="Z165" s="293"/>
      <c r="AA165" s="294" t="s">
        <v>434</v>
      </c>
      <c r="AB165" s="294">
        <v>8</v>
      </c>
      <c r="AC165" s="296">
        <v>5</v>
      </c>
      <c r="AD165" s="301">
        <v>14036.34</v>
      </c>
      <c r="AE165" s="301">
        <v>163.65999999999985</v>
      </c>
      <c r="AF165" s="301">
        <v>1684.3607999999999</v>
      </c>
      <c r="AG165" s="301">
        <v>960</v>
      </c>
      <c r="AH165" s="301"/>
      <c r="AI165" s="301"/>
      <c r="AJ165" s="301"/>
      <c r="AK165" s="301">
        <v>80</v>
      </c>
      <c r="AL165" s="301"/>
      <c r="AM165" s="301"/>
      <c r="AN165" s="301"/>
      <c r="AO165" s="301"/>
      <c r="AP165" s="301"/>
      <c r="AQ165" s="301"/>
      <c r="AR165" s="301"/>
      <c r="AS165" s="301"/>
      <c r="AT165" s="301"/>
      <c r="AU165" s="301"/>
      <c r="AV165" s="301"/>
      <c r="AW165" s="301"/>
      <c r="AX165" s="301"/>
      <c r="AY165" s="301"/>
      <c r="AZ165" s="301"/>
      <c r="BA165" s="301"/>
      <c r="BB165" s="301"/>
      <c r="BC165" s="301"/>
      <c r="BD165" s="301"/>
      <c r="BE165" s="301"/>
      <c r="BF165" s="301"/>
      <c r="BG165" s="301"/>
      <c r="BH165" s="301"/>
      <c r="BI165" s="301"/>
      <c r="BJ165" s="301"/>
      <c r="BK165" s="301"/>
      <c r="BL165" s="301"/>
      <c r="BM165" s="302"/>
      <c r="BN165" s="291">
        <f>+MAX($D$3,DATOS_[[#This Row],[Fecha Inicio Sit. Contract.]])</f>
        <v>45292</v>
      </c>
      <c r="BO165" s="291">
        <f>+MIN($D$4,DATOS_[[#This Row],[Fecha Fin Sit. Contract.]])</f>
        <v>45657</v>
      </c>
      <c r="BP165" s="292">
        <f>+DATOS_[[#This Row],[% de jornada]]*IF(DATOS_[[#This Row],[% jornada reducida]]="",1,DATOS_[[#This Row],[% jornada reducida]])</f>
        <v>1</v>
      </c>
      <c r="BQ165" s="292">
        <f>+(DATOS_[[#This Row],[F.fin.cal]]-DATOS_[[#This Row],[F.ini.cal]]+1)/($D$4-$D$3+1)</f>
        <v>1</v>
      </c>
      <c r="BR165" s="322" t="str">
        <f>IF(OR(AND(DATOS_[[#This Row],[Fecha Fin Contrato]]&lt;$D$3,DATOS_[[#This Row],[Fecha Fin Contrato]]&lt;&gt;""),DATOS_[[#This Row],[Fecha de Contratación]]&gt;$D$4),"Fuera","Dentro")</f>
        <v>Dentro</v>
      </c>
      <c r="BS165" s="322" t="str">
        <f t="array" ref="BS165">IF(MAX(IF(DATOS_[id]=DATOS_[[#This Row],[id]],DATOS_[F.fin.cal]))=DATOS_[[#This Row],[F.fin.cal]],"Sí","NO")</f>
        <v>Sí</v>
      </c>
      <c r="BT165" s="292" t="str">
        <f>IF(AND(DATOS_[[#This Row],[% normaliz]]&lt;&gt;1,DATOS_[[#This Row],[% anualiz]]=1),"Sí","NO")</f>
        <v>NO</v>
      </c>
      <c r="BU165" s="292" t="str">
        <f>IF(AND(DATOS_[[#This Row],[% normaliz]]=1,DATOS_[[#This Row],[% anualiz]]&lt;&gt;1),"Sí","NO")</f>
        <v>NO</v>
      </c>
      <c r="BV165" s="292" t="str">
        <f>IF(AND(DATOS_[[#This Row],[% normaliz]]&lt;&gt;1,DATOS_[[#This Row],[% anualiz]]&lt;&gt;1),"Sí","NO")</f>
        <v>NO</v>
      </c>
      <c r="BW165" s="322" t="str">
        <f>+IF(DATOS_[[#This Row],[% normaliz]]*DATOS_[[#This Row],[% anualiz]]=1,"NO","Sí")</f>
        <v>NO</v>
      </c>
      <c r="BX165" s="323">
        <f>(DATOS_[[#This Row],[S.BASE]]*(1/DATOS_[[#This Row],[% normaliz]])*(1/DATOS_[[#This Row],[% anualiz]]))*IF(DATOS_[[#This Row],[Check Equiparado]]="Sí",1,0)</f>
        <v>14036.34</v>
      </c>
      <c r="BY16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65" s="323">
        <f>+DATOS_[[#This Row],[SALARIO BASE Eq]]+DATOS_[[#This Row],[Tot COMPL.SAL Eq]]</f>
        <v>16924.360799999999</v>
      </c>
      <c r="CA165" s="323">
        <f t="array" ref="CA1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5" s="323">
        <f>+DATOS_[[#This Row],[TOTAL SALARIO Eq]]+DATOS_[[#This Row],[Tot Extrasalarial Eq]]</f>
        <v>16924.360799999999</v>
      </c>
      <c r="CC165" s="327">
        <f>DATOS_[[#This Row],[S.BASE]]</f>
        <v>14036.34</v>
      </c>
      <c r="CD165" s="324">
        <f>+SUM(DATOS_[[#This Row],[Conc.Sal.01]:[Conc.Sal.30]])</f>
        <v>2888.0207999999998</v>
      </c>
      <c r="CE165" s="324">
        <f>+DATOS_[[#This Row],[SALARIO BASE Ef]]+DATOS_[[#This Row],[Tot COMPL.SAL Ef]]</f>
        <v>16924.360799999999</v>
      </c>
      <c r="CF165" s="324">
        <f>+SUM(DATOS_[[#This Row],[C.Extra.01]:[C.Extra.05]])</f>
        <v>0</v>
      </c>
      <c r="CG165" s="330">
        <f>+DATOS_[[#This Row],[TOTAL SALARIO Ef]]+DATOS_[[#This Row],[Tot Extrasalarial Ef]]</f>
        <v>16924.360799999999</v>
      </c>
      <c r="CH165" s="303">
        <f>MIN(IF(DATOS_[[#This Row],[Fecha Fin Contrato]]="",$D$4,DATOS_[[#This Row],[Fecha Fin Contrato]]),$D$4)-MAX(DATOS_[[#This Row],[Fecha de Contratación]],$D$3)+1</f>
        <v>366</v>
      </c>
      <c r="CI165" s="304" t="str">
        <f>IF(COUNTIFS(DATOS_[id],DATOS_[[#This Row],[id]])&gt;1,DATOS_[[#This Row],[id]],"")</f>
        <v/>
      </c>
      <c r="CJ165" s="325">
        <f>(Inicio!$G$10-DATOS_[[#This Row],[Fecha Nacimiento]])/365.25</f>
        <v>50.053388090349074</v>
      </c>
      <c r="CK165" s="325">
        <f>(Inicio!$G$10-DATOS_[[#This Row],[Fecha de Antigüedad]])/365.25</f>
        <v>20.39151266255989</v>
      </c>
      <c r="CL165" s="325" t="str">
        <f>+VLOOKUP(DATOS_[[#This Row],[Clave de Contrato]],TblTiposContrato13[],3,FALSE)</f>
        <v>Completa</v>
      </c>
      <c r="CM165" s="325" t="str">
        <f>+VLOOKUP(DATOS_[[#This Row],[Clave de Contrato]],TblTiposContrato13[],4,FALSE)</f>
        <v>Indefinido</v>
      </c>
      <c r="CN165" s="325" t="str">
        <f>VLOOKUP(DATOS_[[#This Row],[Edad]],CONTRATOS!TblRngEdad,2,TRUE)</f>
        <v>50 a 55</v>
      </c>
      <c r="CO165" s="325" t="str">
        <f>VLOOKUP(DATOS_[[#This Row],[Antigüedad]],TblRngAntg14[],2,TRUE)</f>
        <v>más de 15</v>
      </c>
    </row>
    <row r="166" spans="2:93" x14ac:dyDescent="0.25">
      <c r="B166" s="146">
        <v>152</v>
      </c>
      <c r="C166" s="146" t="s">
        <v>162</v>
      </c>
      <c r="D166" s="295">
        <v>29200</v>
      </c>
      <c r="E166" s="296" t="s">
        <v>71</v>
      </c>
      <c r="F166" s="296">
        <v>3</v>
      </c>
      <c r="G166" s="296">
        <v>0</v>
      </c>
      <c r="H166" s="297">
        <v>41167</v>
      </c>
      <c r="I166" s="298"/>
      <c r="J166" s="295">
        <v>41167</v>
      </c>
      <c r="K166" s="326"/>
      <c r="L166" s="326"/>
      <c r="M166" s="299">
        <v>1</v>
      </c>
      <c r="N166" s="299"/>
      <c r="O166" s="299"/>
      <c r="P166" s="296">
        <v>100</v>
      </c>
      <c r="Q166" s="146" t="s">
        <v>431</v>
      </c>
      <c r="R166" s="146" t="s">
        <v>419</v>
      </c>
      <c r="S166" s="146" t="s">
        <v>437</v>
      </c>
      <c r="T166" s="146" t="s">
        <v>407</v>
      </c>
      <c r="U166" s="146" t="s">
        <v>399</v>
      </c>
      <c r="V166" s="146" t="s">
        <v>438</v>
      </c>
      <c r="W166" s="146" t="s">
        <v>311</v>
      </c>
      <c r="X166" s="146" t="s">
        <v>307</v>
      </c>
      <c r="Y166" s="146" t="s">
        <v>409</v>
      </c>
      <c r="Z166" s="293"/>
      <c r="AA166" s="294" t="s">
        <v>439</v>
      </c>
      <c r="AB166" s="294">
        <v>9</v>
      </c>
      <c r="AC166" s="296">
        <v>8</v>
      </c>
      <c r="AD166" s="301">
        <v>12915.07</v>
      </c>
      <c r="AE166" s="301">
        <v>84.930000000000291</v>
      </c>
      <c r="AF166" s="301">
        <v>516.6028</v>
      </c>
      <c r="AG166" s="301">
        <v>960</v>
      </c>
      <c r="AH166" s="301"/>
      <c r="AI166" s="301"/>
      <c r="AJ166" s="301"/>
      <c r="AK166" s="301">
        <v>80</v>
      </c>
      <c r="AL166" s="301"/>
      <c r="AM166" s="301"/>
      <c r="AN166" s="301"/>
      <c r="AO166" s="301"/>
      <c r="AP166" s="301"/>
      <c r="AQ166" s="301"/>
      <c r="AR166" s="301"/>
      <c r="AS166" s="301"/>
      <c r="AT166" s="301"/>
      <c r="AU166" s="301"/>
      <c r="AV166" s="301"/>
      <c r="AW166" s="301"/>
      <c r="AX166" s="301"/>
      <c r="AY166" s="301"/>
      <c r="AZ166" s="301"/>
      <c r="BA166" s="301"/>
      <c r="BB166" s="301"/>
      <c r="BC166" s="301"/>
      <c r="BD166" s="301"/>
      <c r="BE166" s="301"/>
      <c r="BF166" s="301"/>
      <c r="BG166" s="301"/>
      <c r="BH166" s="301"/>
      <c r="BI166" s="301"/>
      <c r="BJ166" s="301"/>
      <c r="BK166" s="301"/>
      <c r="BL166" s="301"/>
      <c r="BM166" s="302"/>
      <c r="BN166" s="291">
        <f>+MAX($D$3,DATOS_[[#This Row],[Fecha Inicio Sit. Contract.]])</f>
        <v>45292</v>
      </c>
      <c r="BO166" s="291">
        <f>+MIN($D$4,DATOS_[[#This Row],[Fecha Fin Sit. Contract.]])</f>
        <v>45657</v>
      </c>
      <c r="BP166" s="292">
        <f>+DATOS_[[#This Row],[% de jornada]]*IF(DATOS_[[#This Row],[% jornada reducida]]="",1,DATOS_[[#This Row],[% jornada reducida]])</f>
        <v>1</v>
      </c>
      <c r="BQ166" s="292">
        <f>+(DATOS_[[#This Row],[F.fin.cal]]-DATOS_[[#This Row],[F.ini.cal]]+1)/($D$4-$D$3+1)</f>
        <v>1</v>
      </c>
      <c r="BR166" s="322" t="str">
        <f>IF(OR(AND(DATOS_[[#This Row],[Fecha Fin Contrato]]&lt;$D$3,DATOS_[[#This Row],[Fecha Fin Contrato]]&lt;&gt;""),DATOS_[[#This Row],[Fecha de Contratación]]&gt;$D$4),"Fuera","Dentro")</f>
        <v>Dentro</v>
      </c>
      <c r="BS166" s="322" t="str">
        <f t="array" ref="BS166">IF(MAX(IF(DATOS_[id]=DATOS_[[#This Row],[id]],DATOS_[F.fin.cal]))=DATOS_[[#This Row],[F.fin.cal]],"Sí","NO")</f>
        <v>Sí</v>
      </c>
      <c r="BT166" s="292" t="str">
        <f>IF(AND(DATOS_[[#This Row],[% normaliz]]&lt;&gt;1,DATOS_[[#This Row],[% anualiz]]=1),"Sí","NO")</f>
        <v>NO</v>
      </c>
      <c r="BU166" s="292" t="str">
        <f>IF(AND(DATOS_[[#This Row],[% normaliz]]=1,DATOS_[[#This Row],[% anualiz]]&lt;&gt;1),"Sí","NO")</f>
        <v>NO</v>
      </c>
      <c r="BV166" s="292" t="str">
        <f>IF(AND(DATOS_[[#This Row],[% normaliz]]&lt;&gt;1,DATOS_[[#This Row],[% anualiz]]&lt;&gt;1),"Sí","NO")</f>
        <v>NO</v>
      </c>
      <c r="BW166" s="322" t="str">
        <f>+IF(DATOS_[[#This Row],[% normaliz]]*DATOS_[[#This Row],[% anualiz]]=1,"NO","Sí")</f>
        <v>NO</v>
      </c>
      <c r="BX166" s="323">
        <f>(DATOS_[[#This Row],[S.BASE]]*(1/DATOS_[[#This Row],[% normaliz]])*(1/DATOS_[[#This Row],[% anualiz]]))*IF(DATOS_[[#This Row],[Check Equiparado]]="Sí",1,0)</f>
        <v>12915.07</v>
      </c>
      <c r="BY16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66" s="323">
        <f>+DATOS_[[#This Row],[SALARIO BASE Eq]]+DATOS_[[#This Row],[Tot COMPL.SAL Eq]]</f>
        <v>14556.602800000001</v>
      </c>
      <c r="CA166" s="323">
        <f t="array" ref="CA1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6" s="323">
        <f>+DATOS_[[#This Row],[TOTAL SALARIO Eq]]+DATOS_[[#This Row],[Tot Extrasalarial Eq]]</f>
        <v>14556.602800000001</v>
      </c>
      <c r="CC166" s="327">
        <f>DATOS_[[#This Row],[S.BASE]]</f>
        <v>12915.07</v>
      </c>
      <c r="CD166" s="324">
        <f>+SUM(DATOS_[[#This Row],[Conc.Sal.01]:[Conc.Sal.30]])</f>
        <v>1641.5328000000004</v>
      </c>
      <c r="CE166" s="324">
        <f>+DATOS_[[#This Row],[SALARIO BASE Ef]]+DATOS_[[#This Row],[Tot COMPL.SAL Ef]]</f>
        <v>14556.602800000001</v>
      </c>
      <c r="CF166" s="324">
        <f>+SUM(DATOS_[[#This Row],[C.Extra.01]:[C.Extra.05]])</f>
        <v>0</v>
      </c>
      <c r="CG166" s="330">
        <f>+DATOS_[[#This Row],[TOTAL SALARIO Ef]]+DATOS_[[#This Row],[Tot Extrasalarial Ef]]</f>
        <v>14556.602800000001</v>
      </c>
      <c r="CH166" s="303">
        <f>MIN(IF(DATOS_[[#This Row],[Fecha Fin Contrato]]="",$D$4,DATOS_[[#This Row],[Fecha Fin Contrato]]),$D$4)-MAX(DATOS_[[#This Row],[Fecha de Contratación]],$D$3)+1</f>
        <v>366</v>
      </c>
      <c r="CI166" s="304" t="str">
        <f>IF(COUNTIFS(DATOS_[id],DATOS_[[#This Row],[id]])&gt;1,DATOS_[[#This Row],[id]],"")</f>
        <v/>
      </c>
      <c r="CJ166" s="325">
        <f>(Inicio!$G$10-DATOS_[[#This Row],[Fecha Nacimiento]])/365.25</f>
        <v>45.056810403832991</v>
      </c>
      <c r="CK166" s="325">
        <f>(Inicio!$G$10-DATOS_[[#This Row],[Fecha de Antigüedad]])/365.25</f>
        <v>12.292950034223136</v>
      </c>
      <c r="CL166" s="325" t="str">
        <f>+VLOOKUP(DATOS_[[#This Row],[Clave de Contrato]],TblTiposContrato13[],3,FALSE)</f>
        <v>Completa</v>
      </c>
      <c r="CM166" s="325" t="str">
        <f>+VLOOKUP(DATOS_[[#This Row],[Clave de Contrato]],TblTiposContrato13[],4,FALSE)</f>
        <v>Indefinido</v>
      </c>
      <c r="CN166" s="325" t="str">
        <f>VLOOKUP(DATOS_[[#This Row],[Edad]],CONTRATOS!TblRngEdad,2,TRUE)</f>
        <v>45 a 50</v>
      </c>
      <c r="CO166" s="325" t="str">
        <f>VLOOKUP(DATOS_[[#This Row],[Antigüedad]],TblRngAntg14[],2,TRUE)</f>
        <v>de 10 a 15  años</v>
      </c>
    </row>
    <row r="167" spans="2:93" x14ac:dyDescent="0.25">
      <c r="B167" s="146">
        <v>153</v>
      </c>
      <c r="C167" s="146" t="s">
        <v>163</v>
      </c>
      <c r="D167" s="295">
        <v>26645</v>
      </c>
      <c r="E167" s="296" t="s">
        <v>71</v>
      </c>
      <c r="F167" s="296">
        <v>3</v>
      </c>
      <c r="G167" s="296">
        <v>0</v>
      </c>
      <c r="H167" s="297">
        <v>41197</v>
      </c>
      <c r="I167" s="298"/>
      <c r="J167" s="295">
        <v>41197</v>
      </c>
      <c r="K167" s="326"/>
      <c r="L167" s="326"/>
      <c r="M167" s="299">
        <v>1</v>
      </c>
      <c r="N167" s="299"/>
      <c r="O167" s="299"/>
      <c r="P167" s="296">
        <v>100</v>
      </c>
      <c r="Q167" s="146" t="s">
        <v>414</v>
      </c>
      <c r="R167" s="146" t="s">
        <v>420</v>
      </c>
      <c r="S167" s="146" t="s">
        <v>440</v>
      </c>
      <c r="T167" s="146" t="s">
        <v>407</v>
      </c>
      <c r="U167" s="146" t="s">
        <v>400</v>
      </c>
      <c r="V167" s="146" t="s">
        <v>438</v>
      </c>
      <c r="W167" s="146" t="s">
        <v>311</v>
      </c>
      <c r="X167" s="146" t="s">
        <v>307</v>
      </c>
      <c r="Y167" s="146" t="s">
        <v>409</v>
      </c>
      <c r="Z167" s="293"/>
      <c r="AA167" s="294" t="s">
        <v>439</v>
      </c>
      <c r="AB167" s="294">
        <v>9</v>
      </c>
      <c r="AC167" s="296">
        <v>7</v>
      </c>
      <c r="AD167" s="301">
        <v>12915.07</v>
      </c>
      <c r="AE167" s="301">
        <v>84.930000000000291</v>
      </c>
      <c r="AF167" s="301">
        <v>516.6028</v>
      </c>
      <c r="AG167" s="301">
        <v>960</v>
      </c>
      <c r="AH167" s="301"/>
      <c r="AI167" s="301"/>
      <c r="AJ167" s="301"/>
      <c r="AK167" s="301">
        <v>80</v>
      </c>
      <c r="AL167" s="301"/>
      <c r="AM167" s="301"/>
      <c r="AN167" s="301"/>
      <c r="AO167" s="301"/>
      <c r="AP167" s="301"/>
      <c r="AQ167" s="301"/>
      <c r="AR167" s="301"/>
      <c r="AS167" s="301"/>
      <c r="AT167" s="301"/>
      <c r="AU167" s="301"/>
      <c r="AV167" s="301"/>
      <c r="AW167" s="301"/>
      <c r="AX167" s="301"/>
      <c r="AY167" s="301"/>
      <c r="AZ167" s="301"/>
      <c r="BA167" s="301"/>
      <c r="BB167" s="301"/>
      <c r="BC167" s="301"/>
      <c r="BD167" s="301"/>
      <c r="BE167" s="301"/>
      <c r="BF167" s="301"/>
      <c r="BG167" s="301"/>
      <c r="BH167" s="301"/>
      <c r="BI167" s="301"/>
      <c r="BJ167" s="301"/>
      <c r="BK167" s="301"/>
      <c r="BL167" s="301"/>
      <c r="BM167" s="302"/>
      <c r="BN167" s="291">
        <f>+MAX($D$3,DATOS_[[#This Row],[Fecha Inicio Sit. Contract.]])</f>
        <v>45292</v>
      </c>
      <c r="BO167" s="291">
        <f>+MIN($D$4,DATOS_[[#This Row],[Fecha Fin Sit. Contract.]])</f>
        <v>45657</v>
      </c>
      <c r="BP167" s="292">
        <f>+DATOS_[[#This Row],[% de jornada]]*IF(DATOS_[[#This Row],[% jornada reducida]]="",1,DATOS_[[#This Row],[% jornada reducida]])</f>
        <v>1</v>
      </c>
      <c r="BQ167" s="292">
        <f>+(DATOS_[[#This Row],[F.fin.cal]]-DATOS_[[#This Row],[F.ini.cal]]+1)/($D$4-$D$3+1)</f>
        <v>1</v>
      </c>
      <c r="BR167" s="322" t="str">
        <f>IF(OR(AND(DATOS_[[#This Row],[Fecha Fin Contrato]]&lt;$D$3,DATOS_[[#This Row],[Fecha Fin Contrato]]&lt;&gt;""),DATOS_[[#This Row],[Fecha de Contratación]]&gt;$D$4),"Fuera","Dentro")</f>
        <v>Dentro</v>
      </c>
      <c r="BS167" s="322" t="str">
        <f t="array" ref="BS167">IF(MAX(IF(DATOS_[id]=DATOS_[[#This Row],[id]],DATOS_[F.fin.cal]))=DATOS_[[#This Row],[F.fin.cal]],"Sí","NO")</f>
        <v>Sí</v>
      </c>
      <c r="BT167" s="292" t="str">
        <f>IF(AND(DATOS_[[#This Row],[% normaliz]]&lt;&gt;1,DATOS_[[#This Row],[% anualiz]]=1),"Sí","NO")</f>
        <v>NO</v>
      </c>
      <c r="BU167" s="292" t="str">
        <f>IF(AND(DATOS_[[#This Row],[% normaliz]]=1,DATOS_[[#This Row],[% anualiz]]&lt;&gt;1),"Sí","NO")</f>
        <v>NO</v>
      </c>
      <c r="BV167" s="292" t="str">
        <f>IF(AND(DATOS_[[#This Row],[% normaliz]]&lt;&gt;1,DATOS_[[#This Row],[% anualiz]]&lt;&gt;1),"Sí","NO")</f>
        <v>NO</v>
      </c>
      <c r="BW167" s="322" t="str">
        <f>+IF(DATOS_[[#This Row],[% normaliz]]*DATOS_[[#This Row],[% anualiz]]=1,"NO","Sí")</f>
        <v>NO</v>
      </c>
      <c r="BX167" s="323">
        <f>(DATOS_[[#This Row],[S.BASE]]*(1/DATOS_[[#This Row],[% normaliz]])*(1/DATOS_[[#This Row],[% anualiz]]))*IF(DATOS_[[#This Row],[Check Equiparado]]="Sí",1,0)</f>
        <v>12915.07</v>
      </c>
      <c r="BY16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67" s="323">
        <f>+DATOS_[[#This Row],[SALARIO BASE Eq]]+DATOS_[[#This Row],[Tot COMPL.SAL Eq]]</f>
        <v>14556.602800000001</v>
      </c>
      <c r="CA167" s="323">
        <f t="array" ref="CA1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7" s="323">
        <f>+DATOS_[[#This Row],[TOTAL SALARIO Eq]]+DATOS_[[#This Row],[Tot Extrasalarial Eq]]</f>
        <v>14556.602800000001</v>
      </c>
      <c r="CC167" s="327">
        <f>DATOS_[[#This Row],[S.BASE]]</f>
        <v>12915.07</v>
      </c>
      <c r="CD167" s="324">
        <f>+SUM(DATOS_[[#This Row],[Conc.Sal.01]:[Conc.Sal.30]])</f>
        <v>1641.5328000000004</v>
      </c>
      <c r="CE167" s="324">
        <f>+DATOS_[[#This Row],[SALARIO BASE Ef]]+DATOS_[[#This Row],[Tot COMPL.SAL Ef]]</f>
        <v>14556.602800000001</v>
      </c>
      <c r="CF167" s="324">
        <f>+SUM(DATOS_[[#This Row],[C.Extra.01]:[C.Extra.05]])</f>
        <v>0</v>
      </c>
      <c r="CG167" s="330">
        <f>+DATOS_[[#This Row],[TOTAL SALARIO Ef]]+DATOS_[[#This Row],[Tot Extrasalarial Ef]]</f>
        <v>14556.602800000001</v>
      </c>
      <c r="CH167" s="303">
        <f>MIN(IF(DATOS_[[#This Row],[Fecha Fin Contrato]]="",$D$4,DATOS_[[#This Row],[Fecha Fin Contrato]]),$D$4)-MAX(DATOS_[[#This Row],[Fecha de Contratación]],$D$3)+1</f>
        <v>366</v>
      </c>
      <c r="CI167" s="304" t="str">
        <f>IF(COUNTIFS(DATOS_[id],DATOS_[[#This Row],[id]])&gt;1,DATOS_[[#This Row],[id]],"")</f>
        <v/>
      </c>
      <c r="CJ167" s="325">
        <f>(Inicio!$G$10-DATOS_[[#This Row],[Fecha Nacimiento]])/365.25</f>
        <v>52.05201916495551</v>
      </c>
      <c r="CK167" s="325">
        <f>(Inicio!$G$10-DATOS_[[#This Row],[Fecha de Antigüedad]])/365.25</f>
        <v>12.210814510609172</v>
      </c>
      <c r="CL167" s="325" t="str">
        <f>+VLOOKUP(DATOS_[[#This Row],[Clave de Contrato]],TblTiposContrato13[],3,FALSE)</f>
        <v>Completa</v>
      </c>
      <c r="CM167" s="325" t="str">
        <f>+VLOOKUP(DATOS_[[#This Row],[Clave de Contrato]],TblTiposContrato13[],4,FALSE)</f>
        <v>Indefinido</v>
      </c>
      <c r="CN167" s="325" t="str">
        <f>VLOOKUP(DATOS_[[#This Row],[Edad]],CONTRATOS!TblRngEdad,2,TRUE)</f>
        <v>50 a 55</v>
      </c>
      <c r="CO167" s="325" t="str">
        <f>VLOOKUP(DATOS_[[#This Row],[Antigüedad]],TblRngAntg14[],2,TRUE)</f>
        <v>de 10 a 15  años</v>
      </c>
    </row>
    <row r="168" spans="2:93" x14ac:dyDescent="0.25">
      <c r="B168" s="146">
        <v>154</v>
      </c>
      <c r="C168" s="146" t="s">
        <v>162</v>
      </c>
      <c r="D168" s="295">
        <v>29930</v>
      </c>
      <c r="E168" s="296" t="s">
        <v>71</v>
      </c>
      <c r="F168" s="296">
        <v>3</v>
      </c>
      <c r="G168" s="296">
        <v>0</v>
      </c>
      <c r="H168" s="297">
        <v>41227</v>
      </c>
      <c r="I168" s="298"/>
      <c r="J168" s="295">
        <v>41227</v>
      </c>
      <c r="K168" s="326"/>
      <c r="L168" s="326"/>
      <c r="M168" s="299">
        <v>1</v>
      </c>
      <c r="N168" s="299"/>
      <c r="O168" s="299"/>
      <c r="P168" s="296">
        <v>100</v>
      </c>
      <c r="Q168" s="146" t="s">
        <v>431</v>
      </c>
      <c r="R168" s="146" t="s">
        <v>419</v>
      </c>
      <c r="S168" s="146" t="s">
        <v>437</v>
      </c>
      <c r="T168" s="146" t="s">
        <v>407</v>
      </c>
      <c r="U168" s="146" t="s">
        <v>399</v>
      </c>
      <c r="V168" s="146" t="s">
        <v>438</v>
      </c>
      <c r="W168" s="146" t="s">
        <v>311</v>
      </c>
      <c r="X168" s="146" t="s">
        <v>307</v>
      </c>
      <c r="Y168" s="146" t="s">
        <v>409</v>
      </c>
      <c r="Z168" s="293"/>
      <c r="AA168" s="294" t="s">
        <v>439</v>
      </c>
      <c r="AB168" s="294">
        <v>9</v>
      </c>
      <c r="AC168" s="296">
        <v>8</v>
      </c>
      <c r="AD168" s="301">
        <v>12915.07</v>
      </c>
      <c r="AE168" s="301">
        <v>84.930000000000291</v>
      </c>
      <c r="AF168" s="301">
        <v>516.6028</v>
      </c>
      <c r="AG168" s="301">
        <v>960</v>
      </c>
      <c r="AH168" s="301"/>
      <c r="AI168" s="301"/>
      <c r="AJ168" s="301"/>
      <c r="AK168" s="301">
        <v>80</v>
      </c>
      <c r="AL168" s="301"/>
      <c r="AM168" s="301"/>
      <c r="AN168" s="301"/>
      <c r="AO168" s="301"/>
      <c r="AP168" s="301"/>
      <c r="AQ168" s="301"/>
      <c r="AR168" s="301"/>
      <c r="AS168" s="301"/>
      <c r="AT168" s="301"/>
      <c r="AU168" s="301"/>
      <c r="AV168" s="301"/>
      <c r="AW168" s="301"/>
      <c r="AX168" s="301"/>
      <c r="AY168" s="301"/>
      <c r="AZ168" s="301"/>
      <c r="BA168" s="301"/>
      <c r="BB168" s="301"/>
      <c r="BC168" s="301"/>
      <c r="BD168" s="301"/>
      <c r="BE168" s="301"/>
      <c r="BF168" s="301"/>
      <c r="BG168" s="301"/>
      <c r="BH168" s="301"/>
      <c r="BI168" s="301"/>
      <c r="BJ168" s="301"/>
      <c r="BK168" s="301"/>
      <c r="BL168" s="301"/>
      <c r="BM168" s="302"/>
      <c r="BN168" s="291">
        <f>+MAX($D$3,DATOS_[[#This Row],[Fecha Inicio Sit. Contract.]])</f>
        <v>45292</v>
      </c>
      <c r="BO168" s="291">
        <f>+MIN($D$4,DATOS_[[#This Row],[Fecha Fin Sit. Contract.]])</f>
        <v>45657</v>
      </c>
      <c r="BP168" s="292">
        <f>+DATOS_[[#This Row],[% de jornada]]*IF(DATOS_[[#This Row],[% jornada reducida]]="",1,DATOS_[[#This Row],[% jornada reducida]])</f>
        <v>1</v>
      </c>
      <c r="BQ168" s="292">
        <f>+(DATOS_[[#This Row],[F.fin.cal]]-DATOS_[[#This Row],[F.ini.cal]]+1)/($D$4-$D$3+1)</f>
        <v>1</v>
      </c>
      <c r="BR168" s="322" t="str">
        <f>IF(OR(AND(DATOS_[[#This Row],[Fecha Fin Contrato]]&lt;$D$3,DATOS_[[#This Row],[Fecha Fin Contrato]]&lt;&gt;""),DATOS_[[#This Row],[Fecha de Contratación]]&gt;$D$4),"Fuera","Dentro")</f>
        <v>Dentro</v>
      </c>
      <c r="BS168" s="322" t="str">
        <f t="array" ref="BS168">IF(MAX(IF(DATOS_[id]=DATOS_[[#This Row],[id]],DATOS_[F.fin.cal]))=DATOS_[[#This Row],[F.fin.cal]],"Sí","NO")</f>
        <v>Sí</v>
      </c>
      <c r="BT168" s="292" t="str">
        <f>IF(AND(DATOS_[[#This Row],[% normaliz]]&lt;&gt;1,DATOS_[[#This Row],[% anualiz]]=1),"Sí","NO")</f>
        <v>NO</v>
      </c>
      <c r="BU168" s="292" t="str">
        <f>IF(AND(DATOS_[[#This Row],[% normaliz]]=1,DATOS_[[#This Row],[% anualiz]]&lt;&gt;1),"Sí","NO")</f>
        <v>NO</v>
      </c>
      <c r="BV168" s="292" t="str">
        <f>IF(AND(DATOS_[[#This Row],[% normaliz]]&lt;&gt;1,DATOS_[[#This Row],[% anualiz]]&lt;&gt;1),"Sí","NO")</f>
        <v>NO</v>
      </c>
      <c r="BW168" s="322" t="str">
        <f>+IF(DATOS_[[#This Row],[% normaliz]]*DATOS_[[#This Row],[% anualiz]]=1,"NO","Sí")</f>
        <v>NO</v>
      </c>
      <c r="BX168" s="323">
        <f>(DATOS_[[#This Row],[S.BASE]]*(1/DATOS_[[#This Row],[% normaliz]])*(1/DATOS_[[#This Row],[% anualiz]]))*IF(DATOS_[[#This Row],[Check Equiparado]]="Sí",1,0)</f>
        <v>12915.07</v>
      </c>
      <c r="BY16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68" s="323">
        <f>+DATOS_[[#This Row],[SALARIO BASE Eq]]+DATOS_[[#This Row],[Tot COMPL.SAL Eq]]</f>
        <v>14556.602800000001</v>
      </c>
      <c r="CA168" s="323">
        <f t="array" ref="CA16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8" s="323">
        <f>+DATOS_[[#This Row],[TOTAL SALARIO Eq]]+DATOS_[[#This Row],[Tot Extrasalarial Eq]]</f>
        <v>14556.602800000001</v>
      </c>
      <c r="CC168" s="327">
        <f>DATOS_[[#This Row],[S.BASE]]</f>
        <v>12915.07</v>
      </c>
      <c r="CD168" s="324">
        <f>+SUM(DATOS_[[#This Row],[Conc.Sal.01]:[Conc.Sal.30]])</f>
        <v>1641.5328000000004</v>
      </c>
      <c r="CE168" s="324">
        <f>+DATOS_[[#This Row],[SALARIO BASE Ef]]+DATOS_[[#This Row],[Tot COMPL.SAL Ef]]</f>
        <v>14556.602800000001</v>
      </c>
      <c r="CF168" s="324">
        <f>+SUM(DATOS_[[#This Row],[C.Extra.01]:[C.Extra.05]])</f>
        <v>0</v>
      </c>
      <c r="CG168" s="330">
        <f>+DATOS_[[#This Row],[TOTAL SALARIO Ef]]+DATOS_[[#This Row],[Tot Extrasalarial Ef]]</f>
        <v>14556.602800000001</v>
      </c>
      <c r="CH168" s="303">
        <f>MIN(IF(DATOS_[[#This Row],[Fecha Fin Contrato]]="",$D$4,DATOS_[[#This Row],[Fecha Fin Contrato]]),$D$4)-MAX(DATOS_[[#This Row],[Fecha de Contratación]],$D$3)+1</f>
        <v>366</v>
      </c>
      <c r="CI168" s="304" t="str">
        <f>IF(COUNTIFS(DATOS_[id],DATOS_[[#This Row],[id]])&gt;1,DATOS_[[#This Row],[id]],"")</f>
        <v/>
      </c>
      <c r="CJ168" s="325">
        <f>(Inicio!$G$10-DATOS_[[#This Row],[Fecha Nacimiento]])/365.25</f>
        <v>43.058179329226554</v>
      </c>
      <c r="CK168" s="325">
        <f>(Inicio!$G$10-DATOS_[[#This Row],[Fecha de Antigüedad]])/365.25</f>
        <v>12.128678986995208</v>
      </c>
      <c r="CL168" s="325" t="str">
        <f>+VLOOKUP(DATOS_[[#This Row],[Clave de Contrato]],TblTiposContrato13[],3,FALSE)</f>
        <v>Completa</v>
      </c>
      <c r="CM168" s="325" t="str">
        <f>+VLOOKUP(DATOS_[[#This Row],[Clave de Contrato]],TblTiposContrato13[],4,FALSE)</f>
        <v>Indefinido</v>
      </c>
      <c r="CN168" s="325" t="str">
        <f>VLOOKUP(DATOS_[[#This Row],[Edad]],CONTRATOS!TblRngEdad,2,TRUE)</f>
        <v>40 a 45</v>
      </c>
      <c r="CO168" s="325" t="str">
        <f>VLOOKUP(DATOS_[[#This Row],[Antigüedad]],TblRngAntg14[],2,TRUE)</f>
        <v>de 10 a 15  años</v>
      </c>
    </row>
    <row r="169" spans="2:93" x14ac:dyDescent="0.25">
      <c r="B169" s="146">
        <v>155</v>
      </c>
      <c r="C169" s="146" t="s">
        <v>163</v>
      </c>
      <c r="D169" s="295">
        <v>27740</v>
      </c>
      <c r="E169" s="296" t="s">
        <v>71</v>
      </c>
      <c r="F169" s="296">
        <v>3</v>
      </c>
      <c r="G169" s="296">
        <v>0</v>
      </c>
      <c r="H169" s="297">
        <v>41257</v>
      </c>
      <c r="I169" s="298"/>
      <c r="J169" s="295">
        <v>41257</v>
      </c>
      <c r="K169" s="326"/>
      <c r="L169" s="326"/>
      <c r="M169" s="299">
        <v>1</v>
      </c>
      <c r="N169" s="299">
        <v>0.5</v>
      </c>
      <c r="O169" s="299" t="s">
        <v>147</v>
      </c>
      <c r="P169" s="296">
        <v>100</v>
      </c>
      <c r="Q169" s="146" t="s">
        <v>431</v>
      </c>
      <c r="R169" s="146" t="s">
        <v>419</v>
      </c>
      <c r="S169" s="146" t="s">
        <v>440</v>
      </c>
      <c r="T169" s="146" t="s">
        <v>407</v>
      </c>
      <c r="U169" s="146" t="s">
        <v>400</v>
      </c>
      <c r="V169" s="146" t="s">
        <v>438</v>
      </c>
      <c r="W169" s="146" t="s">
        <v>311</v>
      </c>
      <c r="X169" s="146" t="s">
        <v>307</v>
      </c>
      <c r="Y169" s="146" t="s">
        <v>409</v>
      </c>
      <c r="Z169" s="293"/>
      <c r="AA169" s="294" t="s">
        <v>439</v>
      </c>
      <c r="AB169" s="294">
        <v>9</v>
      </c>
      <c r="AC169" s="296">
        <v>7</v>
      </c>
      <c r="AD169" s="301">
        <v>6457.5349999999999</v>
      </c>
      <c r="AE169" s="301">
        <v>42.465000000000146</v>
      </c>
      <c r="AF169" s="301">
        <v>258.3014</v>
      </c>
      <c r="AG169" s="301">
        <v>960</v>
      </c>
      <c r="AH169" s="301"/>
      <c r="AI169" s="301"/>
      <c r="AJ169" s="301"/>
      <c r="AK169" s="301">
        <v>80</v>
      </c>
      <c r="AL169" s="301"/>
      <c r="AM169" s="301"/>
      <c r="AN169" s="301"/>
      <c r="AO169" s="301"/>
      <c r="AP169" s="301"/>
      <c r="AQ169" s="301"/>
      <c r="AR169" s="301"/>
      <c r="AS169" s="301"/>
      <c r="AT169" s="301"/>
      <c r="AU169" s="301"/>
      <c r="AV169" s="301"/>
      <c r="AW169" s="301"/>
      <c r="AX169" s="301"/>
      <c r="AY169" s="301"/>
      <c r="AZ169" s="301"/>
      <c r="BA169" s="301"/>
      <c r="BB169" s="301"/>
      <c r="BC169" s="301"/>
      <c r="BD169" s="301"/>
      <c r="BE169" s="301"/>
      <c r="BF169" s="301"/>
      <c r="BG169" s="301"/>
      <c r="BH169" s="301"/>
      <c r="BI169" s="301"/>
      <c r="BJ169" s="301"/>
      <c r="BK169" s="301"/>
      <c r="BL169" s="301"/>
      <c r="BM169" s="302"/>
      <c r="BN169" s="291">
        <f>+MAX($D$3,DATOS_[[#This Row],[Fecha Inicio Sit. Contract.]])</f>
        <v>45292</v>
      </c>
      <c r="BO169" s="291">
        <f>+MIN($D$4,DATOS_[[#This Row],[Fecha Fin Sit. Contract.]])</f>
        <v>45657</v>
      </c>
      <c r="BP169" s="292">
        <f>+DATOS_[[#This Row],[% de jornada]]*IF(DATOS_[[#This Row],[% jornada reducida]]="",1,DATOS_[[#This Row],[% jornada reducida]])</f>
        <v>0.5</v>
      </c>
      <c r="BQ169" s="292">
        <f>+(DATOS_[[#This Row],[F.fin.cal]]-DATOS_[[#This Row],[F.ini.cal]]+1)/($D$4-$D$3+1)</f>
        <v>1</v>
      </c>
      <c r="BR169" s="322" t="str">
        <f>IF(OR(AND(DATOS_[[#This Row],[Fecha Fin Contrato]]&lt;$D$3,DATOS_[[#This Row],[Fecha Fin Contrato]]&lt;&gt;""),DATOS_[[#This Row],[Fecha de Contratación]]&gt;$D$4),"Fuera","Dentro")</f>
        <v>Dentro</v>
      </c>
      <c r="BS169" s="322" t="str">
        <f t="array" ref="BS169">IF(MAX(IF(DATOS_[id]=DATOS_[[#This Row],[id]],DATOS_[F.fin.cal]))=DATOS_[[#This Row],[F.fin.cal]],"Sí","NO")</f>
        <v>Sí</v>
      </c>
      <c r="BT169" s="292" t="str">
        <f>IF(AND(DATOS_[[#This Row],[% normaliz]]&lt;&gt;1,DATOS_[[#This Row],[% anualiz]]=1),"Sí","NO")</f>
        <v>Sí</v>
      </c>
      <c r="BU169" s="292" t="str">
        <f>IF(AND(DATOS_[[#This Row],[% normaliz]]=1,DATOS_[[#This Row],[% anualiz]]&lt;&gt;1),"Sí","NO")</f>
        <v>NO</v>
      </c>
      <c r="BV169" s="292" t="str">
        <f>IF(AND(DATOS_[[#This Row],[% normaliz]]&lt;&gt;1,DATOS_[[#This Row],[% anualiz]]&lt;&gt;1),"Sí","NO")</f>
        <v>NO</v>
      </c>
      <c r="BW169" s="322" t="str">
        <f>+IF(DATOS_[[#This Row],[% normaliz]]*DATOS_[[#This Row],[% anualiz]]=1,"NO","Sí")</f>
        <v>Sí</v>
      </c>
      <c r="BX169" s="323">
        <f>(DATOS_[[#This Row],[S.BASE]]*(1/DATOS_[[#This Row],[% normaliz]])*(1/DATOS_[[#This Row],[% anualiz]]))*IF(DATOS_[[#This Row],[Check Equiparado]]="Sí",1,0)</f>
        <v>12915.07</v>
      </c>
      <c r="BY16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69" s="323">
        <f>+DATOS_[[#This Row],[SALARIO BASE Eq]]+DATOS_[[#This Row],[Tot COMPL.SAL Eq]]</f>
        <v>14556.602800000001</v>
      </c>
      <c r="CA169" s="323">
        <f t="array" ref="CA16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9" s="323">
        <f>+DATOS_[[#This Row],[TOTAL SALARIO Eq]]+DATOS_[[#This Row],[Tot Extrasalarial Eq]]</f>
        <v>14556.602800000001</v>
      </c>
      <c r="CC169" s="327">
        <f>DATOS_[[#This Row],[S.BASE]]</f>
        <v>6457.5349999999999</v>
      </c>
      <c r="CD169" s="324">
        <f>+SUM(DATOS_[[#This Row],[Conc.Sal.01]:[Conc.Sal.30]])</f>
        <v>1340.7664000000002</v>
      </c>
      <c r="CE169" s="324">
        <f>+DATOS_[[#This Row],[SALARIO BASE Ef]]+DATOS_[[#This Row],[Tot COMPL.SAL Ef]]</f>
        <v>7798.3014000000003</v>
      </c>
      <c r="CF169" s="324">
        <f>+SUM(DATOS_[[#This Row],[C.Extra.01]:[C.Extra.05]])</f>
        <v>0</v>
      </c>
      <c r="CG169" s="330">
        <f>+DATOS_[[#This Row],[TOTAL SALARIO Ef]]+DATOS_[[#This Row],[Tot Extrasalarial Ef]]</f>
        <v>7798.3014000000003</v>
      </c>
      <c r="CH169" s="303">
        <f>MIN(IF(DATOS_[[#This Row],[Fecha Fin Contrato]]="",$D$4,DATOS_[[#This Row],[Fecha Fin Contrato]]),$D$4)-MAX(DATOS_[[#This Row],[Fecha de Contratación]],$D$3)+1</f>
        <v>366</v>
      </c>
      <c r="CI169" s="304" t="str">
        <f>IF(COUNTIFS(DATOS_[id],DATOS_[[#This Row],[id]])&gt;1,DATOS_[[#This Row],[id]],"")</f>
        <v/>
      </c>
      <c r="CJ169" s="325">
        <f>(Inicio!$G$10-DATOS_[[#This Row],[Fecha Nacimiento]])/365.25</f>
        <v>49.054072553045856</v>
      </c>
      <c r="CK169" s="325">
        <f>(Inicio!$G$10-DATOS_[[#This Row],[Fecha de Antigüedad]])/365.25</f>
        <v>12.046543463381246</v>
      </c>
      <c r="CL169" s="325" t="str">
        <f>+VLOOKUP(DATOS_[[#This Row],[Clave de Contrato]],TblTiposContrato13[],3,FALSE)</f>
        <v>Completa</v>
      </c>
      <c r="CM169" s="325" t="str">
        <f>+VLOOKUP(DATOS_[[#This Row],[Clave de Contrato]],TblTiposContrato13[],4,FALSE)</f>
        <v>Indefinido</v>
      </c>
      <c r="CN169" s="325" t="str">
        <f>VLOOKUP(DATOS_[[#This Row],[Edad]],CONTRATOS!TblRngEdad,2,TRUE)</f>
        <v>45 a 50</v>
      </c>
      <c r="CO169" s="325" t="str">
        <f>VLOOKUP(DATOS_[[#This Row],[Antigüedad]],TblRngAntg14[],2,TRUE)</f>
        <v>de 10 a 15  años</v>
      </c>
    </row>
    <row r="170" spans="2:93" x14ac:dyDescent="0.25">
      <c r="B170" s="146">
        <v>156</v>
      </c>
      <c r="C170" s="146" t="s">
        <v>163</v>
      </c>
      <c r="D170" s="295">
        <v>33215</v>
      </c>
      <c r="E170" s="296" t="s">
        <v>71</v>
      </c>
      <c r="F170" s="296">
        <v>3</v>
      </c>
      <c r="G170" s="296">
        <v>0</v>
      </c>
      <c r="H170" s="297">
        <v>41287</v>
      </c>
      <c r="I170" s="298"/>
      <c r="J170" s="295">
        <v>41287</v>
      </c>
      <c r="K170" s="326"/>
      <c r="L170" s="326"/>
      <c r="M170" s="299">
        <v>1</v>
      </c>
      <c r="N170" s="299">
        <v>0.5</v>
      </c>
      <c r="O170" s="299" t="s">
        <v>147</v>
      </c>
      <c r="P170" s="296">
        <v>100</v>
      </c>
      <c r="Q170" s="146" t="s">
        <v>431</v>
      </c>
      <c r="R170" s="146" t="s">
        <v>419</v>
      </c>
      <c r="S170" s="146" t="s">
        <v>440</v>
      </c>
      <c r="T170" s="146" t="s">
        <v>407</v>
      </c>
      <c r="U170" s="146" t="s">
        <v>400</v>
      </c>
      <c r="V170" s="146" t="s">
        <v>438</v>
      </c>
      <c r="W170" s="146" t="s">
        <v>311</v>
      </c>
      <c r="X170" s="146" t="s">
        <v>307</v>
      </c>
      <c r="Y170" s="146" t="s">
        <v>409</v>
      </c>
      <c r="Z170" s="293"/>
      <c r="AA170" s="294" t="s">
        <v>439</v>
      </c>
      <c r="AB170" s="294">
        <v>9</v>
      </c>
      <c r="AC170" s="296">
        <v>7</v>
      </c>
      <c r="AD170" s="301">
        <v>6457.5349999999999</v>
      </c>
      <c r="AE170" s="301">
        <v>42.465000000000146</v>
      </c>
      <c r="AF170" s="301">
        <v>258.3014</v>
      </c>
      <c r="AG170" s="301">
        <v>960</v>
      </c>
      <c r="AH170" s="301"/>
      <c r="AI170" s="301"/>
      <c r="AJ170" s="301"/>
      <c r="AK170" s="301">
        <v>80</v>
      </c>
      <c r="AL170" s="301"/>
      <c r="AM170" s="301"/>
      <c r="AN170" s="301"/>
      <c r="AO170" s="301"/>
      <c r="AP170" s="301"/>
      <c r="AQ170" s="301"/>
      <c r="AR170" s="301"/>
      <c r="AS170" s="301"/>
      <c r="AT170" s="301"/>
      <c r="AU170" s="301"/>
      <c r="AV170" s="301"/>
      <c r="AW170" s="301"/>
      <c r="AX170" s="301"/>
      <c r="AY170" s="301"/>
      <c r="AZ170" s="301"/>
      <c r="BA170" s="301"/>
      <c r="BB170" s="301"/>
      <c r="BC170" s="301"/>
      <c r="BD170" s="301"/>
      <c r="BE170" s="301"/>
      <c r="BF170" s="301"/>
      <c r="BG170" s="301"/>
      <c r="BH170" s="301"/>
      <c r="BI170" s="301"/>
      <c r="BJ170" s="301"/>
      <c r="BK170" s="301"/>
      <c r="BL170" s="301"/>
      <c r="BM170" s="302"/>
      <c r="BN170" s="291">
        <f>+MAX($D$3,DATOS_[[#This Row],[Fecha Inicio Sit. Contract.]])</f>
        <v>45292</v>
      </c>
      <c r="BO170" s="291">
        <f>+MIN($D$4,DATOS_[[#This Row],[Fecha Fin Sit. Contract.]])</f>
        <v>45657</v>
      </c>
      <c r="BP170" s="292">
        <f>+DATOS_[[#This Row],[% de jornada]]*IF(DATOS_[[#This Row],[% jornada reducida]]="",1,DATOS_[[#This Row],[% jornada reducida]])</f>
        <v>0.5</v>
      </c>
      <c r="BQ170" s="292">
        <f>+(DATOS_[[#This Row],[F.fin.cal]]-DATOS_[[#This Row],[F.ini.cal]]+1)/($D$4-$D$3+1)</f>
        <v>1</v>
      </c>
      <c r="BR170" s="322" t="str">
        <f>IF(OR(AND(DATOS_[[#This Row],[Fecha Fin Contrato]]&lt;$D$3,DATOS_[[#This Row],[Fecha Fin Contrato]]&lt;&gt;""),DATOS_[[#This Row],[Fecha de Contratación]]&gt;$D$4),"Fuera","Dentro")</f>
        <v>Dentro</v>
      </c>
      <c r="BS170" s="322" t="str">
        <f t="array" ref="BS170">IF(MAX(IF(DATOS_[id]=DATOS_[[#This Row],[id]],DATOS_[F.fin.cal]))=DATOS_[[#This Row],[F.fin.cal]],"Sí","NO")</f>
        <v>Sí</v>
      </c>
      <c r="BT170" s="292" t="str">
        <f>IF(AND(DATOS_[[#This Row],[% normaliz]]&lt;&gt;1,DATOS_[[#This Row],[% anualiz]]=1),"Sí","NO")</f>
        <v>Sí</v>
      </c>
      <c r="BU170" s="292" t="str">
        <f>IF(AND(DATOS_[[#This Row],[% normaliz]]=1,DATOS_[[#This Row],[% anualiz]]&lt;&gt;1),"Sí","NO")</f>
        <v>NO</v>
      </c>
      <c r="BV170" s="292" t="str">
        <f>IF(AND(DATOS_[[#This Row],[% normaliz]]&lt;&gt;1,DATOS_[[#This Row],[% anualiz]]&lt;&gt;1),"Sí","NO")</f>
        <v>NO</v>
      </c>
      <c r="BW170" s="322" t="str">
        <f>+IF(DATOS_[[#This Row],[% normaliz]]*DATOS_[[#This Row],[% anualiz]]=1,"NO","Sí")</f>
        <v>Sí</v>
      </c>
      <c r="BX170" s="323">
        <f>(DATOS_[[#This Row],[S.BASE]]*(1/DATOS_[[#This Row],[% normaliz]])*(1/DATOS_[[#This Row],[% anualiz]]))*IF(DATOS_[[#This Row],[Check Equiparado]]="Sí",1,0)</f>
        <v>12915.07</v>
      </c>
      <c r="BY17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70" s="323">
        <f>+DATOS_[[#This Row],[SALARIO BASE Eq]]+DATOS_[[#This Row],[Tot COMPL.SAL Eq]]</f>
        <v>14556.602800000001</v>
      </c>
      <c r="CA170" s="323">
        <f t="array" ref="CA17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0" s="323">
        <f>+DATOS_[[#This Row],[TOTAL SALARIO Eq]]+DATOS_[[#This Row],[Tot Extrasalarial Eq]]</f>
        <v>14556.602800000001</v>
      </c>
      <c r="CC170" s="327">
        <f>DATOS_[[#This Row],[S.BASE]]</f>
        <v>6457.5349999999999</v>
      </c>
      <c r="CD170" s="324">
        <f>+SUM(DATOS_[[#This Row],[Conc.Sal.01]:[Conc.Sal.30]])</f>
        <v>1340.7664000000002</v>
      </c>
      <c r="CE170" s="324">
        <f>+DATOS_[[#This Row],[SALARIO BASE Ef]]+DATOS_[[#This Row],[Tot COMPL.SAL Ef]]</f>
        <v>7798.3014000000003</v>
      </c>
      <c r="CF170" s="324">
        <f>+SUM(DATOS_[[#This Row],[C.Extra.01]:[C.Extra.05]])</f>
        <v>0</v>
      </c>
      <c r="CG170" s="330">
        <f>+DATOS_[[#This Row],[TOTAL SALARIO Ef]]+DATOS_[[#This Row],[Tot Extrasalarial Ef]]</f>
        <v>7798.3014000000003</v>
      </c>
      <c r="CH170" s="303">
        <f>MIN(IF(DATOS_[[#This Row],[Fecha Fin Contrato]]="",$D$4,DATOS_[[#This Row],[Fecha Fin Contrato]]),$D$4)-MAX(DATOS_[[#This Row],[Fecha de Contratación]],$D$3)+1</f>
        <v>366</v>
      </c>
      <c r="CI170" s="304" t="str">
        <f>IF(COUNTIFS(DATOS_[id],DATOS_[[#This Row],[id]])&gt;1,DATOS_[[#This Row],[id]],"")</f>
        <v/>
      </c>
      <c r="CJ170" s="325">
        <f>(Inicio!$G$10-DATOS_[[#This Row],[Fecha Nacimiento]])/365.25</f>
        <v>34.064339493497606</v>
      </c>
      <c r="CK170" s="325">
        <f>(Inicio!$G$10-DATOS_[[#This Row],[Fecha de Antigüedad]])/365.25</f>
        <v>11.964407939767282</v>
      </c>
      <c r="CL170" s="325" t="str">
        <f>+VLOOKUP(DATOS_[[#This Row],[Clave de Contrato]],TblTiposContrato13[],3,FALSE)</f>
        <v>Completa</v>
      </c>
      <c r="CM170" s="325" t="str">
        <f>+VLOOKUP(DATOS_[[#This Row],[Clave de Contrato]],TblTiposContrato13[],4,FALSE)</f>
        <v>Indefinido</v>
      </c>
      <c r="CN170" s="325" t="str">
        <f>VLOOKUP(DATOS_[[#This Row],[Edad]],CONTRATOS!TblRngEdad,2,TRUE)</f>
        <v>30 a 35</v>
      </c>
      <c r="CO170" s="325" t="str">
        <f>VLOOKUP(DATOS_[[#This Row],[Antigüedad]],TblRngAntg14[],2,TRUE)</f>
        <v>de 10 a 15  años</v>
      </c>
    </row>
    <row r="171" spans="2:93" x14ac:dyDescent="0.25">
      <c r="B171" s="146">
        <v>157</v>
      </c>
      <c r="C171" s="146" t="s">
        <v>162</v>
      </c>
      <c r="D171" s="295">
        <v>31025</v>
      </c>
      <c r="E171" s="296" t="s">
        <v>71</v>
      </c>
      <c r="F171" s="296">
        <v>3</v>
      </c>
      <c r="G171" s="296">
        <v>0</v>
      </c>
      <c r="H171" s="297">
        <v>41317</v>
      </c>
      <c r="I171" s="298"/>
      <c r="J171" s="295">
        <v>41317</v>
      </c>
      <c r="K171" s="326"/>
      <c r="L171" s="326"/>
      <c r="M171" s="299">
        <v>1</v>
      </c>
      <c r="N171" s="299"/>
      <c r="O171" s="299"/>
      <c r="P171" s="296">
        <v>100</v>
      </c>
      <c r="Q171" s="146" t="s">
        <v>431</v>
      </c>
      <c r="R171" s="146" t="s">
        <v>419</v>
      </c>
      <c r="S171" s="146" t="s">
        <v>440</v>
      </c>
      <c r="T171" s="146" t="s">
        <v>407</v>
      </c>
      <c r="U171" s="146" t="s">
        <v>400</v>
      </c>
      <c r="V171" s="146" t="s">
        <v>438</v>
      </c>
      <c r="W171" s="146" t="s">
        <v>311</v>
      </c>
      <c r="X171" s="146" t="s">
        <v>307</v>
      </c>
      <c r="Y171" s="146" t="s">
        <v>409</v>
      </c>
      <c r="Z171" s="293"/>
      <c r="AA171" s="294" t="s">
        <v>439</v>
      </c>
      <c r="AB171" s="294">
        <v>9</v>
      </c>
      <c r="AC171" s="296">
        <v>7</v>
      </c>
      <c r="AD171" s="301">
        <v>12915.07</v>
      </c>
      <c r="AE171" s="301">
        <v>84.930000000000291</v>
      </c>
      <c r="AF171" s="301">
        <v>516.6028</v>
      </c>
      <c r="AG171" s="301">
        <v>960</v>
      </c>
      <c r="AH171" s="301"/>
      <c r="AI171" s="301"/>
      <c r="AJ171" s="301"/>
      <c r="AK171" s="301">
        <v>80</v>
      </c>
      <c r="AL171" s="301"/>
      <c r="AM171" s="301"/>
      <c r="AN171" s="301"/>
      <c r="AO171" s="301"/>
      <c r="AP171" s="301"/>
      <c r="AQ171" s="301"/>
      <c r="AR171" s="301"/>
      <c r="AS171" s="301"/>
      <c r="AT171" s="301"/>
      <c r="AU171" s="301"/>
      <c r="AV171" s="301"/>
      <c r="AW171" s="301"/>
      <c r="AX171" s="301"/>
      <c r="AY171" s="301"/>
      <c r="AZ171" s="301"/>
      <c r="BA171" s="301"/>
      <c r="BB171" s="301"/>
      <c r="BC171" s="301"/>
      <c r="BD171" s="301"/>
      <c r="BE171" s="301"/>
      <c r="BF171" s="301"/>
      <c r="BG171" s="301"/>
      <c r="BH171" s="301"/>
      <c r="BI171" s="301"/>
      <c r="BJ171" s="301"/>
      <c r="BK171" s="301"/>
      <c r="BL171" s="301"/>
      <c r="BM171" s="302"/>
      <c r="BN171" s="291">
        <f>+MAX($D$3,DATOS_[[#This Row],[Fecha Inicio Sit. Contract.]])</f>
        <v>45292</v>
      </c>
      <c r="BO171" s="291">
        <f>+MIN($D$4,DATOS_[[#This Row],[Fecha Fin Sit. Contract.]])</f>
        <v>45657</v>
      </c>
      <c r="BP171" s="292">
        <f>+DATOS_[[#This Row],[% de jornada]]*IF(DATOS_[[#This Row],[% jornada reducida]]="",1,DATOS_[[#This Row],[% jornada reducida]])</f>
        <v>1</v>
      </c>
      <c r="BQ171" s="292">
        <f>+(DATOS_[[#This Row],[F.fin.cal]]-DATOS_[[#This Row],[F.ini.cal]]+1)/($D$4-$D$3+1)</f>
        <v>1</v>
      </c>
      <c r="BR171" s="322" t="str">
        <f>IF(OR(AND(DATOS_[[#This Row],[Fecha Fin Contrato]]&lt;$D$3,DATOS_[[#This Row],[Fecha Fin Contrato]]&lt;&gt;""),DATOS_[[#This Row],[Fecha de Contratación]]&gt;$D$4),"Fuera","Dentro")</f>
        <v>Dentro</v>
      </c>
      <c r="BS171" s="322" t="str">
        <f t="array" ref="BS171">IF(MAX(IF(DATOS_[id]=DATOS_[[#This Row],[id]],DATOS_[F.fin.cal]))=DATOS_[[#This Row],[F.fin.cal]],"Sí","NO")</f>
        <v>Sí</v>
      </c>
      <c r="BT171" s="292" t="str">
        <f>IF(AND(DATOS_[[#This Row],[% normaliz]]&lt;&gt;1,DATOS_[[#This Row],[% anualiz]]=1),"Sí","NO")</f>
        <v>NO</v>
      </c>
      <c r="BU171" s="292" t="str">
        <f>IF(AND(DATOS_[[#This Row],[% normaliz]]=1,DATOS_[[#This Row],[% anualiz]]&lt;&gt;1),"Sí","NO")</f>
        <v>NO</v>
      </c>
      <c r="BV171" s="292" t="str">
        <f>IF(AND(DATOS_[[#This Row],[% normaliz]]&lt;&gt;1,DATOS_[[#This Row],[% anualiz]]&lt;&gt;1),"Sí","NO")</f>
        <v>NO</v>
      </c>
      <c r="BW171" s="322" t="str">
        <f>+IF(DATOS_[[#This Row],[% normaliz]]*DATOS_[[#This Row],[% anualiz]]=1,"NO","Sí")</f>
        <v>NO</v>
      </c>
      <c r="BX171" s="323">
        <f>(DATOS_[[#This Row],[S.BASE]]*(1/DATOS_[[#This Row],[% normaliz]])*(1/DATOS_[[#This Row],[% anualiz]]))*IF(DATOS_[[#This Row],[Check Equiparado]]="Sí",1,0)</f>
        <v>12915.07</v>
      </c>
      <c r="BY17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71" s="323">
        <f>+DATOS_[[#This Row],[SALARIO BASE Eq]]+DATOS_[[#This Row],[Tot COMPL.SAL Eq]]</f>
        <v>14556.602800000001</v>
      </c>
      <c r="CA171" s="323">
        <f t="array" ref="CA17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1" s="323">
        <f>+DATOS_[[#This Row],[TOTAL SALARIO Eq]]+DATOS_[[#This Row],[Tot Extrasalarial Eq]]</f>
        <v>14556.602800000001</v>
      </c>
      <c r="CC171" s="327">
        <f>DATOS_[[#This Row],[S.BASE]]</f>
        <v>12915.07</v>
      </c>
      <c r="CD171" s="324">
        <f>+SUM(DATOS_[[#This Row],[Conc.Sal.01]:[Conc.Sal.30]])</f>
        <v>1641.5328000000004</v>
      </c>
      <c r="CE171" s="324">
        <f>+DATOS_[[#This Row],[SALARIO BASE Ef]]+DATOS_[[#This Row],[Tot COMPL.SAL Ef]]</f>
        <v>14556.602800000001</v>
      </c>
      <c r="CF171" s="324">
        <f>+SUM(DATOS_[[#This Row],[C.Extra.01]:[C.Extra.05]])</f>
        <v>0</v>
      </c>
      <c r="CG171" s="330">
        <f>+DATOS_[[#This Row],[TOTAL SALARIO Ef]]+DATOS_[[#This Row],[Tot Extrasalarial Ef]]</f>
        <v>14556.602800000001</v>
      </c>
      <c r="CH171" s="303">
        <f>MIN(IF(DATOS_[[#This Row],[Fecha Fin Contrato]]="",$D$4,DATOS_[[#This Row],[Fecha Fin Contrato]]),$D$4)-MAX(DATOS_[[#This Row],[Fecha de Contratación]],$D$3)+1</f>
        <v>366</v>
      </c>
      <c r="CI171" s="304" t="str">
        <f>IF(COUNTIFS(DATOS_[id],DATOS_[[#This Row],[id]])&gt;1,DATOS_[[#This Row],[id]],"")</f>
        <v/>
      </c>
      <c r="CJ171" s="325">
        <f>(Inicio!$G$10-DATOS_[[#This Row],[Fecha Nacimiento]])/365.25</f>
        <v>40.060232717316907</v>
      </c>
      <c r="CK171" s="325">
        <f>(Inicio!$G$10-DATOS_[[#This Row],[Fecha de Antigüedad]])/365.25</f>
        <v>11.88227241615332</v>
      </c>
      <c r="CL171" s="325" t="str">
        <f>+VLOOKUP(DATOS_[[#This Row],[Clave de Contrato]],TblTiposContrato13[],3,FALSE)</f>
        <v>Completa</v>
      </c>
      <c r="CM171" s="325" t="str">
        <f>+VLOOKUP(DATOS_[[#This Row],[Clave de Contrato]],TblTiposContrato13[],4,FALSE)</f>
        <v>Indefinido</v>
      </c>
      <c r="CN171" s="325" t="str">
        <f>VLOOKUP(DATOS_[[#This Row],[Edad]],CONTRATOS!TblRngEdad,2,TRUE)</f>
        <v>40 a 45</v>
      </c>
      <c r="CO171" s="325" t="str">
        <f>VLOOKUP(DATOS_[[#This Row],[Antigüedad]],TblRngAntg14[],2,TRUE)</f>
        <v>de 10 a 15  años</v>
      </c>
    </row>
    <row r="172" spans="2:93" x14ac:dyDescent="0.25">
      <c r="B172" s="146">
        <v>158</v>
      </c>
      <c r="C172" s="146" t="s">
        <v>162</v>
      </c>
      <c r="D172" s="295">
        <v>26645</v>
      </c>
      <c r="E172" s="296" t="s">
        <v>71</v>
      </c>
      <c r="F172" s="296">
        <v>3</v>
      </c>
      <c r="G172" s="296">
        <v>0</v>
      </c>
      <c r="H172" s="297">
        <v>41347</v>
      </c>
      <c r="I172" s="298"/>
      <c r="J172" s="295">
        <v>41347</v>
      </c>
      <c r="K172" s="326"/>
      <c r="L172" s="326">
        <v>43921</v>
      </c>
      <c r="M172" s="299">
        <v>1</v>
      </c>
      <c r="N172" s="299"/>
      <c r="O172" s="299"/>
      <c r="P172" s="296">
        <v>100</v>
      </c>
      <c r="Q172" s="146" t="s">
        <v>431</v>
      </c>
      <c r="R172" s="146" t="s">
        <v>419</v>
      </c>
      <c r="S172" s="146" t="s">
        <v>440</v>
      </c>
      <c r="T172" s="146" t="s">
        <v>407</v>
      </c>
      <c r="U172" s="146" t="s">
        <v>400</v>
      </c>
      <c r="V172" s="146" t="s">
        <v>438</v>
      </c>
      <c r="W172" s="146" t="s">
        <v>311</v>
      </c>
      <c r="X172" s="146" t="s">
        <v>307</v>
      </c>
      <c r="Y172" s="146" t="s">
        <v>409</v>
      </c>
      <c r="Z172" s="293"/>
      <c r="AA172" s="294" t="s">
        <v>439</v>
      </c>
      <c r="AB172" s="294">
        <v>9</v>
      </c>
      <c r="AC172" s="296">
        <v>7</v>
      </c>
      <c r="AD172" s="301">
        <v>3228.7674999999999</v>
      </c>
      <c r="AE172" s="301">
        <v>21.232500000000073</v>
      </c>
      <c r="AF172" s="301">
        <v>129.1507</v>
      </c>
      <c r="AG172" s="301">
        <v>240</v>
      </c>
      <c r="AH172" s="301"/>
      <c r="AI172" s="301"/>
      <c r="AJ172" s="301"/>
      <c r="AK172" s="301"/>
      <c r="AL172" s="301"/>
      <c r="AM172" s="301"/>
      <c r="AN172" s="301"/>
      <c r="AO172" s="301"/>
      <c r="AP172" s="301"/>
      <c r="AQ172" s="301"/>
      <c r="AR172" s="301"/>
      <c r="AS172" s="301"/>
      <c r="AT172" s="301"/>
      <c r="AU172" s="301"/>
      <c r="AV172" s="301"/>
      <c r="AW172" s="301"/>
      <c r="AX172" s="301"/>
      <c r="AY172" s="301"/>
      <c r="AZ172" s="301"/>
      <c r="BA172" s="301"/>
      <c r="BB172" s="301"/>
      <c r="BC172" s="301"/>
      <c r="BD172" s="301"/>
      <c r="BE172" s="301"/>
      <c r="BF172" s="301"/>
      <c r="BG172" s="301"/>
      <c r="BH172" s="301"/>
      <c r="BI172" s="301"/>
      <c r="BJ172" s="301"/>
      <c r="BK172" s="301"/>
      <c r="BL172" s="301"/>
      <c r="BM172" s="302"/>
      <c r="BN172" s="291">
        <f>+MAX($D$3,DATOS_[[#This Row],[Fecha Inicio Sit. Contract.]])</f>
        <v>45292</v>
      </c>
      <c r="BO172" s="291">
        <f>+MIN($D$4,DATOS_[[#This Row],[Fecha Fin Sit. Contract.]])</f>
        <v>43921</v>
      </c>
      <c r="BP172" s="292">
        <f>+DATOS_[[#This Row],[% de jornada]]*IF(DATOS_[[#This Row],[% jornada reducida]]="",1,DATOS_[[#This Row],[% jornada reducida]])</f>
        <v>1</v>
      </c>
      <c r="BQ172" s="292">
        <f>+(DATOS_[[#This Row],[F.fin.cal]]-DATOS_[[#This Row],[F.ini.cal]]+1)/($D$4-$D$3+1)</f>
        <v>-3.7431693989071038</v>
      </c>
      <c r="BR172" s="322" t="str">
        <f>IF(OR(AND(DATOS_[[#This Row],[Fecha Fin Contrato]]&lt;$D$3,DATOS_[[#This Row],[Fecha Fin Contrato]]&lt;&gt;""),DATOS_[[#This Row],[Fecha de Contratación]]&gt;$D$4),"Fuera","Dentro")</f>
        <v>Dentro</v>
      </c>
      <c r="BS172" s="322" t="str">
        <f t="array" ref="BS172">IF(MAX(IF(DATOS_[id]=DATOS_[[#This Row],[id]],DATOS_[F.fin.cal]))=DATOS_[[#This Row],[F.fin.cal]],"Sí","NO")</f>
        <v>NO</v>
      </c>
      <c r="BT172" s="292" t="str">
        <f>IF(AND(DATOS_[[#This Row],[% normaliz]]&lt;&gt;1,DATOS_[[#This Row],[% anualiz]]=1),"Sí","NO")</f>
        <v>NO</v>
      </c>
      <c r="BU172" s="292" t="str">
        <f>IF(AND(DATOS_[[#This Row],[% normaliz]]=1,DATOS_[[#This Row],[% anualiz]]&lt;&gt;1),"Sí","NO")</f>
        <v>Sí</v>
      </c>
      <c r="BV172" s="292" t="str">
        <f>IF(AND(DATOS_[[#This Row],[% normaliz]]&lt;&gt;1,DATOS_[[#This Row],[% anualiz]]&lt;&gt;1),"Sí","NO")</f>
        <v>NO</v>
      </c>
      <c r="BW172" s="322" t="str">
        <f>+IF(DATOS_[[#This Row],[% normaliz]]*DATOS_[[#This Row],[% anualiz]]=1,"NO","Sí")</f>
        <v>Sí</v>
      </c>
      <c r="BX172" s="323">
        <f>(DATOS_[[#This Row],[S.BASE]]*(1/DATOS_[[#This Row],[% normaliz]])*(1/DATOS_[[#This Row],[% anualiz]]))*IF(DATOS_[[#This Row],[Check Equiparado]]="Sí",1,0)</f>
        <v>0</v>
      </c>
      <c r="BY17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72" s="323">
        <f>+DATOS_[[#This Row],[SALARIO BASE Eq]]+DATOS_[[#This Row],[Tot COMPL.SAL Eq]]</f>
        <v>0</v>
      </c>
      <c r="CA172" s="323">
        <f t="array" ref="CA17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2" s="323">
        <f>+DATOS_[[#This Row],[TOTAL SALARIO Eq]]+DATOS_[[#This Row],[Tot Extrasalarial Eq]]</f>
        <v>0</v>
      </c>
      <c r="CC172" s="327">
        <f>DATOS_[[#This Row],[S.BASE]]</f>
        <v>3228.7674999999999</v>
      </c>
      <c r="CD172" s="324">
        <f>+SUM(DATOS_[[#This Row],[Conc.Sal.01]:[Conc.Sal.30]])</f>
        <v>390.3832000000001</v>
      </c>
      <c r="CE172" s="324">
        <f>+DATOS_[[#This Row],[SALARIO BASE Ef]]+DATOS_[[#This Row],[Tot COMPL.SAL Ef]]</f>
        <v>3619.1507000000001</v>
      </c>
      <c r="CF172" s="324">
        <f>+SUM(DATOS_[[#This Row],[C.Extra.01]:[C.Extra.05]])</f>
        <v>0</v>
      </c>
      <c r="CG172" s="330">
        <f>+DATOS_[[#This Row],[TOTAL SALARIO Ef]]+DATOS_[[#This Row],[Tot Extrasalarial Ef]]</f>
        <v>3619.1507000000001</v>
      </c>
      <c r="CH172" s="303">
        <f>MIN(IF(DATOS_[[#This Row],[Fecha Fin Contrato]]="",$D$4,DATOS_[[#This Row],[Fecha Fin Contrato]]),$D$4)-MAX(DATOS_[[#This Row],[Fecha de Contratación]],$D$3)+1</f>
        <v>366</v>
      </c>
      <c r="CI172" s="304">
        <f>IF(COUNTIFS(DATOS_[id],DATOS_[[#This Row],[id]])&gt;1,DATOS_[[#This Row],[id]],"")</f>
        <v>158</v>
      </c>
      <c r="CJ172" s="325">
        <f>(Inicio!$G$10-DATOS_[[#This Row],[Fecha Nacimiento]])/365.25</f>
        <v>52.05201916495551</v>
      </c>
      <c r="CK172" s="325">
        <f>(Inicio!$G$10-DATOS_[[#This Row],[Fecha de Antigüedad]])/365.25</f>
        <v>11.800136892539356</v>
      </c>
      <c r="CL172" s="325" t="str">
        <f>+VLOOKUP(DATOS_[[#This Row],[Clave de Contrato]],TblTiposContrato13[],3,FALSE)</f>
        <v>Completa</v>
      </c>
      <c r="CM172" s="325" t="str">
        <f>+VLOOKUP(DATOS_[[#This Row],[Clave de Contrato]],TblTiposContrato13[],4,FALSE)</f>
        <v>Indefinido</v>
      </c>
      <c r="CN172" s="325" t="str">
        <f>VLOOKUP(DATOS_[[#This Row],[Edad]],CONTRATOS!TblRngEdad,2,TRUE)</f>
        <v>50 a 55</v>
      </c>
      <c r="CO172" s="325" t="str">
        <f>VLOOKUP(DATOS_[[#This Row],[Antigüedad]],TblRngAntg14[],2,TRUE)</f>
        <v>de 10 a 15  años</v>
      </c>
    </row>
    <row r="173" spans="2:93" x14ac:dyDescent="0.25">
      <c r="B173" s="146">
        <v>158</v>
      </c>
      <c r="C173" s="146" t="s">
        <v>162</v>
      </c>
      <c r="D173" s="295">
        <v>26645</v>
      </c>
      <c r="E173" s="296" t="s">
        <v>71</v>
      </c>
      <c r="F173" s="296">
        <v>3</v>
      </c>
      <c r="G173" s="296">
        <v>0</v>
      </c>
      <c r="H173" s="297">
        <v>41347</v>
      </c>
      <c r="I173" s="298"/>
      <c r="J173" s="295">
        <v>41347</v>
      </c>
      <c r="K173" s="326">
        <v>43922</v>
      </c>
      <c r="L173" s="326"/>
      <c r="M173" s="299">
        <v>1</v>
      </c>
      <c r="N173" s="299">
        <v>0.5</v>
      </c>
      <c r="O173" s="299" t="s">
        <v>376</v>
      </c>
      <c r="P173" s="296">
        <v>100</v>
      </c>
      <c r="Q173" s="146" t="s">
        <v>431</v>
      </c>
      <c r="R173" s="146" t="s">
        <v>419</v>
      </c>
      <c r="S173" s="146" t="s">
        <v>440</v>
      </c>
      <c r="T173" s="146" t="s">
        <v>407</v>
      </c>
      <c r="U173" s="146" t="s">
        <v>400</v>
      </c>
      <c r="V173" s="146" t="s">
        <v>438</v>
      </c>
      <c r="W173" s="146" t="s">
        <v>311</v>
      </c>
      <c r="X173" s="146" t="s">
        <v>307</v>
      </c>
      <c r="Y173" s="146" t="s">
        <v>409</v>
      </c>
      <c r="Z173" s="293"/>
      <c r="AA173" s="294" t="s">
        <v>439</v>
      </c>
      <c r="AB173" s="294">
        <v>9</v>
      </c>
      <c r="AC173" s="296">
        <v>7</v>
      </c>
      <c r="AD173" s="301">
        <v>4843.1512499999999</v>
      </c>
      <c r="AE173" s="301">
        <v>31.848750000000109</v>
      </c>
      <c r="AF173" s="301">
        <v>193.72604999999999</v>
      </c>
      <c r="AG173" s="301">
        <v>720</v>
      </c>
      <c r="AH173" s="301"/>
      <c r="AI173" s="301"/>
      <c r="AJ173" s="301"/>
      <c r="AK173" s="301">
        <v>80</v>
      </c>
      <c r="AL173" s="301"/>
      <c r="AM173" s="301"/>
      <c r="AN173" s="301"/>
      <c r="AO173" s="301"/>
      <c r="AP173" s="301"/>
      <c r="AQ173" s="301"/>
      <c r="AR173" s="301"/>
      <c r="AS173" s="301"/>
      <c r="AT173" s="301"/>
      <c r="AU173" s="301"/>
      <c r="AV173" s="301"/>
      <c r="AW173" s="301"/>
      <c r="AX173" s="301"/>
      <c r="AY173" s="301"/>
      <c r="AZ173" s="301"/>
      <c r="BA173" s="301"/>
      <c r="BB173" s="301"/>
      <c r="BC173" s="301"/>
      <c r="BD173" s="301"/>
      <c r="BE173" s="301"/>
      <c r="BF173" s="301"/>
      <c r="BG173" s="301"/>
      <c r="BH173" s="301"/>
      <c r="BI173" s="301"/>
      <c r="BJ173" s="301"/>
      <c r="BK173" s="301"/>
      <c r="BL173" s="301"/>
      <c r="BM173" s="302"/>
      <c r="BN173" s="291">
        <f>+MAX($D$3,DATOS_[[#This Row],[Fecha Inicio Sit. Contract.]])</f>
        <v>45292</v>
      </c>
      <c r="BO173" s="291">
        <f>+MIN($D$4,DATOS_[[#This Row],[Fecha Fin Sit. Contract.]])</f>
        <v>45657</v>
      </c>
      <c r="BP173" s="292">
        <f>+DATOS_[[#This Row],[% de jornada]]*IF(DATOS_[[#This Row],[% jornada reducida]]="",1,DATOS_[[#This Row],[% jornada reducida]])</f>
        <v>0.5</v>
      </c>
      <c r="BQ173" s="292">
        <f>+(DATOS_[[#This Row],[F.fin.cal]]-DATOS_[[#This Row],[F.ini.cal]]+1)/($D$4-$D$3+1)</f>
        <v>1</v>
      </c>
      <c r="BR173" s="322" t="str">
        <f>IF(OR(AND(DATOS_[[#This Row],[Fecha Fin Contrato]]&lt;$D$3,DATOS_[[#This Row],[Fecha Fin Contrato]]&lt;&gt;""),DATOS_[[#This Row],[Fecha de Contratación]]&gt;$D$4),"Fuera","Dentro")</f>
        <v>Dentro</v>
      </c>
      <c r="BS173" s="322" t="str">
        <f t="array" ref="BS173">IF(MAX(IF(DATOS_[id]=DATOS_[[#This Row],[id]],DATOS_[F.fin.cal]))=DATOS_[[#This Row],[F.fin.cal]],"Sí","NO")</f>
        <v>Sí</v>
      </c>
      <c r="BT173" s="292" t="str">
        <f>IF(AND(DATOS_[[#This Row],[% normaliz]]&lt;&gt;1,DATOS_[[#This Row],[% anualiz]]=1),"Sí","NO")</f>
        <v>Sí</v>
      </c>
      <c r="BU173" s="292" t="str">
        <f>IF(AND(DATOS_[[#This Row],[% normaliz]]=1,DATOS_[[#This Row],[% anualiz]]&lt;&gt;1),"Sí","NO")</f>
        <v>NO</v>
      </c>
      <c r="BV173" s="292" t="str">
        <f>IF(AND(DATOS_[[#This Row],[% normaliz]]&lt;&gt;1,DATOS_[[#This Row],[% anualiz]]&lt;&gt;1),"Sí","NO")</f>
        <v>NO</v>
      </c>
      <c r="BW173" s="322" t="str">
        <f>+IF(DATOS_[[#This Row],[% normaliz]]*DATOS_[[#This Row],[% anualiz]]=1,"NO","Sí")</f>
        <v>Sí</v>
      </c>
      <c r="BX173" s="323">
        <f>(DATOS_[[#This Row],[S.BASE]]*(1/DATOS_[[#This Row],[% normaliz]])*(1/DATOS_[[#This Row],[% anualiz]]))*IF(DATOS_[[#This Row],[Check Equiparado]]="Sí",1,0)</f>
        <v>9686.3024999999998</v>
      </c>
      <c r="BY17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1251.1496000000002</v>
      </c>
      <c r="BZ173" s="323">
        <f>+DATOS_[[#This Row],[SALARIO BASE Eq]]+DATOS_[[#This Row],[Tot COMPL.SAL Eq]]</f>
        <v>10937.4521</v>
      </c>
      <c r="CA173" s="323">
        <f t="array" ref="CA17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3" s="323">
        <f>+DATOS_[[#This Row],[TOTAL SALARIO Eq]]+DATOS_[[#This Row],[Tot Extrasalarial Eq]]</f>
        <v>10937.4521</v>
      </c>
      <c r="CC173" s="327">
        <f>DATOS_[[#This Row],[S.BASE]]</f>
        <v>4843.1512499999999</v>
      </c>
      <c r="CD173" s="324">
        <f>+SUM(DATOS_[[#This Row],[Conc.Sal.01]:[Conc.Sal.30]])</f>
        <v>1025.5748000000001</v>
      </c>
      <c r="CE173" s="324">
        <f>+DATOS_[[#This Row],[SALARIO BASE Ef]]+DATOS_[[#This Row],[Tot COMPL.SAL Ef]]</f>
        <v>5868.7260500000002</v>
      </c>
      <c r="CF173" s="324">
        <f>+SUM(DATOS_[[#This Row],[C.Extra.01]:[C.Extra.05]])</f>
        <v>0</v>
      </c>
      <c r="CG173" s="330">
        <f>+DATOS_[[#This Row],[TOTAL SALARIO Ef]]+DATOS_[[#This Row],[Tot Extrasalarial Ef]]</f>
        <v>5868.7260500000002</v>
      </c>
      <c r="CH173" s="303">
        <f>MIN(IF(DATOS_[[#This Row],[Fecha Fin Contrato]]="",$D$4,DATOS_[[#This Row],[Fecha Fin Contrato]]),$D$4)-MAX(DATOS_[[#This Row],[Fecha de Contratación]],$D$3)+1</f>
        <v>366</v>
      </c>
      <c r="CI173" s="304">
        <f>IF(COUNTIFS(DATOS_[id],DATOS_[[#This Row],[id]])&gt;1,DATOS_[[#This Row],[id]],"")</f>
        <v>158</v>
      </c>
      <c r="CJ173" s="325">
        <f>(Inicio!$G$10-DATOS_[[#This Row],[Fecha Nacimiento]])/365.25</f>
        <v>52.05201916495551</v>
      </c>
      <c r="CK173" s="325">
        <f>(Inicio!$G$10-DATOS_[[#This Row],[Fecha de Antigüedad]])/365.25</f>
        <v>11.800136892539356</v>
      </c>
      <c r="CL173" s="325" t="str">
        <f>+VLOOKUP(DATOS_[[#This Row],[Clave de Contrato]],TblTiposContrato13[],3,FALSE)</f>
        <v>Completa</v>
      </c>
      <c r="CM173" s="325" t="str">
        <f>+VLOOKUP(DATOS_[[#This Row],[Clave de Contrato]],TblTiposContrato13[],4,FALSE)</f>
        <v>Indefinido</v>
      </c>
      <c r="CN173" s="325" t="str">
        <f>VLOOKUP(DATOS_[[#This Row],[Edad]],CONTRATOS!TblRngEdad,2,TRUE)</f>
        <v>50 a 55</v>
      </c>
      <c r="CO173" s="325" t="str">
        <f>VLOOKUP(DATOS_[[#This Row],[Antigüedad]],TblRngAntg14[],2,TRUE)</f>
        <v>de 10 a 15  años</v>
      </c>
    </row>
    <row r="174" spans="2:93" x14ac:dyDescent="0.25">
      <c r="B174" s="146">
        <v>159</v>
      </c>
      <c r="C174" s="146" t="s">
        <v>163</v>
      </c>
      <c r="D174" s="295">
        <v>27010</v>
      </c>
      <c r="E174" s="296" t="s">
        <v>71</v>
      </c>
      <c r="F174" s="296">
        <v>3</v>
      </c>
      <c r="G174" s="296">
        <v>0</v>
      </c>
      <c r="H174" s="297">
        <v>41377</v>
      </c>
      <c r="I174" s="298"/>
      <c r="J174" s="295">
        <v>41377</v>
      </c>
      <c r="K174" s="326"/>
      <c r="L174" s="326">
        <v>43921</v>
      </c>
      <c r="M174" s="299">
        <v>1</v>
      </c>
      <c r="N174" s="299"/>
      <c r="O174" s="299"/>
      <c r="P174" s="296">
        <v>100</v>
      </c>
      <c r="Q174" s="146" t="s">
        <v>431</v>
      </c>
      <c r="R174" s="146" t="s">
        <v>419</v>
      </c>
      <c r="S174" s="146" t="s">
        <v>440</v>
      </c>
      <c r="T174" s="146" t="s">
        <v>407</v>
      </c>
      <c r="U174" s="146" t="s">
        <v>400</v>
      </c>
      <c r="V174" s="146" t="s">
        <v>438</v>
      </c>
      <c r="W174" s="146" t="s">
        <v>311</v>
      </c>
      <c r="X174" s="146" t="s">
        <v>307</v>
      </c>
      <c r="Y174" s="146" t="s">
        <v>409</v>
      </c>
      <c r="Z174" s="293"/>
      <c r="AA174" s="294" t="s">
        <v>439</v>
      </c>
      <c r="AB174" s="294">
        <v>9</v>
      </c>
      <c r="AC174" s="296">
        <v>7</v>
      </c>
      <c r="AD174" s="301">
        <v>3228.7674999999999</v>
      </c>
      <c r="AE174" s="301">
        <v>21.232500000000073</v>
      </c>
      <c r="AF174" s="301">
        <v>129.1507</v>
      </c>
      <c r="AG174" s="301">
        <v>240</v>
      </c>
      <c r="AH174" s="301"/>
      <c r="AI174" s="301"/>
      <c r="AJ174" s="301"/>
      <c r="AK174" s="301"/>
      <c r="AL174" s="301"/>
      <c r="AM174" s="301"/>
      <c r="AN174" s="301"/>
      <c r="AO174" s="301"/>
      <c r="AP174" s="301"/>
      <c r="AQ174" s="301"/>
      <c r="AR174" s="301"/>
      <c r="AS174" s="301"/>
      <c r="AT174" s="301"/>
      <c r="AU174" s="301"/>
      <c r="AV174" s="301"/>
      <c r="AW174" s="301"/>
      <c r="AX174" s="301"/>
      <c r="AY174" s="301"/>
      <c r="AZ174" s="301"/>
      <c r="BA174" s="301"/>
      <c r="BB174" s="301"/>
      <c r="BC174" s="301"/>
      <c r="BD174" s="301"/>
      <c r="BE174" s="301"/>
      <c r="BF174" s="301"/>
      <c r="BG174" s="301"/>
      <c r="BH174" s="301"/>
      <c r="BI174" s="301"/>
      <c r="BJ174" s="301"/>
      <c r="BK174" s="301"/>
      <c r="BL174" s="301"/>
      <c r="BM174" s="302"/>
      <c r="BN174" s="291">
        <f>+MAX($D$3,DATOS_[[#This Row],[Fecha Inicio Sit. Contract.]])</f>
        <v>45292</v>
      </c>
      <c r="BO174" s="291">
        <f>+MIN($D$4,DATOS_[[#This Row],[Fecha Fin Sit. Contract.]])</f>
        <v>43921</v>
      </c>
      <c r="BP174" s="292">
        <f>+DATOS_[[#This Row],[% de jornada]]*IF(DATOS_[[#This Row],[% jornada reducida]]="",1,DATOS_[[#This Row],[% jornada reducida]])</f>
        <v>1</v>
      </c>
      <c r="BQ174" s="292">
        <f>+(DATOS_[[#This Row],[F.fin.cal]]-DATOS_[[#This Row],[F.ini.cal]]+1)/($D$4-$D$3+1)</f>
        <v>-3.7431693989071038</v>
      </c>
      <c r="BR174" s="322" t="str">
        <f>IF(OR(AND(DATOS_[[#This Row],[Fecha Fin Contrato]]&lt;$D$3,DATOS_[[#This Row],[Fecha Fin Contrato]]&lt;&gt;""),DATOS_[[#This Row],[Fecha de Contratación]]&gt;$D$4),"Fuera","Dentro")</f>
        <v>Dentro</v>
      </c>
      <c r="BS174" s="322" t="str">
        <f t="array" ref="BS174">IF(MAX(IF(DATOS_[id]=DATOS_[[#This Row],[id]],DATOS_[F.fin.cal]))=DATOS_[[#This Row],[F.fin.cal]],"Sí","NO")</f>
        <v>NO</v>
      </c>
      <c r="BT174" s="292" t="str">
        <f>IF(AND(DATOS_[[#This Row],[% normaliz]]&lt;&gt;1,DATOS_[[#This Row],[% anualiz]]=1),"Sí","NO")</f>
        <v>NO</v>
      </c>
      <c r="BU174" s="292" t="str">
        <f>IF(AND(DATOS_[[#This Row],[% normaliz]]=1,DATOS_[[#This Row],[% anualiz]]&lt;&gt;1),"Sí","NO")</f>
        <v>Sí</v>
      </c>
      <c r="BV174" s="292" t="str">
        <f>IF(AND(DATOS_[[#This Row],[% normaliz]]&lt;&gt;1,DATOS_[[#This Row],[% anualiz]]&lt;&gt;1),"Sí","NO")</f>
        <v>NO</v>
      </c>
      <c r="BW174" s="322" t="str">
        <f>+IF(DATOS_[[#This Row],[% normaliz]]*DATOS_[[#This Row],[% anualiz]]=1,"NO","Sí")</f>
        <v>Sí</v>
      </c>
      <c r="BX174" s="323">
        <f>(DATOS_[[#This Row],[S.BASE]]*(1/DATOS_[[#This Row],[% normaliz]])*(1/DATOS_[[#This Row],[% anualiz]]))*IF(DATOS_[[#This Row],[Check Equiparado]]="Sí",1,0)</f>
        <v>0</v>
      </c>
      <c r="BY17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74" s="323">
        <f>+DATOS_[[#This Row],[SALARIO BASE Eq]]+DATOS_[[#This Row],[Tot COMPL.SAL Eq]]</f>
        <v>0</v>
      </c>
      <c r="CA174" s="323">
        <f t="array" ref="CA17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4" s="323">
        <f>+DATOS_[[#This Row],[TOTAL SALARIO Eq]]+DATOS_[[#This Row],[Tot Extrasalarial Eq]]</f>
        <v>0</v>
      </c>
      <c r="CC174" s="327">
        <f>DATOS_[[#This Row],[S.BASE]]</f>
        <v>3228.7674999999999</v>
      </c>
      <c r="CD174" s="324">
        <f>+SUM(DATOS_[[#This Row],[Conc.Sal.01]:[Conc.Sal.30]])</f>
        <v>390.3832000000001</v>
      </c>
      <c r="CE174" s="324">
        <f>+DATOS_[[#This Row],[SALARIO BASE Ef]]+DATOS_[[#This Row],[Tot COMPL.SAL Ef]]</f>
        <v>3619.1507000000001</v>
      </c>
      <c r="CF174" s="324">
        <f>+SUM(DATOS_[[#This Row],[C.Extra.01]:[C.Extra.05]])</f>
        <v>0</v>
      </c>
      <c r="CG174" s="330">
        <f>+DATOS_[[#This Row],[TOTAL SALARIO Ef]]+DATOS_[[#This Row],[Tot Extrasalarial Ef]]</f>
        <v>3619.1507000000001</v>
      </c>
      <c r="CH174" s="303">
        <f>MIN(IF(DATOS_[[#This Row],[Fecha Fin Contrato]]="",$D$4,DATOS_[[#This Row],[Fecha Fin Contrato]]),$D$4)-MAX(DATOS_[[#This Row],[Fecha de Contratación]],$D$3)+1</f>
        <v>366</v>
      </c>
      <c r="CI174" s="304">
        <f>IF(COUNTIFS(DATOS_[id],DATOS_[[#This Row],[id]])&gt;1,DATOS_[[#This Row],[id]],"")</f>
        <v>159</v>
      </c>
      <c r="CJ174" s="325">
        <f>(Inicio!$G$10-DATOS_[[#This Row],[Fecha Nacimiento]])/365.25</f>
        <v>51.052703627652292</v>
      </c>
      <c r="CK174" s="325">
        <f>(Inicio!$G$10-DATOS_[[#This Row],[Fecha de Antigüedad]])/365.25</f>
        <v>11.718001368925394</v>
      </c>
      <c r="CL174" s="325" t="str">
        <f>+VLOOKUP(DATOS_[[#This Row],[Clave de Contrato]],TblTiposContrato13[],3,FALSE)</f>
        <v>Completa</v>
      </c>
      <c r="CM174" s="325" t="str">
        <f>+VLOOKUP(DATOS_[[#This Row],[Clave de Contrato]],TblTiposContrato13[],4,FALSE)</f>
        <v>Indefinido</v>
      </c>
      <c r="CN174" s="325" t="str">
        <f>VLOOKUP(DATOS_[[#This Row],[Edad]],CONTRATOS!TblRngEdad,2,TRUE)</f>
        <v>50 a 55</v>
      </c>
      <c r="CO174" s="325" t="str">
        <f>VLOOKUP(DATOS_[[#This Row],[Antigüedad]],TblRngAntg14[],2,TRUE)</f>
        <v>de 10 a 15  años</v>
      </c>
    </row>
    <row r="175" spans="2:93" x14ac:dyDescent="0.25">
      <c r="B175" s="146">
        <v>159</v>
      </c>
      <c r="C175" s="146" t="s">
        <v>163</v>
      </c>
      <c r="D175" s="295">
        <v>27010</v>
      </c>
      <c r="E175" s="296" t="s">
        <v>71</v>
      </c>
      <c r="F175" s="296">
        <v>3</v>
      </c>
      <c r="G175" s="296">
        <v>0</v>
      </c>
      <c r="H175" s="297">
        <v>41377</v>
      </c>
      <c r="I175" s="298"/>
      <c r="J175" s="295">
        <v>41377</v>
      </c>
      <c r="K175" s="326">
        <v>43922</v>
      </c>
      <c r="L175" s="326"/>
      <c r="M175" s="299">
        <v>1</v>
      </c>
      <c r="N175" s="299">
        <v>0.5</v>
      </c>
      <c r="O175" s="299" t="s">
        <v>376</v>
      </c>
      <c r="P175" s="296">
        <v>100</v>
      </c>
      <c r="Q175" s="146" t="s">
        <v>431</v>
      </c>
      <c r="R175" s="146" t="s">
        <v>419</v>
      </c>
      <c r="S175" s="146" t="s">
        <v>440</v>
      </c>
      <c r="T175" s="146" t="s">
        <v>407</v>
      </c>
      <c r="U175" s="146" t="s">
        <v>400</v>
      </c>
      <c r="V175" s="146" t="s">
        <v>438</v>
      </c>
      <c r="W175" s="146" t="s">
        <v>311</v>
      </c>
      <c r="X175" s="146" t="s">
        <v>307</v>
      </c>
      <c r="Y175" s="146" t="s">
        <v>409</v>
      </c>
      <c r="Z175" s="293"/>
      <c r="AA175" s="294" t="s">
        <v>439</v>
      </c>
      <c r="AB175" s="294">
        <v>9</v>
      </c>
      <c r="AC175" s="296">
        <v>7</v>
      </c>
      <c r="AD175" s="301">
        <v>4843.1512499999999</v>
      </c>
      <c r="AE175" s="301">
        <v>31.848750000000109</v>
      </c>
      <c r="AF175" s="301">
        <v>193.72604999999999</v>
      </c>
      <c r="AG175" s="301">
        <v>720</v>
      </c>
      <c r="AH175" s="301"/>
      <c r="AI175" s="301"/>
      <c r="AJ175" s="301"/>
      <c r="AK175" s="301">
        <v>80</v>
      </c>
      <c r="AL175" s="301"/>
      <c r="AM175" s="301"/>
      <c r="AN175" s="301"/>
      <c r="AO175" s="301"/>
      <c r="AP175" s="301"/>
      <c r="AQ175" s="301"/>
      <c r="AR175" s="301"/>
      <c r="AS175" s="301"/>
      <c r="AT175" s="301"/>
      <c r="AU175" s="301"/>
      <c r="AV175" s="301"/>
      <c r="AW175" s="301"/>
      <c r="AX175" s="301"/>
      <c r="AY175" s="301"/>
      <c r="AZ175" s="301"/>
      <c r="BA175" s="301"/>
      <c r="BB175" s="301"/>
      <c r="BC175" s="301"/>
      <c r="BD175" s="301"/>
      <c r="BE175" s="301"/>
      <c r="BF175" s="301"/>
      <c r="BG175" s="301"/>
      <c r="BH175" s="301"/>
      <c r="BI175" s="301"/>
      <c r="BJ175" s="301"/>
      <c r="BK175" s="301"/>
      <c r="BL175" s="301"/>
      <c r="BM175" s="302"/>
      <c r="BN175" s="291">
        <f>+MAX($D$3,DATOS_[[#This Row],[Fecha Inicio Sit. Contract.]])</f>
        <v>45292</v>
      </c>
      <c r="BO175" s="291">
        <f>+MIN($D$4,DATOS_[[#This Row],[Fecha Fin Sit. Contract.]])</f>
        <v>45657</v>
      </c>
      <c r="BP175" s="292">
        <f>+DATOS_[[#This Row],[% de jornada]]*IF(DATOS_[[#This Row],[% jornada reducida]]="",1,DATOS_[[#This Row],[% jornada reducida]])</f>
        <v>0.5</v>
      </c>
      <c r="BQ175" s="292">
        <f>+(DATOS_[[#This Row],[F.fin.cal]]-DATOS_[[#This Row],[F.ini.cal]]+1)/($D$4-$D$3+1)</f>
        <v>1</v>
      </c>
      <c r="BR175" s="322" t="str">
        <f>IF(OR(AND(DATOS_[[#This Row],[Fecha Fin Contrato]]&lt;$D$3,DATOS_[[#This Row],[Fecha Fin Contrato]]&lt;&gt;""),DATOS_[[#This Row],[Fecha de Contratación]]&gt;$D$4),"Fuera","Dentro")</f>
        <v>Dentro</v>
      </c>
      <c r="BS175" s="322" t="str">
        <f t="array" ref="BS175">IF(MAX(IF(DATOS_[id]=DATOS_[[#This Row],[id]],DATOS_[F.fin.cal]))=DATOS_[[#This Row],[F.fin.cal]],"Sí","NO")</f>
        <v>Sí</v>
      </c>
      <c r="BT175" s="292" t="str">
        <f>IF(AND(DATOS_[[#This Row],[% normaliz]]&lt;&gt;1,DATOS_[[#This Row],[% anualiz]]=1),"Sí","NO")</f>
        <v>Sí</v>
      </c>
      <c r="BU175" s="292" t="str">
        <f>IF(AND(DATOS_[[#This Row],[% normaliz]]=1,DATOS_[[#This Row],[% anualiz]]&lt;&gt;1),"Sí","NO")</f>
        <v>NO</v>
      </c>
      <c r="BV175" s="292" t="str">
        <f>IF(AND(DATOS_[[#This Row],[% normaliz]]&lt;&gt;1,DATOS_[[#This Row],[% anualiz]]&lt;&gt;1),"Sí","NO")</f>
        <v>NO</v>
      </c>
      <c r="BW175" s="322" t="str">
        <f>+IF(DATOS_[[#This Row],[% normaliz]]*DATOS_[[#This Row],[% anualiz]]=1,"NO","Sí")</f>
        <v>Sí</v>
      </c>
      <c r="BX175" s="323">
        <f>(DATOS_[[#This Row],[S.BASE]]*(1/DATOS_[[#This Row],[% normaliz]])*(1/DATOS_[[#This Row],[% anualiz]]))*IF(DATOS_[[#This Row],[Check Equiparado]]="Sí",1,0)</f>
        <v>9686.3024999999998</v>
      </c>
      <c r="BY17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1251.1496000000002</v>
      </c>
      <c r="BZ175" s="323">
        <f>+DATOS_[[#This Row],[SALARIO BASE Eq]]+DATOS_[[#This Row],[Tot COMPL.SAL Eq]]</f>
        <v>10937.4521</v>
      </c>
      <c r="CA175" s="323">
        <f t="array" ref="CA17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5" s="323">
        <f>+DATOS_[[#This Row],[TOTAL SALARIO Eq]]+DATOS_[[#This Row],[Tot Extrasalarial Eq]]</f>
        <v>10937.4521</v>
      </c>
      <c r="CC175" s="327">
        <f>DATOS_[[#This Row],[S.BASE]]</f>
        <v>4843.1512499999999</v>
      </c>
      <c r="CD175" s="324">
        <f>+SUM(DATOS_[[#This Row],[Conc.Sal.01]:[Conc.Sal.30]])</f>
        <v>1025.5748000000001</v>
      </c>
      <c r="CE175" s="324">
        <f>+DATOS_[[#This Row],[SALARIO BASE Ef]]+DATOS_[[#This Row],[Tot COMPL.SAL Ef]]</f>
        <v>5868.7260500000002</v>
      </c>
      <c r="CF175" s="324">
        <f>+SUM(DATOS_[[#This Row],[C.Extra.01]:[C.Extra.05]])</f>
        <v>0</v>
      </c>
      <c r="CG175" s="330">
        <f>+DATOS_[[#This Row],[TOTAL SALARIO Ef]]+DATOS_[[#This Row],[Tot Extrasalarial Ef]]</f>
        <v>5868.7260500000002</v>
      </c>
      <c r="CH175" s="303">
        <f>MIN(IF(DATOS_[[#This Row],[Fecha Fin Contrato]]="",$D$4,DATOS_[[#This Row],[Fecha Fin Contrato]]),$D$4)-MAX(DATOS_[[#This Row],[Fecha de Contratación]],$D$3)+1</f>
        <v>366</v>
      </c>
      <c r="CI175" s="304">
        <f>IF(COUNTIFS(DATOS_[id],DATOS_[[#This Row],[id]])&gt;1,DATOS_[[#This Row],[id]],"")</f>
        <v>159</v>
      </c>
      <c r="CJ175" s="325">
        <f>(Inicio!$G$10-DATOS_[[#This Row],[Fecha Nacimiento]])/365.25</f>
        <v>51.052703627652292</v>
      </c>
      <c r="CK175" s="325">
        <f>(Inicio!$G$10-DATOS_[[#This Row],[Fecha de Antigüedad]])/365.25</f>
        <v>11.718001368925394</v>
      </c>
      <c r="CL175" s="325" t="str">
        <f>+VLOOKUP(DATOS_[[#This Row],[Clave de Contrato]],TblTiposContrato13[],3,FALSE)</f>
        <v>Completa</v>
      </c>
      <c r="CM175" s="325" t="str">
        <f>+VLOOKUP(DATOS_[[#This Row],[Clave de Contrato]],TblTiposContrato13[],4,FALSE)</f>
        <v>Indefinido</v>
      </c>
      <c r="CN175" s="325" t="str">
        <f>VLOOKUP(DATOS_[[#This Row],[Edad]],CONTRATOS!TblRngEdad,2,TRUE)</f>
        <v>50 a 55</v>
      </c>
      <c r="CO175" s="325" t="str">
        <f>VLOOKUP(DATOS_[[#This Row],[Antigüedad]],TblRngAntg14[],2,TRUE)</f>
        <v>de 10 a 15  años</v>
      </c>
    </row>
    <row r="176" spans="2:93" x14ac:dyDescent="0.25">
      <c r="B176" s="146">
        <v>160</v>
      </c>
      <c r="C176" s="146" t="s">
        <v>163</v>
      </c>
      <c r="D176" s="295">
        <v>26280</v>
      </c>
      <c r="E176" s="296" t="s">
        <v>71</v>
      </c>
      <c r="F176" s="296">
        <v>2</v>
      </c>
      <c r="G176" s="296">
        <v>1</v>
      </c>
      <c r="H176" s="297">
        <v>41407</v>
      </c>
      <c r="I176" s="298"/>
      <c r="J176" s="295">
        <v>41407</v>
      </c>
      <c r="K176" s="326"/>
      <c r="L176" s="326">
        <v>43921</v>
      </c>
      <c r="M176" s="299">
        <v>1</v>
      </c>
      <c r="N176" s="299"/>
      <c r="O176" s="299"/>
      <c r="P176" s="296">
        <v>100</v>
      </c>
      <c r="Q176" s="146" t="s">
        <v>431</v>
      </c>
      <c r="R176" s="146" t="s">
        <v>419</v>
      </c>
      <c r="S176" s="146" t="s">
        <v>440</v>
      </c>
      <c r="T176" s="146" t="s">
        <v>407</v>
      </c>
      <c r="U176" s="146" t="s">
        <v>400</v>
      </c>
      <c r="V176" s="146" t="s">
        <v>438</v>
      </c>
      <c r="W176" s="146" t="s">
        <v>311</v>
      </c>
      <c r="X176" s="146" t="s">
        <v>307</v>
      </c>
      <c r="Y176" s="146" t="s">
        <v>409</v>
      </c>
      <c r="Z176" s="293"/>
      <c r="AA176" s="294" t="s">
        <v>439</v>
      </c>
      <c r="AB176" s="294">
        <v>9</v>
      </c>
      <c r="AC176" s="296">
        <v>7</v>
      </c>
      <c r="AD176" s="301">
        <v>3228.7674999999999</v>
      </c>
      <c r="AE176" s="301">
        <v>21.232500000000073</v>
      </c>
      <c r="AF176" s="301">
        <v>129.1507</v>
      </c>
      <c r="AG176" s="301">
        <v>240</v>
      </c>
      <c r="AH176" s="301"/>
      <c r="AI176" s="301"/>
      <c r="AJ176" s="301"/>
      <c r="AK176" s="301"/>
      <c r="AL176" s="301"/>
      <c r="AM176" s="301"/>
      <c r="AN176" s="301"/>
      <c r="AO176" s="301"/>
      <c r="AP176" s="301"/>
      <c r="AQ176" s="301"/>
      <c r="AR176" s="301"/>
      <c r="AS176" s="301"/>
      <c r="AT176" s="301"/>
      <c r="AU176" s="301"/>
      <c r="AV176" s="301"/>
      <c r="AW176" s="301"/>
      <c r="AX176" s="301"/>
      <c r="AY176" s="301"/>
      <c r="AZ176" s="301"/>
      <c r="BA176" s="301"/>
      <c r="BB176" s="301"/>
      <c r="BC176" s="301"/>
      <c r="BD176" s="301"/>
      <c r="BE176" s="301"/>
      <c r="BF176" s="301"/>
      <c r="BG176" s="301"/>
      <c r="BH176" s="301"/>
      <c r="BI176" s="301"/>
      <c r="BJ176" s="301"/>
      <c r="BK176" s="301"/>
      <c r="BL176" s="301"/>
      <c r="BM176" s="302"/>
      <c r="BN176" s="291">
        <f>+MAX($D$3,DATOS_[[#This Row],[Fecha Inicio Sit. Contract.]])</f>
        <v>45292</v>
      </c>
      <c r="BO176" s="291">
        <f>+MIN($D$4,DATOS_[[#This Row],[Fecha Fin Sit. Contract.]])</f>
        <v>43921</v>
      </c>
      <c r="BP176" s="292">
        <f>+DATOS_[[#This Row],[% de jornada]]*IF(DATOS_[[#This Row],[% jornada reducida]]="",1,DATOS_[[#This Row],[% jornada reducida]])</f>
        <v>1</v>
      </c>
      <c r="BQ176" s="292">
        <f>+(DATOS_[[#This Row],[F.fin.cal]]-DATOS_[[#This Row],[F.ini.cal]]+1)/($D$4-$D$3+1)</f>
        <v>-3.7431693989071038</v>
      </c>
      <c r="BR176" s="322" t="str">
        <f>IF(OR(AND(DATOS_[[#This Row],[Fecha Fin Contrato]]&lt;$D$3,DATOS_[[#This Row],[Fecha Fin Contrato]]&lt;&gt;""),DATOS_[[#This Row],[Fecha de Contratación]]&gt;$D$4),"Fuera","Dentro")</f>
        <v>Dentro</v>
      </c>
      <c r="BS176" s="322" t="str">
        <f t="array" ref="BS176">IF(MAX(IF(DATOS_[id]=DATOS_[[#This Row],[id]],DATOS_[F.fin.cal]))=DATOS_[[#This Row],[F.fin.cal]],"Sí","NO")</f>
        <v>NO</v>
      </c>
      <c r="BT176" s="292" t="str">
        <f>IF(AND(DATOS_[[#This Row],[% normaliz]]&lt;&gt;1,DATOS_[[#This Row],[% anualiz]]=1),"Sí","NO")</f>
        <v>NO</v>
      </c>
      <c r="BU176" s="292" t="str">
        <f>IF(AND(DATOS_[[#This Row],[% normaliz]]=1,DATOS_[[#This Row],[% anualiz]]&lt;&gt;1),"Sí","NO")</f>
        <v>Sí</v>
      </c>
      <c r="BV176" s="292" t="str">
        <f>IF(AND(DATOS_[[#This Row],[% normaliz]]&lt;&gt;1,DATOS_[[#This Row],[% anualiz]]&lt;&gt;1),"Sí","NO")</f>
        <v>NO</v>
      </c>
      <c r="BW176" s="322" t="str">
        <f>+IF(DATOS_[[#This Row],[% normaliz]]*DATOS_[[#This Row],[% anualiz]]=1,"NO","Sí")</f>
        <v>Sí</v>
      </c>
      <c r="BX176" s="323">
        <f>(DATOS_[[#This Row],[S.BASE]]*(1/DATOS_[[#This Row],[% normaliz]])*(1/DATOS_[[#This Row],[% anualiz]]))*IF(DATOS_[[#This Row],[Check Equiparado]]="Sí",1,0)</f>
        <v>0</v>
      </c>
      <c r="BY17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76" s="323">
        <f>+DATOS_[[#This Row],[SALARIO BASE Eq]]+DATOS_[[#This Row],[Tot COMPL.SAL Eq]]</f>
        <v>0</v>
      </c>
      <c r="CA176" s="323">
        <f t="array" ref="CA17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6" s="323">
        <f>+DATOS_[[#This Row],[TOTAL SALARIO Eq]]+DATOS_[[#This Row],[Tot Extrasalarial Eq]]</f>
        <v>0</v>
      </c>
      <c r="CC176" s="327">
        <f>DATOS_[[#This Row],[S.BASE]]</f>
        <v>3228.7674999999999</v>
      </c>
      <c r="CD176" s="324">
        <f>+SUM(DATOS_[[#This Row],[Conc.Sal.01]:[Conc.Sal.30]])</f>
        <v>390.3832000000001</v>
      </c>
      <c r="CE176" s="324">
        <f>+DATOS_[[#This Row],[SALARIO BASE Ef]]+DATOS_[[#This Row],[Tot COMPL.SAL Ef]]</f>
        <v>3619.1507000000001</v>
      </c>
      <c r="CF176" s="324">
        <f>+SUM(DATOS_[[#This Row],[C.Extra.01]:[C.Extra.05]])</f>
        <v>0</v>
      </c>
      <c r="CG176" s="330">
        <f>+DATOS_[[#This Row],[TOTAL SALARIO Ef]]+DATOS_[[#This Row],[Tot Extrasalarial Ef]]</f>
        <v>3619.1507000000001</v>
      </c>
      <c r="CH176" s="303">
        <f>MIN(IF(DATOS_[[#This Row],[Fecha Fin Contrato]]="",$D$4,DATOS_[[#This Row],[Fecha Fin Contrato]]),$D$4)-MAX(DATOS_[[#This Row],[Fecha de Contratación]],$D$3)+1</f>
        <v>366</v>
      </c>
      <c r="CI176" s="304">
        <f>IF(COUNTIFS(DATOS_[id],DATOS_[[#This Row],[id]])&gt;1,DATOS_[[#This Row],[id]],"")</f>
        <v>160</v>
      </c>
      <c r="CJ176" s="325">
        <f>(Inicio!$G$10-DATOS_[[#This Row],[Fecha Nacimiento]])/365.25</f>
        <v>53.051334702258728</v>
      </c>
      <c r="CK176" s="325">
        <f>(Inicio!$G$10-DATOS_[[#This Row],[Fecha de Antigüedad]])/365.25</f>
        <v>11.635865845311431</v>
      </c>
      <c r="CL176" s="325" t="str">
        <f>+VLOOKUP(DATOS_[[#This Row],[Clave de Contrato]],TblTiposContrato13[],3,FALSE)</f>
        <v>Completa</v>
      </c>
      <c r="CM176" s="325" t="str">
        <f>+VLOOKUP(DATOS_[[#This Row],[Clave de Contrato]],TblTiposContrato13[],4,FALSE)</f>
        <v>Indefinido</v>
      </c>
      <c r="CN176" s="325" t="str">
        <f>VLOOKUP(DATOS_[[#This Row],[Edad]],CONTRATOS!TblRngEdad,2,TRUE)</f>
        <v>50 a 55</v>
      </c>
      <c r="CO176" s="325" t="str">
        <f>VLOOKUP(DATOS_[[#This Row],[Antigüedad]],TblRngAntg14[],2,TRUE)</f>
        <v>de 10 a 15  años</v>
      </c>
    </row>
    <row r="177" spans="2:93" x14ac:dyDescent="0.25">
      <c r="B177" s="146">
        <v>160</v>
      </c>
      <c r="C177" s="146" t="s">
        <v>163</v>
      </c>
      <c r="D177" s="295">
        <v>26280</v>
      </c>
      <c r="E177" s="296" t="s">
        <v>71</v>
      </c>
      <c r="F177" s="296">
        <v>2</v>
      </c>
      <c r="G177" s="296">
        <v>1</v>
      </c>
      <c r="H177" s="297">
        <v>41407</v>
      </c>
      <c r="I177" s="298"/>
      <c r="J177" s="295">
        <v>41407</v>
      </c>
      <c r="K177" s="326">
        <v>43922</v>
      </c>
      <c r="L177" s="326"/>
      <c r="M177" s="299">
        <v>1</v>
      </c>
      <c r="N177" s="299">
        <v>0.5</v>
      </c>
      <c r="O177" s="299" t="s">
        <v>376</v>
      </c>
      <c r="P177" s="296">
        <v>100</v>
      </c>
      <c r="Q177" s="146" t="s">
        <v>431</v>
      </c>
      <c r="R177" s="146" t="s">
        <v>419</v>
      </c>
      <c r="S177" s="146" t="s">
        <v>440</v>
      </c>
      <c r="T177" s="146" t="s">
        <v>407</v>
      </c>
      <c r="U177" s="146" t="s">
        <v>400</v>
      </c>
      <c r="V177" s="146" t="s">
        <v>438</v>
      </c>
      <c r="W177" s="146" t="s">
        <v>311</v>
      </c>
      <c r="X177" s="146" t="s">
        <v>307</v>
      </c>
      <c r="Y177" s="146" t="s">
        <v>409</v>
      </c>
      <c r="Z177" s="293"/>
      <c r="AA177" s="294" t="s">
        <v>439</v>
      </c>
      <c r="AB177" s="294">
        <v>9</v>
      </c>
      <c r="AC177" s="296">
        <v>7</v>
      </c>
      <c r="AD177" s="301">
        <v>4843.1512499999999</v>
      </c>
      <c r="AE177" s="301">
        <v>31.848750000000109</v>
      </c>
      <c r="AF177" s="301">
        <v>193.72604999999999</v>
      </c>
      <c r="AG177" s="301">
        <v>720</v>
      </c>
      <c r="AH177" s="301"/>
      <c r="AI177" s="301"/>
      <c r="AJ177" s="301"/>
      <c r="AK177" s="301">
        <v>80</v>
      </c>
      <c r="AL177" s="301"/>
      <c r="AM177" s="301"/>
      <c r="AN177" s="301"/>
      <c r="AO177" s="301"/>
      <c r="AP177" s="301"/>
      <c r="AQ177" s="301"/>
      <c r="AR177" s="301"/>
      <c r="AS177" s="301"/>
      <c r="AT177" s="301"/>
      <c r="AU177" s="301"/>
      <c r="AV177" s="301"/>
      <c r="AW177" s="301"/>
      <c r="AX177" s="301"/>
      <c r="AY177" s="301"/>
      <c r="AZ177" s="301"/>
      <c r="BA177" s="301"/>
      <c r="BB177" s="301"/>
      <c r="BC177" s="301"/>
      <c r="BD177" s="301"/>
      <c r="BE177" s="301"/>
      <c r="BF177" s="301"/>
      <c r="BG177" s="301"/>
      <c r="BH177" s="301"/>
      <c r="BI177" s="301"/>
      <c r="BJ177" s="301"/>
      <c r="BK177" s="301"/>
      <c r="BL177" s="301"/>
      <c r="BM177" s="302"/>
      <c r="BN177" s="291">
        <f>+MAX($D$3,DATOS_[[#This Row],[Fecha Inicio Sit. Contract.]])</f>
        <v>45292</v>
      </c>
      <c r="BO177" s="291">
        <f>+MIN($D$4,DATOS_[[#This Row],[Fecha Fin Sit. Contract.]])</f>
        <v>45657</v>
      </c>
      <c r="BP177" s="292">
        <f>+DATOS_[[#This Row],[% de jornada]]*IF(DATOS_[[#This Row],[% jornada reducida]]="",1,DATOS_[[#This Row],[% jornada reducida]])</f>
        <v>0.5</v>
      </c>
      <c r="BQ177" s="292">
        <f>+(DATOS_[[#This Row],[F.fin.cal]]-DATOS_[[#This Row],[F.ini.cal]]+1)/($D$4-$D$3+1)</f>
        <v>1</v>
      </c>
      <c r="BR177" s="322" t="str">
        <f>IF(OR(AND(DATOS_[[#This Row],[Fecha Fin Contrato]]&lt;$D$3,DATOS_[[#This Row],[Fecha Fin Contrato]]&lt;&gt;""),DATOS_[[#This Row],[Fecha de Contratación]]&gt;$D$4),"Fuera","Dentro")</f>
        <v>Dentro</v>
      </c>
      <c r="BS177" s="322" t="str">
        <f t="array" ref="BS177">IF(MAX(IF(DATOS_[id]=DATOS_[[#This Row],[id]],DATOS_[F.fin.cal]))=DATOS_[[#This Row],[F.fin.cal]],"Sí","NO")</f>
        <v>Sí</v>
      </c>
      <c r="BT177" s="292" t="str">
        <f>IF(AND(DATOS_[[#This Row],[% normaliz]]&lt;&gt;1,DATOS_[[#This Row],[% anualiz]]=1),"Sí","NO")</f>
        <v>Sí</v>
      </c>
      <c r="BU177" s="292" t="str">
        <f>IF(AND(DATOS_[[#This Row],[% normaliz]]=1,DATOS_[[#This Row],[% anualiz]]&lt;&gt;1),"Sí","NO")</f>
        <v>NO</v>
      </c>
      <c r="BV177" s="292" t="str">
        <f>IF(AND(DATOS_[[#This Row],[% normaliz]]&lt;&gt;1,DATOS_[[#This Row],[% anualiz]]&lt;&gt;1),"Sí","NO")</f>
        <v>NO</v>
      </c>
      <c r="BW177" s="322" t="str">
        <f>+IF(DATOS_[[#This Row],[% normaliz]]*DATOS_[[#This Row],[% anualiz]]=1,"NO","Sí")</f>
        <v>Sí</v>
      </c>
      <c r="BX177" s="323">
        <f>(DATOS_[[#This Row],[S.BASE]]*(1/DATOS_[[#This Row],[% normaliz]])*(1/DATOS_[[#This Row],[% anualiz]]))*IF(DATOS_[[#This Row],[Check Equiparado]]="Sí",1,0)</f>
        <v>9686.3024999999998</v>
      </c>
      <c r="BY17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1251.1496000000002</v>
      </c>
      <c r="BZ177" s="323">
        <f>+DATOS_[[#This Row],[SALARIO BASE Eq]]+DATOS_[[#This Row],[Tot COMPL.SAL Eq]]</f>
        <v>10937.4521</v>
      </c>
      <c r="CA177" s="323">
        <f t="array" ref="CA17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7" s="323">
        <f>+DATOS_[[#This Row],[TOTAL SALARIO Eq]]+DATOS_[[#This Row],[Tot Extrasalarial Eq]]</f>
        <v>10937.4521</v>
      </c>
      <c r="CC177" s="327">
        <f>DATOS_[[#This Row],[S.BASE]]</f>
        <v>4843.1512499999999</v>
      </c>
      <c r="CD177" s="324">
        <f>+SUM(DATOS_[[#This Row],[Conc.Sal.01]:[Conc.Sal.30]])</f>
        <v>1025.5748000000001</v>
      </c>
      <c r="CE177" s="324">
        <f>+DATOS_[[#This Row],[SALARIO BASE Ef]]+DATOS_[[#This Row],[Tot COMPL.SAL Ef]]</f>
        <v>5868.7260500000002</v>
      </c>
      <c r="CF177" s="324">
        <f>+SUM(DATOS_[[#This Row],[C.Extra.01]:[C.Extra.05]])</f>
        <v>0</v>
      </c>
      <c r="CG177" s="330">
        <f>+DATOS_[[#This Row],[TOTAL SALARIO Ef]]+DATOS_[[#This Row],[Tot Extrasalarial Ef]]</f>
        <v>5868.7260500000002</v>
      </c>
      <c r="CH177" s="303">
        <f>MIN(IF(DATOS_[[#This Row],[Fecha Fin Contrato]]="",$D$4,DATOS_[[#This Row],[Fecha Fin Contrato]]),$D$4)-MAX(DATOS_[[#This Row],[Fecha de Contratación]],$D$3)+1</f>
        <v>366</v>
      </c>
      <c r="CI177" s="304">
        <f>IF(COUNTIFS(DATOS_[id],DATOS_[[#This Row],[id]])&gt;1,DATOS_[[#This Row],[id]],"")</f>
        <v>160</v>
      </c>
      <c r="CJ177" s="325">
        <f>(Inicio!$G$10-DATOS_[[#This Row],[Fecha Nacimiento]])/365.25</f>
        <v>53.051334702258728</v>
      </c>
      <c r="CK177" s="325">
        <f>(Inicio!$G$10-DATOS_[[#This Row],[Fecha de Antigüedad]])/365.25</f>
        <v>11.635865845311431</v>
      </c>
      <c r="CL177" s="325" t="str">
        <f>+VLOOKUP(DATOS_[[#This Row],[Clave de Contrato]],TblTiposContrato13[],3,FALSE)</f>
        <v>Completa</v>
      </c>
      <c r="CM177" s="325" t="str">
        <f>+VLOOKUP(DATOS_[[#This Row],[Clave de Contrato]],TblTiposContrato13[],4,FALSE)</f>
        <v>Indefinido</v>
      </c>
      <c r="CN177" s="325" t="str">
        <f>VLOOKUP(DATOS_[[#This Row],[Edad]],CONTRATOS!TblRngEdad,2,TRUE)</f>
        <v>50 a 55</v>
      </c>
      <c r="CO177" s="325" t="str">
        <f>VLOOKUP(DATOS_[[#This Row],[Antigüedad]],TblRngAntg14[],2,TRUE)</f>
        <v>de 10 a 15  años</v>
      </c>
    </row>
    <row r="178" spans="2:93" x14ac:dyDescent="0.25">
      <c r="B178" s="146">
        <v>161</v>
      </c>
      <c r="C178" s="146" t="s">
        <v>162</v>
      </c>
      <c r="D178" s="295">
        <v>28835</v>
      </c>
      <c r="E178" s="296" t="s">
        <v>71</v>
      </c>
      <c r="F178" s="296">
        <v>3</v>
      </c>
      <c r="G178" s="296">
        <v>0</v>
      </c>
      <c r="H178" s="297">
        <v>41437</v>
      </c>
      <c r="I178" s="298"/>
      <c r="J178" s="295">
        <v>41437</v>
      </c>
      <c r="K178" s="326"/>
      <c r="L178" s="326">
        <v>43921</v>
      </c>
      <c r="M178" s="299">
        <v>1</v>
      </c>
      <c r="N178" s="299"/>
      <c r="O178" s="299"/>
      <c r="P178" s="296">
        <v>100</v>
      </c>
      <c r="Q178" s="146" t="s">
        <v>431</v>
      </c>
      <c r="R178" s="146" t="s">
        <v>419</v>
      </c>
      <c r="S178" s="146" t="s">
        <v>440</v>
      </c>
      <c r="T178" s="146" t="s">
        <v>407</v>
      </c>
      <c r="U178" s="146" t="s">
        <v>400</v>
      </c>
      <c r="V178" s="146" t="s">
        <v>438</v>
      </c>
      <c r="W178" s="146" t="s">
        <v>311</v>
      </c>
      <c r="X178" s="146" t="s">
        <v>307</v>
      </c>
      <c r="Y178" s="146" t="s">
        <v>409</v>
      </c>
      <c r="Z178" s="293"/>
      <c r="AA178" s="294" t="s">
        <v>439</v>
      </c>
      <c r="AB178" s="294">
        <v>9</v>
      </c>
      <c r="AC178" s="296">
        <v>7</v>
      </c>
      <c r="AD178" s="301">
        <v>3228.7674999999999</v>
      </c>
      <c r="AE178" s="301">
        <v>21.232500000000073</v>
      </c>
      <c r="AF178" s="301">
        <v>129.1507</v>
      </c>
      <c r="AG178" s="301">
        <v>240</v>
      </c>
      <c r="AH178" s="301"/>
      <c r="AI178" s="301"/>
      <c r="AJ178" s="301"/>
      <c r="AK178" s="301"/>
      <c r="AL178" s="301"/>
      <c r="AM178" s="301"/>
      <c r="AN178" s="301"/>
      <c r="AO178" s="301"/>
      <c r="AP178" s="301"/>
      <c r="AQ178" s="301"/>
      <c r="AR178" s="301"/>
      <c r="AS178" s="301"/>
      <c r="AT178" s="301"/>
      <c r="AU178" s="301"/>
      <c r="AV178" s="301"/>
      <c r="AW178" s="301"/>
      <c r="AX178" s="301"/>
      <c r="AY178" s="301"/>
      <c r="AZ178" s="301"/>
      <c r="BA178" s="301"/>
      <c r="BB178" s="301"/>
      <c r="BC178" s="301"/>
      <c r="BD178" s="301"/>
      <c r="BE178" s="301"/>
      <c r="BF178" s="301"/>
      <c r="BG178" s="301"/>
      <c r="BH178" s="301"/>
      <c r="BI178" s="301"/>
      <c r="BJ178" s="301"/>
      <c r="BK178" s="301"/>
      <c r="BL178" s="301"/>
      <c r="BM178" s="302"/>
      <c r="BN178" s="291">
        <f>+MAX($D$3,DATOS_[[#This Row],[Fecha Inicio Sit. Contract.]])</f>
        <v>45292</v>
      </c>
      <c r="BO178" s="291">
        <f>+MIN($D$4,DATOS_[[#This Row],[Fecha Fin Sit. Contract.]])</f>
        <v>43921</v>
      </c>
      <c r="BP178" s="292">
        <f>+DATOS_[[#This Row],[% de jornada]]*IF(DATOS_[[#This Row],[% jornada reducida]]="",1,DATOS_[[#This Row],[% jornada reducida]])</f>
        <v>1</v>
      </c>
      <c r="BQ178" s="292">
        <f>+(DATOS_[[#This Row],[F.fin.cal]]-DATOS_[[#This Row],[F.ini.cal]]+1)/($D$4-$D$3+1)</f>
        <v>-3.7431693989071038</v>
      </c>
      <c r="BR178" s="322" t="str">
        <f>IF(OR(AND(DATOS_[[#This Row],[Fecha Fin Contrato]]&lt;$D$3,DATOS_[[#This Row],[Fecha Fin Contrato]]&lt;&gt;""),DATOS_[[#This Row],[Fecha de Contratación]]&gt;$D$4),"Fuera","Dentro")</f>
        <v>Dentro</v>
      </c>
      <c r="BS178" s="322" t="str">
        <f t="array" ref="BS178">IF(MAX(IF(DATOS_[id]=DATOS_[[#This Row],[id]],DATOS_[F.fin.cal]))=DATOS_[[#This Row],[F.fin.cal]],"Sí","NO")</f>
        <v>NO</v>
      </c>
      <c r="BT178" s="292" t="str">
        <f>IF(AND(DATOS_[[#This Row],[% normaliz]]&lt;&gt;1,DATOS_[[#This Row],[% anualiz]]=1),"Sí","NO")</f>
        <v>NO</v>
      </c>
      <c r="BU178" s="292" t="str">
        <f>IF(AND(DATOS_[[#This Row],[% normaliz]]=1,DATOS_[[#This Row],[% anualiz]]&lt;&gt;1),"Sí","NO")</f>
        <v>Sí</v>
      </c>
      <c r="BV178" s="292" t="str">
        <f>IF(AND(DATOS_[[#This Row],[% normaliz]]&lt;&gt;1,DATOS_[[#This Row],[% anualiz]]&lt;&gt;1),"Sí","NO")</f>
        <v>NO</v>
      </c>
      <c r="BW178" s="322" t="str">
        <f>+IF(DATOS_[[#This Row],[% normaliz]]*DATOS_[[#This Row],[% anualiz]]=1,"NO","Sí")</f>
        <v>Sí</v>
      </c>
      <c r="BX178" s="323">
        <f>(DATOS_[[#This Row],[S.BASE]]*(1/DATOS_[[#This Row],[% normaliz]])*(1/DATOS_[[#This Row],[% anualiz]]))*IF(DATOS_[[#This Row],[Check Equiparado]]="Sí",1,0)</f>
        <v>0</v>
      </c>
      <c r="BY17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78" s="323">
        <f>+DATOS_[[#This Row],[SALARIO BASE Eq]]+DATOS_[[#This Row],[Tot COMPL.SAL Eq]]</f>
        <v>0</v>
      </c>
      <c r="CA178" s="323">
        <f t="array" ref="CA17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8" s="323">
        <f>+DATOS_[[#This Row],[TOTAL SALARIO Eq]]+DATOS_[[#This Row],[Tot Extrasalarial Eq]]</f>
        <v>0</v>
      </c>
      <c r="CC178" s="327">
        <f>DATOS_[[#This Row],[S.BASE]]</f>
        <v>3228.7674999999999</v>
      </c>
      <c r="CD178" s="324">
        <f>+SUM(DATOS_[[#This Row],[Conc.Sal.01]:[Conc.Sal.30]])</f>
        <v>390.3832000000001</v>
      </c>
      <c r="CE178" s="324">
        <f>+DATOS_[[#This Row],[SALARIO BASE Ef]]+DATOS_[[#This Row],[Tot COMPL.SAL Ef]]</f>
        <v>3619.1507000000001</v>
      </c>
      <c r="CF178" s="324">
        <f>+SUM(DATOS_[[#This Row],[C.Extra.01]:[C.Extra.05]])</f>
        <v>0</v>
      </c>
      <c r="CG178" s="330">
        <f>+DATOS_[[#This Row],[TOTAL SALARIO Ef]]+DATOS_[[#This Row],[Tot Extrasalarial Ef]]</f>
        <v>3619.1507000000001</v>
      </c>
      <c r="CH178" s="303">
        <f>MIN(IF(DATOS_[[#This Row],[Fecha Fin Contrato]]="",$D$4,DATOS_[[#This Row],[Fecha Fin Contrato]]),$D$4)-MAX(DATOS_[[#This Row],[Fecha de Contratación]],$D$3)+1</f>
        <v>366</v>
      </c>
      <c r="CI178" s="304">
        <f>IF(COUNTIFS(DATOS_[id],DATOS_[[#This Row],[id]])&gt;1,DATOS_[[#This Row],[id]],"")</f>
        <v>161</v>
      </c>
      <c r="CJ178" s="325">
        <f>(Inicio!$G$10-DATOS_[[#This Row],[Fecha Nacimiento]])/365.25</f>
        <v>46.056125941136209</v>
      </c>
      <c r="CK178" s="325">
        <f>(Inicio!$G$10-DATOS_[[#This Row],[Fecha de Antigüedad]])/365.25</f>
        <v>11.553730321697467</v>
      </c>
      <c r="CL178" s="325" t="str">
        <f>+VLOOKUP(DATOS_[[#This Row],[Clave de Contrato]],TblTiposContrato13[],3,FALSE)</f>
        <v>Completa</v>
      </c>
      <c r="CM178" s="325" t="str">
        <f>+VLOOKUP(DATOS_[[#This Row],[Clave de Contrato]],TblTiposContrato13[],4,FALSE)</f>
        <v>Indefinido</v>
      </c>
      <c r="CN178" s="325" t="str">
        <f>VLOOKUP(DATOS_[[#This Row],[Edad]],CONTRATOS!TblRngEdad,2,TRUE)</f>
        <v>45 a 50</v>
      </c>
      <c r="CO178" s="325" t="str">
        <f>VLOOKUP(DATOS_[[#This Row],[Antigüedad]],TblRngAntg14[],2,TRUE)</f>
        <v>de 10 a 15  años</v>
      </c>
    </row>
    <row r="179" spans="2:93" x14ac:dyDescent="0.25">
      <c r="B179" s="146">
        <v>161</v>
      </c>
      <c r="C179" s="146" t="s">
        <v>162</v>
      </c>
      <c r="D179" s="295">
        <v>28835</v>
      </c>
      <c r="E179" s="296" t="s">
        <v>71</v>
      </c>
      <c r="F179" s="296">
        <v>3</v>
      </c>
      <c r="G179" s="296">
        <v>0</v>
      </c>
      <c r="H179" s="297">
        <v>41437</v>
      </c>
      <c r="I179" s="298"/>
      <c r="J179" s="295">
        <v>41437</v>
      </c>
      <c r="K179" s="326">
        <v>43922</v>
      </c>
      <c r="L179" s="326"/>
      <c r="M179" s="299">
        <v>1</v>
      </c>
      <c r="N179" s="299">
        <v>0.5</v>
      </c>
      <c r="O179" s="299" t="s">
        <v>376</v>
      </c>
      <c r="P179" s="296">
        <v>100</v>
      </c>
      <c r="Q179" s="146" t="s">
        <v>431</v>
      </c>
      <c r="R179" s="146" t="s">
        <v>419</v>
      </c>
      <c r="S179" s="146" t="s">
        <v>440</v>
      </c>
      <c r="T179" s="146" t="s">
        <v>407</v>
      </c>
      <c r="U179" s="146" t="s">
        <v>400</v>
      </c>
      <c r="V179" s="146" t="s">
        <v>438</v>
      </c>
      <c r="W179" s="146" t="s">
        <v>311</v>
      </c>
      <c r="X179" s="146" t="s">
        <v>307</v>
      </c>
      <c r="Y179" s="146" t="s">
        <v>409</v>
      </c>
      <c r="Z179" s="293"/>
      <c r="AA179" s="294" t="s">
        <v>439</v>
      </c>
      <c r="AB179" s="294">
        <v>9</v>
      </c>
      <c r="AC179" s="296">
        <v>7</v>
      </c>
      <c r="AD179" s="301">
        <v>4843.1512499999999</v>
      </c>
      <c r="AE179" s="301">
        <v>31.848750000000109</v>
      </c>
      <c r="AF179" s="301">
        <v>193.72604999999999</v>
      </c>
      <c r="AG179" s="301">
        <v>720</v>
      </c>
      <c r="AH179" s="301"/>
      <c r="AI179" s="301"/>
      <c r="AJ179" s="301"/>
      <c r="AK179" s="301">
        <v>80</v>
      </c>
      <c r="AL179" s="301"/>
      <c r="AM179" s="301"/>
      <c r="AN179" s="301"/>
      <c r="AO179" s="301"/>
      <c r="AP179" s="301"/>
      <c r="AQ179" s="301"/>
      <c r="AR179" s="301"/>
      <c r="AS179" s="301"/>
      <c r="AT179" s="301"/>
      <c r="AU179" s="301"/>
      <c r="AV179" s="301"/>
      <c r="AW179" s="301"/>
      <c r="AX179" s="301"/>
      <c r="AY179" s="301"/>
      <c r="AZ179" s="301"/>
      <c r="BA179" s="301"/>
      <c r="BB179" s="301"/>
      <c r="BC179" s="301"/>
      <c r="BD179" s="301"/>
      <c r="BE179" s="301"/>
      <c r="BF179" s="301"/>
      <c r="BG179" s="301"/>
      <c r="BH179" s="301"/>
      <c r="BI179" s="301"/>
      <c r="BJ179" s="301"/>
      <c r="BK179" s="301"/>
      <c r="BL179" s="301"/>
      <c r="BM179" s="302"/>
      <c r="BN179" s="291">
        <f>+MAX($D$3,DATOS_[[#This Row],[Fecha Inicio Sit. Contract.]])</f>
        <v>45292</v>
      </c>
      <c r="BO179" s="291">
        <f>+MIN($D$4,DATOS_[[#This Row],[Fecha Fin Sit. Contract.]])</f>
        <v>45657</v>
      </c>
      <c r="BP179" s="292">
        <f>+DATOS_[[#This Row],[% de jornada]]*IF(DATOS_[[#This Row],[% jornada reducida]]="",1,DATOS_[[#This Row],[% jornada reducida]])</f>
        <v>0.5</v>
      </c>
      <c r="BQ179" s="292">
        <f>+(DATOS_[[#This Row],[F.fin.cal]]-DATOS_[[#This Row],[F.ini.cal]]+1)/($D$4-$D$3+1)</f>
        <v>1</v>
      </c>
      <c r="BR179" s="322" t="str">
        <f>IF(OR(AND(DATOS_[[#This Row],[Fecha Fin Contrato]]&lt;$D$3,DATOS_[[#This Row],[Fecha Fin Contrato]]&lt;&gt;""),DATOS_[[#This Row],[Fecha de Contratación]]&gt;$D$4),"Fuera","Dentro")</f>
        <v>Dentro</v>
      </c>
      <c r="BS179" s="322" t="str">
        <f t="array" ref="BS179">IF(MAX(IF(DATOS_[id]=DATOS_[[#This Row],[id]],DATOS_[F.fin.cal]))=DATOS_[[#This Row],[F.fin.cal]],"Sí","NO")</f>
        <v>Sí</v>
      </c>
      <c r="BT179" s="292" t="str">
        <f>IF(AND(DATOS_[[#This Row],[% normaliz]]&lt;&gt;1,DATOS_[[#This Row],[% anualiz]]=1),"Sí","NO")</f>
        <v>Sí</v>
      </c>
      <c r="BU179" s="292" t="str">
        <f>IF(AND(DATOS_[[#This Row],[% normaliz]]=1,DATOS_[[#This Row],[% anualiz]]&lt;&gt;1),"Sí","NO")</f>
        <v>NO</v>
      </c>
      <c r="BV179" s="292" t="str">
        <f>IF(AND(DATOS_[[#This Row],[% normaliz]]&lt;&gt;1,DATOS_[[#This Row],[% anualiz]]&lt;&gt;1),"Sí","NO")</f>
        <v>NO</v>
      </c>
      <c r="BW179" s="322" t="str">
        <f>+IF(DATOS_[[#This Row],[% normaliz]]*DATOS_[[#This Row],[% anualiz]]=1,"NO","Sí")</f>
        <v>Sí</v>
      </c>
      <c r="BX179" s="323">
        <f>(DATOS_[[#This Row],[S.BASE]]*(1/DATOS_[[#This Row],[% normaliz]])*(1/DATOS_[[#This Row],[% anualiz]]))*IF(DATOS_[[#This Row],[Check Equiparado]]="Sí",1,0)</f>
        <v>9686.3024999999998</v>
      </c>
      <c r="BY17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1251.1496000000002</v>
      </c>
      <c r="BZ179" s="323">
        <f>+DATOS_[[#This Row],[SALARIO BASE Eq]]+DATOS_[[#This Row],[Tot COMPL.SAL Eq]]</f>
        <v>10937.4521</v>
      </c>
      <c r="CA179" s="323">
        <f t="array" ref="CA17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9" s="323">
        <f>+DATOS_[[#This Row],[TOTAL SALARIO Eq]]+DATOS_[[#This Row],[Tot Extrasalarial Eq]]</f>
        <v>10937.4521</v>
      </c>
      <c r="CC179" s="327">
        <f>DATOS_[[#This Row],[S.BASE]]</f>
        <v>4843.1512499999999</v>
      </c>
      <c r="CD179" s="324">
        <f>+SUM(DATOS_[[#This Row],[Conc.Sal.01]:[Conc.Sal.30]])</f>
        <v>1025.5748000000001</v>
      </c>
      <c r="CE179" s="324">
        <f>+DATOS_[[#This Row],[SALARIO BASE Ef]]+DATOS_[[#This Row],[Tot COMPL.SAL Ef]]</f>
        <v>5868.7260500000002</v>
      </c>
      <c r="CF179" s="324">
        <f>+SUM(DATOS_[[#This Row],[C.Extra.01]:[C.Extra.05]])</f>
        <v>0</v>
      </c>
      <c r="CG179" s="330">
        <f>+DATOS_[[#This Row],[TOTAL SALARIO Ef]]+DATOS_[[#This Row],[Tot Extrasalarial Ef]]</f>
        <v>5868.7260500000002</v>
      </c>
      <c r="CH179" s="303">
        <f>MIN(IF(DATOS_[[#This Row],[Fecha Fin Contrato]]="",$D$4,DATOS_[[#This Row],[Fecha Fin Contrato]]),$D$4)-MAX(DATOS_[[#This Row],[Fecha de Contratación]],$D$3)+1</f>
        <v>366</v>
      </c>
      <c r="CI179" s="304">
        <f>IF(COUNTIFS(DATOS_[id],DATOS_[[#This Row],[id]])&gt;1,DATOS_[[#This Row],[id]],"")</f>
        <v>161</v>
      </c>
      <c r="CJ179" s="325">
        <f>(Inicio!$G$10-DATOS_[[#This Row],[Fecha Nacimiento]])/365.25</f>
        <v>46.056125941136209</v>
      </c>
      <c r="CK179" s="325">
        <f>(Inicio!$G$10-DATOS_[[#This Row],[Fecha de Antigüedad]])/365.25</f>
        <v>11.553730321697467</v>
      </c>
      <c r="CL179" s="325" t="str">
        <f>+VLOOKUP(DATOS_[[#This Row],[Clave de Contrato]],TblTiposContrato13[],3,FALSE)</f>
        <v>Completa</v>
      </c>
      <c r="CM179" s="325" t="str">
        <f>+VLOOKUP(DATOS_[[#This Row],[Clave de Contrato]],TblTiposContrato13[],4,FALSE)</f>
        <v>Indefinido</v>
      </c>
      <c r="CN179" s="325" t="str">
        <f>VLOOKUP(DATOS_[[#This Row],[Edad]],CONTRATOS!TblRngEdad,2,TRUE)</f>
        <v>45 a 50</v>
      </c>
      <c r="CO179" s="325" t="str">
        <f>VLOOKUP(DATOS_[[#This Row],[Antigüedad]],TblRngAntg14[],2,TRUE)</f>
        <v>de 10 a 15  años</v>
      </c>
    </row>
    <row r="180" spans="2:93" x14ac:dyDescent="0.25">
      <c r="B180" s="146">
        <v>162</v>
      </c>
      <c r="C180" s="146" t="s">
        <v>163</v>
      </c>
      <c r="D180" s="295">
        <v>29565</v>
      </c>
      <c r="E180" s="296" t="s">
        <v>71</v>
      </c>
      <c r="F180" s="296">
        <v>2</v>
      </c>
      <c r="G180" s="296">
        <v>1</v>
      </c>
      <c r="H180" s="297">
        <v>41467</v>
      </c>
      <c r="I180" s="298"/>
      <c r="J180" s="295">
        <v>41467</v>
      </c>
      <c r="K180" s="326"/>
      <c r="L180" s="326"/>
      <c r="M180" s="299">
        <v>1</v>
      </c>
      <c r="N180" s="299"/>
      <c r="O180" s="299"/>
      <c r="P180" s="296">
        <v>100</v>
      </c>
      <c r="Q180" s="146" t="s">
        <v>431</v>
      </c>
      <c r="R180" s="146" t="s">
        <v>419</v>
      </c>
      <c r="S180" s="146" t="s">
        <v>440</v>
      </c>
      <c r="T180" s="146" t="s">
        <v>407</v>
      </c>
      <c r="U180" s="146" t="s">
        <v>400</v>
      </c>
      <c r="V180" s="146" t="s">
        <v>438</v>
      </c>
      <c r="W180" s="146" t="s">
        <v>311</v>
      </c>
      <c r="X180" s="146" t="s">
        <v>307</v>
      </c>
      <c r="Y180" s="146" t="s">
        <v>409</v>
      </c>
      <c r="Z180" s="293"/>
      <c r="AA180" s="294" t="s">
        <v>439</v>
      </c>
      <c r="AB180" s="294">
        <v>9</v>
      </c>
      <c r="AC180" s="296">
        <v>7</v>
      </c>
      <c r="AD180" s="301">
        <v>12915.07</v>
      </c>
      <c r="AE180" s="301">
        <v>84.930000000000291</v>
      </c>
      <c r="AF180" s="301">
        <v>516.6028</v>
      </c>
      <c r="AG180" s="301">
        <v>960</v>
      </c>
      <c r="AH180" s="301"/>
      <c r="AI180" s="301"/>
      <c r="AJ180" s="301"/>
      <c r="AK180" s="301">
        <v>80</v>
      </c>
      <c r="AL180" s="301"/>
      <c r="AM180" s="301"/>
      <c r="AN180" s="301"/>
      <c r="AO180" s="301"/>
      <c r="AP180" s="301"/>
      <c r="AQ180" s="301"/>
      <c r="AR180" s="301"/>
      <c r="AS180" s="301"/>
      <c r="AT180" s="301"/>
      <c r="AU180" s="301"/>
      <c r="AV180" s="301"/>
      <c r="AW180" s="301"/>
      <c r="AX180" s="301"/>
      <c r="AY180" s="301"/>
      <c r="AZ180" s="301"/>
      <c r="BA180" s="301"/>
      <c r="BB180" s="301"/>
      <c r="BC180" s="301"/>
      <c r="BD180" s="301"/>
      <c r="BE180" s="301"/>
      <c r="BF180" s="301"/>
      <c r="BG180" s="301"/>
      <c r="BH180" s="301"/>
      <c r="BI180" s="301"/>
      <c r="BJ180" s="301"/>
      <c r="BK180" s="301"/>
      <c r="BL180" s="301"/>
      <c r="BM180" s="302"/>
      <c r="BN180" s="291">
        <f>+MAX($D$3,DATOS_[[#This Row],[Fecha Inicio Sit. Contract.]])</f>
        <v>45292</v>
      </c>
      <c r="BO180" s="291">
        <f>+MIN($D$4,DATOS_[[#This Row],[Fecha Fin Sit. Contract.]])</f>
        <v>45657</v>
      </c>
      <c r="BP180" s="292">
        <f>+DATOS_[[#This Row],[% de jornada]]*IF(DATOS_[[#This Row],[% jornada reducida]]="",1,DATOS_[[#This Row],[% jornada reducida]])</f>
        <v>1</v>
      </c>
      <c r="BQ180" s="292">
        <f>+(DATOS_[[#This Row],[F.fin.cal]]-DATOS_[[#This Row],[F.ini.cal]]+1)/($D$4-$D$3+1)</f>
        <v>1</v>
      </c>
      <c r="BR180" s="322" t="str">
        <f>IF(OR(AND(DATOS_[[#This Row],[Fecha Fin Contrato]]&lt;$D$3,DATOS_[[#This Row],[Fecha Fin Contrato]]&lt;&gt;""),DATOS_[[#This Row],[Fecha de Contratación]]&gt;$D$4),"Fuera","Dentro")</f>
        <v>Dentro</v>
      </c>
      <c r="BS180" s="322" t="str">
        <f t="array" ref="BS180">IF(MAX(IF(DATOS_[id]=DATOS_[[#This Row],[id]],DATOS_[F.fin.cal]))=DATOS_[[#This Row],[F.fin.cal]],"Sí","NO")</f>
        <v>Sí</v>
      </c>
      <c r="BT180" s="292" t="str">
        <f>IF(AND(DATOS_[[#This Row],[% normaliz]]&lt;&gt;1,DATOS_[[#This Row],[% anualiz]]=1),"Sí","NO")</f>
        <v>NO</v>
      </c>
      <c r="BU180" s="292" t="str">
        <f>IF(AND(DATOS_[[#This Row],[% normaliz]]=1,DATOS_[[#This Row],[% anualiz]]&lt;&gt;1),"Sí","NO")</f>
        <v>NO</v>
      </c>
      <c r="BV180" s="292" t="str">
        <f>IF(AND(DATOS_[[#This Row],[% normaliz]]&lt;&gt;1,DATOS_[[#This Row],[% anualiz]]&lt;&gt;1),"Sí","NO")</f>
        <v>NO</v>
      </c>
      <c r="BW180" s="322" t="str">
        <f>+IF(DATOS_[[#This Row],[% normaliz]]*DATOS_[[#This Row],[% anualiz]]=1,"NO","Sí")</f>
        <v>NO</v>
      </c>
      <c r="BX180" s="323">
        <f>(DATOS_[[#This Row],[S.BASE]]*(1/DATOS_[[#This Row],[% normaliz]])*(1/DATOS_[[#This Row],[% anualiz]]))*IF(DATOS_[[#This Row],[Check Equiparado]]="Sí",1,0)</f>
        <v>12915.07</v>
      </c>
      <c r="BY18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80" s="323">
        <f>+DATOS_[[#This Row],[SALARIO BASE Eq]]+DATOS_[[#This Row],[Tot COMPL.SAL Eq]]</f>
        <v>14556.602800000001</v>
      </c>
      <c r="CA180" s="323">
        <f t="array" ref="CA18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0" s="323">
        <f>+DATOS_[[#This Row],[TOTAL SALARIO Eq]]+DATOS_[[#This Row],[Tot Extrasalarial Eq]]</f>
        <v>14556.602800000001</v>
      </c>
      <c r="CC180" s="327">
        <f>DATOS_[[#This Row],[S.BASE]]</f>
        <v>12915.07</v>
      </c>
      <c r="CD180" s="324">
        <f>+SUM(DATOS_[[#This Row],[Conc.Sal.01]:[Conc.Sal.30]])</f>
        <v>1641.5328000000004</v>
      </c>
      <c r="CE180" s="324">
        <f>+DATOS_[[#This Row],[SALARIO BASE Ef]]+DATOS_[[#This Row],[Tot COMPL.SAL Ef]]</f>
        <v>14556.602800000001</v>
      </c>
      <c r="CF180" s="324">
        <f>+SUM(DATOS_[[#This Row],[C.Extra.01]:[C.Extra.05]])</f>
        <v>0</v>
      </c>
      <c r="CG180" s="330">
        <f>+DATOS_[[#This Row],[TOTAL SALARIO Ef]]+DATOS_[[#This Row],[Tot Extrasalarial Ef]]</f>
        <v>14556.602800000001</v>
      </c>
      <c r="CH180" s="303">
        <f>MIN(IF(DATOS_[[#This Row],[Fecha Fin Contrato]]="",$D$4,DATOS_[[#This Row],[Fecha Fin Contrato]]),$D$4)-MAX(DATOS_[[#This Row],[Fecha de Contratación]],$D$3)+1</f>
        <v>366</v>
      </c>
      <c r="CI180" s="304" t="str">
        <f>IF(COUNTIFS(DATOS_[id],DATOS_[[#This Row],[id]])&gt;1,DATOS_[[#This Row],[id]],"")</f>
        <v/>
      </c>
      <c r="CJ180" s="325">
        <f>(Inicio!$G$10-DATOS_[[#This Row],[Fecha Nacimiento]])/365.25</f>
        <v>44.057494866529773</v>
      </c>
      <c r="CK180" s="325">
        <f>(Inicio!$G$10-DATOS_[[#This Row],[Fecha de Antigüedad]])/365.25</f>
        <v>11.471594798083505</v>
      </c>
      <c r="CL180" s="325" t="str">
        <f>+VLOOKUP(DATOS_[[#This Row],[Clave de Contrato]],TblTiposContrato13[],3,FALSE)</f>
        <v>Completa</v>
      </c>
      <c r="CM180" s="325" t="str">
        <f>+VLOOKUP(DATOS_[[#This Row],[Clave de Contrato]],TblTiposContrato13[],4,FALSE)</f>
        <v>Indefinido</v>
      </c>
      <c r="CN180" s="325" t="str">
        <f>VLOOKUP(DATOS_[[#This Row],[Edad]],CONTRATOS!TblRngEdad,2,TRUE)</f>
        <v>40 a 45</v>
      </c>
      <c r="CO180" s="325" t="str">
        <f>VLOOKUP(DATOS_[[#This Row],[Antigüedad]],TblRngAntg14[],2,TRUE)</f>
        <v>de 10 a 15  años</v>
      </c>
    </row>
    <row r="181" spans="2:93" x14ac:dyDescent="0.25">
      <c r="B181" s="146">
        <v>163</v>
      </c>
      <c r="C181" s="146" t="s">
        <v>163</v>
      </c>
      <c r="D181" s="295">
        <v>31390</v>
      </c>
      <c r="E181" s="296" t="s">
        <v>71</v>
      </c>
      <c r="F181" s="296">
        <v>2</v>
      </c>
      <c r="G181" s="296">
        <v>1</v>
      </c>
      <c r="H181" s="297">
        <v>41497</v>
      </c>
      <c r="I181" s="298"/>
      <c r="J181" s="295">
        <v>41497</v>
      </c>
      <c r="K181" s="326"/>
      <c r="L181" s="326"/>
      <c r="M181" s="299">
        <v>1</v>
      </c>
      <c r="N181" s="299"/>
      <c r="O181" s="299"/>
      <c r="P181" s="296">
        <v>100</v>
      </c>
      <c r="Q181" s="146" t="s">
        <v>431</v>
      </c>
      <c r="R181" s="146" t="s">
        <v>419</v>
      </c>
      <c r="S181" s="146" t="s">
        <v>440</v>
      </c>
      <c r="T181" s="146" t="s">
        <v>407</v>
      </c>
      <c r="U181" s="146" t="s">
        <v>400</v>
      </c>
      <c r="V181" s="146" t="s">
        <v>438</v>
      </c>
      <c r="W181" s="146" t="s">
        <v>311</v>
      </c>
      <c r="X181" s="146" t="s">
        <v>307</v>
      </c>
      <c r="Y181" s="146" t="s">
        <v>409</v>
      </c>
      <c r="Z181" s="293"/>
      <c r="AA181" s="294" t="s">
        <v>439</v>
      </c>
      <c r="AB181" s="294">
        <v>9</v>
      </c>
      <c r="AC181" s="296">
        <v>7</v>
      </c>
      <c r="AD181" s="301">
        <v>12915.07</v>
      </c>
      <c r="AE181" s="301">
        <v>84.930000000000291</v>
      </c>
      <c r="AF181" s="301">
        <v>516.6028</v>
      </c>
      <c r="AG181" s="301">
        <v>960</v>
      </c>
      <c r="AH181" s="301"/>
      <c r="AI181" s="301"/>
      <c r="AJ181" s="301"/>
      <c r="AK181" s="301">
        <v>80</v>
      </c>
      <c r="AL181" s="301"/>
      <c r="AM181" s="301"/>
      <c r="AN181" s="301"/>
      <c r="AO181" s="301"/>
      <c r="AP181" s="301"/>
      <c r="AQ181" s="301"/>
      <c r="AR181" s="301"/>
      <c r="AS181" s="301"/>
      <c r="AT181" s="301"/>
      <c r="AU181" s="301"/>
      <c r="AV181" s="301"/>
      <c r="AW181" s="301"/>
      <c r="AX181" s="301"/>
      <c r="AY181" s="301"/>
      <c r="AZ181" s="301"/>
      <c r="BA181" s="301"/>
      <c r="BB181" s="301"/>
      <c r="BC181" s="301"/>
      <c r="BD181" s="301"/>
      <c r="BE181" s="301"/>
      <c r="BF181" s="301"/>
      <c r="BG181" s="301"/>
      <c r="BH181" s="301"/>
      <c r="BI181" s="301"/>
      <c r="BJ181" s="301"/>
      <c r="BK181" s="301"/>
      <c r="BL181" s="301"/>
      <c r="BM181" s="302"/>
      <c r="BN181" s="291">
        <f>+MAX($D$3,DATOS_[[#This Row],[Fecha Inicio Sit. Contract.]])</f>
        <v>45292</v>
      </c>
      <c r="BO181" s="291">
        <f>+MIN($D$4,DATOS_[[#This Row],[Fecha Fin Sit. Contract.]])</f>
        <v>45657</v>
      </c>
      <c r="BP181" s="292">
        <f>+DATOS_[[#This Row],[% de jornada]]*IF(DATOS_[[#This Row],[% jornada reducida]]="",1,DATOS_[[#This Row],[% jornada reducida]])</f>
        <v>1</v>
      </c>
      <c r="BQ181" s="292">
        <f>+(DATOS_[[#This Row],[F.fin.cal]]-DATOS_[[#This Row],[F.ini.cal]]+1)/($D$4-$D$3+1)</f>
        <v>1</v>
      </c>
      <c r="BR181" s="322" t="str">
        <f>IF(OR(AND(DATOS_[[#This Row],[Fecha Fin Contrato]]&lt;$D$3,DATOS_[[#This Row],[Fecha Fin Contrato]]&lt;&gt;""),DATOS_[[#This Row],[Fecha de Contratación]]&gt;$D$4),"Fuera","Dentro")</f>
        <v>Dentro</v>
      </c>
      <c r="BS181" s="322" t="str">
        <f t="array" ref="BS181">IF(MAX(IF(DATOS_[id]=DATOS_[[#This Row],[id]],DATOS_[F.fin.cal]))=DATOS_[[#This Row],[F.fin.cal]],"Sí","NO")</f>
        <v>Sí</v>
      </c>
      <c r="BT181" s="292" t="str">
        <f>IF(AND(DATOS_[[#This Row],[% normaliz]]&lt;&gt;1,DATOS_[[#This Row],[% anualiz]]=1),"Sí","NO")</f>
        <v>NO</v>
      </c>
      <c r="BU181" s="292" t="str">
        <f>IF(AND(DATOS_[[#This Row],[% normaliz]]=1,DATOS_[[#This Row],[% anualiz]]&lt;&gt;1),"Sí","NO")</f>
        <v>NO</v>
      </c>
      <c r="BV181" s="292" t="str">
        <f>IF(AND(DATOS_[[#This Row],[% normaliz]]&lt;&gt;1,DATOS_[[#This Row],[% anualiz]]&lt;&gt;1),"Sí","NO")</f>
        <v>NO</v>
      </c>
      <c r="BW181" s="322" t="str">
        <f>+IF(DATOS_[[#This Row],[% normaliz]]*DATOS_[[#This Row],[% anualiz]]=1,"NO","Sí")</f>
        <v>NO</v>
      </c>
      <c r="BX181" s="323">
        <f>(DATOS_[[#This Row],[S.BASE]]*(1/DATOS_[[#This Row],[% normaliz]])*(1/DATOS_[[#This Row],[% anualiz]]))*IF(DATOS_[[#This Row],[Check Equiparado]]="Sí",1,0)</f>
        <v>12915.07</v>
      </c>
      <c r="BY18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81" s="323">
        <f>+DATOS_[[#This Row],[SALARIO BASE Eq]]+DATOS_[[#This Row],[Tot COMPL.SAL Eq]]</f>
        <v>14556.602800000001</v>
      </c>
      <c r="CA181" s="323">
        <f t="array" ref="CA18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1" s="323">
        <f>+DATOS_[[#This Row],[TOTAL SALARIO Eq]]+DATOS_[[#This Row],[Tot Extrasalarial Eq]]</f>
        <v>14556.602800000001</v>
      </c>
      <c r="CC181" s="327">
        <f>DATOS_[[#This Row],[S.BASE]]</f>
        <v>12915.07</v>
      </c>
      <c r="CD181" s="324">
        <f>+SUM(DATOS_[[#This Row],[Conc.Sal.01]:[Conc.Sal.30]])</f>
        <v>1641.5328000000004</v>
      </c>
      <c r="CE181" s="324">
        <f>+DATOS_[[#This Row],[SALARIO BASE Ef]]+DATOS_[[#This Row],[Tot COMPL.SAL Ef]]</f>
        <v>14556.602800000001</v>
      </c>
      <c r="CF181" s="324">
        <f>+SUM(DATOS_[[#This Row],[C.Extra.01]:[C.Extra.05]])</f>
        <v>0</v>
      </c>
      <c r="CG181" s="330">
        <f>+DATOS_[[#This Row],[TOTAL SALARIO Ef]]+DATOS_[[#This Row],[Tot Extrasalarial Ef]]</f>
        <v>14556.602800000001</v>
      </c>
      <c r="CH181" s="303">
        <f>MIN(IF(DATOS_[[#This Row],[Fecha Fin Contrato]]="",$D$4,DATOS_[[#This Row],[Fecha Fin Contrato]]),$D$4)-MAX(DATOS_[[#This Row],[Fecha de Contratación]],$D$3)+1</f>
        <v>366</v>
      </c>
      <c r="CI181" s="304" t="str">
        <f>IF(COUNTIFS(DATOS_[id],DATOS_[[#This Row],[id]])&gt;1,DATOS_[[#This Row],[id]],"")</f>
        <v/>
      </c>
      <c r="CJ181" s="325">
        <f>(Inicio!$G$10-DATOS_[[#This Row],[Fecha Nacimiento]])/365.25</f>
        <v>39.060917180013689</v>
      </c>
      <c r="CK181" s="325">
        <f>(Inicio!$G$10-DATOS_[[#This Row],[Fecha de Antigüedad]])/365.25</f>
        <v>11.389459274469541</v>
      </c>
      <c r="CL181" s="325" t="str">
        <f>+VLOOKUP(DATOS_[[#This Row],[Clave de Contrato]],TblTiposContrato13[],3,FALSE)</f>
        <v>Completa</v>
      </c>
      <c r="CM181" s="325" t="str">
        <f>+VLOOKUP(DATOS_[[#This Row],[Clave de Contrato]],TblTiposContrato13[],4,FALSE)</f>
        <v>Indefinido</v>
      </c>
      <c r="CN181" s="325" t="str">
        <f>VLOOKUP(DATOS_[[#This Row],[Edad]],CONTRATOS!TblRngEdad,2,TRUE)</f>
        <v>35 a 40</v>
      </c>
      <c r="CO181" s="325" t="str">
        <f>VLOOKUP(DATOS_[[#This Row],[Antigüedad]],TblRngAntg14[],2,TRUE)</f>
        <v>de 10 a 15  años</v>
      </c>
    </row>
    <row r="182" spans="2:93" x14ac:dyDescent="0.25">
      <c r="B182" s="146">
        <v>164</v>
      </c>
      <c r="C182" s="146" t="s">
        <v>163</v>
      </c>
      <c r="D182" s="295">
        <v>33580</v>
      </c>
      <c r="E182" s="296" t="s">
        <v>71</v>
      </c>
      <c r="F182" s="296">
        <v>2</v>
      </c>
      <c r="G182" s="296">
        <v>2</v>
      </c>
      <c r="H182" s="297">
        <v>43952</v>
      </c>
      <c r="I182" s="298">
        <v>44104</v>
      </c>
      <c r="J182" s="295">
        <v>43952</v>
      </c>
      <c r="K182" s="326">
        <v>43952</v>
      </c>
      <c r="L182" s="326">
        <v>44104</v>
      </c>
      <c r="M182" s="299">
        <v>1</v>
      </c>
      <c r="N182" s="299"/>
      <c r="O182" s="299"/>
      <c r="P182" s="296">
        <v>401</v>
      </c>
      <c r="Q182" s="146" t="s">
        <v>431</v>
      </c>
      <c r="R182" s="146" t="s">
        <v>419</v>
      </c>
      <c r="S182" s="146" t="s">
        <v>440</v>
      </c>
      <c r="T182" s="146" t="s">
        <v>407</v>
      </c>
      <c r="U182" s="146" t="s">
        <v>400</v>
      </c>
      <c r="V182" s="146" t="s">
        <v>438</v>
      </c>
      <c r="W182" s="146" t="s">
        <v>311</v>
      </c>
      <c r="X182" s="146" t="s">
        <v>307</v>
      </c>
      <c r="Y182" s="146" t="s">
        <v>409</v>
      </c>
      <c r="Z182" s="293"/>
      <c r="AA182" s="294" t="s">
        <v>439</v>
      </c>
      <c r="AB182" s="294">
        <v>9</v>
      </c>
      <c r="AC182" s="296">
        <v>7</v>
      </c>
      <c r="AD182" s="301">
        <v>5381</v>
      </c>
      <c r="AE182" s="301">
        <v>35</v>
      </c>
      <c r="AF182" s="301"/>
      <c r="AG182" s="301">
        <v>400</v>
      </c>
      <c r="AH182" s="301"/>
      <c r="AI182" s="301"/>
      <c r="AJ182" s="301"/>
      <c r="AK182" s="301"/>
      <c r="AL182" s="301"/>
      <c r="AM182" s="301"/>
      <c r="AN182" s="301"/>
      <c r="AO182" s="301"/>
      <c r="AP182" s="301"/>
      <c r="AQ182" s="301"/>
      <c r="AR182" s="301"/>
      <c r="AS182" s="301"/>
      <c r="AT182" s="301"/>
      <c r="AU182" s="301"/>
      <c r="AV182" s="301"/>
      <c r="AW182" s="301"/>
      <c r="AX182" s="301"/>
      <c r="AY182" s="301"/>
      <c r="AZ182" s="301"/>
      <c r="BA182" s="301"/>
      <c r="BB182" s="301"/>
      <c r="BC182" s="301"/>
      <c r="BD182" s="301"/>
      <c r="BE182" s="301"/>
      <c r="BF182" s="301"/>
      <c r="BG182" s="301"/>
      <c r="BH182" s="301"/>
      <c r="BI182" s="301"/>
      <c r="BJ182" s="301">
        <v>179</v>
      </c>
      <c r="BK182" s="301"/>
      <c r="BL182" s="301"/>
      <c r="BM182" s="302"/>
      <c r="BN182" s="291">
        <f>+MAX($D$3,DATOS_[[#This Row],[Fecha Inicio Sit. Contract.]])</f>
        <v>45292</v>
      </c>
      <c r="BO182" s="291">
        <f>+MIN($D$4,DATOS_[[#This Row],[Fecha Fin Sit. Contract.]])</f>
        <v>44104</v>
      </c>
      <c r="BP182" s="292">
        <f>+DATOS_[[#This Row],[% de jornada]]*IF(DATOS_[[#This Row],[% jornada reducida]]="",1,DATOS_[[#This Row],[% jornada reducida]])</f>
        <v>1</v>
      </c>
      <c r="BQ182" s="292">
        <f>+(DATOS_[[#This Row],[F.fin.cal]]-DATOS_[[#This Row],[F.ini.cal]]+1)/($D$4-$D$3+1)</f>
        <v>-3.2431693989071038</v>
      </c>
      <c r="BR182" s="322" t="str">
        <f>IF(OR(AND(DATOS_[[#This Row],[Fecha Fin Contrato]]&lt;$D$3,DATOS_[[#This Row],[Fecha Fin Contrato]]&lt;&gt;""),DATOS_[[#This Row],[Fecha de Contratación]]&gt;$D$4),"Fuera","Dentro")</f>
        <v>Fuera</v>
      </c>
      <c r="BS182" s="322" t="str">
        <f t="array" ref="BS182">IF(MAX(IF(DATOS_[id]=DATOS_[[#This Row],[id]],DATOS_[F.fin.cal]))=DATOS_[[#This Row],[F.fin.cal]],"Sí","NO")</f>
        <v>Sí</v>
      </c>
      <c r="BT182" s="292" t="str">
        <f>IF(AND(DATOS_[[#This Row],[% normaliz]]&lt;&gt;1,DATOS_[[#This Row],[% anualiz]]=1),"Sí","NO")</f>
        <v>NO</v>
      </c>
      <c r="BU182" s="292" t="str">
        <f>IF(AND(DATOS_[[#This Row],[% normaliz]]=1,DATOS_[[#This Row],[% anualiz]]&lt;&gt;1),"Sí","NO")</f>
        <v>Sí</v>
      </c>
      <c r="BV182" s="292" t="str">
        <f>IF(AND(DATOS_[[#This Row],[% normaliz]]&lt;&gt;1,DATOS_[[#This Row],[% anualiz]]&lt;&gt;1),"Sí","NO")</f>
        <v>NO</v>
      </c>
      <c r="BW182" s="322" t="str">
        <f>+IF(DATOS_[[#This Row],[% normaliz]]*DATOS_[[#This Row],[% anualiz]]=1,"NO","Sí")</f>
        <v>Sí</v>
      </c>
      <c r="BX182" s="323">
        <f>(DATOS_[[#This Row],[S.BASE]]*(1/DATOS_[[#This Row],[% normaliz]])*(1/DATOS_[[#This Row],[% anualiz]]))*IF(DATOS_[[#This Row],[Check Equiparado]]="Sí",1,0)</f>
        <v>-1659.179443976411</v>
      </c>
      <c r="BY18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-134.12805391743893</v>
      </c>
      <c r="BZ182" s="323">
        <f>+DATOS_[[#This Row],[SALARIO BASE Eq]]+DATOS_[[#This Row],[Tot COMPL.SAL Eq]]</f>
        <v>-1793.3074978938498</v>
      </c>
      <c r="CA182" s="323">
        <f t="array" ref="CA18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182" s="323">
        <f>+DATOS_[[#This Row],[TOTAL SALARIO Eq]]+DATOS_[[#This Row],[Tot Extrasalarial Eq]]</f>
        <v>-1614.3074978938498</v>
      </c>
      <c r="CC182" s="327">
        <f>DATOS_[[#This Row],[S.BASE]]</f>
        <v>5381</v>
      </c>
      <c r="CD182" s="324">
        <f>+SUM(DATOS_[[#This Row],[Conc.Sal.01]:[Conc.Sal.30]])</f>
        <v>435</v>
      </c>
      <c r="CE182" s="324">
        <f>+DATOS_[[#This Row],[SALARIO BASE Ef]]+DATOS_[[#This Row],[Tot COMPL.SAL Ef]]</f>
        <v>5816</v>
      </c>
      <c r="CF182" s="324">
        <f>+SUM(DATOS_[[#This Row],[C.Extra.01]:[C.Extra.05]])</f>
        <v>179</v>
      </c>
      <c r="CG182" s="330">
        <f>+DATOS_[[#This Row],[TOTAL SALARIO Ef]]+DATOS_[[#This Row],[Tot Extrasalarial Ef]]</f>
        <v>5995</v>
      </c>
      <c r="CH182" s="303">
        <f>MIN(IF(DATOS_[[#This Row],[Fecha Fin Contrato]]="",$D$4,DATOS_[[#This Row],[Fecha Fin Contrato]]),$D$4)-MAX(DATOS_[[#This Row],[Fecha de Contratación]],$D$3)+1</f>
        <v>-1187</v>
      </c>
      <c r="CI182" s="304" t="str">
        <f>IF(COUNTIFS(DATOS_[id],DATOS_[[#This Row],[id]])&gt;1,DATOS_[[#This Row],[id]],"")</f>
        <v/>
      </c>
      <c r="CJ182" s="325">
        <f>(Inicio!$G$10-DATOS_[[#This Row],[Fecha Nacimiento]])/365.25</f>
        <v>33.065023956194388</v>
      </c>
      <c r="CK182" s="325">
        <f>(Inicio!$G$10-DATOS_[[#This Row],[Fecha de Antigüedad]])/365.25</f>
        <v>4.6680355920602326</v>
      </c>
      <c r="CL182" s="325" t="str">
        <f>+VLOOKUP(DATOS_[[#This Row],[Clave de Contrato]],TblTiposContrato13[],3,FALSE)</f>
        <v>Completa</v>
      </c>
      <c r="CM182" s="325" t="str">
        <f>+VLOOKUP(DATOS_[[#This Row],[Clave de Contrato]],TblTiposContrato13[],4,FALSE)</f>
        <v>Temporal</v>
      </c>
      <c r="CN182" s="325" t="str">
        <f>VLOOKUP(DATOS_[[#This Row],[Edad]],CONTRATOS!TblRngEdad,2,TRUE)</f>
        <v>30 a 35</v>
      </c>
      <c r="CO182" s="325" t="str">
        <f>VLOOKUP(DATOS_[[#This Row],[Antigüedad]],TblRngAntg14[],2,TRUE)</f>
        <v>3 a 5  años</v>
      </c>
    </row>
    <row r="183" spans="2:93" x14ac:dyDescent="0.25">
      <c r="B183" s="146">
        <v>165</v>
      </c>
      <c r="C183" s="146" t="s">
        <v>162</v>
      </c>
      <c r="D183" s="295">
        <v>27010</v>
      </c>
      <c r="E183" s="296" t="s">
        <v>71</v>
      </c>
      <c r="F183" s="296">
        <v>2</v>
      </c>
      <c r="G183" s="296">
        <v>2</v>
      </c>
      <c r="H183" s="297">
        <v>43891</v>
      </c>
      <c r="I183" s="298">
        <v>44043</v>
      </c>
      <c r="J183" s="295">
        <v>43891</v>
      </c>
      <c r="K183" s="326">
        <v>43891</v>
      </c>
      <c r="L183" s="326">
        <v>44043</v>
      </c>
      <c r="M183" s="299">
        <v>1</v>
      </c>
      <c r="N183" s="299"/>
      <c r="O183" s="299"/>
      <c r="P183" s="296">
        <v>401</v>
      </c>
      <c r="Q183" s="146" t="s">
        <v>431</v>
      </c>
      <c r="R183" s="146" t="s">
        <v>419</v>
      </c>
      <c r="S183" s="146" t="s">
        <v>440</v>
      </c>
      <c r="T183" s="146" t="s">
        <v>407</v>
      </c>
      <c r="U183" s="146" t="s">
        <v>400</v>
      </c>
      <c r="V183" s="146" t="s">
        <v>438</v>
      </c>
      <c r="W183" s="146" t="s">
        <v>311</v>
      </c>
      <c r="X183" s="146" t="s">
        <v>307</v>
      </c>
      <c r="Y183" s="146" t="s">
        <v>409</v>
      </c>
      <c r="Z183" s="293"/>
      <c r="AA183" s="294" t="s">
        <v>439</v>
      </c>
      <c r="AB183" s="294">
        <v>9</v>
      </c>
      <c r="AC183" s="296">
        <v>7</v>
      </c>
      <c r="AD183" s="301">
        <v>5381</v>
      </c>
      <c r="AE183" s="301">
        <v>35</v>
      </c>
      <c r="AF183" s="301"/>
      <c r="AG183" s="301">
        <v>400</v>
      </c>
      <c r="AH183" s="301"/>
      <c r="AI183" s="301"/>
      <c r="AJ183" s="301"/>
      <c r="AK183" s="301"/>
      <c r="AL183" s="301"/>
      <c r="AM183" s="301"/>
      <c r="AN183" s="301"/>
      <c r="AO183" s="301"/>
      <c r="AP183" s="301"/>
      <c r="AQ183" s="301"/>
      <c r="AR183" s="301"/>
      <c r="AS183" s="301"/>
      <c r="AT183" s="301"/>
      <c r="AU183" s="301"/>
      <c r="AV183" s="301"/>
      <c r="AW183" s="301"/>
      <c r="AX183" s="301"/>
      <c r="AY183" s="301"/>
      <c r="AZ183" s="301"/>
      <c r="BA183" s="301"/>
      <c r="BB183" s="301"/>
      <c r="BC183" s="301"/>
      <c r="BD183" s="301"/>
      <c r="BE183" s="301"/>
      <c r="BF183" s="301"/>
      <c r="BG183" s="301"/>
      <c r="BH183" s="301"/>
      <c r="BI183" s="301"/>
      <c r="BJ183" s="301">
        <v>179</v>
      </c>
      <c r="BK183" s="301"/>
      <c r="BL183" s="301"/>
      <c r="BM183" s="302"/>
      <c r="BN183" s="291">
        <f>+MAX($D$3,DATOS_[[#This Row],[Fecha Inicio Sit. Contract.]])</f>
        <v>45292</v>
      </c>
      <c r="BO183" s="291">
        <f>+MIN($D$4,DATOS_[[#This Row],[Fecha Fin Sit. Contract.]])</f>
        <v>44043</v>
      </c>
      <c r="BP183" s="292">
        <f>+DATOS_[[#This Row],[% de jornada]]*IF(DATOS_[[#This Row],[% jornada reducida]]="",1,DATOS_[[#This Row],[% jornada reducida]])</f>
        <v>1</v>
      </c>
      <c r="BQ183" s="292">
        <f>+(DATOS_[[#This Row],[F.fin.cal]]-DATOS_[[#This Row],[F.ini.cal]]+1)/($D$4-$D$3+1)</f>
        <v>-3.4098360655737703</v>
      </c>
      <c r="BR183" s="322" t="str">
        <f>IF(OR(AND(DATOS_[[#This Row],[Fecha Fin Contrato]]&lt;$D$3,DATOS_[[#This Row],[Fecha Fin Contrato]]&lt;&gt;""),DATOS_[[#This Row],[Fecha de Contratación]]&gt;$D$4),"Fuera","Dentro")</f>
        <v>Fuera</v>
      </c>
      <c r="BS183" s="322" t="str">
        <f t="array" ref="BS183">IF(MAX(IF(DATOS_[id]=DATOS_[[#This Row],[id]],DATOS_[F.fin.cal]))=DATOS_[[#This Row],[F.fin.cal]],"Sí","NO")</f>
        <v>Sí</v>
      </c>
      <c r="BT183" s="292" t="str">
        <f>IF(AND(DATOS_[[#This Row],[% normaliz]]&lt;&gt;1,DATOS_[[#This Row],[% anualiz]]=1),"Sí","NO")</f>
        <v>NO</v>
      </c>
      <c r="BU183" s="292" t="str">
        <f>IF(AND(DATOS_[[#This Row],[% normaliz]]=1,DATOS_[[#This Row],[% anualiz]]&lt;&gt;1),"Sí","NO")</f>
        <v>Sí</v>
      </c>
      <c r="BV183" s="292" t="str">
        <f>IF(AND(DATOS_[[#This Row],[% normaliz]]&lt;&gt;1,DATOS_[[#This Row],[% anualiz]]&lt;&gt;1),"Sí","NO")</f>
        <v>NO</v>
      </c>
      <c r="BW183" s="322" t="str">
        <f>+IF(DATOS_[[#This Row],[% normaliz]]*DATOS_[[#This Row],[% anualiz]]=1,"NO","Sí")</f>
        <v>Sí</v>
      </c>
      <c r="BX183" s="323">
        <f>(DATOS_[[#This Row],[S.BASE]]*(1/DATOS_[[#This Row],[% normaliz]])*(1/DATOS_[[#This Row],[% anualiz]]))*IF(DATOS_[[#This Row],[Check Equiparado]]="Sí",1,0)</f>
        <v>-1578.0817307692309</v>
      </c>
      <c r="BY18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-127.57211538461539</v>
      </c>
      <c r="BZ183" s="323">
        <f>+DATOS_[[#This Row],[SALARIO BASE Eq]]+DATOS_[[#This Row],[Tot COMPL.SAL Eq]]</f>
        <v>-1705.6538461538464</v>
      </c>
      <c r="CA183" s="323">
        <f t="array" ref="CA18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183" s="323">
        <f>+DATOS_[[#This Row],[TOTAL SALARIO Eq]]+DATOS_[[#This Row],[Tot Extrasalarial Eq]]</f>
        <v>-1526.6538461538464</v>
      </c>
      <c r="CC183" s="327">
        <f>DATOS_[[#This Row],[S.BASE]]</f>
        <v>5381</v>
      </c>
      <c r="CD183" s="324">
        <f>+SUM(DATOS_[[#This Row],[Conc.Sal.01]:[Conc.Sal.30]])</f>
        <v>435</v>
      </c>
      <c r="CE183" s="324">
        <f>+DATOS_[[#This Row],[SALARIO BASE Ef]]+DATOS_[[#This Row],[Tot COMPL.SAL Ef]]</f>
        <v>5816</v>
      </c>
      <c r="CF183" s="324">
        <f>+SUM(DATOS_[[#This Row],[C.Extra.01]:[C.Extra.05]])</f>
        <v>179</v>
      </c>
      <c r="CG183" s="330">
        <f>+DATOS_[[#This Row],[TOTAL SALARIO Ef]]+DATOS_[[#This Row],[Tot Extrasalarial Ef]]</f>
        <v>5995</v>
      </c>
      <c r="CH183" s="303">
        <f>MIN(IF(DATOS_[[#This Row],[Fecha Fin Contrato]]="",$D$4,DATOS_[[#This Row],[Fecha Fin Contrato]]),$D$4)-MAX(DATOS_[[#This Row],[Fecha de Contratación]],$D$3)+1</f>
        <v>-1248</v>
      </c>
      <c r="CI183" s="304" t="str">
        <f>IF(COUNTIFS(DATOS_[id],DATOS_[[#This Row],[id]])&gt;1,DATOS_[[#This Row],[id]],"")</f>
        <v/>
      </c>
      <c r="CJ183" s="325">
        <f>(Inicio!$G$10-DATOS_[[#This Row],[Fecha Nacimiento]])/365.25</f>
        <v>51.052703627652292</v>
      </c>
      <c r="CK183" s="325">
        <f>(Inicio!$G$10-DATOS_[[#This Row],[Fecha de Antigüedad]])/365.25</f>
        <v>4.8350444900752905</v>
      </c>
      <c r="CL183" s="325" t="str">
        <f>+VLOOKUP(DATOS_[[#This Row],[Clave de Contrato]],TblTiposContrato13[],3,FALSE)</f>
        <v>Completa</v>
      </c>
      <c r="CM183" s="325" t="str">
        <f>+VLOOKUP(DATOS_[[#This Row],[Clave de Contrato]],TblTiposContrato13[],4,FALSE)</f>
        <v>Temporal</v>
      </c>
      <c r="CN183" s="325" t="str">
        <f>VLOOKUP(DATOS_[[#This Row],[Edad]],CONTRATOS!TblRngEdad,2,TRUE)</f>
        <v>50 a 55</v>
      </c>
      <c r="CO183" s="325" t="str">
        <f>VLOOKUP(DATOS_[[#This Row],[Antigüedad]],TblRngAntg14[],2,TRUE)</f>
        <v>3 a 5  años</v>
      </c>
    </row>
    <row r="184" spans="2:93" x14ac:dyDescent="0.25">
      <c r="B184" s="146">
        <v>166</v>
      </c>
      <c r="C184" s="146" t="s">
        <v>162</v>
      </c>
      <c r="D184" s="295">
        <v>35040</v>
      </c>
      <c r="E184" s="296" t="s">
        <v>71</v>
      </c>
      <c r="F184" s="296">
        <v>2</v>
      </c>
      <c r="G184" s="296">
        <v>3</v>
      </c>
      <c r="H184" s="297">
        <v>43891</v>
      </c>
      <c r="I184" s="298">
        <v>44012</v>
      </c>
      <c r="J184" s="295">
        <v>43891</v>
      </c>
      <c r="K184" s="326">
        <v>43891</v>
      </c>
      <c r="L184" s="326">
        <v>44012</v>
      </c>
      <c r="M184" s="299">
        <v>1</v>
      </c>
      <c r="N184" s="299"/>
      <c r="O184" s="299"/>
      <c r="P184" s="296">
        <v>401</v>
      </c>
      <c r="Q184" s="146" t="s">
        <v>431</v>
      </c>
      <c r="R184" s="146" t="s">
        <v>419</v>
      </c>
      <c r="S184" s="146" t="s">
        <v>440</v>
      </c>
      <c r="T184" s="146" t="s">
        <v>407</v>
      </c>
      <c r="U184" s="146" t="s">
        <v>400</v>
      </c>
      <c r="V184" s="146" t="s">
        <v>438</v>
      </c>
      <c r="W184" s="146" t="s">
        <v>311</v>
      </c>
      <c r="X184" s="146" t="s">
        <v>307</v>
      </c>
      <c r="Y184" s="146" t="s">
        <v>409</v>
      </c>
      <c r="Z184" s="293"/>
      <c r="AA184" s="294" t="s">
        <v>439</v>
      </c>
      <c r="AB184" s="294">
        <v>9</v>
      </c>
      <c r="AC184" s="296">
        <v>7</v>
      </c>
      <c r="AD184" s="301">
        <v>4305</v>
      </c>
      <c r="AE184" s="301">
        <v>28</v>
      </c>
      <c r="AF184" s="301"/>
      <c r="AG184" s="301">
        <v>320</v>
      </c>
      <c r="AH184" s="301"/>
      <c r="AI184" s="301"/>
      <c r="AJ184" s="301"/>
      <c r="AK184" s="301"/>
      <c r="AL184" s="301"/>
      <c r="AM184" s="301"/>
      <c r="AN184" s="301"/>
      <c r="AO184" s="301"/>
      <c r="AP184" s="301"/>
      <c r="AQ184" s="301"/>
      <c r="AR184" s="301"/>
      <c r="AS184" s="301"/>
      <c r="AT184" s="301"/>
      <c r="AU184" s="301"/>
      <c r="AV184" s="301"/>
      <c r="AW184" s="301"/>
      <c r="AX184" s="301"/>
      <c r="AY184" s="301"/>
      <c r="AZ184" s="301"/>
      <c r="BA184" s="301"/>
      <c r="BB184" s="301"/>
      <c r="BC184" s="301"/>
      <c r="BD184" s="301"/>
      <c r="BE184" s="301"/>
      <c r="BF184" s="301"/>
      <c r="BG184" s="301"/>
      <c r="BH184" s="301"/>
      <c r="BI184" s="301"/>
      <c r="BJ184" s="301">
        <v>143</v>
      </c>
      <c r="BK184" s="301"/>
      <c r="BL184" s="301"/>
      <c r="BM184" s="302"/>
      <c r="BN184" s="291">
        <f>+MAX($D$3,DATOS_[[#This Row],[Fecha Inicio Sit. Contract.]])</f>
        <v>45292</v>
      </c>
      <c r="BO184" s="291">
        <f>+MIN($D$4,DATOS_[[#This Row],[Fecha Fin Sit. Contract.]])</f>
        <v>44012</v>
      </c>
      <c r="BP184" s="292">
        <f>+DATOS_[[#This Row],[% de jornada]]*IF(DATOS_[[#This Row],[% jornada reducida]]="",1,DATOS_[[#This Row],[% jornada reducida]])</f>
        <v>1</v>
      </c>
      <c r="BQ184" s="292">
        <f>+(DATOS_[[#This Row],[F.fin.cal]]-DATOS_[[#This Row],[F.ini.cal]]+1)/($D$4-$D$3+1)</f>
        <v>-3.4945355191256833</v>
      </c>
      <c r="BR184" s="322" t="str">
        <f>IF(OR(AND(DATOS_[[#This Row],[Fecha Fin Contrato]]&lt;$D$3,DATOS_[[#This Row],[Fecha Fin Contrato]]&lt;&gt;""),DATOS_[[#This Row],[Fecha de Contratación]]&gt;$D$4),"Fuera","Dentro")</f>
        <v>Fuera</v>
      </c>
      <c r="BS184" s="322" t="str">
        <f t="array" ref="BS184">IF(MAX(IF(DATOS_[id]=DATOS_[[#This Row],[id]],DATOS_[F.fin.cal]))=DATOS_[[#This Row],[F.fin.cal]],"Sí","NO")</f>
        <v>Sí</v>
      </c>
      <c r="BT184" s="292" t="str">
        <f>IF(AND(DATOS_[[#This Row],[% normaliz]]&lt;&gt;1,DATOS_[[#This Row],[% anualiz]]=1),"Sí","NO")</f>
        <v>NO</v>
      </c>
      <c r="BU184" s="292" t="str">
        <f>IF(AND(DATOS_[[#This Row],[% normaliz]]=1,DATOS_[[#This Row],[% anualiz]]&lt;&gt;1),"Sí","NO")</f>
        <v>Sí</v>
      </c>
      <c r="BV184" s="292" t="str">
        <f>IF(AND(DATOS_[[#This Row],[% normaliz]]&lt;&gt;1,DATOS_[[#This Row],[% anualiz]]&lt;&gt;1),"Sí","NO")</f>
        <v>NO</v>
      </c>
      <c r="BW184" s="322" t="str">
        <f>+IF(DATOS_[[#This Row],[% normaliz]]*DATOS_[[#This Row],[% anualiz]]=1,"NO","Sí")</f>
        <v>Sí</v>
      </c>
      <c r="BX184" s="323">
        <f>(DATOS_[[#This Row],[S.BASE]]*(1/DATOS_[[#This Row],[% normaliz]])*(1/DATOS_[[#This Row],[% anualiz]]))*IF(DATOS_[[#This Row],[Check Equiparado]]="Sí",1,0)</f>
        <v>-1231.9233776387803</v>
      </c>
      <c r="BY18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-99.584050039093043</v>
      </c>
      <c r="BZ184" s="323">
        <f>+DATOS_[[#This Row],[SALARIO BASE Eq]]+DATOS_[[#This Row],[Tot COMPL.SAL Eq]]</f>
        <v>-1331.5074276778732</v>
      </c>
      <c r="CA184" s="323">
        <f t="array" ref="CA18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184" s="323">
        <f>+DATOS_[[#This Row],[TOTAL SALARIO Eq]]+DATOS_[[#This Row],[Tot Extrasalarial Eq]]</f>
        <v>-1188.5074276778732</v>
      </c>
      <c r="CC184" s="327">
        <f>DATOS_[[#This Row],[S.BASE]]</f>
        <v>4305</v>
      </c>
      <c r="CD184" s="324">
        <f>+SUM(DATOS_[[#This Row],[Conc.Sal.01]:[Conc.Sal.30]])</f>
        <v>348</v>
      </c>
      <c r="CE184" s="324">
        <f>+DATOS_[[#This Row],[SALARIO BASE Ef]]+DATOS_[[#This Row],[Tot COMPL.SAL Ef]]</f>
        <v>4653</v>
      </c>
      <c r="CF184" s="324">
        <f>+SUM(DATOS_[[#This Row],[C.Extra.01]:[C.Extra.05]])</f>
        <v>143</v>
      </c>
      <c r="CG184" s="330">
        <f>+DATOS_[[#This Row],[TOTAL SALARIO Ef]]+DATOS_[[#This Row],[Tot Extrasalarial Ef]]</f>
        <v>4796</v>
      </c>
      <c r="CH184" s="303">
        <f>MIN(IF(DATOS_[[#This Row],[Fecha Fin Contrato]]="",$D$4,DATOS_[[#This Row],[Fecha Fin Contrato]]),$D$4)-MAX(DATOS_[[#This Row],[Fecha de Contratación]],$D$3)+1</f>
        <v>-1279</v>
      </c>
      <c r="CI184" s="304" t="str">
        <f>IF(COUNTIFS(DATOS_[id],DATOS_[[#This Row],[id]])&gt;1,DATOS_[[#This Row],[id]],"")</f>
        <v/>
      </c>
      <c r="CJ184" s="325">
        <f>(Inicio!$G$10-DATOS_[[#This Row],[Fecha Nacimiento]])/365.25</f>
        <v>29.067761806981519</v>
      </c>
      <c r="CK184" s="325">
        <f>(Inicio!$G$10-DATOS_[[#This Row],[Fecha de Antigüedad]])/365.25</f>
        <v>4.8350444900752905</v>
      </c>
      <c r="CL184" s="325" t="str">
        <f>+VLOOKUP(DATOS_[[#This Row],[Clave de Contrato]],TblTiposContrato13[],3,FALSE)</f>
        <v>Completa</v>
      </c>
      <c r="CM184" s="325" t="str">
        <f>+VLOOKUP(DATOS_[[#This Row],[Clave de Contrato]],TblTiposContrato13[],4,FALSE)</f>
        <v>Temporal</v>
      </c>
      <c r="CN184" s="325" t="str">
        <f>VLOOKUP(DATOS_[[#This Row],[Edad]],CONTRATOS!TblRngEdad,2,TRUE)</f>
        <v>25 a 30</v>
      </c>
      <c r="CO184" s="325" t="str">
        <f>VLOOKUP(DATOS_[[#This Row],[Antigüedad]],TblRngAntg14[],2,TRUE)</f>
        <v>3 a 5  años</v>
      </c>
    </row>
    <row r="185" spans="2:93" x14ac:dyDescent="0.25">
      <c r="B185" s="146">
        <v>167</v>
      </c>
      <c r="C185" s="146" t="s">
        <v>162</v>
      </c>
      <c r="D185" s="295">
        <v>33945</v>
      </c>
      <c r="E185" s="296" t="s">
        <v>71</v>
      </c>
      <c r="F185" s="296">
        <v>1</v>
      </c>
      <c r="G185" s="296">
        <v>3</v>
      </c>
      <c r="H185" s="297">
        <v>44136</v>
      </c>
      <c r="I185" s="298">
        <v>44196</v>
      </c>
      <c r="J185" s="295">
        <v>44136</v>
      </c>
      <c r="K185" s="326">
        <v>44136</v>
      </c>
      <c r="L185" s="326">
        <v>44196</v>
      </c>
      <c r="M185" s="299">
        <v>1</v>
      </c>
      <c r="N185" s="299"/>
      <c r="O185" s="299"/>
      <c r="P185" s="296">
        <v>401</v>
      </c>
      <c r="Q185" s="146" t="s">
        <v>431</v>
      </c>
      <c r="R185" s="146" t="s">
        <v>419</v>
      </c>
      <c r="S185" s="146" t="s">
        <v>440</v>
      </c>
      <c r="T185" s="146" t="s">
        <v>407</v>
      </c>
      <c r="U185" s="146" t="s">
        <v>400</v>
      </c>
      <c r="V185" s="146" t="s">
        <v>438</v>
      </c>
      <c r="W185" s="146" t="s">
        <v>311</v>
      </c>
      <c r="X185" s="146" t="s">
        <v>307</v>
      </c>
      <c r="Y185" s="146" t="s">
        <v>409</v>
      </c>
      <c r="Z185" s="293"/>
      <c r="AA185" s="294" t="s">
        <v>439</v>
      </c>
      <c r="AB185" s="294">
        <v>9</v>
      </c>
      <c r="AC185" s="296">
        <v>7</v>
      </c>
      <c r="AD185" s="301">
        <v>2152</v>
      </c>
      <c r="AE185" s="301">
        <v>14</v>
      </c>
      <c r="AF185" s="301"/>
      <c r="AG185" s="301">
        <v>160</v>
      </c>
      <c r="AH185" s="301"/>
      <c r="AI185" s="301"/>
      <c r="AJ185" s="301"/>
      <c r="AK185" s="301">
        <v>80</v>
      </c>
      <c r="AL185" s="301"/>
      <c r="AM185" s="301"/>
      <c r="AN185" s="301"/>
      <c r="AO185" s="301"/>
      <c r="AP185" s="301"/>
      <c r="AQ185" s="301"/>
      <c r="AR185" s="301"/>
      <c r="AS185" s="301"/>
      <c r="AT185" s="301"/>
      <c r="AU185" s="301"/>
      <c r="AV185" s="301"/>
      <c r="AW185" s="301"/>
      <c r="AX185" s="301"/>
      <c r="AY185" s="301"/>
      <c r="AZ185" s="301"/>
      <c r="BA185" s="301"/>
      <c r="BB185" s="301"/>
      <c r="BC185" s="301"/>
      <c r="BD185" s="301"/>
      <c r="BE185" s="301"/>
      <c r="BF185" s="301"/>
      <c r="BG185" s="301"/>
      <c r="BH185" s="301"/>
      <c r="BI185" s="301"/>
      <c r="BJ185" s="301">
        <v>72</v>
      </c>
      <c r="BK185" s="301"/>
      <c r="BL185" s="301"/>
      <c r="BM185" s="302"/>
      <c r="BN185" s="291">
        <f>+MAX($D$3,DATOS_[[#This Row],[Fecha Inicio Sit. Contract.]])</f>
        <v>45292</v>
      </c>
      <c r="BO185" s="291">
        <f>+MIN($D$4,DATOS_[[#This Row],[Fecha Fin Sit. Contract.]])</f>
        <v>44196</v>
      </c>
      <c r="BP185" s="292">
        <f>+DATOS_[[#This Row],[% de jornada]]*IF(DATOS_[[#This Row],[% jornada reducida]]="",1,DATOS_[[#This Row],[% jornada reducida]])</f>
        <v>1</v>
      </c>
      <c r="BQ185" s="292">
        <f>+(DATOS_[[#This Row],[F.fin.cal]]-DATOS_[[#This Row],[F.ini.cal]]+1)/($D$4-$D$3+1)</f>
        <v>-2.9918032786885247</v>
      </c>
      <c r="BR185" s="322" t="str">
        <f>IF(OR(AND(DATOS_[[#This Row],[Fecha Fin Contrato]]&lt;$D$3,DATOS_[[#This Row],[Fecha Fin Contrato]]&lt;&gt;""),DATOS_[[#This Row],[Fecha de Contratación]]&gt;$D$4),"Fuera","Dentro")</f>
        <v>Fuera</v>
      </c>
      <c r="BS185" s="322" t="str">
        <f t="array" ref="BS185">IF(MAX(IF(DATOS_[id]=DATOS_[[#This Row],[id]],DATOS_[F.fin.cal]))=DATOS_[[#This Row],[F.fin.cal]],"Sí","NO")</f>
        <v>Sí</v>
      </c>
      <c r="BT185" s="292" t="str">
        <f>IF(AND(DATOS_[[#This Row],[% normaliz]]&lt;&gt;1,DATOS_[[#This Row],[% anualiz]]=1),"Sí","NO")</f>
        <v>NO</v>
      </c>
      <c r="BU185" s="292" t="str">
        <f>IF(AND(DATOS_[[#This Row],[% normaliz]]=1,DATOS_[[#This Row],[% anualiz]]&lt;&gt;1),"Sí","NO")</f>
        <v>Sí</v>
      </c>
      <c r="BV185" s="292" t="str">
        <f>IF(AND(DATOS_[[#This Row],[% normaliz]]&lt;&gt;1,DATOS_[[#This Row],[% anualiz]]&lt;&gt;1),"Sí","NO")</f>
        <v>NO</v>
      </c>
      <c r="BW185" s="322" t="str">
        <f>+IF(DATOS_[[#This Row],[% normaliz]]*DATOS_[[#This Row],[% anualiz]]=1,"NO","Sí")</f>
        <v>Sí</v>
      </c>
      <c r="BX185" s="323">
        <f>(DATOS_[[#This Row],[S.BASE]]*(1/DATOS_[[#This Row],[% normaliz]])*(1/DATOS_[[#This Row],[% anualiz]]))*IF(DATOS_[[#This Row],[Check Equiparado]]="Sí",1,0)</f>
        <v>-719.29863013698639</v>
      </c>
      <c r="BY18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21.841095890410955</v>
      </c>
      <c r="BZ185" s="323">
        <f>+DATOS_[[#This Row],[SALARIO BASE Eq]]+DATOS_[[#This Row],[Tot COMPL.SAL Eq]]</f>
        <v>-697.45753424657539</v>
      </c>
      <c r="CA185" s="323">
        <f t="array" ref="CA18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72</v>
      </c>
      <c r="CB185" s="323">
        <f>+DATOS_[[#This Row],[TOTAL SALARIO Eq]]+DATOS_[[#This Row],[Tot Extrasalarial Eq]]</f>
        <v>-625.45753424657539</v>
      </c>
      <c r="CC185" s="327">
        <f>DATOS_[[#This Row],[S.BASE]]</f>
        <v>2152</v>
      </c>
      <c r="CD185" s="324">
        <f>+SUM(DATOS_[[#This Row],[Conc.Sal.01]:[Conc.Sal.30]])</f>
        <v>254</v>
      </c>
      <c r="CE185" s="324">
        <f>+DATOS_[[#This Row],[SALARIO BASE Ef]]+DATOS_[[#This Row],[Tot COMPL.SAL Ef]]</f>
        <v>2406</v>
      </c>
      <c r="CF185" s="324">
        <f>+SUM(DATOS_[[#This Row],[C.Extra.01]:[C.Extra.05]])</f>
        <v>72</v>
      </c>
      <c r="CG185" s="330">
        <f>+DATOS_[[#This Row],[TOTAL SALARIO Ef]]+DATOS_[[#This Row],[Tot Extrasalarial Ef]]</f>
        <v>2478</v>
      </c>
      <c r="CH185" s="303">
        <f>MIN(IF(DATOS_[[#This Row],[Fecha Fin Contrato]]="",$D$4,DATOS_[[#This Row],[Fecha Fin Contrato]]),$D$4)-MAX(DATOS_[[#This Row],[Fecha de Contratación]],$D$3)+1</f>
        <v>-1095</v>
      </c>
      <c r="CI185" s="304" t="str">
        <f>IF(COUNTIFS(DATOS_[id],DATOS_[[#This Row],[id]])&gt;1,DATOS_[[#This Row],[id]],"")</f>
        <v/>
      </c>
      <c r="CJ185" s="325">
        <f>(Inicio!$G$10-DATOS_[[#This Row],[Fecha Nacimiento]])/365.25</f>
        <v>32.06570841889117</v>
      </c>
      <c r="CK185" s="325">
        <f>(Inicio!$G$10-DATOS_[[#This Row],[Fecha de Antigüedad]])/365.25</f>
        <v>4.1642710472279258</v>
      </c>
      <c r="CL185" s="325" t="str">
        <f>+VLOOKUP(DATOS_[[#This Row],[Clave de Contrato]],TblTiposContrato13[],3,FALSE)</f>
        <v>Completa</v>
      </c>
      <c r="CM185" s="325" t="str">
        <f>+VLOOKUP(DATOS_[[#This Row],[Clave de Contrato]],TblTiposContrato13[],4,FALSE)</f>
        <v>Temporal</v>
      </c>
      <c r="CN185" s="325" t="str">
        <f>VLOOKUP(DATOS_[[#This Row],[Edad]],CONTRATOS!TblRngEdad,2,TRUE)</f>
        <v>30 a 35</v>
      </c>
      <c r="CO185" s="325" t="str">
        <f>VLOOKUP(DATOS_[[#This Row],[Antigüedad]],TblRngAntg14[],2,TRUE)</f>
        <v>3 a 5  años</v>
      </c>
    </row>
    <row r="186" spans="2:93" x14ac:dyDescent="0.25">
      <c r="B186" s="146">
        <v>168</v>
      </c>
      <c r="C186" s="146" t="s">
        <v>163</v>
      </c>
      <c r="D186" s="295">
        <v>31390</v>
      </c>
      <c r="E186" s="296" t="s">
        <v>71</v>
      </c>
      <c r="F186" s="296">
        <v>1</v>
      </c>
      <c r="G186" s="296">
        <v>2</v>
      </c>
      <c r="H186" s="297">
        <v>44044</v>
      </c>
      <c r="I186" s="298">
        <v>44196</v>
      </c>
      <c r="J186" s="295">
        <v>44044</v>
      </c>
      <c r="K186" s="326">
        <v>44044</v>
      </c>
      <c r="L186" s="326">
        <v>44196</v>
      </c>
      <c r="M186" s="299">
        <v>1</v>
      </c>
      <c r="N186" s="299"/>
      <c r="O186" s="299"/>
      <c r="P186" s="296">
        <v>401</v>
      </c>
      <c r="Q186" s="146" t="s">
        <v>431</v>
      </c>
      <c r="R186" s="146" t="s">
        <v>419</v>
      </c>
      <c r="S186" s="146" t="s">
        <v>440</v>
      </c>
      <c r="T186" s="146" t="s">
        <v>407</v>
      </c>
      <c r="U186" s="146" t="s">
        <v>400</v>
      </c>
      <c r="V186" s="146" t="s">
        <v>438</v>
      </c>
      <c r="W186" s="146" t="s">
        <v>311</v>
      </c>
      <c r="X186" s="146" t="s">
        <v>307</v>
      </c>
      <c r="Y186" s="146" t="s">
        <v>409</v>
      </c>
      <c r="Z186" s="293"/>
      <c r="AA186" s="294" t="s">
        <v>439</v>
      </c>
      <c r="AB186" s="294">
        <v>9</v>
      </c>
      <c r="AC186" s="296">
        <v>7</v>
      </c>
      <c r="AD186" s="301">
        <v>5381</v>
      </c>
      <c r="AE186" s="301">
        <v>35</v>
      </c>
      <c r="AF186" s="301"/>
      <c r="AG186" s="301">
        <v>400</v>
      </c>
      <c r="AH186" s="301"/>
      <c r="AI186" s="301"/>
      <c r="AJ186" s="301"/>
      <c r="AK186" s="301">
        <v>80</v>
      </c>
      <c r="AL186" s="301"/>
      <c r="AM186" s="301"/>
      <c r="AN186" s="301"/>
      <c r="AO186" s="301"/>
      <c r="AP186" s="301"/>
      <c r="AQ186" s="301"/>
      <c r="AR186" s="301"/>
      <c r="AS186" s="301"/>
      <c r="AT186" s="301"/>
      <c r="AU186" s="301"/>
      <c r="AV186" s="301"/>
      <c r="AW186" s="301"/>
      <c r="AX186" s="301"/>
      <c r="AY186" s="301"/>
      <c r="AZ186" s="301"/>
      <c r="BA186" s="301"/>
      <c r="BB186" s="301"/>
      <c r="BC186" s="301"/>
      <c r="BD186" s="301"/>
      <c r="BE186" s="301"/>
      <c r="BF186" s="301"/>
      <c r="BG186" s="301"/>
      <c r="BH186" s="301"/>
      <c r="BI186" s="301"/>
      <c r="BJ186" s="301">
        <v>179</v>
      </c>
      <c r="BK186" s="301"/>
      <c r="BL186" s="301"/>
      <c r="BM186" s="302"/>
      <c r="BN186" s="291">
        <f>+MAX($D$3,DATOS_[[#This Row],[Fecha Inicio Sit. Contract.]])</f>
        <v>45292</v>
      </c>
      <c r="BO186" s="291">
        <f>+MIN($D$4,DATOS_[[#This Row],[Fecha Fin Sit. Contract.]])</f>
        <v>44196</v>
      </c>
      <c r="BP186" s="292">
        <f>+DATOS_[[#This Row],[% de jornada]]*IF(DATOS_[[#This Row],[% jornada reducida]]="",1,DATOS_[[#This Row],[% jornada reducida]])</f>
        <v>1</v>
      </c>
      <c r="BQ186" s="292">
        <f>+(DATOS_[[#This Row],[F.fin.cal]]-DATOS_[[#This Row],[F.ini.cal]]+1)/($D$4-$D$3+1)</f>
        <v>-2.9918032786885247</v>
      </c>
      <c r="BR186" s="322" t="str">
        <f>IF(OR(AND(DATOS_[[#This Row],[Fecha Fin Contrato]]&lt;$D$3,DATOS_[[#This Row],[Fecha Fin Contrato]]&lt;&gt;""),DATOS_[[#This Row],[Fecha de Contratación]]&gt;$D$4),"Fuera","Dentro")</f>
        <v>Fuera</v>
      </c>
      <c r="BS186" s="322" t="str">
        <f t="array" ref="BS186">IF(MAX(IF(DATOS_[id]=DATOS_[[#This Row],[id]],DATOS_[F.fin.cal]))=DATOS_[[#This Row],[F.fin.cal]],"Sí","NO")</f>
        <v>Sí</v>
      </c>
      <c r="BT186" s="292" t="str">
        <f>IF(AND(DATOS_[[#This Row],[% normaliz]]&lt;&gt;1,DATOS_[[#This Row],[% anualiz]]=1),"Sí","NO")</f>
        <v>NO</v>
      </c>
      <c r="BU186" s="292" t="str">
        <f>IF(AND(DATOS_[[#This Row],[% normaliz]]=1,DATOS_[[#This Row],[% anualiz]]&lt;&gt;1),"Sí","NO")</f>
        <v>Sí</v>
      </c>
      <c r="BV186" s="292" t="str">
        <f>IF(AND(DATOS_[[#This Row],[% normaliz]]&lt;&gt;1,DATOS_[[#This Row],[% anualiz]]&lt;&gt;1),"Sí","NO")</f>
        <v>NO</v>
      </c>
      <c r="BW186" s="322" t="str">
        <f>+IF(DATOS_[[#This Row],[% normaliz]]*DATOS_[[#This Row],[% anualiz]]=1,"NO","Sí")</f>
        <v>Sí</v>
      </c>
      <c r="BX186" s="323">
        <f>(DATOS_[[#This Row],[S.BASE]]*(1/DATOS_[[#This Row],[% normaliz]])*(1/DATOS_[[#This Row],[% anualiz]]))*IF(DATOS_[[#This Row],[Check Equiparado]]="Sí",1,0)</f>
        <v>-1798.5808219178084</v>
      </c>
      <c r="BY18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-65.39726027397262</v>
      </c>
      <c r="BZ186" s="323">
        <f>+DATOS_[[#This Row],[SALARIO BASE Eq]]+DATOS_[[#This Row],[Tot COMPL.SAL Eq]]</f>
        <v>-1863.9780821917811</v>
      </c>
      <c r="CA186" s="323">
        <f t="array" ref="CA18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186" s="323">
        <f>+DATOS_[[#This Row],[TOTAL SALARIO Eq]]+DATOS_[[#This Row],[Tot Extrasalarial Eq]]</f>
        <v>-1684.9780821917811</v>
      </c>
      <c r="CC186" s="327">
        <f>DATOS_[[#This Row],[S.BASE]]</f>
        <v>5381</v>
      </c>
      <c r="CD186" s="324">
        <f>+SUM(DATOS_[[#This Row],[Conc.Sal.01]:[Conc.Sal.30]])</f>
        <v>515</v>
      </c>
      <c r="CE186" s="324">
        <f>+DATOS_[[#This Row],[SALARIO BASE Ef]]+DATOS_[[#This Row],[Tot COMPL.SAL Ef]]</f>
        <v>5896</v>
      </c>
      <c r="CF186" s="324">
        <f>+SUM(DATOS_[[#This Row],[C.Extra.01]:[C.Extra.05]])</f>
        <v>179</v>
      </c>
      <c r="CG186" s="330">
        <f>+DATOS_[[#This Row],[TOTAL SALARIO Ef]]+DATOS_[[#This Row],[Tot Extrasalarial Ef]]</f>
        <v>6075</v>
      </c>
      <c r="CH186" s="303">
        <f>MIN(IF(DATOS_[[#This Row],[Fecha Fin Contrato]]="",$D$4,DATOS_[[#This Row],[Fecha Fin Contrato]]),$D$4)-MAX(DATOS_[[#This Row],[Fecha de Contratación]],$D$3)+1</f>
        <v>-1095</v>
      </c>
      <c r="CI186" s="304" t="str">
        <f>IF(COUNTIFS(DATOS_[id],DATOS_[[#This Row],[id]])&gt;1,DATOS_[[#This Row],[id]],"")</f>
        <v/>
      </c>
      <c r="CJ186" s="325">
        <f>(Inicio!$G$10-DATOS_[[#This Row],[Fecha Nacimiento]])/365.25</f>
        <v>39.060917180013689</v>
      </c>
      <c r="CK186" s="325">
        <f>(Inicio!$G$10-DATOS_[[#This Row],[Fecha de Antigüedad]])/365.25</f>
        <v>4.4161533196440796</v>
      </c>
      <c r="CL186" s="325" t="str">
        <f>+VLOOKUP(DATOS_[[#This Row],[Clave de Contrato]],TblTiposContrato13[],3,FALSE)</f>
        <v>Completa</v>
      </c>
      <c r="CM186" s="325" t="str">
        <f>+VLOOKUP(DATOS_[[#This Row],[Clave de Contrato]],TblTiposContrato13[],4,FALSE)</f>
        <v>Temporal</v>
      </c>
      <c r="CN186" s="325" t="str">
        <f>VLOOKUP(DATOS_[[#This Row],[Edad]],CONTRATOS!TblRngEdad,2,TRUE)</f>
        <v>35 a 40</v>
      </c>
      <c r="CO186" s="325" t="str">
        <f>VLOOKUP(DATOS_[[#This Row],[Antigüedad]],TblRngAntg14[],2,TRUE)</f>
        <v>3 a 5  años</v>
      </c>
    </row>
    <row r="187" spans="2:93" x14ac:dyDescent="0.25">
      <c r="B187" s="146">
        <v>169</v>
      </c>
      <c r="C187" s="146" t="s">
        <v>163</v>
      </c>
      <c r="D187" s="295">
        <v>28105</v>
      </c>
      <c r="E187" s="296" t="s">
        <v>71</v>
      </c>
      <c r="F187" s="296">
        <v>3</v>
      </c>
      <c r="G187" s="296">
        <v>0</v>
      </c>
      <c r="H187" s="297">
        <v>43952</v>
      </c>
      <c r="I187" s="298">
        <v>44196</v>
      </c>
      <c r="J187" s="295">
        <v>43952</v>
      </c>
      <c r="K187" s="326">
        <v>43952</v>
      </c>
      <c r="L187" s="326">
        <v>44196</v>
      </c>
      <c r="M187" s="299">
        <v>1</v>
      </c>
      <c r="N187" s="299"/>
      <c r="O187" s="299"/>
      <c r="P187" s="296">
        <v>401</v>
      </c>
      <c r="Q187" s="146" t="s">
        <v>431</v>
      </c>
      <c r="R187" s="146" t="s">
        <v>419</v>
      </c>
      <c r="S187" s="146" t="s">
        <v>440</v>
      </c>
      <c r="T187" s="146" t="s">
        <v>407</v>
      </c>
      <c r="U187" s="146" t="s">
        <v>400</v>
      </c>
      <c r="V187" s="146" t="s">
        <v>438</v>
      </c>
      <c r="W187" s="146" t="s">
        <v>311</v>
      </c>
      <c r="X187" s="146" t="s">
        <v>307</v>
      </c>
      <c r="Y187" s="146" t="s">
        <v>409</v>
      </c>
      <c r="Z187" s="293"/>
      <c r="AA187" s="294" t="s">
        <v>439</v>
      </c>
      <c r="AB187" s="294">
        <v>9</v>
      </c>
      <c r="AC187" s="296">
        <v>7</v>
      </c>
      <c r="AD187" s="301">
        <v>9686</v>
      </c>
      <c r="AE187" s="301">
        <v>63</v>
      </c>
      <c r="AF187" s="301"/>
      <c r="AG187" s="301">
        <v>720</v>
      </c>
      <c r="AH187" s="301"/>
      <c r="AI187" s="301"/>
      <c r="AJ187" s="301"/>
      <c r="AK187" s="301">
        <v>80</v>
      </c>
      <c r="AL187" s="301"/>
      <c r="AM187" s="301"/>
      <c r="AN187" s="301"/>
      <c r="AO187" s="301"/>
      <c r="AP187" s="301"/>
      <c r="AQ187" s="301"/>
      <c r="AR187" s="301"/>
      <c r="AS187" s="301"/>
      <c r="AT187" s="301"/>
      <c r="AU187" s="301"/>
      <c r="AV187" s="301"/>
      <c r="AW187" s="301"/>
      <c r="AX187" s="301"/>
      <c r="AY187" s="301"/>
      <c r="AZ187" s="301"/>
      <c r="BA187" s="301"/>
      <c r="BB187" s="301"/>
      <c r="BC187" s="301"/>
      <c r="BD187" s="301"/>
      <c r="BE187" s="301"/>
      <c r="BF187" s="301"/>
      <c r="BG187" s="301"/>
      <c r="BH187" s="301"/>
      <c r="BI187" s="301"/>
      <c r="BJ187" s="301">
        <v>321</v>
      </c>
      <c r="BK187" s="301"/>
      <c r="BL187" s="301"/>
      <c r="BM187" s="302"/>
      <c r="BN187" s="291">
        <f>+MAX($D$3,DATOS_[[#This Row],[Fecha Inicio Sit. Contract.]])</f>
        <v>45292</v>
      </c>
      <c r="BO187" s="291">
        <f>+MIN($D$4,DATOS_[[#This Row],[Fecha Fin Sit. Contract.]])</f>
        <v>44196</v>
      </c>
      <c r="BP187" s="292">
        <f>+DATOS_[[#This Row],[% de jornada]]*IF(DATOS_[[#This Row],[% jornada reducida]]="",1,DATOS_[[#This Row],[% jornada reducida]])</f>
        <v>1</v>
      </c>
      <c r="BQ187" s="292">
        <f>+(DATOS_[[#This Row],[F.fin.cal]]-DATOS_[[#This Row],[F.ini.cal]]+1)/($D$4-$D$3+1)</f>
        <v>-2.9918032786885247</v>
      </c>
      <c r="BR187" s="322" t="str">
        <f>IF(OR(AND(DATOS_[[#This Row],[Fecha Fin Contrato]]&lt;$D$3,DATOS_[[#This Row],[Fecha Fin Contrato]]&lt;&gt;""),DATOS_[[#This Row],[Fecha de Contratación]]&gt;$D$4),"Fuera","Dentro")</f>
        <v>Fuera</v>
      </c>
      <c r="BS187" s="322" t="str">
        <f t="array" ref="BS187">IF(MAX(IF(DATOS_[id]=DATOS_[[#This Row],[id]],DATOS_[F.fin.cal]))=DATOS_[[#This Row],[F.fin.cal]],"Sí","NO")</f>
        <v>Sí</v>
      </c>
      <c r="BT187" s="292" t="str">
        <f>IF(AND(DATOS_[[#This Row],[% normaliz]]&lt;&gt;1,DATOS_[[#This Row],[% anualiz]]=1),"Sí","NO")</f>
        <v>NO</v>
      </c>
      <c r="BU187" s="292" t="str">
        <f>IF(AND(DATOS_[[#This Row],[% normaliz]]=1,DATOS_[[#This Row],[% anualiz]]&lt;&gt;1),"Sí","NO")</f>
        <v>Sí</v>
      </c>
      <c r="BV187" s="292" t="str">
        <f>IF(AND(DATOS_[[#This Row],[% normaliz]]&lt;&gt;1,DATOS_[[#This Row],[% anualiz]]&lt;&gt;1),"Sí","NO")</f>
        <v>NO</v>
      </c>
      <c r="BW187" s="322" t="str">
        <f>+IF(DATOS_[[#This Row],[% normaliz]]*DATOS_[[#This Row],[% anualiz]]=1,"NO","Sí")</f>
        <v>Sí</v>
      </c>
      <c r="BX187" s="323">
        <f>(DATOS_[[#This Row],[S.BASE]]*(1/DATOS_[[#This Row],[% normaliz]])*(1/DATOS_[[#This Row],[% anualiz]]))*IF(DATOS_[[#This Row],[Check Equiparado]]="Sí",1,0)</f>
        <v>-3237.5123287671236</v>
      </c>
      <c r="BY18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-181.71506849315068</v>
      </c>
      <c r="BZ187" s="323">
        <f>+DATOS_[[#This Row],[SALARIO BASE Eq]]+DATOS_[[#This Row],[Tot COMPL.SAL Eq]]</f>
        <v>-3419.2273972602743</v>
      </c>
      <c r="CA187" s="323">
        <f t="array" ref="CA18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321</v>
      </c>
      <c r="CB187" s="323">
        <f>+DATOS_[[#This Row],[TOTAL SALARIO Eq]]+DATOS_[[#This Row],[Tot Extrasalarial Eq]]</f>
        <v>-3098.2273972602743</v>
      </c>
      <c r="CC187" s="327">
        <f>DATOS_[[#This Row],[S.BASE]]</f>
        <v>9686</v>
      </c>
      <c r="CD187" s="324">
        <f>+SUM(DATOS_[[#This Row],[Conc.Sal.01]:[Conc.Sal.30]])</f>
        <v>863</v>
      </c>
      <c r="CE187" s="324">
        <f>+DATOS_[[#This Row],[SALARIO BASE Ef]]+DATOS_[[#This Row],[Tot COMPL.SAL Ef]]</f>
        <v>10549</v>
      </c>
      <c r="CF187" s="324">
        <f>+SUM(DATOS_[[#This Row],[C.Extra.01]:[C.Extra.05]])</f>
        <v>321</v>
      </c>
      <c r="CG187" s="330">
        <f>+DATOS_[[#This Row],[TOTAL SALARIO Ef]]+DATOS_[[#This Row],[Tot Extrasalarial Ef]]</f>
        <v>10870</v>
      </c>
      <c r="CH187" s="303">
        <f>MIN(IF(DATOS_[[#This Row],[Fecha Fin Contrato]]="",$D$4,DATOS_[[#This Row],[Fecha Fin Contrato]]),$D$4)-MAX(DATOS_[[#This Row],[Fecha de Contratación]],$D$3)+1</f>
        <v>-1095</v>
      </c>
      <c r="CI187" s="304" t="str">
        <f>IF(COUNTIFS(DATOS_[id],DATOS_[[#This Row],[id]])&gt;1,DATOS_[[#This Row],[id]],"")</f>
        <v/>
      </c>
      <c r="CJ187" s="325">
        <f>(Inicio!$G$10-DATOS_[[#This Row],[Fecha Nacimiento]])/365.25</f>
        <v>48.054757015742645</v>
      </c>
      <c r="CK187" s="325">
        <f>(Inicio!$G$10-DATOS_[[#This Row],[Fecha de Antigüedad]])/365.25</f>
        <v>4.6680355920602326</v>
      </c>
      <c r="CL187" s="325" t="str">
        <f>+VLOOKUP(DATOS_[[#This Row],[Clave de Contrato]],TblTiposContrato13[],3,FALSE)</f>
        <v>Completa</v>
      </c>
      <c r="CM187" s="325" t="str">
        <f>+VLOOKUP(DATOS_[[#This Row],[Clave de Contrato]],TblTiposContrato13[],4,FALSE)</f>
        <v>Temporal</v>
      </c>
      <c r="CN187" s="325" t="str">
        <f>VLOOKUP(DATOS_[[#This Row],[Edad]],CONTRATOS!TblRngEdad,2,TRUE)</f>
        <v>45 a 50</v>
      </c>
      <c r="CO187" s="325" t="str">
        <f>VLOOKUP(DATOS_[[#This Row],[Antigüedad]],TblRngAntg14[],2,TRUE)</f>
        <v>3 a 5  años</v>
      </c>
    </row>
    <row r="188" spans="2:93" x14ac:dyDescent="0.25">
      <c r="B188" s="146">
        <v>170</v>
      </c>
      <c r="C188" s="146" t="s">
        <v>163</v>
      </c>
      <c r="D188" s="295">
        <v>27740</v>
      </c>
      <c r="E188" s="296" t="s">
        <v>71</v>
      </c>
      <c r="F188" s="296">
        <v>3</v>
      </c>
      <c r="G188" s="296">
        <v>0</v>
      </c>
      <c r="H188" s="297">
        <v>43891</v>
      </c>
      <c r="I188" s="298">
        <v>44012</v>
      </c>
      <c r="J188" s="295">
        <v>43891</v>
      </c>
      <c r="K188" s="326">
        <v>43891</v>
      </c>
      <c r="L188" s="326">
        <v>44012</v>
      </c>
      <c r="M188" s="299">
        <v>1</v>
      </c>
      <c r="N188" s="299"/>
      <c r="O188" s="299"/>
      <c r="P188" s="296">
        <v>401</v>
      </c>
      <c r="Q188" s="146" t="s">
        <v>431</v>
      </c>
      <c r="R188" s="146" t="s">
        <v>419</v>
      </c>
      <c r="S188" s="146" t="s">
        <v>440</v>
      </c>
      <c r="T188" s="146" t="s">
        <v>407</v>
      </c>
      <c r="U188" s="146" t="s">
        <v>400</v>
      </c>
      <c r="V188" s="146" t="s">
        <v>438</v>
      </c>
      <c r="W188" s="146" t="s">
        <v>311</v>
      </c>
      <c r="X188" s="146" t="s">
        <v>307</v>
      </c>
      <c r="Y188" s="146" t="s">
        <v>409</v>
      </c>
      <c r="Z188" s="293"/>
      <c r="AA188" s="294" t="s">
        <v>439</v>
      </c>
      <c r="AB188" s="294">
        <v>9</v>
      </c>
      <c r="AC188" s="296">
        <v>7</v>
      </c>
      <c r="AD188" s="301">
        <v>4305</v>
      </c>
      <c r="AE188" s="301">
        <v>28</v>
      </c>
      <c r="AF188" s="301"/>
      <c r="AG188" s="301">
        <v>320</v>
      </c>
      <c r="AH188" s="301"/>
      <c r="AI188" s="301"/>
      <c r="AJ188" s="301"/>
      <c r="AK188" s="301"/>
      <c r="AL188" s="301"/>
      <c r="AM188" s="301"/>
      <c r="AN188" s="301"/>
      <c r="AO188" s="301"/>
      <c r="AP188" s="301"/>
      <c r="AQ188" s="301"/>
      <c r="AR188" s="301"/>
      <c r="AS188" s="301"/>
      <c r="AT188" s="301"/>
      <c r="AU188" s="301"/>
      <c r="AV188" s="301"/>
      <c r="AW188" s="301"/>
      <c r="AX188" s="301"/>
      <c r="AY188" s="301"/>
      <c r="AZ188" s="301"/>
      <c r="BA188" s="301"/>
      <c r="BB188" s="301"/>
      <c r="BC188" s="301"/>
      <c r="BD188" s="301"/>
      <c r="BE188" s="301"/>
      <c r="BF188" s="301"/>
      <c r="BG188" s="301"/>
      <c r="BH188" s="301"/>
      <c r="BI188" s="301"/>
      <c r="BJ188" s="301">
        <v>143</v>
      </c>
      <c r="BK188" s="301"/>
      <c r="BL188" s="301"/>
      <c r="BM188" s="302"/>
      <c r="BN188" s="291">
        <f>+MAX($D$3,DATOS_[[#This Row],[Fecha Inicio Sit. Contract.]])</f>
        <v>45292</v>
      </c>
      <c r="BO188" s="291">
        <f>+MIN($D$4,DATOS_[[#This Row],[Fecha Fin Sit. Contract.]])</f>
        <v>44012</v>
      </c>
      <c r="BP188" s="292">
        <f>+DATOS_[[#This Row],[% de jornada]]*IF(DATOS_[[#This Row],[% jornada reducida]]="",1,DATOS_[[#This Row],[% jornada reducida]])</f>
        <v>1</v>
      </c>
      <c r="BQ188" s="292">
        <f>+(DATOS_[[#This Row],[F.fin.cal]]-DATOS_[[#This Row],[F.ini.cal]]+1)/($D$4-$D$3+1)</f>
        <v>-3.4945355191256833</v>
      </c>
      <c r="BR188" s="322" t="str">
        <f>IF(OR(AND(DATOS_[[#This Row],[Fecha Fin Contrato]]&lt;$D$3,DATOS_[[#This Row],[Fecha Fin Contrato]]&lt;&gt;""),DATOS_[[#This Row],[Fecha de Contratación]]&gt;$D$4),"Fuera","Dentro")</f>
        <v>Fuera</v>
      </c>
      <c r="BS188" s="322" t="str">
        <f t="array" ref="BS188">IF(MAX(IF(DATOS_[id]=DATOS_[[#This Row],[id]],DATOS_[F.fin.cal]))=DATOS_[[#This Row],[F.fin.cal]],"Sí","NO")</f>
        <v>Sí</v>
      </c>
      <c r="BT188" s="292" t="str">
        <f>IF(AND(DATOS_[[#This Row],[% normaliz]]&lt;&gt;1,DATOS_[[#This Row],[% anualiz]]=1),"Sí","NO")</f>
        <v>NO</v>
      </c>
      <c r="BU188" s="292" t="str">
        <f>IF(AND(DATOS_[[#This Row],[% normaliz]]=1,DATOS_[[#This Row],[% anualiz]]&lt;&gt;1),"Sí","NO")</f>
        <v>Sí</v>
      </c>
      <c r="BV188" s="292" t="str">
        <f>IF(AND(DATOS_[[#This Row],[% normaliz]]&lt;&gt;1,DATOS_[[#This Row],[% anualiz]]&lt;&gt;1),"Sí","NO")</f>
        <v>NO</v>
      </c>
      <c r="BW188" s="322" t="str">
        <f>+IF(DATOS_[[#This Row],[% normaliz]]*DATOS_[[#This Row],[% anualiz]]=1,"NO","Sí")</f>
        <v>Sí</v>
      </c>
      <c r="BX188" s="323">
        <f>(DATOS_[[#This Row],[S.BASE]]*(1/DATOS_[[#This Row],[% normaliz]])*(1/DATOS_[[#This Row],[% anualiz]]))*IF(DATOS_[[#This Row],[Check Equiparado]]="Sí",1,0)</f>
        <v>-1231.9233776387803</v>
      </c>
      <c r="BY18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-99.584050039093043</v>
      </c>
      <c r="BZ188" s="323">
        <f>+DATOS_[[#This Row],[SALARIO BASE Eq]]+DATOS_[[#This Row],[Tot COMPL.SAL Eq]]</f>
        <v>-1331.5074276778732</v>
      </c>
      <c r="CA188" s="323">
        <f t="array" ref="CA18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188" s="323">
        <f>+DATOS_[[#This Row],[TOTAL SALARIO Eq]]+DATOS_[[#This Row],[Tot Extrasalarial Eq]]</f>
        <v>-1188.5074276778732</v>
      </c>
      <c r="CC188" s="327">
        <f>DATOS_[[#This Row],[S.BASE]]</f>
        <v>4305</v>
      </c>
      <c r="CD188" s="324">
        <f>+SUM(DATOS_[[#This Row],[Conc.Sal.01]:[Conc.Sal.30]])</f>
        <v>348</v>
      </c>
      <c r="CE188" s="324">
        <f>+DATOS_[[#This Row],[SALARIO BASE Ef]]+DATOS_[[#This Row],[Tot COMPL.SAL Ef]]</f>
        <v>4653</v>
      </c>
      <c r="CF188" s="324">
        <f>+SUM(DATOS_[[#This Row],[C.Extra.01]:[C.Extra.05]])</f>
        <v>143</v>
      </c>
      <c r="CG188" s="330">
        <f>+DATOS_[[#This Row],[TOTAL SALARIO Ef]]+DATOS_[[#This Row],[Tot Extrasalarial Ef]]</f>
        <v>4796</v>
      </c>
      <c r="CH188" s="303">
        <f>MIN(IF(DATOS_[[#This Row],[Fecha Fin Contrato]]="",$D$4,DATOS_[[#This Row],[Fecha Fin Contrato]]),$D$4)-MAX(DATOS_[[#This Row],[Fecha de Contratación]],$D$3)+1</f>
        <v>-1279</v>
      </c>
      <c r="CI188" s="304" t="str">
        <f>IF(COUNTIFS(DATOS_[id],DATOS_[[#This Row],[id]])&gt;1,DATOS_[[#This Row],[id]],"")</f>
        <v/>
      </c>
      <c r="CJ188" s="325">
        <f>(Inicio!$G$10-DATOS_[[#This Row],[Fecha Nacimiento]])/365.25</f>
        <v>49.054072553045856</v>
      </c>
      <c r="CK188" s="325">
        <f>(Inicio!$G$10-DATOS_[[#This Row],[Fecha de Antigüedad]])/365.25</f>
        <v>4.8350444900752905</v>
      </c>
      <c r="CL188" s="325" t="str">
        <f>+VLOOKUP(DATOS_[[#This Row],[Clave de Contrato]],TblTiposContrato13[],3,FALSE)</f>
        <v>Completa</v>
      </c>
      <c r="CM188" s="325" t="str">
        <f>+VLOOKUP(DATOS_[[#This Row],[Clave de Contrato]],TblTiposContrato13[],4,FALSE)</f>
        <v>Temporal</v>
      </c>
      <c r="CN188" s="325" t="str">
        <f>VLOOKUP(DATOS_[[#This Row],[Edad]],CONTRATOS!TblRngEdad,2,TRUE)</f>
        <v>45 a 50</v>
      </c>
      <c r="CO188" s="325" t="str">
        <f>VLOOKUP(DATOS_[[#This Row],[Antigüedad]],TblRngAntg14[],2,TRUE)</f>
        <v>3 a 5  años</v>
      </c>
    </row>
    <row r="189" spans="2:93" x14ac:dyDescent="0.25">
      <c r="B189" s="146">
        <v>171</v>
      </c>
      <c r="C189" s="146" t="s">
        <v>163</v>
      </c>
      <c r="D189" s="295">
        <v>35770</v>
      </c>
      <c r="E189" s="296" t="s">
        <v>71</v>
      </c>
      <c r="F189" s="296">
        <v>3</v>
      </c>
      <c r="G189" s="296">
        <v>0</v>
      </c>
      <c r="H189" s="297">
        <v>43891</v>
      </c>
      <c r="I189" s="298">
        <v>44012</v>
      </c>
      <c r="J189" s="295">
        <v>43891</v>
      </c>
      <c r="K189" s="326">
        <v>43891</v>
      </c>
      <c r="L189" s="326">
        <v>44012</v>
      </c>
      <c r="M189" s="299">
        <v>1</v>
      </c>
      <c r="N189" s="299"/>
      <c r="O189" s="299"/>
      <c r="P189" s="296">
        <v>401</v>
      </c>
      <c r="Q189" s="146" t="s">
        <v>431</v>
      </c>
      <c r="R189" s="146" t="s">
        <v>419</v>
      </c>
      <c r="S189" s="146" t="s">
        <v>440</v>
      </c>
      <c r="T189" s="146" t="s">
        <v>407</v>
      </c>
      <c r="U189" s="146" t="s">
        <v>400</v>
      </c>
      <c r="V189" s="146" t="s">
        <v>438</v>
      </c>
      <c r="W189" s="146" t="s">
        <v>311</v>
      </c>
      <c r="X189" s="146" t="s">
        <v>307</v>
      </c>
      <c r="Y189" s="146" t="s">
        <v>409</v>
      </c>
      <c r="Z189" s="293"/>
      <c r="AA189" s="294" t="s">
        <v>439</v>
      </c>
      <c r="AB189" s="294">
        <v>9</v>
      </c>
      <c r="AC189" s="296">
        <v>7</v>
      </c>
      <c r="AD189" s="301">
        <v>4305</v>
      </c>
      <c r="AE189" s="301">
        <v>28</v>
      </c>
      <c r="AF189" s="301"/>
      <c r="AG189" s="301">
        <v>320</v>
      </c>
      <c r="AH189" s="301"/>
      <c r="AI189" s="301"/>
      <c r="AJ189" s="301"/>
      <c r="AK189" s="301"/>
      <c r="AL189" s="301"/>
      <c r="AM189" s="301"/>
      <c r="AN189" s="301"/>
      <c r="AO189" s="301"/>
      <c r="AP189" s="301"/>
      <c r="AQ189" s="301"/>
      <c r="AR189" s="301"/>
      <c r="AS189" s="301"/>
      <c r="AT189" s="301"/>
      <c r="AU189" s="301"/>
      <c r="AV189" s="301"/>
      <c r="AW189" s="301"/>
      <c r="AX189" s="301"/>
      <c r="AY189" s="301"/>
      <c r="AZ189" s="301"/>
      <c r="BA189" s="301"/>
      <c r="BB189" s="301"/>
      <c r="BC189" s="301"/>
      <c r="BD189" s="301"/>
      <c r="BE189" s="301"/>
      <c r="BF189" s="301"/>
      <c r="BG189" s="301"/>
      <c r="BH189" s="301"/>
      <c r="BI189" s="301"/>
      <c r="BJ189" s="301">
        <v>143</v>
      </c>
      <c r="BK189" s="301"/>
      <c r="BL189" s="301"/>
      <c r="BM189" s="302"/>
      <c r="BN189" s="291">
        <f>+MAX($D$3,DATOS_[[#This Row],[Fecha Inicio Sit. Contract.]])</f>
        <v>45292</v>
      </c>
      <c r="BO189" s="291">
        <f>+MIN($D$4,DATOS_[[#This Row],[Fecha Fin Sit. Contract.]])</f>
        <v>44012</v>
      </c>
      <c r="BP189" s="292">
        <f>+DATOS_[[#This Row],[% de jornada]]*IF(DATOS_[[#This Row],[% jornada reducida]]="",1,DATOS_[[#This Row],[% jornada reducida]])</f>
        <v>1</v>
      </c>
      <c r="BQ189" s="292">
        <f>+(DATOS_[[#This Row],[F.fin.cal]]-DATOS_[[#This Row],[F.ini.cal]]+1)/($D$4-$D$3+1)</f>
        <v>-3.4945355191256833</v>
      </c>
      <c r="BR189" s="322" t="str">
        <f>IF(OR(AND(DATOS_[[#This Row],[Fecha Fin Contrato]]&lt;$D$3,DATOS_[[#This Row],[Fecha Fin Contrato]]&lt;&gt;""),DATOS_[[#This Row],[Fecha de Contratación]]&gt;$D$4),"Fuera","Dentro")</f>
        <v>Fuera</v>
      </c>
      <c r="BS189" s="322" t="str">
        <f t="array" ref="BS189">IF(MAX(IF(DATOS_[id]=DATOS_[[#This Row],[id]],DATOS_[F.fin.cal]))=DATOS_[[#This Row],[F.fin.cal]],"Sí","NO")</f>
        <v>Sí</v>
      </c>
      <c r="BT189" s="292" t="str">
        <f>IF(AND(DATOS_[[#This Row],[% normaliz]]&lt;&gt;1,DATOS_[[#This Row],[% anualiz]]=1),"Sí","NO")</f>
        <v>NO</v>
      </c>
      <c r="BU189" s="292" t="str">
        <f>IF(AND(DATOS_[[#This Row],[% normaliz]]=1,DATOS_[[#This Row],[% anualiz]]&lt;&gt;1),"Sí","NO")</f>
        <v>Sí</v>
      </c>
      <c r="BV189" s="292" t="str">
        <f>IF(AND(DATOS_[[#This Row],[% normaliz]]&lt;&gt;1,DATOS_[[#This Row],[% anualiz]]&lt;&gt;1),"Sí","NO")</f>
        <v>NO</v>
      </c>
      <c r="BW189" s="322" t="str">
        <f>+IF(DATOS_[[#This Row],[% normaliz]]*DATOS_[[#This Row],[% anualiz]]=1,"NO","Sí")</f>
        <v>Sí</v>
      </c>
      <c r="BX189" s="323">
        <f>(DATOS_[[#This Row],[S.BASE]]*(1/DATOS_[[#This Row],[% normaliz]])*(1/DATOS_[[#This Row],[% anualiz]]))*IF(DATOS_[[#This Row],[Check Equiparado]]="Sí",1,0)</f>
        <v>-1231.9233776387803</v>
      </c>
      <c r="BY18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-99.584050039093043</v>
      </c>
      <c r="BZ189" s="323">
        <f>+DATOS_[[#This Row],[SALARIO BASE Eq]]+DATOS_[[#This Row],[Tot COMPL.SAL Eq]]</f>
        <v>-1331.5074276778732</v>
      </c>
      <c r="CA189" s="323">
        <f t="array" ref="CA18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189" s="323">
        <f>+DATOS_[[#This Row],[TOTAL SALARIO Eq]]+DATOS_[[#This Row],[Tot Extrasalarial Eq]]</f>
        <v>-1188.5074276778732</v>
      </c>
      <c r="CC189" s="327">
        <f>DATOS_[[#This Row],[S.BASE]]</f>
        <v>4305</v>
      </c>
      <c r="CD189" s="324">
        <f>+SUM(DATOS_[[#This Row],[Conc.Sal.01]:[Conc.Sal.30]])</f>
        <v>348</v>
      </c>
      <c r="CE189" s="324">
        <f>+DATOS_[[#This Row],[SALARIO BASE Ef]]+DATOS_[[#This Row],[Tot COMPL.SAL Ef]]</f>
        <v>4653</v>
      </c>
      <c r="CF189" s="324">
        <f>+SUM(DATOS_[[#This Row],[C.Extra.01]:[C.Extra.05]])</f>
        <v>143</v>
      </c>
      <c r="CG189" s="330">
        <f>+DATOS_[[#This Row],[TOTAL SALARIO Ef]]+DATOS_[[#This Row],[Tot Extrasalarial Ef]]</f>
        <v>4796</v>
      </c>
      <c r="CH189" s="303">
        <f>MIN(IF(DATOS_[[#This Row],[Fecha Fin Contrato]]="",$D$4,DATOS_[[#This Row],[Fecha Fin Contrato]]),$D$4)-MAX(DATOS_[[#This Row],[Fecha de Contratación]],$D$3)+1</f>
        <v>-1279</v>
      </c>
      <c r="CI189" s="304" t="str">
        <f>IF(COUNTIFS(DATOS_[id],DATOS_[[#This Row],[id]])&gt;1,DATOS_[[#This Row],[id]],"")</f>
        <v/>
      </c>
      <c r="CJ189" s="325">
        <f>(Inicio!$G$10-DATOS_[[#This Row],[Fecha Nacimiento]])/365.25</f>
        <v>27.069130732375086</v>
      </c>
      <c r="CK189" s="325">
        <f>(Inicio!$G$10-DATOS_[[#This Row],[Fecha de Antigüedad]])/365.25</f>
        <v>4.8350444900752905</v>
      </c>
      <c r="CL189" s="325" t="str">
        <f>+VLOOKUP(DATOS_[[#This Row],[Clave de Contrato]],TblTiposContrato13[],3,FALSE)</f>
        <v>Completa</v>
      </c>
      <c r="CM189" s="325" t="str">
        <f>+VLOOKUP(DATOS_[[#This Row],[Clave de Contrato]],TblTiposContrato13[],4,FALSE)</f>
        <v>Temporal</v>
      </c>
      <c r="CN189" s="325" t="str">
        <f>VLOOKUP(DATOS_[[#This Row],[Edad]],CONTRATOS!TblRngEdad,2,TRUE)</f>
        <v>25 a 30</v>
      </c>
      <c r="CO189" s="325" t="str">
        <f>VLOOKUP(DATOS_[[#This Row],[Antigüedad]],TblRngAntg14[],2,TRUE)</f>
        <v>3 a 5  años</v>
      </c>
    </row>
    <row r="190" spans="2:93" x14ac:dyDescent="0.25">
      <c r="B190" s="146">
        <v>172</v>
      </c>
      <c r="C190" s="146" t="s">
        <v>163</v>
      </c>
      <c r="D190" s="295">
        <v>29200</v>
      </c>
      <c r="E190" s="296" t="s">
        <v>71</v>
      </c>
      <c r="F190" s="296">
        <v>3</v>
      </c>
      <c r="G190" s="296">
        <v>0</v>
      </c>
      <c r="H190" s="297">
        <v>44136</v>
      </c>
      <c r="I190" s="298"/>
      <c r="J190" s="295">
        <v>44136</v>
      </c>
      <c r="K190" s="326">
        <v>44136</v>
      </c>
      <c r="L190" s="326"/>
      <c r="M190" s="299">
        <v>1</v>
      </c>
      <c r="N190" s="299"/>
      <c r="O190" s="299"/>
      <c r="P190" s="296">
        <v>401</v>
      </c>
      <c r="Q190" s="146" t="s">
        <v>431</v>
      </c>
      <c r="R190" s="146" t="s">
        <v>419</v>
      </c>
      <c r="S190" s="146" t="s">
        <v>440</v>
      </c>
      <c r="T190" s="146" t="s">
        <v>407</v>
      </c>
      <c r="U190" s="146" t="s">
        <v>400</v>
      </c>
      <c r="V190" s="146" t="s">
        <v>438</v>
      </c>
      <c r="W190" s="146" t="s">
        <v>311</v>
      </c>
      <c r="X190" s="146" t="s">
        <v>307</v>
      </c>
      <c r="Y190" s="146" t="s">
        <v>409</v>
      </c>
      <c r="Z190" s="293"/>
      <c r="AA190" s="294" t="s">
        <v>439</v>
      </c>
      <c r="AB190" s="294">
        <v>9</v>
      </c>
      <c r="AC190" s="296">
        <v>7</v>
      </c>
      <c r="AD190" s="301">
        <v>2152</v>
      </c>
      <c r="AE190" s="301">
        <v>14</v>
      </c>
      <c r="AF190" s="301"/>
      <c r="AG190" s="301">
        <v>160</v>
      </c>
      <c r="AH190" s="301"/>
      <c r="AI190" s="301"/>
      <c r="AJ190" s="301"/>
      <c r="AK190" s="301">
        <v>80</v>
      </c>
      <c r="AL190" s="301"/>
      <c r="AM190" s="301"/>
      <c r="AN190" s="301"/>
      <c r="AO190" s="301"/>
      <c r="AP190" s="301"/>
      <c r="AQ190" s="301"/>
      <c r="AR190" s="301"/>
      <c r="AS190" s="301"/>
      <c r="AT190" s="301"/>
      <c r="AU190" s="301"/>
      <c r="AV190" s="301"/>
      <c r="AW190" s="301"/>
      <c r="AX190" s="301"/>
      <c r="AY190" s="301"/>
      <c r="AZ190" s="301"/>
      <c r="BA190" s="301"/>
      <c r="BB190" s="301"/>
      <c r="BC190" s="301"/>
      <c r="BD190" s="301"/>
      <c r="BE190" s="301"/>
      <c r="BF190" s="301"/>
      <c r="BG190" s="301"/>
      <c r="BH190" s="301"/>
      <c r="BI190" s="301"/>
      <c r="BJ190" s="301"/>
      <c r="BK190" s="301"/>
      <c r="BL190" s="301"/>
      <c r="BM190" s="302"/>
      <c r="BN190" s="291">
        <f>+MAX($D$3,DATOS_[[#This Row],[Fecha Inicio Sit. Contract.]])</f>
        <v>45292</v>
      </c>
      <c r="BO190" s="291">
        <f>+MIN($D$4,DATOS_[[#This Row],[Fecha Fin Sit. Contract.]])</f>
        <v>45657</v>
      </c>
      <c r="BP190" s="292">
        <f>+DATOS_[[#This Row],[% de jornada]]*IF(DATOS_[[#This Row],[% jornada reducida]]="",1,DATOS_[[#This Row],[% jornada reducida]])</f>
        <v>1</v>
      </c>
      <c r="BQ190" s="292">
        <f>+(DATOS_[[#This Row],[F.fin.cal]]-DATOS_[[#This Row],[F.ini.cal]]+1)/($D$4-$D$3+1)</f>
        <v>1</v>
      </c>
      <c r="BR190" s="322" t="str">
        <f>IF(OR(AND(DATOS_[[#This Row],[Fecha Fin Contrato]]&lt;$D$3,DATOS_[[#This Row],[Fecha Fin Contrato]]&lt;&gt;""),DATOS_[[#This Row],[Fecha de Contratación]]&gt;$D$4),"Fuera","Dentro")</f>
        <v>Dentro</v>
      </c>
      <c r="BS190" s="322" t="str">
        <f t="array" ref="BS190">IF(MAX(IF(DATOS_[id]=DATOS_[[#This Row],[id]],DATOS_[F.fin.cal]))=DATOS_[[#This Row],[F.fin.cal]],"Sí","NO")</f>
        <v>Sí</v>
      </c>
      <c r="BT190" s="292" t="str">
        <f>IF(AND(DATOS_[[#This Row],[% normaliz]]&lt;&gt;1,DATOS_[[#This Row],[% anualiz]]=1),"Sí","NO")</f>
        <v>NO</v>
      </c>
      <c r="BU190" s="292" t="str">
        <f>IF(AND(DATOS_[[#This Row],[% normaliz]]=1,DATOS_[[#This Row],[% anualiz]]&lt;&gt;1),"Sí","NO")</f>
        <v>NO</v>
      </c>
      <c r="BV190" s="292" t="str">
        <f>IF(AND(DATOS_[[#This Row],[% normaliz]]&lt;&gt;1,DATOS_[[#This Row],[% anualiz]]&lt;&gt;1),"Sí","NO")</f>
        <v>NO</v>
      </c>
      <c r="BW190" s="322" t="str">
        <f>+IF(DATOS_[[#This Row],[% normaliz]]*DATOS_[[#This Row],[% anualiz]]=1,"NO","Sí")</f>
        <v>NO</v>
      </c>
      <c r="BX190" s="323">
        <f>(DATOS_[[#This Row],[S.BASE]]*(1/DATOS_[[#This Row],[% normaliz]])*(1/DATOS_[[#This Row],[% anualiz]]))*IF(DATOS_[[#This Row],[Check Equiparado]]="Sí",1,0)</f>
        <v>2152</v>
      </c>
      <c r="BY19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254</v>
      </c>
      <c r="BZ190" s="323">
        <f>+DATOS_[[#This Row],[SALARIO BASE Eq]]+DATOS_[[#This Row],[Tot COMPL.SAL Eq]]</f>
        <v>2406</v>
      </c>
      <c r="CA190" s="323">
        <f t="array" ref="CA19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0" s="323">
        <f>+DATOS_[[#This Row],[TOTAL SALARIO Eq]]+DATOS_[[#This Row],[Tot Extrasalarial Eq]]</f>
        <v>2406</v>
      </c>
      <c r="CC190" s="327">
        <f>DATOS_[[#This Row],[S.BASE]]</f>
        <v>2152</v>
      </c>
      <c r="CD190" s="324">
        <f>+SUM(DATOS_[[#This Row],[Conc.Sal.01]:[Conc.Sal.30]])</f>
        <v>254</v>
      </c>
      <c r="CE190" s="324">
        <f>+DATOS_[[#This Row],[SALARIO BASE Ef]]+DATOS_[[#This Row],[Tot COMPL.SAL Ef]]</f>
        <v>2406</v>
      </c>
      <c r="CF190" s="324">
        <f>+SUM(DATOS_[[#This Row],[C.Extra.01]:[C.Extra.05]])</f>
        <v>0</v>
      </c>
      <c r="CG190" s="330">
        <f>+DATOS_[[#This Row],[TOTAL SALARIO Ef]]+DATOS_[[#This Row],[Tot Extrasalarial Ef]]</f>
        <v>2406</v>
      </c>
      <c r="CH190" s="303">
        <f>MIN(IF(DATOS_[[#This Row],[Fecha Fin Contrato]]="",$D$4,DATOS_[[#This Row],[Fecha Fin Contrato]]),$D$4)-MAX(DATOS_[[#This Row],[Fecha de Contratación]],$D$3)+1</f>
        <v>366</v>
      </c>
      <c r="CI190" s="304" t="str">
        <f>IF(COUNTIFS(DATOS_[id],DATOS_[[#This Row],[id]])&gt;1,DATOS_[[#This Row],[id]],"")</f>
        <v/>
      </c>
      <c r="CJ190" s="325">
        <f>(Inicio!$G$10-DATOS_[[#This Row],[Fecha Nacimiento]])/365.25</f>
        <v>45.056810403832991</v>
      </c>
      <c r="CK190" s="325">
        <f>(Inicio!$G$10-DATOS_[[#This Row],[Fecha de Antigüedad]])/365.25</f>
        <v>4.1642710472279258</v>
      </c>
      <c r="CL190" s="325" t="str">
        <f>+VLOOKUP(DATOS_[[#This Row],[Clave de Contrato]],TblTiposContrato13[],3,FALSE)</f>
        <v>Completa</v>
      </c>
      <c r="CM190" s="325" t="str">
        <f>+VLOOKUP(DATOS_[[#This Row],[Clave de Contrato]],TblTiposContrato13[],4,FALSE)</f>
        <v>Temporal</v>
      </c>
      <c r="CN190" s="325" t="str">
        <f>VLOOKUP(DATOS_[[#This Row],[Edad]],CONTRATOS!TblRngEdad,2,TRUE)</f>
        <v>45 a 50</v>
      </c>
      <c r="CO190" s="325" t="str">
        <f>VLOOKUP(DATOS_[[#This Row],[Antigüedad]],TblRngAntg14[],2,TRUE)</f>
        <v>3 a 5  años</v>
      </c>
    </row>
    <row r="191" spans="2:93" x14ac:dyDescent="0.25">
      <c r="B191" s="146">
        <v>173</v>
      </c>
      <c r="C191" s="146" t="s">
        <v>163</v>
      </c>
      <c r="D191" s="295">
        <v>28835</v>
      </c>
      <c r="E191" s="296" t="s">
        <v>71</v>
      </c>
      <c r="F191" s="296">
        <v>3</v>
      </c>
      <c r="G191" s="296">
        <v>0</v>
      </c>
      <c r="H191" s="297">
        <v>44044</v>
      </c>
      <c r="I191" s="298">
        <v>44165</v>
      </c>
      <c r="J191" s="295">
        <v>44044</v>
      </c>
      <c r="K191" s="326">
        <v>44044</v>
      </c>
      <c r="L191" s="326">
        <v>44165</v>
      </c>
      <c r="M191" s="299">
        <v>1</v>
      </c>
      <c r="N191" s="299"/>
      <c r="O191" s="299"/>
      <c r="P191" s="296">
        <v>401</v>
      </c>
      <c r="Q191" s="146" t="s">
        <v>431</v>
      </c>
      <c r="R191" s="146" t="s">
        <v>419</v>
      </c>
      <c r="S191" s="146" t="s">
        <v>440</v>
      </c>
      <c r="T191" s="146" t="s">
        <v>407</v>
      </c>
      <c r="U191" s="146" t="s">
        <v>400</v>
      </c>
      <c r="V191" s="146" t="s">
        <v>438</v>
      </c>
      <c r="W191" s="146" t="s">
        <v>311</v>
      </c>
      <c r="X191" s="146" t="s">
        <v>307</v>
      </c>
      <c r="Y191" s="146" t="s">
        <v>409</v>
      </c>
      <c r="Z191" s="293"/>
      <c r="AA191" s="294" t="s">
        <v>439</v>
      </c>
      <c r="AB191" s="294">
        <v>9</v>
      </c>
      <c r="AC191" s="296">
        <v>7</v>
      </c>
      <c r="AD191" s="301">
        <v>4305</v>
      </c>
      <c r="AE191" s="301">
        <v>28</v>
      </c>
      <c r="AF191" s="301"/>
      <c r="AG191" s="301">
        <v>320</v>
      </c>
      <c r="AH191" s="301"/>
      <c r="AI191" s="301"/>
      <c r="AJ191" s="301"/>
      <c r="AK191" s="301"/>
      <c r="AL191" s="301"/>
      <c r="AM191" s="301"/>
      <c r="AN191" s="301"/>
      <c r="AO191" s="301"/>
      <c r="AP191" s="301"/>
      <c r="AQ191" s="301"/>
      <c r="AR191" s="301"/>
      <c r="AS191" s="301"/>
      <c r="AT191" s="301"/>
      <c r="AU191" s="301"/>
      <c r="AV191" s="301"/>
      <c r="AW191" s="301"/>
      <c r="AX191" s="301"/>
      <c r="AY191" s="301"/>
      <c r="AZ191" s="301"/>
      <c r="BA191" s="301"/>
      <c r="BB191" s="301"/>
      <c r="BC191" s="301"/>
      <c r="BD191" s="301"/>
      <c r="BE191" s="301"/>
      <c r="BF191" s="301"/>
      <c r="BG191" s="301"/>
      <c r="BH191" s="301"/>
      <c r="BI191" s="301"/>
      <c r="BJ191" s="301">
        <v>143</v>
      </c>
      <c r="BK191" s="301"/>
      <c r="BL191" s="301"/>
      <c r="BM191" s="302"/>
      <c r="BN191" s="291">
        <f>+MAX($D$3,DATOS_[[#This Row],[Fecha Inicio Sit. Contract.]])</f>
        <v>45292</v>
      </c>
      <c r="BO191" s="291">
        <f>+MIN($D$4,DATOS_[[#This Row],[Fecha Fin Sit. Contract.]])</f>
        <v>44165</v>
      </c>
      <c r="BP191" s="292">
        <f>+DATOS_[[#This Row],[% de jornada]]*IF(DATOS_[[#This Row],[% jornada reducida]]="",1,DATOS_[[#This Row],[% jornada reducida]])</f>
        <v>1</v>
      </c>
      <c r="BQ191" s="292">
        <f>+(DATOS_[[#This Row],[F.fin.cal]]-DATOS_[[#This Row],[F.ini.cal]]+1)/($D$4-$D$3+1)</f>
        <v>-3.0765027322404372</v>
      </c>
      <c r="BR191" s="322" t="str">
        <f>IF(OR(AND(DATOS_[[#This Row],[Fecha Fin Contrato]]&lt;$D$3,DATOS_[[#This Row],[Fecha Fin Contrato]]&lt;&gt;""),DATOS_[[#This Row],[Fecha de Contratación]]&gt;$D$4),"Fuera","Dentro")</f>
        <v>Fuera</v>
      </c>
      <c r="BS191" s="322" t="str">
        <f t="array" ref="BS191">IF(MAX(IF(DATOS_[id]=DATOS_[[#This Row],[id]],DATOS_[F.fin.cal]))=DATOS_[[#This Row],[F.fin.cal]],"Sí","NO")</f>
        <v>Sí</v>
      </c>
      <c r="BT191" s="292" t="str">
        <f>IF(AND(DATOS_[[#This Row],[% normaliz]]&lt;&gt;1,DATOS_[[#This Row],[% anualiz]]=1),"Sí","NO")</f>
        <v>NO</v>
      </c>
      <c r="BU191" s="292" t="str">
        <f>IF(AND(DATOS_[[#This Row],[% normaliz]]=1,DATOS_[[#This Row],[% anualiz]]&lt;&gt;1),"Sí","NO")</f>
        <v>Sí</v>
      </c>
      <c r="BV191" s="292" t="str">
        <f>IF(AND(DATOS_[[#This Row],[% normaliz]]&lt;&gt;1,DATOS_[[#This Row],[% anualiz]]&lt;&gt;1),"Sí","NO")</f>
        <v>NO</v>
      </c>
      <c r="BW191" s="322" t="str">
        <f>+IF(DATOS_[[#This Row],[% normaliz]]*DATOS_[[#This Row],[% anualiz]]=1,"NO","Sí")</f>
        <v>Sí</v>
      </c>
      <c r="BX191" s="323">
        <f>(DATOS_[[#This Row],[S.BASE]]*(1/DATOS_[[#This Row],[% normaliz]])*(1/DATOS_[[#This Row],[% anualiz]]))*IF(DATOS_[[#This Row],[Check Equiparado]]="Sí",1,0)</f>
        <v>-1399.3161634103019</v>
      </c>
      <c r="BY19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-113.11545293072824</v>
      </c>
      <c r="BZ191" s="323">
        <f>+DATOS_[[#This Row],[SALARIO BASE Eq]]+DATOS_[[#This Row],[Tot COMPL.SAL Eq]]</f>
        <v>-1512.4316163410301</v>
      </c>
      <c r="CA191" s="323">
        <f t="array" ref="CA19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191" s="323">
        <f>+DATOS_[[#This Row],[TOTAL SALARIO Eq]]+DATOS_[[#This Row],[Tot Extrasalarial Eq]]</f>
        <v>-1369.4316163410301</v>
      </c>
      <c r="CC191" s="327">
        <f>DATOS_[[#This Row],[S.BASE]]</f>
        <v>4305</v>
      </c>
      <c r="CD191" s="324">
        <f>+SUM(DATOS_[[#This Row],[Conc.Sal.01]:[Conc.Sal.30]])</f>
        <v>348</v>
      </c>
      <c r="CE191" s="324">
        <f>+DATOS_[[#This Row],[SALARIO BASE Ef]]+DATOS_[[#This Row],[Tot COMPL.SAL Ef]]</f>
        <v>4653</v>
      </c>
      <c r="CF191" s="324">
        <f>+SUM(DATOS_[[#This Row],[C.Extra.01]:[C.Extra.05]])</f>
        <v>143</v>
      </c>
      <c r="CG191" s="330">
        <f>+DATOS_[[#This Row],[TOTAL SALARIO Ef]]+DATOS_[[#This Row],[Tot Extrasalarial Ef]]</f>
        <v>4796</v>
      </c>
      <c r="CH191" s="303">
        <f>MIN(IF(DATOS_[[#This Row],[Fecha Fin Contrato]]="",$D$4,DATOS_[[#This Row],[Fecha Fin Contrato]]),$D$4)-MAX(DATOS_[[#This Row],[Fecha de Contratación]],$D$3)+1</f>
        <v>-1126</v>
      </c>
      <c r="CI191" s="304" t="str">
        <f>IF(COUNTIFS(DATOS_[id],DATOS_[[#This Row],[id]])&gt;1,DATOS_[[#This Row],[id]],"")</f>
        <v/>
      </c>
      <c r="CJ191" s="325">
        <f>(Inicio!$G$10-DATOS_[[#This Row],[Fecha Nacimiento]])/365.25</f>
        <v>46.056125941136209</v>
      </c>
      <c r="CK191" s="325">
        <f>(Inicio!$G$10-DATOS_[[#This Row],[Fecha de Antigüedad]])/365.25</f>
        <v>4.4161533196440796</v>
      </c>
      <c r="CL191" s="325" t="str">
        <f>+VLOOKUP(DATOS_[[#This Row],[Clave de Contrato]],TblTiposContrato13[],3,FALSE)</f>
        <v>Completa</v>
      </c>
      <c r="CM191" s="325" t="str">
        <f>+VLOOKUP(DATOS_[[#This Row],[Clave de Contrato]],TblTiposContrato13[],4,FALSE)</f>
        <v>Temporal</v>
      </c>
      <c r="CN191" s="325" t="str">
        <f>VLOOKUP(DATOS_[[#This Row],[Edad]],CONTRATOS!TblRngEdad,2,TRUE)</f>
        <v>45 a 50</v>
      </c>
      <c r="CO191" s="325" t="str">
        <f>VLOOKUP(DATOS_[[#This Row],[Antigüedad]],TblRngAntg14[],2,TRUE)</f>
        <v>3 a 5  años</v>
      </c>
    </row>
    <row r="192" spans="2:93" x14ac:dyDescent="0.25">
      <c r="B192" s="146">
        <v>174</v>
      </c>
      <c r="C192" s="146" t="s">
        <v>163</v>
      </c>
      <c r="D192" s="295">
        <v>26645</v>
      </c>
      <c r="E192" s="296" t="s">
        <v>71</v>
      </c>
      <c r="F192" s="296">
        <v>3</v>
      </c>
      <c r="G192" s="296">
        <v>0</v>
      </c>
      <c r="H192" s="297">
        <v>43952</v>
      </c>
      <c r="I192" s="298">
        <v>44104</v>
      </c>
      <c r="J192" s="295">
        <v>43952</v>
      </c>
      <c r="K192" s="326">
        <v>43952</v>
      </c>
      <c r="L192" s="326">
        <v>44104</v>
      </c>
      <c r="M192" s="299">
        <v>1</v>
      </c>
      <c r="N192" s="299"/>
      <c r="O192" s="299"/>
      <c r="P192" s="296">
        <v>401</v>
      </c>
      <c r="Q192" s="146" t="s">
        <v>431</v>
      </c>
      <c r="R192" s="146" t="s">
        <v>419</v>
      </c>
      <c r="S192" s="146" t="s">
        <v>440</v>
      </c>
      <c r="T192" s="146" t="s">
        <v>407</v>
      </c>
      <c r="U192" s="146" t="s">
        <v>400</v>
      </c>
      <c r="V192" s="146" t="s">
        <v>438</v>
      </c>
      <c r="W192" s="146" t="s">
        <v>311</v>
      </c>
      <c r="X192" s="146" t="s">
        <v>307</v>
      </c>
      <c r="Y192" s="146" t="s">
        <v>409</v>
      </c>
      <c r="Z192" s="293"/>
      <c r="AA192" s="294" t="s">
        <v>439</v>
      </c>
      <c r="AB192" s="294">
        <v>9</v>
      </c>
      <c r="AC192" s="296">
        <v>7</v>
      </c>
      <c r="AD192" s="301">
        <v>5381</v>
      </c>
      <c r="AE192" s="301">
        <v>35</v>
      </c>
      <c r="AF192" s="301"/>
      <c r="AG192" s="301">
        <v>400</v>
      </c>
      <c r="AH192" s="301"/>
      <c r="AI192" s="301"/>
      <c r="AJ192" s="301"/>
      <c r="AK192" s="301"/>
      <c r="AL192" s="301"/>
      <c r="AM192" s="301"/>
      <c r="AN192" s="301"/>
      <c r="AO192" s="301"/>
      <c r="AP192" s="301"/>
      <c r="AQ192" s="301"/>
      <c r="AR192" s="301"/>
      <c r="AS192" s="301"/>
      <c r="AT192" s="301"/>
      <c r="AU192" s="301"/>
      <c r="AV192" s="301"/>
      <c r="AW192" s="301"/>
      <c r="AX192" s="301"/>
      <c r="AY192" s="301"/>
      <c r="AZ192" s="301"/>
      <c r="BA192" s="301"/>
      <c r="BB192" s="301"/>
      <c r="BC192" s="301"/>
      <c r="BD192" s="301"/>
      <c r="BE192" s="301"/>
      <c r="BF192" s="301"/>
      <c r="BG192" s="301"/>
      <c r="BH192" s="301"/>
      <c r="BI192" s="301"/>
      <c r="BJ192" s="301">
        <v>179</v>
      </c>
      <c r="BK192" s="301"/>
      <c r="BL192" s="301"/>
      <c r="BM192" s="302"/>
      <c r="BN192" s="291">
        <f>+MAX($D$3,DATOS_[[#This Row],[Fecha Inicio Sit. Contract.]])</f>
        <v>45292</v>
      </c>
      <c r="BO192" s="291">
        <f>+MIN($D$4,DATOS_[[#This Row],[Fecha Fin Sit. Contract.]])</f>
        <v>44104</v>
      </c>
      <c r="BP192" s="292">
        <f>+DATOS_[[#This Row],[% de jornada]]*IF(DATOS_[[#This Row],[% jornada reducida]]="",1,DATOS_[[#This Row],[% jornada reducida]])</f>
        <v>1</v>
      </c>
      <c r="BQ192" s="292">
        <f>+(DATOS_[[#This Row],[F.fin.cal]]-DATOS_[[#This Row],[F.ini.cal]]+1)/($D$4-$D$3+1)</f>
        <v>-3.2431693989071038</v>
      </c>
      <c r="BR192" s="322" t="str">
        <f>IF(OR(AND(DATOS_[[#This Row],[Fecha Fin Contrato]]&lt;$D$3,DATOS_[[#This Row],[Fecha Fin Contrato]]&lt;&gt;""),DATOS_[[#This Row],[Fecha de Contratación]]&gt;$D$4),"Fuera","Dentro")</f>
        <v>Fuera</v>
      </c>
      <c r="BS192" s="322" t="str">
        <f t="array" ref="BS192">IF(MAX(IF(DATOS_[id]=DATOS_[[#This Row],[id]],DATOS_[F.fin.cal]))=DATOS_[[#This Row],[F.fin.cal]],"Sí","NO")</f>
        <v>Sí</v>
      </c>
      <c r="BT192" s="292" t="str">
        <f>IF(AND(DATOS_[[#This Row],[% normaliz]]&lt;&gt;1,DATOS_[[#This Row],[% anualiz]]=1),"Sí","NO")</f>
        <v>NO</v>
      </c>
      <c r="BU192" s="292" t="str">
        <f>IF(AND(DATOS_[[#This Row],[% normaliz]]=1,DATOS_[[#This Row],[% anualiz]]&lt;&gt;1),"Sí","NO")</f>
        <v>Sí</v>
      </c>
      <c r="BV192" s="292" t="str">
        <f>IF(AND(DATOS_[[#This Row],[% normaliz]]&lt;&gt;1,DATOS_[[#This Row],[% anualiz]]&lt;&gt;1),"Sí","NO")</f>
        <v>NO</v>
      </c>
      <c r="BW192" s="322" t="str">
        <f>+IF(DATOS_[[#This Row],[% normaliz]]*DATOS_[[#This Row],[% anualiz]]=1,"NO","Sí")</f>
        <v>Sí</v>
      </c>
      <c r="BX192" s="323">
        <f>(DATOS_[[#This Row],[S.BASE]]*(1/DATOS_[[#This Row],[% normaliz]])*(1/DATOS_[[#This Row],[% anualiz]]))*IF(DATOS_[[#This Row],[Check Equiparado]]="Sí",1,0)</f>
        <v>-1659.179443976411</v>
      </c>
      <c r="BY19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-134.12805391743893</v>
      </c>
      <c r="BZ192" s="323">
        <f>+DATOS_[[#This Row],[SALARIO BASE Eq]]+DATOS_[[#This Row],[Tot COMPL.SAL Eq]]</f>
        <v>-1793.3074978938498</v>
      </c>
      <c r="CA192" s="323">
        <f t="array" ref="CA19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192" s="323">
        <f>+DATOS_[[#This Row],[TOTAL SALARIO Eq]]+DATOS_[[#This Row],[Tot Extrasalarial Eq]]</f>
        <v>-1614.3074978938498</v>
      </c>
      <c r="CC192" s="327">
        <f>DATOS_[[#This Row],[S.BASE]]</f>
        <v>5381</v>
      </c>
      <c r="CD192" s="324">
        <f>+SUM(DATOS_[[#This Row],[Conc.Sal.01]:[Conc.Sal.30]])</f>
        <v>435</v>
      </c>
      <c r="CE192" s="324">
        <f>+DATOS_[[#This Row],[SALARIO BASE Ef]]+DATOS_[[#This Row],[Tot COMPL.SAL Ef]]</f>
        <v>5816</v>
      </c>
      <c r="CF192" s="324">
        <f>+SUM(DATOS_[[#This Row],[C.Extra.01]:[C.Extra.05]])</f>
        <v>179</v>
      </c>
      <c r="CG192" s="330">
        <f>+DATOS_[[#This Row],[TOTAL SALARIO Ef]]+DATOS_[[#This Row],[Tot Extrasalarial Ef]]</f>
        <v>5995</v>
      </c>
      <c r="CH192" s="303">
        <f>MIN(IF(DATOS_[[#This Row],[Fecha Fin Contrato]]="",$D$4,DATOS_[[#This Row],[Fecha Fin Contrato]]),$D$4)-MAX(DATOS_[[#This Row],[Fecha de Contratación]],$D$3)+1</f>
        <v>-1187</v>
      </c>
      <c r="CI192" s="304" t="str">
        <f>IF(COUNTIFS(DATOS_[id],DATOS_[[#This Row],[id]])&gt;1,DATOS_[[#This Row],[id]],"")</f>
        <v/>
      </c>
      <c r="CJ192" s="325">
        <f>(Inicio!$G$10-DATOS_[[#This Row],[Fecha Nacimiento]])/365.25</f>
        <v>52.05201916495551</v>
      </c>
      <c r="CK192" s="325">
        <f>(Inicio!$G$10-DATOS_[[#This Row],[Fecha de Antigüedad]])/365.25</f>
        <v>4.6680355920602326</v>
      </c>
      <c r="CL192" s="325" t="str">
        <f>+VLOOKUP(DATOS_[[#This Row],[Clave de Contrato]],TblTiposContrato13[],3,FALSE)</f>
        <v>Completa</v>
      </c>
      <c r="CM192" s="325" t="str">
        <f>+VLOOKUP(DATOS_[[#This Row],[Clave de Contrato]],TblTiposContrato13[],4,FALSE)</f>
        <v>Temporal</v>
      </c>
      <c r="CN192" s="325" t="str">
        <f>VLOOKUP(DATOS_[[#This Row],[Edad]],CONTRATOS!TblRngEdad,2,TRUE)</f>
        <v>50 a 55</v>
      </c>
      <c r="CO192" s="325" t="str">
        <f>VLOOKUP(DATOS_[[#This Row],[Antigüedad]],TblRngAntg14[],2,TRUE)</f>
        <v>3 a 5  años</v>
      </c>
    </row>
    <row r="193" spans="2:93" x14ac:dyDescent="0.25">
      <c r="B193" s="146">
        <v>175</v>
      </c>
      <c r="C193" s="146" t="s">
        <v>163</v>
      </c>
      <c r="D193" s="295">
        <v>29930</v>
      </c>
      <c r="E193" s="296" t="s">
        <v>71</v>
      </c>
      <c r="F193" s="296">
        <v>3</v>
      </c>
      <c r="G193" s="296">
        <v>0</v>
      </c>
      <c r="H193" s="297">
        <v>43891</v>
      </c>
      <c r="I193" s="298">
        <v>44012</v>
      </c>
      <c r="J193" s="295">
        <v>43891</v>
      </c>
      <c r="K193" s="326">
        <v>43891</v>
      </c>
      <c r="L193" s="326">
        <v>44012</v>
      </c>
      <c r="M193" s="299">
        <v>1</v>
      </c>
      <c r="N193" s="299"/>
      <c r="O193" s="299"/>
      <c r="P193" s="296">
        <v>401</v>
      </c>
      <c r="Q193" s="146" t="s">
        <v>431</v>
      </c>
      <c r="R193" s="146" t="s">
        <v>419</v>
      </c>
      <c r="S193" s="146" t="s">
        <v>440</v>
      </c>
      <c r="T193" s="146" t="s">
        <v>407</v>
      </c>
      <c r="U193" s="146" t="s">
        <v>400</v>
      </c>
      <c r="V193" s="146" t="s">
        <v>438</v>
      </c>
      <c r="W193" s="146" t="s">
        <v>311</v>
      </c>
      <c r="X193" s="146" t="s">
        <v>307</v>
      </c>
      <c r="Y193" s="146" t="s">
        <v>409</v>
      </c>
      <c r="Z193" s="293"/>
      <c r="AA193" s="294" t="s">
        <v>439</v>
      </c>
      <c r="AB193" s="294">
        <v>9</v>
      </c>
      <c r="AC193" s="296">
        <v>7</v>
      </c>
      <c r="AD193" s="301">
        <v>4305</v>
      </c>
      <c r="AE193" s="301">
        <v>28</v>
      </c>
      <c r="AF193" s="301"/>
      <c r="AG193" s="301">
        <v>320</v>
      </c>
      <c r="AH193" s="301"/>
      <c r="AI193" s="301"/>
      <c r="AJ193" s="301"/>
      <c r="AK193" s="301"/>
      <c r="AL193" s="301"/>
      <c r="AM193" s="301"/>
      <c r="AN193" s="301"/>
      <c r="AO193" s="301"/>
      <c r="AP193" s="301"/>
      <c r="AQ193" s="301"/>
      <c r="AR193" s="301"/>
      <c r="AS193" s="301"/>
      <c r="AT193" s="301"/>
      <c r="AU193" s="301"/>
      <c r="AV193" s="301"/>
      <c r="AW193" s="301"/>
      <c r="AX193" s="301"/>
      <c r="AY193" s="301"/>
      <c r="AZ193" s="301"/>
      <c r="BA193" s="301"/>
      <c r="BB193" s="301"/>
      <c r="BC193" s="301"/>
      <c r="BD193" s="301"/>
      <c r="BE193" s="301"/>
      <c r="BF193" s="301"/>
      <c r="BG193" s="301"/>
      <c r="BH193" s="301"/>
      <c r="BI193" s="301"/>
      <c r="BJ193" s="301">
        <v>143</v>
      </c>
      <c r="BK193" s="301"/>
      <c r="BL193" s="301"/>
      <c r="BM193" s="302"/>
      <c r="BN193" s="291">
        <f>+MAX($D$3,DATOS_[[#This Row],[Fecha Inicio Sit. Contract.]])</f>
        <v>45292</v>
      </c>
      <c r="BO193" s="291">
        <f>+MIN($D$4,DATOS_[[#This Row],[Fecha Fin Sit. Contract.]])</f>
        <v>44012</v>
      </c>
      <c r="BP193" s="292">
        <f>+DATOS_[[#This Row],[% de jornada]]*IF(DATOS_[[#This Row],[% jornada reducida]]="",1,DATOS_[[#This Row],[% jornada reducida]])</f>
        <v>1</v>
      </c>
      <c r="BQ193" s="292">
        <f>+(DATOS_[[#This Row],[F.fin.cal]]-DATOS_[[#This Row],[F.ini.cal]]+1)/($D$4-$D$3+1)</f>
        <v>-3.4945355191256833</v>
      </c>
      <c r="BR193" s="322" t="str">
        <f>IF(OR(AND(DATOS_[[#This Row],[Fecha Fin Contrato]]&lt;$D$3,DATOS_[[#This Row],[Fecha Fin Contrato]]&lt;&gt;""),DATOS_[[#This Row],[Fecha de Contratación]]&gt;$D$4),"Fuera","Dentro")</f>
        <v>Fuera</v>
      </c>
      <c r="BS193" s="322" t="str">
        <f t="array" ref="BS193">IF(MAX(IF(DATOS_[id]=DATOS_[[#This Row],[id]],DATOS_[F.fin.cal]))=DATOS_[[#This Row],[F.fin.cal]],"Sí","NO")</f>
        <v>Sí</v>
      </c>
      <c r="BT193" s="292" t="str">
        <f>IF(AND(DATOS_[[#This Row],[% normaliz]]&lt;&gt;1,DATOS_[[#This Row],[% anualiz]]=1),"Sí","NO")</f>
        <v>NO</v>
      </c>
      <c r="BU193" s="292" t="str">
        <f>IF(AND(DATOS_[[#This Row],[% normaliz]]=1,DATOS_[[#This Row],[% anualiz]]&lt;&gt;1),"Sí","NO")</f>
        <v>Sí</v>
      </c>
      <c r="BV193" s="292" t="str">
        <f>IF(AND(DATOS_[[#This Row],[% normaliz]]&lt;&gt;1,DATOS_[[#This Row],[% anualiz]]&lt;&gt;1),"Sí","NO")</f>
        <v>NO</v>
      </c>
      <c r="BW193" s="322" t="str">
        <f>+IF(DATOS_[[#This Row],[% normaliz]]*DATOS_[[#This Row],[% anualiz]]=1,"NO","Sí")</f>
        <v>Sí</v>
      </c>
      <c r="BX193" s="323">
        <f>(DATOS_[[#This Row],[S.BASE]]*(1/DATOS_[[#This Row],[% normaliz]])*(1/DATOS_[[#This Row],[% anualiz]]))*IF(DATOS_[[#This Row],[Check Equiparado]]="Sí",1,0)</f>
        <v>-1231.9233776387803</v>
      </c>
      <c r="BY19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-99.584050039093043</v>
      </c>
      <c r="BZ193" s="323">
        <f>+DATOS_[[#This Row],[SALARIO BASE Eq]]+DATOS_[[#This Row],[Tot COMPL.SAL Eq]]</f>
        <v>-1331.5074276778732</v>
      </c>
      <c r="CA193" s="323">
        <f t="array" ref="CA19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193" s="323">
        <f>+DATOS_[[#This Row],[TOTAL SALARIO Eq]]+DATOS_[[#This Row],[Tot Extrasalarial Eq]]</f>
        <v>-1188.5074276778732</v>
      </c>
      <c r="CC193" s="327">
        <f>DATOS_[[#This Row],[S.BASE]]</f>
        <v>4305</v>
      </c>
      <c r="CD193" s="324">
        <f>+SUM(DATOS_[[#This Row],[Conc.Sal.01]:[Conc.Sal.30]])</f>
        <v>348</v>
      </c>
      <c r="CE193" s="324">
        <f>+DATOS_[[#This Row],[SALARIO BASE Ef]]+DATOS_[[#This Row],[Tot COMPL.SAL Ef]]</f>
        <v>4653</v>
      </c>
      <c r="CF193" s="324">
        <f>+SUM(DATOS_[[#This Row],[C.Extra.01]:[C.Extra.05]])</f>
        <v>143</v>
      </c>
      <c r="CG193" s="330">
        <f>+DATOS_[[#This Row],[TOTAL SALARIO Ef]]+DATOS_[[#This Row],[Tot Extrasalarial Ef]]</f>
        <v>4796</v>
      </c>
      <c r="CH193" s="303">
        <f>MIN(IF(DATOS_[[#This Row],[Fecha Fin Contrato]]="",$D$4,DATOS_[[#This Row],[Fecha Fin Contrato]]),$D$4)-MAX(DATOS_[[#This Row],[Fecha de Contratación]],$D$3)+1</f>
        <v>-1279</v>
      </c>
      <c r="CI193" s="304" t="str">
        <f>IF(COUNTIFS(DATOS_[id],DATOS_[[#This Row],[id]])&gt;1,DATOS_[[#This Row],[id]],"")</f>
        <v/>
      </c>
      <c r="CJ193" s="325">
        <f>(Inicio!$G$10-DATOS_[[#This Row],[Fecha Nacimiento]])/365.25</f>
        <v>43.058179329226554</v>
      </c>
      <c r="CK193" s="325">
        <f>(Inicio!$G$10-DATOS_[[#This Row],[Fecha de Antigüedad]])/365.25</f>
        <v>4.8350444900752905</v>
      </c>
      <c r="CL193" s="325" t="str">
        <f>+VLOOKUP(DATOS_[[#This Row],[Clave de Contrato]],TblTiposContrato13[],3,FALSE)</f>
        <v>Completa</v>
      </c>
      <c r="CM193" s="325" t="str">
        <f>+VLOOKUP(DATOS_[[#This Row],[Clave de Contrato]],TblTiposContrato13[],4,FALSE)</f>
        <v>Temporal</v>
      </c>
      <c r="CN193" s="325" t="str">
        <f>VLOOKUP(DATOS_[[#This Row],[Edad]],CONTRATOS!TblRngEdad,2,TRUE)</f>
        <v>40 a 45</v>
      </c>
      <c r="CO193" s="325" t="str">
        <f>VLOOKUP(DATOS_[[#This Row],[Antigüedad]],TblRngAntg14[],2,TRUE)</f>
        <v>3 a 5  años</v>
      </c>
    </row>
    <row r="194" spans="2:93" x14ac:dyDescent="0.25">
      <c r="B194" s="146">
        <v>176</v>
      </c>
      <c r="C194" s="146" t="s">
        <v>163</v>
      </c>
      <c r="D194" s="295">
        <v>33580</v>
      </c>
      <c r="E194" s="296" t="s">
        <v>71</v>
      </c>
      <c r="F194" s="296">
        <v>3</v>
      </c>
      <c r="G194" s="296">
        <v>0</v>
      </c>
      <c r="H194" s="297">
        <v>41887</v>
      </c>
      <c r="I194" s="298"/>
      <c r="J194" s="295">
        <v>41887</v>
      </c>
      <c r="K194" s="326"/>
      <c r="L194" s="326">
        <v>43921</v>
      </c>
      <c r="M194" s="299">
        <v>1</v>
      </c>
      <c r="N194" s="299"/>
      <c r="O194" s="299"/>
      <c r="P194" s="296">
        <v>100</v>
      </c>
      <c r="Q194" s="146" t="s">
        <v>431</v>
      </c>
      <c r="R194" s="146" t="s">
        <v>419</v>
      </c>
      <c r="S194" s="146" t="s">
        <v>440</v>
      </c>
      <c r="T194" s="146" t="s">
        <v>407</v>
      </c>
      <c r="U194" s="146" t="s">
        <v>400</v>
      </c>
      <c r="V194" s="146" t="s">
        <v>438</v>
      </c>
      <c r="W194" s="146" t="s">
        <v>311</v>
      </c>
      <c r="X194" s="146" t="s">
        <v>307</v>
      </c>
      <c r="Y194" s="146" t="s">
        <v>409</v>
      </c>
      <c r="Z194" s="293"/>
      <c r="AA194" s="294" t="s">
        <v>439</v>
      </c>
      <c r="AB194" s="294">
        <v>9</v>
      </c>
      <c r="AC194" s="296">
        <v>7</v>
      </c>
      <c r="AD194" s="301">
        <v>3228.7674999999999</v>
      </c>
      <c r="AE194" s="301">
        <v>21.232500000000073</v>
      </c>
      <c r="AF194" s="301">
        <v>129.1507</v>
      </c>
      <c r="AG194" s="301">
        <v>240</v>
      </c>
      <c r="AH194" s="301"/>
      <c r="AI194" s="301"/>
      <c r="AJ194" s="301"/>
      <c r="AK194" s="301"/>
      <c r="AL194" s="301"/>
      <c r="AM194" s="301"/>
      <c r="AN194" s="301"/>
      <c r="AO194" s="301"/>
      <c r="AP194" s="301"/>
      <c r="AQ194" s="301"/>
      <c r="AR194" s="301"/>
      <c r="AS194" s="301"/>
      <c r="AT194" s="301"/>
      <c r="AU194" s="301"/>
      <c r="AV194" s="301"/>
      <c r="AW194" s="301"/>
      <c r="AX194" s="301"/>
      <c r="AY194" s="301"/>
      <c r="AZ194" s="301"/>
      <c r="BA194" s="301"/>
      <c r="BB194" s="301"/>
      <c r="BC194" s="301"/>
      <c r="BD194" s="301"/>
      <c r="BE194" s="301"/>
      <c r="BF194" s="301"/>
      <c r="BG194" s="301"/>
      <c r="BH194" s="301"/>
      <c r="BI194" s="301"/>
      <c r="BJ194" s="301"/>
      <c r="BK194" s="301"/>
      <c r="BL194" s="301"/>
      <c r="BM194" s="302"/>
      <c r="BN194" s="291">
        <f>+MAX($D$3,DATOS_[[#This Row],[Fecha Inicio Sit. Contract.]])</f>
        <v>45292</v>
      </c>
      <c r="BO194" s="291">
        <f>+MIN($D$4,DATOS_[[#This Row],[Fecha Fin Sit. Contract.]])</f>
        <v>43921</v>
      </c>
      <c r="BP194" s="292">
        <f>+DATOS_[[#This Row],[% de jornada]]*IF(DATOS_[[#This Row],[% jornada reducida]]="",1,DATOS_[[#This Row],[% jornada reducida]])</f>
        <v>1</v>
      </c>
      <c r="BQ194" s="292">
        <f>+(DATOS_[[#This Row],[F.fin.cal]]-DATOS_[[#This Row],[F.ini.cal]]+1)/($D$4-$D$3+1)</f>
        <v>-3.7431693989071038</v>
      </c>
      <c r="BR194" s="322" t="str">
        <f>IF(OR(AND(DATOS_[[#This Row],[Fecha Fin Contrato]]&lt;$D$3,DATOS_[[#This Row],[Fecha Fin Contrato]]&lt;&gt;""),DATOS_[[#This Row],[Fecha de Contratación]]&gt;$D$4),"Fuera","Dentro")</f>
        <v>Dentro</v>
      </c>
      <c r="BS194" s="322" t="str">
        <f t="array" ref="BS194">IF(MAX(IF(DATOS_[id]=DATOS_[[#This Row],[id]],DATOS_[F.fin.cal]))=DATOS_[[#This Row],[F.fin.cal]],"Sí","NO")</f>
        <v>NO</v>
      </c>
      <c r="BT194" s="292" t="str">
        <f>IF(AND(DATOS_[[#This Row],[% normaliz]]&lt;&gt;1,DATOS_[[#This Row],[% anualiz]]=1),"Sí","NO")</f>
        <v>NO</v>
      </c>
      <c r="BU194" s="292" t="str">
        <f>IF(AND(DATOS_[[#This Row],[% normaliz]]=1,DATOS_[[#This Row],[% anualiz]]&lt;&gt;1),"Sí","NO")</f>
        <v>Sí</v>
      </c>
      <c r="BV194" s="292" t="str">
        <f>IF(AND(DATOS_[[#This Row],[% normaliz]]&lt;&gt;1,DATOS_[[#This Row],[% anualiz]]&lt;&gt;1),"Sí","NO")</f>
        <v>NO</v>
      </c>
      <c r="BW194" s="322" t="str">
        <f>+IF(DATOS_[[#This Row],[% normaliz]]*DATOS_[[#This Row],[% anualiz]]=1,"NO","Sí")</f>
        <v>Sí</v>
      </c>
      <c r="BX194" s="323">
        <f>(DATOS_[[#This Row],[S.BASE]]*(1/DATOS_[[#This Row],[% normaliz]])*(1/DATOS_[[#This Row],[% anualiz]]))*IF(DATOS_[[#This Row],[Check Equiparado]]="Sí",1,0)</f>
        <v>0</v>
      </c>
      <c r="BY19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4" s="323">
        <f>+DATOS_[[#This Row],[SALARIO BASE Eq]]+DATOS_[[#This Row],[Tot COMPL.SAL Eq]]</f>
        <v>0</v>
      </c>
      <c r="CA194" s="323">
        <f t="array" ref="CA19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4" s="323">
        <f>+DATOS_[[#This Row],[TOTAL SALARIO Eq]]+DATOS_[[#This Row],[Tot Extrasalarial Eq]]</f>
        <v>0</v>
      </c>
      <c r="CC194" s="327">
        <f>DATOS_[[#This Row],[S.BASE]]</f>
        <v>3228.7674999999999</v>
      </c>
      <c r="CD194" s="324">
        <f>+SUM(DATOS_[[#This Row],[Conc.Sal.01]:[Conc.Sal.30]])</f>
        <v>390.3832000000001</v>
      </c>
      <c r="CE194" s="324">
        <f>+DATOS_[[#This Row],[SALARIO BASE Ef]]+DATOS_[[#This Row],[Tot COMPL.SAL Ef]]</f>
        <v>3619.1507000000001</v>
      </c>
      <c r="CF194" s="324">
        <f>+SUM(DATOS_[[#This Row],[C.Extra.01]:[C.Extra.05]])</f>
        <v>0</v>
      </c>
      <c r="CG194" s="330">
        <f>+DATOS_[[#This Row],[TOTAL SALARIO Ef]]+DATOS_[[#This Row],[Tot Extrasalarial Ef]]</f>
        <v>3619.1507000000001</v>
      </c>
      <c r="CH194" s="303">
        <f>MIN(IF(DATOS_[[#This Row],[Fecha Fin Contrato]]="",$D$4,DATOS_[[#This Row],[Fecha Fin Contrato]]),$D$4)-MAX(DATOS_[[#This Row],[Fecha de Contratación]],$D$3)+1</f>
        <v>366</v>
      </c>
      <c r="CI194" s="304">
        <f>IF(COUNTIFS(DATOS_[id],DATOS_[[#This Row],[id]])&gt;1,DATOS_[[#This Row],[id]],"")</f>
        <v>176</v>
      </c>
      <c r="CJ194" s="325">
        <f>(Inicio!$G$10-DATOS_[[#This Row],[Fecha Nacimiento]])/365.25</f>
        <v>33.065023956194388</v>
      </c>
      <c r="CK194" s="325">
        <f>(Inicio!$G$10-DATOS_[[#This Row],[Fecha de Antigüedad]])/365.25</f>
        <v>10.321697467488022</v>
      </c>
      <c r="CL194" s="325" t="str">
        <f>+VLOOKUP(DATOS_[[#This Row],[Clave de Contrato]],TblTiposContrato13[],3,FALSE)</f>
        <v>Completa</v>
      </c>
      <c r="CM194" s="325" t="str">
        <f>+VLOOKUP(DATOS_[[#This Row],[Clave de Contrato]],TblTiposContrato13[],4,FALSE)</f>
        <v>Indefinido</v>
      </c>
      <c r="CN194" s="325" t="str">
        <f>VLOOKUP(DATOS_[[#This Row],[Edad]],CONTRATOS!TblRngEdad,2,TRUE)</f>
        <v>30 a 35</v>
      </c>
      <c r="CO194" s="325" t="str">
        <f>VLOOKUP(DATOS_[[#This Row],[Antigüedad]],TblRngAntg14[],2,TRUE)</f>
        <v>de 10 a 15  años</v>
      </c>
    </row>
    <row r="195" spans="2:93" x14ac:dyDescent="0.25">
      <c r="B195" s="146">
        <v>176</v>
      </c>
      <c r="C195" s="146" t="s">
        <v>163</v>
      </c>
      <c r="D195" s="295">
        <v>33580</v>
      </c>
      <c r="E195" s="296" t="s">
        <v>71</v>
      </c>
      <c r="F195" s="296">
        <v>3</v>
      </c>
      <c r="G195" s="296">
        <v>0</v>
      </c>
      <c r="H195" s="297">
        <v>41887</v>
      </c>
      <c r="I195" s="298"/>
      <c r="J195" s="295">
        <v>41887</v>
      </c>
      <c r="K195" s="326">
        <v>43922</v>
      </c>
      <c r="L195" s="326"/>
      <c r="M195" s="299">
        <v>1</v>
      </c>
      <c r="N195" s="299"/>
      <c r="O195" s="299"/>
      <c r="P195" s="296">
        <v>100</v>
      </c>
      <c r="Q195" s="146" t="s">
        <v>431</v>
      </c>
      <c r="R195" s="146" t="s">
        <v>419</v>
      </c>
      <c r="S195" s="146" t="s">
        <v>440</v>
      </c>
      <c r="T195" s="146" t="s">
        <v>407</v>
      </c>
      <c r="U195" s="146" t="s">
        <v>400</v>
      </c>
      <c r="V195" s="146" t="s">
        <v>438</v>
      </c>
      <c r="W195" s="146" t="s">
        <v>311</v>
      </c>
      <c r="X195" s="146" t="s">
        <v>307</v>
      </c>
      <c r="Y195" s="146" t="s">
        <v>409</v>
      </c>
      <c r="Z195" s="293"/>
      <c r="AA195" s="294" t="s">
        <v>439</v>
      </c>
      <c r="AB195" s="294">
        <v>9</v>
      </c>
      <c r="AC195" s="296">
        <v>7</v>
      </c>
      <c r="AD195" s="301"/>
      <c r="AE195" s="301"/>
      <c r="AF195" s="301"/>
      <c r="AG195" s="301"/>
      <c r="AH195" s="301"/>
      <c r="AI195" s="301"/>
      <c r="AJ195" s="301"/>
      <c r="AK195" s="301"/>
      <c r="AL195" s="301"/>
      <c r="AM195" s="301"/>
      <c r="AN195" s="301"/>
      <c r="AO195" s="301"/>
      <c r="AP195" s="301"/>
      <c r="AQ195" s="301"/>
      <c r="AR195" s="301"/>
      <c r="AS195" s="301"/>
      <c r="AT195" s="301"/>
      <c r="AU195" s="301"/>
      <c r="AV195" s="301"/>
      <c r="AW195" s="301"/>
      <c r="AX195" s="301"/>
      <c r="AY195" s="301"/>
      <c r="AZ195" s="301"/>
      <c r="BA195" s="301"/>
      <c r="BB195" s="301"/>
      <c r="BC195" s="301"/>
      <c r="BD195" s="301"/>
      <c r="BE195" s="301"/>
      <c r="BF195" s="301"/>
      <c r="BG195" s="301"/>
      <c r="BH195" s="301"/>
      <c r="BI195" s="301"/>
      <c r="BJ195" s="301"/>
      <c r="BK195" s="301">
        <v>1800</v>
      </c>
      <c r="BL195" s="301"/>
      <c r="BM195" s="302"/>
      <c r="BN195" s="291">
        <f>+MAX($D$3,DATOS_[[#This Row],[Fecha Inicio Sit. Contract.]])</f>
        <v>45292</v>
      </c>
      <c r="BO195" s="291">
        <f>+MIN($D$4,DATOS_[[#This Row],[Fecha Fin Sit. Contract.]])</f>
        <v>45657</v>
      </c>
      <c r="BP195" s="292">
        <f>+DATOS_[[#This Row],[% de jornada]]*IF(DATOS_[[#This Row],[% jornada reducida]]="",1,DATOS_[[#This Row],[% jornada reducida]])</f>
        <v>1</v>
      </c>
      <c r="BQ195" s="292">
        <f>+(DATOS_[[#This Row],[F.fin.cal]]-DATOS_[[#This Row],[F.ini.cal]]+1)/($D$4-$D$3+1)</f>
        <v>1</v>
      </c>
      <c r="BR195" s="322" t="str">
        <f>IF(OR(AND(DATOS_[[#This Row],[Fecha Fin Contrato]]&lt;$D$3,DATOS_[[#This Row],[Fecha Fin Contrato]]&lt;&gt;""),DATOS_[[#This Row],[Fecha de Contratación]]&gt;$D$4),"Fuera","Dentro")</f>
        <v>Dentro</v>
      </c>
      <c r="BS195" s="322" t="str">
        <f t="array" ref="BS195">IF(MAX(IF(DATOS_[id]=DATOS_[[#This Row],[id]],DATOS_[F.fin.cal]))=DATOS_[[#This Row],[F.fin.cal]],"Sí","NO")</f>
        <v>Sí</v>
      </c>
      <c r="BT195" s="292" t="str">
        <f>IF(AND(DATOS_[[#This Row],[% normaliz]]&lt;&gt;1,DATOS_[[#This Row],[% anualiz]]=1),"Sí","NO")</f>
        <v>NO</v>
      </c>
      <c r="BU195" s="292" t="str">
        <f>IF(AND(DATOS_[[#This Row],[% normaliz]]=1,DATOS_[[#This Row],[% anualiz]]&lt;&gt;1),"Sí","NO")</f>
        <v>NO</v>
      </c>
      <c r="BV195" s="292" t="str">
        <f>IF(AND(DATOS_[[#This Row],[% normaliz]]&lt;&gt;1,DATOS_[[#This Row],[% anualiz]]&lt;&gt;1),"Sí","NO")</f>
        <v>NO</v>
      </c>
      <c r="BW195" s="322" t="str">
        <f>+IF(DATOS_[[#This Row],[% normaliz]]*DATOS_[[#This Row],[% anualiz]]=1,"NO","Sí")</f>
        <v>NO</v>
      </c>
      <c r="BX195" s="323">
        <f>(DATOS_[[#This Row],[S.BASE]]*(1/DATOS_[[#This Row],[% normaliz]])*(1/DATOS_[[#This Row],[% anualiz]]))*IF(DATOS_[[#This Row],[Check Equiparado]]="Sí",1,0)</f>
        <v>0</v>
      </c>
      <c r="BY19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5" s="323">
        <f>+DATOS_[[#This Row],[SALARIO BASE Eq]]+DATOS_[[#This Row],[Tot COMPL.SAL Eq]]</f>
        <v>0</v>
      </c>
      <c r="CA195" s="323">
        <f t="array" ref="CA19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1800</v>
      </c>
      <c r="CB195" s="323">
        <f>+DATOS_[[#This Row],[TOTAL SALARIO Eq]]+DATOS_[[#This Row],[Tot Extrasalarial Eq]]</f>
        <v>1800</v>
      </c>
      <c r="CC195" s="327">
        <f>DATOS_[[#This Row],[S.BASE]]</f>
        <v>0</v>
      </c>
      <c r="CD195" s="324">
        <f>+SUM(DATOS_[[#This Row],[Conc.Sal.01]:[Conc.Sal.30]])</f>
        <v>0</v>
      </c>
      <c r="CE195" s="324">
        <f>+DATOS_[[#This Row],[SALARIO BASE Ef]]+DATOS_[[#This Row],[Tot COMPL.SAL Ef]]</f>
        <v>0</v>
      </c>
      <c r="CF195" s="324">
        <f>+SUM(DATOS_[[#This Row],[C.Extra.01]:[C.Extra.05]])</f>
        <v>1800</v>
      </c>
      <c r="CG195" s="330">
        <f>+DATOS_[[#This Row],[TOTAL SALARIO Ef]]+DATOS_[[#This Row],[Tot Extrasalarial Ef]]</f>
        <v>1800</v>
      </c>
      <c r="CH195" s="303">
        <f>MIN(IF(DATOS_[[#This Row],[Fecha Fin Contrato]]="",$D$4,DATOS_[[#This Row],[Fecha Fin Contrato]]),$D$4)-MAX(DATOS_[[#This Row],[Fecha de Contratación]],$D$3)+1</f>
        <v>366</v>
      </c>
      <c r="CI195" s="304">
        <f>IF(COUNTIFS(DATOS_[id],DATOS_[[#This Row],[id]])&gt;1,DATOS_[[#This Row],[id]],"")</f>
        <v>176</v>
      </c>
      <c r="CJ195" s="325">
        <f>(Inicio!$G$10-DATOS_[[#This Row],[Fecha Nacimiento]])/365.25</f>
        <v>33.065023956194388</v>
      </c>
      <c r="CK195" s="325">
        <f>(Inicio!$G$10-DATOS_[[#This Row],[Fecha de Antigüedad]])/365.25</f>
        <v>10.321697467488022</v>
      </c>
      <c r="CL195" s="325" t="str">
        <f>+VLOOKUP(DATOS_[[#This Row],[Clave de Contrato]],TblTiposContrato13[],3,FALSE)</f>
        <v>Completa</v>
      </c>
      <c r="CM195" s="325" t="str">
        <f>+VLOOKUP(DATOS_[[#This Row],[Clave de Contrato]],TblTiposContrato13[],4,FALSE)</f>
        <v>Indefinido</v>
      </c>
      <c r="CN195" s="325" t="str">
        <f>VLOOKUP(DATOS_[[#This Row],[Edad]],CONTRATOS!TblRngEdad,2,TRUE)</f>
        <v>30 a 35</v>
      </c>
      <c r="CO195" s="325" t="str">
        <f>VLOOKUP(DATOS_[[#This Row],[Antigüedad]],TblRngAntg14[],2,TRUE)</f>
        <v>de 10 a 15  años</v>
      </c>
    </row>
    <row r="196" spans="2:93" x14ac:dyDescent="0.25">
      <c r="B196" s="146">
        <v>177</v>
      </c>
      <c r="C196" s="146" t="s">
        <v>163</v>
      </c>
      <c r="D196" s="295">
        <v>31390</v>
      </c>
      <c r="E196" s="296" t="s">
        <v>71</v>
      </c>
      <c r="F196" s="296">
        <v>3</v>
      </c>
      <c r="G196" s="296">
        <v>0</v>
      </c>
      <c r="H196" s="297">
        <v>41917</v>
      </c>
      <c r="I196" s="298"/>
      <c r="J196" s="295">
        <v>41917</v>
      </c>
      <c r="K196" s="326"/>
      <c r="L196" s="326">
        <v>43921</v>
      </c>
      <c r="M196" s="299">
        <v>1</v>
      </c>
      <c r="N196" s="299"/>
      <c r="O196" s="299"/>
      <c r="P196" s="296">
        <v>100</v>
      </c>
      <c r="Q196" s="146" t="s">
        <v>431</v>
      </c>
      <c r="R196" s="146" t="s">
        <v>419</v>
      </c>
      <c r="S196" s="146" t="s">
        <v>440</v>
      </c>
      <c r="T196" s="146" t="s">
        <v>407</v>
      </c>
      <c r="U196" s="146" t="s">
        <v>400</v>
      </c>
      <c r="V196" s="146" t="s">
        <v>438</v>
      </c>
      <c r="W196" s="146" t="s">
        <v>311</v>
      </c>
      <c r="X196" s="146" t="s">
        <v>307</v>
      </c>
      <c r="Y196" s="146" t="s">
        <v>409</v>
      </c>
      <c r="Z196" s="293"/>
      <c r="AA196" s="294" t="s">
        <v>439</v>
      </c>
      <c r="AB196" s="294">
        <v>9</v>
      </c>
      <c r="AC196" s="296">
        <v>7</v>
      </c>
      <c r="AD196" s="301">
        <v>3228.7674999999999</v>
      </c>
      <c r="AE196" s="301">
        <v>21.232500000000073</v>
      </c>
      <c r="AF196" s="301">
        <v>129.1507</v>
      </c>
      <c r="AG196" s="301">
        <v>240</v>
      </c>
      <c r="AH196" s="301"/>
      <c r="AI196" s="301"/>
      <c r="AJ196" s="301"/>
      <c r="AK196" s="301"/>
      <c r="AL196" s="301"/>
      <c r="AM196" s="301"/>
      <c r="AN196" s="301"/>
      <c r="AO196" s="301"/>
      <c r="AP196" s="301"/>
      <c r="AQ196" s="301"/>
      <c r="AR196" s="301"/>
      <c r="AS196" s="301"/>
      <c r="AT196" s="301"/>
      <c r="AU196" s="301"/>
      <c r="AV196" s="301"/>
      <c r="AW196" s="301"/>
      <c r="AX196" s="301"/>
      <c r="AY196" s="301"/>
      <c r="AZ196" s="301"/>
      <c r="BA196" s="301"/>
      <c r="BB196" s="301"/>
      <c r="BC196" s="301"/>
      <c r="BD196" s="301"/>
      <c r="BE196" s="301"/>
      <c r="BF196" s="301"/>
      <c r="BG196" s="301"/>
      <c r="BH196" s="301"/>
      <c r="BI196" s="301"/>
      <c r="BJ196" s="301"/>
      <c r="BK196" s="301"/>
      <c r="BL196" s="301"/>
      <c r="BM196" s="302"/>
      <c r="BN196" s="291">
        <f>+MAX($D$3,DATOS_[[#This Row],[Fecha Inicio Sit. Contract.]])</f>
        <v>45292</v>
      </c>
      <c r="BO196" s="291">
        <f>+MIN($D$4,DATOS_[[#This Row],[Fecha Fin Sit. Contract.]])</f>
        <v>43921</v>
      </c>
      <c r="BP196" s="292">
        <f>+DATOS_[[#This Row],[% de jornada]]*IF(DATOS_[[#This Row],[% jornada reducida]]="",1,DATOS_[[#This Row],[% jornada reducida]])</f>
        <v>1</v>
      </c>
      <c r="BQ196" s="292">
        <f>+(DATOS_[[#This Row],[F.fin.cal]]-DATOS_[[#This Row],[F.ini.cal]]+1)/($D$4-$D$3+1)</f>
        <v>-3.7431693989071038</v>
      </c>
      <c r="BR196" s="322" t="str">
        <f>IF(OR(AND(DATOS_[[#This Row],[Fecha Fin Contrato]]&lt;$D$3,DATOS_[[#This Row],[Fecha Fin Contrato]]&lt;&gt;""),DATOS_[[#This Row],[Fecha de Contratación]]&gt;$D$4),"Fuera","Dentro")</f>
        <v>Dentro</v>
      </c>
      <c r="BS196" s="322" t="str">
        <f t="array" ref="BS196">IF(MAX(IF(DATOS_[id]=DATOS_[[#This Row],[id]],DATOS_[F.fin.cal]))=DATOS_[[#This Row],[F.fin.cal]],"Sí","NO")</f>
        <v>NO</v>
      </c>
      <c r="BT196" s="292" t="str">
        <f>IF(AND(DATOS_[[#This Row],[% normaliz]]&lt;&gt;1,DATOS_[[#This Row],[% anualiz]]=1),"Sí","NO")</f>
        <v>NO</v>
      </c>
      <c r="BU196" s="292" t="str">
        <f>IF(AND(DATOS_[[#This Row],[% normaliz]]=1,DATOS_[[#This Row],[% anualiz]]&lt;&gt;1),"Sí","NO")</f>
        <v>Sí</v>
      </c>
      <c r="BV196" s="292" t="str">
        <f>IF(AND(DATOS_[[#This Row],[% normaliz]]&lt;&gt;1,DATOS_[[#This Row],[% anualiz]]&lt;&gt;1),"Sí","NO")</f>
        <v>NO</v>
      </c>
      <c r="BW196" s="322" t="str">
        <f>+IF(DATOS_[[#This Row],[% normaliz]]*DATOS_[[#This Row],[% anualiz]]=1,"NO","Sí")</f>
        <v>Sí</v>
      </c>
      <c r="BX196" s="323">
        <f>(DATOS_[[#This Row],[S.BASE]]*(1/DATOS_[[#This Row],[% normaliz]])*(1/DATOS_[[#This Row],[% anualiz]]))*IF(DATOS_[[#This Row],[Check Equiparado]]="Sí",1,0)</f>
        <v>0</v>
      </c>
      <c r="BY19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6" s="323">
        <f>+DATOS_[[#This Row],[SALARIO BASE Eq]]+DATOS_[[#This Row],[Tot COMPL.SAL Eq]]</f>
        <v>0</v>
      </c>
      <c r="CA196" s="323">
        <f t="array" ref="CA19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6" s="323">
        <f>+DATOS_[[#This Row],[TOTAL SALARIO Eq]]+DATOS_[[#This Row],[Tot Extrasalarial Eq]]</f>
        <v>0</v>
      </c>
      <c r="CC196" s="327">
        <f>DATOS_[[#This Row],[S.BASE]]</f>
        <v>3228.7674999999999</v>
      </c>
      <c r="CD196" s="324">
        <f>+SUM(DATOS_[[#This Row],[Conc.Sal.01]:[Conc.Sal.30]])</f>
        <v>390.3832000000001</v>
      </c>
      <c r="CE196" s="324">
        <f>+DATOS_[[#This Row],[SALARIO BASE Ef]]+DATOS_[[#This Row],[Tot COMPL.SAL Ef]]</f>
        <v>3619.1507000000001</v>
      </c>
      <c r="CF196" s="324">
        <f>+SUM(DATOS_[[#This Row],[C.Extra.01]:[C.Extra.05]])</f>
        <v>0</v>
      </c>
      <c r="CG196" s="330">
        <f>+DATOS_[[#This Row],[TOTAL SALARIO Ef]]+DATOS_[[#This Row],[Tot Extrasalarial Ef]]</f>
        <v>3619.1507000000001</v>
      </c>
      <c r="CH196" s="303">
        <f>MIN(IF(DATOS_[[#This Row],[Fecha Fin Contrato]]="",$D$4,DATOS_[[#This Row],[Fecha Fin Contrato]]),$D$4)-MAX(DATOS_[[#This Row],[Fecha de Contratación]],$D$3)+1</f>
        <v>366</v>
      </c>
      <c r="CI196" s="304">
        <f>IF(COUNTIFS(DATOS_[id],DATOS_[[#This Row],[id]])&gt;1,DATOS_[[#This Row],[id]],"")</f>
        <v>177</v>
      </c>
      <c r="CJ196" s="325">
        <f>(Inicio!$G$10-DATOS_[[#This Row],[Fecha Nacimiento]])/365.25</f>
        <v>39.060917180013689</v>
      </c>
      <c r="CK196" s="325">
        <f>(Inicio!$G$10-DATOS_[[#This Row],[Fecha de Antigüedad]])/365.25</f>
        <v>10.239561943874058</v>
      </c>
      <c r="CL196" s="325" t="str">
        <f>+VLOOKUP(DATOS_[[#This Row],[Clave de Contrato]],TblTiposContrato13[],3,FALSE)</f>
        <v>Completa</v>
      </c>
      <c r="CM196" s="325" t="str">
        <f>+VLOOKUP(DATOS_[[#This Row],[Clave de Contrato]],TblTiposContrato13[],4,FALSE)</f>
        <v>Indefinido</v>
      </c>
      <c r="CN196" s="325" t="str">
        <f>VLOOKUP(DATOS_[[#This Row],[Edad]],CONTRATOS!TblRngEdad,2,TRUE)</f>
        <v>35 a 40</v>
      </c>
      <c r="CO196" s="325" t="str">
        <f>VLOOKUP(DATOS_[[#This Row],[Antigüedad]],TblRngAntg14[],2,TRUE)</f>
        <v>de 10 a 15  años</v>
      </c>
    </row>
    <row r="197" spans="2:93" x14ac:dyDescent="0.25">
      <c r="B197" s="146">
        <v>177</v>
      </c>
      <c r="C197" s="146" t="s">
        <v>163</v>
      </c>
      <c r="D197" s="295">
        <v>31390</v>
      </c>
      <c r="E197" s="296" t="s">
        <v>71</v>
      </c>
      <c r="F197" s="296">
        <v>3</v>
      </c>
      <c r="G197" s="296">
        <v>0</v>
      </c>
      <c r="H197" s="297">
        <v>41917</v>
      </c>
      <c r="I197" s="298"/>
      <c r="J197" s="295">
        <v>41917</v>
      </c>
      <c r="K197" s="326">
        <v>43922</v>
      </c>
      <c r="L197" s="326"/>
      <c r="M197" s="299">
        <v>1</v>
      </c>
      <c r="N197" s="299"/>
      <c r="O197" s="299"/>
      <c r="P197" s="296">
        <v>100</v>
      </c>
      <c r="Q197" s="146" t="s">
        <v>431</v>
      </c>
      <c r="R197" s="146" t="s">
        <v>419</v>
      </c>
      <c r="S197" s="146" t="s">
        <v>440</v>
      </c>
      <c r="T197" s="146" t="s">
        <v>407</v>
      </c>
      <c r="U197" s="146" t="s">
        <v>400</v>
      </c>
      <c r="V197" s="146" t="s">
        <v>438</v>
      </c>
      <c r="W197" s="146" t="s">
        <v>311</v>
      </c>
      <c r="X197" s="146" t="s">
        <v>307</v>
      </c>
      <c r="Y197" s="146" t="s">
        <v>409</v>
      </c>
      <c r="Z197" s="293"/>
      <c r="AA197" s="294" t="s">
        <v>439</v>
      </c>
      <c r="AB197" s="294">
        <v>9</v>
      </c>
      <c r="AC197" s="296">
        <v>7</v>
      </c>
      <c r="AD197" s="301"/>
      <c r="AE197" s="301"/>
      <c r="AF197" s="301"/>
      <c r="AG197" s="301"/>
      <c r="AH197" s="301"/>
      <c r="AI197" s="301"/>
      <c r="AJ197" s="301"/>
      <c r="AK197" s="301"/>
      <c r="AL197" s="301"/>
      <c r="AM197" s="301"/>
      <c r="AN197" s="301"/>
      <c r="AO197" s="301"/>
      <c r="AP197" s="301"/>
      <c r="AQ197" s="301"/>
      <c r="AR197" s="301"/>
      <c r="AS197" s="301"/>
      <c r="AT197" s="301"/>
      <c r="AU197" s="301"/>
      <c r="AV197" s="301"/>
      <c r="AW197" s="301"/>
      <c r="AX197" s="301"/>
      <c r="AY197" s="301"/>
      <c r="AZ197" s="301"/>
      <c r="BA197" s="301"/>
      <c r="BB197" s="301"/>
      <c r="BC197" s="301"/>
      <c r="BD197" s="301"/>
      <c r="BE197" s="301"/>
      <c r="BF197" s="301"/>
      <c r="BG197" s="301"/>
      <c r="BH197" s="301"/>
      <c r="BI197" s="301"/>
      <c r="BJ197" s="301"/>
      <c r="BK197" s="301">
        <v>1800</v>
      </c>
      <c r="BL197" s="301"/>
      <c r="BM197" s="302"/>
      <c r="BN197" s="291">
        <f>+MAX($D$3,DATOS_[[#This Row],[Fecha Inicio Sit. Contract.]])</f>
        <v>45292</v>
      </c>
      <c r="BO197" s="291">
        <f>+MIN($D$4,DATOS_[[#This Row],[Fecha Fin Sit. Contract.]])</f>
        <v>45657</v>
      </c>
      <c r="BP197" s="292">
        <f>+DATOS_[[#This Row],[% de jornada]]*IF(DATOS_[[#This Row],[% jornada reducida]]="",1,DATOS_[[#This Row],[% jornada reducida]])</f>
        <v>1</v>
      </c>
      <c r="BQ197" s="292">
        <f>+(DATOS_[[#This Row],[F.fin.cal]]-DATOS_[[#This Row],[F.ini.cal]]+1)/($D$4-$D$3+1)</f>
        <v>1</v>
      </c>
      <c r="BR197" s="322" t="str">
        <f>IF(OR(AND(DATOS_[[#This Row],[Fecha Fin Contrato]]&lt;$D$3,DATOS_[[#This Row],[Fecha Fin Contrato]]&lt;&gt;""),DATOS_[[#This Row],[Fecha de Contratación]]&gt;$D$4),"Fuera","Dentro")</f>
        <v>Dentro</v>
      </c>
      <c r="BS197" s="322" t="str">
        <f t="array" ref="BS197">IF(MAX(IF(DATOS_[id]=DATOS_[[#This Row],[id]],DATOS_[F.fin.cal]))=DATOS_[[#This Row],[F.fin.cal]],"Sí","NO")</f>
        <v>Sí</v>
      </c>
      <c r="BT197" s="292" t="str">
        <f>IF(AND(DATOS_[[#This Row],[% normaliz]]&lt;&gt;1,DATOS_[[#This Row],[% anualiz]]=1),"Sí","NO")</f>
        <v>NO</v>
      </c>
      <c r="BU197" s="292" t="str">
        <f>IF(AND(DATOS_[[#This Row],[% normaliz]]=1,DATOS_[[#This Row],[% anualiz]]&lt;&gt;1),"Sí","NO")</f>
        <v>NO</v>
      </c>
      <c r="BV197" s="292" t="str">
        <f>IF(AND(DATOS_[[#This Row],[% normaliz]]&lt;&gt;1,DATOS_[[#This Row],[% anualiz]]&lt;&gt;1),"Sí","NO")</f>
        <v>NO</v>
      </c>
      <c r="BW197" s="322" t="str">
        <f>+IF(DATOS_[[#This Row],[% normaliz]]*DATOS_[[#This Row],[% anualiz]]=1,"NO","Sí")</f>
        <v>NO</v>
      </c>
      <c r="BX197" s="323">
        <f>(DATOS_[[#This Row],[S.BASE]]*(1/DATOS_[[#This Row],[% normaliz]])*(1/DATOS_[[#This Row],[% anualiz]]))*IF(DATOS_[[#This Row],[Check Equiparado]]="Sí",1,0)</f>
        <v>0</v>
      </c>
      <c r="BY19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7" s="323">
        <f>+DATOS_[[#This Row],[SALARIO BASE Eq]]+DATOS_[[#This Row],[Tot COMPL.SAL Eq]]</f>
        <v>0</v>
      </c>
      <c r="CA197" s="323">
        <f t="array" ref="CA19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1800</v>
      </c>
      <c r="CB197" s="323">
        <f>+DATOS_[[#This Row],[TOTAL SALARIO Eq]]+DATOS_[[#This Row],[Tot Extrasalarial Eq]]</f>
        <v>1800</v>
      </c>
      <c r="CC197" s="327">
        <f>DATOS_[[#This Row],[S.BASE]]</f>
        <v>0</v>
      </c>
      <c r="CD197" s="324">
        <f>+SUM(DATOS_[[#This Row],[Conc.Sal.01]:[Conc.Sal.30]])</f>
        <v>0</v>
      </c>
      <c r="CE197" s="324">
        <f>+DATOS_[[#This Row],[SALARIO BASE Ef]]+DATOS_[[#This Row],[Tot COMPL.SAL Ef]]</f>
        <v>0</v>
      </c>
      <c r="CF197" s="324">
        <f>+SUM(DATOS_[[#This Row],[C.Extra.01]:[C.Extra.05]])</f>
        <v>1800</v>
      </c>
      <c r="CG197" s="330">
        <f>+DATOS_[[#This Row],[TOTAL SALARIO Ef]]+DATOS_[[#This Row],[Tot Extrasalarial Ef]]</f>
        <v>1800</v>
      </c>
      <c r="CH197" s="303">
        <f>MIN(IF(DATOS_[[#This Row],[Fecha Fin Contrato]]="",$D$4,DATOS_[[#This Row],[Fecha Fin Contrato]]),$D$4)-MAX(DATOS_[[#This Row],[Fecha de Contratación]],$D$3)+1</f>
        <v>366</v>
      </c>
      <c r="CI197" s="304">
        <f>IF(COUNTIFS(DATOS_[id],DATOS_[[#This Row],[id]])&gt;1,DATOS_[[#This Row],[id]],"")</f>
        <v>177</v>
      </c>
      <c r="CJ197" s="325">
        <f>(Inicio!$G$10-DATOS_[[#This Row],[Fecha Nacimiento]])/365.25</f>
        <v>39.060917180013689</v>
      </c>
      <c r="CK197" s="325">
        <f>(Inicio!$G$10-DATOS_[[#This Row],[Fecha de Antigüedad]])/365.25</f>
        <v>10.239561943874058</v>
      </c>
      <c r="CL197" s="325" t="str">
        <f>+VLOOKUP(DATOS_[[#This Row],[Clave de Contrato]],TblTiposContrato13[],3,FALSE)</f>
        <v>Completa</v>
      </c>
      <c r="CM197" s="325" t="str">
        <f>+VLOOKUP(DATOS_[[#This Row],[Clave de Contrato]],TblTiposContrato13[],4,FALSE)</f>
        <v>Indefinido</v>
      </c>
      <c r="CN197" s="325" t="str">
        <f>VLOOKUP(DATOS_[[#This Row],[Edad]],CONTRATOS!TblRngEdad,2,TRUE)</f>
        <v>35 a 40</v>
      </c>
      <c r="CO197" s="325" t="str">
        <f>VLOOKUP(DATOS_[[#This Row],[Antigüedad]],TblRngAntg14[],2,TRUE)</f>
        <v>de 10 a 15  años</v>
      </c>
    </row>
    <row r="198" spans="2:93" x14ac:dyDescent="0.25">
      <c r="B198" s="146">
        <v>178</v>
      </c>
      <c r="C198" s="146" t="s">
        <v>163</v>
      </c>
      <c r="D198" s="295">
        <v>30295</v>
      </c>
      <c r="E198" s="296" t="s">
        <v>71</v>
      </c>
      <c r="F198" s="296">
        <v>3</v>
      </c>
      <c r="G198" s="296">
        <v>0</v>
      </c>
      <c r="H198" s="297">
        <v>41947</v>
      </c>
      <c r="I198" s="298"/>
      <c r="J198" s="295">
        <v>41947</v>
      </c>
      <c r="K198" s="326"/>
      <c r="L198" s="326">
        <v>43921</v>
      </c>
      <c r="M198" s="299">
        <v>1</v>
      </c>
      <c r="N198" s="299"/>
      <c r="O198" s="299"/>
      <c r="P198" s="296">
        <v>100</v>
      </c>
      <c r="Q198" s="146" t="s">
        <v>431</v>
      </c>
      <c r="R198" s="146" t="s">
        <v>419</v>
      </c>
      <c r="S198" s="146" t="s">
        <v>440</v>
      </c>
      <c r="T198" s="146" t="s">
        <v>407</v>
      </c>
      <c r="U198" s="146" t="s">
        <v>400</v>
      </c>
      <c r="V198" s="146" t="s">
        <v>438</v>
      </c>
      <c r="W198" s="146" t="s">
        <v>311</v>
      </c>
      <c r="X198" s="146" t="s">
        <v>307</v>
      </c>
      <c r="Y198" s="146" t="s">
        <v>409</v>
      </c>
      <c r="Z198" s="293"/>
      <c r="AA198" s="294" t="s">
        <v>439</v>
      </c>
      <c r="AB198" s="294">
        <v>9</v>
      </c>
      <c r="AC198" s="296">
        <v>7</v>
      </c>
      <c r="AD198" s="301">
        <v>3228.7674999999999</v>
      </c>
      <c r="AE198" s="301">
        <v>21.232500000000073</v>
      </c>
      <c r="AF198" s="301">
        <v>129.1507</v>
      </c>
      <c r="AG198" s="301">
        <v>240</v>
      </c>
      <c r="AH198" s="301"/>
      <c r="AI198" s="301"/>
      <c r="AJ198" s="301"/>
      <c r="AK198" s="301"/>
      <c r="AL198" s="301"/>
      <c r="AM198" s="301"/>
      <c r="AN198" s="301"/>
      <c r="AO198" s="301"/>
      <c r="AP198" s="301"/>
      <c r="AQ198" s="301"/>
      <c r="AR198" s="301"/>
      <c r="AS198" s="301"/>
      <c r="AT198" s="301"/>
      <c r="AU198" s="301"/>
      <c r="AV198" s="301"/>
      <c r="AW198" s="301"/>
      <c r="AX198" s="301"/>
      <c r="AY198" s="301"/>
      <c r="AZ198" s="301"/>
      <c r="BA198" s="301"/>
      <c r="BB198" s="301"/>
      <c r="BC198" s="301"/>
      <c r="BD198" s="301"/>
      <c r="BE198" s="301"/>
      <c r="BF198" s="301"/>
      <c r="BG198" s="301"/>
      <c r="BH198" s="301"/>
      <c r="BI198" s="301"/>
      <c r="BJ198" s="301"/>
      <c r="BK198" s="301"/>
      <c r="BL198" s="301"/>
      <c r="BM198" s="302"/>
      <c r="BN198" s="291">
        <f>+MAX($D$3,DATOS_[[#This Row],[Fecha Inicio Sit. Contract.]])</f>
        <v>45292</v>
      </c>
      <c r="BO198" s="291">
        <f>+MIN($D$4,DATOS_[[#This Row],[Fecha Fin Sit. Contract.]])</f>
        <v>43921</v>
      </c>
      <c r="BP198" s="292">
        <f>+DATOS_[[#This Row],[% de jornada]]*IF(DATOS_[[#This Row],[% jornada reducida]]="",1,DATOS_[[#This Row],[% jornada reducida]])</f>
        <v>1</v>
      </c>
      <c r="BQ198" s="292">
        <f>+(DATOS_[[#This Row],[F.fin.cal]]-DATOS_[[#This Row],[F.ini.cal]]+1)/($D$4-$D$3+1)</f>
        <v>-3.7431693989071038</v>
      </c>
      <c r="BR198" s="322" t="str">
        <f>IF(OR(AND(DATOS_[[#This Row],[Fecha Fin Contrato]]&lt;$D$3,DATOS_[[#This Row],[Fecha Fin Contrato]]&lt;&gt;""),DATOS_[[#This Row],[Fecha de Contratación]]&gt;$D$4),"Fuera","Dentro")</f>
        <v>Dentro</v>
      </c>
      <c r="BS198" s="322" t="str">
        <f t="array" ref="BS198">IF(MAX(IF(DATOS_[id]=DATOS_[[#This Row],[id]],DATOS_[F.fin.cal]))=DATOS_[[#This Row],[F.fin.cal]],"Sí","NO")</f>
        <v>NO</v>
      </c>
      <c r="BT198" s="292" t="str">
        <f>IF(AND(DATOS_[[#This Row],[% normaliz]]&lt;&gt;1,DATOS_[[#This Row],[% anualiz]]=1),"Sí","NO")</f>
        <v>NO</v>
      </c>
      <c r="BU198" s="292" t="str">
        <f>IF(AND(DATOS_[[#This Row],[% normaliz]]=1,DATOS_[[#This Row],[% anualiz]]&lt;&gt;1),"Sí","NO")</f>
        <v>Sí</v>
      </c>
      <c r="BV198" s="292" t="str">
        <f>IF(AND(DATOS_[[#This Row],[% normaliz]]&lt;&gt;1,DATOS_[[#This Row],[% anualiz]]&lt;&gt;1),"Sí","NO")</f>
        <v>NO</v>
      </c>
      <c r="BW198" s="322" t="str">
        <f>+IF(DATOS_[[#This Row],[% normaliz]]*DATOS_[[#This Row],[% anualiz]]=1,"NO","Sí")</f>
        <v>Sí</v>
      </c>
      <c r="BX198" s="323">
        <f>(DATOS_[[#This Row],[S.BASE]]*(1/DATOS_[[#This Row],[% normaliz]])*(1/DATOS_[[#This Row],[% anualiz]]))*IF(DATOS_[[#This Row],[Check Equiparado]]="Sí",1,0)</f>
        <v>0</v>
      </c>
      <c r="BY19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8" s="323">
        <f>+DATOS_[[#This Row],[SALARIO BASE Eq]]+DATOS_[[#This Row],[Tot COMPL.SAL Eq]]</f>
        <v>0</v>
      </c>
      <c r="CA198" s="323">
        <f t="array" ref="CA19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8" s="323">
        <f>+DATOS_[[#This Row],[TOTAL SALARIO Eq]]+DATOS_[[#This Row],[Tot Extrasalarial Eq]]</f>
        <v>0</v>
      </c>
      <c r="CC198" s="327">
        <f>DATOS_[[#This Row],[S.BASE]]</f>
        <v>3228.7674999999999</v>
      </c>
      <c r="CD198" s="324">
        <f>+SUM(DATOS_[[#This Row],[Conc.Sal.01]:[Conc.Sal.30]])</f>
        <v>390.3832000000001</v>
      </c>
      <c r="CE198" s="324">
        <f>+DATOS_[[#This Row],[SALARIO BASE Ef]]+DATOS_[[#This Row],[Tot COMPL.SAL Ef]]</f>
        <v>3619.1507000000001</v>
      </c>
      <c r="CF198" s="324">
        <f>+SUM(DATOS_[[#This Row],[C.Extra.01]:[C.Extra.05]])</f>
        <v>0</v>
      </c>
      <c r="CG198" s="330">
        <f>+DATOS_[[#This Row],[TOTAL SALARIO Ef]]+DATOS_[[#This Row],[Tot Extrasalarial Ef]]</f>
        <v>3619.1507000000001</v>
      </c>
      <c r="CH198" s="303">
        <f>MIN(IF(DATOS_[[#This Row],[Fecha Fin Contrato]]="",$D$4,DATOS_[[#This Row],[Fecha Fin Contrato]]),$D$4)-MAX(DATOS_[[#This Row],[Fecha de Contratación]],$D$3)+1</f>
        <v>366</v>
      </c>
      <c r="CI198" s="304">
        <f>IF(COUNTIFS(DATOS_[id],DATOS_[[#This Row],[id]])&gt;1,DATOS_[[#This Row],[id]],"")</f>
        <v>178</v>
      </c>
      <c r="CJ198" s="325">
        <f>(Inicio!$G$10-DATOS_[[#This Row],[Fecha Nacimiento]])/365.25</f>
        <v>42.058863791923343</v>
      </c>
      <c r="CK198" s="325">
        <f>(Inicio!$G$10-DATOS_[[#This Row],[Fecha de Antigüedad]])/365.25</f>
        <v>10.157426420260096</v>
      </c>
      <c r="CL198" s="325" t="str">
        <f>+VLOOKUP(DATOS_[[#This Row],[Clave de Contrato]],TblTiposContrato13[],3,FALSE)</f>
        <v>Completa</v>
      </c>
      <c r="CM198" s="325" t="str">
        <f>+VLOOKUP(DATOS_[[#This Row],[Clave de Contrato]],TblTiposContrato13[],4,FALSE)</f>
        <v>Indefinido</v>
      </c>
      <c r="CN198" s="325" t="str">
        <f>VLOOKUP(DATOS_[[#This Row],[Edad]],CONTRATOS!TblRngEdad,2,TRUE)</f>
        <v>40 a 45</v>
      </c>
      <c r="CO198" s="325" t="str">
        <f>VLOOKUP(DATOS_[[#This Row],[Antigüedad]],TblRngAntg14[],2,TRUE)</f>
        <v>de 10 a 15  años</v>
      </c>
    </row>
    <row r="199" spans="2:93" x14ac:dyDescent="0.25">
      <c r="B199" s="146">
        <v>178</v>
      </c>
      <c r="C199" s="146" t="s">
        <v>163</v>
      </c>
      <c r="D199" s="295">
        <v>30295</v>
      </c>
      <c r="E199" s="296" t="s">
        <v>71</v>
      </c>
      <c r="F199" s="296">
        <v>3</v>
      </c>
      <c r="G199" s="296">
        <v>0</v>
      </c>
      <c r="H199" s="297">
        <v>41947</v>
      </c>
      <c r="I199" s="298"/>
      <c r="J199" s="295">
        <v>41947</v>
      </c>
      <c r="K199" s="326">
        <v>43922</v>
      </c>
      <c r="L199" s="326"/>
      <c r="M199" s="299">
        <v>1</v>
      </c>
      <c r="N199" s="299"/>
      <c r="O199" s="299"/>
      <c r="P199" s="296">
        <v>100</v>
      </c>
      <c r="Q199" s="146" t="s">
        <v>431</v>
      </c>
      <c r="R199" s="146" t="s">
        <v>419</v>
      </c>
      <c r="S199" s="146" t="s">
        <v>440</v>
      </c>
      <c r="T199" s="146" t="s">
        <v>407</v>
      </c>
      <c r="U199" s="146" t="s">
        <v>400</v>
      </c>
      <c r="V199" s="146" t="s">
        <v>438</v>
      </c>
      <c r="W199" s="146" t="s">
        <v>311</v>
      </c>
      <c r="X199" s="146" t="s">
        <v>307</v>
      </c>
      <c r="Y199" s="146" t="s">
        <v>409</v>
      </c>
      <c r="Z199" s="293"/>
      <c r="AA199" s="294" t="s">
        <v>439</v>
      </c>
      <c r="AB199" s="294">
        <v>9</v>
      </c>
      <c r="AC199" s="296">
        <v>7</v>
      </c>
      <c r="AD199" s="301"/>
      <c r="AE199" s="301"/>
      <c r="AF199" s="301"/>
      <c r="AG199" s="301"/>
      <c r="AH199" s="301"/>
      <c r="AI199" s="301"/>
      <c r="AJ199" s="301"/>
      <c r="AK199" s="301"/>
      <c r="AL199" s="301"/>
      <c r="AM199" s="301"/>
      <c r="AN199" s="301"/>
      <c r="AO199" s="301"/>
      <c r="AP199" s="301"/>
      <c r="AQ199" s="301"/>
      <c r="AR199" s="301"/>
      <c r="AS199" s="301"/>
      <c r="AT199" s="301"/>
      <c r="AU199" s="301"/>
      <c r="AV199" s="301"/>
      <c r="AW199" s="301"/>
      <c r="AX199" s="301"/>
      <c r="AY199" s="301"/>
      <c r="AZ199" s="301"/>
      <c r="BA199" s="301"/>
      <c r="BB199" s="301"/>
      <c r="BC199" s="301"/>
      <c r="BD199" s="301"/>
      <c r="BE199" s="301"/>
      <c r="BF199" s="301"/>
      <c r="BG199" s="301"/>
      <c r="BH199" s="301"/>
      <c r="BI199" s="301"/>
      <c r="BJ199" s="301"/>
      <c r="BK199" s="301">
        <v>1800</v>
      </c>
      <c r="BL199" s="301"/>
      <c r="BM199" s="302"/>
      <c r="BN199" s="291">
        <f>+MAX($D$3,DATOS_[[#This Row],[Fecha Inicio Sit. Contract.]])</f>
        <v>45292</v>
      </c>
      <c r="BO199" s="291">
        <f>+MIN($D$4,DATOS_[[#This Row],[Fecha Fin Sit. Contract.]])</f>
        <v>45657</v>
      </c>
      <c r="BP199" s="292">
        <f>+DATOS_[[#This Row],[% de jornada]]*IF(DATOS_[[#This Row],[% jornada reducida]]="",1,DATOS_[[#This Row],[% jornada reducida]])</f>
        <v>1</v>
      </c>
      <c r="BQ199" s="292">
        <f>+(DATOS_[[#This Row],[F.fin.cal]]-DATOS_[[#This Row],[F.ini.cal]]+1)/($D$4-$D$3+1)</f>
        <v>1</v>
      </c>
      <c r="BR199" s="322" t="str">
        <f>IF(OR(AND(DATOS_[[#This Row],[Fecha Fin Contrato]]&lt;$D$3,DATOS_[[#This Row],[Fecha Fin Contrato]]&lt;&gt;""),DATOS_[[#This Row],[Fecha de Contratación]]&gt;$D$4),"Fuera","Dentro")</f>
        <v>Dentro</v>
      </c>
      <c r="BS199" s="322" t="str">
        <f t="array" ref="BS199">IF(MAX(IF(DATOS_[id]=DATOS_[[#This Row],[id]],DATOS_[F.fin.cal]))=DATOS_[[#This Row],[F.fin.cal]],"Sí","NO")</f>
        <v>Sí</v>
      </c>
      <c r="BT199" s="292" t="str">
        <f>IF(AND(DATOS_[[#This Row],[% normaliz]]&lt;&gt;1,DATOS_[[#This Row],[% anualiz]]=1),"Sí","NO")</f>
        <v>NO</v>
      </c>
      <c r="BU199" s="292" t="str">
        <f>IF(AND(DATOS_[[#This Row],[% normaliz]]=1,DATOS_[[#This Row],[% anualiz]]&lt;&gt;1),"Sí","NO")</f>
        <v>NO</v>
      </c>
      <c r="BV199" s="292" t="str">
        <f>IF(AND(DATOS_[[#This Row],[% normaliz]]&lt;&gt;1,DATOS_[[#This Row],[% anualiz]]&lt;&gt;1),"Sí","NO")</f>
        <v>NO</v>
      </c>
      <c r="BW199" s="322" t="str">
        <f>+IF(DATOS_[[#This Row],[% normaliz]]*DATOS_[[#This Row],[% anualiz]]=1,"NO","Sí")</f>
        <v>NO</v>
      </c>
      <c r="BX199" s="323">
        <f>(DATOS_[[#This Row],[S.BASE]]*(1/DATOS_[[#This Row],[% normaliz]])*(1/DATOS_[[#This Row],[% anualiz]]))*IF(DATOS_[[#This Row],[Check Equiparado]]="Sí",1,0)</f>
        <v>0</v>
      </c>
      <c r="BY19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9" s="323">
        <f>+DATOS_[[#This Row],[SALARIO BASE Eq]]+DATOS_[[#This Row],[Tot COMPL.SAL Eq]]</f>
        <v>0</v>
      </c>
      <c r="CA199" s="323">
        <f t="array" ref="CA19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1800</v>
      </c>
      <c r="CB199" s="323">
        <f>+DATOS_[[#This Row],[TOTAL SALARIO Eq]]+DATOS_[[#This Row],[Tot Extrasalarial Eq]]</f>
        <v>1800</v>
      </c>
      <c r="CC199" s="327">
        <f>DATOS_[[#This Row],[S.BASE]]</f>
        <v>0</v>
      </c>
      <c r="CD199" s="324">
        <f>+SUM(DATOS_[[#This Row],[Conc.Sal.01]:[Conc.Sal.30]])</f>
        <v>0</v>
      </c>
      <c r="CE199" s="324">
        <f>+DATOS_[[#This Row],[SALARIO BASE Ef]]+DATOS_[[#This Row],[Tot COMPL.SAL Ef]]</f>
        <v>0</v>
      </c>
      <c r="CF199" s="324">
        <f>+SUM(DATOS_[[#This Row],[C.Extra.01]:[C.Extra.05]])</f>
        <v>1800</v>
      </c>
      <c r="CG199" s="330">
        <f>+DATOS_[[#This Row],[TOTAL SALARIO Ef]]+DATOS_[[#This Row],[Tot Extrasalarial Ef]]</f>
        <v>1800</v>
      </c>
      <c r="CH199" s="303">
        <f>MIN(IF(DATOS_[[#This Row],[Fecha Fin Contrato]]="",$D$4,DATOS_[[#This Row],[Fecha Fin Contrato]]),$D$4)-MAX(DATOS_[[#This Row],[Fecha de Contratación]],$D$3)+1</f>
        <v>366</v>
      </c>
      <c r="CI199" s="304">
        <f>IF(COUNTIFS(DATOS_[id],DATOS_[[#This Row],[id]])&gt;1,DATOS_[[#This Row],[id]],"")</f>
        <v>178</v>
      </c>
      <c r="CJ199" s="325">
        <f>(Inicio!$G$10-DATOS_[[#This Row],[Fecha Nacimiento]])/365.25</f>
        <v>42.058863791923343</v>
      </c>
      <c r="CK199" s="325">
        <f>(Inicio!$G$10-DATOS_[[#This Row],[Fecha de Antigüedad]])/365.25</f>
        <v>10.157426420260096</v>
      </c>
      <c r="CL199" s="325" t="str">
        <f>+VLOOKUP(DATOS_[[#This Row],[Clave de Contrato]],TblTiposContrato13[],3,FALSE)</f>
        <v>Completa</v>
      </c>
      <c r="CM199" s="325" t="str">
        <f>+VLOOKUP(DATOS_[[#This Row],[Clave de Contrato]],TblTiposContrato13[],4,FALSE)</f>
        <v>Indefinido</v>
      </c>
      <c r="CN199" s="325" t="str">
        <f>VLOOKUP(DATOS_[[#This Row],[Edad]],CONTRATOS!TblRngEdad,2,TRUE)</f>
        <v>40 a 45</v>
      </c>
      <c r="CO199" s="325" t="str">
        <f>VLOOKUP(DATOS_[[#This Row],[Antigüedad]],TblRngAntg14[],2,TRUE)</f>
        <v>de 10 a 15  años</v>
      </c>
    </row>
    <row r="200" spans="2:93" x14ac:dyDescent="0.25">
      <c r="B200" s="146">
        <v>179</v>
      </c>
      <c r="C200" s="146" t="s">
        <v>162</v>
      </c>
      <c r="D200" s="295">
        <v>29565</v>
      </c>
      <c r="E200" s="296" t="s">
        <v>71</v>
      </c>
      <c r="F200" s="296">
        <v>3</v>
      </c>
      <c r="G200" s="296">
        <v>0</v>
      </c>
      <c r="H200" s="297">
        <v>41977</v>
      </c>
      <c r="I200" s="298"/>
      <c r="J200" s="295">
        <v>41977</v>
      </c>
      <c r="K200" s="326"/>
      <c r="L200" s="326">
        <v>43921</v>
      </c>
      <c r="M200" s="299">
        <v>1</v>
      </c>
      <c r="N200" s="299"/>
      <c r="O200" s="299"/>
      <c r="P200" s="296">
        <v>100</v>
      </c>
      <c r="Q200" s="146" t="s">
        <v>431</v>
      </c>
      <c r="R200" s="146" t="s">
        <v>419</v>
      </c>
      <c r="S200" s="146" t="s">
        <v>440</v>
      </c>
      <c r="T200" s="146" t="s">
        <v>407</v>
      </c>
      <c r="U200" s="146" t="s">
        <v>400</v>
      </c>
      <c r="V200" s="146" t="s">
        <v>438</v>
      </c>
      <c r="W200" s="146" t="s">
        <v>311</v>
      </c>
      <c r="X200" s="146" t="s">
        <v>307</v>
      </c>
      <c r="Y200" s="146" t="s">
        <v>409</v>
      </c>
      <c r="Z200" s="293"/>
      <c r="AA200" s="294" t="s">
        <v>439</v>
      </c>
      <c r="AB200" s="294">
        <v>9</v>
      </c>
      <c r="AC200" s="296">
        <v>7</v>
      </c>
      <c r="AD200" s="301">
        <v>3228.7674999999999</v>
      </c>
      <c r="AE200" s="301">
        <v>21.232500000000073</v>
      </c>
      <c r="AF200" s="301">
        <v>129.1507</v>
      </c>
      <c r="AG200" s="301">
        <v>240</v>
      </c>
      <c r="AH200" s="301"/>
      <c r="AI200" s="301"/>
      <c r="AJ200" s="301"/>
      <c r="AK200" s="301"/>
      <c r="AL200" s="301"/>
      <c r="AM200" s="301"/>
      <c r="AN200" s="301"/>
      <c r="AO200" s="301"/>
      <c r="AP200" s="301"/>
      <c r="AQ200" s="301"/>
      <c r="AR200" s="301"/>
      <c r="AS200" s="301"/>
      <c r="AT200" s="301"/>
      <c r="AU200" s="301"/>
      <c r="AV200" s="301"/>
      <c r="AW200" s="301"/>
      <c r="AX200" s="301"/>
      <c r="AY200" s="301"/>
      <c r="AZ200" s="301"/>
      <c r="BA200" s="301"/>
      <c r="BB200" s="301"/>
      <c r="BC200" s="301"/>
      <c r="BD200" s="301"/>
      <c r="BE200" s="301"/>
      <c r="BF200" s="301"/>
      <c r="BG200" s="301"/>
      <c r="BH200" s="301"/>
      <c r="BI200" s="301"/>
      <c r="BJ200" s="301"/>
      <c r="BK200" s="301"/>
      <c r="BL200" s="301"/>
      <c r="BM200" s="302"/>
      <c r="BN200" s="291">
        <f>+MAX($D$3,DATOS_[[#This Row],[Fecha Inicio Sit. Contract.]])</f>
        <v>45292</v>
      </c>
      <c r="BO200" s="291">
        <f>+MIN($D$4,DATOS_[[#This Row],[Fecha Fin Sit. Contract.]])</f>
        <v>43921</v>
      </c>
      <c r="BP200" s="292">
        <f>+DATOS_[[#This Row],[% de jornada]]*IF(DATOS_[[#This Row],[% jornada reducida]]="",1,DATOS_[[#This Row],[% jornada reducida]])</f>
        <v>1</v>
      </c>
      <c r="BQ200" s="292">
        <f>+(DATOS_[[#This Row],[F.fin.cal]]-DATOS_[[#This Row],[F.ini.cal]]+1)/($D$4-$D$3+1)</f>
        <v>-3.7431693989071038</v>
      </c>
      <c r="BR200" s="322" t="str">
        <f>IF(OR(AND(DATOS_[[#This Row],[Fecha Fin Contrato]]&lt;$D$3,DATOS_[[#This Row],[Fecha Fin Contrato]]&lt;&gt;""),DATOS_[[#This Row],[Fecha de Contratación]]&gt;$D$4),"Fuera","Dentro")</f>
        <v>Dentro</v>
      </c>
      <c r="BS200" s="322" t="str">
        <f t="array" ref="BS200">IF(MAX(IF(DATOS_[id]=DATOS_[[#This Row],[id]],DATOS_[F.fin.cal]))=DATOS_[[#This Row],[F.fin.cal]],"Sí","NO")</f>
        <v>NO</v>
      </c>
      <c r="BT200" s="292" t="str">
        <f>IF(AND(DATOS_[[#This Row],[% normaliz]]&lt;&gt;1,DATOS_[[#This Row],[% anualiz]]=1),"Sí","NO")</f>
        <v>NO</v>
      </c>
      <c r="BU200" s="292" t="str">
        <f>IF(AND(DATOS_[[#This Row],[% normaliz]]=1,DATOS_[[#This Row],[% anualiz]]&lt;&gt;1),"Sí","NO")</f>
        <v>Sí</v>
      </c>
      <c r="BV200" s="292" t="str">
        <f>IF(AND(DATOS_[[#This Row],[% normaliz]]&lt;&gt;1,DATOS_[[#This Row],[% anualiz]]&lt;&gt;1),"Sí","NO")</f>
        <v>NO</v>
      </c>
      <c r="BW200" s="322" t="str">
        <f>+IF(DATOS_[[#This Row],[% normaliz]]*DATOS_[[#This Row],[% anualiz]]=1,"NO","Sí")</f>
        <v>Sí</v>
      </c>
      <c r="BX200" s="323">
        <f>(DATOS_[[#This Row],[S.BASE]]*(1/DATOS_[[#This Row],[% normaliz]])*(1/DATOS_[[#This Row],[% anualiz]]))*IF(DATOS_[[#This Row],[Check Equiparado]]="Sí",1,0)</f>
        <v>0</v>
      </c>
      <c r="BY20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0" s="323">
        <f>+DATOS_[[#This Row],[SALARIO BASE Eq]]+DATOS_[[#This Row],[Tot COMPL.SAL Eq]]</f>
        <v>0</v>
      </c>
      <c r="CA200" s="323">
        <f t="array" ref="CA20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0" s="323">
        <f>+DATOS_[[#This Row],[TOTAL SALARIO Eq]]+DATOS_[[#This Row],[Tot Extrasalarial Eq]]</f>
        <v>0</v>
      </c>
      <c r="CC200" s="327">
        <f>DATOS_[[#This Row],[S.BASE]]</f>
        <v>3228.7674999999999</v>
      </c>
      <c r="CD200" s="324">
        <f>+SUM(DATOS_[[#This Row],[Conc.Sal.01]:[Conc.Sal.30]])</f>
        <v>390.3832000000001</v>
      </c>
      <c r="CE200" s="324">
        <f>+DATOS_[[#This Row],[SALARIO BASE Ef]]+DATOS_[[#This Row],[Tot COMPL.SAL Ef]]</f>
        <v>3619.1507000000001</v>
      </c>
      <c r="CF200" s="324">
        <f>+SUM(DATOS_[[#This Row],[C.Extra.01]:[C.Extra.05]])</f>
        <v>0</v>
      </c>
      <c r="CG200" s="330">
        <f>+DATOS_[[#This Row],[TOTAL SALARIO Ef]]+DATOS_[[#This Row],[Tot Extrasalarial Ef]]</f>
        <v>3619.1507000000001</v>
      </c>
      <c r="CH200" s="303">
        <f>MIN(IF(DATOS_[[#This Row],[Fecha Fin Contrato]]="",$D$4,DATOS_[[#This Row],[Fecha Fin Contrato]]),$D$4)-MAX(DATOS_[[#This Row],[Fecha de Contratación]],$D$3)+1</f>
        <v>366</v>
      </c>
      <c r="CI200" s="304">
        <f>IF(COUNTIFS(DATOS_[id],DATOS_[[#This Row],[id]])&gt;1,DATOS_[[#This Row],[id]],"")</f>
        <v>179</v>
      </c>
      <c r="CJ200" s="325">
        <f>(Inicio!$G$10-DATOS_[[#This Row],[Fecha Nacimiento]])/365.25</f>
        <v>44.057494866529773</v>
      </c>
      <c r="CK200" s="325">
        <f>(Inicio!$G$10-DATOS_[[#This Row],[Fecha de Antigüedad]])/365.25</f>
        <v>10.075290896646132</v>
      </c>
      <c r="CL200" s="325" t="str">
        <f>+VLOOKUP(DATOS_[[#This Row],[Clave de Contrato]],TblTiposContrato13[],3,FALSE)</f>
        <v>Completa</v>
      </c>
      <c r="CM200" s="325" t="str">
        <f>+VLOOKUP(DATOS_[[#This Row],[Clave de Contrato]],TblTiposContrato13[],4,FALSE)</f>
        <v>Indefinido</v>
      </c>
      <c r="CN200" s="325" t="str">
        <f>VLOOKUP(DATOS_[[#This Row],[Edad]],CONTRATOS!TblRngEdad,2,TRUE)</f>
        <v>40 a 45</v>
      </c>
      <c r="CO200" s="325" t="str">
        <f>VLOOKUP(DATOS_[[#This Row],[Antigüedad]],TblRngAntg14[],2,TRUE)</f>
        <v>de 10 a 15  años</v>
      </c>
    </row>
    <row r="201" spans="2:93" x14ac:dyDescent="0.25">
      <c r="B201" s="146">
        <v>179</v>
      </c>
      <c r="C201" s="146" t="s">
        <v>162</v>
      </c>
      <c r="D201" s="295">
        <v>29565</v>
      </c>
      <c r="E201" s="296" t="s">
        <v>71</v>
      </c>
      <c r="F201" s="296">
        <v>3</v>
      </c>
      <c r="G201" s="296">
        <v>0</v>
      </c>
      <c r="H201" s="297">
        <v>41977</v>
      </c>
      <c r="I201" s="298"/>
      <c r="J201" s="295">
        <v>41977</v>
      </c>
      <c r="K201" s="326">
        <v>43922</v>
      </c>
      <c r="L201" s="326"/>
      <c r="M201" s="299">
        <v>1</v>
      </c>
      <c r="N201" s="299"/>
      <c r="O201" s="299"/>
      <c r="P201" s="296">
        <v>100</v>
      </c>
      <c r="Q201" s="146" t="s">
        <v>431</v>
      </c>
      <c r="R201" s="146" t="s">
        <v>419</v>
      </c>
      <c r="S201" s="146" t="s">
        <v>440</v>
      </c>
      <c r="T201" s="146" t="s">
        <v>407</v>
      </c>
      <c r="U201" s="146" t="s">
        <v>400</v>
      </c>
      <c r="V201" s="146" t="s">
        <v>438</v>
      </c>
      <c r="W201" s="146" t="s">
        <v>311</v>
      </c>
      <c r="X201" s="146" t="s">
        <v>307</v>
      </c>
      <c r="Y201" s="146" t="s">
        <v>409</v>
      </c>
      <c r="Z201" s="293"/>
      <c r="AA201" s="294" t="s">
        <v>439</v>
      </c>
      <c r="AB201" s="294">
        <v>9</v>
      </c>
      <c r="AC201" s="296">
        <v>7</v>
      </c>
      <c r="AD201" s="301"/>
      <c r="AE201" s="301"/>
      <c r="AF201" s="301"/>
      <c r="AG201" s="301"/>
      <c r="AH201" s="301"/>
      <c r="AI201" s="301"/>
      <c r="AJ201" s="301"/>
      <c r="AK201" s="301"/>
      <c r="AL201" s="301"/>
      <c r="AM201" s="301"/>
      <c r="AN201" s="301"/>
      <c r="AO201" s="301"/>
      <c r="AP201" s="301"/>
      <c r="AQ201" s="301"/>
      <c r="AR201" s="301"/>
      <c r="AS201" s="301"/>
      <c r="AT201" s="301"/>
      <c r="AU201" s="301"/>
      <c r="AV201" s="301"/>
      <c r="AW201" s="301"/>
      <c r="AX201" s="301"/>
      <c r="AY201" s="301"/>
      <c r="AZ201" s="301"/>
      <c r="BA201" s="301"/>
      <c r="BB201" s="301"/>
      <c r="BC201" s="301"/>
      <c r="BD201" s="301"/>
      <c r="BE201" s="301"/>
      <c r="BF201" s="301"/>
      <c r="BG201" s="301"/>
      <c r="BH201" s="301"/>
      <c r="BI201" s="301"/>
      <c r="BJ201" s="301"/>
      <c r="BK201" s="301">
        <v>1800</v>
      </c>
      <c r="BL201" s="301"/>
      <c r="BM201" s="302"/>
      <c r="BN201" s="291">
        <f>+MAX($D$3,DATOS_[[#This Row],[Fecha Inicio Sit. Contract.]])</f>
        <v>45292</v>
      </c>
      <c r="BO201" s="291">
        <f>+MIN($D$4,DATOS_[[#This Row],[Fecha Fin Sit. Contract.]])</f>
        <v>45657</v>
      </c>
      <c r="BP201" s="292">
        <f>+DATOS_[[#This Row],[% de jornada]]*IF(DATOS_[[#This Row],[% jornada reducida]]="",1,DATOS_[[#This Row],[% jornada reducida]])</f>
        <v>1</v>
      </c>
      <c r="BQ201" s="292">
        <f>+(DATOS_[[#This Row],[F.fin.cal]]-DATOS_[[#This Row],[F.ini.cal]]+1)/($D$4-$D$3+1)</f>
        <v>1</v>
      </c>
      <c r="BR201" s="322" t="str">
        <f>IF(OR(AND(DATOS_[[#This Row],[Fecha Fin Contrato]]&lt;$D$3,DATOS_[[#This Row],[Fecha Fin Contrato]]&lt;&gt;""),DATOS_[[#This Row],[Fecha de Contratación]]&gt;$D$4),"Fuera","Dentro")</f>
        <v>Dentro</v>
      </c>
      <c r="BS201" s="322" t="str">
        <f t="array" ref="BS201">IF(MAX(IF(DATOS_[id]=DATOS_[[#This Row],[id]],DATOS_[F.fin.cal]))=DATOS_[[#This Row],[F.fin.cal]],"Sí","NO")</f>
        <v>Sí</v>
      </c>
      <c r="BT201" s="292" t="str">
        <f>IF(AND(DATOS_[[#This Row],[% normaliz]]&lt;&gt;1,DATOS_[[#This Row],[% anualiz]]=1),"Sí","NO")</f>
        <v>NO</v>
      </c>
      <c r="BU201" s="292" t="str">
        <f>IF(AND(DATOS_[[#This Row],[% normaliz]]=1,DATOS_[[#This Row],[% anualiz]]&lt;&gt;1),"Sí","NO")</f>
        <v>NO</v>
      </c>
      <c r="BV201" s="292" t="str">
        <f>IF(AND(DATOS_[[#This Row],[% normaliz]]&lt;&gt;1,DATOS_[[#This Row],[% anualiz]]&lt;&gt;1),"Sí","NO")</f>
        <v>NO</v>
      </c>
      <c r="BW201" s="322" t="str">
        <f>+IF(DATOS_[[#This Row],[% normaliz]]*DATOS_[[#This Row],[% anualiz]]=1,"NO","Sí")</f>
        <v>NO</v>
      </c>
      <c r="BX201" s="323">
        <f>(DATOS_[[#This Row],[S.BASE]]*(1/DATOS_[[#This Row],[% normaliz]])*(1/DATOS_[[#This Row],[% anualiz]]))*IF(DATOS_[[#This Row],[Check Equiparado]]="Sí",1,0)</f>
        <v>0</v>
      </c>
      <c r="BY20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1" s="323">
        <f>+DATOS_[[#This Row],[SALARIO BASE Eq]]+DATOS_[[#This Row],[Tot COMPL.SAL Eq]]</f>
        <v>0</v>
      </c>
      <c r="CA201" s="323">
        <f t="array" ref="CA20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1800</v>
      </c>
      <c r="CB201" s="323">
        <f>+DATOS_[[#This Row],[TOTAL SALARIO Eq]]+DATOS_[[#This Row],[Tot Extrasalarial Eq]]</f>
        <v>1800</v>
      </c>
      <c r="CC201" s="327">
        <f>DATOS_[[#This Row],[S.BASE]]</f>
        <v>0</v>
      </c>
      <c r="CD201" s="324">
        <f>+SUM(DATOS_[[#This Row],[Conc.Sal.01]:[Conc.Sal.30]])</f>
        <v>0</v>
      </c>
      <c r="CE201" s="324">
        <f>+DATOS_[[#This Row],[SALARIO BASE Ef]]+DATOS_[[#This Row],[Tot COMPL.SAL Ef]]</f>
        <v>0</v>
      </c>
      <c r="CF201" s="324">
        <f>+SUM(DATOS_[[#This Row],[C.Extra.01]:[C.Extra.05]])</f>
        <v>1800</v>
      </c>
      <c r="CG201" s="330">
        <f>+DATOS_[[#This Row],[TOTAL SALARIO Ef]]+DATOS_[[#This Row],[Tot Extrasalarial Ef]]</f>
        <v>1800</v>
      </c>
      <c r="CH201" s="303">
        <f>MIN(IF(DATOS_[[#This Row],[Fecha Fin Contrato]]="",$D$4,DATOS_[[#This Row],[Fecha Fin Contrato]]),$D$4)-MAX(DATOS_[[#This Row],[Fecha de Contratación]],$D$3)+1</f>
        <v>366</v>
      </c>
      <c r="CI201" s="304">
        <f>IF(COUNTIFS(DATOS_[id],DATOS_[[#This Row],[id]])&gt;1,DATOS_[[#This Row],[id]],"")</f>
        <v>179</v>
      </c>
      <c r="CJ201" s="325">
        <f>(Inicio!$G$10-DATOS_[[#This Row],[Fecha Nacimiento]])/365.25</f>
        <v>44.057494866529773</v>
      </c>
      <c r="CK201" s="325">
        <f>(Inicio!$G$10-DATOS_[[#This Row],[Fecha de Antigüedad]])/365.25</f>
        <v>10.075290896646132</v>
      </c>
      <c r="CL201" s="325" t="str">
        <f>+VLOOKUP(DATOS_[[#This Row],[Clave de Contrato]],TblTiposContrato13[],3,FALSE)</f>
        <v>Completa</v>
      </c>
      <c r="CM201" s="325" t="str">
        <f>+VLOOKUP(DATOS_[[#This Row],[Clave de Contrato]],TblTiposContrato13[],4,FALSE)</f>
        <v>Indefinido</v>
      </c>
      <c r="CN201" s="325" t="str">
        <f>VLOOKUP(DATOS_[[#This Row],[Edad]],CONTRATOS!TblRngEdad,2,TRUE)</f>
        <v>40 a 45</v>
      </c>
      <c r="CO201" s="325" t="str">
        <f>VLOOKUP(DATOS_[[#This Row],[Antigüedad]],TblRngAntg14[],2,TRUE)</f>
        <v>de 10 a 15  años</v>
      </c>
    </row>
    <row r="202" spans="2:93" x14ac:dyDescent="0.25">
      <c r="B202" s="146">
        <v>180</v>
      </c>
      <c r="C202" s="146" t="s">
        <v>162</v>
      </c>
      <c r="D202" s="295">
        <v>27740</v>
      </c>
      <c r="E202" s="296" t="s">
        <v>71</v>
      </c>
      <c r="F202" s="296">
        <v>3</v>
      </c>
      <c r="G202" s="296">
        <v>0</v>
      </c>
      <c r="H202" s="297">
        <v>42007</v>
      </c>
      <c r="I202" s="298"/>
      <c r="J202" s="295">
        <v>42007</v>
      </c>
      <c r="K202" s="326"/>
      <c r="L202" s="326">
        <v>43921</v>
      </c>
      <c r="M202" s="299">
        <v>1</v>
      </c>
      <c r="N202" s="299"/>
      <c r="O202" s="299"/>
      <c r="P202" s="296">
        <v>100</v>
      </c>
      <c r="Q202" s="146" t="s">
        <v>431</v>
      </c>
      <c r="R202" s="146" t="s">
        <v>419</v>
      </c>
      <c r="S202" s="146" t="s">
        <v>440</v>
      </c>
      <c r="T202" s="146" t="s">
        <v>407</v>
      </c>
      <c r="U202" s="146" t="s">
        <v>400</v>
      </c>
      <c r="V202" s="146" t="s">
        <v>438</v>
      </c>
      <c r="W202" s="146" t="s">
        <v>311</v>
      </c>
      <c r="X202" s="146" t="s">
        <v>307</v>
      </c>
      <c r="Y202" s="146" t="s">
        <v>409</v>
      </c>
      <c r="Z202" s="293"/>
      <c r="AA202" s="294" t="s">
        <v>439</v>
      </c>
      <c r="AB202" s="294">
        <v>9</v>
      </c>
      <c r="AC202" s="296">
        <v>7</v>
      </c>
      <c r="AD202" s="301">
        <v>3228.7674999999999</v>
      </c>
      <c r="AE202" s="301">
        <v>21.232500000000073</v>
      </c>
      <c r="AF202" s="301">
        <v>129.1507</v>
      </c>
      <c r="AG202" s="301">
        <v>240</v>
      </c>
      <c r="AH202" s="301"/>
      <c r="AI202" s="301"/>
      <c r="AJ202" s="301"/>
      <c r="AK202" s="301"/>
      <c r="AL202" s="301"/>
      <c r="AM202" s="301"/>
      <c r="AN202" s="301"/>
      <c r="AO202" s="301"/>
      <c r="AP202" s="301"/>
      <c r="AQ202" s="301"/>
      <c r="AR202" s="301"/>
      <c r="AS202" s="301"/>
      <c r="AT202" s="301"/>
      <c r="AU202" s="301"/>
      <c r="AV202" s="301"/>
      <c r="AW202" s="301"/>
      <c r="AX202" s="301"/>
      <c r="AY202" s="301"/>
      <c r="AZ202" s="301"/>
      <c r="BA202" s="301"/>
      <c r="BB202" s="301"/>
      <c r="BC202" s="301"/>
      <c r="BD202" s="301"/>
      <c r="BE202" s="301"/>
      <c r="BF202" s="301"/>
      <c r="BG202" s="301"/>
      <c r="BH202" s="301"/>
      <c r="BI202" s="301"/>
      <c r="BJ202" s="301"/>
      <c r="BK202" s="301"/>
      <c r="BL202" s="301"/>
      <c r="BM202" s="302"/>
      <c r="BN202" s="291">
        <f>+MAX($D$3,DATOS_[[#This Row],[Fecha Inicio Sit. Contract.]])</f>
        <v>45292</v>
      </c>
      <c r="BO202" s="291">
        <f>+MIN($D$4,DATOS_[[#This Row],[Fecha Fin Sit. Contract.]])</f>
        <v>43921</v>
      </c>
      <c r="BP202" s="292">
        <f>+DATOS_[[#This Row],[% de jornada]]*IF(DATOS_[[#This Row],[% jornada reducida]]="",1,DATOS_[[#This Row],[% jornada reducida]])</f>
        <v>1</v>
      </c>
      <c r="BQ202" s="292">
        <f>+(DATOS_[[#This Row],[F.fin.cal]]-DATOS_[[#This Row],[F.ini.cal]]+1)/($D$4-$D$3+1)</f>
        <v>-3.7431693989071038</v>
      </c>
      <c r="BR202" s="322" t="str">
        <f>IF(OR(AND(DATOS_[[#This Row],[Fecha Fin Contrato]]&lt;$D$3,DATOS_[[#This Row],[Fecha Fin Contrato]]&lt;&gt;""),DATOS_[[#This Row],[Fecha de Contratación]]&gt;$D$4),"Fuera","Dentro")</f>
        <v>Dentro</v>
      </c>
      <c r="BS202" s="322" t="str">
        <f t="array" ref="BS202">IF(MAX(IF(DATOS_[id]=DATOS_[[#This Row],[id]],DATOS_[F.fin.cal]))=DATOS_[[#This Row],[F.fin.cal]],"Sí","NO")</f>
        <v>NO</v>
      </c>
      <c r="BT202" s="292" t="str">
        <f>IF(AND(DATOS_[[#This Row],[% normaliz]]&lt;&gt;1,DATOS_[[#This Row],[% anualiz]]=1),"Sí","NO")</f>
        <v>NO</v>
      </c>
      <c r="BU202" s="292" t="str">
        <f>IF(AND(DATOS_[[#This Row],[% normaliz]]=1,DATOS_[[#This Row],[% anualiz]]&lt;&gt;1),"Sí","NO")</f>
        <v>Sí</v>
      </c>
      <c r="BV202" s="292" t="str">
        <f>IF(AND(DATOS_[[#This Row],[% normaliz]]&lt;&gt;1,DATOS_[[#This Row],[% anualiz]]&lt;&gt;1),"Sí","NO")</f>
        <v>NO</v>
      </c>
      <c r="BW202" s="322" t="str">
        <f>+IF(DATOS_[[#This Row],[% normaliz]]*DATOS_[[#This Row],[% anualiz]]=1,"NO","Sí")</f>
        <v>Sí</v>
      </c>
      <c r="BX202" s="323">
        <f>(DATOS_[[#This Row],[S.BASE]]*(1/DATOS_[[#This Row],[% normaliz]])*(1/DATOS_[[#This Row],[% anualiz]]))*IF(DATOS_[[#This Row],[Check Equiparado]]="Sí",1,0)</f>
        <v>0</v>
      </c>
      <c r="BY20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2" s="323">
        <f>+DATOS_[[#This Row],[SALARIO BASE Eq]]+DATOS_[[#This Row],[Tot COMPL.SAL Eq]]</f>
        <v>0</v>
      </c>
      <c r="CA202" s="323">
        <f t="array" ref="CA20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2" s="323">
        <f>+DATOS_[[#This Row],[TOTAL SALARIO Eq]]+DATOS_[[#This Row],[Tot Extrasalarial Eq]]</f>
        <v>0</v>
      </c>
      <c r="CC202" s="327">
        <f>DATOS_[[#This Row],[S.BASE]]</f>
        <v>3228.7674999999999</v>
      </c>
      <c r="CD202" s="324">
        <f>+SUM(DATOS_[[#This Row],[Conc.Sal.01]:[Conc.Sal.30]])</f>
        <v>390.3832000000001</v>
      </c>
      <c r="CE202" s="324">
        <f>+DATOS_[[#This Row],[SALARIO BASE Ef]]+DATOS_[[#This Row],[Tot COMPL.SAL Ef]]</f>
        <v>3619.1507000000001</v>
      </c>
      <c r="CF202" s="324">
        <f>+SUM(DATOS_[[#This Row],[C.Extra.01]:[C.Extra.05]])</f>
        <v>0</v>
      </c>
      <c r="CG202" s="330">
        <f>+DATOS_[[#This Row],[TOTAL SALARIO Ef]]+DATOS_[[#This Row],[Tot Extrasalarial Ef]]</f>
        <v>3619.1507000000001</v>
      </c>
      <c r="CH202" s="303">
        <f>MIN(IF(DATOS_[[#This Row],[Fecha Fin Contrato]]="",$D$4,DATOS_[[#This Row],[Fecha Fin Contrato]]),$D$4)-MAX(DATOS_[[#This Row],[Fecha de Contratación]],$D$3)+1</f>
        <v>366</v>
      </c>
      <c r="CI202" s="304">
        <f>IF(COUNTIFS(DATOS_[id],DATOS_[[#This Row],[id]])&gt;1,DATOS_[[#This Row],[id]],"")</f>
        <v>180</v>
      </c>
      <c r="CJ202" s="325">
        <f>(Inicio!$G$10-DATOS_[[#This Row],[Fecha Nacimiento]])/365.25</f>
        <v>49.054072553045856</v>
      </c>
      <c r="CK202" s="325">
        <f>(Inicio!$G$10-DATOS_[[#This Row],[Fecha de Antigüedad]])/365.25</f>
        <v>9.9931553730321703</v>
      </c>
      <c r="CL202" s="325" t="str">
        <f>+VLOOKUP(DATOS_[[#This Row],[Clave de Contrato]],TblTiposContrato13[],3,FALSE)</f>
        <v>Completa</v>
      </c>
      <c r="CM202" s="325" t="str">
        <f>+VLOOKUP(DATOS_[[#This Row],[Clave de Contrato]],TblTiposContrato13[],4,FALSE)</f>
        <v>Indefinido</v>
      </c>
      <c r="CN202" s="325" t="str">
        <f>VLOOKUP(DATOS_[[#This Row],[Edad]],CONTRATOS!TblRngEdad,2,TRUE)</f>
        <v>45 a 50</v>
      </c>
      <c r="CO202" s="325" t="str">
        <f>VLOOKUP(DATOS_[[#This Row],[Antigüedad]],TblRngAntg14[],2,TRUE)</f>
        <v>5 a 10  años</v>
      </c>
    </row>
    <row r="203" spans="2:93" x14ac:dyDescent="0.25">
      <c r="B203" s="146">
        <v>180</v>
      </c>
      <c r="C203" s="146" t="s">
        <v>162</v>
      </c>
      <c r="D203" s="295">
        <v>27740</v>
      </c>
      <c r="E203" s="296" t="s">
        <v>71</v>
      </c>
      <c r="F203" s="296">
        <v>3</v>
      </c>
      <c r="G203" s="296">
        <v>0</v>
      </c>
      <c r="H203" s="297">
        <v>42007</v>
      </c>
      <c r="I203" s="298"/>
      <c r="J203" s="295">
        <v>42007</v>
      </c>
      <c r="K203" s="326">
        <v>43922</v>
      </c>
      <c r="L203" s="326"/>
      <c r="M203" s="299">
        <v>1</v>
      </c>
      <c r="N203" s="299"/>
      <c r="O203" s="299"/>
      <c r="P203" s="296">
        <v>100</v>
      </c>
      <c r="Q203" s="146" t="s">
        <v>431</v>
      </c>
      <c r="R203" s="146" t="s">
        <v>419</v>
      </c>
      <c r="S203" s="146" t="s">
        <v>440</v>
      </c>
      <c r="T203" s="146" t="s">
        <v>407</v>
      </c>
      <c r="U203" s="146" t="s">
        <v>400</v>
      </c>
      <c r="V203" s="146" t="s">
        <v>438</v>
      </c>
      <c r="W203" s="146" t="s">
        <v>311</v>
      </c>
      <c r="X203" s="146" t="s">
        <v>307</v>
      </c>
      <c r="Y203" s="146" t="s">
        <v>409</v>
      </c>
      <c r="Z203" s="293"/>
      <c r="AA203" s="294" t="s">
        <v>439</v>
      </c>
      <c r="AB203" s="294">
        <v>9</v>
      </c>
      <c r="AC203" s="296">
        <v>7</v>
      </c>
      <c r="AD203" s="301"/>
      <c r="AE203" s="301"/>
      <c r="AF203" s="301"/>
      <c r="AG203" s="301"/>
      <c r="AH203" s="301"/>
      <c r="AI203" s="301"/>
      <c r="AJ203" s="301"/>
      <c r="AK203" s="301"/>
      <c r="AL203" s="301"/>
      <c r="AM203" s="301"/>
      <c r="AN203" s="301"/>
      <c r="AO203" s="301"/>
      <c r="AP203" s="301"/>
      <c r="AQ203" s="301"/>
      <c r="AR203" s="301"/>
      <c r="AS203" s="301"/>
      <c r="AT203" s="301"/>
      <c r="AU203" s="301"/>
      <c r="AV203" s="301"/>
      <c r="AW203" s="301"/>
      <c r="AX203" s="301"/>
      <c r="AY203" s="301"/>
      <c r="AZ203" s="301"/>
      <c r="BA203" s="301"/>
      <c r="BB203" s="301"/>
      <c r="BC203" s="301"/>
      <c r="BD203" s="301"/>
      <c r="BE203" s="301"/>
      <c r="BF203" s="301"/>
      <c r="BG203" s="301"/>
      <c r="BH203" s="301"/>
      <c r="BI203" s="301"/>
      <c r="BJ203" s="301"/>
      <c r="BK203" s="301">
        <v>1800</v>
      </c>
      <c r="BL203" s="301"/>
      <c r="BM203" s="302"/>
      <c r="BN203" s="291">
        <f>+MAX($D$3,DATOS_[[#This Row],[Fecha Inicio Sit. Contract.]])</f>
        <v>45292</v>
      </c>
      <c r="BO203" s="291">
        <f>+MIN($D$4,DATOS_[[#This Row],[Fecha Fin Sit. Contract.]])</f>
        <v>45657</v>
      </c>
      <c r="BP203" s="292">
        <f>+DATOS_[[#This Row],[% de jornada]]*IF(DATOS_[[#This Row],[% jornada reducida]]="",1,DATOS_[[#This Row],[% jornada reducida]])</f>
        <v>1</v>
      </c>
      <c r="BQ203" s="292">
        <f>+(DATOS_[[#This Row],[F.fin.cal]]-DATOS_[[#This Row],[F.ini.cal]]+1)/($D$4-$D$3+1)</f>
        <v>1</v>
      </c>
      <c r="BR203" s="322" t="str">
        <f>IF(OR(AND(DATOS_[[#This Row],[Fecha Fin Contrato]]&lt;$D$3,DATOS_[[#This Row],[Fecha Fin Contrato]]&lt;&gt;""),DATOS_[[#This Row],[Fecha de Contratación]]&gt;$D$4),"Fuera","Dentro")</f>
        <v>Dentro</v>
      </c>
      <c r="BS203" s="322" t="str">
        <f t="array" ref="BS203">IF(MAX(IF(DATOS_[id]=DATOS_[[#This Row],[id]],DATOS_[F.fin.cal]))=DATOS_[[#This Row],[F.fin.cal]],"Sí","NO")</f>
        <v>Sí</v>
      </c>
      <c r="BT203" s="292" t="str">
        <f>IF(AND(DATOS_[[#This Row],[% normaliz]]&lt;&gt;1,DATOS_[[#This Row],[% anualiz]]=1),"Sí","NO")</f>
        <v>NO</v>
      </c>
      <c r="BU203" s="292" t="str">
        <f>IF(AND(DATOS_[[#This Row],[% normaliz]]=1,DATOS_[[#This Row],[% anualiz]]&lt;&gt;1),"Sí","NO")</f>
        <v>NO</v>
      </c>
      <c r="BV203" s="292" t="str">
        <f>IF(AND(DATOS_[[#This Row],[% normaliz]]&lt;&gt;1,DATOS_[[#This Row],[% anualiz]]&lt;&gt;1),"Sí","NO")</f>
        <v>NO</v>
      </c>
      <c r="BW203" s="322" t="str">
        <f>+IF(DATOS_[[#This Row],[% normaliz]]*DATOS_[[#This Row],[% anualiz]]=1,"NO","Sí")</f>
        <v>NO</v>
      </c>
      <c r="BX203" s="323">
        <f>(DATOS_[[#This Row],[S.BASE]]*(1/DATOS_[[#This Row],[% normaliz]])*(1/DATOS_[[#This Row],[% anualiz]]))*IF(DATOS_[[#This Row],[Check Equiparado]]="Sí",1,0)</f>
        <v>0</v>
      </c>
      <c r="BY20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3" s="323">
        <f>+DATOS_[[#This Row],[SALARIO BASE Eq]]+DATOS_[[#This Row],[Tot COMPL.SAL Eq]]</f>
        <v>0</v>
      </c>
      <c r="CA203" s="323">
        <f t="array" ref="CA20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1800</v>
      </c>
      <c r="CB203" s="323">
        <f>+DATOS_[[#This Row],[TOTAL SALARIO Eq]]+DATOS_[[#This Row],[Tot Extrasalarial Eq]]</f>
        <v>1800</v>
      </c>
      <c r="CC203" s="327">
        <f>DATOS_[[#This Row],[S.BASE]]</f>
        <v>0</v>
      </c>
      <c r="CD203" s="324">
        <f>+SUM(DATOS_[[#This Row],[Conc.Sal.01]:[Conc.Sal.30]])</f>
        <v>0</v>
      </c>
      <c r="CE203" s="324">
        <f>+DATOS_[[#This Row],[SALARIO BASE Ef]]+DATOS_[[#This Row],[Tot COMPL.SAL Ef]]</f>
        <v>0</v>
      </c>
      <c r="CF203" s="324">
        <f>+SUM(DATOS_[[#This Row],[C.Extra.01]:[C.Extra.05]])</f>
        <v>1800</v>
      </c>
      <c r="CG203" s="330">
        <f>+DATOS_[[#This Row],[TOTAL SALARIO Ef]]+DATOS_[[#This Row],[Tot Extrasalarial Ef]]</f>
        <v>1800</v>
      </c>
      <c r="CH203" s="303">
        <f>MIN(IF(DATOS_[[#This Row],[Fecha Fin Contrato]]="",$D$4,DATOS_[[#This Row],[Fecha Fin Contrato]]),$D$4)-MAX(DATOS_[[#This Row],[Fecha de Contratación]],$D$3)+1</f>
        <v>366</v>
      </c>
      <c r="CI203" s="304">
        <f>IF(COUNTIFS(DATOS_[id],DATOS_[[#This Row],[id]])&gt;1,DATOS_[[#This Row],[id]],"")</f>
        <v>180</v>
      </c>
      <c r="CJ203" s="325">
        <f>(Inicio!$G$10-DATOS_[[#This Row],[Fecha Nacimiento]])/365.25</f>
        <v>49.054072553045856</v>
      </c>
      <c r="CK203" s="325">
        <f>(Inicio!$G$10-DATOS_[[#This Row],[Fecha de Antigüedad]])/365.25</f>
        <v>9.9931553730321703</v>
      </c>
      <c r="CL203" s="325" t="str">
        <f>+VLOOKUP(DATOS_[[#This Row],[Clave de Contrato]],TblTiposContrato13[],3,FALSE)</f>
        <v>Completa</v>
      </c>
      <c r="CM203" s="325" t="str">
        <f>+VLOOKUP(DATOS_[[#This Row],[Clave de Contrato]],TblTiposContrato13[],4,FALSE)</f>
        <v>Indefinido</v>
      </c>
      <c r="CN203" s="325" t="str">
        <f>VLOOKUP(DATOS_[[#This Row],[Edad]],CONTRATOS!TblRngEdad,2,TRUE)</f>
        <v>45 a 50</v>
      </c>
      <c r="CO203" s="325" t="str">
        <f>VLOOKUP(DATOS_[[#This Row],[Antigüedad]],TblRngAntg14[],2,TRUE)</f>
        <v>5 a 10  años</v>
      </c>
    </row>
    <row r="204" spans="2:93" x14ac:dyDescent="0.25">
      <c r="B204" s="146">
        <v>181</v>
      </c>
      <c r="C204" s="146" t="s">
        <v>163</v>
      </c>
      <c r="D204" s="295">
        <v>36500</v>
      </c>
      <c r="E204" s="296" t="s">
        <v>71</v>
      </c>
      <c r="F204" s="296">
        <v>3</v>
      </c>
      <c r="G204" s="296">
        <v>0</v>
      </c>
      <c r="H204" s="297">
        <v>42037</v>
      </c>
      <c r="I204" s="298"/>
      <c r="J204" s="295">
        <v>42037</v>
      </c>
      <c r="K204" s="326"/>
      <c r="L204" s="326">
        <v>43921</v>
      </c>
      <c r="M204" s="299">
        <v>1</v>
      </c>
      <c r="N204" s="299"/>
      <c r="O204" s="299"/>
      <c r="P204" s="296">
        <v>100</v>
      </c>
      <c r="Q204" s="146" t="s">
        <v>431</v>
      </c>
      <c r="R204" s="146" t="s">
        <v>419</v>
      </c>
      <c r="S204" s="146" t="s">
        <v>440</v>
      </c>
      <c r="T204" s="146" t="s">
        <v>407</v>
      </c>
      <c r="U204" s="146" t="s">
        <v>400</v>
      </c>
      <c r="V204" s="146" t="s">
        <v>438</v>
      </c>
      <c r="W204" s="146" t="s">
        <v>311</v>
      </c>
      <c r="X204" s="146" t="s">
        <v>307</v>
      </c>
      <c r="Y204" s="146" t="s">
        <v>409</v>
      </c>
      <c r="Z204" s="293"/>
      <c r="AA204" s="294" t="s">
        <v>439</v>
      </c>
      <c r="AB204" s="294">
        <v>9</v>
      </c>
      <c r="AC204" s="296">
        <v>7</v>
      </c>
      <c r="AD204" s="301">
        <v>3228.7674999999999</v>
      </c>
      <c r="AE204" s="301">
        <v>21.232500000000073</v>
      </c>
      <c r="AF204" s="301">
        <v>129.1507</v>
      </c>
      <c r="AG204" s="301">
        <v>240</v>
      </c>
      <c r="AH204" s="301"/>
      <c r="AI204" s="301"/>
      <c r="AJ204" s="301"/>
      <c r="AK204" s="301"/>
      <c r="AL204" s="301"/>
      <c r="AM204" s="301"/>
      <c r="AN204" s="301"/>
      <c r="AO204" s="301"/>
      <c r="AP204" s="301"/>
      <c r="AQ204" s="301"/>
      <c r="AR204" s="301"/>
      <c r="AS204" s="301"/>
      <c r="AT204" s="301"/>
      <c r="AU204" s="301"/>
      <c r="AV204" s="301"/>
      <c r="AW204" s="301"/>
      <c r="AX204" s="301"/>
      <c r="AY204" s="301"/>
      <c r="AZ204" s="301"/>
      <c r="BA204" s="301"/>
      <c r="BB204" s="301"/>
      <c r="BC204" s="301"/>
      <c r="BD204" s="301"/>
      <c r="BE204" s="301"/>
      <c r="BF204" s="301"/>
      <c r="BG204" s="301"/>
      <c r="BH204" s="301"/>
      <c r="BI204" s="301"/>
      <c r="BJ204" s="301"/>
      <c r="BK204" s="301"/>
      <c r="BL204" s="301"/>
      <c r="BM204" s="302"/>
      <c r="BN204" s="291">
        <f>+MAX($D$3,DATOS_[[#This Row],[Fecha Inicio Sit. Contract.]])</f>
        <v>45292</v>
      </c>
      <c r="BO204" s="291">
        <f>+MIN($D$4,DATOS_[[#This Row],[Fecha Fin Sit. Contract.]])</f>
        <v>43921</v>
      </c>
      <c r="BP204" s="292">
        <f>+DATOS_[[#This Row],[% de jornada]]*IF(DATOS_[[#This Row],[% jornada reducida]]="",1,DATOS_[[#This Row],[% jornada reducida]])</f>
        <v>1</v>
      </c>
      <c r="BQ204" s="292">
        <f>+(DATOS_[[#This Row],[F.fin.cal]]-DATOS_[[#This Row],[F.ini.cal]]+1)/($D$4-$D$3+1)</f>
        <v>-3.7431693989071038</v>
      </c>
      <c r="BR204" s="322" t="str">
        <f>IF(OR(AND(DATOS_[[#This Row],[Fecha Fin Contrato]]&lt;$D$3,DATOS_[[#This Row],[Fecha Fin Contrato]]&lt;&gt;""),DATOS_[[#This Row],[Fecha de Contratación]]&gt;$D$4),"Fuera","Dentro")</f>
        <v>Dentro</v>
      </c>
      <c r="BS204" s="322" t="str">
        <f t="array" ref="BS204">IF(MAX(IF(DATOS_[id]=DATOS_[[#This Row],[id]],DATOS_[F.fin.cal]))=DATOS_[[#This Row],[F.fin.cal]],"Sí","NO")</f>
        <v>NO</v>
      </c>
      <c r="BT204" s="292" t="str">
        <f>IF(AND(DATOS_[[#This Row],[% normaliz]]&lt;&gt;1,DATOS_[[#This Row],[% anualiz]]=1),"Sí","NO")</f>
        <v>NO</v>
      </c>
      <c r="BU204" s="292" t="str">
        <f>IF(AND(DATOS_[[#This Row],[% normaliz]]=1,DATOS_[[#This Row],[% anualiz]]&lt;&gt;1),"Sí","NO")</f>
        <v>Sí</v>
      </c>
      <c r="BV204" s="292" t="str">
        <f>IF(AND(DATOS_[[#This Row],[% normaliz]]&lt;&gt;1,DATOS_[[#This Row],[% anualiz]]&lt;&gt;1),"Sí","NO")</f>
        <v>NO</v>
      </c>
      <c r="BW204" s="322" t="str">
        <f>+IF(DATOS_[[#This Row],[% normaliz]]*DATOS_[[#This Row],[% anualiz]]=1,"NO","Sí")</f>
        <v>Sí</v>
      </c>
      <c r="BX204" s="323">
        <f>(DATOS_[[#This Row],[S.BASE]]*(1/DATOS_[[#This Row],[% normaliz]])*(1/DATOS_[[#This Row],[% anualiz]]))*IF(DATOS_[[#This Row],[Check Equiparado]]="Sí",1,0)</f>
        <v>0</v>
      </c>
      <c r="BY20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4" s="323">
        <f>+DATOS_[[#This Row],[SALARIO BASE Eq]]+DATOS_[[#This Row],[Tot COMPL.SAL Eq]]</f>
        <v>0</v>
      </c>
      <c r="CA204" s="323">
        <f t="array" ref="CA20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4" s="323">
        <f>+DATOS_[[#This Row],[TOTAL SALARIO Eq]]+DATOS_[[#This Row],[Tot Extrasalarial Eq]]</f>
        <v>0</v>
      </c>
      <c r="CC204" s="327">
        <f>DATOS_[[#This Row],[S.BASE]]</f>
        <v>3228.7674999999999</v>
      </c>
      <c r="CD204" s="324">
        <f>+SUM(DATOS_[[#This Row],[Conc.Sal.01]:[Conc.Sal.30]])</f>
        <v>390.3832000000001</v>
      </c>
      <c r="CE204" s="324">
        <f>+DATOS_[[#This Row],[SALARIO BASE Ef]]+DATOS_[[#This Row],[Tot COMPL.SAL Ef]]</f>
        <v>3619.1507000000001</v>
      </c>
      <c r="CF204" s="324">
        <f>+SUM(DATOS_[[#This Row],[C.Extra.01]:[C.Extra.05]])</f>
        <v>0</v>
      </c>
      <c r="CG204" s="330">
        <f>+DATOS_[[#This Row],[TOTAL SALARIO Ef]]+DATOS_[[#This Row],[Tot Extrasalarial Ef]]</f>
        <v>3619.1507000000001</v>
      </c>
      <c r="CH204" s="303">
        <f>MIN(IF(DATOS_[[#This Row],[Fecha Fin Contrato]]="",$D$4,DATOS_[[#This Row],[Fecha Fin Contrato]]),$D$4)-MAX(DATOS_[[#This Row],[Fecha de Contratación]],$D$3)+1</f>
        <v>366</v>
      </c>
      <c r="CI204" s="304">
        <f>IF(COUNTIFS(DATOS_[id],DATOS_[[#This Row],[id]])&gt;1,DATOS_[[#This Row],[id]],"")</f>
        <v>181</v>
      </c>
      <c r="CJ204" s="325">
        <f>(Inicio!$G$10-DATOS_[[#This Row],[Fecha Nacimiento]])/365.25</f>
        <v>25.07049965776865</v>
      </c>
      <c r="CK204" s="325">
        <f>(Inicio!$G$10-DATOS_[[#This Row],[Fecha de Antigüedad]])/365.25</f>
        <v>9.9110198494182065</v>
      </c>
      <c r="CL204" s="325" t="str">
        <f>+VLOOKUP(DATOS_[[#This Row],[Clave de Contrato]],TblTiposContrato13[],3,FALSE)</f>
        <v>Completa</v>
      </c>
      <c r="CM204" s="325" t="str">
        <f>+VLOOKUP(DATOS_[[#This Row],[Clave de Contrato]],TblTiposContrato13[],4,FALSE)</f>
        <v>Indefinido</v>
      </c>
      <c r="CN204" s="325" t="str">
        <f>VLOOKUP(DATOS_[[#This Row],[Edad]],CONTRATOS!TblRngEdad,2,TRUE)</f>
        <v>25 a 30</v>
      </c>
      <c r="CO204" s="325" t="str">
        <f>VLOOKUP(DATOS_[[#This Row],[Antigüedad]],TblRngAntg14[],2,TRUE)</f>
        <v>5 a 10  años</v>
      </c>
    </row>
    <row r="205" spans="2:93" x14ac:dyDescent="0.25">
      <c r="B205" s="146">
        <v>181</v>
      </c>
      <c r="C205" s="146" t="s">
        <v>163</v>
      </c>
      <c r="D205" s="295">
        <v>36500</v>
      </c>
      <c r="E205" s="296" t="s">
        <v>71</v>
      </c>
      <c r="F205" s="296">
        <v>3</v>
      </c>
      <c r="G205" s="296">
        <v>0</v>
      </c>
      <c r="H205" s="297">
        <v>42037</v>
      </c>
      <c r="I205" s="298"/>
      <c r="J205" s="295">
        <v>42037</v>
      </c>
      <c r="K205" s="326">
        <v>43922</v>
      </c>
      <c r="L205" s="326"/>
      <c r="M205" s="299">
        <v>1</v>
      </c>
      <c r="N205" s="299"/>
      <c r="O205" s="299"/>
      <c r="P205" s="296">
        <v>100</v>
      </c>
      <c r="Q205" s="146" t="s">
        <v>431</v>
      </c>
      <c r="R205" s="146" t="s">
        <v>419</v>
      </c>
      <c r="S205" s="146" t="s">
        <v>440</v>
      </c>
      <c r="T205" s="146" t="s">
        <v>407</v>
      </c>
      <c r="U205" s="146" t="s">
        <v>400</v>
      </c>
      <c r="V205" s="146" t="s">
        <v>438</v>
      </c>
      <c r="W205" s="146" t="s">
        <v>311</v>
      </c>
      <c r="X205" s="146" t="s">
        <v>307</v>
      </c>
      <c r="Y205" s="146" t="s">
        <v>409</v>
      </c>
      <c r="Z205" s="293"/>
      <c r="AA205" s="294" t="s">
        <v>439</v>
      </c>
      <c r="AB205" s="294">
        <v>9</v>
      </c>
      <c r="AC205" s="296">
        <v>7</v>
      </c>
      <c r="AD205" s="301"/>
      <c r="AE205" s="301"/>
      <c r="AF205" s="301"/>
      <c r="AG205" s="301"/>
      <c r="AH205" s="301"/>
      <c r="AI205" s="301"/>
      <c r="AJ205" s="301"/>
      <c r="AK205" s="301"/>
      <c r="AL205" s="301"/>
      <c r="AM205" s="301"/>
      <c r="AN205" s="301"/>
      <c r="AO205" s="301"/>
      <c r="AP205" s="301"/>
      <c r="AQ205" s="301"/>
      <c r="AR205" s="301"/>
      <c r="AS205" s="301"/>
      <c r="AT205" s="301"/>
      <c r="AU205" s="301"/>
      <c r="AV205" s="301"/>
      <c r="AW205" s="301"/>
      <c r="AX205" s="301"/>
      <c r="AY205" s="301"/>
      <c r="AZ205" s="301"/>
      <c r="BA205" s="301"/>
      <c r="BB205" s="301"/>
      <c r="BC205" s="301"/>
      <c r="BD205" s="301"/>
      <c r="BE205" s="301"/>
      <c r="BF205" s="301"/>
      <c r="BG205" s="301"/>
      <c r="BH205" s="301"/>
      <c r="BI205" s="301"/>
      <c r="BJ205" s="301"/>
      <c r="BK205" s="301">
        <v>1800</v>
      </c>
      <c r="BL205" s="301"/>
      <c r="BM205" s="302"/>
      <c r="BN205" s="291">
        <f>+MAX($D$3,DATOS_[[#This Row],[Fecha Inicio Sit. Contract.]])</f>
        <v>45292</v>
      </c>
      <c r="BO205" s="291">
        <f>+MIN($D$4,DATOS_[[#This Row],[Fecha Fin Sit. Contract.]])</f>
        <v>45657</v>
      </c>
      <c r="BP205" s="292">
        <f>+DATOS_[[#This Row],[% de jornada]]*IF(DATOS_[[#This Row],[% jornada reducida]]="",1,DATOS_[[#This Row],[% jornada reducida]])</f>
        <v>1</v>
      </c>
      <c r="BQ205" s="292">
        <f>+(DATOS_[[#This Row],[F.fin.cal]]-DATOS_[[#This Row],[F.ini.cal]]+1)/($D$4-$D$3+1)</f>
        <v>1</v>
      </c>
      <c r="BR205" s="322" t="str">
        <f>IF(OR(AND(DATOS_[[#This Row],[Fecha Fin Contrato]]&lt;$D$3,DATOS_[[#This Row],[Fecha Fin Contrato]]&lt;&gt;""),DATOS_[[#This Row],[Fecha de Contratación]]&gt;$D$4),"Fuera","Dentro")</f>
        <v>Dentro</v>
      </c>
      <c r="BS205" s="322" t="str">
        <f t="array" ref="BS205">IF(MAX(IF(DATOS_[id]=DATOS_[[#This Row],[id]],DATOS_[F.fin.cal]))=DATOS_[[#This Row],[F.fin.cal]],"Sí","NO")</f>
        <v>Sí</v>
      </c>
      <c r="BT205" s="292" t="str">
        <f>IF(AND(DATOS_[[#This Row],[% normaliz]]&lt;&gt;1,DATOS_[[#This Row],[% anualiz]]=1),"Sí","NO")</f>
        <v>NO</v>
      </c>
      <c r="BU205" s="292" t="str">
        <f>IF(AND(DATOS_[[#This Row],[% normaliz]]=1,DATOS_[[#This Row],[% anualiz]]&lt;&gt;1),"Sí","NO")</f>
        <v>NO</v>
      </c>
      <c r="BV205" s="292" t="str">
        <f>IF(AND(DATOS_[[#This Row],[% normaliz]]&lt;&gt;1,DATOS_[[#This Row],[% anualiz]]&lt;&gt;1),"Sí","NO")</f>
        <v>NO</v>
      </c>
      <c r="BW205" s="322" t="str">
        <f>+IF(DATOS_[[#This Row],[% normaliz]]*DATOS_[[#This Row],[% anualiz]]=1,"NO","Sí")</f>
        <v>NO</v>
      </c>
      <c r="BX205" s="323">
        <f>(DATOS_[[#This Row],[S.BASE]]*(1/DATOS_[[#This Row],[% normaliz]])*(1/DATOS_[[#This Row],[% anualiz]]))*IF(DATOS_[[#This Row],[Check Equiparado]]="Sí",1,0)</f>
        <v>0</v>
      </c>
      <c r="BY20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5" s="323">
        <f>+DATOS_[[#This Row],[SALARIO BASE Eq]]+DATOS_[[#This Row],[Tot COMPL.SAL Eq]]</f>
        <v>0</v>
      </c>
      <c r="CA205" s="323">
        <f t="array" ref="CA20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1800</v>
      </c>
      <c r="CB205" s="323">
        <f>+DATOS_[[#This Row],[TOTAL SALARIO Eq]]+DATOS_[[#This Row],[Tot Extrasalarial Eq]]</f>
        <v>1800</v>
      </c>
      <c r="CC205" s="327">
        <f>DATOS_[[#This Row],[S.BASE]]</f>
        <v>0</v>
      </c>
      <c r="CD205" s="324">
        <f>+SUM(DATOS_[[#This Row],[Conc.Sal.01]:[Conc.Sal.30]])</f>
        <v>0</v>
      </c>
      <c r="CE205" s="324">
        <f>+DATOS_[[#This Row],[SALARIO BASE Ef]]+DATOS_[[#This Row],[Tot COMPL.SAL Ef]]</f>
        <v>0</v>
      </c>
      <c r="CF205" s="324">
        <f>+SUM(DATOS_[[#This Row],[C.Extra.01]:[C.Extra.05]])</f>
        <v>1800</v>
      </c>
      <c r="CG205" s="330">
        <f>+DATOS_[[#This Row],[TOTAL SALARIO Ef]]+DATOS_[[#This Row],[Tot Extrasalarial Ef]]</f>
        <v>1800</v>
      </c>
      <c r="CH205" s="303">
        <f>MIN(IF(DATOS_[[#This Row],[Fecha Fin Contrato]]="",$D$4,DATOS_[[#This Row],[Fecha Fin Contrato]]),$D$4)-MAX(DATOS_[[#This Row],[Fecha de Contratación]],$D$3)+1</f>
        <v>366</v>
      </c>
      <c r="CI205" s="304">
        <f>IF(COUNTIFS(DATOS_[id],DATOS_[[#This Row],[id]])&gt;1,DATOS_[[#This Row],[id]],"")</f>
        <v>181</v>
      </c>
      <c r="CJ205" s="325">
        <f>(Inicio!$G$10-DATOS_[[#This Row],[Fecha Nacimiento]])/365.25</f>
        <v>25.07049965776865</v>
      </c>
      <c r="CK205" s="325">
        <f>(Inicio!$G$10-DATOS_[[#This Row],[Fecha de Antigüedad]])/365.25</f>
        <v>9.9110198494182065</v>
      </c>
      <c r="CL205" s="325" t="str">
        <f>+VLOOKUP(DATOS_[[#This Row],[Clave de Contrato]],TblTiposContrato13[],3,FALSE)</f>
        <v>Completa</v>
      </c>
      <c r="CM205" s="325" t="str">
        <f>+VLOOKUP(DATOS_[[#This Row],[Clave de Contrato]],TblTiposContrato13[],4,FALSE)</f>
        <v>Indefinido</v>
      </c>
      <c r="CN205" s="325" t="str">
        <f>VLOOKUP(DATOS_[[#This Row],[Edad]],CONTRATOS!TblRngEdad,2,TRUE)</f>
        <v>25 a 30</v>
      </c>
      <c r="CO205" s="325" t="str">
        <f>VLOOKUP(DATOS_[[#This Row],[Antigüedad]],TblRngAntg14[],2,TRUE)</f>
        <v>5 a 10  años</v>
      </c>
    </row>
    <row r="206" spans="2:93" x14ac:dyDescent="0.25">
      <c r="B206" s="146">
        <v>182</v>
      </c>
      <c r="C206" s="146" t="s">
        <v>162</v>
      </c>
      <c r="D206" s="295">
        <v>28105</v>
      </c>
      <c r="E206" s="296" t="s">
        <v>71</v>
      </c>
      <c r="F206" s="296">
        <v>2</v>
      </c>
      <c r="G206" s="296">
        <v>3</v>
      </c>
      <c r="H206" s="297">
        <v>42067</v>
      </c>
      <c r="I206" s="298"/>
      <c r="J206" s="295">
        <v>42067</v>
      </c>
      <c r="K206" s="326"/>
      <c r="L206" s="326">
        <v>43921</v>
      </c>
      <c r="M206" s="299">
        <v>1</v>
      </c>
      <c r="N206" s="299"/>
      <c r="O206" s="299"/>
      <c r="P206" s="296">
        <v>100</v>
      </c>
      <c r="Q206" s="146" t="s">
        <v>431</v>
      </c>
      <c r="R206" s="146" t="s">
        <v>419</v>
      </c>
      <c r="S206" s="146" t="s">
        <v>440</v>
      </c>
      <c r="T206" s="146" t="s">
        <v>407</v>
      </c>
      <c r="U206" s="146" t="s">
        <v>400</v>
      </c>
      <c r="V206" s="146" t="s">
        <v>438</v>
      </c>
      <c r="W206" s="146" t="s">
        <v>311</v>
      </c>
      <c r="X206" s="146" t="s">
        <v>307</v>
      </c>
      <c r="Y206" s="146" t="s">
        <v>409</v>
      </c>
      <c r="Z206" s="293"/>
      <c r="AA206" s="294" t="s">
        <v>439</v>
      </c>
      <c r="AB206" s="294">
        <v>9</v>
      </c>
      <c r="AC206" s="296">
        <v>7</v>
      </c>
      <c r="AD206" s="301">
        <v>3228.7674999999999</v>
      </c>
      <c r="AE206" s="301">
        <v>21.232500000000073</v>
      </c>
      <c r="AF206" s="301">
        <v>129.1507</v>
      </c>
      <c r="AG206" s="301">
        <v>240</v>
      </c>
      <c r="AH206" s="301"/>
      <c r="AI206" s="301"/>
      <c r="AJ206" s="301"/>
      <c r="AK206" s="301"/>
      <c r="AL206" s="301"/>
      <c r="AM206" s="301"/>
      <c r="AN206" s="301"/>
      <c r="AO206" s="301"/>
      <c r="AP206" s="301"/>
      <c r="AQ206" s="301"/>
      <c r="AR206" s="301"/>
      <c r="AS206" s="301"/>
      <c r="AT206" s="301"/>
      <c r="AU206" s="301"/>
      <c r="AV206" s="301"/>
      <c r="AW206" s="301"/>
      <c r="AX206" s="301"/>
      <c r="AY206" s="301"/>
      <c r="AZ206" s="301"/>
      <c r="BA206" s="301"/>
      <c r="BB206" s="301"/>
      <c r="BC206" s="301"/>
      <c r="BD206" s="301"/>
      <c r="BE206" s="301"/>
      <c r="BF206" s="301"/>
      <c r="BG206" s="301"/>
      <c r="BH206" s="301"/>
      <c r="BI206" s="301"/>
      <c r="BJ206" s="301"/>
      <c r="BK206" s="301"/>
      <c r="BL206" s="301"/>
      <c r="BM206" s="302"/>
      <c r="BN206" s="291">
        <f>+MAX($D$3,DATOS_[[#This Row],[Fecha Inicio Sit. Contract.]])</f>
        <v>45292</v>
      </c>
      <c r="BO206" s="291">
        <f>+MIN($D$4,DATOS_[[#This Row],[Fecha Fin Sit. Contract.]])</f>
        <v>43921</v>
      </c>
      <c r="BP206" s="292">
        <f>+DATOS_[[#This Row],[% de jornada]]*IF(DATOS_[[#This Row],[% jornada reducida]]="",1,DATOS_[[#This Row],[% jornada reducida]])</f>
        <v>1</v>
      </c>
      <c r="BQ206" s="292">
        <f>+(DATOS_[[#This Row],[F.fin.cal]]-DATOS_[[#This Row],[F.ini.cal]]+1)/($D$4-$D$3+1)</f>
        <v>-3.7431693989071038</v>
      </c>
      <c r="BR206" s="322" t="str">
        <f>IF(OR(AND(DATOS_[[#This Row],[Fecha Fin Contrato]]&lt;$D$3,DATOS_[[#This Row],[Fecha Fin Contrato]]&lt;&gt;""),DATOS_[[#This Row],[Fecha de Contratación]]&gt;$D$4),"Fuera","Dentro")</f>
        <v>Dentro</v>
      </c>
      <c r="BS206" s="322" t="str">
        <f t="array" ref="BS206">IF(MAX(IF(DATOS_[id]=DATOS_[[#This Row],[id]],DATOS_[F.fin.cal]))=DATOS_[[#This Row],[F.fin.cal]],"Sí","NO")</f>
        <v>NO</v>
      </c>
      <c r="BT206" s="292" t="str">
        <f>IF(AND(DATOS_[[#This Row],[% normaliz]]&lt;&gt;1,DATOS_[[#This Row],[% anualiz]]=1),"Sí","NO")</f>
        <v>NO</v>
      </c>
      <c r="BU206" s="292" t="str">
        <f>IF(AND(DATOS_[[#This Row],[% normaliz]]=1,DATOS_[[#This Row],[% anualiz]]&lt;&gt;1),"Sí","NO")</f>
        <v>Sí</v>
      </c>
      <c r="BV206" s="292" t="str">
        <f>IF(AND(DATOS_[[#This Row],[% normaliz]]&lt;&gt;1,DATOS_[[#This Row],[% anualiz]]&lt;&gt;1),"Sí","NO")</f>
        <v>NO</v>
      </c>
      <c r="BW206" s="322" t="str">
        <f>+IF(DATOS_[[#This Row],[% normaliz]]*DATOS_[[#This Row],[% anualiz]]=1,"NO","Sí")</f>
        <v>Sí</v>
      </c>
      <c r="BX206" s="323">
        <f>(DATOS_[[#This Row],[S.BASE]]*(1/DATOS_[[#This Row],[% normaliz]])*(1/DATOS_[[#This Row],[% anualiz]]))*IF(DATOS_[[#This Row],[Check Equiparado]]="Sí",1,0)</f>
        <v>0</v>
      </c>
      <c r="BY20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6" s="323">
        <f>+DATOS_[[#This Row],[SALARIO BASE Eq]]+DATOS_[[#This Row],[Tot COMPL.SAL Eq]]</f>
        <v>0</v>
      </c>
      <c r="CA206" s="323">
        <f t="array" ref="CA20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6" s="323">
        <f>+DATOS_[[#This Row],[TOTAL SALARIO Eq]]+DATOS_[[#This Row],[Tot Extrasalarial Eq]]</f>
        <v>0</v>
      </c>
      <c r="CC206" s="327">
        <f>DATOS_[[#This Row],[S.BASE]]</f>
        <v>3228.7674999999999</v>
      </c>
      <c r="CD206" s="324">
        <f>+SUM(DATOS_[[#This Row],[Conc.Sal.01]:[Conc.Sal.30]])</f>
        <v>390.3832000000001</v>
      </c>
      <c r="CE206" s="324">
        <f>+DATOS_[[#This Row],[SALARIO BASE Ef]]+DATOS_[[#This Row],[Tot COMPL.SAL Ef]]</f>
        <v>3619.1507000000001</v>
      </c>
      <c r="CF206" s="324">
        <f>+SUM(DATOS_[[#This Row],[C.Extra.01]:[C.Extra.05]])</f>
        <v>0</v>
      </c>
      <c r="CG206" s="330">
        <f>+DATOS_[[#This Row],[TOTAL SALARIO Ef]]+DATOS_[[#This Row],[Tot Extrasalarial Ef]]</f>
        <v>3619.1507000000001</v>
      </c>
      <c r="CH206" s="303">
        <f>MIN(IF(DATOS_[[#This Row],[Fecha Fin Contrato]]="",$D$4,DATOS_[[#This Row],[Fecha Fin Contrato]]),$D$4)-MAX(DATOS_[[#This Row],[Fecha de Contratación]],$D$3)+1</f>
        <v>366</v>
      </c>
      <c r="CI206" s="304">
        <f>IF(COUNTIFS(DATOS_[id],DATOS_[[#This Row],[id]])&gt;1,DATOS_[[#This Row],[id]],"")</f>
        <v>182</v>
      </c>
      <c r="CJ206" s="325">
        <f>(Inicio!$G$10-DATOS_[[#This Row],[Fecha Nacimiento]])/365.25</f>
        <v>48.054757015742645</v>
      </c>
      <c r="CK206" s="325">
        <f>(Inicio!$G$10-DATOS_[[#This Row],[Fecha de Antigüedad]])/365.25</f>
        <v>9.8288843258042444</v>
      </c>
      <c r="CL206" s="325" t="str">
        <f>+VLOOKUP(DATOS_[[#This Row],[Clave de Contrato]],TblTiposContrato13[],3,FALSE)</f>
        <v>Completa</v>
      </c>
      <c r="CM206" s="325" t="str">
        <f>+VLOOKUP(DATOS_[[#This Row],[Clave de Contrato]],TblTiposContrato13[],4,FALSE)</f>
        <v>Indefinido</v>
      </c>
      <c r="CN206" s="325" t="str">
        <f>VLOOKUP(DATOS_[[#This Row],[Edad]],CONTRATOS!TblRngEdad,2,TRUE)</f>
        <v>45 a 50</v>
      </c>
      <c r="CO206" s="325" t="str">
        <f>VLOOKUP(DATOS_[[#This Row],[Antigüedad]],TblRngAntg14[],2,TRUE)</f>
        <v>5 a 10  años</v>
      </c>
    </row>
    <row r="207" spans="2:93" x14ac:dyDescent="0.25">
      <c r="B207" s="146">
        <v>182</v>
      </c>
      <c r="C207" s="146" t="s">
        <v>162</v>
      </c>
      <c r="D207" s="295">
        <v>28105</v>
      </c>
      <c r="E207" s="296" t="s">
        <v>71</v>
      </c>
      <c r="F207" s="296">
        <v>2</v>
      </c>
      <c r="G207" s="296">
        <v>3</v>
      </c>
      <c r="H207" s="297">
        <v>42067</v>
      </c>
      <c r="I207" s="298"/>
      <c r="J207" s="295">
        <v>42067</v>
      </c>
      <c r="K207" s="326">
        <v>43922</v>
      </c>
      <c r="L207" s="326"/>
      <c r="M207" s="299">
        <v>1</v>
      </c>
      <c r="N207" s="299"/>
      <c r="O207" s="299"/>
      <c r="P207" s="296">
        <v>100</v>
      </c>
      <c r="Q207" s="146" t="s">
        <v>431</v>
      </c>
      <c r="R207" s="146" t="s">
        <v>419</v>
      </c>
      <c r="S207" s="146" t="s">
        <v>440</v>
      </c>
      <c r="T207" s="146" t="s">
        <v>407</v>
      </c>
      <c r="U207" s="146" t="s">
        <v>400</v>
      </c>
      <c r="V207" s="146" t="s">
        <v>438</v>
      </c>
      <c r="W207" s="146" t="s">
        <v>311</v>
      </c>
      <c r="X207" s="146" t="s">
        <v>307</v>
      </c>
      <c r="Y207" s="146" t="s">
        <v>409</v>
      </c>
      <c r="Z207" s="293"/>
      <c r="AA207" s="294" t="s">
        <v>439</v>
      </c>
      <c r="AB207" s="294">
        <v>9</v>
      </c>
      <c r="AC207" s="296">
        <v>7</v>
      </c>
      <c r="AD207" s="301"/>
      <c r="AE207" s="301"/>
      <c r="AF207" s="301"/>
      <c r="AG207" s="301"/>
      <c r="AH207" s="301"/>
      <c r="AI207" s="301"/>
      <c r="AJ207" s="301"/>
      <c r="AK207" s="301"/>
      <c r="AL207" s="301"/>
      <c r="AM207" s="301"/>
      <c r="AN207" s="301"/>
      <c r="AO207" s="301"/>
      <c r="AP207" s="301"/>
      <c r="AQ207" s="301"/>
      <c r="AR207" s="301"/>
      <c r="AS207" s="301"/>
      <c r="AT207" s="301"/>
      <c r="AU207" s="301"/>
      <c r="AV207" s="301"/>
      <c r="AW207" s="301"/>
      <c r="AX207" s="301"/>
      <c r="AY207" s="301"/>
      <c r="AZ207" s="301"/>
      <c r="BA207" s="301"/>
      <c r="BB207" s="301"/>
      <c r="BC207" s="301"/>
      <c r="BD207" s="301"/>
      <c r="BE207" s="301"/>
      <c r="BF207" s="301"/>
      <c r="BG207" s="301"/>
      <c r="BH207" s="301"/>
      <c r="BI207" s="301"/>
      <c r="BJ207" s="301"/>
      <c r="BK207" s="301">
        <v>1800</v>
      </c>
      <c r="BL207" s="301"/>
      <c r="BM207" s="302"/>
      <c r="BN207" s="291">
        <f>+MAX($D$3,DATOS_[[#This Row],[Fecha Inicio Sit. Contract.]])</f>
        <v>45292</v>
      </c>
      <c r="BO207" s="291">
        <f>+MIN($D$4,DATOS_[[#This Row],[Fecha Fin Sit. Contract.]])</f>
        <v>45657</v>
      </c>
      <c r="BP207" s="292">
        <f>+DATOS_[[#This Row],[% de jornada]]*IF(DATOS_[[#This Row],[% jornada reducida]]="",1,DATOS_[[#This Row],[% jornada reducida]])</f>
        <v>1</v>
      </c>
      <c r="BQ207" s="292">
        <f>+(DATOS_[[#This Row],[F.fin.cal]]-DATOS_[[#This Row],[F.ini.cal]]+1)/($D$4-$D$3+1)</f>
        <v>1</v>
      </c>
      <c r="BR207" s="322" t="str">
        <f>IF(OR(AND(DATOS_[[#This Row],[Fecha Fin Contrato]]&lt;$D$3,DATOS_[[#This Row],[Fecha Fin Contrato]]&lt;&gt;""),DATOS_[[#This Row],[Fecha de Contratación]]&gt;$D$4),"Fuera","Dentro")</f>
        <v>Dentro</v>
      </c>
      <c r="BS207" s="322" t="str">
        <f t="array" ref="BS207">IF(MAX(IF(DATOS_[id]=DATOS_[[#This Row],[id]],DATOS_[F.fin.cal]))=DATOS_[[#This Row],[F.fin.cal]],"Sí","NO")</f>
        <v>Sí</v>
      </c>
      <c r="BT207" s="292" t="str">
        <f>IF(AND(DATOS_[[#This Row],[% normaliz]]&lt;&gt;1,DATOS_[[#This Row],[% anualiz]]=1),"Sí","NO")</f>
        <v>NO</v>
      </c>
      <c r="BU207" s="292" t="str">
        <f>IF(AND(DATOS_[[#This Row],[% normaliz]]=1,DATOS_[[#This Row],[% anualiz]]&lt;&gt;1),"Sí","NO")</f>
        <v>NO</v>
      </c>
      <c r="BV207" s="292" t="str">
        <f>IF(AND(DATOS_[[#This Row],[% normaliz]]&lt;&gt;1,DATOS_[[#This Row],[% anualiz]]&lt;&gt;1),"Sí","NO")</f>
        <v>NO</v>
      </c>
      <c r="BW207" s="322" t="str">
        <f>+IF(DATOS_[[#This Row],[% normaliz]]*DATOS_[[#This Row],[% anualiz]]=1,"NO","Sí")</f>
        <v>NO</v>
      </c>
      <c r="BX207" s="323">
        <f>(DATOS_[[#This Row],[S.BASE]]*(1/DATOS_[[#This Row],[% normaliz]])*(1/DATOS_[[#This Row],[% anualiz]]))*IF(DATOS_[[#This Row],[Check Equiparado]]="Sí",1,0)</f>
        <v>0</v>
      </c>
      <c r="BY20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7" s="323">
        <f>+DATOS_[[#This Row],[SALARIO BASE Eq]]+DATOS_[[#This Row],[Tot COMPL.SAL Eq]]</f>
        <v>0</v>
      </c>
      <c r="CA207" s="323">
        <f t="array" ref="CA20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1800</v>
      </c>
      <c r="CB207" s="323">
        <f>+DATOS_[[#This Row],[TOTAL SALARIO Eq]]+DATOS_[[#This Row],[Tot Extrasalarial Eq]]</f>
        <v>1800</v>
      </c>
      <c r="CC207" s="327">
        <f>DATOS_[[#This Row],[S.BASE]]</f>
        <v>0</v>
      </c>
      <c r="CD207" s="324">
        <f>+SUM(DATOS_[[#This Row],[Conc.Sal.01]:[Conc.Sal.30]])</f>
        <v>0</v>
      </c>
      <c r="CE207" s="324">
        <f>+DATOS_[[#This Row],[SALARIO BASE Ef]]+DATOS_[[#This Row],[Tot COMPL.SAL Ef]]</f>
        <v>0</v>
      </c>
      <c r="CF207" s="324">
        <f>+SUM(DATOS_[[#This Row],[C.Extra.01]:[C.Extra.05]])</f>
        <v>1800</v>
      </c>
      <c r="CG207" s="330">
        <f>+DATOS_[[#This Row],[TOTAL SALARIO Ef]]+DATOS_[[#This Row],[Tot Extrasalarial Ef]]</f>
        <v>1800</v>
      </c>
      <c r="CH207" s="303">
        <f>MIN(IF(DATOS_[[#This Row],[Fecha Fin Contrato]]="",$D$4,DATOS_[[#This Row],[Fecha Fin Contrato]]),$D$4)-MAX(DATOS_[[#This Row],[Fecha de Contratación]],$D$3)+1</f>
        <v>366</v>
      </c>
      <c r="CI207" s="304">
        <f>IF(COUNTIFS(DATOS_[id],DATOS_[[#This Row],[id]])&gt;1,DATOS_[[#This Row],[id]],"")</f>
        <v>182</v>
      </c>
      <c r="CJ207" s="325">
        <f>(Inicio!$G$10-DATOS_[[#This Row],[Fecha Nacimiento]])/365.25</f>
        <v>48.054757015742645</v>
      </c>
      <c r="CK207" s="325">
        <f>(Inicio!$G$10-DATOS_[[#This Row],[Fecha de Antigüedad]])/365.25</f>
        <v>9.8288843258042444</v>
      </c>
      <c r="CL207" s="325" t="str">
        <f>+VLOOKUP(DATOS_[[#This Row],[Clave de Contrato]],TblTiposContrato13[],3,FALSE)</f>
        <v>Completa</v>
      </c>
      <c r="CM207" s="325" t="str">
        <f>+VLOOKUP(DATOS_[[#This Row],[Clave de Contrato]],TblTiposContrato13[],4,FALSE)</f>
        <v>Indefinido</v>
      </c>
      <c r="CN207" s="325" t="str">
        <f>VLOOKUP(DATOS_[[#This Row],[Edad]],CONTRATOS!TblRngEdad,2,TRUE)</f>
        <v>45 a 50</v>
      </c>
      <c r="CO207" s="325" t="str">
        <f>VLOOKUP(DATOS_[[#This Row],[Antigüedad]],TblRngAntg14[],2,TRUE)</f>
        <v>5 a 10  años</v>
      </c>
    </row>
    <row r="208" spans="2:93" x14ac:dyDescent="0.25">
      <c r="B208" s="146">
        <v>183</v>
      </c>
      <c r="C208" s="146" t="s">
        <v>163</v>
      </c>
      <c r="D208" s="295">
        <v>28470</v>
      </c>
      <c r="E208" s="296" t="s">
        <v>71</v>
      </c>
      <c r="F208" s="296">
        <v>2</v>
      </c>
      <c r="G208" s="296">
        <v>2</v>
      </c>
      <c r="H208" s="297">
        <v>42097</v>
      </c>
      <c r="I208" s="298"/>
      <c r="J208" s="295">
        <v>42097</v>
      </c>
      <c r="K208" s="326"/>
      <c r="L208" s="326"/>
      <c r="M208" s="299">
        <v>1</v>
      </c>
      <c r="N208" s="299">
        <v>0.8</v>
      </c>
      <c r="O208" s="299" t="s">
        <v>151</v>
      </c>
      <c r="P208" s="296">
        <v>100</v>
      </c>
      <c r="Q208" s="146" t="s">
        <v>431</v>
      </c>
      <c r="R208" s="146" t="s">
        <v>419</v>
      </c>
      <c r="S208" s="146" t="s">
        <v>440</v>
      </c>
      <c r="T208" s="146" t="s">
        <v>407</v>
      </c>
      <c r="U208" s="146" t="s">
        <v>400</v>
      </c>
      <c r="V208" s="146" t="s">
        <v>438</v>
      </c>
      <c r="W208" s="146" t="s">
        <v>311</v>
      </c>
      <c r="X208" s="146" t="s">
        <v>307</v>
      </c>
      <c r="Y208" s="146" t="s">
        <v>409</v>
      </c>
      <c r="Z208" s="293"/>
      <c r="AA208" s="294" t="s">
        <v>439</v>
      </c>
      <c r="AB208" s="294">
        <v>9</v>
      </c>
      <c r="AC208" s="296">
        <v>7</v>
      </c>
      <c r="AD208" s="301">
        <v>10332.056</v>
      </c>
      <c r="AE208" s="301">
        <v>67.943999999999505</v>
      </c>
      <c r="AF208" s="301">
        <v>413.28224</v>
      </c>
      <c r="AG208" s="301">
        <v>960</v>
      </c>
      <c r="AH208" s="301"/>
      <c r="AI208" s="301"/>
      <c r="AJ208" s="301"/>
      <c r="AK208" s="301">
        <v>80</v>
      </c>
      <c r="AL208" s="301"/>
      <c r="AM208" s="301"/>
      <c r="AN208" s="301"/>
      <c r="AO208" s="301"/>
      <c r="AP208" s="301"/>
      <c r="AQ208" s="301"/>
      <c r="AR208" s="301"/>
      <c r="AS208" s="301"/>
      <c r="AT208" s="301"/>
      <c r="AU208" s="301"/>
      <c r="AV208" s="301"/>
      <c r="AW208" s="301"/>
      <c r="AX208" s="301"/>
      <c r="AY208" s="301"/>
      <c r="AZ208" s="301"/>
      <c r="BA208" s="301"/>
      <c r="BB208" s="301"/>
      <c r="BC208" s="301"/>
      <c r="BD208" s="301"/>
      <c r="BE208" s="301"/>
      <c r="BF208" s="301"/>
      <c r="BG208" s="301"/>
      <c r="BH208" s="301"/>
      <c r="BI208" s="301"/>
      <c r="BJ208" s="301"/>
      <c r="BK208" s="301"/>
      <c r="BL208" s="301"/>
      <c r="BM208" s="302"/>
      <c r="BN208" s="291">
        <f>+MAX($D$3,DATOS_[[#This Row],[Fecha Inicio Sit. Contract.]])</f>
        <v>45292</v>
      </c>
      <c r="BO208" s="291">
        <f>+MIN($D$4,DATOS_[[#This Row],[Fecha Fin Sit. Contract.]])</f>
        <v>45657</v>
      </c>
      <c r="BP208" s="292">
        <f>+DATOS_[[#This Row],[% de jornada]]*IF(DATOS_[[#This Row],[% jornada reducida]]="",1,DATOS_[[#This Row],[% jornada reducida]])</f>
        <v>0.8</v>
      </c>
      <c r="BQ208" s="292">
        <f>+(DATOS_[[#This Row],[F.fin.cal]]-DATOS_[[#This Row],[F.ini.cal]]+1)/($D$4-$D$3+1)</f>
        <v>1</v>
      </c>
      <c r="BR208" s="322" t="str">
        <f>IF(OR(AND(DATOS_[[#This Row],[Fecha Fin Contrato]]&lt;$D$3,DATOS_[[#This Row],[Fecha Fin Contrato]]&lt;&gt;""),DATOS_[[#This Row],[Fecha de Contratación]]&gt;$D$4),"Fuera","Dentro")</f>
        <v>Dentro</v>
      </c>
      <c r="BS208" s="322" t="str">
        <f t="array" ref="BS208">IF(MAX(IF(DATOS_[id]=DATOS_[[#This Row],[id]],DATOS_[F.fin.cal]))=DATOS_[[#This Row],[F.fin.cal]],"Sí","NO")</f>
        <v>Sí</v>
      </c>
      <c r="BT208" s="292" t="str">
        <f>IF(AND(DATOS_[[#This Row],[% normaliz]]&lt;&gt;1,DATOS_[[#This Row],[% anualiz]]=1),"Sí","NO")</f>
        <v>Sí</v>
      </c>
      <c r="BU208" s="292" t="str">
        <f>IF(AND(DATOS_[[#This Row],[% normaliz]]=1,DATOS_[[#This Row],[% anualiz]]&lt;&gt;1),"Sí","NO")</f>
        <v>NO</v>
      </c>
      <c r="BV208" s="292" t="str">
        <f>IF(AND(DATOS_[[#This Row],[% normaliz]]&lt;&gt;1,DATOS_[[#This Row],[% anualiz]]&lt;&gt;1),"Sí","NO")</f>
        <v>NO</v>
      </c>
      <c r="BW208" s="322" t="str">
        <f>+IF(DATOS_[[#This Row],[% normaliz]]*DATOS_[[#This Row],[% anualiz]]=1,"NO","Sí")</f>
        <v>Sí</v>
      </c>
      <c r="BX208" s="323">
        <f>(DATOS_[[#This Row],[S.BASE]]*(1/DATOS_[[#This Row],[% normaliz]])*(1/DATOS_[[#This Row],[% anualiz]]))*IF(DATOS_[[#This Row],[Check Equiparado]]="Sí",1,0)</f>
        <v>12915.07</v>
      </c>
      <c r="BY20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08" s="323">
        <f>+DATOS_[[#This Row],[SALARIO BASE Eq]]+DATOS_[[#This Row],[Tot COMPL.SAL Eq]]</f>
        <v>14556.602799999999</v>
      </c>
      <c r="CA208" s="323">
        <f t="array" ref="CA20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8" s="323">
        <f>+DATOS_[[#This Row],[TOTAL SALARIO Eq]]+DATOS_[[#This Row],[Tot Extrasalarial Eq]]</f>
        <v>14556.602799999999</v>
      </c>
      <c r="CC208" s="327">
        <f>DATOS_[[#This Row],[S.BASE]]</f>
        <v>10332.056</v>
      </c>
      <c r="CD208" s="324">
        <f>+SUM(DATOS_[[#This Row],[Conc.Sal.01]:[Conc.Sal.30]])</f>
        <v>1521.2262399999995</v>
      </c>
      <c r="CE208" s="324">
        <f>+DATOS_[[#This Row],[SALARIO BASE Ef]]+DATOS_[[#This Row],[Tot COMPL.SAL Ef]]</f>
        <v>11853.28224</v>
      </c>
      <c r="CF208" s="324">
        <f>+SUM(DATOS_[[#This Row],[C.Extra.01]:[C.Extra.05]])</f>
        <v>0</v>
      </c>
      <c r="CG208" s="330">
        <f>+DATOS_[[#This Row],[TOTAL SALARIO Ef]]+DATOS_[[#This Row],[Tot Extrasalarial Ef]]</f>
        <v>11853.28224</v>
      </c>
      <c r="CH208" s="303">
        <f>MIN(IF(DATOS_[[#This Row],[Fecha Fin Contrato]]="",$D$4,DATOS_[[#This Row],[Fecha Fin Contrato]]),$D$4)-MAX(DATOS_[[#This Row],[Fecha de Contratación]],$D$3)+1</f>
        <v>366</v>
      </c>
      <c r="CI208" s="304" t="str">
        <f>IF(COUNTIFS(DATOS_[id],DATOS_[[#This Row],[id]])&gt;1,DATOS_[[#This Row],[id]],"")</f>
        <v/>
      </c>
      <c r="CJ208" s="325">
        <f>(Inicio!$G$10-DATOS_[[#This Row],[Fecha Nacimiento]])/365.25</f>
        <v>47.055441478439427</v>
      </c>
      <c r="CK208" s="325">
        <f>(Inicio!$G$10-DATOS_[[#This Row],[Fecha de Antigüedad]])/365.25</f>
        <v>9.7467488021902806</v>
      </c>
      <c r="CL208" s="325" t="str">
        <f>+VLOOKUP(DATOS_[[#This Row],[Clave de Contrato]],TblTiposContrato13[],3,FALSE)</f>
        <v>Completa</v>
      </c>
      <c r="CM208" s="325" t="str">
        <f>+VLOOKUP(DATOS_[[#This Row],[Clave de Contrato]],TblTiposContrato13[],4,FALSE)</f>
        <v>Indefinido</v>
      </c>
      <c r="CN208" s="325" t="str">
        <f>VLOOKUP(DATOS_[[#This Row],[Edad]],CONTRATOS!TblRngEdad,2,TRUE)</f>
        <v>45 a 50</v>
      </c>
      <c r="CO208" s="325" t="str">
        <f>VLOOKUP(DATOS_[[#This Row],[Antigüedad]],TblRngAntg14[],2,TRUE)</f>
        <v>5 a 10  años</v>
      </c>
    </row>
    <row r="209" spans="2:93" x14ac:dyDescent="0.25">
      <c r="B209" s="146">
        <v>184</v>
      </c>
      <c r="C209" s="146" t="s">
        <v>163</v>
      </c>
      <c r="D209" s="295">
        <v>29930</v>
      </c>
      <c r="E209" s="296" t="s">
        <v>71</v>
      </c>
      <c r="F209" s="296">
        <v>2</v>
      </c>
      <c r="G209" s="296">
        <v>1</v>
      </c>
      <c r="H209" s="297">
        <v>42127</v>
      </c>
      <c r="I209" s="298"/>
      <c r="J209" s="295">
        <v>42127</v>
      </c>
      <c r="K209" s="326"/>
      <c r="L209" s="326"/>
      <c r="M209" s="299">
        <v>1</v>
      </c>
      <c r="N209" s="299">
        <v>0.8</v>
      </c>
      <c r="O209" s="299" t="s">
        <v>151</v>
      </c>
      <c r="P209" s="296">
        <v>100</v>
      </c>
      <c r="Q209" s="146" t="s">
        <v>431</v>
      </c>
      <c r="R209" s="146" t="s">
        <v>413</v>
      </c>
      <c r="S209" s="146" t="s">
        <v>440</v>
      </c>
      <c r="T209" s="146" t="s">
        <v>407</v>
      </c>
      <c r="U209" s="146" t="s">
        <v>400</v>
      </c>
      <c r="V209" s="146" t="s">
        <v>438</v>
      </c>
      <c r="W209" s="146" t="s">
        <v>311</v>
      </c>
      <c r="X209" s="146" t="s">
        <v>307</v>
      </c>
      <c r="Y209" s="146" t="s">
        <v>409</v>
      </c>
      <c r="Z209" s="293"/>
      <c r="AA209" s="294" t="s">
        <v>439</v>
      </c>
      <c r="AB209" s="294">
        <v>9</v>
      </c>
      <c r="AC209" s="296">
        <v>7</v>
      </c>
      <c r="AD209" s="301">
        <v>10332.056</v>
      </c>
      <c r="AE209" s="301">
        <v>67.943999999999505</v>
      </c>
      <c r="AF209" s="301">
        <v>413.28224</v>
      </c>
      <c r="AG209" s="301">
        <v>960</v>
      </c>
      <c r="AH209" s="301"/>
      <c r="AI209" s="301"/>
      <c r="AJ209" s="301"/>
      <c r="AK209" s="301">
        <v>80</v>
      </c>
      <c r="AL209" s="301"/>
      <c r="AM209" s="301"/>
      <c r="AN209" s="301"/>
      <c r="AO209" s="301"/>
      <c r="AP209" s="301"/>
      <c r="AQ209" s="301"/>
      <c r="AR209" s="301"/>
      <c r="AS209" s="301"/>
      <c r="AT209" s="301"/>
      <c r="AU209" s="301"/>
      <c r="AV209" s="301"/>
      <c r="AW209" s="301"/>
      <c r="AX209" s="301"/>
      <c r="AY209" s="301"/>
      <c r="AZ209" s="301"/>
      <c r="BA209" s="301"/>
      <c r="BB209" s="301"/>
      <c r="BC209" s="301"/>
      <c r="BD209" s="301"/>
      <c r="BE209" s="301"/>
      <c r="BF209" s="301"/>
      <c r="BG209" s="301"/>
      <c r="BH209" s="301"/>
      <c r="BI209" s="301"/>
      <c r="BJ209" s="301"/>
      <c r="BK209" s="301"/>
      <c r="BL209" s="301"/>
      <c r="BM209" s="302"/>
      <c r="BN209" s="291">
        <f>+MAX($D$3,DATOS_[[#This Row],[Fecha Inicio Sit. Contract.]])</f>
        <v>45292</v>
      </c>
      <c r="BO209" s="291">
        <f>+MIN($D$4,DATOS_[[#This Row],[Fecha Fin Sit. Contract.]])</f>
        <v>45657</v>
      </c>
      <c r="BP209" s="292">
        <f>+DATOS_[[#This Row],[% de jornada]]*IF(DATOS_[[#This Row],[% jornada reducida]]="",1,DATOS_[[#This Row],[% jornada reducida]])</f>
        <v>0.8</v>
      </c>
      <c r="BQ209" s="292">
        <f>+(DATOS_[[#This Row],[F.fin.cal]]-DATOS_[[#This Row],[F.ini.cal]]+1)/($D$4-$D$3+1)</f>
        <v>1</v>
      </c>
      <c r="BR209" s="322" t="str">
        <f>IF(OR(AND(DATOS_[[#This Row],[Fecha Fin Contrato]]&lt;$D$3,DATOS_[[#This Row],[Fecha Fin Contrato]]&lt;&gt;""),DATOS_[[#This Row],[Fecha de Contratación]]&gt;$D$4),"Fuera","Dentro")</f>
        <v>Dentro</v>
      </c>
      <c r="BS209" s="322" t="str">
        <f t="array" ref="BS209">IF(MAX(IF(DATOS_[id]=DATOS_[[#This Row],[id]],DATOS_[F.fin.cal]))=DATOS_[[#This Row],[F.fin.cal]],"Sí","NO")</f>
        <v>Sí</v>
      </c>
      <c r="BT209" s="292" t="str">
        <f>IF(AND(DATOS_[[#This Row],[% normaliz]]&lt;&gt;1,DATOS_[[#This Row],[% anualiz]]=1),"Sí","NO")</f>
        <v>Sí</v>
      </c>
      <c r="BU209" s="292" t="str">
        <f>IF(AND(DATOS_[[#This Row],[% normaliz]]=1,DATOS_[[#This Row],[% anualiz]]&lt;&gt;1),"Sí","NO")</f>
        <v>NO</v>
      </c>
      <c r="BV209" s="292" t="str">
        <f>IF(AND(DATOS_[[#This Row],[% normaliz]]&lt;&gt;1,DATOS_[[#This Row],[% anualiz]]&lt;&gt;1),"Sí","NO")</f>
        <v>NO</v>
      </c>
      <c r="BW209" s="322" t="str">
        <f>+IF(DATOS_[[#This Row],[% normaliz]]*DATOS_[[#This Row],[% anualiz]]=1,"NO","Sí")</f>
        <v>Sí</v>
      </c>
      <c r="BX209" s="323">
        <f>(DATOS_[[#This Row],[S.BASE]]*(1/DATOS_[[#This Row],[% normaliz]])*(1/DATOS_[[#This Row],[% anualiz]]))*IF(DATOS_[[#This Row],[Check Equiparado]]="Sí",1,0)</f>
        <v>12915.07</v>
      </c>
      <c r="BY20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09" s="323">
        <f>+DATOS_[[#This Row],[SALARIO BASE Eq]]+DATOS_[[#This Row],[Tot COMPL.SAL Eq]]</f>
        <v>14556.602799999999</v>
      </c>
      <c r="CA209" s="323">
        <f t="array" ref="CA20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9" s="323">
        <f>+DATOS_[[#This Row],[TOTAL SALARIO Eq]]+DATOS_[[#This Row],[Tot Extrasalarial Eq]]</f>
        <v>14556.602799999999</v>
      </c>
      <c r="CC209" s="327">
        <f>DATOS_[[#This Row],[S.BASE]]</f>
        <v>10332.056</v>
      </c>
      <c r="CD209" s="324">
        <f>+SUM(DATOS_[[#This Row],[Conc.Sal.01]:[Conc.Sal.30]])</f>
        <v>1521.2262399999995</v>
      </c>
      <c r="CE209" s="324">
        <f>+DATOS_[[#This Row],[SALARIO BASE Ef]]+DATOS_[[#This Row],[Tot COMPL.SAL Ef]]</f>
        <v>11853.28224</v>
      </c>
      <c r="CF209" s="324">
        <f>+SUM(DATOS_[[#This Row],[C.Extra.01]:[C.Extra.05]])</f>
        <v>0</v>
      </c>
      <c r="CG209" s="330">
        <f>+DATOS_[[#This Row],[TOTAL SALARIO Ef]]+DATOS_[[#This Row],[Tot Extrasalarial Ef]]</f>
        <v>11853.28224</v>
      </c>
      <c r="CH209" s="303">
        <f>MIN(IF(DATOS_[[#This Row],[Fecha Fin Contrato]]="",$D$4,DATOS_[[#This Row],[Fecha Fin Contrato]]),$D$4)-MAX(DATOS_[[#This Row],[Fecha de Contratación]],$D$3)+1</f>
        <v>366</v>
      </c>
      <c r="CI209" s="304" t="str">
        <f>IF(COUNTIFS(DATOS_[id],DATOS_[[#This Row],[id]])&gt;1,DATOS_[[#This Row],[id]],"")</f>
        <v/>
      </c>
      <c r="CJ209" s="325">
        <f>(Inicio!$G$10-DATOS_[[#This Row],[Fecha Nacimiento]])/365.25</f>
        <v>43.058179329226554</v>
      </c>
      <c r="CK209" s="325">
        <f>(Inicio!$G$10-DATOS_[[#This Row],[Fecha de Antigüedad]])/365.25</f>
        <v>9.6646132785763168</v>
      </c>
      <c r="CL209" s="325" t="str">
        <f>+VLOOKUP(DATOS_[[#This Row],[Clave de Contrato]],TblTiposContrato13[],3,FALSE)</f>
        <v>Completa</v>
      </c>
      <c r="CM209" s="325" t="str">
        <f>+VLOOKUP(DATOS_[[#This Row],[Clave de Contrato]],TblTiposContrato13[],4,FALSE)</f>
        <v>Indefinido</v>
      </c>
      <c r="CN209" s="325" t="str">
        <f>VLOOKUP(DATOS_[[#This Row],[Edad]],CONTRATOS!TblRngEdad,2,TRUE)</f>
        <v>40 a 45</v>
      </c>
      <c r="CO209" s="325" t="str">
        <f>VLOOKUP(DATOS_[[#This Row],[Antigüedad]],TblRngAntg14[],2,TRUE)</f>
        <v>5 a 10  años</v>
      </c>
    </row>
    <row r="210" spans="2:93" x14ac:dyDescent="0.25">
      <c r="B210" s="146">
        <v>185</v>
      </c>
      <c r="C210" s="146" t="s">
        <v>163</v>
      </c>
      <c r="D210" s="295">
        <v>36135</v>
      </c>
      <c r="E210" s="296" t="s">
        <v>71</v>
      </c>
      <c r="F210" s="296">
        <v>2</v>
      </c>
      <c r="G210" s="296">
        <v>1</v>
      </c>
      <c r="H210" s="297">
        <v>42157</v>
      </c>
      <c r="I210" s="298"/>
      <c r="J210" s="295">
        <v>42157</v>
      </c>
      <c r="K210" s="326"/>
      <c r="L210" s="326"/>
      <c r="M210" s="299">
        <v>1</v>
      </c>
      <c r="N210" s="299">
        <v>0.8</v>
      </c>
      <c r="O210" s="299" t="s">
        <v>151</v>
      </c>
      <c r="P210" s="296">
        <v>100</v>
      </c>
      <c r="Q210" s="146" t="s">
        <v>431</v>
      </c>
      <c r="R210" s="146" t="s">
        <v>413</v>
      </c>
      <c r="S210" s="146" t="s">
        <v>440</v>
      </c>
      <c r="T210" s="146" t="s">
        <v>407</v>
      </c>
      <c r="U210" s="146" t="s">
        <v>400</v>
      </c>
      <c r="V210" s="146" t="s">
        <v>438</v>
      </c>
      <c r="W210" s="146" t="s">
        <v>311</v>
      </c>
      <c r="X210" s="146" t="s">
        <v>307</v>
      </c>
      <c r="Y210" s="146" t="s">
        <v>409</v>
      </c>
      <c r="Z210" s="293"/>
      <c r="AA210" s="294" t="s">
        <v>439</v>
      </c>
      <c r="AB210" s="294">
        <v>9</v>
      </c>
      <c r="AC210" s="296">
        <v>7</v>
      </c>
      <c r="AD210" s="301">
        <v>10332.056</v>
      </c>
      <c r="AE210" s="301">
        <v>67.943999999999505</v>
      </c>
      <c r="AF210" s="301">
        <v>413.28224</v>
      </c>
      <c r="AG210" s="301">
        <v>960</v>
      </c>
      <c r="AH210" s="301"/>
      <c r="AI210" s="301"/>
      <c r="AJ210" s="301"/>
      <c r="AK210" s="301">
        <v>80</v>
      </c>
      <c r="AL210" s="301"/>
      <c r="AM210" s="301"/>
      <c r="AN210" s="301"/>
      <c r="AO210" s="301"/>
      <c r="AP210" s="301"/>
      <c r="AQ210" s="301"/>
      <c r="AR210" s="301"/>
      <c r="AS210" s="301"/>
      <c r="AT210" s="301"/>
      <c r="AU210" s="301"/>
      <c r="AV210" s="301"/>
      <c r="AW210" s="301"/>
      <c r="AX210" s="301"/>
      <c r="AY210" s="301"/>
      <c r="AZ210" s="301"/>
      <c r="BA210" s="301"/>
      <c r="BB210" s="301"/>
      <c r="BC210" s="301"/>
      <c r="BD210" s="301"/>
      <c r="BE210" s="301"/>
      <c r="BF210" s="301"/>
      <c r="BG210" s="301"/>
      <c r="BH210" s="301"/>
      <c r="BI210" s="301"/>
      <c r="BJ210" s="301"/>
      <c r="BK210" s="301"/>
      <c r="BL210" s="301"/>
      <c r="BM210" s="302"/>
      <c r="BN210" s="291">
        <f>+MAX($D$3,DATOS_[[#This Row],[Fecha Inicio Sit. Contract.]])</f>
        <v>45292</v>
      </c>
      <c r="BO210" s="291">
        <f>+MIN($D$4,DATOS_[[#This Row],[Fecha Fin Sit. Contract.]])</f>
        <v>45657</v>
      </c>
      <c r="BP210" s="292">
        <f>+DATOS_[[#This Row],[% de jornada]]*IF(DATOS_[[#This Row],[% jornada reducida]]="",1,DATOS_[[#This Row],[% jornada reducida]])</f>
        <v>0.8</v>
      </c>
      <c r="BQ210" s="292">
        <f>+(DATOS_[[#This Row],[F.fin.cal]]-DATOS_[[#This Row],[F.ini.cal]]+1)/($D$4-$D$3+1)</f>
        <v>1</v>
      </c>
      <c r="BR210" s="322" t="str">
        <f>IF(OR(AND(DATOS_[[#This Row],[Fecha Fin Contrato]]&lt;$D$3,DATOS_[[#This Row],[Fecha Fin Contrato]]&lt;&gt;""),DATOS_[[#This Row],[Fecha de Contratación]]&gt;$D$4),"Fuera","Dentro")</f>
        <v>Dentro</v>
      </c>
      <c r="BS210" s="322" t="str">
        <f t="array" ref="BS210">IF(MAX(IF(DATOS_[id]=DATOS_[[#This Row],[id]],DATOS_[F.fin.cal]))=DATOS_[[#This Row],[F.fin.cal]],"Sí","NO")</f>
        <v>Sí</v>
      </c>
      <c r="BT210" s="292" t="str">
        <f>IF(AND(DATOS_[[#This Row],[% normaliz]]&lt;&gt;1,DATOS_[[#This Row],[% anualiz]]=1),"Sí","NO")</f>
        <v>Sí</v>
      </c>
      <c r="BU210" s="292" t="str">
        <f>IF(AND(DATOS_[[#This Row],[% normaliz]]=1,DATOS_[[#This Row],[% anualiz]]&lt;&gt;1),"Sí","NO")</f>
        <v>NO</v>
      </c>
      <c r="BV210" s="292" t="str">
        <f>IF(AND(DATOS_[[#This Row],[% normaliz]]&lt;&gt;1,DATOS_[[#This Row],[% anualiz]]&lt;&gt;1),"Sí","NO")</f>
        <v>NO</v>
      </c>
      <c r="BW210" s="322" t="str">
        <f>+IF(DATOS_[[#This Row],[% normaliz]]*DATOS_[[#This Row],[% anualiz]]=1,"NO","Sí")</f>
        <v>Sí</v>
      </c>
      <c r="BX210" s="323">
        <f>(DATOS_[[#This Row],[S.BASE]]*(1/DATOS_[[#This Row],[% normaliz]])*(1/DATOS_[[#This Row],[% anualiz]]))*IF(DATOS_[[#This Row],[Check Equiparado]]="Sí",1,0)</f>
        <v>12915.07</v>
      </c>
      <c r="BY21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0" s="323">
        <f>+DATOS_[[#This Row],[SALARIO BASE Eq]]+DATOS_[[#This Row],[Tot COMPL.SAL Eq]]</f>
        <v>14556.602799999999</v>
      </c>
      <c r="CA210" s="323">
        <f t="array" ref="CA2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0" s="323">
        <f>+DATOS_[[#This Row],[TOTAL SALARIO Eq]]+DATOS_[[#This Row],[Tot Extrasalarial Eq]]</f>
        <v>14556.602799999999</v>
      </c>
      <c r="CC210" s="327">
        <f>DATOS_[[#This Row],[S.BASE]]</f>
        <v>10332.056</v>
      </c>
      <c r="CD210" s="324">
        <f>+SUM(DATOS_[[#This Row],[Conc.Sal.01]:[Conc.Sal.30]])</f>
        <v>1521.2262399999995</v>
      </c>
      <c r="CE210" s="324">
        <f>+DATOS_[[#This Row],[SALARIO BASE Ef]]+DATOS_[[#This Row],[Tot COMPL.SAL Ef]]</f>
        <v>11853.28224</v>
      </c>
      <c r="CF210" s="324">
        <f>+SUM(DATOS_[[#This Row],[C.Extra.01]:[C.Extra.05]])</f>
        <v>0</v>
      </c>
      <c r="CG210" s="330">
        <f>+DATOS_[[#This Row],[TOTAL SALARIO Ef]]+DATOS_[[#This Row],[Tot Extrasalarial Ef]]</f>
        <v>11853.28224</v>
      </c>
      <c r="CH210" s="303">
        <f>MIN(IF(DATOS_[[#This Row],[Fecha Fin Contrato]]="",$D$4,DATOS_[[#This Row],[Fecha Fin Contrato]]),$D$4)-MAX(DATOS_[[#This Row],[Fecha de Contratación]],$D$3)+1</f>
        <v>366</v>
      </c>
      <c r="CI210" s="304" t="str">
        <f>IF(COUNTIFS(DATOS_[id],DATOS_[[#This Row],[id]])&gt;1,DATOS_[[#This Row],[id]],"")</f>
        <v/>
      </c>
      <c r="CJ210" s="325">
        <f>(Inicio!$G$10-DATOS_[[#This Row],[Fecha Nacimiento]])/365.25</f>
        <v>26.069815195071868</v>
      </c>
      <c r="CK210" s="325">
        <f>(Inicio!$G$10-DATOS_[[#This Row],[Fecha de Antigüedad]])/365.25</f>
        <v>9.5824777549623548</v>
      </c>
      <c r="CL210" s="325" t="str">
        <f>+VLOOKUP(DATOS_[[#This Row],[Clave de Contrato]],TblTiposContrato13[],3,FALSE)</f>
        <v>Completa</v>
      </c>
      <c r="CM210" s="325" t="str">
        <f>+VLOOKUP(DATOS_[[#This Row],[Clave de Contrato]],TblTiposContrato13[],4,FALSE)</f>
        <v>Indefinido</v>
      </c>
      <c r="CN210" s="325" t="str">
        <f>VLOOKUP(DATOS_[[#This Row],[Edad]],CONTRATOS!TblRngEdad,2,TRUE)</f>
        <v>25 a 30</v>
      </c>
      <c r="CO210" s="325" t="str">
        <f>VLOOKUP(DATOS_[[#This Row],[Antigüedad]],TblRngAntg14[],2,TRUE)</f>
        <v>5 a 10  años</v>
      </c>
    </row>
    <row r="211" spans="2:93" x14ac:dyDescent="0.25">
      <c r="B211" s="146">
        <v>186</v>
      </c>
      <c r="C211" s="146" t="s">
        <v>163</v>
      </c>
      <c r="D211" s="295">
        <v>33215</v>
      </c>
      <c r="E211" s="296" t="s">
        <v>71</v>
      </c>
      <c r="F211" s="296">
        <v>2</v>
      </c>
      <c r="G211" s="296">
        <v>2</v>
      </c>
      <c r="H211" s="297">
        <v>42187</v>
      </c>
      <c r="I211" s="298"/>
      <c r="J211" s="295">
        <v>42187</v>
      </c>
      <c r="K211" s="326"/>
      <c r="L211" s="326"/>
      <c r="M211" s="299">
        <v>1</v>
      </c>
      <c r="N211" s="299">
        <v>0.8</v>
      </c>
      <c r="O211" s="299" t="s">
        <v>151</v>
      </c>
      <c r="P211" s="296">
        <v>100</v>
      </c>
      <c r="Q211" s="146" t="s">
        <v>431</v>
      </c>
      <c r="R211" s="146" t="s">
        <v>413</v>
      </c>
      <c r="S211" s="146" t="s">
        <v>440</v>
      </c>
      <c r="T211" s="146" t="s">
        <v>407</v>
      </c>
      <c r="U211" s="146" t="s">
        <v>400</v>
      </c>
      <c r="V211" s="146" t="s">
        <v>438</v>
      </c>
      <c r="W211" s="146" t="s">
        <v>311</v>
      </c>
      <c r="X211" s="146" t="s">
        <v>307</v>
      </c>
      <c r="Y211" s="146" t="s">
        <v>409</v>
      </c>
      <c r="Z211" s="293"/>
      <c r="AA211" s="294" t="s">
        <v>439</v>
      </c>
      <c r="AB211" s="294">
        <v>9</v>
      </c>
      <c r="AC211" s="296">
        <v>7</v>
      </c>
      <c r="AD211" s="301">
        <v>10332.056</v>
      </c>
      <c r="AE211" s="301">
        <v>67.943999999999505</v>
      </c>
      <c r="AF211" s="301">
        <v>413.28224</v>
      </c>
      <c r="AG211" s="301">
        <v>960</v>
      </c>
      <c r="AH211" s="301"/>
      <c r="AI211" s="301"/>
      <c r="AJ211" s="301"/>
      <c r="AK211" s="301">
        <v>80</v>
      </c>
      <c r="AL211" s="301"/>
      <c r="AM211" s="301"/>
      <c r="AN211" s="301"/>
      <c r="AO211" s="301"/>
      <c r="AP211" s="301"/>
      <c r="AQ211" s="301"/>
      <c r="AR211" s="301"/>
      <c r="AS211" s="301"/>
      <c r="AT211" s="301"/>
      <c r="AU211" s="301"/>
      <c r="AV211" s="301"/>
      <c r="AW211" s="301"/>
      <c r="AX211" s="301"/>
      <c r="AY211" s="301"/>
      <c r="AZ211" s="301"/>
      <c r="BA211" s="301"/>
      <c r="BB211" s="301"/>
      <c r="BC211" s="301"/>
      <c r="BD211" s="301"/>
      <c r="BE211" s="301"/>
      <c r="BF211" s="301"/>
      <c r="BG211" s="301"/>
      <c r="BH211" s="301"/>
      <c r="BI211" s="301"/>
      <c r="BJ211" s="301"/>
      <c r="BK211" s="301"/>
      <c r="BL211" s="301"/>
      <c r="BM211" s="302"/>
      <c r="BN211" s="291">
        <f>+MAX($D$3,DATOS_[[#This Row],[Fecha Inicio Sit. Contract.]])</f>
        <v>45292</v>
      </c>
      <c r="BO211" s="291">
        <f>+MIN($D$4,DATOS_[[#This Row],[Fecha Fin Sit. Contract.]])</f>
        <v>45657</v>
      </c>
      <c r="BP211" s="292">
        <f>+DATOS_[[#This Row],[% de jornada]]*IF(DATOS_[[#This Row],[% jornada reducida]]="",1,DATOS_[[#This Row],[% jornada reducida]])</f>
        <v>0.8</v>
      </c>
      <c r="BQ211" s="292">
        <f>+(DATOS_[[#This Row],[F.fin.cal]]-DATOS_[[#This Row],[F.ini.cal]]+1)/($D$4-$D$3+1)</f>
        <v>1</v>
      </c>
      <c r="BR211" s="322" t="str">
        <f>IF(OR(AND(DATOS_[[#This Row],[Fecha Fin Contrato]]&lt;$D$3,DATOS_[[#This Row],[Fecha Fin Contrato]]&lt;&gt;""),DATOS_[[#This Row],[Fecha de Contratación]]&gt;$D$4),"Fuera","Dentro")</f>
        <v>Dentro</v>
      </c>
      <c r="BS211" s="322" t="str">
        <f t="array" ref="BS211">IF(MAX(IF(DATOS_[id]=DATOS_[[#This Row],[id]],DATOS_[F.fin.cal]))=DATOS_[[#This Row],[F.fin.cal]],"Sí","NO")</f>
        <v>Sí</v>
      </c>
      <c r="BT211" s="292" t="str">
        <f>IF(AND(DATOS_[[#This Row],[% normaliz]]&lt;&gt;1,DATOS_[[#This Row],[% anualiz]]=1),"Sí","NO")</f>
        <v>Sí</v>
      </c>
      <c r="BU211" s="292" t="str">
        <f>IF(AND(DATOS_[[#This Row],[% normaliz]]=1,DATOS_[[#This Row],[% anualiz]]&lt;&gt;1),"Sí","NO")</f>
        <v>NO</v>
      </c>
      <c r="BV211" s="292" t="str">
        <f>IF(AND(DATOS_[[#This Row],[% normaliz]]&lt;&gt;1,DATOS_[[#This Row],[% anualiz]]&lt;&gt;1),"Sí","NO")</f>
        <v>NO</v>
      </c>
      <c r="BW211" s="322" t="str">
        <f>+IF(DATOS_[[#This Row],[% normaliz]]*DATOS_[[#This Row],[% anualiz]]=1,"NO","Sí")</f>
        <v>Sí</v>
      </c>
      <c r="BX211" s="323">
        <f>(DATOS_[[#This Row],[S.BASE]]*(1/DATOS_[[#This Row],[% normaliz]])*(1/DATOS_[[#This Row],[% anualiz]]))*IF(DATOS_[[#This Row],[Check Equiparado]]="Sí",1,0)</f>
        <v>12915.07</v>
      </c>
      <c r="BY21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1" s="323">
        <f>+DATOS_[[#This Row],[SALARIO BASE Eq]]+DATOS_[[#This Row],[Tot COMPL.SAL Eq]]</f>
        <v>14556.602799999999</v>
      </c>
      <c r="CA211" s="323">
        <f t="array" ref="CA2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1" s="323">
        <f>+DATOS_[[#This Row],[TOTAL SALARIO Eq]]+DATOS_[[#This Row],[Tot Extrasalarial Eq]]</f>
        <v>14556.602799999999</v>
      </c>
      <c r="CC211" s="327">
        <f>DATOS_[[#This Row],[S.BASE]]</f>
        <v>10332.056</v>
      </c>
      <c r="CD211" s="324">
        <f>+SUM(DATOS_[[#This Row],[Conc.Sal.01]:[Conc.Sal.30]])</f>
        <v>1521.2262399999995</v>
      </c>
      <c r="CE211" s="324">
        <f>+DATOS_[[#This Row],[SALARIO BASE Ef]]+DATOS_[[#This Row],[Tot COMPL.SAL Ef]]</f>
        <v>11853.28224</v>
      </c>
      <c r="CF211" s="324">
        <f>+SUM(DATOS_[[#This Row],[C.Extra.01]:[C.Extra.05]])</f>
        <v>0</v>
      </c>
      <c r="CG211" s="330">
        <f>+DATOS_[[#This Row],[TOTAL SALARIO Ef]]+DATOS_[[#This Row],[Tot Extrasalarial Ef]]</f>
        <v>11853.28224</v>
      </c>
      <c r="CH211" s="303">
        <f>MIN(IF(DATOS_[[#This Row],[Fecha Fin Contrato]]="",$D$4,DATOS_[[#This Row],[Fecha Fin Contrato]]),$D$4)-MAX(DATOS_[[#This Row],[Fecha de Contratación]],$D$3)+1</f>
        <v>366</v>
      </c>
      <c r="CI211" s="304" t="str">
        <f>IF(COUNTIFS(DATOS_[id],DATOS_[[#This Row],[id]])&gt;1,DATOS_[[#This Row],[id]],"")</f>
        <v/>
      </c>
      <c r="CJ211" s="325">
        <f>(Inicio!$G$10-DATOS_[[#This Row],[Fecha Nacimiento]])/365.25</f>
        <v>34.064339493497606</v>
      </c>
      <c r="CK211" s="325">
        <f>(Inicio!$G$10-DATOS_[[#This Row],[Fecha de Antigüedad]])/365.25</f>
        <v>9.500342231348391</v>
      </c>
      <c r="CL211" s="325" t="str">
        <f>+VLOOKUP(DATOS_[[#This Row],[Clave de Contrato]],TblTiposContrato13[],3,FALSE)</f>
        <v>Completa</v>
      </c>
      <c r="CM211" s="325" t="str">
        <f>+VLOOKUP(DATOS_[[#This Row],[Clave de Contrato]],TblTiposContrato13[],4,FALSE)</f>
        <v>Indefinido</v>
      </c>
      <c r="CN211" s="325" t="str">
        <f>VLOOKUP(DATOS_[[#This Row],[Edad]],CONTRATOS!TblRngEdad,2,TRUE)</f>
        <v>30 a 35</v>
      </c>
      <c r="CO211" s="325" t="str">
        <f>VLOOKUP(DATOS_[[#This Row],[Antigüedad]],TblRngAntg14[],2,TRUE)</f>
        <v>5 a 10  años</v>
      </c>
    </row>
    <row r="212" spans="2:93" x14ac:dyDescent="0.25">
      <c r="B212" s="146">
        <v>187</v>
      </c>
      <c r="C212" s="146" t="s">
        <v>163</v>
      </c>
      <c r="D212" s="295">
        <v>36135</v>
      </c>
      <c r="E212" s="296" t="s">
        <v>71</v>
      </c>
      <c r="F212" s="296">
        <v>2</v>
      </c>
      <c r="G212" s="296">
        <v>1</v>
      </c>
      <c r="H212" s="297">
        <v>42217</v>
      </c>
      <c r="I212" s="298"/>
      <c r="J212" s="295">
        <v>42217</v>
      </c>
      <c r="K212" s="326"/>
      <c r="L212" s="326"/>
      <c r="M212" s="299">
        <v>1</v>
      </c>
      <c r="N212" s="299">
        <v>0.8</v>
      </c>
      <c r="O212" s="299" t="s">
        <v>151</v>
      </c>
      <c r="P212" s="296">
        <v>100</v>
      </c>
      <c r="Q212" s="146" t="s">
        <v>431</v>
      </c>
      <c r="R212" s="146" t="s">
        <v>413</v>
      </c>
      <c r="S212" s="146" t="s">
        <v>440</v>
      </c>
      <c r="T212" s="146" t="s">
        <v>407</v>
      </c>
      <c r="U212" s="146" t="s">
        <v>400</v>
      </c>
      <c r="V212" s="146" t="s">
        <v>438</v>
      </c>
      <c r="W212" s="146" t="s">
        <v>311</v>
      </c>
      <c r="X212" s="146" t="s">
        <v>307</v>
      </c>
      <c r="Y212" s="146" t="s">
        <v>409</v>
      </c>
      <c r="Z212" s="293"/>
      <c r="AA212" s="294" t="s">
        <v>439</v>
      </c>
      <c r="AB212" s="294">
        <v>9</v>
      </c>
      <c r="AC212" s="296">
        <v>7</v>
      </c>
      <c r="AD212" s="301">
        <v>10332.056</v>
      </c>
      <c r="AE212" s="301">
        <v>67.943999999999505</v>
      </c>
      <c r="AF212" s="301">
        <v>413.28224</v>
      </c>
      <c r="AG212" s="301">
        <v>960</v>
      </c>
      <c r="AH212" s="301"/>
      <c r="AI212" s="301"/>
      <c r="AJ212" s="301"/>
      <c r="AK212" s="301">
        <v>80</v>
      </c>
      <c r="AL212" s="301"/>
      <c r="AM212" s="301"/>
      <c r="AN212" s="301"/>
      <c r="AO212" s="301"/>
      <c r="AP212" s="301"/>
      <c r="AQ212" s="301"/>
      <c r="AR212" s="301"/>
      <c r="AS212" s="301"/>
      <c r="AT212" s="301"/>
      <c r="AU212" s="301"/>
      <c r="AV212" s="301"/>
      <c r="AW212" s="301"/>
      <c r="AX212" s="301"/>
      <c r="AY212" s="301"/>
      <c r="AZ212" s="301"/>
      <c r="BA212" s="301"/>
      <c r="BB212" s="301"/>
      <c r="BC212" s="301"/>
      <c r="BD212" s="301"/>
      <c r="BE212" s="301"/>
      <c r="BF212" s="301"/>
      <c r="BG212" s="301"/>
      <c r="BH212" s="301"/>
      <c r="BI212" s="301"/>
      <c r="BJ212" s="301"/>
      <c r="BK212" s="301"/>
      <c r="BL212" s="301"/>
      <c r="BM212" s="302"/>
      <c r="BN212" s="291">
        <f>+MAX($D$3,DATOS_[[#This Row],[Fecha Inicio Sit. Contract.]])</f>
        <v>45292</v>
      </c>
      <c r="BO212" s="291">
        <f>+MIN($D$4,DATOS_[[#This Row],[Fecha Fin Sit. Contract.]])</f>
        <v>45657</v>
      </c>
      <c r="BP212" s="292">
        <f>+DATOS_[[#This Row],[% de jornada]]*IF(DATOS_[[#This Row],[% jornada reducida]]="",1,DATOS_[[#This Row],[% jornada reducida]])</f>
        <v>0.8</v>
      </c>
      <c r="BQ212" s="292">
        <f>+(DATOS_[[#This Row],[F.fin.cal]]-DATOS_[[#This Row],[F.ini.cal]]+1)/($D$4-$D$3+1)</f>
        <v>1</v>
      </c>
      <c r="BR212" s="322" t="str">
        <f>IF(OR(AND(DATOS_[[#This Row],[Fecha Fin Contrato]]&lt;$D$3,DATOS_[[#This Row],[Fecha Fin Contrato]]&lt;&gt;""),DATOS_[[#This Row],[Fecha de Contratación]]&gt;$D$4),"Fuera","Dentro")</f>
        <v>Dentro</v>
      </c>
      <c r="BS212" s="322" t="str">
        <f t="array" ref="BS212">IF(MAX(IF(DATOS_[id]=DATOS_[[#This Row],[id]],DATOS_[F.fin.cal]))=DATOS_[[#This Row],[F.fin.cal]],"Sí","NO")</f>
        <v>Sí</v>
      </c>
      <c r="BT212" s="292" t="str">
        <f>IF(AND(DATOS_[[#This Row],[% normaliz]]&lt;&gt;1,DATOS_[[#This Row],[% anualiz]]=1),"Sí","NO")</f>
        <v>Sí</v>
      </c>
      <c r="BU212" s="292" t="str">
        <f>IF(AND(DATOS_[[#This Row],[% normaliz]]=1,DATOS_[[#This Row],[% anualiz]]&lt;&gt;1),"Sí","NO")</f>
        <v>NO</v>
      </c>
      <c r="BV212" s="292" t="str">
        <f>IF(AND(DATOS_[[#This Row],[% normaliz]]&lt;&gt;1,DATOS_[[#This Row],[% anualiz]]&lt;&gt;1),"Sí","NO")</f>
        <v>NO</v>
      </c>
      <c r="BW212" s="322" t="str">
        <f>+IF(DATOS_[[#This Row],[% normaliz]]*DATOS_[[#This Row],[% anualiz]]=1,"NO","Sí")</f>
        <v>Sí</v>
      </c>
      <c r="BX212" s="323">
        <f>(DATOS_[[#This Row],[S.BASE]]*(1/DATOS_[[#This Row],[% normaliz]])*(1/DATOS_[[#This Row],[% anualiz]]))*IF(DATOS_[[#This Row],[Check Equiparado]]="Sí",1,0)</f>
        <v>12915.07</v>
      </c>
      <c r="BY21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2" s="323">
        <f>+DATOS_[[#This Row],[SALARIO BASE Eq]]+DATOS_[[#This Row],[Tot COMPL.SAL Eq]]</f>
        <v>14556.602799999999</v>
      </c>
      <c r="CA212" s="323">
        <f t="array" ref="CA2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2" s="323">
        <f>+DATOS_[[#This Row],[TOTAL SALARIO Eq]]+DATOS_[[#This Row],[Tot Extrasalarial Eq]]</f>
        <v>14556.602799999999</v>
      </c>
      <c r="CC212" s="327">
        <f>DATOS_[[#This Row],[S.BASE]]</f>
        <v>10332.056</v>
      </c>
      <c r="CD212" s="324">
        <f>+SUM(DATOS_[[#This Row],[Conc.Sal.01]:[Conc.Sal.30]])</f>
        <v>1521.2262399999995</v>
      </c>
      <c r="CE212" s="324">
        <f>+DATOS_[[#This Row],[SALARIO BASE Ef]]+DATOS_[[#This Row],[Tot COMPL.SAL Ef]]</f>
        <v>11853.28224</v>
      </c>
      <c r="CF212" s="324">
        <f>+SUM(DATOS_[[#This Row],[C.Extra.01]:[C.Extra.05]])</f>
        <v>0</v>
      </c>
      <c r="CG212" s="330">
        <f>+DATOS_[[#This Row],[TOTAL SALARIO Ef]]+DATOS_[[#This Row],[Tot Extrasalarial Ef]]</f>
        <v>11853.28224</v>
      </c>
      <c r="CH212" s="303">
        <f>MIN(IF(DATOS_[[#This Row],[Fecha Fin Contrato]]="",$D$4,DATOS_[[#This Row],[Fecha Fin Contrato]]),$D$4)-MAX(DATOS_[[#This Row],[Fecha de Contratación]],$D$3)+1</f>
        <v>366</v>
      </c>
      <c r="CI212" s="304" t="str">
        <f>IF(COUNTIFS(DATOS_[id],DATOS_[[#This Row],[id]])&gt;1,DATOS_[[#This Row],[id]],"")</f>
        <v/>
      </c>
      <c r="CJ212" s="325">
        <f>(Inicio!$G$10-DATOS_[[#This Row],[Fecha Nacimiento]])/365.25</f>
        <v>26.069815195071868</v>
      </c>
      <c r="CK212" s="325">
        <f>(Inicio!$G$10-DATOS_[[#This Row],[Fecha de Antigüedad]])/365.25</f>
        <v>9.4182067077344289</v>
      </c>
      <c r="CL212" s="325" t="str">
        <f>+VLOOKUP(DATOS_[[#This Row],[Clave de Contrato]],TblTiposContrato13[],3,FALSE)</f>
        <v>Completa</v>
      </c>
      <c r="CM212" s="325" t="str">
        <f>+VLOOKUP(DATOS_[[#This Row],[Clave de Contrato]],TblTiposContrato13[],4,FALSE)</f>
        <v>Indefinido</v>
      </c>
      <c r="CN212" s="325" t="str">
        <f>VLOOKUP(DATOS_[[#This Row],[Edad]],CONTRATOS!TblRngEdad,2,TRUE)</f>
        <v>25 a 30</v>
      </c>
      <c r="CO212" s="325" t="str">
        <f>VLOOKUP(DATOS_[[#This Row],[Antigüedad]],TblRngAntg14[],2,TRUE)</f>
        <v>5 a 10  años</v>
      </c>
    </row>
    <row r="213" spans="2:93" x14ac:dyDescent="0.25">
      <c r="B213" s="146">
        <v>188</v>
      </c>
      <c r="C213" s="146" t="s">
        <v>162</v>
      </c>
      <c r="D213" s="295">
        <v>26645</v>
      </c>
      <c r="E213" s="296" t="s">
        <v>71</v>
      </c>
      <c r="F213" s="296">
        <v>1</v>
      </c>
      <c r="G213" s="296">
        <v>1</v>
      </c>
      <c r="H213" s="297">
        <v>42247</v>
      </c>
      <c r="I213" s="298"/>
      <c r="J213" s="295">
        <v>42247</v>
      </c>
      <c r="K213" s="326"/>
      <c r="L213" s="326"/>
      <c r="M213" s="299">
        <v>1</v>
      </c>
      <c r="N213" s="299">
        <v>0.8</v>
      </c>
      <c r="O213" s="299" t="s">
        <v>151</v>
      </c>
      <c r="P213" s="296">
        <v>100</v>
      </c>
      <c r="Q213" s="146" t="s">
        <v>431</v>
      </c>
      <c r="R213" s="146" t="s">
        <v>413</v>
      </c>
      <c r="S213" s="146" t="s">
        <v>440</v>
      </c>
      <c r="T213" s="146" t="s">
        <v>407</v>
      </c>
      <c r="U213" s="146" t="s">
        <v>400</v>
      </c>
      <c r="V213" s="146" t="s">
        <v>438</v>
      </c>
      <c r="W213" s="146" t="s">
        <v>311</v>
      </c>
      <c r="X213" s="146" t="s">
        <v>307</v>
      </c>
      <c r="Y213" s="146" t="s">
        <v>409</v>
      </c>
      <c r="Z213" s="293"/>
      <c r="AA213" s="294" t="s">
        <v>439</v>
      </c>
      <c r="AB213" s="294">
        <v>9</v>
      </c>
      <c r="AC213" s="296">
        <v>7</v>
      </c>
      <c r="AD213" s="301">
        <v>10332.056</v>
      </c>
      <c r="AE213" s="301">
        <v>67.943999999999505</v>
      </c>
      <c r="AF213" s="301">
        <v>413.28224</v>
      </c>
      <c r="AG213" s="301">
        <v>960</v>
      </c>
      <c r="AH213" s="301"/>
      <c r="AI213" s="301"/>
      <c r="AJ213" s="301"/>
      <c r="AK213" s="301">
        <v>80</v>
      </c>
      <c r="AL213" s="301"/>
      <c r="AM213" s="301"/>
      <c r="AN213" s="301"/>
      <c r="AO213" s="301"/>
      <c r="AP213" s="301"/>
      <c r="AQ213" s="301"/>
      <c r="AR213" s="301"/>
      <c r="AS213" s="301"/>
      <c r="AT213" s="301"/>
      <c r="AU213" s="301"/>
      <c r="AV213" s="301"/>
      <c r="AW213" s="301"/>
      <c r="AX213" s="301"/>
      <c r="AY213" s="301"/>
      <c r="AZ213" s="301"/>
      <c r="BA213" s="301"/>
      <c r="BB213" s="301"/>
      <c r="BC213" s="301"/>
      <c r="BD213" s="301"/>
      <c r="BE213" s="301"/>
      <c r="BF213" s="301"/>
      <c r="BG213" s="301"/>
      <c r="BH213" s="301"/>
      <c r="BI213" s="301"/>
      <c r="BJ213" s="301"/>
      <c r="BK213" s="301"/>
      <c r="BL213" s="301"/>
      <c r="BM213" s="302"/>
      <c r="BN213" s="291">
        <f>+MAX($D$3,DATOS_[[#This Row],[Fecha Inicio Sit. Contract.]])</f>
        <v>45292</v>
      </c>
      <c r="BO213" s="291">
        <f>+MIN($D$4,DATOS_[[#This Row],[Fecha Fin Sit. Contract.]])</f>
        <v>45657</v>
      </c>
      <c r="BP213" s="292">
        <f>+DATOS_[[#This Row],[% de jornada]]*IF(DATOS_[[#This Row],[% jornada reducida]]="",1,DATOS_[[#This Row],[% jornada reducida]])</f>
        <v>0.8</v>
      </c>
      <c r="BQ213" s="292">
        <f>+(DATOS_[[#This Row],[F.fin.cal]]-DATOS_[[#This Row],[F.ini.cal]]+1)/($D$4-$D$3+1)</f>
        <v>1</v>
      </c>
      <c r="BR213" s="322" t="str">
        <f>IF(OR(AND(DATOS_[[#This Row],[Fecha Fin Contrato]]&lt;$D$3,DATOS_[[#This Row],[Fecha Fin Contrato]]&lt;&gt;""),DATOS_[[#This Row],[Fecha de Contratación]]&gt;$D$4),"Fuera","Dentro")</f>
        <v>Dentro</v>
      </c>
      <c r="BS213" s="322" t="str">
        <f t="array" ref="BS213">IF(MAX(IF(DATOS_[id]=DATOS_[[#This Row],[id]],DATOS_[F.fin.cal]))=DATOS_[[#This Row],[F.fin.cal]],"Sí","NO")</f>
        <v>Sí</v>
      </c>
      <c r="BT213" s="292" t="str">
        <f>IF(AND(DATOS_[[#This Row],[% normaliz]]&lt;&gt;1,DATOS_[[#This Row],[% anualiz]]=1),"Sí","NO")</f>
        <v>Sí</v>
      </c>
      <c r="BU213" s="292" t="str">
        <f>IF(AND(DATOS_[[#This Row],[% normaliz]]=1,DATOS_[[#This Row],[% anualiz]]&lt;&gt;1),"Sí","NO")</f>
        <v>NO</v>
      </c>
      <c r="BV213" s="292" t="str">
        <f>IF(AND(DATOS_[[#This Row],[% normaliz]]&lt;&gt;1,DATOS_[[#This Row],[% anualiz]]&lt;&gt;1),"Sí","NO")</f>
        <v>NO</v>
      </c>
      <c r="BW213" s="322" t="str">
        <f>+IF(DATOS_[[#This Row],[% normaliz]]*DATOS_[[#This Row],[% anualiz]]=1,"NO","Sí")</f>
        <v>Sí</v>
      </c>
      <c r="BX213" s="323">
        <f>(DATOS_[[#This Row],[S.BASE]]*(1/DATOS_[[#This Row],[% normaliz]])*(1/DATOS_[[#This Row],[% anualiz]]))*IF(DATOS_[[#This Row],[Check Equiparado]]="Sí",1,0)</f>
        <v>12915.07</v>
      </c>
      <c r="BY21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3" s="323">
        <f>+DATOS_[[#This Row],[SALARIO BASE Eq]]+DATOS_[[#This Row],[Tot COMPL.SAL Eq]]</f>
        <v>14556.602799999999</v>
      </c>
      <c r="CA213" s="323">
        <f t="array" ref="CA2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3" s="323">
        <f>+DATOS_[[#This Row],[TOTAL SALARIO Eq]]+DATOS_[[#This Row],[Tot Extrasalarial Eq]]</f>
        <v>14556.602799999999</v>
      </c>
      <c r="CC213" s="327">
        <f>DATOS_[[#This Row],[S.BASE]]</f>
        <v>10332.056</v>
      </c>
      <c r="CD213" s="324">
        <f>+SUM(DATOS_[[#This Row],[Conc.Sal.01]:[Conc.Sal.30]])</f>
        <v>1521.2262399999995</v>
      </c>
      <c r="CE213" s="324">
        <f>+DATOS_[[#This Row],[SALARIO BASE Ef]]+DATOS_[[#This Row],[Tot COMPL.SAL Ef]]</f>
        <v>11853.28224</v>
      </c>
      <c r="CF213" s="324">
        <f>+SUM(DATOS_[[#This Row],[C.Extra.01]:[C.Extra.05]])</f>
        <v>0</v>
      </c>
      <c r="CG213" s="330">
        <f>+DATOS_[[#This Row],[TOTAL SALARIO Ef]]+DATOS_[[#This Row],[Tot Extrasalarial Ef]]</f>
        <v>11853.28224</v>
      </c>
      <c r="CH213" s="303">
        <f>MIN(IF(DATOS_[[#This Row],[Fecha Fin Contrato]]="",$D$4,DATOS_[[#This Row],[Fecha Fin Contrato]]),$D$4)-MAX(DATOS_[[#This Row],[Fecha de Contratación]],$D$3)+1</f>
        <v>366</v>
      </c>
      <c r="CI213" s="304" t="str">
        <f>IF(COUNTIFS(DATOS_[id],DATOS_[[#This Row],[id]])&gt;1,DATOS_[[#This Row],[id]],"")</f>
        <v/>
      </c>
      <c r="CJ213" s="325">
        <f>(Inicio!$G$10-DATOS_[[#This Row],[Fecha Nacimiento]])/365.25</f>
        <v>52.05201916495551</v>
      </c>
      <c r="CK213" s="325">
        <f>(Inicio!$G$10-DATOS_[[#This Row],[Fecha de Antigüedad]])/365.25</f>
        <v>9.3360711841204651</v>
      </c>
      <c r="CL213" s="325" t="str">
        <f>+VLOOKUP(DATOS_[[#This Row],[Clave de Contrato]],TblTiposContrato13[],3,FALSE)</f>
        <v>Completa</v>
      </c>
      <c r="CM213" s="325" t="str">
        <f>+VLOOKUP(DATOS_[[#This Row],[Clave de Contrato]],TblTiposContrato13[],4,FALSE)</f>
        <v>Indefinido</v>
      </c>
      <c r="CN213" s="325" t="str">
        <f>VLOOKUP(DATOS_[[#This Row],[Edad]],CONTRATOS!TblRngEdad,2,TRUE)</f>
        <v>50 a 55</v>
      </c>
      <c r="CO213" s="325" t="str">
        <f>VLOOKUP(DATOS_[[#This Row],[Antigüedad]],TblRngAntg14[],2,TRUE)</f>
        <v>5 a 10  años</v>
      </c>
    </row>
    <row r="214" spans="2:93" x14ac:dyDescent="0.25">
      <c r="B214" s="146">
        <v>189</v>
      </c>
      <c r="C214" s="146" t="s">
        <v>163</v>
      </c>
      <c r="D214" s="295">
        <v>30660</v>
      </c>
      <c r="E214" s="296" t="s">
        <v>71</v>
      </c>
      <c r="F214" s="296">
        <v>1</v>
      </c>
      <c r="G214" s="296">
        <v>1</v>
      </c>
      <c r="H214" s="297">
        <v>42277</v>
      </c>
      <c r="I214" s="298"/>
      <c r="J214" s="295">
        <v>42277</v>
      </c>
      <c r="K214" s="326"/>
      <c r="L214" s="326"/>
      <c r="M214" s="299">
        <v>0.8</v>
      </c>
      <c r="N214" s="299"/>
      <c r="O214" s="299"/>
      <c r="P214" s="296">
        <v>200</v>
      </c>
      <c r="Q214" s="146" t="s">
        <v>431</v>
      </c>
      <c r="R214" s="146" t="s">
        <v>413</v>
      </c>
      <c r="S214" s="146" t="s">
        <v>440</v>
      </c>
      <c r="T214" s="146" t="s">
        <v>407</v>
      </c>
      <c r="U214" s="146" t="s">
        <v>400</v>
      </c>
      <c r="V214" s="146" t="s">
        <v>438</v>
      </c>
      <c r="W214" s="146" t="s">
        <v>311</v>
      </c>
      <c r="X214" s="146" t="s">
        <v>307</v>
      </c>
      <c r="Y214" s="146" t="s">
        <v>409</v>
      </c>
      <c r="Z214" s="293"/>
      <c r="AA214" s="294" t="s">
        <v>439</v>
      </c>
      <c r="AB214" s="294">
        <v>9</v>
      </c>
      <c r="AC214" s="296">
        <v>7</v>
      </c>
      <c r="AD214" s="301">
        <v>10332.056</v>
      </c>
      <c r="AE214" s="301">
        <v>67.943999999999505</v>
      </c>
      <c r="AF214" s="301">
        <v>413.28224</v>
      </c>
      <c r="AG214" s="301">
        <v>960</v>
      </c>
      <c r="AH214" s="301"/>
      <c r="AI214" s="301"/>
      <c r="AJ214" s="301"/>
      <c r="AK214" s="301">
        <v>80</v>
      </c>
      <c r="AL214" s="301"/>
      <c r="AM214" s="301"/>
      <c r="AN214" s="301"/>
      <c r="AO214" s="301"/>
      <c r="AP214" s="301"/>
      <c r="AQ214" s="301"/>
      <c r="AR214" s="301"/>
      <c r="AS214" s="301"/>
      <c r="AT214" s="301"/>
      <c r="AU214" s="301"/>
      <c r="AV214" s="301"/>
      <c r="AW214" s="301"/>
      <c r="AX214" s="301"/>
      <c r="AY214" s="301"/>
      <c r="AZ214" s="301"/>
      <c r="BA214" s="301"/>
      <c r="BB214" s="301"/>
      <c r="BC214" s="301"/>
      <c r="BD214" s="301"/>
      <c r="BE214" s="301"/>
      <c r="BF214" s="301"/>
      <c r="BG214" s="301"/>
      <c r="BH214" s="301"/>
      <c r="BI214" s="301"/>
      <c r="BJ214" s="301"/>
      <c r="BK214" s="301"/>
      <c r="BL214" s="301"/>
      <c r="BM214" s="302"/>
      <c r="BN214" s="291">
        <f>+MAX($D$3,DATOS_[[#This Row],[Fecha Inicio Sit. Contract.]])</f>
        <v>45292</v>
      </c>
      <c r="BO214" s="291">
        <f>+MIN($D$4,DATOS_[[#This Row],[Fecha Fin Sit. Contract.]])</f>
        <v>45657</v>
      </c>
      <c r="BP214" s="292">
        <f>+DATOS_[[#This Row],[% de jornada]]*IF(DATOS_[[#This Row],[% jornada reducida]]="",1,DATOS_[[#This Row],[% jornada reducida]])</f>
        <v>0.8</v>
      </c>
      <c r="BQ214" s="292">
        <f>+(DATOS_[[#This Row],[F.fin.cal]]-DATOS_[[#This Row],[F.ini.cal]]+1)/($D$4-$D$3+1)</f>
        <v>1</v>
      </c>
      <c r="BR214" s="322" t="str">
        <f>IF(OR(AND(DATOS_[[#This Row],[Fecha Fin Contrato]]&lt;$D$3,DATOS_[[#This Row],[Fecha Fin Contrato]]&lt;&gt;""),DATOS_[[#This Row],[Fecha de Contratación]]&gt;$D$4),"Fuera","Dentro")</f>
        <v>Dentro</v>
      </c>
      <c r="BS214" s="322" t="str">
        <f t="array" ref="BS214">IF(MAX(IF(DATOS_[id]=DATOS_[[#This Row],[id]],DATOS_[F.fin.cal]))=DATOS_[[#This Row],[F.fin.cal]],"Sí","NO")</f>
        <v>Sí</v>
      </c>
      <c r="BT214" s="292" t="str">
        <f>IF(AND(DATOS_[[#This Row],[% normaliz]]&lt;&gt;1,DATOS_[[#This Row],[% anualiz]]=1),"Sí","NO")</f>
        <v>Sí</v>
      </c>
      <c r="BU214" s="292" t="str">
        <f>IF(AND(DATOS_[[#This Row],[% normaliz]]=1,DATOS_[[#This Row],[% anualiz]]&lt;&gt;1),"Sí","NO")</f>
        <v>NO</v>
      </c>
      <c r="BV214" s="292" t="str">
        <f>IF(AND(DATOS_[[#This Row],[% normaliz]]&lt;&gt;1,DATOS_[[#This Row],[% anualiz]]&lt;&gt;1),"Sí","NO")</f>
        <v>NO</v>
      </c>
      <c r="BW214" s="322" t="str">
        <f>+IF(DATOS_[[#This Row],[% normaliz]]*DATOS_[[#This Row],[% anualiz]]=1,"NO","Sí")</f>
        <v>Sí</v>
      </c>
      <c r="BX214" s="323">
        <f>(DATOS_[[#This Row],[S.BASE]]*(1/DATOS_[[#This Row],[% normaliz]])*(1/DATOS_[[#This Row],[% anualiz]]))*IF(DATOS_[[#This Row],[Check Equiparado]]="Sí",1,0)</f>
        <v>12915.07</v>
      </c>
      <c r="BY21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4" s="323">
        <f>+DATOS_[[#This Row],[SALARIO BASE Eq]]+DATOS_[[#This Row],[Tot COMPL.SAL Eq]]</f>
        <v>14556.602799999999</v>
      </c>
      <c r="CA214" s="323">
        <f t="array" ref="CA2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4" s="323">
        <f>+DATOS_[[#This Row],[TOTAL SALARIO Eq]]+DATOS_[[#This Row],[Tot Extrasalarial Eq]]</f>
        <v>14556.602799999999</v>
      </c>
      <c r="CC214" s="327">
        <f>DATOS_[[#This Row],[S.BASE]]</f>
        <v>10332.056</v>
      </c>
      <c r="CD214" s="324">
        <f>+SUM(DATOS_[[#This Row],[Conc.Sal.01]:[Conc.Sal.30]])</f>
        <v>1521.2262399999995</v>
      </c>
      <c r="CE214" s="324">
        <f>+DATOS_[[#This Row],[SALARIO BASE Ef]]+DATOS_[[#This Row],[Tot COMPL.SAL Ef]]</f>
        <v>11853.28224</v>
      </c>
      <c r="CF214" s="324">
        <f>+SUM(DATOS_[[#This Row],[C.Extra.01]:[C.Extra.05]])</f>
        <v>0</v>
      </c>
      <c r="CG214" s="330">
        <f>+DATOS_[[#This Row],[TOTAL SALARIO Ef]]+DATOS_[[#This Row],[Tot Extrasalarial Ef]]</f>
        <v>11853.28224</v>
      </c>
      <c r="CH214" s="303">
        <f>MIN(IF(DATOS_[[#This Row],[Fecha Fin Contrato]]="",$D$4,DATOS_[[#This Row],[Fecha Fin Contrato]]),$D$4)-MAX(DATOS_[[#This Row],[Fecha de Contratación]],$D$3)+1</f>
        <v>366</v>
      </c>
      <c r="CI214" s="304" t="str">
        <f>IF(COUNTIFS(DATOS_[id],DATOS_[[#This Row],[id]])&gt;1,DATOS_[[#This Row],[id]],"")</f>
        <v/>
      </c>
      <c r="CJ214" s="325">
        <f>(Inicio!$G$10-DATOS_[[#This Row],[Fecha Nacimiento]])/365.25</f>
        <v>41.059548254620125</v>
      </c>
      <c r="CK214" s="325">
        <f>(Inicio!$G$10-DATOS_[[#This Row],[Fecha de Antigüedad]])/365.25</f>
        <v>9.2539356605065031</v>
      </c>
      <c r="CL214" s="325" t="str">
        <f>+VLOOKUP(DATOS_[[#This Row],[Clave de Contrato]],TblTiposContrato13[],3,FALSE)</f>
        <v>Parcial</v>
      </c>
      <c r="CM214" s="325" t="str">
        <f>+VLOOKUP(DATOS_[[#This Row],[Clave de Contrato]],TblTiposContrato13[],4,FALSE)</f>
        <v>Indefinido</v>
      </c>
      <c r="CN214" s="325" t="str">
        <f>VLOOKUP(DATOS_[[#This Row],[Edad]],CONTRATOS!TblRngEdad,2,TRUE)</f>
        <v>40 a 45</v>
      </c>
      <c r="CO214" s="325" t="str">
        <f>VLOOKUP(DATOS_[[#This Row],[Antigüedad]],TblRngAntg14[],2,TRUE)</f>
        <v>5 a 10  años</v>
      </c>
    </row>
    <row r="215" spans="2:93" x14ac:dyDescent="0.25">
      <c r="B215" s="146">
        <v>190</v>
      </c>
      <c r="C215" s="146" t="s">
        <v>162</v>
      </c>
      <c r="D215" s="295">
        <v>30660</v>
      </c>
      <c r="E215" s="296" t="s">
        <v>71</v>
      </c>
      <c r="F215" s="296">
        <v>1</v>
      </c>
      <c r="G215" s="296">
        <v>2</v>
      </c>
      <c r="H215" s="297">
        <v>42307</v>
      </c>
      <c r="I215" s="298"/>
      <c r="J215" s="295">
        <v>42307</v>
      </c>
      <c r="K215" s="326"/>
      <c r="L215" s="326"/>
      <c r="M215" s="299">
        <v>0.8</v>
      </c>
      <c r="N215" s="299"/>
      <c r="O215" s="299"/>
      <c r="P215" s="296">
        <v>200</v>
      </c>
      <c r="Q215" s="146" t="s">
        <v>431</v>
      </c>
      <c r="R215" s="146" t="s">
        <v>413</v>
      </c>
      <c r="S215" s="146" t="s">
        <v>440</v>
      </c>
      <c r="T215" s="146" t="s">
        <v>407</v>
      </c>
      <c r="U215" s="146" t="s">
        <v>400</v>
      </c>
      <c r="V215" s="146" t="s">
        <v>438</v>
      </c>
      <c r="W215" s="146" t="s">
        <v>311</v>
      </c>
      <c r="X215" s="146" t="s">
        <v>307</v>
      </c>
      <c r="Y215" s="146" t="s">
        <v>409</v>
      </c>
      <c r="Z215" s="293"/>
      <c r="AA215" s="294" t="s">
        <v>439</v>
      </c>
      <c r="AB215" s="294">
        <v>9</v>
      </c>
      <c r="AC215" s="296">
        <v>7</v>
      </c>
      <c r="AD215" s="301">
        <v>10332.056</v>
      </c>
      <c r="AE215" s="301">
        <v>67.943999999999505</v>
      </c>
      <c r="AF215" s="301">
        <v>413.28224</v>
      </c>
      <c r="AG215" s="301">
        <v>960</v>
      </c>
      <c r="AH215" s="301"/>
      <c r="AI215" s="301"/>
      <c r="AJ215" s="301"/>
      <c r="AK215" s="301">
        <v>80</v>
      </c>
      <c r="AL215" s="301"/>
      <c r="AM215" s="301"/>
      <c r="AN215" s="301"/>
      <c r="AO215" s="301"/>
      <c r="AP215" s="301"/>
      <c r="AQ215" s="301"/>
      <c r="AR215" s="301"/>
      <c r="AS215" s="301"/>
      <c r="AT215" s="301"/>
      <c r="AU215" s="301"/>
      <c r="AV215" s="301"/>
      <c r="AW215" s="301"/>
      <c r="AX215" s="301"/>
      <c r="AY215" s="301"/>
      <c r="AZ215" s="301"/>
      <c r="BA215" s="301"/>
      <c r="BB215" s="301"/>
      <c r="BC215" s="301"/>
      <c r="BD215" s="301"/>
      <c r="BE215" s="301"/>
      <c r="BF215" s="301"/>
      <c r="BG215" s="301"/>
      <c r="BH215" s="301"/>
      <c r="BI215" s="301"/>
      <c r="BJ215" s="301"/>
      <c r="BK215" s="301"/>
      <c r="BL215" s="301"/>
      <c r="BM215" s="302"/>
      <c r="BN215" s="291">
        <f>+MAX($D$3,DATOS_[[#This Row],[Fecha Inicio Sit. Contract.]])</f>
        <v>45292</v>
      </c>
      <c r="BO215" s="291">
        <f>+MIN($D$4,DATOS_[[#This Row],[Fecha Fin Sit. Contract.]])</f>
        <v>45657</v>
      </c>
      <c r="BP215" s="292">
        <f>+DATOS_[[#This Row],[% de jornada]]*IF(DATOS_[[#This Row],[% jornada reducida]]="",1,DATOS_[[#This Row],[% jornada reducida]])</f>
        <v>0.8</v>
      </c>
      <c r="BQ215" s="292">
        <f>+(DATOS_[[#This Row],[F.fin.cal]]-DATOS_[[#This Row],[F.ini.cal]]+1)/($D$4-$D$3+1)</f>
        <v>1</v>
      </c>
      <c r="BR215" s="322" t="str">
        <f>IF(OR(AND(DATOS_[[#This Row],[Fecha Fin Contrato]]&lt;$D$3,DATOS_[[#This Row],[Fecha Fin Contrato]]&lt;&gt;""),DATOS_[[#This Row],[Fecha de Contratación]]&gt;$D$4),"Fuera","Dentro")</f>
        <v>Dentro</v>
      </c>
      <c r="BS215" s="322" t="str">
        <f t="array" ref="BS215">IF(MAX(IF(DATOS_[id]=DATOS_[[#This Row],[id]],DATOS_[F.fin.cal]))=DATOS_[[#This Row],[F.fin.cal]],"Sí","NO")</f>
        <v>Sí</v>
      </c>
      <c r="BT215" s="292" t="str">
        <f>IF(AND(DATOS_[[#This Row],[% normaliz]]&lt;&gt;1,DATOS_[[#This Row],[% anualiz]]=1),"Sí","NO")</f>
        <v>Sí</v>
      </c>
      <c r="BU215" s="292" t="str">
        <f>IF(AND(DATOS_[[#This Row],[% normaliz]]=1,DATOS_[[#This Row],[% anualiz]]&lt;&gt;1),"Sí","NO")</f>
        <v>NO</v>
      </c>
      <c r="BV215" s="292" t="str">
        <f>IF(AND(DATOS_[[#This Row],[% normaliz]]&lt;&gt;1,DATOS_[[#This Row],[% anualiz]]&lt;&gt;1),"Sí","NO")</f>
        <v>NO</v>
      </c>
      <c r="BW215" s="322" t="str">
        <f>+IF(DATOS_[[#This Row],[% normaliz]]*DATOS_[[#This Row],[% anualiz]]=1,"NO","Sí")</f>
        <v>Sí</v>
      </c>
      <c r="BX215" s="323">
        <f>(DATOS_[[#This Row],[S.BASE]]*(1/DATOS_[[#This Row],[% normaliz]])*(1/DATOS_[[#This Row],[% anualiz]]))*IF(DATOS_[[#This Row],[Check Equiparado]]="Sí",1,0)</f>
        <v>12915.07</v>
      </c>
      <c r="BY21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5" s="323">
        <f>+DATOS_[[#This Row],[SALARIO BASE Eq]]+DATOS_[[#This Row],[Tot COMPL.SAL Eq]]</f>
        <v>14556.602799999999</v>
      </c>
      <c r="CA215" s="323">
        <f t="array" ref="CA2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5" s="323">
        <f>+DATOS_[[#This Row],[TOTAL SALARIO Eq]]+DATOS_[[#This Row],[Tot Extrasalarial Eq]]</f>
        <v>14556.602799999999</v>
      </c>
      <c r="CC215" s="327">
        <f>DATOS_[[#This Row],[S.BASE]]</f>
        <v>10332.056</v>
      </c>
      <c r="CD215" s="324">
        <f>+SUM(DATOS_[[#This Row],[Conc.Sal.01]:[Conc.Sal.30]])</f>
        <v>1521.2262399999995</v>
      </c>
      <c r="CE215" s="324">
        <f>+DATOS_[[#This Row],[SALARIO BASE Ef]]+DATOS_[[#This Row],[Tot COMPL.SAL Ef]]</f>
        <v>11853.28224</v>
      </c>
      <c r="CF215" s="324">
        <f>+SUM(DATOS_[[#This Row],[C.Extra.01]:[C.Extra.05]])</f>
        <v>0</v>
      </c>
      <c r="CG215" s="330">
        <f>+DATOS_[[#This Row],[TOTAL SALARIO Ef]]+DATOS_[[#This Row],[Tot Extrasalarial Ef]]</f>
        <v>11853.28224</v>
      </c>
      <c r="CH215" s="303">
        <f>MIN(IF(DATOS_[[#This Row],[Fecha Fin Contrato]]="",$D$4,DATOS_[[#This Row],[Fecha Fin Contrato]]),$D$4)-MAX(DATOS_[[#This Row],[Fecha de Contratación]],$D$3)+1</f>
        <v>366</v>
      </c>
      <c r="CI215" s="304" t="str">
        <f>IF(COUNTIFS(DATOS_[id],DATOS_[[#This Row],[id]])&gt;1,DATOS_[[#This Row],[id]],"")</f>
        <v/>
      </c>
      <c r="CJ215" s="325">
        <f>(Inicio!$G$10-DATOS_[[#This Row],[Fecha Nacimiento]])/365.25</f>
        <v>41.059548254620125</v>
      </c>
      <c r="CK215" s="325">
        <f>(Inicio!$G$10-DATOS_[[#This Row],[Fecha de Antigüedad]])/365.25</f>
        <v>9.1718001368925393</v>
      </c>
      <c r="CL215" s="325" t="str">
        <f>+VLOOKUP(DATOS_[[#This Row],[Clave de Contrato]],TblTiposContrato13[],3,FALSE)</f>
        <v>Parcial</v>
      </c>
      <c r="CM215" s="325" t="str">
        <f>+VLOOKUP(DATOS_[[#This Row],[Clave de Contrato]],TblTiposContrato13[],4,FALSE)</f>
        <v>Indefinido</v>
      </c>
      <c r="CN215" s="325" t="str">
        <f>VLOOKUP(DATOS_[[#This Row],[Edad]],CONTRATOS!TblRngEdad,2,TRUE)</f>
        <v>40 a 45</v>
      </c>
      <c r="CO215" s="325" t="str">
        <f>VLOOKUP(DATOS_[[#This Row],[Antigüedad]],TblRngAntg14[],2,TRUE)</f>
        <v>5 a 10  años</v>
      </c>
    </row>
    <row r="216" spans="2:93" x14ac:dyDescent="0.25">
      <c r="B216" s="146">
        <v>191</v>
      </c>
      <c r="C216" s="146" t="s">
        <v>163</v>
      </c>
      <c r="D216" s="295">
        <v>28105</v>
      </c>
      <c r="E216" s="296" t="s">
        <v>71</v>
      </c>
      <c r="F216" s="296">
        <v>3</v>
      </c>
      <c r="G216" s="296">
        <v>0</v>
      </c>
      <c r="H216" s="297">
        <v>42337</v>
      </c>
      <c r="I216" s="298"/>
      <c r="J216" s="295">
        <v>42337</v>
      </c>
      <c r="K216" s="326"/>
      <c r="L216" s="326"/>
      <c r="M216" s="299">
        <v>0.6</v>
      </c>
      <c r="N216" s="299"/>
      <c r="O216" s="299"/>
      <c r="P216" s="296">
        <v>200</v>
      </c>
      <c r="Q216" s="146" t="s">
        <v>431</v>
      </c>
      <c r="R216" s="146" t="s">
        <v>413</v>
      </c>
      <c r="S216" s="146" t="s">
        <v>440</v>
      </c>
      <c r="T216" s="146" t="s">
        <v>407</v>
      </c>
      <c r="U216" s="146" t="s">
        <v>400</v>
      </c>
      <c r="V216" s="146" t="s">
        <v>438</v>
      </c>
      <c r="W216" s="146" t="s">
        <v>311</v>
      </c>
      <c r="X216" s="146" t="s">
        <v>307</v>
      </c>
      <c r="Y216" s="146" t="s">
        <v>409</v>
      </c>
      <c r="Z216" s="293"/>
      <c r="AA216" s="294" t="s">
        <v>439</v>
      </c>
      <c r="AB216" s="294">
        <v>9</v>
      </c>
      <c r="AC216" s="296">
        <v>7</v>
      </c>
      <c r="AD216" s="301">
        <v>7749.0419999999995</v>
      </c>
      <c r="AE216" s="301">
        <v>50.958000000000538</v>
      </c>
      <c r="AF216" s="301">
        <v>309.96168</v>
      </c>
      <c r="AG216" s="301">
        <v>960</v>
      </c>
      <c r="AH216" s="301"/>
      <c r="AI216" s="301"/>
      <c r="AJ216" s="301"/>
      <c r="AK216" s="301">
        <v>80</v>
      </c>
      <c r="AL216" s="301"/>
      <c r="AM216" s="301"/>
      <c r="AN216" s="301"/>
      <c r="AO216" s="301"/>
      <c r="AP216" s="301"/>
      <c r="AQ216" s="301"/>
      <c r="AR216" s="301"/>
      <c r="AS216" s="301"/>
      <c r="AT216" s="301"/>
      <c r="AU216" s="301"/>
      <c r="AV216" s="301"/>
      <c r="AW216" s="301"/>
      <c r="AX216" s="301"/>
      <c r="AY216" s="301"/>
      <c r="AZ216" s="301"/>
      <c r="BA216" s="301"/>
      <c r="BB216" s="301"/>
      <c r="BC216" s="301"/>
      <c r="BD216" s="301"/>
      <c r="BE216" s="301"/>
      <c r="BF216" s="301"/>
      <c r="BG216" s="301"/>
      <c r="BH216" s="301"/>
      <c r="BI216" s="301"/>
      <c r="BJ216" s="301"/>
      <c r="BK216" s="301"/>
      <c r="BL216" s="301"/>
      <c r="BM216" s="302"/>
      <c r="BN216" s="291">
        <f>+MAX($D$3,DATOS_[[#This Row],[Fecha Inicio Sit. Contract.]])</f>
        <v>45292</v>
      </c>
      <c r="BO216" s="291">
        <f>+MIN($D$4,DATOS_[[#This Row],[Fecha Fin Sit. Contract.]])</f>
        <v>45657</v>
      </c>
      <c r="BP216" s="292">
        <f>+DATOS_[[#This Row],[% de jornada]]*IF(DATOS_[[#This Row],[% jornada reducida]]="",1,DATOS_[[#This Row],[% jornada reducida]])</f>
        <v>0.6</v>
      </c>
      <c r="BQ216" s="292">
        <f>+(DATOS_[[#This Row],[F.fin.cal]]-DATOS_[[#This Row],[F.ini.cal]]+1)/($D$4-$D$3+1)</f>
        <v>1</v>
      </c>
      <c r="BR216" s="322" t="str">
        <f>IF(OR(AND(DATOS_[[#This Row],[Fecha Fin Contrato]]&lt;$D$3,DATOS_[[#This Row],[Fecha Fin Contrato]]&lt;&gt;""),DATOS_[[#This Row],[Fecha de Contratación]]&gt;$D$4),"Fuera","Dentro")</f>
        <v>Dentro</v>
      </c>
      <c r="BS216" s="322" t="str">
        <f t="array" ref="BS216">IF(MAX(IF(DATOS_[id]=DATOS_[[#This Row],[id]],DATOS_[F.fin.cal]))=DATOS_[[#This Row],[F.fin.cal]],"Sí","NO")</f>
        <v>Sí</v>
      </c>
      <c r="BT216" s="292" t="str">
        <f>IF(AND(DATOS_[[#This Row],[% normaliz]]&lt;&gt;1,DATOS_[[#This Row],[% anualiz]]=1),"Sí","NO")</f>
        <v>Sí</v>
      </c>
      <c r="BU216" s="292" t="str">
        <f>IF(AND(DATOS_[[#This Row],[% normaliz]]=1,DATOS_[[#This Row],[% anualiz]]&lt;&gt;1),"Sí","NO")</f>
        <v>NO</v>
      </c>
      <c r="BV216" s="292" t="str">
        <f>IF(AND(DATOS_[[#This Row],[% normaliz]]&lt;&gt;1,DATOS_[[#This Row],[% anualiz]]&lt;&gt;1),"Sí","NO")</f>
        <v>NO</v>
      </c>
      <c r="BW216" s="322" t="str">
        <f>+IF(DATOS_[[#This Row],[% normaliz]]*DATOS_[[#This Row],[% anualiz]]=1,"NO","Sí")</f>
        <v>Sí</v>
      </c>
      <c r="BX216" s="323">
        <f>(DATOS_[[#This Row],[S.BASE]]*(1/DATOS_[[#This Row],[% normaliz]])*(1/DATOS_[[#This Row],[% anualiz]]))*IF(DATOS_[[#This Row],[Check Equiparado]]="Sí",1,0)</f>
        <v>12915.07</v>
      </c>
      <c r="BY21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1641.5328000000009</v>
      </c>
      <c r="BZ216" s="323">
        <f>+DATOS_[[#This Row],[SALARIO BASE Eq]]+DATOS_[[#This Row],[Tot COMPL.SAL Eq]]</f>
        <v>14556.602800000001</v>
      </c>
      <c r="CA216" s="323">
        <f t="array" ref="CA2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6" s="323">
        <f>+DATOS_[[#This Row],[TOTAL SALARIO Eq]]+DATOS_[[#This Row],[Tot Extrasalarial Eq]]</f>
        <v>14556.602800000001</v>
      </c>
      <c r="CC216" s="327">
        <f>DATOS_[[#This Row],[S.BASE]]</f>
        <v>7749.0419999999995</v>
      </c>
      <c r="CD216" s="324">
        <f>+SUM(DATOS_[[#This Row],[Conc.Sal.01]:[Conc.Sal.30]])</f>
        <v>1400.9196800000004</v>
      </c>
      <c r="CE216" s="324">
        <f>+DATOS_[[#This Row],[SALARIO BASE Ef]]+DATOS_[[#This Row],[Tot COMPL.SAL Ef]]</f>
        <v>9149.9616800000003</v>
      </c>
      <c r="CF216" s="324">
        <f>+SUM(DATOS_[[#This Row],[C.Extra.01]:[C.Extra.05]])</f>
        <v>0</v>
      </c>
      <c r="CG216" s="330">
        <f>+DATOS_[[#This Row],[TOTAL SALARIO Ef]]+DATOS_[[#This Row],[Tot Extrasalarial Ef]]</f>
        <v>9149.9616800000003</v>
      </c>
      <c r="CH216" s="303">
        <f>MIN(IF(DATOS_[[#This Row],[Fecha Fin Contrato]]="",$D$4,DATOS_[[#This Row],[Fecha Fin Contrato]]),$D$4)-MAX(DATOS_[[#This Row],[Fecha de Contratación]],$D$3)+1</f>
        <v>366</v>
      </c>
      <c r="CI216" s="304" t="str">
        <f>IF(COUNTIFS(DATOS_[id],DATOS_[[#This Row],[id]])&gt;1,DATOS_[[#This Row],[id]],"")</f>
        <v/>
      </c>
      <c r="CJ216" s="325">
        <f>(Inicio!$G$10-DATOS_[[#This Row],[Fecha Nacimiento]])/365.25</f>
        <v>48.054757015742645</v>
      </c>
      <c r="CK216" s="325">
        <f>(Inicio!$G$10-DATOS_[[#This Row],[Fecha de Antigüedad]])/365.25</f>
        <v>9.0896646132785754</v>
      </c>
      <c r="CL216" s="325" t="str">
        <f>+VLOOKUP(DATOS_[[#This Row],[Clave de Contrato]],TblTiposContrato13[],3,FALSE)</f>
        <v>Parcial</v>
      </c>
      <c r="CM216" s="325" t="str">
        <f>+VLOOKUP(DATOS_[[#This Row],[Clave de Contrato]],TblTiposContrato13[],4,FALSE)</f>
        <v>Indefinido</v>
      </c>
      <c r="CN216" s="325" t="str">
        <f>VLOOKUP(DATOS_[[#This Row],[Edad]],CONTRATOS!TblRngEdad,2,TRUE)</f>
        <v>45 a 50</v>
      </c>
      <c r="CO216" s="325" t="str">
        <f>VLOOKUP(DATOS_[[#This Row],[Antigüedad]],TblRngAntg14[],2,TRUE)</f>
        <v>5 a 10  años</v>
      </c>
    </row>
    <row r="217" spans="2:93" x14ac:dyDescent="0.25">
      <c r="B217" s="146">
        <v>192</v>
      </c>
      <c r="C217" s="146" t="s">
        <v>163</v>
      </c>
      <c r="D217" s="295">
        <v>31390</v>
      </c>
      <c r="E217" s="296" t="s">
        <v>71</v>
      </c>
      <c r="F217" s="296">
        <v>3</v>
      </c>
      <c r="G217" s="296">
        <v>0</v>
      </c>
      <c r="H217" s="297">
        <v>42367</v>
      </c>
      <c r="I217" s="298"/>
      <c r="J217" s="295">
        <v>42367</v>
      </c>
      <c r="K217" s="326"/>
      <c r="L217" s="326"/>
      <c r="M217" s="299">
        <v>0.6</v>
      </c>
      <c r="N217" s="299"/>
      <c r="O217" s="299"/>
      <c r="P217" s="296">
        <v>200</v>
      </c>
      <c r="Q217" s="146" t="s">
        <v>431</v>
      </c>
      <c r="R217" s="146" t="s">
        <v>413</v>
      </c>
      <c r="S217" s="146" t="s">
        <v>440</v>
      </c>
      <c r="T217" s="146" t="s">
        <v>407</v>
      </c>
      <c r="U217" s="146" t="s">
        <v>400</v>
      </c>
      <c r="V217" s="146" t="s">
        <v>438</v>
      </c>
      <c r="W217" s="146" t="s">
        <v>311</v>
      </c>
      <c r="X217" s="146" t="s">
        <v>307</v>
      </c>
      <c r="Y217" s="146" t="s">
        <v>409</v>
      </c>
      <c r="Z217" s="293"/>
      <c r="AA217" s="294" t="s">
        <v>439</v>
      </c>
      <c r="AB217" s="294">
        <v>9</v>
      </c>
      <c r="AC217" s="296">
        <v>7</v>
      </c>
      <c r="AD217" s="301">
        <v>7749.0419999999995</v>
      </c>
      <c r="AE217" s="301">
        <v>50.958000000000538</v>
      </c>
      <c r="AF217" s="301">
        <v>309.96168</v>
      </c>
      <c r="AG217" s="301">
        <v>960</v>
      </c>
      <c r="AH217" s="301"/>
      <c r="AI217" s="301"/>
      <c r="AJ217" s="301"/>
      <c r="AK217" s="301">
        <v>80</v>
      </c>
      <c r="AL217" s="301"/>
      <c r="AM217" s="301"/>
      <c r="AN217" s="301"/>
      <c r="AO217" s="301"/>
      <c r="AP217" s="301"/>
      <c r="AQ217" s="301"/>
      <c r="AR217" s="301"/>
      <c r="AS217" s="301"/>
      <c r="AT217" s="301"/>
      <c r="AU217" s="301"/>
      <c r="AV217" s="301"/>
      <c r="AW217" s="301"/>
      <c r="AX217" s="301"/>
      <c r="AY217" s="301"/>
      <c r="AZ217" s="301"/>
      <c r="BA217" s="301"/>
      <c r="BB217" s="301"/>
      <c r="BC217" s="301"/>
      <c r="BD217" s="301"/>
      <c r="BE217" s="301"/>
      <c r="BF217" s="301"/>
      <c r="BG217" s="301"/>
      <c r="BH217" s="301"/>
      <c r="BI217" s="301"/>
      <c r="BJ217" s="301"/>
      <c r="BK217" s="301"/>
      <c r="BL217" s="301"/>
      <c r="BM217" s="302"/>
      <c r="BN217" s="291">
        <f>+MAX($D$3,DATOS_[[#This Row],[Fecha Inicio Sit. Contract.]])</f>
        <v>45292</v>
      </c>
      <c r="BO217" s="291">
        <f>+MIN($D$4,DATOS_[[#This Row],[Fecha Fin Sit. Contract.]])</f>
        <v>45657</v>
      </c>
      <c r="BP217" s="292">
        <f>+DATOS_[[#This Row],[% de jornada]]*IF(DATOS_[[#This Row],[% jornada reducida]]="",1,DATOS_[[#This Row],[% jornada reducida]])</f>
        <v>0.6</v>
      </c>
      <c r="BQ217" s="292">
        <f>+(DATOS_[[#This Row],[F.fin.cal]]-DATOS_[[#This Row],[F.ini.cal]]+1)/($D$4-$D$3+1)</f>
        <v>1</v>
      </c>
      <c r="BR217" s="322" t="str">
        <f>IF(OR(AND(DATOS_[[#This Row],[Fecha Fin Contrato]]&lt;$D$3,DATOS_[[#This Row],[Fecha Fin Contrato]]&lt;&gt;""),DATOS_[[#This Row],[Fecha de Contratación]]&gt;$D$4),"Fuera","Dentro")</f>
        <v>Dentro</v>
      </c>
      <c r="BS217" s="322" t="str">
        <f t="array" ref="BS217">IF(MAX(IF(DATOS_[id]=DATOS_[[#This Row],[id]],DATOS_[F.fin.cal]))=DATOS_[[#This Row],[F.fin.cal]],"Sí","NO")</f>
        <v>Sí</v>
      </c>
      <c r="BT217" s="292" t="str">
        <f>IF(AND(DATOS_[[#This Row],[% normaliz]]&lt;&gt;1,DATOS_[[#This Row],[% anualiz]]=1),"Sí","NO")</f>
        <v>Sí</v>
      </c>
      <c r="BU217" s="292" t="str">
        <f>IF(AND(DATOS_[[#This Row],[% normaliz]]=1,DATOS_[[#This Row],[% anualiz]]&lt;&gt;1),"Sí","NO")</f>
        <v>NO</v>
      </c>
      <c r="BV217" s="292" t="str">
        <f>IF(AND(DATOS_[[#This Row],[% normaliz]]&lt;&gt;1,DATOS_[[#This Row],[% anualiz]]&lt;&gt;1),"Sí","NO")</f>
        <v>NO</v>
      </c>
      <c r="BW217" s="322" t="str">
        <f>+IF(DATOS_[[#This Row],[% normaliz]]*DATOS_[[#This Row],[% anualiz]]=1,"NO","Sí")</f>
        <v>Sí</v>
      </c>
      <c r="BX217" s="323">
        <f>(DATOS_[[#This Row],[S.BASE]]*(1/DATOS_[[#This Row],[% normaliz]])*(1/DATOS_[[#This Row],[% anualiz]]))*IF(DATOS_[[#This Row],[Check Equiparado]]="Sí",1,0)</f>
        <v>12915.07</v>
      </c>
      <c r="BY21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1641.5328000000009</v>
      </c>
      <c r="BZ217" s="323">
        <f>+DATOS_[[#This Row],[SALARIO BASE Eq]]+DATOS_[[#This Row],[Tot COMPL.SAL Eq]]</f>
        <v>14556.602800000001</v>
      </c>
      <c r="CA217" s="323">
        <f t="array" ref="CA2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7" s="323">
        <f>+DATOS_[[#This Row],[TOTAL SALARIO Eq]]+DATOS_[[#This Row],[Tot Extrasalarial Eq]]</f>
        <v>14556.602800000001</v>
      </c>
      <c r="CC217" s="327">
        <f>DATOS_[[#This Row],[S.BASE]]</f>
        <v>7749.0419999999995</v>
      </c>
      <c r="CD217" s="324">
        <f>+SUM(DATOS_[[#This Row],[Conc.Sal.01]:[Conc.Sal.30]])</f>
        <v>1400.9196800000004</v>
      </c>
      <c r="CE217" s="324">
        <f>+DATOS_[[#This Row],[SALARIO BASE Ef]]+DATOS_[[#This Row],[Tot COMPL.SAL Ef]]</f>
        <v>9149.9616800000003</v>
      </c>
      <c r="CF217" s="324">
        <f>+SUM(DATOS_[[#This Row],[C.Extra.01]:[C.Extra.05]])</f>
        <v>0</v>
      </c>
      <c r="CG217" s="330">
        <f>+DATOS_[[#This Row],[TOTAL SALARIO Ef]]+DATOS_[[#This Row],[Tot Extrasalarial Ef]]</f>
        <v>9149.9616800000003</v>
      </c>
      <c r="CH217" s="303">
        <f>MIN(IF(DATOS_[[#This Row],[Fecha Fin Contrato]]="",$D$4,DATOS_[[#This Row],[Fecha Fin Contrato]]),$D$4)-MAX(DATOS_[[#This Row],[Fecha de Contratación]],$D$3)+1</f>
        <v>366</v>
      </c>
      <c r="CI217" s="304" t="str">
        <f>IF(COUNTIFS(DATOS_[id],DATOS_[[#This Row],[id]])&gt;1,DATOS_[[#This Row],[id]],"")</f>
        <v/>
      </c>
      <c r="CJ217" s="325">
        <f>(Inicio!$G$10-DATOS_[[#This Row],[Fecha Nacimiento]])/365.25</f>
        <v>39.060917180013689</v>
      </c>
      <c r="CK217" s="325">
        <f>(Inicio!$G$10-DATOS_[[#This Row],[Fecha de Antigüedad]])/365.25</f>
        <v>9.0075290896646134</v>
      </c>
      <c r="CL217" s="325" t="str">
        <f>+VLOOKUP(DATOS_[[#This Row],[Clave de Contrato]],TblTiposContrato13[],3,FALSE)</f>
        <v>Parcial</v>
      </c>
      <c r="CM217" s="325" t="str">
        <f>+VLOOKUP(DATOS_[[#This Row],[Clave de Contrato]],TblTiposContrato13[],4,FALSE)</f>
        <v>Indefinido</v>
      </c>
      <c r="CN217" s="325" t="str">
        <f>VLOOKUP(DATOS_[[#This Row],[Edad]],CONTRATOS!TblRngEdad,2,TRUE)</f>
        <v>35 a 40</v>
      </c>
      <c r="CO217" s="325" t="str">
        <f>VLOOKUP(DATOS_[[#This Row],[Antigüedad]],TblRngAntg14[],2,TRUE)</f>
        <v>5 a 10  años</v>
      </c>
    </row>
    <row r="218" spans="2:93" x14ac:dyDescent="0.25">
      <c r="B218" s="146">
        <v>193</v>
      </c>
      <c r="C218" s="146" t="s">
        <v>163</v>
      </c>
      <c r="D218" s="295">
        <v>26280</v>
      </c>
      <c r="E218" s="296" t="s">
        <v>71</v>
      </c>
      <c r="F218" s="296">
        <v>3</v>
      </c>
      <c r="G218" s="296">
        <v>0</v>
      </c>
      <c r="H218" s="297">
        <v>42397</v>
      </c>
      <c r="I218" s="298"/>
      <c r="J218" s="295">
        <v>42397</v>
      </c>
      <c r="K218" s="326"/>
      <c r="L218" s="326"/>
      <c r="M218" s="299">
        <v>1</v>
      </c>
      <c r="N218" s="299"/>
      <c r="O218" s="299"/>
      <c r="P218" s="296">
        <v>100</v>
      </c>
      <c r="Q218" s="146" t="s">
        <v>431</v>
      </c>
      <c r="R218" s="146" t="s">
        <v>413</v>
      </c>
      <c r="S218" s="146" t="s">
        <v>440</v>
      </c>
      <c r="T218" s="146" t="s">
        <v>407</v>
      </c>
      <c r="U218" s="146" t="s">
        <v>400</v>
      </c>
      <c r="V218" s="146" t="s">
        <v>438</v>
      </c>
      <c r="W218" s="146" t="s">
        <v>311</v>
      </c>
      <c r="X218" s="146" t="s">
        <v>307</v>
      </c>
      <c r="Y218" s="146" t="s">
        <v>409</v>
      </c>
      <c r="Z218" s="293"/>
      <c r="AA218" s="294" t="s">
        <v>439</v>
      </c>
      <c r="AB218" s="294">
        <v>9</v>
      </c>
      <c r="AC218" s="296">
        <v>7</v>
      </c>
      <c r="AD218" s="301">
        <v>12915.07</v>
      </c>
      <c r="AE218" s="301">
        <v>84.930000000000291</v>
      </c>
      <c r="AF218" s="301"/>
      <c r="AG218" s="301">
        <v>960</v>
      </c>
      <c r="AH218" s="301"/>
      <c r="AI218" s="301"/>
      <c r="AJ218" s="301"/>
      <c r="AK218" s="301">
        <v>80</v>
      </c>
      <c r="AL218" s="301"/>
      <c r="AM218" s="301"/>
      <c r="AN218" s="301"/>
      <c r="AO218" s="301"/>
      <c r="AP218" s="301"/>
      <c r="AQ218" s="301"/>
      <c r="AR218" s="301"/>
      <c r="AS218" s="301"/>
      <c r="AT218" s="301"/>
      <c r="AU218" s="301"/>
      <c r="AV218" s="301"/>
      <c r="AW218" s="301"/>
      <c r="AX218" s="301"/>
      <c r="AY218" s="301"/>
      <c r="AZ218" s="301"/>
      <c r="BA218" s="301"/>
      <c r="BB218" s="301"/>
      <c r="BC218" s="301"/>
      <c r="BD218" s="301"/>
      <c r="BE218" s="301"/>
      <c r="BF218" s="301"/>
      <c r="BG218" s="301"/>
      <c r="BH218" s="301"/>
      <c r="BI218" s="301"/>
      <c r="BJ218" s="301"/>
      <c r="BK218" s="301"/>
      <c r="BL218" s="301"/>
      <c r="BM218" s="302"/>
      <c r="BN218" s="291">
        <f>+MAX($D$3,DATOS_[[#This Row],[Fecha Inicio Sit. Contract.]])</f>
        <v>45292</v>
      </c>
      <c r="BO218" s="291">
        <f>+MIN($D$4,DATOS_[[#This Row],[Fecha Fin Sit. Contract.]])</f>
        <v>45657</v>
      </c>
      <c r="BP218" s="292">
        <f>+DATOS_[[#This Row],[% de jornada]]*IF(DATOS_[[#This Row],[% jornada reducida]]="",1,DATOS_[[#This Row],[% jornada reducida]])</f>
        <v>1</v>
      </c>
      <c r="BQ218" s="292">
        <f>+(DATOS_[[#This Row],[F.fin.cal]]-DATOS_[[#This Row],[F.ini.cal]]+1)/($D$4-$D$3+1)</f>
        <v>1</v>
      </c>
      <c r="BR218" s="322" t="str">
        <f>IF(OR(AND(DATOS_[[#This Row],[Fecha Fin Contrato]]&lt;$D$3,DATOS_[[#This Row],[Fecha Fin Contrato]]&lt;&gt;""),DATOS_[[#This Row],[Fecha de Contratación]]&gt;$D$4),"Fuera","Dentro")</f>
        <v>Dentro</v>
      </c>
      <c r="BS218" s="322" t="str">
        <f t="array" ref="BS218">IF(MAX(IF(DATOS_[id]=DATOS_[[#This Row],[id]],DATOS_[F.fin.cal]))=DATOS_[[#This Row],[F.fin.cal]],"Sí","NO")</f>
        <v>Sí</v>
      </c>
      <c r="BT218" s="292" t="str">
        <f>IF(AND(DATOS_[[#This Row],[% normaliz]]&lt;&gt;1,DATOS_[[#This Row],[% anualiz]]=1),"Sí","NO")</f>
        <v>NO</v>
      </c>
      <c r="BU218" s="292" t="str">
        <f>IF(AND(DATOS_[[#This Row],[% normaliz]]=1,DATOS_[[#This Row],[% anualiz]]&lt;&gt;1),"Sí","NO")</f>
        <v>NO</v>
      </c>
      <c r="BV218" s="292" t="str">
        <f>IF(AND(DATOS_[[#This Row],[% normaliz]]&lt;&gt;1,DATOS_[[#This Row],[% anualiz]]&lt;&gt;1),"Sí","NO")</f>
        <v>NO</v>
      </c>
      <c r="BW218" s="322" t="str">
        <f>+IF(DATOS_[[#This Row],[% normaliz]]*DATOS_[[#This Row],[% anualiz]]=1,"NO","Sí")</f>
        <v>NO</v>
      </c>
      <c r="BX218" s="323">
        <f>(DATOS_[[#This Row],[S.BASE]]*(1/DATOS_[[#This Row],[% normaliz]])*(1/DATOS_[[#This Row],[% anualiz]]))*IF(DATOS_[[#This Row],[Check Equiparado]]="Sí",1,0)</f>
        <v>12915.07</v>
      </c>
      <c r="BY21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18" s="323">
        <f>+DATOS_[[#This Row],[SALARIO BASE Eq]]+DATOS_[[#This Row],[Tot COMPL.SAL Eq]]</f>
        <v>14040</v>
      </c>
      <c r="CA218" s="323">
        <f t="array" ref="CA2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8" s="323">
        <f>+DATOS_[[#This Row],[TOTAL SALARIO Eq]]+DATOS_[[#This Row],[Tot Extrasalarial Eq]]</f>
        <v>14040</v>
      </c>
      <c r="CC218" s="327">
        <f>DATOS_[[#This Row],[S.BASE]]</f>
        <v>12915.07</v>
      </c>
      <c r="CD218" s="324">
        <f>+SUM(DATOS_[[#This Row],[Conc.Sal.01]:[Conc.Sal.30]])</f>
        <v>1124.9300000000003</v>
      </c>
      <c r="CE218" s="324">
        <f>+DATOS_[[#This Row],[SALARIO BASE Ef]]+DATOS_[[#This Row],[Tot COMPL.SAL Ef]]</f>
        <v>14040</v>
      </c>
      <c r="CF218" s="324">
        <f>+SUM(DATOS_[[#This Row],[C.Extra.01]:[C.Extra.05]])</f>
        <v>0</v>
      </c>
      <c r="CG218" s="330">
        <f>+DATOS_[[#This Row],[TOTAL SALARIO Ef]]+DATOS_[[#This Row],[Tot Extrasalarial Ef]]</f>
        <v>14040</v>
      </c>
      <c r="CH218" s="303">
        <f>MIN(IF(DATOS_[[#This Row],[Fecha Fin Contrato]]="",$D$4,DATOS_[[#This Row],[Fecha Fin Contrato]]),$D$4)-MAX(DATOS_[[#This Row],[Fecha de Contratación]],$D$3)+1</f>
        <v>366</v>
      </c>
      <c r="CI218" s="304" t="str">
        <f>IF(COUNTIFS(DATOS_[id],DATOS_[[#This Row],[id]])&gt;1,DATOS_[[#This Row],[id]],"")</f>
        <v/>
      </c>
      <c r="CJ218" s="325">
        <f>(Inicio!$G$10-DATOS_[[#This Row],[Fecha Nacimiento]])/365.25</f>
        <v>53.051334702258728</v>
      </c>
      <c r="CK218" s="325">
        <f>(Inicio!$G$10-DATOS_[[#This Row],[Fecha de Antigüedad]])/365.25</f>
        <v>8.9253935660506496</v>
      </c>
      <c r="CL218" s="325" t="str">
        <f>+VLOOKUP(DATOS_[[#This Row],[Clave de Contrato]],TblTiposContrato13[],3,FALSE)</f>
        <v>Completa</v>
      </c>
      <c r="CM218" s="325" t="str">
        <f>+VLOOKUP(DATOS_[[#This Row],[Clave de Contrato]],TblTiposContrato13[],4,FALSE)</f>
        <v>Indefinido</v>
      </c>
      <c r="CN218" s="325" t="str">
        <f>VLOOKUP(DATOS_[[#This Row],[Edad]],CONTRATOS!TblRngEdad,2,TRUE)</f>
        <v>50 a 55</v>
      </c>
      <c r="CO218" s="325" t="str">
        <f>VLOOKUP(DATOS_[[#This Row],[Antigüedad]],TblRngAntg14[],2,TRUE)</f>
        <v>5 a 10  años</v>
      </c>
    </row>
    <row r="219" spans="2:93" x14ac:dyDescent="0.25">
      <c r="B219" s="146">
        <v>194</v>
      </c>
      <c r="C219" s="146" t="s">
        <v>163</v>
      </c>
      <c r="D219" s="295">
        <v>35770</v>
      </c>
      <c r="E219" s="296" t="s">
        <v>71</v>
      </c>
      <c r="F219" s="296">
        <v>3</v>
      </c>
      <c r="G219" s="296">
        <v>0</v>
      </c>
      <c r="H219" s="297">
        <v>42427</v>
      </c>
      <c r="I219" s="298"/>
      <c r="J219" s="295">
        <v>42427</v>
      </c>
      <c r="K219" s="326"/>
      <c r="L219" s="326"/>
      <c r="M219" s="299">
        <v>1</v>
      </c>
      <c r="N219" s="299"/>
      <c r="O219" s="299"/>
      <c r="P219" s="296">
        <v>100</v>
      </c>
      <c r="Q219" s="146" t="s">
        <v>431</v>
      </c>
      <c r="R219" s="146" t="s">
        <v>413</v>
      </c>
      <c r="S219" s="146" t="s">
        <v>440</v>
      </c>
      <c r="T219" s="146" t="s">
        <v>407</v>
      </c>
      <c r="U219" s="146" t="s">
        <v>400</v>
      </c>
      <c r="V219" s="146" t="s">
        <v>438</v>
      </c>
      <c r="W219" s="146" t="s">
        <v>311</v>
      </c>
      <c r="X219" s="146" t="s">
        <v>307</v>
      </c>
      <c r="Y219" s="146" t="s">
        <v>409</v>
      </c>
      <c r="Z219" s="293"/>
      <c r="AA219" s="294" t="s">
        <v>439</v>
      </c>
      <c r="AB219" s="294">
        <v>9</v>
      </c>
      <c r="AC219" s="296">
        <v>7</v>
      </c>
      <c r="AD219" s="301">
        <v>12915.07</v>
      </c>
      <c r="AE219" s="301">
        <v>84.930000000000291</v>
      </c>
      <c r="AF219" s="301"/>
      <c r="AG219" s="301">
        <v>960</v>
      </c>
      <c r="AH219" s="301"/>
      <c r="AI219" s="301"/>
      <c r="AJ219" s="301"/>
      <c r="AK219" s="301">
        <v>80</v>
      </c>
      <c r="AL219" s="301"/>
      <c r="AM219" s="301"/>
      <c r="AN219" s="301"/>
      <c r="AO219" s="301"/>
      <c r="AP219" s="301"/>
      <c r="AQ219" s="301"/>
      <c r="AR219" s="301"/>
      <c r="AS219" s="301"/>
      <c r="AT219" s="301"/>
      <c r="AU219" s="301"/>
      <c r="AV219" s="301"/>
      <c r="AW219" s="301"/>
      <c r="AX219" s="301"/>
      <c r="AY219" s="301"/>
      <c r="AZ219" s="301"/>
      <c r="BA219" s="301"/>
      <c r="BB219" s="301"/>
      <c r="BC219" s="301"/>
      <c r="BD219" s="301"/>
      <c r="BE219" s="301"/>
      <c r="BF219" s="301"/>
      <c r="BG219" s="301"/>
      <c r="BH219" s="301"/>
      <c r="BI219" s="301"/>
      <c r="BJ219" s="301"/>
      <c r="BK219" s="301"/>
      <c r="BL219" s="301"/>
      <c r="BM219" s="302"/>
      <c r="BN219" s="291">
        <f>+MAX($D$3,DATOS_[[#This Row],[Fecha Inicio Sit. Contract.]])</f>
        <v>45292</v>
      </c>
      <c r="BO219" s="291">
        <f>+MIN($D$4,DATOS_[[#This Row],[Fecha Fin Sit. Contract.]])</f>
        <v>45657</v>
      </c>
      <c r="BP219" s="292">
        <f>+DATOS_[[#This Row],[% de jornada]]*IF(DATOS_[[#This Row],[% jornada reducida]]="",1,DATOS_[[#This Row],[% jornada reducida]])</f>
        <v>1</v>
      </c>
      <c r="BQ219" s="292">
        <f>+(DATOS_[[#This Row],[F.fin.cal]]-DATOS_[[#This Row],[F.ini.cal]]+1)/($D$4-$D$3+1)</f>
        <v>1</v>
      </c>
      <c r="BR219" s="322" t="str">
        <f>IF(OR(AND(DATOS_[[#This Row],[Fecha Fin Contrato]]&lt;$D$3,DATOS_[[#This Row],[Fecha Fin Contrato]]&lt;&gt;""),DATOS_[[#This Row],[Fecha de Contratación]]&gt;$D$4),"Fuera","Dentro")</f>
        <v>Dentro</v>
      </c>
      <c r="BS219" s="322" t="str">
        <f t="array" ref="BS219">IF(MAX(IF(DATOS_[id]=DATOS_[[#This Row],[id]],DATOS_[F.fin.cal]))=DATOS_[[#This Row],[F.fin.cal]],"Sí","NO")</f>
        <v>Sí</v>
      </c>
      <c r="BT219" s="292" t="str">
        <f>IF(AND(DATOS_[[#This Row],[% normaliz]]&lt;&gt;1,DATOS_[[#This Row],[% anualiz]]=1),"Sí","NO")</f>
        <v>NO</v>
      </c>
      <c r="BU219" s="292" t="str">
        <f>IF(AND(DATOS_[[#This Row],[% normaliz]]=1,DATOS_[[#This Row],[% anualiz]]&lt;&gt;1),"Sí","NO")</f>
        <v>NO</v>
      </c>
      <c r="BV219" s="292" t="str">
        <f>IF(AND(DATOS_[[#This Row],[% normaliz]]&lt;&gt;1,DATOS_[[#This Row],[% anualiz]]&lt;&gt;1),"Sí","NO")</f>
        <v>NO</v>
      </c>
      <c r="BW219" s="322" t="str">
        <f>+IF(DATOS_[[#This Row],[% normaliz]]*DATOS_[[#This Row],[% anualiz]]=1,"NO","Sí")</f>
        <v>NO</v>
      </c>
      <c r="BX219" s="323">
        <f>(DATOS_[[#This Row],[S.BASE]]*(1/DATOS_[[#This Row],[% normaliz]])*(1/DATOS_[[#This Row],[% anualiz]]))*IF(DATOS_[[#This Row],[Check Equiparado]]="Sí",1,0)</f>
        <v>12915.07</v>
      </c>
      <c r="BY21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19" s="323">
        <f>+DATOS_[[#This Row],[SALARIO BASE Eq]]+DATOS_[[#This Row],[Tot COMPL.SAL Eq]]</f>
        <v>14040</v>
      </c>
      <c r="CA219" s="323">
        <f t="array" ref="CA2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9" s="323">
        <f>+DATOS_[[#This Row],[TOTAL SALARIO Eq]]+DATOS_[[#This Row],[Tot Extrasalarial Eq]]</f>
        <v>14040</v>
      </c>
      <c r="CC219" s="327">
        <f>DATOS_[[#This Row],[S.BASE]]</f>
        <v>12915.07</v>
      </c>
      <c r="CD219" s="324">
        <f>+SUM(DATOS_[[#This Row],[Conc.Sal.01]:[Conc.Sal.30]])</f>
        <v>1124.9300000000003</v>
      </c>
      <c r="CE219" s="324">
        <f>+DATOS_[[#This Row],[SALARIO BASE Ef]]+DATOS_[[#This Row],[Tot COMPL.SAL Ef]]</f>
        <v>14040</v>
      </c>
      <c r="CF219" s="324">
        <f>+SUM(DATOS_[[#This Row],[C.Extra.01]:[C.Extra.05]])</f>
        <v>0</v>
      </c>
      <c r="CG219" s="330">
        <f>+DATOS_[[#This Row],[TOTAL SALARIO Ef]]+DATOS_[[#This Row],[Tot Extrasalarial Ef]]</f>
        <v>14040</v>
      </c>
      <c r="CH219" s="303">
        <f>MIN(IF(DATOS_[[#This Row],[Fecha Fin Contrato]]="",$D$4,DATOS_[[#This Row],[Fecha Fin Contrato]]),$D$4)-MAX(DATOS_[[#This Row],[Fecha de Contratación]],$D$3)+1</f>
        <v>366</v>
      </c>
      <c r="CI219" s="304" t="str">
        <f>IF(COUNTIFS(DATOS_[id],DATOS_[[#This Row],[id]])&gt;1,DATOS_[[#This Row],[id]],"")</f>
        <v/>
      </c>
      <c r="CJ219" s="325">
        <f>(Inicio!$G$10-DATOS_[[#This Row],[Fecha Nacimiento]])/365.25</f>
        <v>27.069130732375086</v>
      </c>
      <c r="CK219" s="325">
        <f>(Inicio!$G$10-DATOS_[[#This Row],[Fecha de Antigüedad]])/365.25</f>
        <v>8.8432580424366876</v>
      </c>
      <c r="CL219" s="325" t="str">
        <f>+VLOOKUP(DATOS_[[#This Row],[Clave de Contrato]],TblTiposContrato13[],3,FALSE)</f>
        <v>Completa</v>
      </c>
      <c r="CM219" s="325" t="str">
        <f>+VLOOKUP(DATOS_[[#This Row],[Clave de Contrato]],TblTiposContrato13[],4,FALSE)</f>
        <v>Indefinido</v>
      </c>
      <c r="CN219" s="325" t="str">
        <f>VLOOKUP(DATOS_[[#This Row],[Edad]],CONTRATOS!TblRngEdad,2,TRUE)</f>
        <v>25 a 30</v>
      </c>
      <c r="CO219" s="325" t="str">
        <f>VLOOKUP(DATOS_[[#This Row],[Antigüedad]],TblRngAntg14[],2,TRUE)</f>
        <v>5 a 10  años</v>
      </c>
    </row>
    <row r="220" spans="2:93" x14ac:dyDescent="0.25">
      <c r="B220" s="146">
        <v>195</v>
      </c>
      <c r="C220" s="146" t="s">
        <v>163</v>
      </c>
      <c r="D220" s="295">
        <v>27740</v>
      </c>
      <c r="E220" s="296" t="s">
        <v>71</v>
      </c>
      <c r="F220" s="296">
        <v>3</v>
      </c>
      <c r="G220" s="296">
        <v>0</v>
      </c>
      <c r="H220" s="297">
        <v>42457</v>
      </c>
      <c r="I220" s="298"/>
      <c r="J220" s="295">
        <v>42457</v>
      </c>
      <c r="K220" s="326"/>
      <c r="L220" s="326"/>
      <c r="M220" s="299">
        <v>1</v>
      </c>
      <c r="N220" s="299"/>
      <c r="O220" s="299"/>
      <c r="P220" s="296">
        <v>100</v>
      </c>
      <c r="Q220" s="146" t="s">
        <v>431</v>
      </c>
      <c r="R220" s="146" t="s">
        <v>413</v>
      </c>
      <c r="S220" s="146" t="s">
        <v>440</v>
      </c>
      <c r="T220" s="146" t="s">
        <v>407</v>
      </c>
      <c r="U220" s="146" t="s">
        <v>400</v>
      </c>
      <c r="V220" s="146" t="s">
        <v>438</v>
      </c>
      <c r="W220" s="146" t="s">
        <v>311</v>
      </c>
      <c r="X220" s="146" t="s">
        <v>307</v>
      </c>
      <c r="Y220" s="146" t="s">
        <v>409</v>
      </c>
      <c r="Z220" s="293"/>
      <c r="AA220" s="294" t="s">
        <v>439</v>
      </c>
      <c r="AB220" s="294">
        <v>9</v>
      </c>
      <c r="AC220" s="296">
        <v>7</v>
      </c>
      <c r="AD220" s="301">
        <v>12915.07</v>
      </c>
      <c r="AE220" s="301">
        <v>84.930000000000291</v>
      </c>
      <c r="AF220" s="301"/>
      <c r="AG220" s="301">
        <v>960</v>
      </c>
      <c r="AH220" s="301"/>
      <c r="AI220" s="301"/>
      <c r="AJ220" s="301"/>
      <c r="AK220" s="301">
        <v>80</v>
      </c>
      <c r="AL220" s="301"/>
      <c r="AM220" s="301"/>
      <c r="AN220" s="301"/>
      <c r="AO220" s="301"/>
      <c r="AP220" s="301"/>
      <c r="AQ220" s="301"/>
      <c r="AR220" s="301"/>
      <c r="AS220" s="301"/>
      <c r="AT220" s="301"/>
      <c r="AU220" s="301"/>
      <c r="AV220" s="301"/>
      <c r="AW220" s="301"/>
      <c r="AX220" s="301"/>
      <c r="AY220" s="301"/>
      <c r="AZ220" s="301"/>
      <c r="BA220" s="301"/>
      <c r="BB220" s="301"/>
      <c r="BC220" s="301"/>
      <c r="BD220" s="301"/>
      <c r="BE220" s="301"/>
      <c r="BF220" s="301"/>
      <c r="BG220" s="301"/>
      <c r="BH220" s="301"/>
      <c r="BI220" s="301"/>
      <c r="BJ220" s="301"/>
      <c r="BK220" s="301"/>
      <c r="BL220" s="301"/>
      <c r="BM220" s="302"/>
      <c r="BN220" s="291">
        <f>+MAX($D$3,DATOS_[[#This Row],[Fecha Inicio Sit. Contract.]])</f>
        <v>45292</v>
      </c>
      <c r="BO220" s="291">
        <f>+MIN($D$4,DATOS_[[#This Row],[Fecha Fin Sit. Contract.]])</f>
        <v>45657</v>
      </c>
      <c r="BP220" s="292">
        <f>+DATOS_[[#This Row],[% de jornada]]*IF(DATOS_[[#This Row],[% jornada reducida]]="",1,DATOS_[[#This Row],[% jornada reducida]])</f>
        <v>1</v>
      </c>
      <c r="BQ220" s="292">
        <f>+(DATOS_[[#This Row],[F.fin.cal]]-DATOS_[[#This Row],[F.ini.cal]]+1)/($D$4-$D$3+1)</f>
        <v>1</v>
      </c>
      <c r="BR220" s="322" t="str">
        <f>IF(OR(AND(DATOS_[[#This Row],[Fecha Fin Contrato]]&lt;$D$3,DATOS_[[#This Row],[Fecha Fin Contrato]]&lt;&gt;""),DATOS_[[#This Row],[Fecha de Contratación]]&gt;$D$4),"Fuera","Dentro")</f>
        <v>Dentro</v>
      </c>
      <c r="BS220" s="322" t="str">
        <f t="array" ref="BS220">IF(MAX(IF(DATOS_[id]=DATOS_[[#This Row],[id]],DATOS_[F.fin.cal]))=DATOS_[[#This Row],[F.fin.cal]],"Sí","NO")</f>
        <v>Sí</v>
      </c>
      <c r="BT220" s="292" t="str">
        <f>IF(AND(DATOS_[[#This Row],[% normaliz]]&lt;&gt;1,DATOS_[[#This Row],[% anualiz]]=1),"Sí","NO")</f>
        <v>NO</v>
      </c>
      <c r="BU220" s="292" t="str">
        <f>IF(AND(DATOS_[[#This Row],[% normaliz]]=1,DATOS_[[#This Row],[% anualiz]]&lt;&gt;1),"Sí","NO")</f>
        <v>NO</v>
      </c>
      <c r="BV220" s="292" t="str">
        <f>IF(AND(DATOS_[[#This Row],[% normaliz]]&lt;&gt;1,DATOS_[[#This Row],[% anualiz]]&lt;&gt;1),"Sí","NO")</f>
        <v>NO</v>
      </c>
      <c r="BW220" s="322" t="str">
        <f>+IF(DATOS_[[#This Row],[% normaliz]]*DATOS_[[#This Row],[% anualiz]]=1,"NO","Sí")</f>
        <v>NO</v>
      </c>
      <c r="BX220" s="323">
        <f>(DATOS_[[#This Row],[S.BASE]]*(1/DATOS_[[#This Row],[% normaliz]])*(1/DATOS_[[#This Row],[% anualiz]]))*IF(DATOS_[[#This Row],[Check Equiparado]]="Sí",1,0)</f>
        <v>12915.07</v>
      </c>
      <c r="BY22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0" s="323">
        <f>+DATOS_[[#This Row],[SALARIO BASE Eq]]+DATOS_[[#This Row],[Tot COMPL.SAL Eq]]</f>
        <v>14040</v>
      </c>
      <c r="CA220" s="323">
        <f t="array" ref="CA2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0" s="323">
        <f>+DATOS_[[#This Row],[TOTAL SALARIO Eq]]+DATOS_[[#This Row],[Tot Extrasalarial Eq]]</f>
        <v>14040</v>
      </c>
      <c r="CC220" s="327">
        <f>DATOS_[[#This Row],[S.BASE]]</f>
        <v>12915.07</v>
      </c>
      <c r="CD220" s="324">
        <f>+SUM(DATOS_[[#This Row],[Conc.Sal.01]:[Conc.Sal.30]])</f>
        <v>1124.9300000000003</v>
      </c>
      <c r="CE220" s="324">
        <f>+DATOS_[[#This Row],[SALARIO BASE Ef]]+DATOS_[[#This Row],[Tot COMPL.SAL Ef]]</f>
        <v>14040</v>
      </c>
      <c r="CF220" s="324">
        <f>+SUM(DATOS_[[#This Row],[C.Extra.01]:[C.Extra.05]])</f>
        <v>0</v>
      </c>
      <c r="CG220" s="330">
        <f>+DATOS_[[#This Row],[TOTAL SALARIO Ef]]+DATOS_[[#This Row],[Tot Extrasalarial Ef]]</f>
        <v>14040</v>
      </c>
      <c r="CH220" s="303">
        <f>MIN(IF(DATOS_[[#This Row],[Fecha Fin Contrato]]="",$D$4,DATOS_[[#This Row],[Fecha Fin Contrato]]),$D$4)-MAX(DATOS_[[#This Row],[Fecha de Contratación]],$D$3)+1</f>
        <v>366</v>
      </c>
      <c r="CI220" s="304" t="str">
        <f>IF(COUNTIFS(DATOS_[id],DATOS_[[#This Row],[id]])&gt;1,DATOS_[[#This Row],[id]],"")</f>
        <v/>
      </c>
      <c r="CJ220" s="325">
        <f>(Inicio!$G$10-DATOS_[[#This Row],[Fecha Nacimiento]])/365.25</f>
        <v>49.054072553045856</v>
      </c>
      <c r="CK220" s="325">
        <f>(Inicio!$G$10-DATOS_[[#This Row],[Fecha de Antigüedad]])/365.25</f>
        <v>8.7611225188227237</v>
      </c>
      <c r="CL220" s="325" t="str">
        <f>+VLOOKUP(DATOS_[[#This Row],[Clave de Contrato]],TblTiposContrato13[],3,FALSE)</f>
        <v>Completa</v>
      </c>
      <c r="CM220" s="325" t="str">
        <f>+VLOOKUP(DATOS_[[#This Row],[Clave de Contrato]],TblTiposContrato13[],4,FALSE)</f>
        <v>Indefinido</v>
      </c>
      <c r="CN220" s="325" t="str">
        <f>VLOOKUP(DATOS_[[#This Row],[Edad]],CONTRATOS!TblRngEdad,2,TRUE)</f>
        <v>45 a 50</v>
      </c>
      <c r="CO220" s="325" t="str">
        <f>VLOOKUP(DATOS_[[#This Row],[Antigüedad]],TblRngAntg14[],2,TRUE)</f>
        <v>5 a 10  años</v>
      </c>
    </row>
    <row r="221" spans="2:93" x14ac:dyDescent="0.25">
      <c r="B221" s="146">
        <v>196</v>
      </c>
      <c r="C221" s="146" t="s">
        <v>163</v>
      </c>
      <c r="D221" s="295">
        <v>35770</v>
      </c>
      <c r="E221" s="296" t="s">
        <v>71</v>
      </c>
      <c r="F221" s="296">
        <v>3</v>
      </c>
      <c r="G221" s="296">
        <v>0</v>
      </c>
      <c r="H221" s="297">
        <v>42487</v>
      </c>
      <c r="I221" s="298"/>
      <c r="J221" s="295">
        <v>42487</v>
      </c>
      <c r="K221" s="326"/>
      <c r="L221" s="326"/>
      <c r="M221" s="299">
        <v>1</v>
      </c>
      <c r="N221" s="299"/>
      <c r="O221" s="299"/>
      <c r="P221" s="296">
        <v>100</v>
      </c>
      <c r="Q221" s="146" t="s">
        <v>431</v>
      </c>
      <c r="R221" s="146" t="s">
        <v>413</v>
      </c>
      <c r="S221" s="146" t="s">
        <v>440</v>
      </c>
      <c r="T221" s="146" t="s">
        <v>407</v>
      </c>
      <c r="U221" s="146" t="s">
        <v>400</v>
      </c>
      <c r="V221" s="146" t="s">
        <v>438</v>
      </c>
      <c r="W221" s="146" t="s">
        <v>311</v>
      </c>
      <c r="X221" s="146" t="s">
        <v>307</v>
      </c>
      <c r="Y221" s="146" t="s">
        <v>409</v>
      </c>
      <c r="Z221" s="293"/>
      <c r="AA221" s="294" t="s">
        <v>439</v>
      </c>
      <c r="AB221" s="294">
        <v>9</v>
      </c>
      <c r="AC221" s="296">
        <v>7</v>
      </c>
      <c r="AD221" s="301">
        <v>12915.07</v>
      </c>
      <c r="AE221" s="301">
        <v>84.930000000000291</v>
      </c>
      <c r="AF221" s="301"/>
      <c r="AG221" s="301">
        <v>960</v>
      </c>
      <c r="AH221" s="301"/>
      <c r="AI221" s="301"/>
      <c r="AJ221" s="301"/>
      <c r="AK221" s="301">
        <v>80</v>
      </c>
      <c r="AL221" s="301"/>
      <c r="AM221" s="301"/>
      <c r="AN221" s="301"/>
      <c r="AO221" s="301"/>
      <c r="AP221" s="301"/>
      <c r="AQ221" s="301"/>
      <c r="AR221" s="301"/>
      <c r="AS221" s="301"/>
      <c r="AT221" s="301"/>
      <c r="AU221" s="301"/>
      <c r="AV221" s="301"/>
      <c r="AW221" s="301"/>
      <c r="AX221" s="301"/>
      <c r="AY221" s="301"/>
      <c r="AZ221" s="301"/>
      <c r="BA221" s="301"/>
      <c r="BB221" s="301"/>
      <c r="BC221" s="301"/>
      <c r="BD221" s="301"/>
      <c r="BE221" s="301"/>
      <c r="BF221" s="301"/>
      <c r="BG221" s="301"/>
      <c r="BH221" s="301"/>
      <c r="BI221" s="301"/>
      <c r="BJ221" s="301"/>
      <c r="BK221" s="301"/>
      <c r="BL221" s="301"/>
      <c r="BM221" s="302"/>
      <c r="BN221" s="291">
        <f>+MAX($D$3,DATOS_[[#This Row],[Fecha Inicio Sit. Contract.]])</f>
        <v>45292</v>
      </c>
      <c r="BO221" s="291">
        <f>+MIN($D$4,DATOS_[[#This Row],[Fecha Fin Sit. Contract.]])</f>
        <v>45657</v>
      </c>
      <c r="BP221" s="292">
        <f>+DATOS_[[#This Row],[% de jornada]]*IF(DATOS_[[#This Row],[% jornada reducida]]="",1,DATOS_[[#This Row],[% jornada reducida]])</f>
        <v>1</v>
      </c>
      <c r="BQ221" s="292">
        <f>+(DATOS_[[#This Row],[F.fin.cal]]-DATOS_[[#This Row],[F.ini.cal]]+1)/($D$4-$D$3+1)</f>
        <v>1</v>
      </c>
      <c r="BR221" s="322" t="str">
        <f>IF(OR(AND(DATOS_[[#This Row],[Fecha Fin Contrato]]&lt;$D$3,DATOS_[[#This Row],[Fecha Fin Contrato]]&lt;&gt;""),DATOS_[[#This Row],[Fecha de Contratación]]&gt;$D$4),"Fuera","Dentro")</f>
        <v>Dentro</v>
      </c>
      <c r="BS221" s="322" t="str">
        <f t="array" ref="BS221">IF(MAX(IF(DATOS_[id]=DATOS_[[#This Row],[id]],DATOS_[F.fin.cal]))=DATOS_[[#This Row],[F.fin.cal]],"Sí","NO")</f>
        <v>Sí</v>
      </c>
      <c r="BT221" s="292" t="str">
        <f>IF(AND(DATOS_[[#This Row],[% normaliz]]&lt;&gt;1,DATOS_[[#This Row],[% anualiz]]=1),"Sí","NO")</f>
        <v>NO</v>
      </c>
      <c r="BU221" s="292" t="str">
        <f>IF(AND(DATOS_[[#This Row],[% normaliz]]=1,DATOS_[[#This Row],[% anualiz]]&lt;&gt;1),"Sí","NO")</f>
        <v>NO</v>
      </c>
      <c r="BV221" s="292" t="str">
        <f>IF(AND(DATOS_[[#This Row],[% normaliz]]&lt;&gt;1,DATOS_[[#This Row],[% anualiz]]&lt;&gt;1),"Sí","NO")</f>
        <v>NO</v>
      </c>
      <c r="BW221" s="322" t="str">
        <f>+IF(DATOS_[[#This Row],[% normaliz]]*DATOS_[[#This Row],[% anualiz]]=1,"NO","Sí")</f>
        <v>NO</v>
      </c>
      <c r="BX221" s="323">
        <f>(DATOS_[[#This Row],[S.BASE]]*(1/DATOS_[[#This Row],[% normaliz]])*(1/DATOS_[[#This Row],[% anualiz]]))*IF(DATOS_[[#This Row],[Check Equiparado]]="Sí",1,0)</f>
        <v>12915.07</v>
      </c>
      <c r="BY22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1" s="323">
        <f>+DATOS_[[#This Row],[SALARIO BASE Eq]]+DATOS_[[#This Row],[Tot COMPL.SAL Eq]]</f>
        <v>14040</v>
      </c>
      <c r="CA221" s="323">
        <f t="array" ref="CA2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1" s="323">
        <f>+DATOS_[[#This Row],[TOTAL SALARIO Eq]]+DATOS_[[#This Row],[Tot Extrasalarial Eq]]</f>
        <v>14040</v>
      </c>
      <c r="CC221" s="327">
        <f>DATOS_[[#This Row],[S.BASE]]</f>
        <v>12915.07</v>
      </c>
      <c r="CD221" s="324">
        <f>+SUM(DATOS_[[#This Row],[Conc.Sal.01]:[Conc.Sal.30]])</f>
        <v>1124.9300000000003</v>
      </c>
      <c r="CE221" s="324">
        <f>+DATOS_[[#This Row],[SALARIO BASE Ef]]+DATOS_[[#This Row],[Tot COMPL.SAL Ef]]</f>
        <v>14040</v>
      </c>
      <c r="CF221" s="324">
        <f>+SUM(DATOS_[[#This Row],[C.Extra.01]:[C.Extra.05]])</f>
        <v>0</v>
      </c>
      <c r="CG221" s="330">
        <f>+DATOS_[[#This Row],[TOTAL SALARIO Ef]]+DATOS_[[#This Row],[Tot Extrasalarial Ef]]</f>
        <v>14040</v>
      </c>
      <c r="CH221" s="303">
        <f>MIN(IF(DATOS_[[#This Row],[Fecha Fin Contrato]]="",$D$4,DATOS_[[#This Row],[Fecha Fin Contrato]]),$D$4)-MAX(DATOS_[[#This Row],[Fecha de Contratación]],$D$3)+1</f>
        <v>366</v>
      </c>
      <c r="CI221" s="304" t="str">
        <f>IF(COUNTIFS(DATOS_[id],DATOS_[[#This Row],[id]])&gt;1,DATOS_[[#This Row],[id]],"")</f>
        <v/>
      </c>
      <c r="CJ221" s="325">
        <f>(Inicio!$G$10-DATOS_[[#This Row],[Fecha Nacimiento]])/365.25</f>
        <v>27.069130732375086</v>
      </c>
      <c r="CK221" s="325">
        <f>(Inicio!$G$10-DATOS_[[#This Row],[Fecha de Antigüedad]])/365.25</f>
        <v>8.6789869952087617</v>
      </c>
      <c r="CL221" s="325" t="str">
        <f>+VLOOKUP(DATOS_[[#This Row],[Clave de Contrato]],TblTiposContrato13[],3,FALSE)</f>
        <v>Completa</v>
      </c>
      <c r="CM221" s="325" t="str">
        <f>+VLOOKUP(DATOS_[[#This Row],[Clave de Contrato]],TblTiposContrato13[],4,FALSE)</f>
        <v>Indefinido</v>
      </c>
      <c r="CN221" s="325" t="str">
        <f>VLOOKUP(DATOS_[[#This Row],[Edad]],CONTRATOS!TblRngEdad,2,TRUE)</f>
        <v>25 a 30</v>
      </c>
      <c r="CO221" s="325" t="str">
        <f>VLOOKUP(DATOS_[[#This Row],[Antigüedad]],TblRngAntg14[],2,TRUE)</f>
        <v>5 a 10  años</v>
      </c>
    </row>
    <row r="222" spans="2:93" x14ac:dyDescent="0.25">
      <c r="B222" s="146">
        <v>197</v>
      </c>
      <c r="C222" s="146" t="s">
        <v>163</v>
      </c>
      <c r="D222" s="295">
        <v>33945</v>
      </c>
      <c r="E222" s="296" t="s">
        <v>71</v>
      </c>
      <c r="F222" s="296">
        <v>3</v>
      </c>
      <c r="G222" s="296">
        <v>0</v>
      </c>
      <c r="H222" s="297">
        <v>42517</v>
      </c>
      <c r="I222" s="298"/>
      <c r="J222" s="295">
        <v>42517</v>
      </c>
      <c r="K222" s="326"/>
      <c r="L222" s="326"/>
      <c r="M222" s="299">
        <v>1</v>
      </c>
      <c r="N222" s="299"/>
      <c r="O222" s="299"/>
      <c r="P222" s="296">
        <v>100</v>
      </c>
      <c r="Q222" s="146" t="s">
        <v>431</v>
      </c>
      <c r="R222" s="146" t="s">
        <v>413</v>
      </c>
      <c r="S222" s="146" t="s">
        <v>440</v>
      </c>
      <c r="T222" s="146" t="s">
        <v>407</v>
      </c>
      <c r="U222" s="146" t="s">
        <v>400</v>
      </c>
      <c r="V222" s="146" t="s">
        <v>438</v>
      </c>
      <c r="W222" s="146" t="s">
        <v>311</v>
      </c>
      <c r="X222" s="146" t="s">
        <v>307</v>
      </c>
      <c r="Y222" s="146" t="s">
        <v>409</v>
      </c>
      <c r="Z222" s="293"/>
      <c r="AA222" s="294" t="s">
        <v>439</v>
      </c>
      <c r="AB222" s="294">
        <v>9</v>
      </c>
      <c r="AC222" s="296">
        <v>7</v>
      </c>
      <c r="AD222" s="301">
        <v>12915.07</v>
      </c>
      <c r="AE222" s="301">
        <v>84.930000000000291</v>
      </c>
      <c r="AF222" s="301"/>
      <c r="AG222" s="301">
        <v>960</v>
      </c>
      <c r="AH222" s="301"/>
      <c r="AI222" s="301"/>
      <c r="AJ222" s="301"/>
      <c r="AK222" s="301">
        <v>80</v>
      </c>
      <c r="AL222" s="301"/>
      <c r="AM222" s="301"/>
      <c r="AN222" s="301"/>
      <c r="AO222" s="301"/>
      <c r="AP222" s="301"/>
      <c r="AQ222" s="301"/>
      <c r="AR222" s="301"/>
      <c r="AS222" s="301"/>
      <c r="AT222" s="301"/>
      <c r="AU222" s="301"/>
      <c r="AV222" s="301"/>
      <c r="AW222" s="301"/>
      <c r="AX222" s="301"/>
      <c r="AY222" s="301"/>
      <c r="AZ222" s="301"/>
      <c r="BA222" s="301"/>
      <c r="BB222" s="301"/>
      <c r="BC222" s="301"/>
      <c r="BD222" s="301"/>
      <c r="BE222" s="301"/>
      <c r="BF222" s="301"/>
      <c r="BG222" s="301"/>
      <c r="BH222" s="301"/>
      <c r="BI222" s="301"/>
      <c r="BJ222" s="301"/>
      <c r="BK222" s="301"/>
      <c r="BL222" s="301"/>
      <c r="BM222" s="302"/>
      <c r="BN222" s="291">
        <f>+MAX($D$3,DATOS_[[#This Row],[Fecha Inicio Sit. Contract.]])</f>
        <v>45292</v>
      </c>
      <c r="BO222" s="291">
        <f>+MIN($D$4,DATOS_[[#This Row],[Fecha Fin Sit. Contract.]])</f>
        <v>45657</v>
      </c>
      <c r="BP222" s="292">
        <f>+DATOS_[[#This Row],[% de jornada]]*IF(DATOS_[[#This Row],[% jornada reducida]]="",1,DATOS_[[#This Row],[% jornada reducida]])</f>
        <v>1</v>
      </c>
      <c r="BQ222" s="292">
        <f>+(DATOS_[[#This Row],[F.fin.cal]]-DATOS_[[#This Row],[F.ini.cal]]+1)/($D$4-$D$3+1)</f>
        <v>1</v>
      </c>
      <c r="BR222" s="322" t="str">
        <f>IF(OR(AND(DATOS_[[#This Row],[Fecha Fin Contrato]]&lt;$D$3,DATOS_[[#This Row],[Fecha Fin Contrato]]&lt;&gt;""),DATOS_[[#This Row],[Fecha de Contratación]]&gt;$D$4),"Fuera","Dentro")</f>
        <v>Dentro</v>
      </c>
      <c r="BS222" s="322" t="str">
        <f t="array" ref="BS222">IF(MAX(IF(DATOS_[id]=DATOS_[[#This Row],[id]],DATOS_[F.fin.cal]))=DATOS_[[#This Row],[F.fin.cal]],"Sí","NO")</f>
        <v>Sí</v>
      </c>
      <c r="BT222" s="292" t="str">
        <f>IF(AND(DATOS_[[#This Row],[% normaliz]]&lt;&gt;1,DATOS_[[#This Row],[% anualiz]]=1),"Sí","NO")</f>
        <v>NO</v>
      </c>
      <c r="BU222" s="292" t="str">
        <f>IF(AND(DATOS_[[#This Row],[% normaliz]]=1,DATOS_[[#This Row],[% anualiz]]&lt;&gt;1),"Sí","NO")</f>
        <v>NO</v>
      </c>
      <c r="BV222" s="292" t="str">
        <f>IF(AND(DATOS_[[#This Row],[% normaliz]]&lt;&gt;1,DATOS_[[#This Row],[% anualiz]]&lt;&gt;1),"Sí","NO")</f>
        <v>NO</v>
      </c>
      <c r="BW222" s="322" t="str">
        <f>+IF(DATOS_[[#This Row],[% normaliz]]*DATOS_[[#This Row],[% anualiz]]=1,"NO","Sí")</f>
        <v>NO</v>
      </c>
      <c r="BX222" s="323">
        <f>(DATOS_[[#This Row],[S.BASE]]*(1/DATOS_[[#This Row],[% normaliz]])*(1/DATOS_[[#This Row],[% anualiz]]))*IF(DATOS_[[#This Row],[Check Equiparado]]="Sí",1,0)</f>
        <v>12915.07</v>
      </c>
      <c r="BY22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2" s="323">
        <f>+DATOS_[[#This Row],[SALARIO BASE Eq]]+DATOS_[[#This Row],[Tot COMPL.SAL Eq]]</f>
        <v>14040</v>
      </c>
      <c r="CA222" s="323">
        <f t="array" ref="CA2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2" s="323">
        <f>+DATOS_[[#This Row],[TOTAL SALARIO Eq]]+DATOS_[[#This Row],[Tot Extrasalarial Eq]]</f>
        <v>14040</v>
      </c>
      <c r="CC222" s="327">
        <f>DATOS_[[#This Row],[S.BASE]]</f>
        <v>12915.07</v>
      </c>
      <c r="CD222" s="324">
        <f>+SUM(DATOS_[[#This Row],[Conc.Sal.01]:[Conc.Sal.30]])</f>
        <v>1124.9300000000003</v>
      </c>
      <c r="CE222" s="324">
        <f>+DATOS_[[#This Row],[SALARIO BASE Ef]]+DATOS_[[#This Row],[Tot COMPL.SAL Ef]]</f>
        <v>14040</v>
      </c>
      <c r="CF222" s="324">
        <f>+SUM(DATOS_[[#This Row],[C.Extra.01]:[C.Extra.05]])</f>
        <v>0</v>
      </c>
      <c r="CG222" s="330">
        <f>+DATOS_[[#This Row],[TOTAL SALARIO Ef]]+DATOS_[[#This Row],[Tot Extrasalarial Ef]]</f>
        <v>14040</v>
      </c>
      <c r="CH222" s="303">
        <f>MIN(IF(DATOS_[[#This Row],[Fecha Fin Contrato]]="",$D$4,DATOS_[[#This Row],[Fecha Fin Contrato]]),$D$4)-MAX(DATOS_[[#This Row],[Fecha de Contratación]],$D$3)+1</f>
        <v>366</v>
      </c>
      <c r="CI222" s="304" t="str">
        <f>IF(COUNTIFS(DATOS_[id],DATOS_[[#This Row],[id]])&gt;1,DATOS_[[#This Row],[id]],"")</f>
        <v/>
      </c>
      <c r="CJ222" s="325">
        <f>(Inicio!$G$10-DATOS_[[#This Row],[Fecha Nacimiento]])/365.25</f>
        <v>32.06570841889117</v>
      </c>
      <c r="CK222" s="325">
        <f>(Inicio!$G$10-DATOS_[[#This Row],[Fecha de Antigüedad]])/365.25</f>
        <v>8.5968514715947979</v>
      </c>
      <c r="CL222" s="325" t="str">
        <f>+VLOOKUP(DATOS_[[#This Row],[Clave de Contrato]],TblTiposContrato13[],3,FALSE)</f>
        <v>Completa</v>
      </c>
      <c r="CM222" s="325" t="str">
        <f>+VLOOKUP(DATOS_[[#This Row],[Clave de Contrato]],TblTiposContrato13[],4,FALSE)</f>
        <v>Indefinido</v>
      </c>
      <c r="CN222" s="325" t="str">
        <f>VLOOKUP(DATOS_[[#This Row],[Edad]],CONTRATOS!TblRngEdad,2,TRUE)</f>
        <v>30 a 35</v>
      </c>
      <c r="CO222" s="325" t="str">
        <f>VLOOKUP(DATOS_[[#This Row],[Antigüedad]],TblRngAntg14[],2,TRUE)</f>
        <v>5 a 10  años</v>
      </c>
    </row>
    <row r="223" spans="2:93" x14ac:dyDescent="0.25">
      <c r="B223" s="146">
        <v>198</v>
      </c>
      <c r="C223" s="146" t="s">
        <v>163</v>
      </c>
      <c r="D223" s="295">
        <v>34310</v>
      </c>
      <c r="E223" s="296" t="s">
        <v>71</v>
      </c>
      <c r="F223" s="296">
        <v>3</v>
      </c>
      <c r="G223" s="296">
        <v>0</v>
      </c>
      <c r="H223" s="297">
        <v>42547</v>
      </c>
      <c r="I223" s="298"/>
      <c r="J223" s="295">
        <v>42547</v>
      </c>
      <c r="K223" s="326"/>
      <c r="L223" s="326"/>
      <c r="M223" s="299">
        <v>1</v>
      </c>
      <c r="N223" s="299"/>
      <c r="O223" s="299"/>
      <c r="P223" s="296">
        <v>100</v>
      </c>
      <c r="Q223" s="146" t="s">
        <v>431</v>
      </c>
      <c r="R223" s="146" t="s">
        <v>413</v>
      </c>
      <c r="S223" s="146" t="s">
        <v>440</v>
      </c>
      <c r="T223" s="146" t="s">
        <v>407</v>
      </c>
      <c r="U223" s="146" t="s">
        <v>400</v>
      </c>
      <c r="V223" s="146" t="s">
        <v>438</v>
      </c>
      <c r="W223" s="146" t="s">
        <v>311</v>
      </c>
      <c r="X223" s="146" t="s">
        <v>307</v>
      </c>
      <c r="Y223" s="146" t="s">
        <v>409</v>
      </c>
      <c r="Z223" s="293"/>
      <c r="AA223" s="294" t="s">
        <v>439</v>
      </c>
      <c r="AB223" s="294">
        <v>9</v>
      </c>
      <c r="AC223" s="296">
        <v>7</v>
      </c>
      <c r="AD223" s="301">
        <v>12915.07</v>
      </c>
      <c r="AE223" s="301">
        <v>84.930000000000291</v>
      </c>
      <c r="AF223" s="301"/>
      <c r="AG223" s="301">
        <v>960</v>
      </c>
      <c r="AH223" s="301"/>
      <c r="AI223" s="301"/>
      <c r="AJ223" s="301"/>
      <c r="AK223" s="301">
        <v>80</v>
      </c>
      <c r="AL223" s="301"/>
      <c r="AM223" s="301"/>
      <c r="AN223" s="301"/>
      <c r="AO223" s="301"/>
      <c r="AP223" s="301"/>
      <c r="AQ223" s="301"/>
      <c r="AR223" s="301"/>
      <c r="AS223" s="301"/>
      <c r="AT223" s="301"/>
      <c r="AU223" s="301"/>
      <c r="AV223" s="301"/>
      <c r="AW223" s="301"/>
      <c r="AX223" s="301"/>
      <c r="AY223" s="301"/>
      <c r="AZ223" s="301"/>
      <c r="BA223" s="301"/>
      <c r="BB223" s="301"/>
      <c r="BC223" s="301"/>
      <c r="BD223" s="301"/>
      <c r="BE223" s="301"/>
      <c r="BF223" s="301"/>
      <c r="BG223" s="301"/>
      <c r="BH223" s="301"/>
      <c r="BI223" s="301"/>
      <c r="BJ223" s="301"/>
      <c r="BK223" s="301"/>
      <c r="BL223" s="301"/>
      <c r="BM223" s="302"/>
      <c r="BN223" s="291">
        <f>+MAX($D$3,DATOS_[[#This Row],[Fecha Inicio Sit. Contract.]])</f>
        <v>45292</v>
      </c>
      <c r="BO223" s="291">
        <f>+MIN($D$4,DATOS_[[#This Row],[Fecha Fin Sit. Contract.]])</f>
        <v>45657</v>
      </c>
      <c r="BP223" s="292">
        <f>+DATOS_[[#This Row],[% de jornada]]*IF(DATOS_[[#This Row],[% jornada reducida]]="",1,DATOS_[[#This Row],[% jornada reducida]])</f>
        <v>1</v>
      </c>
      <c r="BQ223" s="292">
        <f>+(DATOS_[[#This Row],[F.fin.cal]]-DATOS_[[#This Row],[F.ini.cal]]+1)/($D$4-$D$3+1)</f>
        <v>1</v>
      </c>
      <c r="BR223" s="322" t="str">
        <f>IF(OR(AND(DATOS_[[#This Row],[Fecha Fin Contrato]]&lt;$D$3,DATOS_[[#This Row],[Fecha Fin Contrato]]&lt;&gt;""),DATOS_[[#This Row],[Fecha de Contratación]]&gt;$D$4),"Fuera","Dentro")</f>
        <v>Dentro</v>
      </c>
      <c r="BS223" s="322" t="str">
        <f t="array" ref="BS223">IF(MAX(IF(DATOS_[id]=DATOS_[[#This Row],[id]],DATOS_[F.fin.cal]))=DATOS_[[#This Row],[F.fin.cal]],"Sí","NO")</f>
        <v>Sí</v>
      </c>
      <c r="BT223" s="292" t="str">
        <f>IF(AND(DATOS_[[#This Row],[% normaliz]]&lt;&gt;1,DATOS_[[#This Row],[% anualiz]]=1),"Sí","NO")</f>
        <v>NO</v>
      </c>
      <c r="BU223" s="292" t="str">
        <f>IF(AND(DATOS_[[#This Row],[% normaliz]]=1,DATOS_[[#This Row],[% anualiz]]&lt;&gt;1),"Sí","NO")</f>
        <v>NO</v>
      </c>
      <c r="BV223" s="292" t="str">
        <f>IF(AND(DATOS_[[#This Row],[% normaliz]]&lt;&gt;1,DATOS_[[#This Row],[% anualiz]]&lt;&gt;1),"Sí","NO")</f>
        <v>NO</v>
      </c>
      <c r="BW223" s="322" t="str">
        <f>+IF(DATOS_[[#This Row],[% normaliz]]*DATOS_[[#This Row],[% anualiz]]=1,"NO","Sí")</f>
        <v>NO</v>
      </c>
      <c r="BX223" s="323">
        <f>(DATOS_[[#This Row],[S.BASE]]*(1/DATOS_[[#This Row],[% normaliz]])*(1/DATOS_[[#This Row],[% anualiz]]))*IF(DATOS_[[#This Row],[Check Equiparado]]="Sí",1,0)</f>
        <v>12915.07</v>
      </c>
      <c r="BY22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3" s="323">
        <f>+DATOS_[[#This Row],[SALARIO BASE Eq]]+DATOS_[[#This Row],[Tot COMPL.SAL Eq]]</f>
        <v>14040</v>
      </c>
      <c r="CA223" s="323">
        <f t="array" ref="CA2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3" s="323">
        <f>+DATOS_[[#This Row],[TOTAL SALARIO Eq]]+DATOS_[[#This Row],[Tot Extrasalarial Eq]]</f>
        <v>14040</v>
      </c>
      <c r="CC223" s="327">
        <f>DATOS_[[#This Row],[S.BASE]]</f>
        <v>12915.07</v>
      </c>
      <c r="CD223" s="324">
        <f>+SUM(DATOS_[[#This Row],[Conc.Sal.01]:[Conc.Sal.30]])</f>
        <v>1124.9300000000003</v>
      </c>
      <c r="CE223" s="324">
        <f>+DATOS_[[#This Row],[SALARIO BASE Ef]]+DATOS_[[#This Row],[Tot COMPL.SAL Ef]]</f>
        <v>14040</v>
      </c>
      <c r="CF223" s="324">
        <f>+SUM(DATOS_[[#This Row],[C.Extra.01]:[C.Extra.05]])</f>
        <v>0</v>
      </c>
      <c r="CG223" s="330">
        <f>+DATOS_[[#This Row],[TOTAL SALARIO Ef]]+DATOS_[[#This Row],[Tot Extrasalarial Ef]]</f>
        <v>14040</v>
      </c>
      <c r="CH223" s="303">
        <f>MIN(IF(DATOS_[[#This Row],[Fecha Fin Contrato]]="",$D$4,DATOS_[[#This Row],[Fecha Fin Contrato]]),$D$4)-MAX(DATOS_[[#This Row],[Fecha de Contratación]],$D$3)+1</f>
        <v>366</v>
      </c>
      <c r="CI223" s="304" t="str">
        <f>IF(COUNTIFS(DATOS_[id],DATOS_[[#This Row],[id]])&gt;1,DATOS_[[#This Row],[id]],"")</f>
        <v/>
      </c>
      <c r="CJ223" s="325">
        <f>(Inicio!$G$10-DATOS_[[#This Row],[Fecha Nacimiento]])/365.25</f>
        <v>31.066392881587955</v>
      </c>
      <c r="CK223" s="325">
        <f>(Inicio!$G$10-DATOS_[[#This Row],[Fecha de Antigüedad]])/365.25</f>
        <v>8.5147159479808359</v>
      </c>
      <c r="CL223" s="325" t="str">
        <f>+VLOOKUP(DATOS_[[#This Row],[Clave de Contrato]],TblTiposContrato13[],3,FALSE)</f>
        <v>Completa</v>
      </c>
      <c r="CM223" s="325" t="str">
        <f>+VLOOKUP(DATOS_[[#This Row],[Clave de Contrato]],TblTiposContrato13[],4,FALSE)</f>
        <v>Indefinido</v>
      </c>
      <c r="CN223" s="325" t="str">
        <f>VLOOKUP(DATOS_[[#This Row],[Edad]],CONTRATOS!TblRngEdad,2,TRUE)</f>
        <v>30 a 35</v>
      </c>
      <c r="CO223" s="325" t="str">
        <f>VLOOKUP(DATOS_[[#This Row],[Antigüedad]],TblRngAntg14[],2,TRUE)</f>
        <v>5 a 10  años</v>
      </c>
    </row>
    <row r="224" spans="2:93" x14ac:dyDescent="0.25">
      <c r="B224" s="146">
        <v>199</v>
      </c>
      <c r="C224" s="146" t="s">
        <v>163</v>
      </c>
      <c r="D224" s="295">
        <v>33215</v>
      </c>
      <c r="E224" s="296" t="s">
        <v>71</v>
      </c>
      <c r="F224" s="296">
        <v>3</v>
      </c>
      <c r="G224" s="296">
        <v>0</v>
      </c>
      <c r="H224" s="297">
        <v>42577</v>
      </c>
      <c r="I224" s="298"/>
      <c r="J224" s="295">
        <v>42577</v>
      </c>
      <c r="K224" s="326"/>
      <c r="L224" s="326"/>
      <c r="M224" s="299">
        <v>1</v>
      </c>
      <c r="N224" s="299"/>
      <c r="O224" s="299"/>
      <c r="P224" s="296">
        <v>100</v>
      </c>
      <c r="Q224" s="146" t="s">
        <v>431</v>
      </c>
      <c r="R224" s="146" t="s">
        <v>413</v>
      </c>
      <c r="S224" s="146" t="s">
        <v>440</v>
      </c>
      <c r="T224" s="146" t="s">
        <v>407</v>
      </c>
      <c r="U224" s="146" t="s">
        <v>400</v>
      </c>
      <c r="V224" s="146" t="s">
        <v>438</v>
      </c>
      <c r="W224" s="146" t="s">
        <v>311</v>
      </c>
      <c r="X224" s="146" t="s">
        <v>307</v>
      </c>
      <c r="Y224" s="146" t="s">
        <v>409</v>
      </c>
      <c r="Z224" s="293"/>
      <c r="AA224" s="294" t="s">
        <v>439</v>
      </c>
      <c r="AB224" s="294">
        <v>9</v>
      </c>
      <c r="AC224" s="296">
        <v>7</v>
      </c>
      <c r="AD224" s="301">
        <v>12915.07</v>
      </c>
      <c r="AE224" s="301">
        <v>84.930000000000291</v>
      </c>
      <c r="AF224" s="301"/>
      <c r="AG224" s="301">
        <v>960</v>
      </c>
      <c r="AH224" s="301"/>
      <c r="AI224" s="301"/>
      <c r="AJ224" s="301"/>
      <c r="AK224" s="301">
        <v>80</v>
      </c>
      <c r="AL224" s="301"/>
      <c r="AM224" s="301"/>
      <c r="AN224" s="301"/>
      <c r="AO224" s="301"/>
      <c r="AP224" s="301"/>
      <c r="AQ224" s="301"/>
      <c r="AR224" s="301"/>
      <c r="AS224" s="301"/>
      <c r="AT224" s="301"/>
      <c r="AU224" s="301"/>
      <c r="AV224" s="301"/>
      <c r="AW224" s="301"/>
      <c r="AX224" s="301"/>
      <c r="AY224" s="301"/>
      <c r="AZ224" s="301"/>
      <c r="BA224" s="301"/>
      <c r="BB224" s="301"/>
      <c r="BC224" s="301"/>
      <c r="BD224" s="301"/>
      <c r="BE224" s="301"/>
      <c r="BF224" s="301"/>
      <c r="BG224" s="301"/>
      <c r="BH224" s="301"/>
      <c r="BI224" s="301"/>
      <c r="BJ224" s="301"/>
      <c r="BK224" s="301"/>
      <c r="BL224" s="301"/>
      <c r="BM224" s="302"/>
      <c r="BN224" s="291">
        <f>+MAX($D$3,DATOS_[[#This Row],[Fecha Inicio Sit. Contract.]])</f>
        <v>45292</v>
      </c>
      <c r="BO224" s="291">
        <f>+MIN($D$4,DATOS_[[#This Row],[Fecha Fin Sit. Contract.]])</f>
        <v>45657</v>
      </c>
      <c r="BP224" s="292">
        <f>+DATOS_[[#This Row],[% de jornada]]*IF(DATOS_[[#This Row],[% jornada reducida]]="",1,DATOS_[[#This Row],[% jornada reducida]])</f>
        <v>1</v>
      </c>
      <c r="BQ224" s="292">
        <f>+(DATOS_[[#This Row],[F.fin.cal]]-DATOS_[[#This Row],[F.ini.cal]]+1)/($D$4-$D$3+1)</f>
        <v>1</v>
      </c>
      <c r="BR224" s="322" t="str">
        <f>IF(OR(AND(DATOS_[[#This Row],[Fecha Fin Contrato]]&lt;$D$3,DATOS_[[#This Row],[Fecha Fin Contrato]]&lt;&gt;""),DATOS_[[#This Row],[Fecha de Contratación]]&gt;$D$4),"Fuera","Dentro")</f>
        <v>Dentro</v>
      </c>
      <c r="BS224" s="322" t="str">
        <f t="array" ref="BS224">IF(MAX(IF(DATOS_[id]=DATOS_[[#This Row],[id]],DATOS_[F.fin.cal]))=DATOS_[[#This Row],[F.fin.cal]],"Sí","NO")</f>
        <v>Sí</v>
      </c>
      <c r="BT224" s="292" t="str">
        <f>IF(AND(DATOS_[[#This Row],[% normaliz]]&lt;&gt;1,DATOS_[[#This Row],[% anualiz]]=1),"Sí","NO")</f>
        <v>NO</v>
      </c>
      <c r="BU224" s="292" t="str">
        <f>IF(AND(DATOS_[[#This Row],[% normaliz]]=1,DATOS_[[#This Row],[% anualiz]]&lt;&gt;1),"Sí","NO")</f>
        <v>NO</v>
      </c>
      <c r="BV224" s="292" t="str">
        <f>IF(AND(DATOS_[[#This Row],[% normaliz]]&lt;&gt;1,DATOS_[[#This Row],[% anualiz]]&lt;&gt;1),"Sí","NO")</f>
        <v>NO</v>
      </c>
      <c r="BW224" s="322" t="str">
        <f>+IF(DATOS_[[#This Row],[% normaliz]]*DATOS_[[#This Row],[% anualiz]]=1,"NO","Sí")</f>
        <v>NO</v>
      </c>
      <c r="BX224" s="323">
        <f>(DATOS_[[#This Row],[S.BASE]]*(1/DATOS_[[#This Row],[% normaliz]])*(1/DATOS_[[#This Row],[% anualiz]]))*IF(DATOS_[[#This Row],[Check Equiparado]]="Sí",1,0)</f>
        <v>12915.07</v>
      </c>
      <c r="BY22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4" s="323">
        <f>+DATOS_[[#This Row],[SALARIO BASE Eq]]+DATOS_[[#This Row],[Tot COMPL.SAL Eq]]</f>
        <v>14040</v>
      </c>
      <c r="CA224" s="323">
        <f t="array" ref="CA2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4" s="323">
        <f>+DATOS_[[#This Row],[TOTAL SALARIO Eq]]+DATOS_[[#This Row],[Tot Extrasalarial Eq]]</f>
        <v>14040</v>
      </c>
      <c r="CC224" s="327">
        <f>DATOS_[[#This Row],[S.BASE]]</f>
        <v>12915.07</v>
      </c>
      <c r="CD224" s="324">
        <f>+SUM(DATOS_[[#This Row],[Conc.Sal.01]:[Conc.Sal.30]])</f>
        <v>1124.9300000000003</v>
      </c>
      <c r="CE224" s="324">
        <f>+DATOS_[[#This Row],[SALARIO BASE Ef]]+DATOS_[[#This Row],[Tot COMPL.SAL Ef]]</f>
        <v>14040</v>
      </c>
      <c r="CF224" s="324">
        <f>+SUM(DATOS_[[#This Row],[C.Extra.01]:[C.Extra.05]])</f>
        <v>0</v>
      </c>
      <c r="CG224" s="330">
        <f>+DATOS_[[#This Row],[TOTAL SALARIO Ef]]+DATOS_[[#This Row],[Tot Extrasalarial Ef]]</f>
        <v>14040</v>
      </c>
      <c r="CH224" s="303">
        <f>MIN(IF(DATOS_[[#This Row],[Fecha Fin Contrato]]="",$D$4,DATOS_[[#This Row],[Fecha Fin Contrato]]),$D$4)-MAX(DATOS_[[#This Row],[Fecha de Contratación]],$D$3)+1</f>
        <v>366</v>
      </c>
      <c r="CI224" s="304" t="str">
        <f>IF(COUNTIFS(DATOS_[id],DATOS_[[#This Row],[id]])&gt;1,DATOS_[[#This Row],[id]],"")</f>
        <v/>
      </c>
      <c r="CJ224" s="325">
        <f>(Inicio!$G$10-DATOS_[[#This Row],[Fecha Nacimiento]])/365.25</f>
        <v>34.064339493497606</v>
      </c>
      <c r="CK224" s="325">
        <f>(Inicio!$G$10-DATOS_[[#This Row],[Fecha de Antigüedad]])/365.25</f>
        <v>8.4325804243668721</v>
      </c>
      <c r="CL224" s="325" t="str">
        <f>+VLOOKUP(DATOS_[[#This Row],[Clave de Contrato]],TblTiposContrato13[],3,FALSE)</f>
        <v>Completa</v>
      </c>
      <c r="CM224" s="325" t="str">
        <f>+VLOOKUP(DATOS_[[#This Row],[Clave de Contrato]],TblTiposContrato13[],4,FALSE)</f>
        <v>Indefinido</v>
      </c>
      <c r="CN224" s="325" t="str">
        <f>VLOOKUP(DATOS_[[#This Row],[Edad]],CONTRATOS!TblRngEdad,2,TRUE)</f>
        <v>30 a 35</v>
      </c>
      <c r="CO224" s="325" t="str">
        <f>VLOOKUP(DATOS_[[#This Row],[Antigüedad]],TblRngAntg14[],2,TRUE)</f>
        <v>5 a 10  años</v>
      </c>
    </row>
    <row r="225" spans="2:93" x14ac:dyDescent="0.25">
      <c r="B225" s="146">
        <v>200</v>
      </c>
      <c r="C225" s="146" t="s">
        <v>163</v>
      </c>
      <c r="D225" s="295">
        <v>29930</v>
      </c>
      <c r="E225" s="296" t="s">
        <v>71</v>
      </c>
      <c r="F225" s="296">
        <v>3</v>
      </c>
      <c r="G225" s="296">
        <v>0</v>
      </c>
      <c r="H225" s="297">
        <v>42607</v>
      </c>
      <c r="I225" s="298"/>
      <c r="J225" s="295">
        <v>42607</v>
      </c>
      <c r="K225" s="326"/>
      <c r="L225" s="326"/>
      <c r="M225" s="299">
        <v>1</v>
      </c>
      <c r="N225" s="299"/>
      <c r="O225" s="299"/>
      <c r="P225" s="296">
        <v>100</v>
      </c>
      <c r="Q225" s="146" t="s">
        <v>431</v>
      </c>
      <c r="R225" s="146" t="s">
        <v>413</v>
      </c>
      <c r="S225" s="146" t="s">
        <v>440</v>
      </c>
      <c r="T225" s="146" t="s">
        <v>407</v>
      </c>
      <c r="U225" s="146" t="s">
        <v>400</v>
      </c>
      <c r="V225" s="146" t="s">
        <v>438</v>
      </c>
      <c r="W225" s="146" t="s">
        <v>311</v>
      </c>
      <c r="X225" s="146" t="s">
        <v>307</v>
      </c>
      <c r="Y225" s="146" t="s">
        <v>409</v>
      </c>
      <c r="Z225" s="293"/>
      <c r="AA225" s="294" t="s">
        <v>439</v>
      </c>
      <c r="AB225" s="294">
        <v>9</v>
      </c>
      <c r="AC225" s="296">
        <v>7</v>
      </c>
      <c r="AD225" s="301">
        <v>12915.07</v>
      </c>
      <c r="AE225" s="301">
        <v>84.930000000000291</v>
      </c>
      <c r="AF225" s="301"/>
      <c r="AG225" s="301">
        <v>960</v>
      </c>
      <c r="AH225" s="301"/>
      <c r="AI225" s="301"/>
      <c r="AJ225" s="301"/>
      <c r="AK225" s="301">
        <v>80</v>
      </c>
      <c r="AL225" s="301"/>
      <c r="AM225" s="301"/>
      <c r="AN225" s="301"/>
      <c r="AO225" s="301"/>
      <c r="AP225" s="301"/>
      <c r="AQ225" s="301"/>
      <c r="AR225" s="301"/>
      <c r="AS225" s="301"/>
      <c r="AT225" s="301"/>
      <c r="AU225" s="301"/>
      <c r="AV225" s="301"/>
      <c r="AW225" s="301"/>
      <c r="AX225" s="301"/>
      <c r="AY225" s="301"/>
      <c r="AZ225" s="301"/>
      <c r="BA225" s="301"/>
      <c r="BB225" s="301"/>
      <c r="BC225" s="301"/>
      <c r="BD225" s="301"/>
      <c r="BE225" s="301"/>
      <c r="BF225" s="301"/>
      <c r="BG225" s="301"/>
      <c r="BH225" s="301"/>
      <c r="BI225" s="301"/>
      <c r="BJ225" s="301"/>
      <c r="BK225" s="301"/>
      <c r="BL225" s="301"/>
      <c r="BM225" s="302"/>
      <c r="BN225" s="291">
        <f>+MAX($D$3,DATOS_[[#This Row],[Fecha Inicio Sit. Contract.]])</f>
        <v>45292</v>
      </c>
      <c r="BO225" s="291">
        <f>+MIN($D$4,DATOS_[[#This Row],[Fecha Fin Sit. Contract.]])</f>
        <v>45657</v>
      </c>
      <c r="BP225" s="292">
        <f>+DATOS_[[#This Row],[% de jornada]]*IF(DATOS_[[#This Row],[% jornada reducida]]="",1,DATOS_[[#This Row],[% jornada reducida]])</f>
        <v>1</v>
      </c>
      <c r="BQ225" s="292">
        <f>+(DATOS_[[#This Row],[F.fin.cal]]-DATOS_[[#This Row],[F.ini.cal]]+1)/($D$4-$D$3+1)</f>
        <v>1</v>
      </c>
      <c r="BR225" s="322" t="str">
        <f>IF(OR(AND(DATOS_[[#This Row],[Fecha Fin Contrato]]&lt;$D$3,DATOS_[[#This Row],[Fecha Fin Contrato]]&lt;&gt;""),DATOS_[[#This Row],[Fecha de Contratación]]&gt;$D$4),"Fuera","Dentro")</f>
        <v>Dentro</v>
      </c>
      <c r="BS225" s="322" t="str">
        <f t="array" ref="BS225">IF(MAX(IF(DATOS_[id]=DATOS_[[#This Row],[id]],DATOS_[F.fin.cal]))=DATOS_[[#This Row],[F.fin.cal]],"Sí","NO")</f>
        <v>Sí</v>
      </c>
      <c r="BT225" s="292" t="str">
        <f>IF(AND(DATOS_[[#This Row],[% normaliz]]&lt;&gt;1,DATOS_[[#This Row],[% anualiz]]=1),"Sí","NO")</f>
        <v>NO</v>
      </c>
      <c r="BU225" s="292" t="str">
        <f>IF(AND(DATOS_[[#This Row],[% normaliz]]=1,DATOS_[[#This Row],[% anualiz]]&lt;&gt;1),"Sí","NO")</f>
        <v>NO</v>
      </c>
      <c r="BV225" s="292" t="str">
        <f>IF(AND(DATOS_[[#This Row],[% normaliz]]&lt;&gt;1,DATOS_[[#This Row],[% anualiz]]&lt;&gt;1),"Sí","NO")</f>
        <v>NO</v>
      </c>
      <c r="BW225" s="322" t="str">
        <f>+IF(DATOS_[[#This Row],[% normaliz]]*DATOS_[[#This Row],[% anualiz]]=1,"NO","Sí")</f>
        <v>NO</v>
      </c>
      <c r="BX225" s="323">
        <f>(DATOS_[[#This Row],[S.BASE]]*(1/DATOS_[[#This Row],[% normaliz]])*(1/DATOS_[[#This Row],[% anualiz]]))*IF(DATOS_[[#This Row],[Check Equiparado]]="Sí",1,0)</f>
        <v>12915.07</v>
      </c>
      <c r="BY22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5" s="323">
        <f>+DATOS_[[#This Row],[SALARIO BASE Eq]]+DATOS_[[#This Row],[Tot COMPL.SAL Eq]]</f>
        <v>14040</v>
      </c>
      <c r="CA225" s="323">
        <f t="array" ref="CA2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5" s="323">
        <f>+DATOS_[[#This Row],[TOTAL SALARIO Eq]]+DATOS_[[#This Row],[Tot Extrasalarial Eq]]</f>
        <v>14040</v>
      </c>
      <c r="CC225" s="327">
        <f>DATOS_[[#This Row],[S.BASE]]</f>
        <v>12915.07</v>
      </c>
      <c r="CD225" s="324">
        <f>+SUM(DATOS_[[#This Row],[Conc.Sal.01]:[Conc.Sal.30]])</f>
        <v>1124.9300000000003</v>
      </c>
      <c r="CE225" s="324">
        <f>+DATOS_[[#This Row],[SALARIO BASE Ef]]+DATOS_[[#This Row],[Tot COMPL.SAL Ef]]</f>
        <v>14040</v>
      </c>
      <c r="CF225" s="324">
        <f>+SUM(DATOS_[[#This Row],[C.Extra.01]:[C.Extra.05]])</f>
        <v>0</v>
      </c>
      <c r="CG225" s="330">
        <f>+DATOS_[[#This Row],[TOTAL SALARIO Ef]]+DATOS_[[#This Row],[Tot Extrasalarial Ef]]</f>
        <v>14040</v>
      </c>
      <c r="CH225" s="303">
        <f>MIN(IF(DATOS_[[#This Row],[Fecha Fin Contrato]]="",$D$4,DATOS_[[#This Row],[Fecha Fin Contrato]]),$D$4)-MAX(DATOS_[[#This Row],[Fecha de Contratación]],$D$3)+1</f>
        <v>366</v>
      </c>
      <c r="CI225" s="304" t="str">
        <f>IF(COUNTIFS(DATOS_[id],DATOS_[[#This Row],[id]])&gt;1,DATOS_[[#This Row],[id]],"")</f>
        <v/>
      </c>
      <c r="CJ225" s="325">
        <f>(Inicio!$G$10-DATOS_[[#This Row],[Fecha Nacimiento]])/365.25</f>
        <v>43.058179329226554</v>
      </c>
      <c r="CK225" s="325">
        <f>(Inicio!$G$10-DATOS_[[#This Row],[Fecha de Antigüedad]])/365.25</f>
        <v>8.3504449007529082</v>
      </c>
      <c r="CL225" s="325" t="str">
        <f>+VLOOKUP(DATOS_[[#This Row],[Clave de Contrato]],TblTiposContrato13[],3,FALSE)</f>
        <v>Completa</v>
      </c>
      <c r="CM225" s="325" t="str">
        <f>+VLOOKUP(DATOS_[[#This Row],[Clave de Contrato]],TblTiposContrato13[],4,FALSE)</f>
        <v>Indefinido</v>
      </c>
      <c r="CN225" s="325" t="str">
        <f>VLOOKUP(DATOS_[[#This Row],[Edad]],CONTRATOS!TblRngEdad,2,TRUE)</f>
        <v>40 a 45</v>
      </c>
      <c r="CO225" s="325" t="str">
        <f>VLOOKUP(DATOS_[[#This Row],[Antigüedad]],TblRngAntg14[],2,TRUE)</f>
        <v>5 a 10  años</v>
      </c>
    </row>
    <row r="226" spans="2:93" x14ac:dyDescent="0.25">
      <c r="B226" s="146">
        <v>201</v>
      </c>
      <c r="C226" s="146" t="s">
        <v>163</v>
      </c>
      <c r="D226" s="295">
        <v>36500</v>
      </c>
      <c r="E226" s="296" t="s">
        <v>71</v>
      </c>
      <c r="F226" s="296">
        <v>3</v>
      </c>
      <c r="G226" s="296">
        <v>0</v>
      </c>
      <c r="H226" s="297">
        <v>42637</v>
      </c>
      <c r="I226" s="298"/>
      <c r="J226" s="295">
        <v>42637</v>
      </c>
      <c r="K226" s="326"/>
      <c r="L226" s="326"/>
      <c r="M226" s="299">
        <v>1</v>
      </c>
      <c r="N226" s="299"/>
      <c r="O226" s="299"/>
      <c r="P226" s="296">
        <v>100</v>
      </c>
      <c r="Q226" s="146" t="s">
        <v>431</v>
      </c>
      <c r="R226" s="146" t="s">
        <v>413</v>
      </c>
      <c r="S226" s="146" t="s">
        <v>440</v>
      </c>
      <c r="T226" s="146" t="s">
        <v>407</v>
      </c>
      <c r="U226" s="146" t="s">
        <v>400</v>
      </c>
      <c r="V226" s="146" t="s">
        <v>438</v>
      </c>
      <c r="W226" s="146" t="s">
        <v>311</v>
      </c>
      <c r="X226" s="146" t="s">
        <v>307</v>
      </c>
      <c r="Y226" s="146" t="s">
        <v>409</v>
      </c>
      <c r="Z226" s="293"/>
      <c r="AA226" s="294" t="s">
        <v>439</v>
      </c>
      <c r="AB226" s="294">
        <v>9</v>
      </c>
      <c r="AC226" s="296">
        <v>7</v>
      </c>
      <c r="AD226" s="301">
        <v>12915.07</v>
      </c>
      <c r="AE226" s="301">
        <v>84.930000000000291</v>
      </c>
      <c r="AF226" s="301"/>
      <c r="AG226" s="301">
        <v>960</v>
      </c>
      <c r="AH226" s="301"/>
      <c r="AI226" s="301"/>
      <c r="AJ226" s="301"/>
      <c r="AK226" s="301">
        <v>80</v>
      </c>
      <c r="AL226" s="301"/>
      <c r="AM226" s="301"/>
      <c r="AN226" s="301"/>
      <c r="AO226" s="301"/>
      <c r="AP226" s="301"/>
      <c r="AQ226" s="301"/>
      <c r="AR226" s="301"/>
      <c r="AS226" s="301"/>
      <c r="AT226" s="301"/>
      <c r="AU226" s="301"/>
      <c r="AV226" s="301"/>
      <c r="AW226" s="301"/>
      <c r="AX226" s="301"/>
      <c r="AY226" s="301"/>
      <c r="AZ226" s="301"/>
      <c r="BA226" s="301"/>
      <c r="BB226" s="301"/>
      <c r="BC226" s="301"/>
      <c r="BD226" s="301"/>
      <c r="BE226" s="301"/>
      <c r="BF226" s="301"/>
      <c r="BG226" s="301"/>
      <c r="BH226" s="301"/>
      <c r="BI226" s="301"/>
      <c r="BJ226" s="301"/>
      <c r="BK226" s="301"/>
      <c r="BL226" s="301"/>
      <c r="BM226" s="302"/>
      <c r="BN226" s="291">
        <f>+MAX($D$3,DATOS_[[#This Row],[Fecha Inicio Sit. Contract.]])</f>
        <v>45292</v>
      </c>
      <c r="BO226" s="291">
        <f>+MIN($D$4,DATOS_[[#This Row],[Fecha Fin Sit. Contract.]])</f>
        <v>45657</v>
      </c>
      <c r="BP226" s="292">
        <f>+DATOS_[[#This Row],[% de jornada]]*IF(DATOS_[[#This Row],[% jornada reducida]]="",1,DATOS_[[#This Row],[% jornada reducida]])</f>
        <v>1</v>
      </c>
      <c r="BQ226" s="292">
        <f>+(DATOS_[[#This Row],[F.fin.cal]]-DATOS_[[#This Row],[F.ini.cal]]+1)/($D$4-$D$3+1)</f>
        <v>1</v>
      </c>
      <c r="BR226" s="322" t="str">
        <f>IF(OR(AND(DATOS_[[#This Row],[Fecha Fin Contrato]]&lt;$D$3,DATOS_[[#This Row],[Fecha Fin Contrato]]&lt;&gt;""),DATOS_[[#This Row],[Fecha de Contratación]]&gt;$D$4),"Fuera","Dentro")</f>
        <v>Dentro</v>
      </c>
      <c r="BS226" s="322" t="str">
        <f t="array" ref="BS226">IF(MAX(IF(DATOS_[id]=DATOS_[[#This Row],[id]],DATOS_[F.fin.cal]))=DATOS_[[#This Row],[F.fin.cal]],"Sí","NO")</f>
        <v>Sí</v>
      </c>
      <c r="BT226" s="292" t="str">
        <f>IF(AND(DATOS_[[#This Row],[% normaliz]]&lt;&gt;1,DATOS_[[#This Row],[% anualiz]]=1),"Sí","NO")</f>
        <v>NO</v>
      </c>
      <c r="BU226" s="292" t="str">
        <f>IF(AND(DATOS_[[#This Row],[% normaliz]]=1,DATOS_[[#This Row],[% anualiz]]&lt;&gt;1),"Sí","NO")</f>
        <v>NO</v>
      </c>
      <c r="BV226" s="292" t="str">
        <f>IF(AND(DATOS_[[#This Row],[% normaliz]]&lt;&gt;1,DATOS_[[#This Row],[% anualiz]]&lt;&gt;1),"Sí","NO")</f>
        <v>NO</v>
      </c>
      <c r="BW226" s="322" t="str">
        <f>+IF(DATOS_[[#This Row],[% normaliz]]*DATOS_[[#This Row],[% anualiz]]=1,"NO","Sí")</f>
        <v>NO</v>
      </c>
      <c r="BX226" s="323">
        <f>(DATOS_[[#This Row],[S.BASE]]*(1/DATOS_[[#This Row],[% normaliz]])*(1/DATOS_[[#This Row],[% anualiz]]))*IF(DATOS_[[#This Row],[Check Equiparado]]="Sí",1,0)</f>
        <v>12915.07</v>
      </c>
      <c r="BY22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6" s="323">
        <f>+DATOS_[[#This Row],[SALARIO BASE Eq]]+DATOS_[[#This Row],[Tot COMPL.SAL Eq]]</f>
        <v>14040</v>
      </c>
      <c r="CA226" s="323">
        <f t="array" ref="CA2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6" s="323">
        <f>+DATOS_[[#This Row],[TOTAL SALARIO Eq]]+DATOS_[[#This Row],[Tot Extrasalarial Eq]]</f>
        <v>14040</v>
      </c>
      <c r="CC226" s="327">
        <f>DATOS_[[#This Row],[S.BASE]]</f>
        <v>12915.07</v>
      </c>
      <c r="CD226" s="324">
        <f>+SUM(DATOS_[[#This Row],[Conc.Sal.01]:[Conc.Sal.30]])</f>
        <v>1124.9300000000003</v>
      </c>
      <c r="CE226" s="324">
        <f>+DATOS_[[#This Row],[SALARIO BASE Ef]]+DATOS_[[#This Row],[Tot COMPL.SAL Ef]]</f>
        <v>14040</v>
      </c>
      <c r="CF226" s="324">
        <f>+SUM(DATOS_[[#This Row],[C.Extra.01]:[C.Extra.05]])</f>
        <v>0</v>
      </c>
      <c r="CG226" s="330">
        <f>+DATOS_[[#This Row],[TOTAL SALARIO Ef]]+DATOS_[[#This Row],[Tot Extrasalarial Ef]]</f>
        <v>14040</v>
      </c>
      <c r="CH226" s="303">
        <f>MIN(IF(DATOS_[[#This Row],[Fecha Fin Contrato]]="",$D$4,DATOS_[[#This Row],[Fecha Fin Contrato]]),$D$4)-MAX(DATOS_[[#This Row],[Fecha de Contratación]],$D$3)+1</f>
        <v>366</v>
      </c>
      <c r="CI226" s="304" t="str">
        <f>IF(COUNTIFS(DATOS_[id],DATOS_[[#This Row],[id]])&gt;1,DATOS_[[#This Row],[id]],"")</f>
        <v/>
      </c>
      <c r="CJ226" s="325">
        <f>(Inicio!$G$10-DATOS_[[#This Row],[Fecha Nacimiento]])/365.25</f>
        <v>25.07049965776865</v>
      </c>
      <c r="CK226" s="325">
        <f>(Inicio!$G$10-DATOS_[[#This Row],[Fecha de Antigüedad]])/365.25</f>
        <v>8.2683093771389462</v>
      </c>
      <c r="CL226" s="325" t="str">
        <f>+VLOOKUP(DATOS_[[#This Row],[Clave de Contrato]],TblTiposContrato13[],3,FALSE)</f>
        <v>Completa</v>
      </c>
      <c r="CM226" s="325" t="str">
        <f>+VLOOKUP(DATOS_[[#This Row],[Clave de Contrato]],TblTiposContrato13[],4,FALSE)</f>
        <v>Indefinido</v>
      </c>
      <c r="CN226" s="325" t="str">
        <f>VLOOKUP(DATOS_[[#This Row],[Edad]],CONTRATOS!TblRngEdad,2,TRUE)</f>
        <v>25 a 30</v>
      </c>
      <c r="CO226" s="325" t="str">
        <f>VLOOKUP(DATOS_[[#This Row],[Antigüedad]],TblRngAntg14[],2,TRUE)</f>
        <v>5 a 10  años</v>
      </c>
    </row>
    <row r="227" spans="2:93" x14ac:dyDescent="0.25">
      <c r="B227" s="146">
        <v>202</v>
      </c>
      <c r="C227" s="146" t="s">
        <v>163</v>
      </c>
      <c r="D227" s="295">
        <v>29200</v>
      </c>
      <c r="E227" s="296" t="s">
        <v>71</v>
      </c>
      <c r="F227" s="296">
        <v>3</v>
      </c>
      <c r="G227" s="296">
        <v>0</v>
      </c>
      <c r="H227" s="297">
        <v>42667</v>
      </c>
      <c r="I227" s="298"/>
      <c r="J227" s="295">
        <v>42667</v>
      </c>
      <c r="K227" s="326"/>
      <c r="L227" s="326"/>
      <c r="M227" s="299">
        <v>1</v>
      </c>
      <c r="N227" s="299"/>
      <c r="O227" s="299"/>
      <c r="P227" s="296">
        <v>100</v>
      </c>
      <c r="Q227" s="146" t="s">
        <v>431</v>
      </c>
      <c r="R227" s="146" t="s">
        <v>413</v>
      </c>
      <c r="S227" s="146" t="s">
        <v>440</v>
      </c>
      <c r="T227" s="146" t="s">
        <v>407</v>
      </c>
      <c r="U227" s="146" t="s">
        <v>400</v>
      </c>
      <c r="V227" s="146" t="s">
        <v>438</v>
      </c>
      <c r="W227" s="146" t="s">
        <v>311</v>
      </c>
      <c r="X227" s="146" t="s">
        <v>307</v>
      </c>
      <c r="Y227" s="146" t="s">
        <v>409</v>
      </c>
      <c r="Z227" s="293"/>
      <c r="AA227" s="294" t="s">
        <v>439</v>
      </c>
      <c r="AB227" s="294">
        <v>9</v>
      </c>
      <c r="AC227" s="296">
        <v>7</v>
      </c>
      <c r="AD227" s="301">
        <v>12915.07</v>
      </c>
      <c r="AE227" s="301">
        <v>84.930000000000291</v>
      </c>
      <c r="AF227" s="301"/>
      <c r="AG227" s="301">
        <v>960</v>
      </c>
      <c r="AH227" s="301"/>
      <c r="AI227" s="301"/>
      <c r="AJ227" s="301"/>
      <c r="AK227" s="301">
        <v>80</v>
      </c>
      <c r="AL227" s="301"/>
      <c r="AM227" s="301"/>
      <c r="AN227" s="301"/>
      <c r="AO227" s="301"/>
      <c r="AP227" s="301"/>
      <c r="AQ227" s="301"/>
      <c r="AR227" s="301"/>
      <c r="AS227" s="301"/>
      <c r="AT227" s="301"/>
      <c r="AU227" s="301"/>
      <c r="AV227" s="301"/>
      <c r="AW227" s="301"/>
      <c r="AX227" s="301"/>
      <c r="AY227" s="301"/>
      <c r="AZ227" s="301"/>
      <c r="BA227" s="301"/>
      <c r="BB227" s="301"/>
      <c r="BC227" s="301"/>
      <c r="BD227" s="301"/>
      <c r="BE227" s="301"/>
      <c r="BF227" s="301"/>
      <c r="BG227" s="301"/>
      <c r="BH227" s="301"/>
      <c r="BI227" s="301"/>
      <c r="BJ227" s="301"/>
      <c r="BK227" s="301"/>
      <c r="BL227" s="301"/>
      <c r="BM227" s="302"/>
      <c r="BN227" s="291">
        <f>+MAX($D$3,DATOS_[[#This Row],[Fecha Inicio Sit. Contract.]])</f>
        <v>45292</v>
      </c>
      <c r="BO227" s="291">
        <f>+MIN($D$4,DATOS_[[#This Row],[Fecha Fin Sit. Contract.]])</f>
        <v>45657</v>
      </c>
      <c r="BP227" s="292">
        <f>+DATOS_[[#This Row],[% de jornada]]*IF(DATOS_[[#This Row],[% jornada reducida]]="",1,DATOS_[[#This Row],[% jornada reducida]])</f>
        <v>1</v>
      </c>
      <c r="BQ227" s="292">
        <f>+(DATOS_[[#This Row],[F.fin.cal]]-DATOS_[[#This Row],[F.ini.cal]]+1)/($D$4-$D$3+1)</f>
        <v>1</v>
      </c>
      <c r="BR227" s="322" t="str">
        <f>IF(OR(AND(DATOS_[[#This Row],[Fecha Fin Contrato]]&lt;$D$3,DATOS_[[#This Row],[Fecha Fin Contrato]]&lt;&gt;""),DATOS_[[#This Row],[Fecha de Contratación]]&gt;$D$4),"Fuera","Dentro")</f>
        <v>Dentro</v>
      </c>
      <c r="BS227" s="322" t="str">
        <f t="array" ref="BS227">IF(MAX(IF(DATOS_[id]=DATOS_[[#This Row],[id]],DATOS_[F.fin.cal]))=DATOS_[[#This Row],[F.fin.cal]],"Sí","NO")</f>
        <v>Sí</v>
      </c>
      <c r="BT227" s="292" t="str">
        <f>IF(AND(DATOS_[[#This Row],[% normaliz]]&lt;&gt;1,DATOS_[[#This Row],[% anualiz]]=1),"Sí","NO")</f>
        <v>NO</v>
      </c>
      <c r="BU227" s="292" t="str">
        <f>IF(AND(DATOS_[[#This Row],[% normaliz]]=1,DATOS_[[#This Row],[% anualiz]]&lt;&gt;1),"Sí","NO")</f>
        <v>NO</v>
      </c>
      <c r="BV227" s="292" t="str">
        <f>IF(AND(DATOS_[[#This Row],[% normaliz]]&lt;&gt;1,DATOS_[[#This Row],[% anualiz]]&lt;&gt;1),"Sí","NO")</f>
        <v>NO</v>
      </c>
      <c r="BW227" s="322" t="str">
        <f>+IF(DATOS_[[#This Row],[% normaliz]]*DATOS_[[#This Row],[% anualiz]]=1,"NO","Sí")</f>
        <v>NO</v>
      </c>
      <c r="BX227" s="323">
        <f>(DATOS_[[#This Row],[S.BASE]]*(1/DATOS_[[#This Row],[% normaliz]])*(1/DATOS_[[#This Row],[% anualiz]]))*IF(DATOS_[[#This Row],[Check Equiparado]]="Sí",1,0)</f>
        <v>12915.07</v>
      </c>
      <c r="BY22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7" s="323">
        <f>+DATOS_[[#This Row],[SALARIO BASE Eq]]+DATOS_[[#This Row],[Tot COMPL.SAL Eq]]</f>
        <v>14040</v>
      </c>
      <c r="CA227" s="323">
        <f t="array" ref="CA2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7" s="323">
        <f>+DATOS_[[#This Row],[TOTAL SALARIO Eq]]+DATOS_[[#This Row],[Tot Extrasalarial Eq]]</f>
        <v>14040</v>
      </c>
      <c r="CC227" s="327">
        <f>DATOS_[[#This Row],[S.BASE]]</f>
        <v>12915.07</v>
      </c>
      <c r="CD227" s="324">
        <f>+SUM(DATOS_[[#This Row],[Conc.Sal.01]:[Conc.Sal.30]])</f>
        <v>1124.9300000000003</v>
      </c>
      <c r="CE227" s="324">
        <f>+DATOS_[[#This Row],[SALARIO BASE Ef]]+DATOS_[[#This Row],[Tot COMPL.SAL Ef]]</f>
        <v>14040</v>
      </c>
      <c r="CF227" s="324">
        <f>+SUM(DATOS_[[#This Row],[C.Extra.01]:[C.Extra.05]])</f>
        <v>0</v>
      </c>
      <c r="CG227" s="330">
        <f>+DATOS_[[#This Row],[TOTAL SALARIO Ef]]+DATOS_[[#This Row],[Tot Extrasalarial Ef]]</f>
        <v>14040</v>
      </c>
      <c r="CH227" s="303">
        <f>MIN(IF(DATOS_[[#This Row],[Fecha Fin Contrato]]="",$D$4,DATOS_[[#This Row],[Fecha Fin Contrato]]),$D$4)-MAX(DATOS_[[#This Row],[Fecha de Contratación]],$D$3)+1</f>
        <v>366</v>
      </c>
      <c r="CI227" s="304" t="str">
        <f>IF(COUNTIFS(DATOS_[id],DATOS_[[#This Row],[id]])&gt;1,DATOS_[[#This Row],[id]],"")</f>
        <v/>
      </c>
      <c r="CJ227" s="325">
        <f>(Inicio!$G$10-DATOS_[[#This Row],[Fecha Nacimiento]])/365.25</f>
        <v>45.056810403832991</v>
      </c>
      <c r="CK227" s="325">
        <f>(Inicio!$G$10-DATOS_[[#This Row],[Fecha de Antigüedad]])/365.25</f>
        <v>8.1861738535249824</v>
      </c>
      <c r="CL227" s="325" t="str">
        <f>+VLOOKUP(DATOS_[[#This Row],[Clave de Contrato]],TblTiposContrato13[],3,FALSE)</f>
        <v>Completa</v>
      </c>
      <c r="CM227" s="325" t="str">
        <f>+VLOOKUP(DATOS_[[#This Row],[Clave de Contrato]],TblTiposContrato13[],4,FALSE)</f>
        <v>Indefinido</v>
      </c>
      <c r="CN227" s="325" t="str">
        <f>VLOOKUP(DATOS_[[#This Row],[Edad]],CONTRATOS!TblRngEdad,2,TRUE)</f>
        <v>45 a 50</v>
      </c>
      <c r="CO227" s="325" t="str">
        <f>VLOOKUP(DATOS_[[#This Row],[Antigüedad]],TblRngAntg14[],2,TRUE)</f>
        <v>5 a 10  años</v>
      </c>
    </row>
    <row r="228" spans="2:93" x14ac:dyDescent="0.25">
      <c r="B228" s="146">
        <v>203</v>
      </c>
      <c r="C228" s="146" t="s">
        <v>163</v>
      </c>
      <c r="D228" s="295">
        <v>27375</v>
      </c>
      <c r="E228" s="296" t="s">
        <v>71</v>
      </c>
      <c r="F228" s="296">
        <v>3</v>
      </c>
      <c r="G228" s="296">
        <v>0</v>
      </c>
      <c r="H228" s="297">
        <v>42697</v>
      </c>
      <c r="I228" s="298"/>
      <c r="J228" s="295">
        <v>42697</v>
      </c>
      <c r="K228" s="326"/>
      <c r="L228" s="326"/>
      <c r="M228" s="299">
        <v>1</v>
      </c>
      <c r="N228" s="299"/>
      <c r="O228" s="299"/>
      <c r="P228" s="296">
        <v>100</v>
      </c>
      <c r="Q228" s="146" t="s">
        <v>431</v>
      </c>
      <c r="R228" s="146" t="s">
        <v>413</v>
      </c>
      <c r="S228" s="146" t="s">
        <v>440</v>
      </c>
      <c r="T228" s="146" t="s">
        <v>407</v>
      </c>
      <c r="U228" s="146" t="s">
        <v>400</v>
      </c>
      <c r="V228" s="146" t="s">
        <v>438</v>
      </c>
      <c r="W228" s="146" t="s">
        <v>311</v>
      </c>
      <c r="X228" s="146" t="s">
        <v>307</v>
      </c>
      <c r="Y228" s="146" t="s">
        <v>409</v>
      </c>
      <c r="Z228" s="293"/>
      <c r="AA228" s="294" t="s">
        <v>439</v>
      </c>
      <c r="AB228" s="294">
        <v>9</v>
      </c>
      <c r="AC228" s="296">
        <v>7</v>
      </c>
      <c r="AD228" s="301">
        <v>12915.07</v>
      </c>
      <c r="AE228" s="301">
        <v>84.930000000000291</v>
      </c>
      <c r="AF228" s="301"/>
      <c r="AG228" s="301">
        <v>960</v>
      </c>
      <c r="AH228" s="301"/>
      <c r="AI228" s="301"/>
      <c r="AJ228" s="301"/>
      <c r="AK228" s="301">
        <v>80</v>
      </c>
      <c r="AL228" s="301"/>
      <c r="AM228" s="301"/>
      <c r="AN228" s="301"/>
      <c r="AO228" s="301"/>
      <c r="AP228" s="301"/>
      <c r="AQ228" s="301"/>
      <c r="AR228" s="301"/>
      <c r="AS228" s="301"/>
      <c r="AT228" s="301"/>
      <c r="AU228" s="301"/>
      <c r="AV228" s="301"/>
      <c r="AW228" s="301"/>
      <c r="AX228" s="301"/>
      <c r="AY228" s="301"/>
      <c r="AZ228" s="301"/>
      <c r="BA228" s="301"/>
      <c r="BB228" s="301"/>
      <c r="BC228" s="301"/>
      <c r="BD228" s="301"/>
      <c r="BE228" s="301"/>
      <c r="BF228" s="301"/>
      <c r="BG228" s="301"/>
      <c r="BH228" s="301"/>
      <c r="BI228" s="301"/>
      <c r="BJ228" s="301"/>
      <c r="BK228" s="301"/>
      <c r="BL228" s="301"/>
      <c r="BM228" s="302"/>
      <c r="BN228" s="291">
        <f>+MAX($D$3,DATOS_[[#This Row],[Fecha Inicio Sit. Contract.]])</f>
        <v>45292</v>
      </c>
      <c r="BO228" s="291">
        <f>+MIN($D$4,DATOS_[[#This Row],[Fecha Fin Sit. Contract.]])</f>
        <v>45657</v>
      </c>
      <c r="BP228" s="292">
        <f>+DATOS_[[#This Row],[% de jornada]]*IF(DATOS_[[#This Row],[% jornada reducida]]="",1,DATOS_[[#This Row],[% jornada reducida]])</f>
        <v>1</v>
      </c>
      <c r="BQ228" s="292">
        <f>+(DATOS_[[#This Row],[F.fin.cal]]-DATOS_[[#This Row],[F.ini.cal]]+1)/($D$4-$D$3+1)</f>
        <v>1</v>
      </c>
      <c r="BR228" s="322" t="str">
        <f>IF(OR(AND(DATOS_[[#This Row],[Fecha Fin Contrato]]&lt;$D$3,DATOS_[[#This Row],[Fecha Fin Contrato]]&lt;&gt;""),DATOS_[[#This Row],[Fecha de Contratación]]&gt;$D$4),"Fuera","Dentro")</f>
        <v>Dentro</v>
      </c>
      <c r="BS228" s="322" t="str">
        <f t="array" ref="BS228">IF(MAX(IF(DATOS_[id]=DATOS_[[#This Row],[id]],DATOS_[F.fin.cal]))=DATOS_[[#This Row],[F.fin.cal]],"Sí","NO")</f>
        <v>Sí</v>
      </c>
      <c r="BT228" s="292" t="str">
        <f>IF(AND(DATOS_[[#This Row],[% normaliz]]&lt;&gt;1,DATOS_[[#This Row],[% anualiz]]=1),"Sí","NO")</f>
        <v>NO</v>
      </c>
      <c r="BU228" s="292" t="str">
        <f>IF(AND(DATOS_[[#This Row],[% normaliz]]=1,DATOS_[[#This Row],[% anualiz]]&lt;&gt;1),"Sí","NO")</f>
        <v>NO</v>
      </c>
      <c r="BV228" s="292" t="str">
        <f>IF(AND(DATOS_[[#This Row],[% normaliz]]&lt;&gt;1,DATOS_[[#This Row],[% anualiz]]&lt;&gt;1),"Sí","NO")</f>
        <v>NO</v>
      </c>
      <c r="BW228" s="322" t="str">
        <f>+IF(DATOS_[[#This Row],[% normaliz]]*DATOS_[[#This Row],[% anualiz]]=1,"NO","Sí")</f>
        <v>NO</v>
      </c>
      <c r="BX228" s="323">
        <f>(DATOS_[[#This Row],[S.BASE]]*(1/DATOS_[[#This Row],[% normaliz]])*(1/DATOS_[[#This Row],[% anualiz]]))*IF(DATOS_[[#This Row],[Check Equiparado]]="Sí",1,0)</f>
        <v>12915.07</v>
      </c>
      <c r="BY22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8" s="323">
        <f>+DATOS_[[#This Row],[SALARIO BASE Eq]]+DATOS_[[#This Row],[Tot COMPL.SAL Eq]]</f>
        <v>14040</v>
      </c>
      <c r="CA228" s="323">
        <f t="array" ref="CA2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8" s="323">
        <f>+DATOS_[[#This Row],[TOTAL SALARIO Eq]]+DATOS_[[#This Row],[Tot Extrasalarial Eq]]</f>
        <v>14040</v>
      </c>
      <c r="CC228" s="327">
        <f>DATOS_[[#This Row],[S.BASE]]</f>
        <v>12915.07</v>
      </c>
      <c r="CD228" s="324">
        <f>+SUM(DATOS_[[#This Row],[Conc.Sal.01]:[Conc.Sal.30]])</f>
        <v>1124.9300000000003</v>
      </c>
      <c r="CE228" s="324">
        <f>+DATOS_[[#This Row],[SALARIO BASE Ef]]+DATOS_[[#This Row],[Tot COMPL.SAL Ef]]</f>
        <v>14040</v>
      </c>
      <c r="CF228" s="324">
        <f>+SUM(DATOS_[[#This Row],[C.Extra.01]:[C.Extra.05]])</f>
        <v>0</v>
      </c>
      <c r="CG228" s="330">
        <f>+DATOS_[[#This Row],[TOTAL SALARIO Ef]]+DATOS_[[#This Row],[Tot Extrasalarial Ef]]</f>
        <v>14040</v>
      </c>
      <c r="CH228" s="303">
        <f>MIN(IF(DATOS_[[#This Row],[Fecha Fin Contrato]]="",$D$4,DATOS_[[#This Row],[Fecha Fin Contrato]]),$D$4)-MAX(DATOS_[[#This Row],[Fecha de Contratación]],$D$3)+1</f>
        <v>366</v>
      </c>
      <c r="CI228" s="304" t="str">
        <f>IF(COUNTIFS(DATOS_[id],DATOS_[[#This Row],[id]])&gt;1,DATOS_[[#This Row],[id]],"")</f>
        <v/>
      </c>
      <c r="CJ228" s="325">
        <f>(Inicio!$G$10-DATOS_[[#This Row],[Fecha Nacimiento]])/365.25</f>
        <v>50.053388090349074</v>
      </c>
      <c r="CK228" s="325">
        <f>(Inicio!$G$10-DATOS_[[#This Row],[Fecha de Antigüedad]])/365.25</f>
        <v>8.1040383299110204</v>
      </c>
      <c r="CL228" s="325" t="str">
        <f>+VLOOKUP(DATOS_[[#This Row],[Clave de Contrato]],TblTiposContrato13[],3,FALSE)</f>
        <v>Completa</v>
      </c>
      <c r="CM228" s="325" t="str">
        <f>+VLOOKUP(DATOS_[[#This Row],[Clave de Contrato]],TblTiposContrato13[],4,FALSE)</f>
        <v>Indefinido</v>
      </c>
      <c r="CN228" s="325" t="str">
        <f>VLOOKUP(DATOS_[[#This Row],[Edad]],CONTRATOS!TblRngEdad,2,TRUE)</f>
        <v>50 a 55</v>
      </c>
      <c r="CO228" s="325" t="str">
        <f>VLOOKUP(DATOS_[[#This Row],[Antigüedad]],TblRngAntg14[],2,TRUE)</f>
        <v>5 a 10  años</v>
      </c>
    </row>
    <row r="229" spans="2:93" x14ac:dyDescent="0.25">
      <c r="B229" s="146">
        <v>204</v>
      </c>
      <c r="C229" s="146" t="s">
        <v>163</v>
      </c>
      <c r="D229" s="295">
        <v>27010</v>
      </c>
      <c r="E229" s="296" t="s">
        <v>71</v>
      </c>
      <c r="F229" s="296">
        <v>2</v>
      </c>
      <c r="G229" s="296">
        <v>1</v>
      </c>
      <c r="H229" s="297">
        <v>42727</v>
      </c>
      <c r="I229" s="298"/>
      <c r="J229" s="295">
        <v>42727</v>
      </c>
      <c r="K229" s="326"/>
      <c r="L229" s="326"/>
      <c r="M229" s="299">
        <v>1</v>
      </c>
      <c r="N229" s="299"/>
      <c r="O229" s="299"/>
      <c r="P229" s="296">
        <v>100</v>
      </c>
      <c r="Q229" s="146" t="s">
        <v>414</v>
      </c>
      <c r="R229" s="146" t="s">
        <v>420</v>
      </c>
      <c r="S229" s="146" t="s">
        <v>440</v>
      </c>
      <c r="T229" s="146" t="s">
        <v>407</v>
      </c>
      <c r="U229" s="146" t="s">
        <v>400</v>
      </c>
      <c r="V229" s="146" t="s">
        <v>438</v>
      </c>
      <c r="W229" s="146" t="s">
        <v>311</v>
      </c>
      <c r="X229" s="146" t="s">
        <v>307</v>
      </c>
      <c r="Y229" s="146" t="s">
        <v>409</v>
      </c>
      <c r="Z229" s="293"/>
      <c r="AA229" s="294" t="s">
        <v>439</v>
      </c>
      <c r="AB229" s="294">
        <v>9</v>
      </c>
      <c r="AC229" s="296">
        <v>7</v>
      </c>
      <c r="AD229" s="301">
        <v>12915.07</v>
      </c>
      <c r="AE229" s="301">
        <v>84.930000000000291</v>
      </c>
      <c r="AF229" s="301"/>
      <c r="AG229" s="301">
        <v>960</v>
      </c>
      <c r="AH229" s="301"/>
      <c r="AI229" s="301"/>
      <c r="AJ229" s="301"/>
      <c r="AK229" s="301">
        <v>80</v>
      </c>
      <c r="AL229" s="301"/>
      <c r="AM229" s="301"/>
      <c r="AN229" s="301"/>
      <c r="AO229" s="301"/>
      <c r="AP229" s="301"/>
      <c r="AQ229" s="301"/>
      <c r="AR229" s="301"/>
      <c r="AS229" s="301"/>
      <c r="AT229" s="301"/>
      <c r="AU229" s="301"/>
      <c r="AV229" s="301"/>
      <c r="AW229" s="301"/>
      <c r="AX229" s="301"/>
      <c r="AY229" s="301"/>
      <c r="AZ229" s="301"/>
      <c r="BA229" s="301"/>
      <c r="BB229" s="301"/>
      <c r="BC229" s="301"/>
      <c r="BD229" s="301"/>
      <c r="BE229" s="301"/>
      <c r="BF229" s="301"/>
      <c r="BG229" s="301"/>
      <c r="BH229" s="301"/>
      <c r="BI229" s="301"/>
      <c r="BJ229" s="301"/>
      <c r="BK229" s="301"/>
      <c r="BL229" s="301"/>
      <c r="BM229" s="302"/>
      <c r="BN229" s="291">
        <f>+MAX($D$3,DATOS_[[#This Row],[Fecha Inicio Sit. Contract.]])</f>
        <v>45292</v>
      </c>
      <c r="BO229" s="291">
        <f>+MIN($D$4,DATOS_[[#This Row],[Fecha Fin Sit. Contract.]])</f>
        <v>45657</v>
      </c>
      <c r="BP229" s="292">
        <f>+DATOS_[[#This Row],[% de jornada]]*IF(DATOS_[[#This Row],[% jornada reducida]]="",1,DATOS_[[#This Row],[% jornada reducida]])</f>
        <v>1</v>
      </c>
      <c r="BQ229" s="292">
        <f>+(DATOS_[[#This Row],[F.fin.cal]]-DATOS_[[#This Row],[F.ini.cal]]+1)/($D$4-$D$3+1)</f>
        <v>1</v>
      </c>
      <c r="BR229" s="322" t="str">
        <f>IF(OR(AND(DATOS_[[#This Row],[Fecha Fin Contrato]]&lt;$D$3,DATOS_[[#This Row],[Fecha Fin Contrato]]&lt;&gt;""),DATOS_[[#This Row],[Fecha de Contratación]]&gt;$D$4),"Fuera","Dentro")</f>
        <v>Dentro</v>
      </c>
      <c r="BS229" s="322" t="str">
        <f t="array" ref="BS229">IF(MAX(IF(DATOS_[id]=DATOS_[[#This Row],[id]],DATOS_[F.fin.cal]))=DATOS_[[#This Row],[F.fin.cal]],"Sí","NO")</f>
        <v>Sí</v>
      </c>
      <c r="BT229" s="292" t="str">
        <f>IF(AND(DATOS_[[#This Row],[% normaliz]]&lt;&gt;1,DATOS_[[#This Row],[% anualiz]]=1),"Sí","NO")</f>
        <v>NO</v>
      </c>
      <c r="BU229" s="292" t="str">
        <f>IF(AND(DATOS_[[#This Row],[% normaliz]]=1,DATOS_[[#This Row],[% anualiz]]&lt;&gt;1),"Sí","NO")</f>
        <v>NO</v>
      </c>
      <c r="BV229" s="292" t="str">
        <f>IF(AND(DATOS_[[#This Row],[% normaliz]]&lt;&gt;1,DATOS_[[#This Row],[% anualiz]]&lt;&gt;1),"Sí","NO")</f>
        <v>NO</v>
      </c>
      <c r="BW229" s="322" t="str">
        <f>+IF(DATOS_[[#This Row],[% normaliz]]*DATOS_[[#This Row],[% anualiz]]=1,"NO","Sí")</f>
        <v>NO</v>
      </c>
      <c r="BX229" s="323">
        <f>(DATOS_[[#This Row],[S.BASE]]*(1/DATOS_[[#This Row],[% normaliz]])*(1/DATOS_[[#This Row],[% anualiz]]))*IF(DATOS_[[#This Row],[Check Equiparado]]="Sí",1,0)</f>
        <v>12915.07</v>
      </c>
      <c r="BY22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9" s="323">
        <f>+DATOS_[[#This Row],[SALARIO BASE Eq]]+DATOS_[[#This Row],[Tot COMPL.SAL Eq]]</f>
        <v>14040</v>
      </c>
      <c r="CA229" s="323">
        <f t="array" ref="CA2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9" s="323">
        <f>+DATOS_[[#This Row],[TOTAL SALARIO Eq]]+DATOS_[[#This Row],[Tot Extrasalarial Eq]]</f>
        <v>14040</v>
      </c>
      <c r="CC229" s="327">
        <f>DATOS_[[#This Row],[S.BASE]]</f>
        <v>12915.07</v>
      </c>
      <c r="CD229" s="324">
        <f>+SUM(DATOS_[[#This Row],[Conc.Sal.01]:[Conc.Sal.30]])</f>
        <v>1124.9300000000003</v>
      </c>
      <c r="CE229" s="324">
        <f>+DATOS_[[#This Row],[SALARIO BASE Ef]]+DATOS_[[#This Row],[Tot COMPL.SAL Ef]]</f>
        <v>14040</v>
      </c>
      <c r="CF229" s="324">
        <f>+SUM(DATOS_[[#This Row],[C.Extra.01]:[C.Extra.05]])</f>
        <v>0</v>
      </c>
      <c r="CG229" s="330">
        <f>+DATOS_[[#This Row],[TOTAL SALARIO Ef]]+DATOS_[[#This Row],[Tot Extrasalarial Ef]]</f>
        <v>14040</v>
      </c>
      <c r="CH229" s="303">
        <f>MIN(IF(DATOS_[[#This Row],[Fecha Fin Contrato]]="",$D$4,DATOS_[[#This Row],[Fecha Fin Contrato]]),$D$4)-MAX(DATOS_[[#This Row],[Fecha de Contratación]],$D$3)+1</f>
        <v>366</v>
      </c>
      <c r="CI229" s="304" t="str">
        <f>IF(COUNTIFS(DATOS_[id],DATOS_[[#This Row],[id]])&gt;1,DATOS_[[#This Row],[id]],"")</f>
        <v/>
      </c>
      <c r="CJ229" s="325">
        <f>(Inicio!$G$10-DATOS_[[#This Row],[Fecha Nacimiento]])/365.25</f>
        <v>51.052703627652292</v>
      </c>
      <c r="CK229" s="325">
        <f>(Inicio!$G$10-DATOS_[[#This Row],[Fecha de Antigüedad]])/365.25</f>
        <v>8.0219028062970565</v>
      </c>
      <c r="CL229" s="325" t="str">
        <f>+VLOOKUP(DATOS_[[#This Row],[Clave de Contrato]],TblTiposContrato13[],3,FALSE)</f>
        <v>Completa</v>
      </c>
      <c r="CM229" s="325" t="str">
        <f>+VLOOKUP(DATOS_[[#This Row],[Clave de Contrato]],TblTiposContrato13[],4,FALSE)</f>
        <v>Indefinido</v>
      </c>
      <c r="CN229" s="325" t="str">
        <f>VLOOKUP(DATOS_[[#This Row],[Edad]],CONTRATOS!TblRngEdad,2,TRUE)</f>
        <v>50 a 55</v>
      </c>
      <c r="CO229" s="325" t="str">
        <f>VLOOKUP(DATOS_[[#This Row],[Antigüedad]],TblRngAntg14[],2,TRUE)</f>
        <v>5 a 10  años</v>
      </c>
    </row>
    <row r="230" spans="2:93" x14ac:dyDescent="0.25">
      <c r="B230" s="146">
        <v>205</v>
      </c>
      <c r="C230" s="146" t="s">
        <v>163</v>
      </c>
      <c r="D230" s="295">
        <v>30660</v>
      </c>
      <c r="E230" s="296" t="s">
        <v>71</v>
      </c>
      <c r="F230" s="296">
        <v>2</v>
      </c>
      <c r="G230" s="296">
        <v>2</v>
      </c>
      <c r="H230" s="297">
        <v>42757</v>
      </c>
      <c r="I230" s="298"/>
      <c r="J230" s="295">
        <v>42757</v>
      </c>
      <c r="K230" s="326"/>
      <c r="L230" s="326"/>
      <c r="M230" s="299">
        <v>1</v>
      </c>
      <c r="N230" s="299"/>
      <c r="O230" s="299"/>
      <c r="P230" s="296">
        <v>100</v>
      </c>
      <c r="Q230" s="146" t="s">
        <v>414</v>
      </c>
      <c r="R230" s="146" t="s">
        <v>420</v>
      </c>
      <c r="S230" s="146" t="s">
        <v>440</v>
      </c>
      <c r="T230" s="146" t="s">
        <v>407</v>
      </c>
      <c r="U230" s="146" t="s">
        <v>400</v>
      </c>
      <c r="V230" s="146" t="s">
        <v>438</v>
      </c>
      <c r="W230" s="146" t="s">
        <v>311</v>
      </c>
      <c r="X230" s="146" t="s">
        <v>307</v>
      </c>
      <c r="Y230" s="146" t="s">
        <v>409</v>
      </c>
      <c r="Z230" s="293"/>
      <c r="AA230" s="294" t="s">
        <v>439</v>
      </c>
      <c r="AB230" s="294">
        <v>9</v>
      </c>
      <c r="AC230" s="296">
        <v>7</v>
      </c>
      <c r="AD230" s="301">
        <v>12915.07</v>
      </c>
      <c r="AE230" s="301">
        <v>84.930000000000291</v>
      </c>
      <c r="AF230" s="301"/>
      <c r="AG230" s="301">
        <v>960</v>
      </c>
      <c r="AH230" s="301"/>
      <c r="AI230" s="301"/>
      <c r="AJ230" s="301"/>
      <c r="AK230" s="301">
        <v>80</v>
      </c>
      <c r="AL230" s="301"/>
      <c r="AM230" s="301"/>
      <c r="AN230" s="301"/>
      <c r="AO230" s="301"/>
      <c r="AP230" s="301"/>
      <c r="AQ230" s="301"/>
      <c r="AR230" s="301"/>
      <c r="AS230" s="301"/>
      <c r="AT230" s="301"/>
      <c r="AU230" s="301"/>
      <c r="AV230" s="301"/>
      <c r="AW230" s="301"/>
      <c r="AX230" s="301"/>
      <c r="AY230" s="301"/>
      <c r="AZ230" s="301"/>
      <c r="BA230" s="301"/>
      <c r="BB230" s="301"/>
      <c r="BC230" s="301"/>
      <c r="BD230" s="301"/>
      <c r="BE230" s="301"/>
      <c r="BF230" s="301"/>
      <c r="BG230" s="301"/>
      <c r="BH230" s="301"/>
      <c r="BI230" s="301"/>
      <c r="BJ230" s="301"/>
      <c r="BK230" s="301"/>
      <c r="BL230" s="301"/>
      <c r="BM230" s="302"/>
      <c r="BN230" s="291">
        <f>+MAX($D$3,DATOS_[[#This Row],[Fecha Inicio Sit. Contract.]])</f>
        <v>45292</v>
      </c>
      <c r="BO230" s="291">
        <f>+MIN($D$4,DATOS_[[#This Row],[Fecha Fin Sit. Contract.]])</f>
        <v>45657</v>
      </c>
      <c r="BP230" s="292">
        <f>+DATOS_[[#This Row],[% de jornada]]*IF(DATOS_[[#This Row],[% jornada reducida]]="",1,DATOS_[[#This Row],[% jornada reducida]])</f>
        <v>1</v>
      </c>
      <c r="BQ230" s="292">
        <f>+(DATOS_[[#This Row],[F.fin.cal]]-DATOS_[[#This Row],[F.ini.cal]]+1)/($D$4-$D$3+1)</f>
        <v>1</v>
      </c>
      <c r="BR230" s="322" t="str">
        <f>IF(OR(AND(DATOS_[[#This Row],[Fecha Fin Contrato]]&lt;$D$3,DATOS_[[#This Row],[Fecha Fin Contrato]]&lt;&gt;""),DATOS_[[#This Row],[Fecha de Contratación]]&gt;$D$4),"Fuera","Dentro")</f>
        <v>Dentro</v>
      </c>
      <c r="BS230" s="322" t="str">
        <f t="array" ref="BS230">IF(MAX(IF(DATOS_[id]=DATOS_[[#This Row],[id]],DATOS_[F.fin.cal]))=DATOS_[[#This Row],[F.fin.cal]],"Sí","NO")</f>
        <v>Sí</v>
      </c>
      <c r="BT230" s="292" t="str">
        <f>IF(AND(DATOS_[[#This Row],[% normaliz]]&lt;&gt;1,DATOS_[[#This Row],[% anualiz]]=1),"Sí","NO")</f>
        <v>NO</v>
      </c>
      <c r="BU230" s="292" t="str">
        <f>IF(AND(DATOS_[[#This Row],[% normaliz]]=1,DATOS_[[#This Row],[% anualiz]]&lt;&gt;1),"Sí","NO")</f>
        <v>NO</v>
      </c>
      <c r="BV230" s="292" t="str">
        <f>IF(AND(DATOS_[[#This Row],[% normaliz]]&lt;&gt;1,DATOS_[[#This Row],[% anualiz]]&lt;&gt;1),"Sí","NO")</f>
        <v>NO</v>
      </c>
      <c r="BW230" s="322" t="str">
        <f>+IF(DATOS_[[#This Row],[% normaliz]]*DATOS_[[#This Row],[% anualiz]]=1,"NO","Sí")</f>
        <v>NO</v>
      </c>
      <c r="BX230" s="323">
        <f>(DATOS_[[#This Row],[S.BASE]]*(1/DATOS_[[#This Row],[% normaliz]])*(1/DATOS_[[#This Row],[% anualiz]]))*IF(DATOS_[[#This Row],[Check Equiparado]]="Sí",1,0)</f>
        <v>12915.07</v>
      </c>
      <c r="BY23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0" s="323">
        <f>+DATOS_[[#This Row],[SALARIO BASE Eq]]+DATOS_[[#This Row],[Tot COMPL.SAL Eq]]</f>
        <v>14040</v>
      </c>
      <c r="CA230" s="323">
        <f t="array" ref="CA2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0" s="323">
        <f>+DATOS_[[#This Row],[TOTAL SALARIO Eq]]+DATOS_[[#This Row],[Tot Extrasalarial Eq]]</f>
        <v>14040</v>
      </c>
      <c r="CC230" s="327">
        <f>DATOS_[[#This Row],[S.BASE]]</f>
        <v>12915.07</v>
      </c>
      <c r="CD230" s="324">
        <f>+SUM(DATOS_[[#This Row],[Conc.Sal.01]:[Conc.Sal.30]])</f>
        <v>1124.9300000000003</v>
      </c>
      <c r="CE230" s="324">
        <f>+DATOS_[[#This Row],[SALARIO BASE Ef]]+DATOS_[[#This Row],[Tot COMPL.SAL Ef]]</f>
        <v>14040</v>
      </c>
      <c r="CF230" s="324">
        <f>+SUM(DATOS_[[#This Row],[C.Extra.01]:[C.Extra.05]])</f>
        <v>0</v>
      </c>
      <c r="CG230" s="330">
        <f>+DATOS_[[#This Row],[TOTAL SALARIO Ef]]+DATOS_[[#This Row],[Tot Extrasalarial Ef]]</f>
        <v>14040</v>
      </c>
      <c r="CH230" s="303">
        <f>MIN(IF(DATOS_[[#This Row],[Fecha Fin Contrato]]="",$D$4,DATOS_[[#This Row],[Fecha Fin Contrato]]),$D$4)-MAX(DATOS_[[#This Row],[Fecha de Contratación]],$D$3)+1</f>
        <v>366</v>
      </c>
      <c r="CI230" s="304" t="str">
        <f>IF(COUNTIFS(DATOS_[id],DATOS_[[#This Row],[id]])&gt;1,DATOS_[[#This Row],[id]],"")</f>
        <v/>
      </c>
      <c r="CJ230" s="325">
        <f>(Inicio!$G$10-DATOS_[[#This Row],[Fecha Nacimiento]])/365.25</f>
        <v>41.059548254620125</v>
      </c>
      <c r="CK230" s="325">
        <f>(Inicio!$G$10-DATOS_[[#This Row],[Fecha de Antigüedad]])/365.25</f>
        <v>7.9397672826830936</v>
      </c>
      <c r="CL230" s="325" t="str">
        <f>+VLOOKUP(DATOS_[[#This Row],[Clave de Contrato]],TblTiposContrato13[],3,FALSE)</f>
        <v>Completa</v>
      </c>
      <c r="CM230" s="325" t="str">
        <f>+VLOOKUP(DATOS_[[#This Row],[Clave de Contrato]],TblTiposContrato13[],4,FALSE)</f>
        <v>Indefinido</v>
      </c>
      <c r="CN230" s="325" t="str">
        <f>VLOOKUP(DATOS_[[#This Row],[Edad]],CONTRATOS!TblRngEdad,2,TRUE)</f>
        <v>40 a 45</v>
      </c>
      <c r="CO230" s="325" t="str">
        <f>VLOOKUP(DATOS_[[#This Row],[Antigüedad]],TblRngAntg14[],2,TRUE)</f>
        <v>5 a 10  años</v>
      </c>
    </row>
    <row r="231" spans="2:93" x14ac:dyDescent="0.25">
      <c r="B231" s="146">
        <v>206</v>
      </c>
      <c r="C231" s="146" t="s">
        <v>163</v>
      </c>
      <c r="D231" s="295">
        <v>33580</v>
      </c>
      <c r="E231" s="296" t="s">
        <v>71</v>
      </c>
      <c r="F231" s="296">
        <v>2</v>
      </c>
      <c r="G231" s="296">
        <v>3</v>
      </c>
      <c r="H231" s="297">
        <v>42787</v>
      </c>
      <c r="I231" s="298"/>
      <c r="J231" s="295">
        <v>42787</v>
      </c>
      <c r="K231" s="326"/>
      <c r="L231" s="326"/>
      <c r="M231" s="299">
        <v>1</v>
      </c>
      <c r="N231" s="299"/>
      <c r="O231" s="299"/>
      <c r="P231" s="296">
        <v>100</v>
      </c>
      <c r="Q231" s="146" t="s">
        <v>414</v>
      </c>
      <c r="R231" s="146" t="s">
        <v>420</v>
      </c>
      <c r="S231" s="146" t="s">
        <v>440</v>
      </c>
      <c r="T231" s="146" t="s">
        <v>407</v>
      </c>
      <c r="U231" s="146" t="s">
        <v>400</v>
      </c>
      <c r="V231" s="146" t="s">
        <v>438</v>
      </c>
      <c r="W231" s="146" t="s">
        <v>311</v>
      </c>
      <c r="X231" s="146" t="s">
        <v>307</v>
      </c>
      <c r="Y231" s="146" t="s">
        <v>409</v>
      </c>
      <c r="Z231" s="293"/>
      <c r="AA231" s="294" t="s">
        <v>439</v>
      </c>
      <c r="AB231" s="294">
        <v>9</v>
      </c>
      <c r="AC231" s="296">
        <v>7</v>
      </c>
      <c r="AD231" s="301">
        <v>12915.07</v>
      </c>
      <c r="AE231" s="301">
        <v>84.930000000000291</v>
      </c>
      <c r="AF231" s="301"/>
      <c r="AG231" s="301">
        <v>960</v>
      </c>
      <c r="AH231" s="301"/>
      <c r="AI231" s="301"/>
      <c r="AJ231" s="301"/>
      <c r="AK231" s="301">
        <v>80</v>
      </c>
      <c r="AL231" s="301"/>
      <c r="AM231" s="301"/>
      <c r="AN231" s="301"/>
      <c r="AO231" s="301"/>
      <c r="AP231" s="301"/>
      <c r="AQ231" s="301"/>
      <c r="AR231" s="301"/>
      <c r="AS231" s="301"/>
      <c r="AT231" s="301"/>
      <c r="AU231" s="301"/>
      <c r="AV231" s="301"/>
      <c r="AW231" s="301"/>
      <c r="AX231" s="301"/>
      <c r="AY231" s="301"/>
      <c r="AZ231" s="301"/>
      <c r="BA231" s="301"/>
      <c r="BB231" s="301"/>
      <c r="BC231" s="301"/>
      <c r="BD231" s="301"/>
      <c r="BE231" s="301"/>
      <c r="BF231" s="301"/>
      <c r="BG231" s="301"/>
      <c r="BH231" s="301"/>
      <c r="BI231" s="301"/>
      <c r="BJ231" s="301"/>
      <c r="BK231" s="301"/>
      <c r="BL231" s="301"/>
      <c r="BM231" s="302"/>
      <c r="BN231" s="291">
        <f>+MAX($D$3,DATOS_[[#This Row],[Fecha Inicio Sit. Contract.]])</f>
        <v>45292</v>
      </c>
      <c r="BO231" s="291">
        <f>+MIN($D$4,DATOS_[[#This Row],[Fecha Fin Sit. Contract.]])</f>
        <v>45657</v>
      </c>
      <c r="BP231" s="292">
        <f>+DATOS_[[#This Row],[% de jornada]]*IF(DATOS_[[#This Row],[% jornada reducida]]="",1,DATOS_[[#This Row],[% jornada reducida]])</f>
        <v>1</v>
      </c>
      <c r="BQ231" s="292">
        <f>+(DATOS_[[#This Row],[F.fin.cal]]-DATOS_[[#This Row],[F.ini.cal]]+1)/($D$4-$D$3+1)</f>
        <v>1</v>
      </c>
      <c r="BR231" s="322" t="str">
        <f>IF(OR(AND(DATOS_[[#This Row],[Fecha Fin Contrato]]&lt;$D$3,DATOS_[[#This Row],[Fecha Fin Contrato]]&lt;&gt;""),DATOS_[[#This Row],[Fecha de Contratación]]&gt;$D$4),"Fuera","Dentro")</f>
        <v>Dentro</v>
      </c>
      <c r="BS231" s="322" t="str">
        <f t="array" ref="BS231">IF(MAX(IF(DATOS_[id]=DATOS_[[#This Row],[id]],DATOS_[F.fin.cal]))=DATOS_[[#This Row],[F.fin.cal]],"Sí","NO")</f>
        <v>Sí</v>
      </c>
      <c r="BT231" s="292" t="str">
        <f>IF(AND(DATOS_[[#This Row],[% normaliz]]&lt;&gt;1,DATOS_[[#This Row],[% anualiz]]=1),"Sí","NO")</f>
        <v>NO</v>
      </c>
      <c r="BU231" s="292" t="str">
        <f>IF(AND(DATOS_[[#This Row],[% normaliz]]=1,DATOS_[[#This Row],[% anualiz]]&lt;&gt;1),"Sí","NO")</f>
        <v>NO</v>
      </c>
      <c r="BV231" s="292" t="str">
        <f>IF(AND(DATOS_[[#This Row],[% normaliz]]&lt;&gt;1,DATOS_[[#This Row],[% anualiz]]&lt;&gt;1),"Sí","NO")</f>
        <v>NO</v>
      </c>
      <c r="BW231" s="322" t="str">
        <f>+IF(DATOS_[[#This Row],[% normaliz]]*DATOS_[[#This Row],[% anualiz]]=1,"NO","Sí")</f>
        <v>NO</v>
      </c>
      <c r="BX231" s="323">
        <f>(DATOS_[[#This Row],[S.BASE]]*(1/DATOS_[[#This Row],[% normaliz]])*(1/DATOS_[[#This Row],[% anualiz]]))*IF(DATOS_[[#This Row],[Check Equiparado]]="Sí",1,0)</f>
        <v>12915.07</v>
      </c>
      <c r="BY23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1" s="323">
        <f>+DATOS_[[#This Row],[SALARIO BASE Eq]]+DATOS_[[#This Row],[Tot COMPL.SAL Eq]]</f>
        <v>14040</v>
      </c>
      <c r="CA231" s="323">
        <f t="array" ref="CA2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1" s="323">
        <f>+DATOS_[[#This Row],[TOTAL SALARIO Eq]]+DATOS_[[#This Row],[Tot Extrasalarial Eq]]</f>
        <v>14040</v>
      </c>
      <c r="CC231" s="327">
        <f>DATOS_[[#This Row],[S.BASE]]</f>
        <v>12915.07</v>
      </c>
      <c r="CD231" s="324">
        <f>+SUM(DATOS_[[#This Row],[Conc.Sal.01]:[Conc.Sal.30]])</f>
        <v>1124.9300000000003</v>
      </c>
      <c r="CE231" s="324">
        <f>+DATOS_[[#This Row],[SALARIO BASE Ef]]+DATOS_[[#This Row],[Tot COMPL.SAL Ef]]</f>
        <v>14040</v>
      </c>
      <c r="CF231" s="324">
        <f>+SUM(DATOS_[[#This Row],[C.Extra.01]:[C.Extra.05]])</f>
        <v>0</v>
      </c>
      <c r="CG231" s="330">
        <f>+DATOS_[[#This Row],[TOTAL SALARIO Ef]]+DATOS_[[#This Row],[Tot Extrasalarial Ef]]</f>
        <v>14040</v>
      </c>
      <c r="CH231" s="303">
        <f>MIN(IF(DATOS_[[#This Row],[Fecha Fin Contrato]]="",$D$4,DATOS_[[#This Row],[Fecha Fin Contrato]]),$D$4)-MAX(DATOS_[[#This Row],[Fecha de Contratación]],$D$3)+1</f>
        <v>366</v>
      </c>
      <c r="CI231" s="304" t="str">
        <f>IF(COUNTIFS(DATOS_[id],DATOS_[[#This Row],[id]])&gt;1,DATOS_[[#This Row],[id]],"")</f>
        <v/>
      </c>
      <c r="CJ231" s="325">
        <f>(Inicio!$G$10-DATOS_[[#This Row],[Fecha Nacimiento]])/365.25</f>
        <v>33.065023956194388</v>
      </c>
      <c r="CK231" s="325">
        <f>(Inicio!$G$10-DATOS_[[#This Row],[Fecha de Antigüedad]])/365.25</f>
        <v>7.8576317590691307</v>
      </c>
      <c r="CL231" s="325" t="str">
        <f>+VLOOKUP(DATOS_[[#This Row],[Clave de Contrato]],TblTiposContrato13[],3,FALSE)</f>
        <v>Completa</v>
      </c>
      <c r="CM231" s="325" t="str">
        <f>+VLOOKUP(DATOS_[[#This Row],[Clave de Contrato]],TblTiposContrato13[],4,FALSE)</f>
        <v>Indefinido</v>
      </c>
      <c r="CN231" s="325" t="str">
        <f>VLOOKUP(DATOS_[[#This Row],[Edad]],CONTRATOS!TblRngEdad,2,TRUE)</f>
        <v>30 a 35</v>
      </c>
      <c r="CO231" s="325" t="str">
        <f>VLOOKUP(DATOS_[[#This Row],[Antigüedad]],TblRngAntg14[],2,TRUE)</f>
        <v>5 a 10  años</v>
      </c>
    </row>
    <row r="232" spans="2:93" x14ac:dyDescent="0.25">
      <c r="B232" s="146">
        <v>207</v>
      </c>
      <c r="C232" s="146" t="s">
        <v>163</v>
      </c>
      <c r="D232" s="295">
        <v>31755</v>
      </c>
      <c r="E232" s="296" t="s">
        <v>71</v>
      </c>
      <c r="F232" s="296">
        <v>2</v>
      </c>
      <c r="G232" s="296">
        <v>1</v>
      </c>
      <c r="H232" s="297">
        <v>42817</v>
      </c>
      <c r="I232" s="298"/>
      <c r="J232" s="295">
        <v>42817</v>
      </c>
      <c r="K232" s="326"/>
      <c r="L232" s="326"/>
      <c r="M232" s="299">
        <v>1</v>
      </c>
      <c r="N232" s="299"/>
      <c r="O232" s="299"/>
      <c r="P232" s="296">
        <v>100</v>
      </c>
      <c r="Q232" s="146" t="s">
        <v>414</v>
      </c>
      <c r="R232" s="146" t="s">
        <v>420</v>
      </c>
      <c r="S232" s="146" t="s">
        <v>440</v>
      </c>
      <c r="T232" s="146" t="s">
        <v>407</v>
      </c>
      <c r="U232" s="146" t="s">
        <v>400</v>
      </c>
      <c r="V232" s="146" t="s">
        <v>438</v>
      </c>
      <c r="W232" s="146" t="s">
        <v>311</v>
      </c>
      <c r="X232" s="146" t="s">
        <v>307</v>
      </c>
      <c r="Y232" s="146" t="s">
        <v>409</v>
      </c>
      <c r="Z232" s="293"/>
      <c r="AA232" s="294" t="s">
        <v>439</v>
      </c>
      <c r="AB232" s="294">
        <v>9</v>
      </c>
      <c r="AC232" s="296">
        <v>7</v>
      </c>
      <c r="AD232" s="301">
        <v>12915.07</v>
      </c>
      <c r="AE232" s="301">
        <v>84.930000000000291</v>
      </c>
      <c r="AF232" s="301"/>
      <c r="AG232" s="301">
        <v>960</v>
      </c>
      <c r="AH232" s="301"/>
      <c r="AI232" s="301"/>
      <c r="AJ232" s="301"/>
      <c r="AK232" s="301">
        <v>80</v>
      </c>
      <c r="AL232" s="301"/>
      <c r="AM232" s="301"/>
      <c r="AN232" s="301"/>
      <c r="AO232" s="301"/>
      <c r="AP232" s="301"/>
      <c r="AQ232" s="301"/>
      <c r="AR232" s="301"/>
      <c r="AS232" s="301"/>
      <c r="AT232" s="301"/>
      <c r="AU232" s="301"/>
      <c r="AV232" s="301"/>
      <c r="AW232" s="301"/>
      <c r="AX232" s="301"/>
      <c r="AY232" s="301"/>
      <c r="AZ232" s="301"/>
      <c r="BA232" s="301"/>
      <c r="BB232" s="301"/>
      <c r="BC232" s="301"/>
      <c r="BD232" s="301"/>
      <c r="BE232" s="301"/>
      <c r="BF232" s="301"/>
      <c r="BG232" s="301"/>
      <c r="BH232" s="301"/>
      <c r="BI232" s="301"/>
      <c r="BJ232" s="301"/>
      <c r="BK232" s="301"/>
      <c r="BL232" s="301"/>
      <c r="BM232" s="302"/>
      <c r="BN232" s="291">
        <f>+MAX($D$3,DATOS_[[#This Row],[Fecha Inicio Sit. Contract.]])</f>
        <v>45292</v>
      </c>
      <c r="BO232" s="291">
        <f>+MIN($D$4,DATOS_[[#This Row],[Fecha Fin Sit. Contract.]])</f>
        <v>45657</v>
      </c>
      <c r="BP232" s="292">
        <f>+DATOS_[[#This Row],[% de jornada]]*IF(DATOS_[[#This Row],[% jornada reducida]]="",1,DATOS_[[#This Row],[% jornada reducida]])</f>
        <v>1</v>
      </c>
      <c r="BQ232" s="292">
        <f>+(DATOS_[[#This Row],[F.fin.cal]]-DATOS_[[#This Row],[F.ini.cal]]+1)/($D$4-$D$3+1)</f>
        <v>1</v>
      </c>
      <c r="BR232" s="322" t="str">
        <f>IF(OR(AND(DATOS_[[#This Row],[Fecha Fin Contrato]]&lt;$D$3,DATOS_[[#This Row],[Fecha Fin Contrato]]&lt;&gt;""),DATOS_[[#This Row],[Fecha de Contratación]]&gt;$D$4),"Fuera","Dentro")</f>
        <v>Dentro</v>
      </c>
      <c r="BS232" s="322" t="str">
        <f t="array" ref="BS232">IF(MAX(IF(DATOS_[id]=DATOS_[[#This Row],[id]],DATOS_[F.fin.cal]))=DATOS_[[#This Row],[F.fin.cal]],"Sí","NO")</f>
        <v>Sí</v>
      </c>
      <c r="BT232" s="292" t="str">
        <f>IF(AND(DATOS_[[#This Row],[% normaliz]]&lt;&gt;1,DATOS_[[#This Row],[% anualiz]]=1),"Sí","NO")</f>
        <v>NO</v>
      </c>
      <c r="BU232" s="292" t="str">
        <f>IF(AND(DATOS_[[#This Row],[% normaliz]]=1,DATOS_[[#This Row],[% anualiz]]&lt;&gt;1),"Sí","NO")</f>
        <v>NO</v>
      </c>
      <c r="BV232" s="292" t="str">
        <f>IF(AND(DATOS_[[#This Row],[% normaliz]]&lt;&gt;1,DATOS_[[#This Row],[% anualiz]]&lt;&gt;1),"Sí","NO")</f>
        <v>NO</v>
      </c>
      <c r="BW232" s="322" t="str">
        <f>+IF(DATOS_[[#This Row],[% normaliz]]*DATOS_[[#This Row],[% anualiz]]=1,"NO","Sí")</f>
        <v>NO</v>
      </c>
      <c r="BX232" s="323">
        <f>(DATOS_[[#This Row],[S.BASE]]*(1/DATOS_[[#This Row],[% normaliz]])*(1/DATOS_[[#This Row],[% anualiz]]))*IF(DATOS_[[#This Row],[Check Equiparado]]="Sí",1,0)</f>
        <v>12915.07</v>
      </c>
      <c r="BY23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2" s="323">
        <f>+DATOS_[[#This Row],[SALARIO BASE Eq]]+DATOS_[[#This Row],[Tot COMPL.SAL Eq]]</f>
        <v>14040</v>
      </c>
      <c r="CA232" s="323">
        <f t="array" ref="CA2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2" s="323">
        <f>+DATOS_[[#This Row],[TOTAL SALARIO Eq]]+DATOS_[[#This Row],[Tot Extrasalarial Eq]]</f>
        <v>14040</v>
      </c>
      <c r="CC232" s="327">
        <f>DATOS_[[#This Row],[S.BASE]]</f>
        <v>12915.07</v>
      </c>
      <c r="CD232" s="324">
        <f>+SUM(DATOS_[[#This Row],[Conc.Sal.01]:[Conc.Sal.30]])</f>
        <v>1124.9300000000003</v>
      </c>
      <c r="CE232" s="324">
        <f>+DATOS_[[#This Row],[SALARIO BASE Ef]]+DATOS_[[#This Row],[Tot COMPL.SAL Ef]]</f>
        <v>14040</v>
      </c>
      <c r="CF232" s="324">
        <f>+SUM(DATOS_[[#This Row],[C.Extra.01]:[C.Extra.05]])</f>
        <v>0</v>
      </c>
      <c r="CG232" s="330">
        <f>+DATOS_[[#This Row],[TOTAL SALARIO Ef]]+DATOS_[[#This Row],[Tot Extrasalarial Ef]]</f>
        <v>14040</v>
      </c>
      <c r="CH232" s="303">
        <f>MIN(IF(DATOS_[[#This Row],[Fecha Fin Contrato]]="",$D$4,DATOS_[[#This Row],[Fecha Fin Contrato]]),$D$4)-MAX(DATOS_[[#This Row],[Fecha de Contratación]],$D$3)+1</f>
        <v>366</v>
      </c>
      <c r="CI232" s="304" t="str">
        <f>IF(COUNTIFS(DATOS_[id],DATOS_[[#This Row],[id]])&gt;1,DATOS_[[#This Row],[id]],"")</f>
        <v/>
      </c>
      <c r="CJ232" s="325">
        <f>(Inicio!$G$10-DATOS_[[#This Row],[Fecha Nacimiento]])/365.25</f>
        <v>38.061601642710471</v>
      </c>
      <c r="CK232" s="325">
        <f>(Inicio!$G$10-DATOS_[[#This Row],[Fecha de Antigüedad]])/365.25</f>
        <v>7.7754962354551678</v>
      </c>
      <c r="CL232" s="325" t="str">
        <f>+VLOOKUP(DATOS_[[#This Row],[Clave de Contrato]],TblTiposContrato13[],3,FALSE)</f>
        <v>Completa</v>
      </c>
      <c r="CM232" s="325" t="str">
        <f>+VLOOKUP(DATOS_[[#This Row],[Clave de Contrato]],TblTiposContrato13[],4,FALSE)</f>
        <v>Indefinido</v>
      </c>
      <c r="CN232" s="325" t="str">
        <f>VLOOKUP(DATOS_[[#This Row],[Edad]],CONTRATOS!TblRngEdad,2,TRUE)</f>
        <v>35 a 40</v>
      </c>
      <c r="CO232" s="325" t="str">
        <f>VLOOKUP(DATOS_[[#This Row],[Antigüedad]],TblRngAntg14[],2,TRUE)</f>
        <v>5 a 10  años</v>
      </c>
    </row>
    <row r="233" spans="2:93" x14ac:dyDescent="0.25">
      <c r="B233" s="146">
        <v>208</v>
      </c>
      <c r="C233" s="146" t="s">
        <v>163</v>
      </c>
      <c r="D233" s="295">
        <v>35770</v>
      </c>
      <c r="E233" s="296" t="s">
        <v>71</v>
      </c>
      <c r="F233" s="296">
        <v>2</v>
      </c>
      <c r="G233" s="296">
        <v>1</v>
      </c>
      <c r="H233" s="297">
        <v>42847</v>
      </c>
      <c r="I233" s="298"/>
      <c r="J233" s="295">
        <v>42847</v>
      </c>
      <c r="K233" s="326"/>
      <c r="L233" s="326"/>
      <c r="M233" s="299">
        <v>1</v>
      </c>
      <c r="N233" s="299"/>
      <c r="O233" s="299"/>
      <c r="P233" s="296">
        <v>100</v>
      </c>
      <c r="Q233" s="146" t="s">
        <v>414</v>
      </c>
      <c r="R233" s="146" t="s">
        <v>420</v>
      </c>
      <c r="S233" s="146" t="s">
        <v>440</v>
      </c>
      <c r="T233" s="146" t="s">
        <v>407</v>
      </c>
      <c r="U233" s="146" t="s">
        <v>400</v>
      </c>
      <c r="V233" s="146" t="s">
        <v>438</v>
      </c>
      <c r="W233" s="146" t="s">
        <v>311</v>
      </c>
      <c r="X233" s="146" t="s">
        <v>307</v>
      </c>
      <c r="Y233" s="146" t="s">
        <v>409</v>
      </c>
      <c r="Z233" s="293"/>
      <c r="AA233" s="294" t="s">
        <v>439</v>
      </c>
      <c r="AB233" s="294">
        <v>9</v>
      </c>
      <c r="AC233" s="296">
        <v>7</v>
      </c>
      <c r="AD233" s="301">
        <v>12915.07</v>
      </c>
      <c r="AE233" s="301">
        <v>84.930000000000291</v>
      </c>
      <c r="AF233" s="301"/>
      <c r="AG233" s="301">
        <v>960</v>
      </c>
      <c r="AH233" s="301"/>
      <c r="AI233" s="301"/>
      <c r="AJ233" s="301"/>
      <c r="AK233" s="301">
        <v>80</v>
      </c>
      <c r="AL233" s="301"/>
      <c r="AM233" s="301"/>
      <c r="AN233" s="301"/>
      <c r="AO233" s="301"/>
      <c r="AP233" s="301"/>
      <c r="AQ233" s="301"/>
      <c r="AR233" s="301"/>
      <c r="AS233" s="301"/>
      <c r="AT233" s="301"/>
      <c r="AU233" s="301"/>
      <c r="AV233" s="301"/>
      <c r="AW233" s="301"/>
      <c r="AX233" s="301"/>
      <c r="AY233" s="301"/>
      <c r="AZ233" s="301"/>
      <c r="BA233" s="301"/>
      <c r="BB233" s="301"/>
      <c r="BC233" s="301"/>
      <c r="BD233" s="301"/>
      <c r="BE233" s="301"/>
      <c r="BF233" s="301"/>
      <c r="BG233" s="301"/>
      <c r="BH233" s="301"/>
      <c r="BI233" s="301"/>
      <c r="BJ233" s="301"/>
      <c r="BK233" s="301"/>
      <c r="BL233" s="301"/>
      <c r="BM233" s="302"/>
      <c r="BN233" s="291">
        <f>+MAX($D$3,DATOS_[[#This Row],[Fecha Inicio Sit. Contract.]])</f>
        <v>45292</v>
      </c>
      <c r="BO233" s="291">
        <f>+MIN($D$4,DATOS_[[#This Row],[Fecha Fin Sit. Contract.]])</f>
        <v>45657</v>
      </c>
      <c r="BP233" s="292">
        <f>+DATOS_[[#This Row],[% de jornada]]*IF(DATOS_[[#This Row],[% jornada reducida]]="",1,DATOS_[[#This Row],[% jornada reducida]])</f>
        <v>1</v>
      </c>
      <c r="BQ233" s="292">
        <f>+(DATOS_[[#This Row],[F.fin.cal]]-DATOS_[[#This Row],[F.ini.cal]]+1)/($D$4-$D$3+1)</f>
        <v>1</v>
      </c>
      <c r="BR233" s="322" t="str">
        <f>IF(OR(AND(DATOS_[[#This Row],[Fecha Fin Contrato]]&lt;$D$3,DATOS_[[#This Row],[Fecha Fin Contrato]]&lt;&gt;""),DATOS_[[#This Row],[Fecha de Contratación]]&gt;$D$4),"Fuera","Dentro")</f>
        <v>Dentro</v>
      </c>
      <c r="BS233" s="322" t="str">
        <f t="array" ref="BS233">IF(MAX(IF(DATOS_[id]=DATOS_[[#This Row],[id]],DATOS_[F.fin.cal]))=DATOS_[[#This Row],[F.fin.cal]],"Sí","NO")</f>
        <v>Sí</v>
      </c>
      <c r="BT233" s="292" t="str">
        <f>IF(AND(DATOS_[[#This Row],[% normaliz]]&lt;&gt;1,DATOS_[[#This Row],[% anualiz]]=1),"Sí","NO")</f>
        <v>NO</v>
      </c>
      <c r="BU233" s="292" t="str">
        <f>IF(AND(DATOS_[[#This Row],[% normaliz]]=1,DATOS_[[#This Row],[% anualiz]]&lt;&gt;1),"Sí","NO")</f>
        <v>NO</v>
      </c>
      <c r="BV233" s="292" t="str">
        <f>IF(AND(DATOS_[[#This Row],[% normaliz]]&lt;&gt;1,DATOS_[[#This Row],[% anualiz]]&lt;&gt;1),"Sí","NO")</f>
        <v>NO</v>
      </c>
      <c r="BW233" s="322" t="str">
        <f>+IF(DATOS_[[#This Row],[% normaliz]]*DATOS_[[#This Row],[% anualiz]]=1,"NO","Sí")</f>
        <v>NO</v>
      </c>
      <c r="BX233" s="323">
        <f>(DATOS_[[#This Row],[S.BASE]]*(1/DATOS_[[#This Row],[% normaliz]])*(1/DATOS_[[#This Row],[% anualiz]]))*IF(DATOS_[[#This Row],[Check Equiparado]]="Sí",1,0)</f>
        <v>12915.07</v>
      </c>
      <c r="BY23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3" s="323">
        <f>+DATOS_[[#This Row],[SALARIO BASE Eq]]+DATOS_[[#This Row],[Tot COMPL.SAL Eq]]</f>
        <v>14040</v>
      </c>
      <c r="CA233" s="323">
        <f t="array" ref="CA2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3" s="323">
        <f>+DATOS_[[#This Row],[TOTAL SALARIO Eq]]+DATOS_[[#This Row],[Tot Extrasalarial Eq]]</f>
        <v>14040</v>
      </c>
      <c r="CC233" s="327">
        <f>DATOS_[[#This Row],[S.BASE]]</f>
        <v>12915.07</v>
      </c>
      <c r="CD233" s="324">
        <f>+SUM(DATOS_[[#This Row],[Conc.Sal.01]:[Conc.Sal.30]])</f>
        <v>1124.9300000000003</v>
      </c>
      <c r="CE233" s="324">
        <f>+DATOS_[[#This Row],[SALARIO BASE Ef]]+DATOS_[[#This Row],[Tot COMPL.SAL Ef]]</f>
        <v>14040</v>
      </c>
      <c r="CF233" s="324">
        <f>+SUM(DATOS_[[#This Row],[C.Extra.01]:[C.Extra.05]])</f>
        <v>0</v>
      </c>
      <c r="CG233" s="330">
        <f>+DATOS_[[#This Row],[TOTAL SALARIO Ef]]+DATOS_[[#This Row],[Tot Extrasalarial Ef]]</f>
        <v>14040</v>
      </c>
      <c r="CH233" s="303">
        <f>MIN(IF(DATOS_[[#This Row],[Fecha Fin Contrato]]="",$D$4,DATOS_[[#This Row],[Fecha Fin Contrato]]),$D$4)-MAX(DATOS_[[#This Row],[Fecha de Contratación]],$D$3)+1</f>
        <v>366</v>
      </c>
      <c r="CI233" s="304" t="str">
        <f>IF(COUNTIFS(DATOS_[id],DATOS_[[#This Row],[id]])&gt;1,DATOS_[[#This Row],[id]],"")</f>
        <v/>
      </c>
      <c r="CJ233" s="325">
        <f>(Inicio!$G$10-DATOS_[[#This Row],[Fecha Nacimiento]])/365.25</f>
        <v>27.069130732375086</v>
      </c>
      <c r="CK233" s="325">
        <f>(Inicio!$G$10-DATOS_[[#This Row],[Fecha de Antigüedad]])/365.25</f>
        <v>7.6933607118412048</v>
      </c>
      <c r="CL233" s="325" t="str">
        <f>+VLOOKUP(DATOS_[[#This Row],[Clave de Contrato]],TblTiposContrato13[],3,FALSE)</f>
        <v>Completa</v>
      </c>
      <c r="CM233" s="325" t="str">
        <f>+VLOOKUP(DATOS_[[#This Row],[Clave de Contrato]],TblTiposContrato13[],4,FALSE)</f>
        <v>Indefinido</v>
      </c>
      <c r="CN233" s="325" t="str">
        <f>VLOOKUP(DATOS_[[#This Row],[Edad]],CONTRATOS!TblRngEdad,2,TRUE)</f>
        <v>25 a 30</v>
      </c>
      <c r="CO233" s="325" t="str">
        <f>VLOOKUP(DATOS_[[#This Row],[Antigüedad]],TblRngAntg14[],2,TRUE)</f>
        <v>5 a 10  años</v>
      </c>
    </row>
    <row r="234" spans="2:93" x14ac:dyDescent="0.25">
      <c r="B234" s="146">
        <v>209</v>
      </c>
      <c r="C234" s="146" t="s">
        <v>163</v>
      </c>
      <c r="D234" s="295">
        <v>33215</v>
      </c>
      <c r="E234" s="296" t="s">
        <v>71</v>
      </c>
      <c r="F234" s="296">
        <v>2</v>
      </c>
      <c r="G234" s="296">
        <v>1</v>
      </c>
      <c r="H234" s="297">
        <v>42877</v>
      </c>
      <c r="I234" s="298"/>
      <c r="J234" s="295">
        <v>42877</v>
      </c>
      <c r="K234" s="326"/>
      <c r="L234" s="326"/>
      <c r="M234" s="299">
        <v>1</v>
      </c>
      <c r="N234" s="299"/>
      <c r="O234" s="299"/>
      <c r="P234" s="296">
        <v>100</v>
      </c>
      <c r="Q234" s="146" t="s">
        <v>414</v>
      </c>
      <c r="R234" s="146" t="s">
        <v>420</v>
      </c>
      <c r="S234" s="146" t="s">
        <v>440</v>
      </c>
      <c r="T234" s="146" t="s">
        <v>407</v>
      </c>
      <c r="U234" s="146" t="s">
        <v>400</v>
      </c>
      <c r="V234" s="146" t="s">
        <v>438</v>
      </c>
      <c r="W234" s="146" t="s">
        <v>311</v>
      </c>
      <c r="X234" s="146" t="s">
        <v>307</v>
      </c>
      <c r="Y234" s="146" t="s">
        <v>409</v>
      </c>
      <c r="Z234" s="293"/>
      <c r="AA234" s="294" t="s">
        <v>439</v>
      </c>
      <c r="AB234" s="294">
        <v>9</v>
      </c>
      <c r="AC234" s="296">
        <v>7</v>
      </c>
      <c r="AD234" s="301">
        <v>12915.07</v>
      </c>
      <c r="AE234" s="301">
        <v>84.930000000000291</v>
      </c>
      <c r="AF234" s="301"/>
      <c r="AG234" s="301">
        <v>960</v>
      </c>
      <c r="AH234" s="301"/>
      <c r="AI234" s="301"/>
      <c r="AJ234" s="301"/>
      <c r="AK234" s="301">
        <v>80</v>
      </c>
      <c r="AL234" s="301"/>
      <c r="AM234" s="301"/>
      <c r="AN234" s="301"/>
      <c r="AO234" s="301"/>
      <c r="AP234" s="301"/>
      <c r="AQ234" s="301"/>
      <c r="AR234" s="301"/>
      <c r="AS234" s="301"/>
      <c r="AT234" s="301"/>
      <c r="AU234" s="301"/>
      <c r="AV234" s="301"/>
      <c r="AW234" s="301"/>
      <c r="AX234" s="301"/>
      <c r="AY234" s="301"/>
      <c r="AZ234" s="301"/>
      <c r="BA234" s="301"/>
      <c r="BB234" s="301"/>
      <c r="BC234" s="301"/>
      <c r="BD234" s="301"/>
      <c r="BE234" s="301"/>
      <c r="BF234" s="301"/>
      <c r="BG234" s="301"/>
      <c r="BH234" s="301"/>
      <c r="BI234" s="301"/>
      <c r="BJ234" s="301"/>
      <c r="BK234" s="301"/>
      <c r="BL234" s="301"/>
      <c r="BM234" s="302"/>
      <c r="BN234" s="291">
        <f>+MAX($D$3,DATOS_[[#This Row],[Fecha Inicio Sit. Contract.]])</f>
        <v>45292</v>
      </c>
      <c r="BO234" s="291">
        <f>+MIN($D$4,DATOS_[[#This Row],[Fecha Fin Sit. Contract.]])</f>
        <v>45657</v>
      </c>
      <c r="BP234" s="292">
        <f>+DATOS_[[#This Row],[% de jornada]]*IF(DATOS_[[#This Row],[% jornada reducida]]="",1,DATOS_[[#This Row],[% jornada reducida]])</f>
        <v>1</v>
      </c>
      <c r="BQ234" s="292">
        <f>+(DATOS_[[#This Row],[F.fin.cal]]-DATOS_[[#This Row],[F.ini.cal]]+1)/($D$4-$D$3+1)</f>
        <v>1</v>
      </c>
      <c r="BR234" s="322" t="str">
        <f>IF(OR(AND(DATOS_[[#This Row],[Fecha Fin Contrato]]&lt;$D$3,DATOS_[[#This Row],[Fecha Fin Contrato]]&lt;&gt;""),DATOS_[[#This Row],[Fecha de Contratación]]&gt;$D$4),"Fuera","Dentro")</f>
        <v>Dentro</v>
      </c>
      <c r="BS234" s="322" t="str">
        <f t="array" ref="BS234">IF(MAX(IF(DATOS_[id]=DATOS_[[#This Row],[id]],DATOS_[F.fin.cal]))=DATOS_[[#This Row],[F.fin.cal]],"Sí","NO")</f>
        <v>Sí</v>
      </c>
      <c r="BT234" s="292" t="str">
        <f>IF(AND(DATOS_[[#This Row],[% normaliz]]&lt;&gt;1,DATOS_[[#This Row],[% anualiz]]=1),"Sí","NO")</f>
        <v>NO</v>
      </c>
      <c r="BU234" s="292" t="str">
        <f>IF(AND(DATOS_[[#This Row],[% normaliz]]=1,DATOS_[[#This Row],[% anualiz]]&lt;&gt;1),"Sí","NO")</f>
        <v>NO</v>
      </c>
      <c r="BV234" s="292" t="str">
        <f>IF(AND(DATOS_[[#This Row],[% normaliz]]&lt;&gt;1,DATOS_[[#This Row],[% anualiz]]&lt;&gt;1),"Sí","NO")</f>
        <v>NO</v>
      </c>
      <c r="BW234" s="322" t="str">
        <f>+IF(DATOS_[[#This Row],[% normaliz]]*DATOS_[[#This Row],[% anualiz]]=1,"NO","Sí")</f>
        <v>NO</v>
      </c>
      <c r="BX234" s="323">
        <f>(DATOS_[[#This Row],[S.BASE]]*(1/DATOS_[[#This Row],[% normaliz]])*(1/DATOS_[[#This Row],[% anualiz]]))*IF(DATOS_[[#This Row],[Check Equiparado]]="Sí",1,0)</f>
        <v>12915.07</v>
      </c>
      <c r="BY23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4" s="323">
        <f>+DATOS_[[#This Row],[SALARIO BASE Eq]]+DATOS_[[#This Row],[Tot COMPL.SAL Eq]]</f>
        <v>14040</v>
      </c>
      <c r="CA234" s="323">
        <f t="array" ref="CA2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4" s="323">
        <f>+DATOS_[[#This Row],[TOTAL SALARIO Eq]]+DATOS_[[#This Row],[Tot Extrasalarial Eq]]</f>
        <v>14040</v>
      </c>
      <c r="CC234" s="327">
        <f>DATOS_[[#This Row],[S.BASE]]</f>
        <v>12915.07</v>
      </c>
      <c r="CD234" s="324">
        <f>+SUM(DATOS_[[#This Row],[Conc.Sal.01]:[Conc.Sal.30]])</f>
        <v>1124.9300000000003</v>
      </c>
      <c r="CE234" s="324">
        <f>+DATOS_[[#This Row],[SALARIO BASE Ef]]+DATOS_[[#This Row],[Tot COMPL.SAL Ef]]</f>
        <v>14040</v>
      </c>
      <c r="CF234" s="324">
        <f>+SUM(DATOS_[[#This Row],[C.Extra.01]:[C.Extra.05]])</f>
        <v>0</v>
      </c>
      <c r="CG234" s="330">
        <f>+DATOS_[[#This Row],[TOTAL SALARIO Ef]]+DATOS_[[#This Row],[Tot Extrasalarial Ef]]</f>
        <v>14040</v>
      </c>
      <c r="CH234" s="303">
        <f>MIN(IF(DATOS_[[#This Row],[Fecha Fin Contrato]]="",$D$4,DATOS_[[#This Row],[Fecha Fin Contrato]]),$D$4)-MAX(DATOS_[[#This Row],[Fecha de Contratación]],$D$3)+1</f>
        <v>366</v>
      </c>
      <c r="CI234" s="304" t="str">
        <f>IF(COUNTIFS(DATOS_[id],DATOS_[[#This Row],[id]])&gt;1,DATOS_[[#This Row],[id]],"")</f>
        <v/>
      </c>
      <c r="CJ234" s="325">
        <f>(Inicio!$G$10-DATOS_[[#This Row],[Fecha Nacimiento]])/365.25</f>
        <v>34.064339493497606</v>
      </c>
      <c r="CK234" s="325">
        <f>(Inicio!$G$10-DATOS_[[#This Row],[Fecha de Antigüedad]])/365.25</f>
        <v>7.6112251882272419</v>
      </c>
      <c r="CL234" s="325" t="str">
        <f>+VLOOKUP(DATOS_[[#This Row],[Clave de Contrato]],TblTiposContrato13[],3,FALSE)</f>
        <v>Completa</v>
      </c>
      <c r="CM234" s="325" t="str">
        <f>+VLOOKUP(DATOS_[[#This Row],[Clave de Contrato]],TblTiposContrato13[],4,FALSE)</f>
        <v>Indefinido</v>
      </c>
      <c r="CN234" s="325" t="str">
        <f>VLOOKUP(DATOS_[[#This Row],[Edad]],CONTRATOS!TblRngEdad,2,TRUE)</f>
        <v>30 a 35</v>
      </c>
      <c r="CO234" s="325" t="str">
        <f>VLOOKUP(DATOS_[[#This Row],[Antigüedad]],TblRngAntg14[],2,TRUE)</f>
        <v>5 a 10  años</v>
      </c>
    </row>
    <row r="235" spans="2:93" x14ac:dyDescent="0.25">
      <c r="B235" s="146">
        <v>210</v>
      </c>
      <c r="C235" s="146" t="s">
        <v>163</v>
      </c>
      <c r="D235" s="295">
        <v>26645</v>
      </c>
      <c r="E235" s="296" t="s">
        <v>71</v>
      </c>
      <c r="F235" s="296">
        <v>1</v>
      </c>
      <c r="G235" s="296">
        <v>1</v>
      </c>
      <c r="H235" s="297">
        <v>42907</v>
      </c>
      <c r="I235" s="298"/>
      <c r="J235" s="295">
        <v>42907</v>
      </c>
      <c r="K235" s="326"/>
      <c r="L235" s="326"/>
      <c r="M235" s="299">
        <v>1</v>
      </c>
      <c r="N235" s="299"/>
      <c r="O235" s="299"/>
      <c r="P235" s="296">
        <v>100</v>
      </c>
      <c r="Q235" s="146" t="s">
        <v>414</v>
      </c>
      <c r="R235" s="146" t="s">
        <v>420</v>
      </c>
      <c r="S235" s="146" t="s">
        <v>440</v>
      </c>
      <c r="T235" s="146" t="s">
        <v>407</v>
      </c>
      <c r="U235" s="146" t="s">
        <v>400</v>
      </c>
      <c r="V235" s="146" t="s">
        <v>438</v>
      </c>
      <c r="W235" s="146" t="s">
        <v>311</v>
      </c>
      <c r="X235" s="146" t="s">
        <v>307</v>
      </c>
      <c r="Y235" s="146" t="s">
        <v>409</v>
      </c>
      <c r="Z235" s="293"/>
      <c r="AA235" s="294" t="s">
        <v>439</v>
      </c>
      <c r="AB235" s="294">
        <v>9</v>
      </c>
      <c r="AC235" s="296">
        <v>7</v>
      </c>
      <c r="AD235" s="301">
        <v>12915.07</v>
      </c>
      <c r="AE235" s="301">
        <v>84.930000000000291</v>
      </c>
      <c r="AF235" s="301"/>
      <c r="AG235" s="301">
        <v>960</v>
      </c>
      <c r="AH235" s="301"/>
      <c r="AI235" s="301"/>
      <c r="AJ235" s="301"/>
      <c r="AK235" s="301">
        <v>80</v>
      </c>
      <c r="AL235" s="301"/>
      <c r="AM235" s="301"/>
      <c r="AN235" s="301"/>
      <c r="AO235" s="301"/>
      <c r="AP235" s="301"/>
      <c r="AQ235" s="301"/>
      <c r="AR235" s="301"/>
      <c r="AS235" s="301"/>
      <c r="AT235" s="301"/>
      <c r="AU235" s="301"/>
      <c r="AV235" s="301"/>
      <c r="AW235" s="301"/>
      <c r="AX235" s="301"/>
      <c r="AY235" s="301"/>
      <c r="AZ235" s="301"/>
      <c r="BA235" s="301"/>
      <c r="BB235" s="301"/>
      <c r="BC235" s="301"/>
      <c r="BD235" s="301"/>
      <c r="BE235" s="301"/>
      <c r="BF235" s="301"/>
      <c r="BG235" s="301"/>
      <c r="BH235" s="301"/>
      <c r="BI235" s="301"/>
      <c r="BJ235" s="301"/>
      <c r="BK235" s="301"/>
      <c r="BL235" s="301"/>
      <c r="BM235" s="302"/>
      <c r="BN235" s="291">
        <f>+MAX($D$3,DATOS_[[#This Row],[Fecha Inicio Sit. Contract.]])</f>
        <v>45292</v>
      </c>
      <c r="BO235" s="291">
        <f>+MIN($D$4,DATOS_[[#This Row],[Fecha Fin Sit. Contract.]])</f>
        <v>45657</v>
      </c>
      <c r="BP235" s="292">
        <f>+DATOS_[[#This Row],[% de jornada]]*IF(DATOS_[[#This Row],[% jornada reducida]]="",1,DATOS_[[#This Row],[% jornada reducida]])</f>
        <v>1</v>
      </c>
      <c r="BQ235" s="292">
        <f>+(DATOS_[[#This Row],[F.fin.cal]]-DATOS_[[#This Row],[F.ini.cal]]+1)/($D$4-$D$3+1)</f>
        <v>1</v>
      </c>
      <c r="BR235" s="322" t="str">
        <f>IF(OR(AND(DATOS_[[#This Row],[Fecha Fin Contrato]]&lt;$D$3,DATOS_[[#This Row],[Fecha Fin Contrato]]&lt;&gt;""),DATOS_[[#This Row],[Fecha de Contratación]]&gt;$D$4),"Fuera","Dentro")</f>
        <v>Dentro</v>
      </c>
      <c r="BS235" s="322" t="str">
        <f t="array" ref="BS235">IF(MAX(IF(DATOS_[id]=DATOS_[[#This Row],[id]],DATOS_[F.fin.cal]))=DATOS_[[#This Row],[F.fin.cal]],"Sí","NO")</f>
        <v>Sí</v>
      </c>
      <c r="BT235" s="292" t="str">
        <f>IF(AND(DATOS_[[#This Row],[% normaliz]]&lt;&gt;1,DATOS_[[#This Row],[% anualiz]]=1),"Sí","NO")</f>
        <v>NO</v>
      </c>
      <c r="BU235" s="292" t="str">
        <f>IF(AND(DATOS_[[#This Row],[% normaliz]]=1,DATOS_[[#This Row],[% anualiz]]&lt;&gt;1),"Sí","NO")</f>
        <v>NO</v>
      </c>
      <c r="BV235" s="292" t="str">
        <f>IF(AND(DATOS_[[#This Row],[% normaliz]]&lt;&gt;1,DATOS_[[#This Row],[% anualiz]]&lt;&gt;1),"Sí","NO")</f>
        <v>NO</v>
      </c>
      <c r="BW235" s="322" t="str">
        <f>+IF(DATOS_[[#This Row],[% normaliz]]*DATOS_[[#This Row],[% anualiz]]=1,"NO","Sí")</f>
        <v>NO</v>
      </c>
      <c r="BX235" s="323">
        <f>(DATOS_[[#This Row],[S.BASE]]*(1/DATOS_[[#This Row],[% normaliz]])*(1/DATOS_[[#This Row],[% anualiz]]))*IF(DATOS_[[#This Row],[Check Equiparado]]="Sí",1,0)</f>
        <v>12915.07</v>
      </c>
      <c r="BY23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5" s="323">
        <f>+DATOS_[[#This Row],[SALARIO BASE Eq]]+DATOS_[[#This Row],[Tot COMPL.SAL Eq]]</f>
        <v>14040</v>
      </c>
      <c r="CA235" s="323">
        <f t="array" ref="CA2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5" s="323">
        <f>+DATOS_[[#This Row],[TOTAL SALARIO Eq]]+DATOS_[[#This Row],[Tot Extrasalarial Eq]]</f>
        <v>14040</v>
      </c>
      <c r="CC235" s="327">
        <f>DATOS_[[#This Row],[S.BASE]]</f>
        <v>12915.07</v>
      </c>
      <c r="CD235" s="324">
        <f>+SUM(DATOS_[[#This Row],[Conc.Sal.01]:[Conc.Sal.30]])</f>
        <v>1124.9300000000003</v>
      </c>
      <c r="CE235" s="324">
        <f>+DATOS_[[#This Row],[SALARIO BASE Ef]]+DATOS_[[#This Row],[Tot COMPL.SAL Ef]]</f>
        <v>14040</v>
      </c>
      <c r="CF235" s="324">
        <f>+SUM(DATOS_[[#This Row],[C.Extra.01]:[C.Extra.05]])</f>
        <v>0</v>
      </c>
      <c r="CG235" s="330">
        <f>+DATOS_[[#This Row],[TOTAL SALARIO Ef]]+DATOS_[[#This Row],[Tot Extrasalarial Ef]]</f>
        <v>14040</v>
      </c>
      <c r="CH235" s="303">
        <f>MIN(IF(DATOS_[[#This Row],[Fecha Fin Contrato]]="",$D$4,DATOS_[[#This Row],[Fecha Fin Contrato]]),$D$4)-MAX(DATOS_[[#This Row],[Fecha de Contratación]],$D$3)+1</f>
        <v>366</v>
      </c>
      <c r="CI235" s="304" t="str">
        <f>IF(COUNTIFS(DATOS_[id],DATOS_[[#This Row],[id]])&gt;1,DATOS_[[#This Row],[id]],"")</f>
        <v/>
      </c>
      <c r="CJ235" s="325">
        <f>(Inicio!$G$10-DATOS_[[#This Row],[Fecha Nacimiento]])/365.25</f>
        <v>52.05201916495551</v>
      </c>
      <c r="CK235" s="325">
        <f>(Inicio!$G$10-DATOS_[[#This Row],[Fecha de Antigüedad]])/365.25</f>
        <v>7.529089664613279</v>
      </c>
      <c r="CL235" s="325" t="str">
        <f>+VLOOKUP(DATOS_[[#This Row],[Clave de Contrato]],TblTiposContrato13[],3,FALSE)</f>
        <v>Completa</v>
      </c>
      <c r="CM235" s="325" t="str">
        <f>+VLOOKUP(DATOS_[[#This Row],[Clave de Contrato]],TblTiposContrato13[],4,FALSE)</f>
        <v>Indefinido</v>
      </c>
      <c r="CN235" s="325" t="str">
        <f>VLOOKUP(DATOS_[[#This Row],[Edad]],CONTRATOS!TblRngEdad,2,TRUE)</f>
        <v>50 a 55</v>
      </c>
      <c r="CO235" s="325" t="str">
        <f>VLOOKUP(DATOS_[[#This Row],[Antigüedad]],TblRngAntg14[],2,TRUE)</f>
        <v>5 a 10  años</v>
      </c>
    </row>
    <row r="236" spans="2:93" x14ac:dyDescent="0.25">
      <c r="B236" s="146">
        <v>211</v>
      </c>
      <c r="C236" s="146" t="s">
        <v>163</v>
      </c>
      <c r="D236" s="295">
        <v>35040</v>
      </c>
      <c r="E236" s="296" t="s">
        <v>71</v>
      </c>
      <c r="F236" s="296">
        <v>1</v>
      </c>
      <c r="G236" s="296">
        <v>1</v>
      </c>
      <c r="H236" s="297">
        <v>42937</v>
      </c>
      <c r="I236" s="298"/>
      <c r="J236" s="295">
        <v>42937</v>
      </c>
      <c r="K236" s="326"/>
      <c r="L236" s="326"/>
      <c r="M236" s="299">
        <v>1</v>
      </c>
      <c r="N236" s="299"/>
      <c r="O236" s="299"/>
      <c r="P236" s="296">
        <v>100</v>
      </c>
      <c r="Q236" s="146" t="s">
        <v>414</v>
      </c>
      <c r="R236" s="146" t="s">
        <v>420</v>
      </c>
      <c r="S236" s="146" t="s">
        <v>440</v>
      </c>
      <c r="T236" s="146" t="s">
        <v>407</v>
      </c>
      <c r="U236" s="146" t="s">
        <v>400</v>
      </c>
      <c r="V236" s="146" t="s">
        <v>438</v>
      </c>
      <c r="W236" s="146" t="s">
        <v>311</v>
      </c>
      <c r="X236" s="146" t="s">
        <v>307</v>
      </c>
      <c r="Y236" s="146" t="s">
        <v>409</v>
      </c>
      <c r="Z236" s="293"/>
      <c r="AA236" s="294" t="s">
        <v>439</v>
      </c>
      <c r="AB236" s="294">
        <v>9</v>
      </c>
      <c r="AC236" s="296">
        <v>7</v>
      </c>
      <c r="AD236" s="301">
        <v>12915.07</v>
      </c>
      <c r="AE236" s="301">
        <v>84.930000000000291</v>
      </c>
      <c r="AF236" s="301"/>
      <c r="AG236" s="301">
        <v>960</v>
      </c>
      <c r="AH236" s="301"/>
      <c r="AI236" s="301"/>
      <c r="AJ236" s="301"/>
      <c r="AK236" s="301">
        <v>80</v>
      </c>
      <c r="AL236" s="301"/>
      <c r="AM236" s="301"/>
      <c r="AN236" s="301"/>
      <c r="AO236" s="301"/>
      <c r="AP236" s="301"/>
      <c r="AQ236" s="301"/>
      <c r="AR236" s="301"/>
      <c r="AS236" s="301"/>
      <c r="AT236" s="301"/>
      <c r="AU236" s="301"/>
      <c r="AV236" s="301"/>
      <c r="AW236" s="301"/>
      <c r="AX236" s="301"/>
      <c r="AY236" s="301"/>
      <c r="AZ236" s="301"/>
      <c r="BA236" s="301"/>
      <c r="BB236" s="301"/>
      <c r="BC236" s="301"/>
      <c r="BD236" s="301"/>
      <c r="BE236" s="301"/>
      <c r="BF236" s="301"/>
      <c r="BG236" s="301"/>
      <c r="BH236" s="301"/>
      <c r="BI236" s="301"/>
      <c r="BJ236" s="301"/>
      <c r="BK236" s="301"/>
      <c r="BL236" s="301"/>
      <c r="BM236" s="302"/>
      <c r="BN236" s="291">
        <f>+MAX($D$3,DATOS_[[#This Row],[Fecha Inicio Sit. Contract.]])</f>
        <v>45292</v>
      </c>
      <c r="BO236" s="291">
        <f>+MIN($D$4,DATOS_[[#This Row],[Fecha Fin Sit. Contract.]])</f>
        <v>45657</v>
      </c>
      <c r="BP236" s="292">
        <f>+DATOS_[[#This Row],[% de jornada]]*IF(DATOS_[[#This Row],[% jornada reducida]]="",1,DATOS_[[#This Row],[% jornada reducida]])</f>
        <v>1</v>
      </c>
      <c r="BQ236" s="292">
        <f>+(DATOS_[[#This Row],[F.fin.cal]]-DATOS_[[#This Row],[F.ini.cal]]+1)/($D$4-$D$3+1)</f>
        <v>1</v>
      </c>
      <c r="BR236" s="322" t="str">
        <f>IF(OR(AND(DATOS_[[#This Row],[Fecha Fin Contrato]]&lt;$D$3,DATOS_[[#This Row],[Fecha Fin Contrato]]&lt;&gt;""),DATOS_[[#This Row],[Fecha de Contratación]]&gt;$D$4),"Fuera","Dentro")</f>
        <v>Dentro</v>
      </c>
      <c r="BS236" s="322" t="str">
        <f t="array" ref="BS236">IF(MAX(IF(DATOS_[id]=DATOS_[[#This Row],[id]],DATOS_[F.fin.cal]))=DATOS_[[#This Row],[F.fin.cal]],"Sí","NO")</f>
        <v>Sí</v>
      </c>
      <c r="BT236" s="292" t="str">
        <f>IF(AND(DATOS_[[#This Row],[% normaliz]]&lt;&gt;1,DATOS_[[#This Row],[% anualiz]]=1),"Sí","NO")</f>
        <v>NO</v>
      </c>
      <c r="BU236" s="292" t="str">
        <f>IF(AND(DATOS_[[#This Row],[% normaliz]]=1,DATOS_[[#This Row],[% anualiz]]&lt;&gt;1),"Sí","NO")</f>
        <v>NO</v>
      </c>
      <c r="BV236" s="292" t="str">
        <f>IF(AND(DATOS_[[#This Row],[% normaliz]]&lt;&gt;1,DATOS_[[#This Row],[% anualiz]]&lt;&gt;1),"Sí","NO")</f>
        <v>NO</v>
      </c>
      <c r="BW236" s="322" t="str">
        <f>+IF(DATOS_[[#This Row],[% normaliz]]*DATOS_[[#This Row],[% anualiz]]=1,"NO","Sí")</f>
        <v>NO</v>
      </c>
      <c r="BX236" s="323">
        <f>(DATOS_[[#This Row],[S.BASE]]*(1/DATOS_[[#This Row],[% normaliz]])*(1/DATOS_[[#This Row],[% anualiz]]))*IF(DATOS_[[#This Row],[Check Equiparado]]="Sí",1,0)</f>
        <v>12915.07</v>
      </c>
      <c r="BY23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6" s="323">
        <f>+DATOS_[[#This Row],[SALARIO BASE Eq]]+DATOS_[[#This Row],[Tot COMPL.SAL Eq]]</f>
        <v>14040</v>
      </c>
      <c r="CA236" s="323">
        <f t="array" ref="CA2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6" s="323">
        <f>+DATOS_[[#This Row],[TOTAL SALARIO Eq]]+DATOS_[[#This Row],[Tot Extrasalarial Eq]]</f>
        <v>14040</v>
      </c>
      <c r="CC236" s="327">
        <f>DATOS_[[#This Row],[S.BASE]]</f>
        <v>12915.07</v>
      </c>
      <c r="CD236" s="324">
        <f>+SUM(DATOS_[[#This Row],[Conc.Sal.01]:[Conc.Sal.30]])</f>
        <v>1124.9300000000003</v>
      </c>
      <c r="CE236" s="324">
        <f>+DATOS_[[#This Row],[SALARIO BASE Ef]]+DATOS_[[#This Row],[Tot COMPL.SAL Ef]]</f>
        <v>14040</v>
      </c>
      <c r="CF236" s="324">
        <f>+SUM(DATOS_[[#This Row],[C.Extra.01]:[C.Extra.05]])</f>
        <v>0</v>
      </c>
      <c r="CG236" s="330">
        <f>+DATOS_[[#This Row],[TOTAL SALARIO Ef]]+DATOS_[[#This Row],[Tot Extrasalarial Ef]]</f>
        <v>14040</v>
      </c>
      <c r="CH236" s="303">
        <f>MIN(IF(DATOS_[[#This Row],[Fecha Fin Contrato]]="",$D$4,DATOS_[[#This Row],[Fecha Fin Contrato]]),$D$4)-MAX(DATOS_[[#This Row],[Fecha de Contratación]],$D$3)+1</f>
        <v>366</v>
      </c>
      <c r="CI236" s="304" t="str">
        <f>IF(COUNTIFS(DATOS_[id],DATOS_[[#This Row],[id]])&gt;1,DATOS_[[#This Row],[id]],"")</f>
        <v/>
      </c>
      <c r="CJ236" s="325">
        <f>(Inicio!$G$10-DATOS_[[#This Row],[Fecha Nacimiento]])/365.25</f>
        <v>29.067761806981519</v>
      </c>
      <c r="CK236" s="325">
        <f>(Inicio!$G$10-DATOS_[[#This Row],[Fecha de Antigüedad]])/365.25</f>
        <v>7.4469541409993152</v>
      </c>
      <c r="CL236" s="325" t="str">
        <f>+VLOOKUP(DATOS_[[#This Row],[Clave de Contrato]],TblTiposContrato13[],3,FALSE)</f>
        <v>Completa</v>
      </c>
      <c r="CM236" s="325" t="str">
        <f>+VLOOKUP(DATOS_[[#This Row],[Clave de Contrato]],TblTiposContrato13[],4,FALSE)</f>
        <v>Indefinido</v>
      </c>
      <c r="CN236" s="325" t="str">
        <f>VLOOKUP(DATOS_[[#This Row],[Edad]],CONTRATOS!TblRngEdad,2,TRUE)</f>
        <v>25 a 30</v>
      </c>
      <c r="CO236" s="325" t="str">
        <f>VLOOKUP(DATOS_[[#This Row],[Antigüedad]],TblRngAntg14[],2,TRUE)</f>
        <v>5 a 10  años</v>
      </c>
    </row>
    <row r="237" spans="2:93" x14ac:dyDescent="0.25">
      <c r="B237" s="146">
        <v>212</v>
      </c>
      <c r="C237" s="146" t="s">
        <v>163</v>
      </c>
      <c r="D237" s="295">
        <v>33215</v>
      </c>
      <c r="E237" s="296" t="s">
        <v>71</v>
      </c>
      <c r="F237" s="296">
        <v>1</v>
      </c>
      <c r="G237" s="296">
        <v>2</v>
      </c>
      <c r="H237" s="297">
        <v>42967</v>
      </c>
      <c r="I237" s="298"/>
      <c r="J237" s="295">
        <v>42967</v>
      </c>
      <c r="K237" s="326"/>
      <c r="L237" s="326"/>
      <c r="M237" s="299">
        <v>1</v>
      </c>
      <c r="N237" s="299"/>
      <c r="O237" s="299"/>
      <c r="P237" s="296">
        <v>100</v>
      </c>
      <c r="Q237" s="146" t="s">
        <v>414</v>
      </c>
      <c r="R237" s="146" t="s">
        <v>420</v>
      </c>
      <c r="S237" s="146" t="s">
        <v>440</v>
      </c>
      <c r="T237" s="146" t="s">
        <v>407</v>
      </c>
      <c r="U237" s="146" t="s">
        <v>400</v>
      </c>
      <c r="V237" s="146" t="s">
        <v>438</v>
      </c>
      <c r="W237" s="146" t="s">
        <v>311</v>
      </c>
      <c r="X237" s="146" t="s">
        <v>307</v>
      </c>
      <c r="Y237" s="146" t="s">
        <v>409</v>
      </c>
      <c r="Z237" s="293"/>
      <c r="AA237" s="294" t="s">
        <v>439</v>
      </c>
      <c r="AB237" s="294">
        <v>9</v>
      </c>
      <c r="AC237" s="296">
        <v>7</v>
      </c>
      <c r="AD237" s="301">
        <v>12915.07</v>
      </c>
      <c r="AE237" s="301">
        <v>84.930000000000291</v>
      </c>
      <c r="AF237" s="301"/>
      <c r="AG237" s="301">
        <v>960</v>
      </c>
      <c r="AH237" s="301"/>
      <c r="AI237" s="301"/>
      <c r="AJ237" s="301"/>
      <c r="AK237" s="301">
        <v>80</v>
      </c>
      <c r="AL237" s="301"/>
      <c r="AM237" s="301"/>
      <c r="AN237" s="301"/>
      <c r="AO237" s="301"/>
      <c r="AP237" s="301"/>
      <c r="AQ237" s="301"/>
      <c r="AR237" s="301"/>
      <c r="AS237" s="301"/>
      <c r="AT237" s="301"/>
      <c r="AU237" s="301"/>
      <c r="AV237" s="301"/>
      <c r="AW237" s="301"/>
      <c r="AX237" s="301"/>
      <c r="AY237" s="301"/>
      <c r="AZ237" s="301"/>
      <c r="BA237" s="301"/>
      <c r="BB237" s="301"/>
      <c r="BC237" s="301"/>
      <c r="BD237" s="301"/>
      <c r="BE237" s="301"/>
      <c r="BF237" s="301"/>
      <c r="BG237" s="301"/>
      <c r="BH237" s="301"/>
      <c r="BI237" s="301"/>
      <c r="BJ237" s="301"/>
      <c r="BK237" s="301"/>
      <c r="BL237" s="301"/>
      <c r="BM237" s="302"/>
      <c r="BN237" s="291">
        <f>+MAX($D$3,DATOS_[[#This Row],[Fecha Inicio Sit. Contract.]])</f>
        <v>45292</v>
      </c>
      <c r="BO237" s="291">
        <f>+MIN($D$4,DATOS_[[#This Row],[Fecha Fin Sit. Contract.]])</f>
        <v>45657</v>
      </c>
      <c r="BP237" s="292">
        <f>+DATOS_[[#This Row],[% de jornada]]*IF(DATOS_[[#This Row],[% jornada reducida]]="",1,DATOS_[[#This Row],[% jornada reducida]])</f>
        <v>1</v>
      </c>
      <c r="BQ237" s="292">
        <f>+(DATOS_[[#This Row],[F.fin.cal]]-DATOS_[[#This Row],[F.ini.cal]]+1)/($D$4-$D$3+1)</f>
        <v>1</v>
      </c>
      <c r="BR237" s="322" t="str">
        <f>IF(OR(AND(DATOS_[[#This Row],[Fecha Fin Contrato]]&lt;$D$3,DATOS_[[#This Row],[Fecha Fin Contrato]]&lt;&gt;""),DATOS_[[#This Row],[Fecha de Contratación]]&gt;$D$4),"Fuera","Dentro")</f>
        <v>Dentro</v>
      </c>
      <c r="BS237" s="322" t="str">
        <f t="array" ref="BS237">IF(MAX(IF(DATOS_[id]=DATOS_[[#This Row],[id]],DATOS_[F.fin.cal]))=DATOS_[[#This Row],[F.fin.cal]],"Sí","NO")</f>
        <v>Sí</v>
      </c>
      <c r="BT237" s="292" t="str">
        <f>IF(AND(DATOS_[[#This Row],[% normaliz]]&lt;&gt;1,DATOS_[[#This Row],[% anualiz]]=1),"Sí","NO")</f>
        <v>NO</v>
      </c>
      <c r="BU237" s="292" t="str">
        <f>IF(AND(DATOS_[[#This Row],[% normaliz]]=1,DATOS_[[#This Row],[% anualiz]]&lt;&gt;1),"Sí","NO")</f>
        <v>NO</v>
      </c>
      <c r="BV237" s="292" t="str">
        <f>IF(AND(DATOS_[[#This Row],[% normaliz]]&lt;&gt;1,DATOS_[[#This Row],[% anualiz]]&lt;&gt;1),"Sí","NO")</f>
        <v>NO</v>
      </c>
      <c r="BW237" s="322" t="str">
        <f>+IF(DATOS_[[#This Row],[% normaliz]]*DATOS_[[#This Row],[% anualiz]]=1,"NO","Sí")</f>
        <v>NO</v>
      </c>
      <c r="BX237" s="323">
        <f>(DATOS_[[#This Row],[S.BASE]]*(1/DATOS_[[#This Row],[% normaliz]])*(1/DATOS_[[#This Row],[% anualiz]]))*IF(DATOS_[[#This Row],[Check Equiparado]]="Sí",1,0)</f>
        <v>12915.07</v>
      </c>
      <c r="BY23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7" s="323">
        <f>+DATOS_[[#This Row],[SALARIO BASE Eq]]+DATOS_[[#This Row],[Tot COMPL.SAL Eq]]</f>
        <v>14040</v>
      </c>
      <c r="CA237" s="323">
        <f t="array" ref="CA2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7" s="323">
        <f>+DATOS_[[#This Row],[TOTAL SALARIO Eq]]+DATOS_[[#This Row],[Tot Extrasalarial Eq]]</f>
        <v>14040</v>
      </c>
      <c r="CC237" s="327">
        <f>DATOS_[[#This Row],[S.BASE]]</f>
        <v>12915.07</v>
      </c>
      <c r="CD237" s="324">
        <f>+SUM(DATOS_[[#This Row],[Conc.Sal.01]:[Conc.Sal.30]])</f>
        <v>1124.9300000000003</v>
      </c>
      <c r="CE237" s="324">
        <f>+DATOS_[[#This Row],[SALARIO BASE Ef]]+DATOS_[[#This Row],[Tot COMPL.SAL Ef]]</f>
        <v>14040</v>
      </c>
      <c r="CF237" s="324">
        <f>+SUM(DATOS_[[#This Row],[C.Extra.01]:[C.Extra.05]])</f>
        <v>0</v>
      </c>
      <c r="CG237" s="330">
        <f>+DATOS_[[#This Row],[TOTAL SALARIO Ef]]+DATOS_[[#This Row],[Tot Extrasalarial Ef]]</f>
        <v>14040</v>
      </c>
      <c r="CH237" s="303">
        <f>MIN(IF(DATOS_[[#This Row],[Fecha Fin Contrato]]="",$D$4,DATOS_[[#This Row],[Fecha Fin Contrato]]),$D$4)-MAX(DATOS_[[#This Row],[Fecha de Contratación]],$D$3)+1</f>
        <v>366</v>
      </c>
      <c r="CI237" s="304" t="str">
        <f>IF(COUNTIFS(DATOS_[id],DATOS_[[#This Row],[id]])&gt;1,DATOS_[[#This Row],[id]],"")</f>
        <v/>
      </c>
      <c r="CJ237" s="325">
        <f>(Inicio!$G$10-DATOS_[[#This Row],[Fecha Nacimiento]])/365.25</f>
        <v>34.064339493497606</v>
      </c>
      <c r="CK237" s="325">
        <f>(Inicio!$G$10-DATOS_[[#This Row],[Fecha de Antigüedad]])/365.25</f>
        <v>7.3648186173853523</v>
      </c>
      <c r="CL237" s="325" t="str">
        <f>+VLOOKUP(DATOS_[[#This Row],[Clave de Contrato]],TblTiposContrato13[],3,FALSE)</f>
        <v>Completa</v>
      </c>
      <c r="CM237" s="325" t="str">
        <f>+VLOOKUP(DATOS_[[#This Row],[Clave de Contrato]],TblTiposContrato13[],4,FALSE)</f>
        <v>Indefinido</v>
      </c>
      <c r="CN237" s="325" t="str">
        <f>VLOOKUP(DATOS_[[#This Row],[Edad]],CONTRATOS!TblRngEdad,2,TRUE)</f>
        <v>30 a 35</v>
      </c>
      <c r="CO237" s="325" t="str">
        <f>VLOOKUP(DATOS_[[#This Row],[Antigüedad]],TblRngAntg14[],2,TRUE)</f>
        <v>5 a 10  años</v>
      </c>
    </row>
    <row r="238" spans="2:93" x14ac:dyDescent="0.25">
      <c r="B238" s="146">
        <v>213</v>
      </c>
      <c r="C238" s="146" t="s">
        <v>163</v>
      </c>
      <c r="D238" s="295">
        <v>29565</v>
      </c>
      <c r="E238" s="296" t="s">
        <v>71</v>
      </c>
      <c r="F238" s="296">
        <v>1</v>
      </c>
      <c r="G238" s="296">
        <v>3</v>
      </c>
      <c r="H238" s="297">
        <v>42997</v>
      </c>
      <c r="I238" s="298"/>
      <c r="J238" s="295">
        <v>42997</v>
      </c>
      <c r="K238" s="326"/>
      <c r="L238" s="326"/>
      <c r="M238" s="299">
        <v>1</v>
      </c>
      <c r="N238" s="299"/>
      <c r="O238" s="299"/>
      <c r="P238" s="296">
        <v>100</v>
      </c>
      <c r="Q238" s="146" t="s">
        <v>414</v>
      </c>
      <c r="R238" s="146" t="s">
        <v>420</v>
      </c>
      <c r="S238" s="146" t="s">
        <v>440</v>
      </c>
      <c r="T238" s="146" t="s">
        <v>407</v>
      </c>
      <c r="U238" s="146" t="s">
        <v>400</v>
      </c>
      <c r="V238" s="146" t="s">
        <v>438</v>
      </c>
      <c r="W238" s="146" t="s">
        <v>311</v>
      </c>
      <c r="X238" s="146" t="s">
        <v>307</v>
      </c>
      <c r="Y238" s="146" t="s">
        <v>409</v>
      </c>
      <c r="Z238" s="293"/>
      <c r="AA238" s="294" t="s">
        <v>439</v>
      </c>
      <c r="AB238" s="294">
        <v>9</v>
      </c>
      <c r="AC238" s="296">
        <v>7</v>
      </c>
      <c r="AD238" s="301">
        <v>12915.07</v>
      </c>
      <c r="AE238" s="301">
        <v>84.930000000000291</v>
      </c>
      <c r="AF238" s="301"/>
      <c r="AG238" s="301">
        <v>960</v>
      </c>
      <c r="AH238" s="301"/>
      <c r="AI238" s="301"/>
      <c r="AJ238" s="301"/>
      <c r="AK238" s="301">
        <v>80</v>
      </c>
      <c r="AL238" s="301"/>
      <c r="AM238" s="301"/>
      <c r="AN238" s="301"/>
      <c r="AO238" s="301"/>
      <c r="AP238" s="301"/>
      <c r="AQ238" s="301"/>
      <c r="AR238" s="301"/>
      <c r="AS238" s="301"/>
      <c r="AT238" s="301"/>
      <c r="AU238" s="301"/>
      <c r="AV238" s="301"/>
      <c r="AW238" s="301"/>
      <c r="AX238" s="301"/>
      <c r="AY238" s="301"/>
      <c r="AZ238" s="301"/>
      <c r="BA238" s="301"/>
      <c r="BB238" s="301"/>
      <c r="BC238" s="301"/>
      <c r="BD238" s="301"/>
      <c r="BE238" s="301"/>
      <c r="BF238" s="301"/>
      <c r="BG238" s="301"/>
      <c r="BH238" s="301"/>
      <c r="BI238" s="301"/>
      <c r="BJ238" s="301"/>
      <c r="BK238" s="301"/>
      <c r="BL238" s="301"/>
      <c r="BM238" s="302"/>
      <c r="BN238" s="291">
        <f>+MAX($D$3,DATOS_[[#This Row],[Fecha Inicio Sit. Contract.]])</f>
        <v>45292</v>
      </c>
      <c r="BO238" s="291">
        <f>+MIN($D$4,DATOS_[[#This Row],[Fecha Fin Sit. Contract.]])</f>
        <v>45657</v>
      </c>
      <c r="BP238" s="292">
        <f>+DATOS_[[#This Row],[% de jornada]]*IF(DATOS_[[#This Row],[% jornada reducida]]="",1,DATOS_[[#This Row],[% jornada reducida]])</f>
        <v>1</v>
      </c>
      <c r="BQ238" s="292">
        <f>+(DATOS_[[#This Row],[F.fin.cal]]-DATOS_[[#This Row],[F.ini.cal]]+1)/($D$4-$D$3+1)</f>
        <v>1</v>
      </c>
      <c r="BR238" s="322" t="str">
        <f>IF(OR(AND(DATOS_[[#This Row],[Fecha Fin Contrato]]&lt;$D$3,DATOS_[[#This Row],[Fecha Fin Contrato]]&lt;&gt;""),DATOS_[[#This Row],[Fecha de Contratación]]&gt;$D$4),"Fuera","Dentro")</f>
        <v>Dentro</v>
      </c>
      <c r="BS238" s="322" t="str">
        <f t="array" ref="BS238">IF(MAX(IF(DATOS_[id]=DATOS_[[#This Row],[id]],DATOS_[F.fin.cal]))=DATOS_[[#This Row],[F.fin.cal]],"Sí","NO")</f>
        <v>Sí</v>
      </c>
      <c r="BT238" s="292" t="str">
        <f>IF(AND(DATOS_[[#This Row],[% normaliz]]&lt;&gt;1,DATOS_[[#This Row],[% anualiz]]=1),"Sí","NO")</f>
        <v>NO</v>
      </c>
      <c r="BU238" s="292" t="str">
        <f>IF(AND(DATOS_[[#This Row],[% normaliz]]=1,DATOS_[[#This Row],[% anualiz]]&lt;&gt;1),"Sí","NO")</f>
        <v>NO</v>
      </c>
      <c r="BV238" s="292" t="str">
        <f>IF(AND(DATOS_[[#This Row],[% normaliz]]&lt;&gt;1,DATOS_[[#This Row],[% anualiz]]&lt;&gt;1),"Sí","NO")</f>
        <v>NO</v>
      </c>
      <c r="BW238" s="322" t="str">
        <f>+IF(DATOS_[[#This Row],[% normaliz]]*DATOS_[[#This Row],[% anualiz]]=1,"NO","Sí")</f>
        <v>NO</v>
      </c>
      <c r="BX238" s="323">
        <f>(DATOS_[[#This Row],[S.BASE]]*(1/DATOS_[[#This Row],[% normaliz]])*(1/DATOS_[[#This Row],[% anualiz]]))*IF(DATOS_[[#This Row],[Check Equiparado]]="Sí",1,0)</f>
        <v>12915.07</v>
      </c>
      <c r="BY23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8" s="323">
        <f>+DATOS_[[#This Row],[SALARIO BASE Eq]]+DATOS_[[#This Row],[Tot COMPL.SAL Eq]]</f>
        <v>14040</v>
      </c>
      <c r="CA238" s="323">
        <f t="array" ref="CA2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8" s="323">
        <f>+DATOS_[[#This Row],[TOTAL SALARIO Eq]]+DATOS_[[#This Row],[Tot Extrasalarial Eq]]</f>
        <v>14040</v>
      </c>
      <c r="CC238" s="327">
        <f>DATOS_[[#This Row],[S.BASE]]</f>
        <v>12915.07</v>
      </c>
      <c r="CD238" s="324">
        <f>+SUM(DATOS_[[#This Row],[Conc.Sal.01]:[Conc.Sal.30]])</f>
        <v>1124.9300000000003</v>
      </c>
      <c r="CE238" s="324">
        <f>+DATOS_[[#This Row],[SALARIO BASE Ef]]+DATOS_[[#This Row],[Tot COMPL.SAL Ef]]</f>
        <v>14040</v>
      </c>
      <c r="CF238" s="324">
        <f>+SUM(DATOS_[[#This Row],[C.Extra.01]:[C.Extra.05]])</f>
        <v>0</v>
      </c>
      <c r="CG238" s="330">
        <f>+DATOS_[[#This Row],[TOTAL SALARIO Ef]]+DATOS_[[#This Row],[Tot Extrasalarial Ef]]</f>
        <v>14040</v>
      </c>
      <c r="CH238" s="303">
        <f>MIN(IF(DATOS_[[#This Row],[Fecha Fin Contrato]]="",$D$4,DATOS_[[#This Row],[Fecha Fin Contrato]]),$D$4)-MAX(DATOS_[[#This Row],[Fecha de Contratación]],$D$3)+1</f>
        <v>366</v>
      </c>
      <c r="CI238" s="304" t="str">
        <f>IF(COUNTIFS(DATOS_[id],DATOS_[[#This Row],[id]])&gt;1,DATOS_[[#This Row],[id]],"")</f>
        <v/>
      </c>
      <c r="CJ238" s="325">
        <f>(Inicio!$G$10-DATOS_[[#This Row],[Fecha Nacimiento]])/365.25</f>
        <v>44.057494866529773</v>
      </c>
      <c r="CK238" s="325">
        <f>(Inicio!$G$10-DATOS_[[#This Row],[Fecha de Antigüedad]])/365.25</f>
        <v>7.2826830937713893</v>
      </c>
      <c r="CL238" s="325" t="str">
        <f>+VLOOKUP(DATOS_[[#This Row],[Clave de Contrato]],TblTiposContrato13[],3,FALSE)</f>
        <v>Completa</v>
      </c>
      <c r="CM238" s="325" t="str">
        <f>+VLOOKUP(DATOS_[[#This Row],[Clave de Contrato]],TblTiposContrato13[],4,FALSE)</f>
        <v>Indefinido</v>
      </c>
      <c r="CN238" s="325" t="str">
        <f>VLOOKUP(DATOS_[[#This Row],[Edad]],CONTRATOS!TblRngEdad,2,TRUE)</f>
        <v>40 a 45</v>
      </c>
      <c r="CO238" s="325" t="str">
        <f>VLOOKUP(DATOS_[[#This Row],[Antigüedad]],TblRngAntg14[],2,TRUE)</f>
        <v>5 a 10  años</v>
      </c>
    </row>
    <row r="239" spans="2:93" x14ac:dyDescent="0.25">
      <c r="B239" s="146">
        <v>214</v>
      </c>
      <c r="C239" s="146" t="s">
        <v>163</v>
      </c>
      <c r="D239" s="295">
        <v>31755</v>
      </c>
      <c r="E239" s="296" t="s">
        <v>71</v>
      </c>
      <c r="F239" s="296">
        <v>1</v>
      </c>
      <c r="G239" s="296">
        <v>2</v>
      </c>
      <c r="H239" s="297">
        <v>43027</v>
      </c>
      <c r="I239" s="298"/>
      <c r="J239" s="295">
        <v>43027</v>
      </c>
      <c r="K239" s="326"/>
      <c r="L239" s="326"/>
      <c r="M239" s="299">
        <v>1</v>
      </c>
      <c r="N239" s="299"/>
      <c r="O239" s="299"/>
      <c r="P239" s="296">
        <v>100</v>
      </c>
      <c r="Q239" s="146" t="s">
        <v>414</v>
      </c>
      <c r="R239" s="146" t="s">
        <v>420</v>
      </c>
      <c r="S239" s="146" t="s">
        <v>440</v>
      </c>
      <c r="T239" s="146" t="s">
        <v>407</v>
      </c>
      <c r="U239" s="146" t="s">
        <v>400</v>
      </c>
      <c r="V239" s="146" t="s">
        <v>438</v>
      </c>
      <c r="W239" s="146" t="s">
        <v>311</v>
      </c>
      <c r="X239" s="146" t="s">
        <v>307</v>
      </c>
      <c r="Y239" s="146" t="s">
        <v>409</v>
      </c>
      <c r="Z239" s="293"/>
      <c r="AA239" s="294" t="s">
        <v>439</v>
      </c>
      <c r="AB239" s="294">
        <v>9</v>
      </c>
      <c r="AC239" s="296">
        <v>7</v>
      </c>
      <c r="AD239" s="301">
        <v>12915.07</v>
      </c>
      <c r="AE239" s="301">
        <v>84.930000000000291</v>
      </c>
      <c r="AF239" s="301"/>
      <c r="AG239" s="301">
        <v>960</v>
      </c>
      <c r="AH239" s="301"/>
      <c r="AI239" s="301"/>
      <c r="AJ239" s="301"/>
      <c r="AK239" s="301">
        <v>80</v>
      </c>
      <c r="AL239" s="301"/>
      <c r="AM239" s="301"/>
      <c r="AN239" s="301"/>
      <c r="AO239" s="301"/>
      <c r="AP239" s="301"/>
      <c r="AQ239" s="301"/>
      <c r="AR239" s="301"/>
      <c r="AS239" s="301"/>
      <c r="AT239" s="301"/>
      <c r="AU239" s="301"/>
      <c r="AV239" s="301"/>
      <c r="AW239" s="301"/>
      <c r="AX239" s="301"/>
      <c r="AY239" s="301"/>
      <c r="AZ239" s="301"/>
      <c r="BA239" s="301"/>
      <c r="BB239" s="301"/>
      <c r="BC239" s="301"/>
      <c r="BD239" s="301"/>
      <c r="BE239" s="301"/>
      <c r="BF239" s="301"/>
      <c r="BG239" s="301"/>
      <c r="BH239" s="301"/>
      <c r="BI239" s="301"/>
      <c r="BJ239" s="301"/>
      <c r="BK239" s="301"/>
      <c r="BL239" s="301"/>
      <c r="BM239" s="302"/>
      <c r="BN239" s="291">
        <f>+MAX($D$3,DATOS_[[#This Row],[Fecha Inicio Sit. Contract.]])</f>
        <v>45292</v>
      </c>
      <c r="BO239" s="291">
        <f>+MIN($D$4,DATOS_[[#This Row],[Fecha Fin Sit. Contract.]])</f>
        <v>45657</v>
      </c>
      <c r="BP239" s="292">
        <f>+DATOS_[[#This Row],[% de jornada]]*IF(DATOS_[[#This Row],[% jornada reducida]]="",1,DATOS_[[#This Row],[% jornada reducida]])</f>
        <v>1</v>
      </c>
      <c r="BQ239" s="292">
        <f>+(DATOS_[[#This Row],[F.fin.cal]]-DATOS_[[#This Row],[F.ini.cal]]+1)/($D$4-$D$3+1)</f>
        <v>1</v>
      </c>
      <c r="BR239" s="322" t="str">
        <f>IF(OR(AND(DATOS_[[#This Row],[Fecha Fin Contrato]]&lt;$D$3,DATOS_[[#This Row],[Fecha Fin Contrato]]&lt;&gt;""),DATOS_[[#This Row],[Fecha de Contratación]]&gt;$D$4),"Fuera","Dentro")</f>
        <v>Dentro</v>
      </c>
      <c r="BS239" s="322" t="str">
        <f t="array" ref="BS239">IF(MAX(IF(DATOS_[id]=DATOS_[[#This Row],[id]],DATOS_[F.fin.cal]))=DATOS_[[#This Row],[F.fin.cal]],"Sí","NO")</f>
        <v>Sí</v>
      </c>
      <c r="BT239" s="292" t="str">
        <f>IF(AND(DATOS_[[#This Row],[% normaliz]]&lt;&gt;1,DATOS_[[#This Row],[% anualiz]]=1),"Sí","NO")</f>
        <v>NO</v>
      </c>
      <c r="BU239" s="292" t="str">
        <f>IF(AND(DATOS_[[#This Row],[% normaliz]]=1,DATOS_[[#This Row],[% anualiz]]&lt;&gt;1),"Sí","NO")</f>
        <v>NO</v>
      </c>
      <c r="BV239" s="292" t="str">
        <f>IF(AND(DATOS_[[#This Row],[% normaliz]]&lt;&gt;1,DATOS_[[#This Row],[% anualiz]]&lt;&gt;1),"Sí","NO")</f>
        <v>NO</v>
      </c>
      <c r="BW239" s="322" t="str">
        <f>+IF(DATOS_[[#This Row],[% normaliz]]*DATOS_[[#This Row],[% anualiz]]=1,"NO","Sí")</f>
        <v>NO</v>
      </c>
      <c r="BX239" s="323">
        <f>(DATOS_[[#This Row],[S.BASE]]*(1/DATOS_[[#This Row],[% normaliz]])*(1/DATOS_[[#This Row],[% anualiz]]))*IF(DATOS_[[#This Row],[Check Equiparado]]="Sí",1,0)</f>
        <v>12915.07</v>
      </c>
      <c r="BY23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9" s="323">
        <f>+DATOS_[[#This Row],[SALARIO BASE Eq]]+DATOS_[[#This Row],[Tot COMPL.SAL Eq]]</f>
        <v>14040</v>
      </c>
      <c r="CA239" s="323">
        <f t="array" ref="CA2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9" s="323">
        <f>+DATOS_[[#This Row],[TOTAL SALARIO Eq]]+DATOS_[[#This Row],[Tot Extrasalarial Eq]]</f>
        <v>14040</v>
      </c>
      <c r="CC239" s="327">
        <f>DATOS_[[#This Row],[S.BASE]]</f>
        <v>12915.07</v>
      </c>
      <c r="CD239" s="324">
        <f>+SUM(DATOS_[[#This Row],[Conc.Sal.01]:[Conc.Sal.30]])</f>
        <v>1124.9300000000003</v>
      </c>
      <c r="CE239" s="324">
        <f>+DATOS_[[#This Row],[SALARIO BASE Ef]]+DATOS_[[#This Row],[Tot COMPL.SAL Ef]]</f>
        <v>14040</v>
      </c>
      <c r="CF239" s="324">
        <f>+SUM(DATOS_[[#This Row],[C.Extra.01]:[C.Extra.05]])</f>
        <v>0</v>
      </c>
      <c r="CG239" s="330">
        <f>+DATOS_[[#This Row],[TOTAL SALARIO Ef]]+DATOS_[[#This Row],[Tot Extrasalarial Ef]]</f>
        <v>14040</v>
      </c>
      <c r="CH239" s="303">
        <f>MIN(IF(DATOS_[[#This Row],[Fecha Fin Contrato]]="",$D$4,DATOS_[[#This Row],[Fecha Fin Contrato]]),$D$4)-MAX(DATOS_[[#This Row],[Fecha de Contratación]],$D$3)+1</f>
        <v>366</v>
      </c>
      <c r="CI239" s="304" t="str">
        <f>IF(COUNTIFS(DATOS_[id],DATOS_[[#This Row],[id]])&gt;1,DATOS_[[#This Row],[id]],"")</f>
        <v/>
      </c>
      <c r="CJ239" s="325">
        <f>(Inicio!$G$10-DATOS_[[#This Row],[Fecha Nacimiento]])/365.25</f>
        <v>38.061601642710471</v>
      </c>
      <c r="CK239" s="325">
        <f>(Inicio!$G$10-DATOS_[[#This Row],[Fecha de Antigüedad]])/365.25</f>
        <v>7.2005475701574264</v>
      </c>
      <c r="CL239" s="325" t="str">
        <f>+VLOOKUP(DATOS_[[#This Row],[Clave de Contrato]],TblTiposContrato13[],3,FALSE)</f>
        <v>Completa</v>
      </c>
      <c r="CM239" s="325" t="str">
        <f>+VLOOKUP(DATOS_[[#This Row],[Clave de Contrato]],TblTiposContrato13[],4,FALSE)</f>
        <v>Indefinido</v>
      </c>
      <c r="CN239" s="325" t="str">
        <f>VLOOKUP(DATOS_[[#This Row],[Edad]],CONTRATOS!TblRngEdad,2,TRUE)</f>
        <v>35 a 40</v>
      </c>
      <c r="CO239" s="325" t="str">
        <f>VLOOKUP(DATOS_[[#This Row],[Antigüedad]],TblRngAntg14[],2,TRUE)</f>
        <v>5 a 10  años</v>
      </c>
    </row>
    <row r="240" spans="2:93" x14ac:dyDescent="0.25">
      <c r="B240" s="146">
        <v>215</v>
      </c>
      <c r="C240" s="146" t="s">
        <v>163</v>
      </c>
      <c r="D240" s="295">
        <v>32485</v>
      </c>
      <c r="E240" s="296" t="s">
        <v>71</v>
      </c>
      <c r="F240" s="296">
        <v>3</v>
      </c>
      <c r="G240" s="296">
        <v>0</v>
      </c>
      <c r="H240" s="297">
        <v>43057</v>
      </c>
      <c r="I240" s="298"/>
      <c r="J240" s="295">
        <v>43057</v>
      </c>
      <c r="K240" s="326"/>
      <c r="L240" s="326"/>
      <c r="M240" s="299">
        <v>1</v>
      </c>
      <c r="N240" s="299"/>
      <c r="O240" s="299"/>
      <c r="P240" s="296">
        <v>100</v>
      </c>
      <c r="Q240" s="146" t="s">
        <v>414</v>
      </c>
      <c r="R240" s="146" t="s">
        <v>420</v>
      </c>
      <c r="S240" s="146" t="s">
        <v>440</v>
      </c>
      <c r="T240" s="146" t="s">
        <v>407</v>
      </c>
      <c r="U240" s="146" t="s">
        <v>400</v>
      </c>
      <c r="V240" s="146" t="s">
        <v>438</v>
      </c>
      <c r="W240" s="146" t="s">
        <v>311</v>
      </c>
      <c r="X240" s="146" t="s">
        <v>307</v>
      </c>
      <c r="Y240" s="146" t="s">
        <v>409</v>
      </c>
      <c r="Z240" s="293"/>
      <c r="AA240" s="294" t="s">
        <v>439</v>
      </c>
      <c r="AB240" s="294">
        <v>9</v>
      </c>
      <c r="AC240" s="296">
        <v>7</v>
      </c>
      <c r="AD240" s="301">
        <v>12915.07</v>
      </c>
      <c r="AE240" s="301">
        <v>84.930000000000291</v>
      </c>
      <c r="AF240" s="301"/>
      <c r="AG240" s="301">
        <v>960</v>
      </c>
      <c r="AH240" s="301"/>
      <c r="AI240" s="301"/>
      <c r="AJ240" s="301"/>
      <c r="AK240" s="301">
        <v>80</v>
      </c>
      <c r="AL240" s="301"/>
      <c r="AM240" s="301"/>
      <c r="AN240" s="301"/>
      <c r="AO240" s="301"/>
      <c r="AP240" s="301"/>
      <c r="AQ240" s="301"/>
      <c r="AR240" s="301"/>
      <c r="AS240" s="301"/>
      <c r="AT240" s="301"/>
      <c r="AU240" s="301"/>
      <c r="AV240" s="301"/>
      <c r="AW240" s="301"/>
      <c r="AX240" s="301"/>
      <c r="AY240" s="301"/>
      <c r="AZ240" s="301"/>
      <c r="BA240" s="301"/>
      <c r="BB240" s="301"/>
      <c r="BC240" s="301"/>
      <c r="BD240" s="301"/>
      <c r="BE240" s="301"/>
      <c r="BF240" s="301"/>
      <c r="BG240" s="301"/>
      <c r="BH240" s="301"/>
      <c r="BI240" s="301"/>
      <c r="BJ240" s="301"/>
      <c r="BK240" s="301"/>
      <c r="BL240" s="301"/>
      <c r="BM240" s="302"/>
      <c r="BN240" s="291">
        <f>+MAX($D$3,DATOS_[[#This Row],[Fecha Inicio Sit. Contract.]])</f>
        <v>45292</v>
      </c>
      <c r="BO240" s="291">
        <f>+MIN($D$4,DATOS_[[#This Row],[Fecha Fin Sit. Contract.]])</f>
        <v>45657</v>
      </c>
      <c r="BP240" s="292">
        <f>+DATOS_[[#This Row],[% de jornada]]*IF(DATOS_[[#This Row],[% jornada reducida]]="",1,DATOS_[[#This Row],[% jornada reducida]])</f>
        <v>1</v>
      </c>
      <c r="BQ240" s="292">
        <f>+(DATOS_[[#This Row],[F.fin.cal]]-DATOS_[[#This Row],[F.ini.cal]]+1)/($D$4-$D$3+1)</f>
        <v>1</v>
      </c>
      <c r="BR240" s="322" t="str">
        <f>IF(OR(AND(DATOS_[[#This Row],[Fecha Fin Contrato]]&lt;$D$3,DATOS_[[#This Row],[Fecha Fin Contrato]]&lt;&gt;""),DATOS_[[#This Row],[Fecha de Contratación]]&gt;$D$4),"Fuera","Dentro")</f>
        <v>Dentro</v>
      </c>
      <c r="BS240" s="322" t="str">
        <f t="array" ref="BS240">IF(MAX(IF(DATOS_[id]=DATOS_[[#This Row],[id]],DATOS_[F.fin.cal]))=DATOS_[[#This Row],[F.fin.cal]],"Sí","NO")</f>
        <v>Sí</v>
      </c>
      <c r="BT240" s="292" t="str">
        <f>IF(AND(DATOS_[[#This Row],[% normaliz]]&lt;&gt;1,DATOS_[[#This Row],[% anualiz]]=1),"Sí","NO")</f>
        <v>NO</v>
      </c>
      <c r="BU240" s="292" t="str">
        <f>IF(AND(DATOS_[[#This Row],[% normaliz]]=1,DATOS_[[#This Row],[% anualiz]]&lt;&gt;1),"Sí","NO")</f>
        <v>NO</v>
      </c>
      <c r="BV240" s="292" t="str">
        <f>IF(AND(DATOS_[[#This Row],[% normaliz]]&lt;&gt;1,DATOS_[[#This Row],[% anualiz]]&lt;&gt;1),"Sí","NO")</f>
        <v>NO</v>
      </c>
      <c r="BW240" s="322" t="str">
        <f>+IF(DATOS_[[#This Row],[% normaliz]]*DATOS_[[#This Row],[% anualiz]]=1,"NO","Sí")</f>
        <v>NO</v>
      </c>
      <c r="BX240" s="323">
        <f>(DATOS_[[#This Row],[S.BASE]]*(1/DATOS_[[#This Row],[% normaliz]])*(1/DATOS_[[#This Row],[% anualiz]]))*IF(DATOS_[[#This Row],[Check Equiparado]]="Sí",1,0)</f>
        <v>12915.07</v>
      </c>
      <c r="BY24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0" s="323">
        <f>+DATOS_[[#This Row],[SALARIO BASE Eq]]+DATOS_[[#This Row],[Tot COMPL.SAL Eq]]</f>
        <v>14040</v>
      </c>
      <c r="CA240" s="323">
        <f t="array" ref="CA2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0" s="323">
        <f>+DATOS_[[#This Row],[TOTAL SALARIO Eq]]+DATOS_[[#This Row],[Tot Extrasalarial Eq]]</f>
        <v>14040</v>
      </c>
      <c r="CC240" s="327">
        <f>DATOS_[[#This Row],[S.BASE]]</f>
        <v>12915.07</v>
      </c>
      <c r="CD240" s="324">
        <f>+SUM(DATOS_[[#This Row],[Conc.Sal.01]:[Conc.Sal.30]])</f>
        <v>1124.9300000000003</v>
      </c>
      <c r="CE240" s="324">
        <f>+DATOS_[[#This Row],[SALARIO BASE Ef]]+DATOS_[[#This Row],[Tot COMPL.SAL Ef]]</f>
        <v>14040</v>
      </c>
      <c r="CF240" s="324">
        <f>+SUM(DATOS_[[#This Row],[C.Extra.01]:[C.Extra.05]])</f>
        <v>0</v>
      </c>
      <c r="CG240" s="330">
        <f>+DATOS_[[#This Row],[TOTAL SALARIO Ef]]+DATOS_[[#This Row],[Tot Extrasalarial Ef]]</f>
        <v>14040</v>
      </c>
      <c r="CH240" s="303">
        <f>MIN(IF(DATOS_[[#This Row],[Fecha Fin Contrato]]="",$D$4,DATOS_[[#This Row],[Fecha Fin Contrato]]),$D$4)-MAX(DATOS_[[#This Row],[Fecha de Contratación]],$D$3)+1</f>
        <v>366</v>
      </c>
      <c r="CI240" s="304" t="str">
        <f>IF(COUNTIFS(DATOS_[id],DATOS_[[#This Row],[id]])&gt;1,DATOS_[[#This Row],[id]],"")</f>
        <v/>
      </c>
      <c r="CJ240" s="325">
        <f>(Inicio!$G$10-DATOS_[[#This Row],[Fecha Nacimiento]])/365.25</f>
        <v>36.062970568104035</v>
      </c>
      <c r="CK240" s="325">
        <f>(Inicio!$G$10-DATOS_[[#This Row],[Fecha de Antigüedad]])/365.25</f>
        <v>7.1184120465434635</v>
      </c>
      <c r="CL240" s="325" t="str">
        <f>+VLOOKUP(DATOS_[[#This Row],[Clave de Contrato]],TblTiposContrato13[],3,FALSE)</f>
        <v>Completa</v>
      </c>
      <c r="CM240" s="325" t="str">
        <f>+VLOOKUP(DATOS_[[#This Row],[Clave de Contrato]],TblTiposContrato13[],4,FALSE)</f>
        <v>Indefinido</v>
      </c>
      <c r="CN240" s="325" t="str">
        <f>VLOOKUP(DATOS_[[#This Row],[Edad]],CONTRATOS!TblRngEdad,2,TRUE)</f>
        <v>35 a 40</v>
      </c>
      <c r="CO240" s="325" t="str">
        <f>VLOOKUP(DATOS_[[#This Row],[Antigüedad]],TblRngAntg14[],2,TRUE)</f>
        <v>5 a 10  años</v>
      </c>
    </row>
    <row r="241" spans="2:93" x14ac:dyDescent="0.25">
      <c r="B241" s="146">
        <v>216</v>
      </c>
      <c r="C241" s="146" t="s">
        <v>163</v>
      </c>
      <c r="D241" s="295">
        <v>26645</v>
      </c>
      <c r="E241" s="296" t="s">
        <v>71</v>
      </c>
      <c r="F241" s="296">
        <v>3</v>
      </c>
      <c r="G241" s="296">
        <v>0</v>
      </c>
      <c r="H241" s="297">
        <v>43087</v>
      </c>
      <c r="I241" s="298"/>
      <c r="J241" s="295">
        <v>43087</v>
      </c>
      <c r="K241" s="326"/>
      <c r="L241" s="326"/>
      <c r="M241" s="299">
        <v>1</v>
      </c>
      <c r="N241" s="299"/>
      <c r="O241" s="299"/>
      <c r="P241" s="296">
        <v>100</v>
      </c>
      <c r="Q241" s="146" t="s">
        <v>414</v>
      </c>
      <c r="R241" s="146" t="s">
        <v>420</v>
      </c>
      <c r="S241" s="146" t="s">
        <v>440</v>
      </c>
      <c r="T241" s="146" t="s">
        <v>407</v>
      </c>
      <c r="U241" s="146" t="s">
        <v>400</v>
      </c>
      <c r="V241" s="146" t="s">
        <v>438</v>
      </c>
      <c r="W241" s="146" t="s">
        <v>311</v>
      </c>
      <c r="X241" s="146" t="s">
        <v>307</v>
      </c>
      <c r="Y241" s="146" t="s">
        <v>409</v>
      </c>
      <c r="Z241" s="293"/>
      <c r="AA241" s="294" t="s">
        <v>439</v>
      </c>
      <c r="AB241" s="294">
        <v>9</v>
      </c>
      <c r="AC241" s="296">
        <v>7</v>
      </c>
      <c r="AD241" s="301">
        <v>12915.07</v>
      </c>
      <c r="AE241" s="301">
        <v>84.930000000000291</v>
      </c>
      <c r="AF241" s="301"/>
      <c r="AG241" s="301">
        <v>960</v>
      </c>
      <c r="AH241" s="301"/>
      <c r="AI241" s="301"/>
      <c r="AJ241" s="301"/>
      <c r="AK241" s="301">
        <v>80</v>
      </c>
      <c r="AL241" s="301"/>
      <c r="AM241" s="301"/>
      <c r="AN241" s="301"/>
      <c r="AO241" s="301"/>
      <c r="AP241" s="301"/>
      <c r="AQ241" s="301"/>
      <c r="AR241" s="301"/>
      <c r="AS241" s="301"/>
      <c r="AT241" s="301"/>
      <c r="AU241" s="301"/>
      <c r="AV241" s="301"/>
      <c r="AW241" s="301"/>
      <c r="AX241" s="301"/>
      <c r="AY241" s="301"/>
      <c r="AZ241" s="301"/>
      <c r="BA241" s="301"/>
      <c r="BB241" s="301"/>
      <c r="BC241" s="301"/>
      <c r="BD241" s="301"/>
      <c r="BE241" s="301"/>
      <c r="BF241" s="301"/>
      <c r="BG241" s="301"/>
      <c r="BH241" s="301"/>
      <c r="BI241" s="301"/>
      <c r="BJ241" s="301"/>
      <c r="BK241" s="301"/>
      <c r="BL241" s="301"/>
      <c r="BM241" s="302"/>
      <c r="BN241" s="291">
        <f>+MAX($D$3,DATOS_[[#This Row],[Fecha Inicio Sit. Contract.]])</f>
        <v>45292</v>
      </c>
      <c r="BO241" s="291">
        <f>+MIN($D$4,DATOS_[[#This Row],[Fecha Fin Sit. Contract.]])</f>
        <v>45657</v>
      </c>
      <c r="BP241" s="292">
        <f>+DATOS_[[#This Row],[% de jornada]]*IF(DATOS_[[#This Row],[% jornada reducida]]="",1,DATOS_[[#This Row],[% jornada reducida]])</f>
        <v>1</v>
      </c>
      <c r="BQ241" s="292">
        <f>+(DATOS_[[#This Row],[F.fin.cal]]-DATOS_[[#This Row],[F.ini.cal]]+1)/($D$4-$D$3+1)</f>
        <v>1</v>
      </c>
      <c r="BR241" s="322" t="str">
        <f>IF(OR(AND(DATOS_[[#This Row],[Fecha Fin Contrato]]&lt;$D$3,DATOS_[[#This Row],[Fecha Fin Contrato]]&lt;&gt;""),DATOS_[[#This Row],[Fecha de Contratación]]&gt;$D$4),"Fuera","Dentro")</f>
        <v>Dentro</v>
      </c>
      <c r="BS241" s="322" t="str">
        <f t="array" ref="BS241">IF(MAX(IF(DATOS_[id]=DATOS_[[#This Row],[id]],DATOS_[F.fin.cal]))=DATOS_[[#This Row],[F.fin.cal]],"Sí","NO")</f>
        <v>Sí</v>
      </c>
      <c r="BT241" s="292" t="str">
        <f>IF(AND(DATOS_[[#This Row],[% normaliz]]&lt;&gt;1,DATOS_[[#This Row],[% anualiz]]=1),"Sí","NO")</f>
        <v>NO</v>
      </c>
      <c r="BU241" s="292" t="str">
        <f>IF(AND(DATOS_[[#This Row],[% normaliz]]=1,DATOS_[[#This Row],[% anualiz]]&lt;&gt;1),"Sí","NO")</f>
        <v>NO</v>
      </c>
      <c r="BV241" s="292" t="str">
        <f>IF(AND(DATOS_[[#This Row],[% normaliz]]&lt;&gt;1,DATOS_[[#This Row],[% anualiz]]&lt;&gt;1),"Sí","NO")</f>
        <v>NO</v>
      </c>
      <c r="BW241" s="322" t="str">
        <f>+IF(DATOS_[[#This Row],[% normaliz]]*DATOS_[[#This Row],[% anualiz]]=1,"NO","Sí")</f>
        <v>NO</v>
      </c>
      <c r="BX241" s="323">
        <f>(DATOS_[[#This Row],[S.BASE]]*(1/DATOS_[[#This Row],[% normaliz]])*(1/DATOS_[[#This Row],[% anualiz]]))*IF(DATOS_[[#This Row],[Check Equiparado]]="Sí",1,0)</f>
        <v>12915.07</v>
      </c>
      <c r="BY24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1" s="323">
        <f>+DATOS_[[#This Row],[SALARIO BASE Eq]]+DATOS_[[#This Row],[Tot COMPL.SAL Eq]]</f>
        <v>14040</v>
      </c>
      <c r="CA241" s="323">
        <f t="array" ref="CA2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1" s="323">
        <f>+DATOS_[[#This Row],[TOTAL SALARIO Eq]]+DATOS_[[#This Row],[Tot Extrasalarial Eq]]</f>
        <v>14040</v>
      </c>
      <c r="CC241" s="327">
        <f>DATOS_[[#This Row],[S.BASE]]</f>
        <v>12915.07</v>
      </c>
      <c r="CD241" s="324">
        <f>+SUM(DATOS_[[#This Row],[Conc.Sal.01]:[Conc.Sal.30]])</f>
        <v>1124.9300000000003</v>
      </c>
      <c r="CE241" s="324">
        <f>+DATOS_[[#This Row],[SALARIO BASE Ef]]+DATOS_[[#This Row],[Tot COMPL.SAL Ef]]</f>
        <v>14040</v>
      </c>
      <c r="CF241" s="324">
        <f>+SUM(DATOS_[[#This Row],[C.Extra.01]:[C.Extra.05]])</f>
        <v>0</v>
      </c>
      <c r="CG241" s="330">
        <f>+DATOS_[[#This Row],[TOTAL SALARIO Ef]]+DATOS_[[#This Row],[Tot Extrasalarial Ef]]</f>
        <v>14040</v>
      </c>
      <c r="CH241" s="303">
        <f>MIN(IF(DATOS_[[#This Row],[Fecha Fin Contrato]]="",$D$4,DATOS_[[#This Row],[Fecha Fin Contrato]]),$D$4)-MAX(DATOS_[[#This Row],[Fecha de Contratación]],$D$3)+1</f>
        <v>366</v>
      </c>
      <c r="CI241" s="304" t="str">
        <f>IF(COUNTIFS(DATOS_[id],DATOS_[[#This Row],[id]])&gt;1,DATOS_[[#This Row],[id]],"")</f>
        <v/>
      </c>
      <c r="CJ241" s="325">
        <f>(Inicio!$G$10-DATOS_[[#This Row],[Fecha Nacimiento]])/365.25</f>
        <v>52.05201916495551</v>
      </c>
      <c r="CK241" s="325">
        <f>(Inicio!$G$10-DATOS_[[#This Row],[Fecha de Antigüedad]])/365.25</f>
        <v>7.0362765229295006</v>
      </c>
      <c r="CL241" s="325" t="str">
        <f>+VLOOKUP(DATOS_[[#This Row],[Clave de Contrato]],TblTiposContrato13[],3,FALSE)</f>
        <v>Completa</v>
      </c>
      <c r="CM241" s="325" t="str">
        <f>+VLOOKUP(DATOS_[[#This Row],[Clave de Contrato]],TblTiposContrato13[],4,FALSE)</f>
        <v>Indefinido</v>
      </c>
      <c r="CN241" s="325" t="str">
        <f>VLOOKUP(DATOS_[[#This Row],[Edad]],CONTRATOS!TblRngEdad,2,TRUE)</f>
        <v>50 a 55</v>
      </c>
      <c r="CO241" s="325" t="str">
        <f>VLOOKUP(DATOS_[[#This Row],[Antigüedad]],TblRngAntg14[],2,TRUE)</f>
        <v>5 a 10  años</v>
      </c>
    </row>
    <row r="242" spans="2:93" x14ac:dyDescent="0.25">
      <c r="B242" s="146">
        <v>217</v>
      </c>
      <c r="C242" s="146" t="s">
        <v>163</v>
      </c>
      <c r="D242" s="295">
        <v>27010</v>
      </c>
      <c r="E242" s="296" t="s">
        <v>71</v>
      </c>
      <c r="F242" s="296">
        <v>3</v>
      </c>
      <c r="G242" s="296">
        <v>0</v>
      </c>
      <c r="H242" s="297">
        <v>43117</v>
      </c>
      <c r="I242" s="298"/>
      <c r="J242" s="295">
        <v>43117</v>
      </c>
      <c r="K242" s="326"/>
      <c r="L242" s="326"/>
      <c r="M242" s="299">
        <v>1</v>
      </c>
      <c r="N242" s="299"/>
      <c r="O242" s="299"/>
      <c r="P242" s="296">
        <v>100</v>
      </c>
      <c r="Q242" s="146" t="s">
        <v>414</v>
      </c>
      <c r="R242" s="146" t="s">
        <v>420</v>
      </c>
      <c r="S242" s="146" t="s">
        <v>440</v>
      </c>
      <c r="T242" s="146" t="s">
        <v>407</v>
      </c>
      <c r="U242" s="146" t="s">
        <v>400</v>
      </c>
      <c r="V242" s="146" t="s">
        <v>438</v>
      </c>
      <c r="W242" s="146" t="s">
        <v>311</v>
      </c>
      <c r="X242" s="146" t="s">
        <v>307</v>
      </c>
      <c r="Y242" s="146" t="s">
        <v>409</v>
      </c>
      <c r="Z242" s="293"/>
      <c r="AA242" s="294" t="s">
        <v>439</v>
      </c>
      <c r="AB242" s="294">
        <v>9</v>
      </c>
      <c r="AC242" s="296">
        <v>7</v>
      </c>
      <c r="AD242" s="301">
        <v>12915.07</v>
      </c>
      <c r="AE242" s="301">
        <v>84.930000000000291</v>
      </c>
      <c r="AF242" s="301"/>
      <c r="AG242" s="301">
        <v>960</v>
      </c>
      <c r="AH242" s="301"/>
      <c r="AI242" s="301"/>
      <c r="AJ242" s="301"/>
      <c r="AK242" s="301">
        <v>80</v>
      </c>
      <c r="AL242" s="301"/>
      <c r="AM242" s="301"/>
      <c r="AN242" s="301"/>
      <c r="AO242" s="301"/>
      <c r="AP242" s="301"/>
      <c r="AQ242" s="301"/>
      <c r="AR242" s="301"/>
      <c r="AS242" s="301"/>
      <c r="AT242" s="301"/>
      <c r="AU242" s="301"/>
      <c r="AV242" s="301"/>
      <c r="AW242" s="301"/>
      <c r="AX242" s="301"/>
      <c r="AY242" s="301"/>
      <c r="AZ242" s="301"/>
      <c r="BA242" s="301"/>
      <c r="BB242" s="301"/>
      <c r="BC242" s="301"/>
      <c r="BD242" s="301"/>
      <c r="BE242" s="301"/>
      <c r="BF242" s="301"/>
      <c r="BG242" s="301"/>
      <c r="BH242" s="301"/>
      <c r="BI242" s="301"/>
      <c r="BJ242" s="301"/>
      <c r="BK242" s="301"/>
      <c r="BL242" s="301"/>
      <c r="BM242" s="302"/>
      <c r="BN242" s="291">
        <f>+MAX($D$3,DATOS_[[#This Row],[Fecha Inicio Sit. Contract.]])</f>
        <v>45292</v>
      </c>
      <c r="BO242" s="291">
        <f>+MIN($D$4,DATOS_[[#This Row],[Fecha Fin Sit. Contract.]])</f>
        <v>45657</v>
      </c>
      <c r="BP242" s="292">
        <f>+DATOS_[[#This Row],[% de jornada]]*IF(DATOS_[[#This Row],[% jornada reducida]]="",1,DATOS_[[#This Row],[% jornada reducida]])</f>
        <v>1</v>
      </c>
      <c r="BQ242" s="292">
        <f>+(DATOS_[[#This Row],[F.fin.cal]]-DATOS_[[#This Row],[F.ini.cal]]+1)/($D$4-$D$3+1)</f>
        <v>1</v>
      </c>
      <c r="BR242" s="322" t="str">
        <f>IF(OR(AND(DATOS_[[#This Row],[Fecha Fin Contrato]]&lt;$D$3,DATOS_[[#This Row],[Fecha Fin Contrato]]&lt;&gt;""),DATOS_[[#This Row],[Fecha de Contratación]]&gt;$D$4),"Fuera","Dentro")</f>
        <v>Dentro</v>
      </c>
      <c r="BS242" s="322" t="str">
        <f t="array" ref="BS242">IF(MAX(IF(DATOS_[id]=DATOS_[[#This Row],[id]],DATOS_[F.fin.cal]))=DATOS_[[#This Row],[F.fin.cal]],"Sí","NO")</f>
        <v>Sí</v>
      </c>
      <c r="BT242" s="292" t="str">
        <f>IF(AND(DATOS_[[#This Row],[% normaliz]]&lt;&gt;1,DATOS_[[#This Row],[% anualiz]]=1),"Sí","NO")</f>
        <v>NO</v>
      </c>
      <c r="BU242" s="292" t="str">
        <f>IF(AND(DATOS_[[#This Row],[% normaliz]]=1,DATOS_[[#This Row],[% anualiz]]&lt;&gt;1),"Sí","NO")</f>
        <v>NO</v>
      </c>
      <c r="BV242" s="292" t="str">
        <f>IF(AND(DATOS_[[#This Row],[% normaliz]]&lt;&gt;1,DATOS_[[#This Row],[% anualiz]]&lt;&gt;1),"Sí","NO")</f>
        <v>NO</v>
      </c>
      <c r="BW242" s="322" t="str">
        <f>+IF(DATOS_[[#This Row],[% normaliz]]*DATOS_[[#This Row],[% anualiz]]=1,"NO","Sí")</f>
        <v>NO</v>
      </c>
      <c r="BX242" s="323">
        <f>(DATOS_[[#This Row],[S.BASE]]*(1/DATOS_[[#This Row],[% normaliz]])*(1/DATOS_[[#This Row],[% anualiz]]))*IF(DATOS_[[#This Row],[Check Equiparado]]="Sí",1,0)</f>
        <v>12915.07</v>
      </c>
      <c r="BY24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2" s="323">
        <f>+DATOS_[[#This Row],[SALARIO BASE Eq]]+DATOS_[[#This Row],[Tot COMPL.SAL Eq]]</f>
        <v>14040</v>
      </c>
      <c r="CA242" s="323">
        <f t="array" ref="CA2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2" s="323">
        <f>+DATOS_[[#This Row],[TOTAL SALARIO Eq]]+DATOS_[[#This Row],[Tot Extrasalarial Eq]]</f>
        <v>14040</v>
      </c>
      <c r="CC242" s="327">
        <f>DATOS_[[#This Row],[S.BASE]]</f>
        <v>12915.07</v>
      </c>
      <c r="CD242" s="324">
        <f>+SUM(DATOS_[[#This Row],[Conc.Sal.01]:[Conc.Sal.30]])</f>
        <v>1124.9300000000003</v>
      </c>
      <c r="CE242" s="324">
        <f>+DATOS_[[#This Row],[SALARIO BASE Ef]]+DATOS_[[#This Row],[Tot COMPL.SAL Ef]]</f>
        <v>14040</v>
      </c>
      <c r="CF242" s="324">
        <f>+SUM(DATOS_[[#This Row],[C.Extra.01]:[C.Extra.05]])</f>
        <v>0</v>
      </c>
      <c r="CG242" s="330">
        <f>+DATOS_[[#This Row],[TOTAL SALARIO Ef]]+DATOS_[[#This Row],[Tot Extrasalarial Ef]]</f>
        <v>14040</v>
      </c>
      <c r="CH242" s="303">
        <f>MIN(IF(DATOS_[[#This Row],[Fecha Fin Contrato]]="",$D$4,DATOS_[[#This Row],[Fecha Fin Contrato]]),$D$4)-MAX(DATOS_[[#This Row],[Fecha de Contratación]],$D$3)+1</f>
        <v>366</v>
      </c>
      <c r="CI242" s="304" t="str">
        <f>IF(COUNTIFS(DATOS_[id],DATOS_[[#This Row],[id]])&gt;1,DATOS_[[#This Row],[id]],"")</f>
        <v/>
      </c>
      <c r="CJ242" s="325">
        <f>(Inicio!$G$10-DATOS_[[#This Row],[Fecha Nacimiento]])/365.25</f>
        <v>51.052703627652292</v>
      </c>
      <c r="CK242" s="325">
        <f>(Inicio!$G$10-DATOS_[[#This Row],[Fecha de Antigüedad]])/365.25</f>
        <v>6.9541409993155376</v>
      </c>
      <c r="CL242" s="325" t="str">
        <f>+VLOOKUP(DATOS_[[#This Row],[Clave de Contrato]],TblTiposContrato13[],3,FALSE)</f>
        <v>Completa</v>
      </c>
      <c r="CM242" s="325" t="str">
        <f>+VLOOKUP(DATOS_[[#This Row],[Clave de Contrato]],TblTiposContrato13[],4,FALSE)</f>
        <v>Indefinido</v>
      </c>
      <c r="CN242" s="325" t="str">
        <f>VLOOKUP(DATOS_[[#This Row],[Edad]],CONTRATOS!TblRngEdad,2,TRUE)</f>
        <v>50 a 55</v>
      </c>
      <c r="CO242" s="325" t="str">
        <f>VLOOKUP(DATOS_[[#This Row],[Antigüedad]],TblRngAntg14[],2,TRUE)</f>
        <v>5 a 10  años</v>
      </c>
    </row>
    <row r="243" spans="2:93" x14ac:dyDescent="0.25">
      <c r="B243" s="146">
        <v>218</v>
      </c>
      <c r="C243" s="146" t="s">
        <v>163</v>
      </c>
      <c r="D243" s="295">
        <v>34310</v>
      </c>
      <c r="E243" s="296" t="s">
        <v>71</v>
      </c>
      <c r="F243" s="296">
        <v>3</v>
      </c>
      <c r="G243" s="296">
        <v>0</v>
      </c>
      <c r="H243" s="297">
        <v>43147</v>
      </c>
      <c r="I243" s="298"/>
      <c r="J243" s="295">
        <v>43147</v>
      </c>
      <c r="K243" s="326"/>
      <c r="L243" s="326"/>
      <c r="M243" s="299">
        <v>1</v>
      </c>
      <c r="N243" s="299"/>
      <c r="O243" s="299"/>
      <c r="P243" s="296">
        <v>100</v>
      </c>
      <c r="Q243" s="146" t="s">
        <v>414</v>
      </c>
      <c r="R243" s="146" t="s">
        <v>420</v>
      </c>
      <c r="S243" s="146" t="s">
        <v>440</v>
      </c>
      <c r="T243" s="146" t="s">
        <v>407</v>
      </c>
      <c r="U243" s="146" t="s">
        <v>400</v>
      </c>
      <c r="V243" s="146" t="s">
        <v>438</v>
      </c>
      <c r="W243" s="146" t="s">
        <v>311</v>
      </c>
      <c r="X243" s="146" t="s">
        <v>307</v>
      </c>
      <c r="Y243" s="146" t="s">
        <v>409</v>
      </c>
      <c r="Z243" s="293"/>
      <c r="AA243" s="294" t="s">
        <v>439</v>
      </c>
      <c r="AB243" s="294">
        <v>9</v>
      </c>
      <c r="AC243" s="296">
        <v>7</v>
      </c>
      <c r="AD243" s="301">
        <v>12915.07</v>
      </c>
      <c r="AE243" s="301">
        <v>84.930000000000291</v>
      </c>
      <c r="AF243" s="301"/>
      <c r="AG243" s="301">
        <v>960</v>
      </c>
      <c r="AH243" s="301"/>
      <c r="AI243" s="301"/>
      <c r="AJ243" s="301"/>
      <c r="AK243" s="301">
        <v>80</v>
      </c>
      <c r="AL243" s="301"/>
      <c r="AM243" s="301"/>
      <c r="AN243" s="301"/>
      <c r="AO243" s="301"/>
      <c r="AP243" s="301"/>
      <c r="AQ243" s="301"/>
      <c r="AR243" s="301"/>
      <c r="AS243" s="301"/>
      <c r="AT243" s="301"/>
      <c r="AU243" s="301"/>
      <c r="AV243" s="301"/>
      <c r="AW243" s="301"/>
      <c r="AX243" s="301"/>
      <c r="AY243" s="301"/>
      <c r="AZ243" s="301"/>
      <c r="BA243" s="301"/>
      <c r="BB243" s="301"/>
      <c r="BC243" s="301"/>
      <c r="BD243" s="301"/>
      <c r="BE243" s="301"/>
      <c r="BF243" s="301"/>
      <c r="BG243" s="301"/>
      <c r="BH243" s="301"/>
      <c r="BI243" s="301"/>
      <c r="BJ243" s="301"/>
      <c r="BK243" s="301"/>
      <c r="BL243" s="301"/>
      <c r="BM243" s="302"/>
      <c r="BN243" s="291">
        <f>+MAX($D$3,DATOS_[[#This Row],[Fecha Inicio Sit. Contract.]])</f>
        <v>45292</v>
      </c>
      <c r="BO243" s="291">
        <f>+MIN($D$4,DATOS_[[#This Row],[Fecha Fin Sit. Contract.]])</f>
        <v>45657</v>
      </c>
      <c r="BP243" s="292">
        <f>+DATOS_[[#This Row],[% de jornada]]*IF(DATOS_[[#This Row],[% jornada reducida]]="",1,DATOS_[[#This Row],[% jornada reducida]])</f>
        <v>1</v>
      </c>
      <c r="BQ243" s="292">
        <f>+(DATOS_[[#This Row],[F.fin.cal]]-DATOS_[[#This Row],[F.ini.cal]]+1)/($D$4-$D$3+1)</f>
        <v>1</v>
      </c>
      <c r="BR243" s="322" t="str">
        <f>IF(OR(AND(DATOS_[[#This Row],[Fecha Fin Contrato]]&lt;$D$3,DATOS_[[#This Row],[Fecha Fin Contrato]]&lt;&gt;""),DATOS_[[#This Row],[Fecha de Contratación]]&gt;$D$4),"Fuera","Dentro")</f>
        <v>Dentro</v>
      </c>
      <c r="BS243" s="322" t="str">
        <f t="array" ref="BS243">IF(MAX(IF(DATOS_[id]=DATOS_[[#This Row],[id]],DATOS_[F.fin.cal]))=DATOS_[[#This Row],[F.fin.cal]],"Sí","NO")</f>
        <v>Sí</v>
      </c>
      <c r="BT243" s="292" t="str">
        <f>IF(AND(DATOS_[[#This Row],[% normaliz]]&lt;&gt;1,DATOS_[[#This Row],[% anualiz]]=1),"Sí","NO")</f>
        <v>NO</v>
      </c>
      <c r="BU243" s="292" t="str">
        <f>IF(AND(DATOS_[[#This Row],[% normaliz]]=1,DATOS_[[#This Row],[% anualiz]]&lt;&gt;1),"Sí","NO")</f>
        <v>NO</v>
      </c>
      <c r="BV243" s="292" t="str">
        <f>IF(AND(DATOS_[[#This Row],[% normaliz]]&lt;&gt;1,DATOS_[[#This Row],[% anualiz]]&lt;&gt;1),"Sí","NO")</f>
        <v>NO</v>
      </c>
      <c r="BW243" s="322" t="str">
        <f>+IF(DATOS_[[#This Row],[% normaliz]]*DATOS_[[#This Row],[% anualiz]]=1,"NO","Sí")</f>
        <v>NO</v>
      </c>
      <c r="BX243" s="323">
        <f>(DATOS_[[#This Row],[S.BASE]]*(1/DATOS_[[#This Row],[% normaliz]])*(1/DATOS_[[#This Row],[% anualiz]]))*IF(DATOS_[[#This Row],[Check Equiparado]]="Sí",1,0)</f>
        <v>12915.07</v>
      </c>
      <c r="BY24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3" s="323">
        <f>+DATOS_[[#This Row],[SALARIO BASE Eq]]+DATOS_[[#This Row],[Tot COMPL.SAL Eq]]</f>
        <v>14040</v>
      </c>
      <c r="CA243" s="323">
        <f t="array" ref="CA2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3" s="323">
        <f>+DATOS_[[#This Row],[TOTAL SALARIO Eq]]+DATOS_[[#This Row],[Tot Extrasalarial Eq]]</f>
        <v>14040</v>
      </c>
      <c r="CC243" s="327">
        <f>DATOS_[[#This Row],[S.BASE]]</f>
        <v>12915.07</v>
      </c>
      <c r="CD243" s="324">
        <f>+SUM(DATOS_[[#This Row],[Conc.Sal.01]:[Conc.Sal.30]])</f>
        <v>1124.9300000000003</v>
      </c>
      <c r="CE243" s="324">
        <f>+DATOS_[[#This Row],[SALARIO BASE Ef]]+DATOS_[[#This Row],[Tot COMPL.SAL Ef]]</f>
        <v>14040</v>
      </c>
      <c r="CF243" s="324">
        <f>+SUM(DATOS_[[#This Row],[C.Extra.01]:[C.Extra.05]])</f>
        <v>0</v>
      </c>
      <c r="CG243" s="330">
        <f>+DATOS_[[#This Row],[TOTAL SALARIO Ef]]+DATOS_[[#This Row],[Tot Extrasalarial Ef]]</f>
        <v>14040</v>
      </c>
      <c r="CH243" s="303">
        <f>MIN(IF(DATOS_[[#This Row],[Fecha Fin Contrato]]="",$D$4,DATOS_[[#This Row],[Fecha Fin Contrato]]),$D$4)-MAX(DATOS_[[#This Row],[Fecha de Contratación]],$D$3)+1</f>
        <v>366</v>
      </c>
      <c r="CI243" s="304" t="str">
        <f>IF(COUNTIFS(DATOS_[id],DATOS_[[#This Row],[id]])&gt;1,DATOS_[[#This Row],[id]],"")</f>
        <v/>
      </c>
      <c r="CJ243" s="325">
        <f>(Inicio!$G$10-DATOS_[[#This Row],[Fecha Nacimiento]])/365.25</f>
        <v>31.066392881587955</v>
      </c>
      <c r="CK243" s="325">
        <f>(Inicio!$G$10-DATOS_[[#This Row],[Fecha de Antigüedad]])/365.25</f>
        <v>6.8720054757015738</v>
      </c>
      <c r="CL243" s="325" t="str">
        <f>+VLOOKUP(DATOS_[[#This Row],[Clave de Contrato]],TblTiposContrato13[],3,FALSE)</f>
        <v>Completa</v>
      </c>
      <c r="CM243" s="325" t="str">
        <f>+VLOOKUP(DATOS_[[#This Row],[Clave de Contrato]],TblTiposContrato13[],4,FALSE)</f>
        <v>Indefinido</v>
      </c>
      <c r="CN243" s="325" t="str">
        <f>VLOOKUP(DATOS_[[#This Row],[Edad]],CONTRATOS!TblRngEdad,2,TRUE)</f>
        <v>30 a 35</v>
      </c>
      <c r="CO243" s="325" t="str">
        <f>VLOOKUP(DATOS_[[#This Row],[Antigüedad]],TblRngAntg14[],2,TRUE)</f>
        <v>5 a 10  años</v>
      </c>
    </row>
    <row r="244" spans="2:93" x14ac:dyDescent="0.25">
      <c r="B244" s="146">
        <v>219</v>
      </c>
      <c r="C244" s="146" t="s">
        <v>163</v>
      </c>
      <c r="D244" s="295">
        <v>26645</v>
      </c>
      <c r="E244" s="296" t="s">
        <v>71</v>
      </c>
      <c r="F244" s="296">
        <v>3</v>
      </c>
      <c r="G244" s="296">
        <v>0</v>
      </c>
      <c r="H244" s="297">
        <v>43177</v>
      </c>
      <c r="I244" s="298"/>
      <c r="J244" s="295">
        <v>43177</v>
      </c>
      <c r="K244" s="326"/>
      <c r="L244" s="326"/>
      <c r="M244" s="299">
        <v>1</v>
      </c>
      <c r="N244" s="299"/>
      <c r="O244" s="299"/>
      <c r="P244" s="296">
        <v>100</v>
      </c>
      <c r="Q244" s="146" t="s">
        <v>414</v>
      </c>
      <c r="R244" s="146" t="s">
        <v>420</v>
      </c>
      <c r="S244" s="146" t="s">
        <v>440</v>
      </c>
      <c r="T244" s="146" t="s">
        <v>407</v>
      </c>
      <c r="U244" s="146" t="s">
        <v>400</v>
      </c>
      <c r="V244" s="146" t="s">
        <v>438</v>
      </c>
      <c r="W244" s="146" t="s">
        <v>311</v>
      </c>
      <c r="X244" s="146" t="s">
        <v>307</v>
      </c>
      <c r="Y244" s="146" t="s">
        <v>409</v>
      </c>
      <c r="Z244" s="293"/>
      <c r="AA244" s="294" t="s">
        <v>439</v>
      </c>
      <c r="AB244" s="294">
        <v>9</v>
      </c>
      <c r="AC244" s="296">
        <v>7</v>
      </c>
      <c r="AD244" s="301">
        <v>12915.07</v>
      </c>
      <c r="AE244" s="301">
        <v>84.930000000000291</v>
      </c>
      <c r="AF244" s="301"/>
      <c r="AG244" s="301">
        <v>960</v>
      </c>
      <c r="AH244" s="301"/>
      <c r="AI244" s="301"/>
      <c r="AJ244" s="301"/>
      <c r="AK244" s="301">
        <v>80</v>
      </c>
      <c r="AL244" s="301"/>
      <c r="AM244" s="301"/>
      <c r="AN244" s="301"/>
      <c r="AO244" s="301"/>
      <c r="AP244" s="301"/>
      <c r="AQ244" s="301"/>
      <c r="AR244" s="301"/>
      <c r="AS244" s="301"/>
      <c r="AT244" s="301"/>
      <c r="AU244" s="301"/>
      <c r="AV244" s="301"/>
      <c r="AW244" s="301"/>
      <c r="AX244" s="301"/>
      <c r="AY244" s="301"/>
      <c r="AZ244" s="301"/>
      <c r="BA244" s="301"/>
      <c r="BB244" s="301"/>
      <c r="BC244" s="301"/>
      <c r="BD244" s="301"/>
      <c r="BE244" s="301"/>
      <c r="BF244" s="301"/>
      <c r="BG244" s="301"/>
      <c r="BH244" s="301"/>
      <c r="BI244" s="301"/>
      <c r="BJ244" s="301"/>
      <c r="BK244" s="301"/>
      <c r="BL244" s="301"/>
      <c r="BM244" s="302"/>
      <c r="BN244" s="291">
        <f>+MAX($D$3,DATOS_[[#This Row],[Fecha Inicio Sit. Contract.]])</f>
        <v>45292</v>
      </c>
      <c r="BO244" s="291">
        <f>+MIN($D$4,DATOS_[[#This Row],[Fecha Fin Sit. Contract.]])</f>
        <v>45657</v>
      </c>
      <c r="BP244" s="292">
        <f>+DATOS_[[#This Row],[% de jornada]]*IF(DATOS_[[#This Row],[% jornada reducida]]="",1,DATOS_[[#This Row],[% jornada reducida]])</f>
        <v>1</v>
      </c>
      <c r="BQ244" s="292">
        <f>+(DATOS_[[#This Row],[F.fin.cal]]-DATOS_[[#This Row],[F.ini.cal]]+1)/($D$4-$D$3+1)</f>
        <v>1</v>
      </c>
      <c r="BR244" s="322" t="str">
        <f>IF(OR(AND(DATOS_[[#This Row],[Fecha Fin Contrato]]&lt;$D$3,DATOS_[[#This Row],[Fecha Fin Contrato]]&lt;&gt;""),DATOS_[[#This Row],[Fecha de Contratación]]&gt;$D$4),"Fuera","Dentro")</f>
        <v>Dentro</v>
      </c>
      <c r="BS244" s="322" t="str">
        <f t="array" ref="BS244">IF(MAX(IF(DATOS_[id]=DATOS_[[#This Row],[id]],DATOS_[F.fin.cal]))=DATOS_[[#This Row],[F.fin.cal]],"Sí","NO")</f>
        <v>Sí</v>
      </c>
      <c r="BT244" s="292" t="str">
        <f>IF(AND(DATOS_[[#This Row],[% normaliz]]&lt;&gt;1,DATOS_[[#This Row],[% anualiz]]=1),"Sí","NO")</f>
        <v>NO</v>
      </c>
      <c r="BU244" s="292" t="str">
        <f>IF(AND(DATOS_[[#This Row],[% normaliz]]=1,DATOS_[[#This Row],[% anualiz]]&lt;&gt;1),"Sí","NO")</f>
        <v>NO</v>
      </c>
      <c r="BV244" s="292" t="str">
        <f>IF(AND(DATOS_[[#This Row],[% normaliz]]&lt;&gt;1,DATOS_[[#This Row],[% anualiz]]&lt;&gt;1),"Sí","NO")</f>
        <v>NO</v>
      </c>
      <c r="BW244" s="322" t="str">
        <f>+IF(DATOS_[[#This Row],[% normaliz]]*DATOS_[[#This Row],[% anualiz]]=1,"NO","Sí")</f>
        <v>NO</v>
      </c>
      <c r="BX244" s="323">
        <f>(DATOS_[[#This Row],[S.BASE]]*(1/DATOS_[[#This Row],[% normaliz]])*(1/DATOS_[[#This Row],[% anualiz]]))*IF(DATOS_[[#This Row],[Check Equiparado]]="Sí",1,0)</f>
        <v>12915.07</v>
      </c>
      <c r="BY24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4" s="323">
        <f>+DATOS_[[#This Row],[SALARIO BASE Eq]]+DATOS_[[#This Row],[Tot COMPL.SAL Eq]]</f>
        <v>14040</v>
      </c>
      <c r="CA244" s="323">
        <f t="array" ref="CA2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4" s="323">
        <f>+DATOS_[[#This Row],[TOTAL SALARIO Eq]]+DATOS_[[#This Row],[Tot Extrasalarial Eq]]</f>
        <v>14040</v>
      </c>
      <c r="CC244" s="327">
        <f>DATOS_[[#This Row],[S.BASE]]</f>
        <v>12915.07</v>
      </c>
      <c r="CD244" s="324">
        <f>+SUM(DATOS_[[#This Row],[Conc.Sal.01]:[Conc.Sal.30]])</f>
        <v>1124.9300000000003</v>
      </c>
      <c r="CE244" s="324">
        <f>+DATOS_[[#This Row],[SALARIO BASE Ef]]+DATOS_[[#This Row],[Tot COMPL.SAL Ef]]</f>
        <v>14040</v>
      </c>
      <c r="CF244" s="324">
        <f>+SUM(DATOS_[[#This Row],[C.Extra.01]:[C.Extra.05]])</f>
        <v>0</v>
      </c>
      <c r="CG244" s="330">
        <f>+DATOS_[[#This Row],[TOTAL SALARIO Ef]]+DATOS_[[#This Row],[Tot Extrasalarial Ef]]</f>
        <v>14040</v>
      </c>
      <c r="CH244" s="303">
        <f>MIN(IF(DATOS_[[#This Row],[Fecha Fin Contrato]]="",$D$4,DATOS_[[#This Row],[Fecha Fin Contrato]]),$D$4)-MAX(DATOS_[[#This Row],[Fecha de Contratación]],$D$3)+1</f>
        <v>366</v>
      </c>
      <c r="CI244" s="304" t="str">
        <f>IF(COUNTIFS(DATOS_[id],DATOS_[[#This Row],[id]])&gt;1,DATOS_[[#This Row],[id]],"")</f>
        <v/>
      </c>
      <c r="CJ244" s="325">
        <f>(Inicio!$G$10-DATOS_[[#This Row],[Fecha Nacimiento]])/365.25</f>
        <v>52.05201916495551</v>
      </c>
      <c r="CK244" s="325">
        <f>(Inicio!$G$10-DATOS_[[#This Row],[Fecha de Antigüedad]])/365.25</f>
        <v>6.7898699520876109</v>
      </c>
      <c r="CL244" s="325" t="str">
        <f>+VLOOKUP(DATOS_[[#This Row],[Clave de Contrato]],TblTiposContrato13[],3,FALSE)</f>
        <v>Completa</v>
      </c>
      <c r="CM244" s="325" t="str">
        <f>+VLOOKUP(DATOS_[[#This Row],[Clave de Contrato]],TblTiposContrato13[],4,FALSE)</f>
        <v>Indefinido</v>
      </c>
      <c r="CN244" s="325" t="str">
        <f>VLOOKUP(DATOS_[[#This Row],[Edad]],CONTRATOS!TblRngEdad,2,TRUE)</f>
        <v>50 a 55</v>
      </c>
      <c r="CO244" s="325" t="str">
        <f>VLOOKUP(DATOS_[[#This Row],[Antigüedad]],TblRngAntg14[],2,TRUE)</f>
        <v>5 a 10  años</v>
      </c>
    </row>
    <row r="245" spans="2:93" x14ac:dyDescent="0.25">
      <c r="B245" s="146">
        <v>220</v>
      </c>
      <c r="C245" s="146" t="s">
        <v>163</v>
      </c>
      <c r="D245" s="295">
        <v>28105</v>
      </c>
      <c r="E245" s="296" t="s">
        <v>71</v>
      </c>
      <c r="F245" s="296">
        <v>3</v>
      </c>
      <c r="G245" s="296">
        <v>0</v>
      </c>
      <c r="H245" s="297">
        <v>43207</v>
      </c>
      <c r="I245" s="298"/>
      <c r="J245" s="295">
        <v>43207</v>
      </c>
      <c r="K245" s="326"/>
      <c r="L245" s="326"/>
      <c r="M245" s="299">
        <v>1</v>
      </c>
      <c r="N245" s="299"/>
      <c r="O245" s="299"/>
      <c r="P245" s="296">
        <v>100</v>
      </c>
      <c r="Q245" s="146" t="s">
        <v>414</v>
      </c>
      <c r="R245" s="146" t="s">
        <v>420</v>
      </c>
      <c r="S245" s="146" t="s">
        <v>440</v>
      </c>
      <c r="T245" s="146" t="s">
        <v>407</v>
      </c>
      <c r="U245" s="146" t="s">
        <v>400</v>
      </c>
      <c r="V245" s="146" t="s">
        <v>438</v>
      </c>
      <c r="W245" s="146" t="s">
        <v>311</v>
      </c>
      <c r="X245" s="146" t="s">
        <v>307</v>
      </c>
      <c r="Y245" s="146" t="s">
        <v>409</v>
      </c>
      <c r="Z245" s="293"/>
      <c r="AA245" s="294" t="s">
        <v>439</v>
      </c>
      <c r="AB245" s="294">
        <v>9</v>
      </c>
      <c r="AC245" s="296">
        <v>7</v>
      </c>
      <c r="AD245" s="301">
        <v>12915.07</v>
      </c>
      <c r="AE245" s="301">
        <v>84.930000000000291</v>
      </c>
      <c r="AF245" s="301"/>
      <c r="AG245" s="301">
        <v>960</v>
      </c>
      <c r="AH245" s="301"/>
      <c r="AI245" s="301"/>
      <c r="AJ245" s="301"/>
      <c r="AK245" s="301">
        <v>80</v>
      </c>
      <c r="AL245" s="301"/>
      <c r="AM245" s="301"/>
      <c r="AN245" s="301"/>
      <c r="AO245" s="301"/>
      <c r="AP245" s="301"/>
      <c r="AQ245" s="301"/>
      <c r="AR245" s="301"/>
      <c r="AS245" s="301"/>
      <c r="AT245" s="301"/>
      <c r="AU245" s="301"/>
      <c r="AV245" s="301"/>
      <c r="AW245" s="301"/>
      <c r="AX245" s="301"/>
      <c r="AY245" s="301"/>
      <c r="AZ245" s="301"/>
      <c r="BA245" s="301"/>
      <c r="BB245" s="301"/>
      <c r="BC245" s="301"/>
      <c r="BD245" s="301"/>
      <c r="BE245" s="301"/>
      <c r="BF245" s="301"/>
      <c r="BG245" s="301"/>
      <c r="BH245" s="301"/>
      <c r="BI245" s="301"/>
      <c r="BJ245" s="301"/>
      <c r="BK245" s="301"/>
      <c r="BL245" s="301"/>
      <c r="BM245" s="302"/>
      <c r="BN245" s="291">
        <f>+MAX($D$3,DATOS_[[#This Row],[Fecha Inicio Sit. Contract.]])</f>
        <v>45292</v>
      </c>
      <c r="BO245" s="291">
        <f>+MIN($D$4,DATOS_[[#This Row],[Fecha Fin Sit. Contract.]])</f>
        <v>45657</v>
      </c>
      <c r="BP245" s="292">
        <f>+DATOS_[[#This Row],[% de jornada]]*IF(DATOS_[[#This Row],[% jornada reducida]]="",1,DATOS_[[#This Row],[% jornada reducida]])</f>
        <v>1</v>
      </c>
      <c r="BQ245" s="292">
        <f>+(DATOS_[[#This Row],[F.fin.cal]]-DATOS_[[#This Row],[F.ini.cal]]+1)/($D$4-$D$3+1)</f>
        <v>1</v>
      </c>
      <c r="BR245" s="322" t="str">
        <f>IF(OR(AND(DATOS_[[#This Row],[Fecha Fin Contrato]]&lt;$D$3,DATOS_[[#This Row],[Fecha Fin Contrato]]&lt;&gt;""),DATOS_[[#This Row],[Fecha de Contratación]]&gt;$D$4),"Fuera","Dentro")</f>
        <v>Dentro</v>
      </c>
      <c r="BS245" s="322" t="str">
        <f t="array" ref="BS245">IF(MAX(IF(DATOS_[id]=DATOS_[[#This Row],[id]],DATOS_[F.fin.cal]))=DATOS_[[#This Row],[F.fin.cal]],"Sí","NO")</f>
        <v>Sí</v>
      </c>
      <c r="BT245" s="292" t="str">
        <f>IF(AND(DATOS_[[#This Row],[% normaliz]]&lt;&gt;1,DATOS_[[#This Row],[% anualiz]]=1),"Sí","NO")</f>
        <v>NO</v>
      </c>
      <c r="BU245" s="292" t="str">
        <f>IF(AND(DATOS_[[#This Row],[% normaliz]]=1,DATOS_[[#This Row],[% anualiz]]&lt;&gt;1),"Sí","NO")</f>
        <v>NO</v>
      </c>
      <c r="BV245" s="292" t="str">
        <f>IF(AND(DATOS_[[#This Row],[% normaliz]]&lt;&gt;1,DATOS_[[#This Row],[% anualiz]]&lt;&gt;1),"Sí","NO")</f>
        <v>NO</v>
      </c>
      <c r="BW245" s="322" t="str">
        <f>+IF(DATOS_[[#This Row],[% normaliz]]*DATOS_[[#This Row],[% anualiz]]=1,"NO","Sí")</f>
        <v>NO</v>
      </c>
      <c r="BX245" s="323">
        <f>(DATOS_[[#This Row],[S.BASE]]*(1/DATOS_[[#This Row],[% normaliz]])*(1/DATOS_[[#This Row],[% anualiz]]))*IF(DATOS_[[#This Row],[Check Equiparado]]="Sí",1,0)</f>
        <v>12915.07</v>
      </c>
      <c r="BY24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5" s="323">
        <f>+DATOS_[[#This Row],[SALARIO BASE Eq]]+DATOS_[[#This Row],[Tot COMPL.SAL Eq]]</f>
        <v>14040</v>
      </c>
      <c r="CA245" s="323">
        <f t="array" ref="CA2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5" s="323">
        <f>+DATOS_[[#This Row],[TOTAL SALARIO Eq]]+DATOS_[[#This Row],[Tot Extrasalarial Eq]]</f>
        <v>14040</v>
      </c>
      <c r="CC245" s="327">
        <f>DATOS_[[#This Row],[S.BASE]]</f>
        <v>12915.07</v>
      </c>
      <c r="CD245" s="324">
        <f>+SUM(DATOS_[[#This Row],[Conc.Sal.01]:[Conc.Sal.30]])</f>
        <v>1124.9300000000003</v>
      </c>
      <c r="CE245" s="324">
        <f>+DATOS_[[#This Row],[SALARIO BASE Ef]]+DATOS_[[#This Row],[Tot COMPL.SAL Ef]]</f>
        <v>14040</v>
      </c>
      <c r="CF245" s="324">
        <f>+SUM(DATOS_[[#This Row],[C.Extra.01]:[C.Extra.05]])</f>
        <v>0</v>
      </c>
      <c r="CG245" s="330">
        <f>+DATOS_[[#This Row],[TOTAL SALARIO Ef]]+DATOS_[[#This Row],[Tot Extrasalarial Ef]]</f>
        <v>14040</v>
      </c>
      <c r="CH245" s="303">
        <f>MIN(IF(DATOS_[[#This Row],[Fecha Fin Contrato]]="",$D$4,DATOS_[[#This Row],[Fecha Fin Contrato]]),$D$4)-MAX(DATOS_[[#This Row],[Fecha de Contratación]],$D$3)+1</f>
        <v>366</v>
      </c>
      <c r="CI245" s="304" t="str">
        <f>IF(COUNTIFS(DATOS_[id],DATOS_[[#This Row],[id]])&gt;1,DATOS_[[#This Row],[id]],"")</f>
        <v/>
      </c>
      <c r="CJ245" s="325">
        <f>(Inicio!$G$10-DATOS_[[#This Row],[Fecha Nacimiento]])/365.25</f>
        <v>48.054757015742645</v>
      </c>
      <c r="CK245" s="325">
        <f>(Inicio!$G$10-DATOS_[[#This Row],[Fecha de Antigüedad]])/365.25</f>
        <v>6.707734428473648</v>
      </c>
      <c r="CL245" s="325" t="str">
        <f>+VLOOKUP(DATOS_[[#This Row],[Clave de Contrato]],TblTiposContrato13[],3,FALSE)</f>
        <v>Completa</v>
      </c>
      <c r="CM245" s="325" t="str">
        <f>+VLOOKUP(DATOS_[[#This Row],[Clave de Contrato]],TblTiposContrato13[],4,FALSE)</f>
        <v>Indefinido</v>
      </c>
      <c r="CN245" s="325" t="str">
        <f>VLOOKUP(DATOS_[[#This Row],[Edad]],CONTRATOS!TblRngEdad,2,TRUE)</f>
        <v>45 a 50</v>
      </c>
      <c r="CO245" s="325" t="str">
        <f>VLOOKUP(DATOS_[[#This Row],[Antigüedad]],TblRngAntg14[],2,TRUE)</f>
        <v>5 a 10  años</v>
      </c>
    </row>
    <row r="246" spans="2:93" x14ac:dyDescent="0.25">
      <c r="B246" s="146">
        <v>221</v>
      </c>
      <c r="C246" s="146" t="s">
        <v>163</v>
      </c>
      <c r="D246" s="295">
        <v>27740</v>
      </c>
      <c r="E246" s="296" t="s">
        <v>71</v>
      </c>
      <c r="F246" s="296">
        <v>3</v>
      </c>
      <c r="G246" s="296">
        <v>0</v>
      </c>
      <c r="H246" s="297">
        <v>44044</v>
      </c>
      <c r="I246" s="298">
        <v>44165</v>
      </c>
      <c r="J246" s="295">
        <v>44044</v>
      </c>
      <c r="K246" s="326">
        <v>44044</v>
      </c>
      <c r="L246" s="326">
        <v>44165</v>
      </c>
      <c r="M246" s="299">
        <v>1</v>
      </c>
      <c r="N246" s="299"/>
      <c r="O246" s="299"/>
      <c r="P246" s="296">
        <v>401</v>
      </c>
      <c r="Q246" s="146" t="s">
        <v>414</v>
      </c>
      <c r="R246" s="146" t="s">
        <v>420</v>
      </c>
      <c r="S246" s="146" t="s">
        <v>440</v>
      </c>
      <c r="T246" s="146" t="s">
        <v>407</v>
      </c>
      <c r="U246" s="146" t="s">
        <v>400</v>
      </c>
      <c r="V246" s="146" t="s">
        <v>438</v>
      </c>
      <c r="W246" s="146" t="s">
        <v>311</v>
      </c>
      <c r="X246" s="146" t="s">
        <v>307</v>
      </c>
      <c r="Y246" s="146" t="s">
        <v>409</v>
      </c>
      <c r="Z246" s="293"/>
      <c r="AA246" s="294" t="s">
        <v>439</v>
      </c>
      <c r="AB246" s="294">
        <v>9</v>
      </c>
      <c r="AC246" s="296">
        <v>7</v>
      </c>
      <c r="AD246" s="301">
        <v>4305</v>
      </c>
      <c r="AE246" s="301">
        <v>28</v>
      </c>
      <c r="AF246" s="301"/>
      <c r="AG246" s="301">
        <v>320</v>
      </c>
      <c r="AH246" s="301"/>
      <c r="AI246" s="301"/>
      <c r="AJ246" s="301"/>
      <c r="AK246" s="301"/>
      <c r="AL246" s="301"/>
      <c r="AM246" s="301"/>
      <c r="AN246" s="301"/>
      <c r="AO246" s="301"/>
      <c r="AP246" s="301"/>
      <c r="AQ246" s="301"/>
      <c r="AR246" s="301"/>
      <c r="AS246" s="301"/>
      <c r="AT246" s="301"/>
      <c r="AU246" s="301"/>
      <c r="AV246" s="301"/>
      <c r="AW246" s="301"/>
      <c r="AX246" s="301"/>
      <c r="AY246" s="301"/>
      <c r="AZ246" s="301"/>
      <c r="BA246" s="301"/>
      <c r="BB246" s="301"/>
      <c r="BC246" s="301"/>
      <c r="BD246" s="301"/>
      <c r="BE246" s="301"/>
      <c r="BF246" s="301"/>
      <c r="BG246" s="301"/>
      <c r="BH246" s="301"/>
      <c r="BI246" s="301"/>
      <c r="BJ246" s="301">
        <v>143</v>
      </c>
      <c r="BK246" s="301"/>
      <c r="BL246" s="301"/>
      <c r="BM246" s="302"/>
      <c r="BN246" s="291">
        <f>+MAX($D$3,DATOS_[[#This Row],[Fecha Inicio Sit. Contract.]])</f>
        <v>45292</v>
      </c>
      <c r="BO246" s="291">
        <f>+MIN($D$4,DATOS_[[#This Row],[Fecha Fin Sit. Contract.]])</f>
        <v>44165</v>
      </c>
      <c r="BP246" s="292">
        <f>+DATOS_[[#This Row],[% de jornada]]*IF(DATOS_[[#This Row],[% jornada reducida]]="",1,DATOS_[[#This Row],[% jornada reducida]])</f>
        <v>1</v>
      </c>
      <c r="BQ246" s="292">
        <f>+(DATOS_[[#This Row],[F.fin.cal]]-DATOS_[[#This Row],[F.ini.cal]]+1)/($D$4-$D$3+1)</f>
        <v>-3.0765027322404372</v>
      </c>
      <c r="BR246" s="322" t="str">
        <f>IF(OR(AND(DATOS_[[#This Row],[Fecha Fin Contrato]]&lt;$D$3,DATOS_[[#This Row],[Fecha Fin Contrato]]&lt;&gt;""),DATOS_[[#This Row],[Fecha de Contratación]]&gt;$D$4),"Fuera","Dentro")</f>
        <v>Fuera</v>
      </c>
      <c r="BS246" s="322" t="str">
        <f t="array" ref="BS246">IF(MAX(IF(DATOS_[id]=DATOS_[[#This Row],[id]],DATOS_[F.fin.cal]))=DATOS_[[#This Row],[F.fin.cal]],"Sí","NO")</f>
        <v>Sí</v>
      </c>
      <c r="BT246" s="292" t="str">
        <f>IF(AND(DATOS_[[#This Row],[% normaliz]]&lt;&gt;1,DATOS_[[#This Row],[% anualiz]]=1),"Sí","NO")</f>
        <v>NO</v>
      </c>
      <c r="BU246" s="292" t="str">
        <f>IF(AND(DATOS_[[#This Row],[% normaliz]]=1,DATOS_[[#This Row],[% anualiz]]&lt;&gt;1),"Sí","NO")</f>
        <v>Sí</v>
      </c>
      <c r="BV246" s="292" t="str">
        <f>IF(AND(DATOS_[[#This Row],[% normaliz]]&lt;&gt;1,DATOS_[[#This Row],[% anualiz]]&lt;&gt;1),"Sí","NO")</f>
        <v>NO</v>
      </c>
      <c r="BW246" s="322" t="str">
        <f>+IF(DATOS_[[#This Row],[% normaliz]]*DATOS_[[#This Row],[% anualiz]]=1,"NO","Sí")</f>
        <v>Sí</v>
      </c>
      <c r="BX246" s="323">
        <f>(DATOS_[[#This Row],[S.BASE]]*(1/DATOS_[[#This Row],[% normaliz]])*(1/DATOS_[[#This Row],[% anualiz]]))*IF(DATOS_[[#This Row],[Check Equiparado]]="Sí",1,0)</f>
        <v>-1399.3161634103019</v>
      </c>
      <c r="BY24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-113.11545293072824</v>
      </c>
      <c r="BZ246" s="323">
        <f>+DATOS_[[#This Row],[SALARIO BASE Eq]]+DATOS_[[#This Row],[Tot COMPL.SAL Eq]]</f>
        <v>-1512.4316163410301</v>
      </c>
      <c r="CA246" s="323">
        <f t="array" ref="CA2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46" s="323">
        <f>+DATOS_[[#This Row],[TOTAL SALARIO Eq]]+DATOS_[[#This Row],[Tot Extrasalarial Eq]]</f>
        <v>-1369.4316163410301</v>
      </c>
      <c r="CC246" s="327">
        <f>DATOS_[[#This Row],[S.BASE]]</f>
        <v>4305</v>
      </c>
      <c r="CD246" s="324">
        <f>+SUM(DATOS_[[#This Row],[Conc.Sal.01]:[Conc.Sal.30]])</f>
        <v>348</v>
      </c>
      <c r="CE246" s="324">
        <f>+DATOS_[[#This Row],[SALARIO BASE Ef]]+DATOS_[[#This Row],[Tot COMPL.SAL Ef]]</f>
        <v>4653</v>
      </c>
      <c r="CF246" s="324">
        <f>+SUM(DATOS_[[#This Row],[C.Extra.01]:[C.Extra.05]])</f>
        <v>143</v>
      </c>
      <c r="CG246" s="330">
        <f>+DATOS_[[#This Row],[TOTAL SALARIO Ef]]+DATOS_[[#This Row],[Tot Extrasalarial Ef]]</f>
        <v>4796</v>
      </c>
      <c r="CH246" s="303">
        <f>MIN(IF(DATOS_[[#This Row],[Fecha Fin Contrato]]="",$D$4,DATOS_[[#This Row],[Fecha Fin Contrato]]),$D$4)-MAX(DATOS_[[#This Row],[Fecha de Contratación]],$D$3)+1</f>
        <v>-1126</v>
      </c>
      <c r="CI246" s="304" t="str">
        <f>IF(COUNTIFS(DATOS_[id],DATOS_[[#This Row],[id]])&gt;1,DATOS_[[#This Row],[id]],"")</f>
        <v/>
      </c>
      <c r="CJ246" s="325">
        <f>(Inicio!$G$10-DATOS_[[#This Row],[Fecha Nacimiento]])/365.25</f>
        <v>49.054072553045856</v>
      </c>
      <c r="CK246" s="325">
        <f>(Inicio!$G$10-DATOS_[[#This Row],[Fecha de Antigüedad]])/365.25</f>
        <v>4.4161533196440796</v>
      </c>
      <c r="CL246" s="325" t="str">
        <f>+VLOOKUP(DATOS_[[#This Row],[Clave de Contrato]],TblTiposContrato13[],3,FALSE)</f>
        <v>Completa</v>
      </c>
      <c r="CM246" s="325" t="str">
        <f>+VLOOKUP(DATOS_[[#This Row],[Clave de Contrato]],TblTiposContrato13[],4,FALSE)</f>
        <v>Temporal</v>
      </c>
      <c r="CN246" s="325" t="str">
        <f>VLOOKUP(DATOS_[[#This Row],[Edad]],CONTRATOS!TblRngEdad,2,TRUE)</f>
        <v>45 a 50</v>
      </c>
      <c r="CO246" s="325" t="str">
        <f>VLOOKUP(DATOS_[[#This Row],[Antigüedad]],TblRngAntg14[],2,TRUE)</f>
        <v>3 a 5  años</v>
      </c>
    </row>
    <row r="247" spans="2:93" x14ac:dyDescent="0.25">
      <c r="B247" s="146">
        <v>222</v>
      </c>
      <c r="C247" s="146" t="s">
        <v>163</v>
      </c>
      <c r="D247" s="295">
        <v>35770</v>
      </c>
      <c r="E247" s="296" t="s">
        <v>71</v>
      </c>
      <c r="F247" s="296">
        <v>3</v>
      </c>
      <c r="G247" s="296">
        <v>0</v>
      </c>
      <c r="H247" s="297">
        <v>43952</v>
      </c>
      <c r="I247" s="298">
        <v>44104</v>
      </c>
      <c r="J247" s="295">
        <v>43952</v>
      </c>
      <c r="K247" s="326">
        <v>43952</v>
      </c>
      <c r="L247" s="326">
        <v>44104</v>
      </c>
      <c r="M247" s="299">
        <v>1</v>
      </c>
      <c r="N247" s="299"/>
      <c r="O247" s="299"/>
      <c r="P247" s="296">
        <v>401</v>
      </c>
      <c r="Q247" s="146" t="s">
        <v>414</v>
      </c>
      <c r="R247" s="146" t="s">
        <v>420</v>
      </c>
      <c r="S247" s="146" t="s">
        <v>440</v>
      </c>
      <c r="T247" s="146" t="s">
        <v>407</v>
      </c>
      <c r="U247" s="146" t="s">
        <v>399</v>
      </c>
      <c r="V247" s="146" t="s">
        <v>438</v>
      </c>
      <c r="W247" s="146" t="s">
        <v>311</v>
      </c>
      <c r="X247" s="146" t="s">
        <v>307</v>
      </c>
      <c r="Y247" s="146" t="s">
        <v>409</v>
      </c>
      <c r="Z247" s="293"/>
      <c r="AA247" s="294" t="s">
        <v>439</v>
      </c>
      <c r="AB247" s="294">
        <v>9</v>
      </c>
      <c r="AC247" s="296">
        <v>7</v>
      </c>
      <c r="AD247" s="301">
        <v>5381</v>
      </c>
      <c r="AE247" s="301">
        <v>35</v>
      </c>
      <c r="AF247" s="301"/>
      <c r="AG247" s="301">
        <v>400</v>
      </c>
      <c r="AH247" s="301"/>
      <c r="AI247" s="301"/>
      <c r="AJ247" s="301"/>
      <c r="AK247" s="301"/>
      <c r="AL247" s="301"/>
      <c r="AM247" s="301"/>
      <c r="AN247" s="301"/>
      <c r="AO247" s="301"/>
      <c r="AP247" s="301"/>
      <c r="AQ247" s="301"/>
      <c r="AR247" s="301"/>
      <c r="AS247" s="301"/>
      <c r="AT247" s="301"/>
      <c r="AU247" s="301"/>
      <c r="AV247" s="301"/>
      <c r="AW247" s="301"/>
      <c r="AX247" s="301"/>
      <c r="AY247" s="301"/>
      <c r="AZ247" s="301"/>
      <c r="BA247" s="301"/>
      <c r="BB247" s="301"/>
      <c r="BC247" s="301"/>
      <c r="BD247" s="301"/>
      <c r="BE247" s="301"/>
      <c r="BF247" s="301"/>
      <c r="BG247" s="301"/>
      <c r="BH247" s="301"/>
      <c r="BI247" s="301"/>
      <c r="BJ247" s="301">
        <v>179</v>
      </c>
      <c r="BK247" s="301"/>
      <c r="BL247" s="301"/>
      <c r="BM247" s="302"/>
      <c r="BN247" s="291">
        <f>+MAX($D$3,DATOS_[[#This Row],[Fecha Inicio Sit. Contract.]])</f>
        <v>45292</v>
      </c>
      <c r="BO247" s="291">
        <f>+MIN($D$4,DATOS_[[#This Row],[Fecha Fin Sit. Contract.]])</f>
        <v>44104</v>
      </c>
      <c r="BP247" s="292">
        <f>+DATOS_[[#This Row],[% de jornada]]*IF(DATOS_[[#This Row],[% jornada reducida]]="",1,DATOS_[[#This Row],[% jornada reducida]])</f>
        <v>1</v>
      </c>
      <c r="BQ247" s="292">
        <f>+(DATOS_[[#This Row],[F.fin.cal]]-DATOS_[[#This Row],[F.ini.cal]]+1)/($D$4-$D$3+1)</f>
        <v>-3.2431693989071038</v>
      </c>
      <c r="BR247" s="322" t="str">
        <f>IF(OR(AND(DATOS_[[#This Row],[Fecha Fin Contrato]]&lt;$D$3,DATOS_[[#This Row],[Fecha Fin Contrato]]&lt;&gt;""),DATOS_[[#This Row],[Fecha de Contratación]]&gt;$D$4),"Fuera","Dentro")</f>
        <v>Fuera</v>
      </c>
      <c r="BS247" s="322" t="str">
        <f t="array" ref="BS247">IF(MAX(IF(DATOS_[id]=DATOS_[[#This Row],[id]],DATOS_[F.fin.cal]))=DATOS_[[#This Row],[F.fin.cal]],"Sí","NO")</f>
        <v>Sí</v>
      </c>
      <c r="BT247" s="292" t="str">
        <f>IF(AND(DATOS_[[#This Row],[% normaliz]]&lt;&gt;1,DATOS_[[#This Row],[% anualiz]]=1),"Sí","NO")</f>
        <v>NO</v>
      </c>
      <c r="BU247" s="292" t="str">
        <f>IF(AND(DATOS_[[#This Row],[% normaliz]]=1,DATOS_[[#This Row],[% anualiz]]&lt;&gt;1),"Sí","NO")</f>
        <v>Sí</v>
      </c>
      <c r="BV247" s="292" t="str">
        <f>IF(AND(DATOS_[[#This Row],[% normaliz]]&lt;&gt;1,DATOS_[[#This Row],[% anualiz]]&lt;&gt;1),"Sí","NO")</f>
        <v>NO</v>
      </c>
      <c r="BW247" s="322" t="str">
        <f>+IF(DATOS_[[#This Row],[% normaliz]]*DATOS_[[#This Row],[% anualiz]]=1,"NO","Sí")</f>
        <v>Sí</v>
      </c>
      <c r="BX247" s="323">
        <f>(DATOS_[[#This Row],[S.BASE]]*(1/DATOS_[[#This Row],[% normaliz]])*(1/DATOS_[[#This Row],[% anualiz]]))*IF(DATOS_[[#This Row],[Check Equiparado]]="Sí",1,0)</f>
        <v>-1659.179443976411</v>
      </c>
      <c r="BY24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-134.12805391743893</v>
      </c>
      <c r="BZ247" s="323">
        <f>+DATOS_[[#This Row],[SALARIO BASE Eq]]+DATOS_[[#This Row],[Tot COMPL.SAL Eq]]</f>
        <v>-1793.3074978938498</v>
      </c>
      <c r="CA247" s="323">
        <f t="array" ref="CA2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247" s="323">
        <f>+DATOS_[[#This Row],[TOTAL SALARIO Eq]]+DATOS_[[#This Row],[Tot Extrasalarial Eq]]</f>
        <v>-1614.3074978938498</v>
      </c>
      <c r="CC247" s="327">
        <f>DATOS_[[#This Row],[S.BASE]]</f>
        <v>5381</v>
      </c>
      <c r="CD247" s="324">
        <f>+SUM(DATOS_[[#This Row],[Conc.Sal.01]:[Conc.Sal.30]])</f>
        <v>435</v>
      </c>
      <c r="CE247" s="324">
        <f>+DATOS_[[#This Row],[SALARIO BASE Ef]]+DATOS_[[#This Row],[Tot COMPL.SAL Ef]]</f>
        <v>5816</v>
      </c>
      <c r="CF247" s="324">
        <f>+SUM(DATOS_[[#This Row],[C.Extra.01]:[C.Extra.05]])</f>
        <v>179</v>
      </c>
      <c r="CG247" s="330">
        <f>+DATOS_[[#This Row],[TOTAL SALARIO Ef]]+DATOS_[[#This Row],[Tot Extrasalarial Ef]]</f>
        <v>5995</v>
      </c>
      <c r="CH247" s="303">
        <f>MIN(IF(DATOS_[[#This Row],[Fecha Fin Contrato]]="",$D$4,DATOS_[[#This Row],[Fecha Fin Contrato]]),$D$4)-MAX(DATOS_[[#This Row],[Fecha de Contratación]],$D$3)+1</f>
        <v>-1187</v>
      </c>
      <c r="CI247" s="304" t="str">
        <f>IF(COUNTIFS(DATOS_[id],DATOS_[[#This Row],[id]])&gt;1,DATOS_[[#This Row],[id]],"")</f>
        <v/>
      </c>
      <c r="CJ247" s="325">
        <f>(Inicio!$G$10-DATOS_[[#This Row],[Fecha Nacimiento]])/365.25</f>
        <v>27.069130732375086</v>
      </c>
      <c r="CK247" s="325">
        <f>(Inicio!$G$10-DATOS_[[#This Row],[Fecha de Antigüedad]])/365.25</f>
        <v>4.6680355920602326</v>
      </c>
      <c r="CL247" s="325" t="str">
        <f>+VLOOKUP(DATOS_[[#This Row],[Clave de Contrato]],TblTiposContrato13[],3,FALSE)</f>
        <v>Completa</v>
      </c>
      <c r="CM247" s="325" t="str">
        <f>+VLOOKUP(DATOS_[[#This Row],[Clave de Contrato]],TblTiposContrato13[],4,FALSE)</f>
        <v>Temporal</v>
      </c>
      <c r="CN247" s="325" t="str">
        <f>VLOOKUP(DATOS_[[#This Row],[Edad]],CONTRATOS!TblRngEdad,2,TRUE)</f>
        <v>25 a 30</v>
      </c>
      <c r="CO247" s="325" t="str">
        <f>VLOOKUP(DATOS_[[#This Row],[Antigüedad]],TblRngAntg14[],2,TRUE)</f>
        <v>3 a 5  años</v>
      </c>
    </row>
    <row r="248" spans="2:93" x14ac:dyDescent="0.25">
      <c r="B248" s="146">
        <v>223</v>
      </c>
      <c r="C248" s="146" t="s">
        <v>163</v>
      </c>
      <c r="D248" s="295">
        <v>32850</v>
      </c>
      <c r="E248" s="296" t="s">
        <v>71</v>
      </c>
      <c r="F248" s="296">
        <v>3</v>
      </c>
      <c r="G248" s="296">
        <v>0</v>
      </c>
      <c r="H248" s="297">
        <v>43891</v>
      </c>
      <c r="I248" s="298">
        <v>44012</v>
      </c>
      <c r="J248" s="295">
        <v>43891</v>
      </c>
      <c r="K248" s="326">
        <v>43891</v>
      </c>
      <c r="L248" s="326">
        <v>44012</v>
      </c>
      <c r="M248" s="299">
        <v>1</v>
      </c>
      <c r="N248" s="299"/>
      <c r="O248" s="299"/>
      <c r="P248" s="296">
        <v>401</v>
      </c>
      <c r="Q248" s="146" t="s">
        <v>414</v>
      </c>
      <c r="R248" s="146" t="s">
        <v>420</v>
      </c>
      <c r="S248" s="146" t="s">
        <v>440</v>
      </c>
      <c r="T248" s="146" t="s">
        <v>407</v>
      </c>
      <c r="U248" s="146" t="s">
        <v>399</v>
      </c>
      <c r="V248" s="146" t="s">
        <v>438</v>
      </c>
      <c r="W248" s="146" t="s">
        <v>311</v>
      </c>
      <c r="X248" s="146" t="s">
        <v>307</v>
      </c>
      <c r="Y248" s="146" t="s">
        <v>409</v>
      </c>
      <c r="Z248" s="293"/>
      <c r="AA248" s="294" t="s">
        <v>439</v>
      </c>
      <c r="AB248" s="294">
        <v>9</v>
      </c>
      <c r="AC248" s="296">
        <v>7</v>
      </c>
      <c r="AD248" s="301">
        <v>4305</v>
      </c>
      <c r="AE248" s="301">
        <v>28</v>
      </c>
      <c r="AF248" s="301"/>
      <c r="AG248" s="301">
        <v>320</v>
      </c>
      <c r="AH248" s="301"/>
      <c r="AI248" s="301"/>
      <c r="AJ248" s="301"/>
      <c r="AK248" s="301"/>
      <c r="AL248" s="301"/>
      <c r="AM248" s="301"/>
      <c r="AN248" s="301"/>
      <c r="AO248" s="301"/>
      <c r="AP248" s="301"/>
      <c r="AQ248" s="301"/>
      <c r="AR248" s="301"/>
      <c r="AS248" s="301"/>
      <c r="AT248" s="301"/>
      <c r="AU248" s="301"/>
      <c r="AV248" s="301"/>
      <c r="AW248" s="301"/>
      <c r="AX248" s="301"/>
      <c r="AY248" s="301"/>
      <c r="AZ248" s="301"/>
      <c r="BA248" s="301"/>
      <c r="BB248" s="301"/>
      <c r="BC248" s="301"/>
      <c r="BD248" s="301"/>
      <c r="BE248" s="301"/>
      <c r="BF248" s="301"/>
      <c r="BG248" s="301"/>
      <c r="BH248" s="301"/>
      <c r="BI248" s="301"/>
      <c r="BJ248" s="301">
        <v>143</v>
      </c>
      <c r="BK248" s="301"/>
      <c r="BL248" s="301"/>
      <c r="BM248" s="302"/>
      <c r="BN248" s="291">
        <f>+MAX($D$3,DATOS_[[#This Row],[Fecha Inicio Sit. Contract.]])</f>
        <v>45292</v>
      </c>
      <c r="BO248" s="291">
        <f>+MIN($D$4,DATOS_[[#This Row],[Fecha Fin Sit. Contract.]])</f>
        <v>44012</v>
      </c>
      <c r="BP248" s="292">
        <f>+DATOS_[[#This Row],[% de jornada]]*IF(DATOS_[[#This Row],[% jornada reducida]]="",1,DATOS_[[#This Row],[% jornada reducida]])</f>
        <v>1</v>
      </c>
      <c r="BQ248" s="292">
        <f>+(DATOS_[[#This Row],[F.fin.cal]]-DATOS_[[#This Row],[F.ini.cal]]+1)/($D$4-$D$3+1)</f>
        <v>-3.4945355191256833</v>
      </c>
      <c r="BR248" s="322" t="str">
        <f>IF(OR(AND(DATOS_[[#This Row],[Fecha Fin Contrato]]&lt;$D$3,DATOS_[[#This Row],[Fecha Fin Contrato]]&lt;&gt;""),DATOS_[[#This Row],[Fecha de Contratación]]&gt;$D$4),"Fuera","Dentro")</f>
        <v>Fuera</v>
      </c>
      <c r="BS248" s="322" t="str">
        <f t="array" ref="BS248">IF(MAX(IF(DATOS_[id]=DATOS_[[#This Row],[id]],DATOS_[F.fin.cal]))=DATOS_[[#This Row],[F.fin.cal]],"Sí","NO")</f>
        <v>Sí</v>
      </c>
      <c r="BT248" s="292" t="str">
        <f>IF(AND(DATOS_[[#This Row],[% normaliz]]&lt;&gt;1,DATOS_[[#This Row],[% anualiz]]=1),"Sí","NO")</f>
        <v>NO</v>
      </c>
      <c r="BU248" s="292" t="str">
        <f>IF(AND(DATOS_[[#This Row],[% normaliz]]=1,DATOS_[[#This Row],[% anualiz]]&lt;&gt;1),"Sí","NO")</f>
        <v>Sí</v>
      </c>
      <c r="BV248" s="292" t="str">
        <f>IF(AND(DATOS_[[#This Row],[% normaliz]]&lt;&gt;1,DATOS_[[#This Row],[% anualiz]]&lt;&gt;1),"Sí","NO")</f>
        <v>NO</v>
      </c>
      <c r="BW248" s="322" t="str">
        <f>+IF(DATOS_[[#This Row],[% normaliz]]*DATOS_[[#This Row],[% anualiz]]=1,"NO","Sí")</f>
        <v>Sí</v>
      </c>
      <c r="BX248" s="323">
        <f>(DATOS_[[#This Row],[S.BASE]]*(1/DATOS_[[#This Row],[% normaliz]])*(1/DATOS_[[#This Row],[% anualiz]]))*IF(DATOS_[[#This Row],[Check Equiparado]]="Sí",1,0)</f>
        <v>-1231.9233776387803</v>
      </c>
      <c r="BY24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-99.584050039093043</v>
      </c>
      <c r="BZ248" s="323">
        <f>+DATOS_[[#This Row],[SALARIO BASE Eq]]+DATOS_[[#This Row],[Tot COMPL.SAL Eq]]</f>
        <v>-1331.5074276778732</v>
      </c>
      <c r="CA248" s="323">
        <f t="array" ref="CA2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48" s="323">
        <f>+DATOS_[[#This Row],[TOTAL SALARIO Eq]]+DATOS_[[#This Row],[Tot Extrasalarial Eq]]</f>
        <v>-1188.5074276778732</v>
      </c>
      <c r="CC248" s="327">
        <f>DATOS_[[#This Row],[S.BASE]]</f>
        <v>4305</v>
      </c>
      <c r="CD248" s="324">
        <f>+SUM(DATOS_[[#This Row],[Conc.Sal.01]:[Conc.Sal.30]])</f>
        <v>348</v>
      </c>
      <c r="CE248" s="324">
        <f>+DATOS_[[#This Row],[SALARIO BASE Ef]]+DATOS_[[#This Row],[Tot COMPL.SAL Ef]]</f>
        <v>4653</v>
      </c>
      <c r="CF248" s="324">
        <f>+SUM(DATOS_[[#This Row],[C.Extra.01]:[C.Extra.05]])</f>
        <v>143</v>
      </c>
      <c r="CG248" s="330">
        <f>+DATOS_[[#This Row],[TOTAL SALARIO Ef]]+DATOS_[[#This Row],[Tot Extrasalarial Ef]]</f>
        <v>4796</v>
      </c>
      <c r="CH248" s="303">
        <f>MIN(IF(DATOS_[[#This Row],[Fecha Fin Contrato]]="",$D$4,DATOS_[[#This Row],[Fecha Fin Contrato]]),$D$4)-MAX(DATOS_[[#This Row],[Fecha de Contratación]],$D$3)+1</f>
        <v>-1279</v>
      </c>
      <c r="CI248" s="304" t="str">
        <f>IF(COUNTIFS(DATOS_[id],DATOS_[[#This Row],[id]])&gt;1,DATOS_[[#This Row],[id]],"")</f>
        <v/>
      </c>
      <c r="CJ248" s="325">
        <f>(Inicio!$G$10-DATOS_[[#This Row],[Fecha Nacimiento]])/365.25</f>
        <v>35.063655030800824</v>
      </c>
      <c r="CK248" s="325">
        <f>(Inicio!$G$10-DATOS_[[#This Row],[Fecha de Antigüedad]])/365.25</f>
        <v>4.8350444900752905</v>
      </c>
      <c r="CL248" s="325" t="str">
        <f>+VLOOKUP(DATOS_[[#This Row],[Clave de Contrato]],TblTiposContrato13[],3,FALSE)</f>
        <v>Completa</v>
      </c>
      <c r="CM248" s="325" t="str">
        <f>+VLOOKUP(DATOS_[[#This Row],[Clave de Contrato]],TblTiposContrato13[],4,FALSE)</f>
        <v>Temporal</v>
      </c>
      <c r="CN248" s="325" t="str">
        <f>VLOOKUP(DATOS_[[#This Row],[Edad]],CONTRATOS!TblRngEdad,2,TRUE)</f>
        <v>35 a 40</v>
      </c>
      <c r="CO248" s="325" t="str">
        <f>VLOOKUP(DATOS_[[#This Row],[Antigüedad]],TblRngAntg14[],2,TRUE)</f>
        <v>3 a 5  años</v>
      </c>
    </row>
    <row r="249" spans="2:93" x14ac:dyDescent="0.25">
      <c r="B249" s="146">
        <v>224</v>
      </c>
      <c r="C249" s="146" t="s">
        <v>163</v>
      </c>
      <c r="D249" s="295">
        <v>32850</v>
      </c>
      <c r="E249" s="296" t="s">
        <v>71</v>
      </c>
      <c r="F249" s="296">
        <v>3</v>
      </c>
      <c r="G249" s="296">
        <v>0</v>
      </c>
      <c r="H249" s="297">
        <v>43891</v>
      </c>
      <c r="I249" s="298">
        <v>43982</v>
      </c>
      <c r="J249" s="295">
        <v>43891</v>
      </c>
      <c r="K249" s="326">
        <v>43891</v>
      </c>
      <c r="L249" s="326">
        <v>43982</v>
      </c>
      <c r="M249" s="299">
        <v>1</v>
      </c>
      <c r="N249" s="299"/>
      <c r="O249" s="299"/>
      <c r="P249" s="296">
        <v>401</v>
      </c>
      <c r="Q249" s="146" t="s">
        <v>414</v>
      </c>
      <c r="R249" s="146" t="s">
        <v>420</v>
      </c>
      <c r="S249" s="146" t="s">
        <v>440</v>
      </c>
      <c r="T249" s="146" t="s">
        <v>407</v>
      </c>
      <c r="U249" s="146" t="s">
        <v>399</v>
      </c>
      <c r="V249" s="146" t="s">
        <v>438</v>
      </c>
      <c r="W249" s="146" t="s">
        <v>311</v>
      </c>
      <c r="X249" s="146" t="s">
        <v>307</v>
      </c>
      <c r="Y249" s="146" t="s">
        <v>409</v>
      </c>
      <c r="Z249" s="293"/>
      <c r="AA249" s="294" t="s">
        <v>439</v>
      </c>
      <c r="AB249" s="294">
        <v>9</v>
      </c>
      <c r="AC249" s="296">
        <v>7</v>
      </c>
      <c r="AD249" s="301">
        <v>3228</v>
      </c>
      <c r="AE249" s="301">
        <v>21</v>
      </c>
      <c r="AF249" s="301"/>
      <c r="AG249" s="301">
        <v>240</v>
      </c>
      <c r="AH249" s="301"/>
      <c r="AI249" s="301"/>
      <c r="AJ249" s="301"/>
      <c r="AK249" s="301"/>
      <c r="AL249" s="301"/>
      <c r="AM249" s="301"/>
      <c r="AN249" s="301"/>
      <c r="AO249" s="301"/>
      <c r="AP249" s="301"/>
      <c r="AQ249" s="301"/>
      <c r="AR249" s="301"/>
      <c r="AS249" s="301"/>
      <c r="AT249" s="301"/>
      <c r="AU249" s="301"/>
      <c r="AV249" s="301"/>
      <c r="AW249" s="301"/>
      <c r="AX249" s="301"/>
      <c r="AY249" s="301"/>
      <c r="AZ249" s="301"/>
      <c r="BA249" s="301"/>
      <c r="BB249" s="301"/>
      <c r="BC249" s="301"/>
      <c r="BD249" s="301"/>
      <c r="BE249" s="301"/>
      <c r="BF249" s="301"/>
      <c r="BG249" s="301"/>
      <c r="BH249" s="301"/>
      <c r="BI249" s="301"/>
      <c r="BJ249" s="301">
        <v>107</v>
      </c>
      <c r="BK249" s="301"/>
      <c r="BL249" s="301"/>
      <c r="BM249" s="302"/>
      <c r="BN249" s="291">
        <f>+MAX($D$3,DATOS_[[#This Row],[Fecha Inicio Sit. Contract.]])</f>
        <v>45292</v>
      </c>
      <c r="BO249" s="291">
        <f>+MIN($D$4,DATOS_[[#This Row],[Fecha Fin Sit. Contract.]])</f>
        <v>43982</v>
      </c>
      <c r="BP249" s="292">
        <f>+DATOS_[[#This Row],[% de jornada]]*IF(DATOS_[[#This Row],[% jornada reducida]]="",1,DATOS_[[#This Row],[% jornada reducida]])</f>
        <v>1</v>
      </c>
      <c r="BQ249" s="292">
        <f>+(DATOS_[[#This Row],[F.fin.cal]]-DATOS_[[#This Row],[F.ini.cal]]+1)/($D$4-$D$3+1)</f>
        <v>-3.5765027322404372</v>
      </c>
      <c r="BR249" s="322" t="str">
        <f>IF(OR(AND(DATOS_[[#This Row],[Fecha Fin Contrato]]&lt;$D$3,DATOS_[[#This Row],[Fecha Fin Contrato]]&lt;&gt;""),DATOS_[[#This Row],[Fecha de Contratación]]&gt;$D$4),"Fuera","Dentro")</f>
        <v>Fuera</v>
      </c>
      <c r="BS249" s="322" t="str">
        <f t="array" ref="BS249">IF(MAX(IF(DATOS_[id]=DATOS_[[#This Row],[id]],DATOS_[F.fin.cal]))=DATOS_[[#This Row],[F.fin.cal]],"Sí","NO")</f>
        <v>Sí</v>
      </c>
      <c r="BT249" s="292" t="str">
        <f>IF(AND(DATOS_[[#This Row],[% normaliz]]&lt;&gt;1,DATOS_[[#This Row],[% anualiz]]=1),"Sí","NO")</f>
        <v>NO</v>
      </c>
      <c r="BU249" s="292" t="str">
        <f>IF(AND(DATOS_[[#This Row],[% normaliz]]=1,DATOS_[[#This Row],[% anualiz]]&lt;&gt;1),"Sí","NO")</f>
        <v>Sí</v>
      </c>
      <c r="BV249" s="292" t="str">
        <f>IF(AND(DATOS_[[#This Row],[% normaliz]]&lt;&gt;1,DATOS_[[#This Row],[% anualiz]]&lt;&gt;1),"Sí","NO")</f>
        <v>NO</v>
      </c>
      <c r="BW249" s="322" t="str">
        <f>+IF(DATOS_[[#This Row],[% normaliz]]*DATOS_[[#This Row],[% anualiz]]=1,"NO","Sí")</f>
        <v>Sí</v>
      </c>
      <c r="BX249" s="323">
        <f>(DATOS_[[#This Row],[S.BASE]]*(1/DATOS_[[#This Row],[% normaliz]])*(1/DATOS_[[#This Row],[% anualiz]]))*IF(DATOS_[[#This Row],[Check Equiparado]]="Sí",1,0)</f>
        <v>-902.55767761650111</v>
      </c>
      <c r="BY24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-72.976317799847209</v>
      </c>
      <c r="BZ249" s="323">
        <f>+DATOS_[[#This Row],[SALARIO BASE Eq]]+DATOS_[[#This Row],[Tot COMPL.SAL Eq]]</f>
        <v>-975.53399541634826</v>
      </c>
      <c r="CA249" s="323">
        <f t="array" ref="CA2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107</v>
      </c>
      <c r="CB249" s="323">
        <f>+DATOS_[[#This Row],[TOTAL SALARIO Eq]]+DATOS_[[#This Row],[Tot Extrasalarial Eq]]</f>
        <v>-868.53399541634826</v>
      </c>
      <c r="CC249" s="327">
        <f>DATOS_[[#This Row],[S.BASE]]</f>
        <v>3228</v>
      </c>
      <c r="CD249" s="324">
        <f>+SUM(DATOS_[[#This Row],[Conc.Sal.01]:[Conc.Sal.30]])</f>
        <v>261</v>
      </c>
      <c r="CE249" s="324">
        <f>+DATOS_[[#This Row],[SALARIO BASE Ef]]+DATOS_[[#This Row],[Tot COMPL.SAL Ef]]</f>
        <v>3489</v>
      </c>
      <c r="CF249" s="324">
        <f>+SUM(DATOS_[[#This Row],[C.Extra.01]:[C.Extra.05]])</f>
        <v>107</v>
      </c>
      <c r="CG249" s="330">
        <f>+DATOS_[[#This Row],[TOTAL SALARIO Ef]]+DATOS_[[#This Row],[Tot Extrasalarial Ef]]</f>
        <v>3596</v>
      </c>
      <c r="CH249" s="303">
        <f>MIN(IF(DATOS_[[#This Row],[Fecha Fin Contrato]]="",$D$4,DATOS_[[#This Row],[Fecha Fin Contrato]]),$D$4)-MAX(DATOS_[[#This Row],[Fecha de Contratación]],$D$3)+1</f>
        <v>-1309</v>
      </c>
      <c r="CI249" s="304" t="str">
        <f>IF(COUNTIFS(DATOS_[id],DATOS_[[#This Row],[id]])&gt;1,DATOS_[[#This Row],[id]],"")</f>
        <v/>
      </c>
      <c r="CJ249" s="325">
        <f>(Inicio!$G$10-DATOS_[[#This Row],[Fecha Nacimiento]])/365.25</f>
        <v>35.063655030800824</v>
      </c>
      <c r="CK249" s="325">
        <f>(Inicio!$G$10-DATOS_[[#This Row],[Fecha de Antigüedad]])/365.25</f>
        <v>4.8350444900752905</v>
      </c>
      <c r="CL249" s="325" t="str">
        <f>+VLOOKUP(DATOS_[[#This Row],[Clave de Contrato]],TblTiposContrato13[],3,FALSE)</f>
        <v>Completa</v>
      </c>
      <c r="CM249" s="325" t="str">
        <f>+VLOOKUP(DATOS_[[#This Row],[Clave de Contrato]],TblTiposContrato13[],4,FALSE)</f>
        <v>Temporal</v>
      </c>
      <c r="CN249" s="325" t="str">
        <f>VLOOKUP(DATOS_[[#This Row],[Edad]],CONTRATOS!TblRngEdad,2,TRUE)</f>
        <v>35 a 40</v>
      </c>
      <c r="CO249" s="325" t="str">
        <f>VLOOKUP(DATOS_[[#This Row],[Antigüedad]],TblRngAntg14[],2,TRUE)</f>
        <v>3 a 5  años</v>
      </c>
    </row>
    <row r="250" spans="2:93" x14ac:dyDescent="0.25">
      <c r="B250" s="146">
        <v>225</v>
      </c>
      <c r="C250" s="146" t="s">
        <v>162</v>
      </c>
      <c r="D250" s="295">
        <v>32850</v>
      </c>
      <c r="E250" s="296" t="s">
        <v>71</v>
      </c>
      <c r="F250" s="296">
        <v>3</v>
      </c>
      <c r="G250" s="296">
        <v>0</v>
      </c>
      <c r="H250" s="297">
        <v>43357</v>
      </c>
      <c r="I250" s="298"/>
      <c r="J250" s="295">
        <v>43357</v>
      </c>
      <c r="K250" s="326"/>
      <c r="L250" s="326"/>
      <c r="M250" s="299">
        <v>1</v>
      </c>
      <c r="N250" s="299"/>
      <c r="O250" s="299"/>
      <c r="P250" s="296">
        <v>100</v>
      </c>
      <c r="Q250" s="146" t="s">
        <v>414</v>
      </c>
      <c r="R250" s="146" t="s">
        <v>420</v>
      </c>
      <c r="S250" s="146" t="s">
        <v>440</v>
      </c>
      <c r="T250" s="146" t="s">
        <v>407</v>
      </c>
      <c r="U250" s="146" t="s">
        <v>399</v>
      </c>
      <c r="V250" s="146" t="s">
        <v>438</v>
      </c>
      <c r="W250" s="146" t="s">
        <v>311</v>
      </c>
      <c r="X250" s="146" t="s">
        <v>307</v>
      </c>
      <c r="Y250" s="146" t="s">
        <v>409</v>
      </c>
      <c r="Z250" s="293"/>
      <c r="AA250" s="294" t="s">
        <v>439</v>
      </c>
      <c r="AB250" s="294">
        <v>9</v>
      </c>
      <c r="AC250" s="296">
        <v>7</v>
      </c>
      <c r="AD250" s="301">
        <v>12915.07</v>
      </c>
      <c r="AE250" s="301">
        <v>84.930000000000291</v>
      </c>
      <c r="AF250" s="301"/>
      <c r="AG250" s="301">
        <v>960</v>
      </c>
      <c r="AH250" s="301"/>
      <c r="AI250" s="301"/>
      <c r="AJ250" s="301"/>
      <c r="AK250" s="301">
        <v>80</v>
      </c>
      <c r="AL250" s="301"/>
      <c r="AM250" s="301"/>
      <c r="AN250" s="301"/>
      <c r="AO250" s="301"/>
      <c r="AP250" s="301"/>
      <c r="AQ250" s="301"/>
      <c r="AR250" s="301"/>
      <c r="AS250" s="301"/>
      <c r="AT250" s="301"/>
      <c r="AU250" s="301"/>
      <c r="AV250" s="301"/>
      <c r="AW250" s="301"/>
      <c r="AX250" s="301"/>
      <c r="AY250" s="301"/>
      <c r="AZ250" s="301"/>
      <c r="BA250" s="301"/>
      <c r="BB250" s="301"/>
      <c r="BC250" s="301"/>
      <c r="BD250" s="301"/>
      <c r="BE250" s="301"/>
      <c r="BF250" s="301"/>
      <c r="BG250" s="301"/>
      <c r="BH250" s="301"/>
      <c r="BI250" s="301"/>
      <c r="BJ250" s="301"/>
      <c r="BK250" s="301"/>
      <c r="BL250" s="301"/>
      <c r="BM250" s="302"/>
      <c r="BN250" s="291">
        <f>+MAX($D$3,DATOS_[[#This Row],[Fecha Inicio Sit. Contract.]])</f>
        <v>45292</v>
      </c>
      <c r="BO250" s="291">
        <f>+MIN($D$4,DATOS_[[#This Row],[Fecha Fin Sit. Contract.]])</f>
        <v>45657</v>
      </c>
      <c r="BP250" s="292">
        <f>+DATOS_[[#This Row],[% de jornada]]*IF(DATOS_[[#This Row],[% jornada reducida]]="",1,DATOS_[[#This Row],[% jornada reducida]])</f>
        <v>1</v>
      </c>
      <c r="BQ250" s="292">
        <f>+(DATOS_[[#This Row],[F.fin.cal]]-DATOS_[[#This Row],[F.ini.cal]]+1)/($D$4-$D$3+1)</f>
        <v>1</v>
      </c>
      <c r="BR250" s="322" t="str">
        <f>IF(OR(AND(DATOS_[[#This Row],[Fecha Fin Contrato]]&lt;$D$3,DATOS_[[#This Row],[Fecha Fin Contrato]]&lt;&gt;""),DATOS_[[#This Row],[Fecha de Contratación]]&gt;$D$4),"Fuera","Dentro")</f>
        <v>Dentro</v>
      </c>
      <c r="BS250" s="322" t="str">
        <f t="array" ref="BS250">IF(MAX(IF(DATOS_[id]=DATOS_[[#This Row],[id]],DATOS_[F.fin.cal]))=DATOS_[[#This Row],[F.fin.cal]],"Sí","NO")</f>
        <v>Sí</v>
      </c>
      <c r="BT250" s="292" t="str">
        <f>IF(AND(DATOS_[[#This Row],[% normaliz]]&lt;&gt;1,DATOS_[[#This Row],[% anualiz]]=1),"Sí","NO")</f>
        <v>NO</v>
      </c>
      <c r="BU250" s="292" t="str">
        <f>IF(AND(DATOS_[[#This Row],[% normaliz]]=1,DATOS_[[#This Row],[% anualiz]]&lt;&gt;1),"Sí","NO")</f>
        <v>NO</v>
      </c>
      <c r="BV250" s="292" t="str">
        <f>IF(AND(DATOS_[[#This Row],[% normaliz]]&lt;&gt;1,DATOS_[[#This Row],[% anualiz]]&lt;&gt;1),"Sí","NO")</f>
        <v>NO</v>
      </c>
      <c r="BW250" s="322" t="str">
        <f>+IF(DATOS_[[#This Row],[% normaliz]]*DATOS_[[#This Row],[% anualiz]]=1,"NO","Sí")</f>
        <v>NO</v>
      </c>
      <c r="BX250" s="323">
        <f>(DATOS_[[#This Row],[S.BASE]]*(1/DATOS_[[#This Row],[% normaliz]])*(1/DATOS_[[#This Row],[% anualiz]]))*IF(DATOS_[[#This Row],[Check Equiparado]]="Sí",1,0)</f>
        <v>12915.07</v>
      </c>
      <c r="BY25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0" s="323">
        <f>+DATOS_[[#This Row],[SALARIO BASE Eq]]+DATOS_[[#This Row],[Tot COMPL.SAL Eq]]</f>
        <v>14040</v>
      </c>
      <c r="CA250" s="323">
        <f t="array" ref="CA2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0" s="323">
        <f>+DATOS_[[#This Row],[TOTAL SALARIO Eq]]+DATOS_[[#This Row],[Tot Extrasalarial Eq]]</f>
        <v>14040</v>
      </c>
      <c r="CC250" s="327">
        <f>DATOS_[[#This Row],[S.BASE]]</f>
        <v>12915.07</v>
      </c>
      <c r="CD250" s="324">
        <f>+SUM(DATOS_[[#This Row],[Conc.Sal.01]:[Conc.Sal.30]])</f>
        <v>1124.9300000000003</v>
      </c>
      <c r="CE250" s="324">
        <f>+DATOS_[[#This Row],[SALARIO BASE Ef]]+DATOS_[[#This Row],[Tot COMPL.SAL Ef]]</f>
        <v>14040</v>
      </c>
      <c r="CF250" s="324">
        <f>+SUM(DATOS_[[#This Row],[C.Extra.01]:[C.Extra.05]])</f>
        <v>0</v>
      </c>
      <c r="CG250" s="330">
        <f>+DATOS_[[#This Row],[TOTAL SALARIO Ef]]+DATOS_[[#This Row],[Tot Extrasalarial Ef]]</f>
        <v>14040</v>
      </c>
      <c r="CH250" s="303">
        <f>MIN(IF(DATOS_[[#This Row],[Fecha Fin Contrato]]="",$D$4,DATOS_[[#This Row],[Fecha Fin Contrato]]),$D$4)-MAX(DATOS_[[#This Row],[Fecha de Contratación]],$D$3)+1</f>
        <v>366</v>
      </c>
      <c r="CI250" s="304" t="str">
        <f>IF(COUNTIFS(DATOS_[id],DATOS_[[#This Row],[id]])&gt;1,DATOS_[[#This Row],[id]],"")</f>
        <v/>
      </c>
      <c r="CJ250" s="325">
        <f>(Inicio!$G$10-DATOS_[[#This Row],[Fecha Nacimiento]])/365.25</f>
        <v>35.063655030800824</v>
      </c>
      <c r="CK250" s="325">
        <f>(Inicio!$G$10-DATOS_[[#This Row],[Fecha de Antigüedad]])/365.25</f>
        <v>6.2970568104038334</v>
      </c>
      <c r="CL250" s="325" t="str">
        <f>+VLOOKUP(DATOS_[[#This Row],[Clave de Contrato]],TblTiposContrato13[],3,FALSE)</f>
        <v>Completa</v>
      </c>
      <c r="CM250" s="325" t="str">
        <f>+VLOOKUP(DATOS_[[#This Row],[Clave de Contrato]],TblTiposContrato13[],4,FALSE)</f>
        <v>Indefinido</v>
      </c>
      <c r="CN250" s="325" t="str">
        <f>VLOOKUP(DATOS_[[#This Row],[Edad]],CONTRATOS!TblRngEdad,2,TRUE)</f>
        <v>35 a 40</v>
      </c>
      <c r="CO250" s="325" t="str">
        <f>VLOOKUP(DATOS_[[#This Row],[Antigüedad]],TblRngAntg14[],2,TRUE)</f>
        <v>5 a 10  años</v>
      </c>
    </row>
    <row r="251" spans="2:93" x14ac:dyDescent="0.25">
      <c r="B251" s="146">
        <v>226</v>
      </c>
      <c r="C251" s="146" t="s">
        <v>162</v>
      </c>
      <c r="D251" s="295">
        <v>32850</v>
      </c>
      <c r="E251" s="296" t="s">
        <v>71</v>
      </c>
      <c r="F251" s="296">
        <v>3</v>
      </c>
      <c r="G251" s="296">
        <v>0</v>
      </c>
      <c r="H251" s="297">
        <v>43387</v>
      </c>
      <c r="I251" s="298"/>
      <c r="J251" s="295">
        <v>43387</v>
      </c>
      <c r="K251" s="326"/>
      <c r="L251" s="326"/>
      <c r="M251" s="299">
        <v>1</v>
      </c>
      <c r="N251" s="299"/>
      <c r="O251" s="299"/>
      <c r="P251" s="296">
        <v>100</v>
      </c>
      <c r="Q251" s="146" t="s">
        <v>414</v>
      </c>
      <c r="R251" s="146" t="s">
        <v>420</v>
      </c>
      <c r="S251" s="146" t="s">
        <v>440</v>
      </c>
      <c r="T251" s="146" t="s">
        <v>407</v>
      </c>
      <c r="U251" s="146" t="s">
        <v>399</v>
      </c>
      <c r="V251" s="146" t="s">
        <v>438</v>
      </c>
      <c r="W251" s="146" t="s">
        <v>311</v>
      </c>
      <c r="X251" s="146" t="s">
        <v>307</v>
      </c>
      <c r="Y251" s="146" t="s">
        <v>409</v>
      </c>
      <c r="Z251" s="293"/>
      <c r="AA251" s="294" t="s">
        <v>439</v>
      </c>
      <c r="AB251" s="294">
        <v>9</v>
      </c>
      <c r="AC251" s="296">
        <v>7</v>
      </c>
      <c r="AD251" s="301">
        <v>12915.07</v>
      </c>
      <c r="AE251" s="301">
        <v>84.930000000000291</v>
      </c>
      <c r="AF251" s="301"/>
      <c r="AG251" s="301">
        <v>960</v>
      </c>
      <c r="AH251" s="301"/>
      <c r="AI251" s="301"/>
      <c r="AJ251" s="301"/>
      <c r="AK251" s="301">
        <v>80</v>
      </c>
      <c r="AL251" s="301"/>
      <c r="AM251" s="301"/>
      <c r="AN251" s="301"/>
      <c r="AO251" s="301"/>
      <c r="AP251" s="301"/>
      <c r="AQ251" s="301"/>
      <c r="AR251" s="301"/>
      <c r="AS251" s="301"/>
      <c r="AT251" s="301"/>
      <c r="AU251" s="301"/>
      <c r="AV251" s="301"/>
      <c r="AW251" s="301"/>
      <c r="AX251" s="301"/>
      <c r="AY251" s="301"/>
      <c r="AZ251" s="301"/>
      <c r="BA251" s="301"/>
      <c r="BB251" s="301"/>
      <c r="BC251" s="301"/>
      <c r="BD251" s="301"/>
      <c r="BE251" s="301"/>
      <c r="BF251" s="301"/>
      <c r="BG251" s="301"/>
      <c r="BH251" s="301"/>
      <c r="BI251" s="301"/>
      <c r="BJ251" s="301"/>
      <c r="BK251" s="301"/>
      <c r="BL251" s="301"/>
      <c r="BM251" s="302"/>
      <c r="BN251" s="291">
        <f>+MAX($D$3,DATOS_[[#This Row],[Fecha Inicio Sit. Contract.]])</f>
        <v>45292</v>
      </c>
      <c r="BO251" s="291">
        <f>+MIN($D$4,DATOS_[[#This Row],[Fecha Fin Sit. Contract.]])</f>
        <v>45657</v>
      </c>
      <c r="BP251" s="292">
        <f>+DATOS_[[#This Row],[% de jornada]]*IF(DATOS_[[#This Row],[% jornada reducida]]="",1,DATOS_[[#This Row],[% jornada reducida]])</f>
        <v>1</v>
      </c>
      <c r="BQ251" s="292">
        <f>+(DATOS_[[#This Row],[F.fin.cal]]-DATOS_[[#This Row],[F.ini.cal]]+1)/($D$4-$D$3+1)</f>
        <v>1</v>
      </c>
      <c r="BR251" s="322" t="str">
        <f>IF(OR(AND(DATOS_[[#This Row],[Fecha Fin Contrato]]&lt;$D$3,DATOS_[[#This Row],[Fecha Fin Contrato]]&lt;&gt;""),DATOS_[[#This Row],[Fecha de Contratación]]&gt;$D$4),"Fuera","Dentro")</f>
        <v>Dentro</v>
      </c>
      <c r="BS251" s="322" t="str">
        <f t="array" ref="BS251">IF(MAX(IF(DATOS_[id]=DATOS_[[#This Row],[id]],DATOS_[F.fin.cal]))=DATOS_[[#This Row],[F.fin.cal]],"Sí","NO")</f>
        <v>Sí</v>
      </c>
      <c r="BT251" s="292" t="str">
        <f>IF(AND(DATOS_[[#This Row],[% normaliz]]&lt;&gt;1,DATOS_[[#This Row],[% anualiz]]=1),"Sí","NO")</f>
        <v>NO</v>
      </c>
      <c r="BU251" s="292" t="str">
        <f>IF(AND(DATOS_[[#This Row],[% normaliz]]=1,DATOS_[[#This Row],[% anualiz]]&lt;&gt;1),"Sí","NO")</f>
        <v>NO</v>
      </c>
      <c r="BV251" s="292" t="str">
        <f>IF(AND(DATOS_[[#This Row],[% normaliz]]&lt;&gt;1,DATOS_[[#This Row],[% anualiz]]&lt;&gt;1),"Sí","NO")</f>
        <v>NO</v>
      </c>
      <c r="BW251" s="322" t="str">
        <f>+IF(DATOS_[[#This Row],[% normaliz]]*DATOS_[[#This Row],[% anualiz]]=1,"NO","Sí")</f>
        <v>NO</v>
      </c>
      <c r="BX251" s="323">
        <f>(DATOS_[[#This Row],[S.BASE]]*(1/DATOS_[[#This Row],[% normaliz]])*(1/DATOS_[[#This Row],[% anualiz]]))*IF(DATOS_[[#This Row],[Check Equiparado]]="Sí",1,0)</f>
        <v>12915.07</v>
      </c>
      <c r="BY25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1" s="323">
        <f>+DATOS_[[#This Row],[SALARIO BASE Eq]]+DATOS_[[#This Row],[Tot COMPL.SAL Eq]]</f>
        <v>14040</v>
      </c>
      <c r="CA251" s="323">
        <f t="array" ref="CA2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1" s="323">
        <f>+DATOS_[[#This Row],[TOTAL SALARIO Eq]]+DATOS_[[#This Row],[Tot Extrasalarial Eq]]</f>
        <v>14040</v>
      </c>
      <c r="CC251" s="327">
        <f>DATOS_[[#This Row],[S.BASE]]</f>
        <v>12915.07</v>
      </c>
      <c r="CD251" s="324">
        <f>+SUM(DATOS_[[#This Row],[Conc.Sal.01]:[Conc.Sal.30]])</f>
        <v>1124.9300000000003</v>
      </c>
      <c r="CE251" s="324">
        <f>+DATOS_[[#This Row],[SALARIO BASE Ef]]+DATOS_[[#This Row],[Tot COMPL.SAL Ef]]</f>
        <v>14040</v>
      </c>
      <c r="CF251" s="324">
        <f>+SUM(DATOS_[[#This Row],[C.Extra.01]:[C.Extra.05]])</f>
        <v>0</v>
      </c>
      <c r="CG251" s="330">
        <f>+DATOS_[[#This Row],[TOTAL SALARIO Ef]]+DATOS_[[#This Row],[Tot Extrasalarial Ef]]</f>
        <v>14040</v>
      </c>
      <c r="CH251" s="303">
        <f>MIN(IF(DATOS_[[#This Row],[Fecha Fin Contrato]]="",$D$4,DATOS_[[#This Row],[Fecha Fin Contrato]]),$D$4)-MAX(DATOS_[[#This Row],[Fecha de Contratación]],$D$3)+1</f>
        <v>366</v>
      </c>
      <c r="CI251" s="304" t="str">
        <f>IF(COUNTIFS(DATOS_[id],DATOS_[[#This Row],[id]])&gt;1,DATOS_[[#This Row],[id]],"")</f>
        <v/>
      </c>
      <c r="CJ251" s="325">
        <f>(Inicio!$G$10-DATOS_[[#This Row],[Fecha Nacimiento]])/365.25</f>
        <v>35.063655030800824</v>
      </c>
      <c r="CK251" s="325">
        <f>(Inicio!$G$10-DATOS_[[#This Row],[Fecha de Antigüedad]])/365.25</f>
        <v>6.2149212867898695</v>
      </c>
      <c r="CL251" s="325" t="str">
        <f>+VLOOKUP(DATOS_[[#This Row],[Clave de Contrato]],TblTiposContrato13[],3,FALSE)</f>
        <v>Completa</v>
      </c>
      <c r="CM251" s="325" t="str">
        <f>+VLOOKUP(DATOS_[[#This Row],[Clave de Contrato]],TblTiposContrato13[],4,FALSE)</f>
        <v>Indefinido</v>
      </c>
      <c r="CN251" s="325" t="str">
        <f>VLOOKUP(DATOS_[[#This Row],[Edad]],CONTRATOS!TblRngEdad,2,TRUE)</f>
        <v>35 a 40</v>
      </c>
      <c r="CO251" s="325" t="str">
        <f>VLOOKUP(DATOS_[[#This Row],[Antigüedad]],TblRngAntg14[],2,TRUE)</f>
        <v>5 a 10  años</v>
      </c>
    </row>
    <row r="252" spans="2:93" x14ac:dyDescent="0.25">
      <c r="B252" s="146">
        <v>227</v>
      </c>
      <c r="C252" s="146" t="s">
        <v>162</v>
      </c>
      <c r="D252" s="295">
        <v>30660</v>
      </c>
      <c r="E252" s="296" t="s">
        <v>71</v>
      </c>
      <c r="F252" s="296">
        <v>3</v>
      </c>
      <c r="G252" s="296">
        <v>0</v>
      </c>
      <c r="H252" s="297">
        <v>43497</v>
      </c>
      <c r="I252" s="298"/>
      <c r="J252" s="295">
        <v>43497</v>
      </c>
      <c r="K252" s="326"/>
      <c r="L252" s="326"/>
      <c r="M252" s="299">
        <v>1</v>
      </c>
      <c r="N252" s="299"/>
      <c r="O252" s="299"/>
      <c r="P252" s="296">
        <v>100</v>
      </c>
      <c r="Q252" s="146" t="s">
        <v>414</v>
      </c>
      <c r="R252" s="146" t="s">
        <v>420</v>
      </c>
      <c r="S252" s="146" t="s">
        <v>440</v>
      </c>
      <c r="T252" s="146" t="s">
        <v>407</v>
      </c>
      <c r="U252" s="146" t="s">
        <v>399</v>
      </c>
      <c r="V252" s="146" t="s">
        <v>438</v>
      </c>
      <c r="W252" s="146" t="s">
        <v>311</v>
      </c>
      <c r="X252" s="146" t="s">
        <v>307</v>
      </c>
      <c r="Y252" s="146" t="s">
        <v>409</v>
      </c>
      <c r="Z252" s="293"/>
      <c r="AA252" s="294" t="s">
        <v>439</v>
      </c>
      <c r="AB252" s="294">
        <v>9</v>
      </c>
      <c r="AC252" s="296">
        <v>7</v>
      </c>
      <c r="AD252" s="301">
        <v>12915.07</v>
      </c>
      <c r="AE252" s="301">
        <v>84.930000000000291</v>
      </c>
      <c r="AF252" s="301"/>
      <c r="AG252" s="301">
        <v>960</v>
      </c>
      <c r="AH252" s="301"/>
      <c r="AI252" s="301"/>
      <c r="AJ252" s="301"/>
      <c r="AK252" s="301">
        <v>80</v>
      </c>
      <c r="AL252" s="301"/>
      <c r="AM252" s="301"/>
      <c r="AN252" s="301"/>
      <c r="AO252" s="301"/>
      <c r="AP252" s="301"/>
      <c r="AQ252" s="301"/>
      <c r="AR252" s="301"/>
      <c r="AS252" s="301"/>
      <c r="AT252" s="301"/>
      <c r="AU252" s="301"/>
      <c r="AV252" s="301"/>
      <c r="AW252" s="301"/>
      <c r="AX252" s="301"/>
      <c r="AY252" s="301"/>
      <c r="AZ252" s="301"/>
      <c r="BA252" s="301"/>
      <c r="BB252" s="301"/>
      <c r="BC252" s="301"/>
      <c r="BD252" s="301"/>
      <c r="BE252" s="301"/>
      <c r="BF252" s="301"/>
      <c r="BG252" s="301"/>
      <c r="BH252" s="301"/>
      <c r="BI252" s="301"/>
      <c r="BJ252" s="301"/>
      <c r="BK252" s="301"/>
      <c r="BL252" s="301"/>
      <c r="BM252" s="302"/>
      <c r="BN252" s="291">
        <f>+MAX($D$3,DATOS_[[#This Row],[Fecha Inicio Sit. Contract.]])</f>
        <v>45292</v>
      </c>
      <c r="BO252" s="291">
        <f>+MIN($D$4,DATOS_[[#This Row],[Fecha Fin Sit. Contract.]])</f>
        <v>45657</v>
      </c>
      <c r="BP252" s="292">
        <f>+DATOS_[[#This Row],[% de jornada]]*IF(DATOS_[[#This Row],[% jornada reducida]]="",1,DATOS_[[#This Row],[% jornada reducida]])</f>
        <v>1</v>
      </c>
      <c r="BQ252" s="292">
        <f>+(DATOS_[[#This Row],[F.fin.cal]]-DATOS_[[#This Row],[F.ini.cal]]+1)/($D$4-$D$3+1)</f>
        <v>1</v>
      </c>
      <c r="BR252" s="322" t="str">
        <f>IF(OR(AND(DATOS_[[#This Row],[Fecha Fin Contrato]]&lt;$D$3,DATOS_[[#This Row],[Fecha Fin Contrato]]&lt;&gt;""),DATOS_[[#This Row],[Fecha de Contratación]]&gt;$D$4),"Fuera","Dentro")</f>
        <v>Dentro</v>
      </c>
      <c r="BS252" s="322" t="str">
        <f t="array" ref="BS252">IF(MAX(IF(DATOS_[id]=DATOS_[[#This Row],[id]],DATOS_[F.fin.cal]))=DATOS_[[#This Row],[F.fin.cal]],"Sí","NO")</f>
        <v>Sí</v>
      </c>
      <c r="BT252" s="292" t="str">
        <f>IF(AND(DATOS_[[#This Row],[% normaliz]]&lt;&gt;1,DATOS_[[#This Row],[% anualiz]]=1),"Sí","NO")</f>
        <v>NO</v>
      </c>
      <c r="BU252" s="292" t="str">
        <f>IF(AND(DATOS_[[#This Row],[% normaliz]]=1,DATOS_[[#This Row],[% anualiz]]&lt;&gt;1),"Sí","NO")</f>
        <v>NO</v>
      </c>
      <c r="BV252" s="292" t="str">
        <f>IF(AND(DATOS_[[#This Row],[% normaliz]]&lt;&gt;1,DATOS_[[#This Row],[% anualiz]]&lt;&gt;1),"Sí","NO")</f>
        <v>NO</v>
      </c>
      <c r="BW252" s="322" t="str">
        <f>+IF(DATOS_[[#This Row],[% normaliz]]*DATOS_[[#This Row],[% anualiz]]=1,"NO","Sí")</f>
        <v>NO</v>
      </c>
      <c r="BX252" s="323">
        <f>(DATOS_[[#This Row],[S.BASE]]*(1/DATOS_[[#This Row],[% normaliz]])*(1/DATOS_[[#This Row],[% anualiz]]))*IF(DATOS_[[#This Row],[Check Equiparado]]="Sí",1,0)</f>
        <v>12915.07</v>
      </c>
      <c r="BY25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2" s="323">
        <f>+DATOS_[[#This Row],[SALARIO BASE Eq]]+DATOS_[[#This Row],[Tot COMPL.SAL Eq]]</f>
        <v>14040</v>
      </c>
      <c r="CA252" s="323">
        <f t="array" ref="CA2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2" s="323">
        <f>+DATOS_[[#This Row],[TOTAL SALARIO Eq]]+DATOS_[[#This Row],[Tot Extrasalarial Eq]]</f>
        <v>14040</v>
      </c>
      <c r="CC252" s="327">
        <f>DATOS_[[#This Row],[S.BASE]]</f>
        <v>12915.07</v>
      </c>
      <c r="CD252" s="324">
        <f>+SUM(DATOS_[[#This Row],[Conc.Sal.01]:[Conc.Sal.30]])</f>
        <v>1124.9300000000003</v>
      </c>
      <c r="CE252" s="324">
        <f>+DATOS_[[#This Row],[SALARIO BASE Ef]]+DATOS_[[#This Row],[Tot COMPL.SAL Ef]]</f>
        <v>14040</v>
      </c>
      <c r="CF252" s="324">
        <f>+SUM(DATOS_[[#This Row],[C.Extra.01]:[C.Extra.05]])</f>
        <v>0</v>
      </c>
      <c r="CG252" s="330">
        <f>+DATOS_[[#This Row],[TOTAL SALARIO Ef]]+DATOS_[[#This Row],[Tot Extrasalarial Ef]]</f>
        <v>14040</v>
      </c>
      <c r="CH252" s="303">
        <f>MIN(IF(DATOS_[[#This Row],[Fecha Fin Contrato]]="",$D$4,DATOS_[[#This Row],[Fecha Fin Contrato]]),$D$4)-MAX(DATOS_[[#This Row],[Fecha de Contratación]],$D$3)+1</f>
        <v>366</v>
      </c>
      <c r="CI252" s="304" t="str">
        <f>IF(COUNTIFS(DATOS_[id],DATOS_[[#This Row],[id]])&gt;1,DATOS_[[#This Row],[id]],"")</f>
        <v/>
      </c>
      <c r="CJ252" s="325">
        <f>(Inicio!$G$10-DATOS_[[#This Row],[Fecha Nacimiento]])/365.25</f>
        <v>41.059548254620125</v>
      </c>
      <c r="CK252" s="325">
        <f>(Inicio!$G$10-DATOS_[[#This Row],[Fecha de Antigüedad]])/365.25</f>
        <v>5.9137577002053385</v>
      </c>
      <c r="CL252" s="325" t="str">
        <f>+VLOOKUP(DATOS_[[#This Row],[Clave de Contrato]],TblTiposContrato13[],3,FALSE)</f>
        <v>Completa</v>
      </c>
      <c r="CM252" s="325" t="str">
        <f>+VLOOKUP(DATOS_[[#This Row],[Clave de Contrato]],TblTiposContrato13[],4,FALSE)</f>
        <v>Indefinido</v>
      </c>
      <c r="CN252" s="325" t="str">
        <f>VLOOKUP(DATOS_[[#This Row],[Edad]],CONTRATOS!TblRngEdad,2,TRUE)</f>
        <v>40 a 45</v>
      </c>
      <c r="CO252" s="325" t="str">
        <f>VLOOKUP(DATOS_[[#This Row],[Antigüedad]],TblRngAntg14[],2,TRUE)</f>
        <v>5 a 10  años</v>
      </c>
    </row>
    <row r="253" spans="2:93" x14ac:dyDescent="0.25">
      <c r="B253" s="146">
        <v>228</v>
      </c>
      <c r="C253" s="146" t="s">
        <v>162</v>
      </c>
      <c r="D253" s="295">
        <v>31025</v>
      </c>
      <c r="E253" s="296" t="s">
        <v>71</v>
      </c>
      <c r="F253" s="296">
        <v>2</v>
      </c>
      <c r="G253" s="296">
        <v>2</v>
      </c>
      <c r="H253" s="297">
        <v>43497</v>
      </c>
      <c r="I253" s="298"/>
      <c r="J253" s="295">
        <v>43497</v>
      </c>
      <c r="K253" s="326"/>
      <c r="L253" s="326"/>
      <c r="M253" s="299">
        <v>1</v>
      </c>
      <c r="N253" s="299"/>
      <c r="O253" s="299"/>
      <c r="P253" s="296">
        <v>100</v>
      </c>
      <c r="Q253" s="146" t="s">
        <v>414</v>
      </c>
      <c r="R253" s="146" t="s">
        <v>420</v>
      </c>
      <c r="S253" s="146" t="s">
        <v>440</v>
      </c>
      <c r="T253" s="146" t="s">
        <v>407</v>
      </c>
      <c r="U253" s="146" t="s">
        <v>400</v>
      </c>
      <c r="V253" s="146" t="s">
        <v>438</v>
      </c>
      <c r="W253" s="146" t="s">
        <v>311</v>
      </c>
      <c r="X253" s="146" t="s">
        <v>307</v>
      </c>
      <c r="Y253" s="146" t="s">
        <v>409</v>
      </c>
      <c r="Z253" s="293"/>
      <c r="AA253" s="294" t="s">
        <v>439</v>
      </c>
      <c r="AB253" s="294">
        <v>9</v>
      </c>
      <c r="AC253" s="296">
        <v>7</v>
      </c>
      <c r="AD253" s="301">
        <v>12915.07</v>
      </c>
      <c r="AE253" s="301">
        <v>84.930000000000291</v>
      </c>
      <c r="AF253" s="301"/>
      <c r="AG253" s="301">
        <v>960</v>
      </c>
      <c r="AH253" s="301"/>
      <c r="AI253" s="301"/>
      <c r="AJ253" s="301"/>
      <c r="AK253" s="301">
        <v>80</v>
      </c>
      <c r="AL253" s="301"/>
      <c r="AM253" s="301"/>
      <c r="AN253" s="301"/>
      <c r="AO253" s="301"/>
      <c r="AP253" s="301"/>
      <c r="AQ253" s="301"/>
      <c r="AR253" s="301"/>
      <c r="AS253" s="301"/>
      <c r="AT253" s="301"/>
      <c r="AU253" s="301"/>
      <c r="AV253" s="301"/>
      <c r="AW253" s="301"/>
      <c r="AX253" s="301"/>
      <c r="AY253" s="301"/>
      <c r="AZ253" s="301"/>
      <c r="BA253" s="301"/>
      <c r="BB253" s="301"/>
      <c r="BC253" s="301"/>
      <c r="BD253" s="301"/>
      <c r="BE253" s="301"/>
      <c r="BF253" s="301"/>
      <c r="BG253" s="301"/>
      <c r="BH253" s="301"/>
      <c r="BI253" s="301"/>
      <c r="BJ253" s="301"/>
      <c r="BK253" s="301"/>
      <c r="BL253" s="301"/>
      <c r="BM253" s="302"/>
      <c r="BN253" s="291">
        <f>+MAX($D$3,DATOS_[[#This Row],[Fecha Inicio Sit. Contract.]])</f>
        <v>45292</v>
      </c>
      <c r="BO253" s="291">
        <f>+MIN($D$4,DATOS_[[#This Row],[Fecha Fin Sit. Contract.]])</f>
        <v>45657</v>
      </c>
      <c r="BP253" s="292">
        <f>+DATOS_[[#This Row],[% de jornada]]*IF(DATOS_[[#This Row],[% jornada reducida]]="",1,DATOS_[[#This Row],[% jornada reducida]])</f>
        <v>1</v>
      </c>
      <c r="BQ253" s="292">
        <f>+(DATOS_[[#This Row],[F.fin.cal]]-DATOS_[[#This Row],[F.ini.cal]]+1)/($D$4-$D$3+1)</f>
        <v>1</v>
      </c>
      <c r="BR253" s="322" t="str">
        <f>IF(OR(AND(DATOS_[[#This Row],[Fecha Fin Contrato]]&lt;$D$3,DATOS_[[#This Row],[Fecha Fin Contrato]]&lt;&gt;""),DATOS_[[#This Row],[Fecha de Contratación]]&gt;$D$4),"Fuera","Dentro")</f>
        <v>Dentro</v>
      </c>
      <c r="BS253" s="322" t="str">
        <f t="array" ref="BS253">IF(MAX(IF(DATOS_[id]=DATOS_[[#This Row],[id]],DATOS_[F.fin.cal]))=DATOS_[[#This Row],[F.fin.cal]],"Sí","NO")</f>
        <v>Sí</v>
      </c>
      <c r="BT253" s="292" t="str">
        <f>IF(AND(DATOS_[[#This Row],[% normaliz]]&lt;&gt;1,DATOS_[[#This Row],[% anualiz]]=1),"Sí","NO")</f>
        <v>NO</v>
      </c>
      <c r="BU253" s="292" t="str">
        <f>IF(AND(DATOS_[[#This Row],[% normaliz]]=1,DATOS_[[#This Row],[% anualiz]]&lt;&gt;1),"Sí","NO")</f>
        <v>NO</v>
      </c>
      <c r="BV253" s="292" t="str">
        <f>IF(AND(DATOS_[[#This Row],[% normaliz]]&lt;&gt;1,DATOS_[[#This Row],[% anualiz]]&lt;&gt;1),"Sí","NO")</f>
        <v>NO</v>
      </c>
      <c r="BW253" s="322" t="str">
        <f>+IF(DATOS_[[#This Row],[% normaliz]]*DATOS_[[#This Row],[% anualiz]]=1,"NO","Sí")</f>
        <v>NO</v>
      </c>
      <c r="BX253" s="323">
        <f>(DATOS_[[#This Row],[S.BASE]]*(1/DATOS_[[#This Row],[% normaliz]])*(1/DATOS_[[#This Row],[% anualiz]]))*IF(DATOS_[[#This Row],[Check Equiparado]]="Sí",1,0)</f>
        <v>12915.07</v>
      </c>
      <c r="BY25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3" s="323">
        <f>+DATOS_[[#This Row],[SALARIO BASE Eq]]+DATOS_[[#This Row],[Tot COMPL.SAL Eq]]</f>
        <v>14040</v>
      </c>
      <c r="CA253" s="323">
        <f t="array" ref="CA2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3" s="323">
        <f>+DATOS_[[#This Row],[TOTAL SALARIO Eq]]+DATOS_[[#This Row],[Tot Extrasalarial Eq]]</f>
        <v>14040</v>
      </c>
      <c r="CC253" s="327">
        <f>DATOS_[[#This Row],[S.BASE]]</f>
        <v>12915.07</v>
      </c>
      <c r="CD253" s="324">
        <f>+SUM(DATOS_[[#This Row],[Conc.Sal.01]:[Conc.Sal.30]])</f>
        <v>1124.9300000000003</v>
      </c>
      <c r="CE253" s="324">
        <f>+DATOS_[[#This Row],[SALARIO BASE Ef]]+DATOS_[[#This Row],[Tot COMPL.SAL Ef]]</f>
        <v>14040</v>
      </c>
      <c r="CF253" s="324">
        <f>+SUM(DATOS_[[#This Row],[C.Extra.01]:[C.Extra.05]])</f>
        <v>0</v>
      </c>
      <c r="CG253" s="330">
        <f>+DATOS_[[#This Row],[TOTAL SALARIO Ef]]+DATOS_[[#This Row],[Tot Extrasalarial Ef]]</f>
        <v>14040</v>
      </c>
      <c r="CH253" s="303">
        <f>MIN(IF(DATOS_[[#This Row],[Fecha Fin Contrato]]="",$D$4,DATOS_[[#This Row],[Fecha Fin Contrato]]),$D$4)-MAX(DATOS_[[#This Row],[Fecha de Contratación]],$D$3)+1</f>
        <v>366</v>
      </c>
      <c r="CI253" s="304" t="str">
        <f>IF(COUNTIFS(DATOS_[id],DATOS_[[#This Row],[id]])&gt;1,DATOS_[[#This Row],[id]],"")</f>
        <v/>
      </c>
      <c r="CJ253" s="325">
        <f>(Inicio!$G$10-DATOS_[[#This Row],[Fecha Nacimiento]])/365.25</f>
        <v>40.060232717316907</v>
      </c>
      <c r="CK253" s="325">
        <f>(Inicio!$G$10-DATOS_[[#This Row],[Fecha de Antigüedad]])/365.25</f>
        <v>5.9137577002053385</v>
      </c>
      <c r="CL253" s="325" t="str">
        <f>+VLOOKUP(DATOS_[[#This Row],[Clave de Contrato]],TblTiposContrato13[],3,FALSE)</f>
        <v>Completa</v>
      </c>
      <c r="CM253" s="325" t="str">
        <f>+VLOOKUP(DATOS_[[#This Row],[Clave de Contrato]],TblTiposContrato13[],4,FALSE)</f>
        <v>Indefinido</v>
      </c>
      <c r="CN253" s="325" t="str">
        <f>VLOOKUP(DATOS_[[#This Row],[Edad]],CONTRATOS!TblRngEdad,2,TRUE)</f>
        <v>40 a 45</v>
      </c>
      <c r="CO253" s="325" t="str">
        <f>VLOOKUP(DATOS_[[#This Row],[Antigüedad]],TblRngAntg14[],2,TRUE)</f>
        <v>5 a 10  años</v>
      </c>
    </row>
    <row r="254" spans="2:93" x14ac:dyDescent="0.25">
      <c r="B254" s="146">
        <v>229</v>
      </c>
      <c r="C254" s="146" t="s">
        <v>162</v>
      </c>
      <c r="D254" s="295">
        <v>31755</v>
      </c>
      <c r="E254" s="296" t="s">
        <v>71</v>
      </c>
      <c r="F254" s="296">
        <v>2</v>
      </c>
      <c r="G254" s="296">
        <v>2</v>
      </c>
      <c r="H254" s="297">
        <v>43497</v>
      </c>
      <c r="I254" s="298"/>
      <c r="J254" s="295">
        <v>43497</v>
      </c>
      <c r="K254" s="326"/>
      <c r="L254" s="326"/>
      <c r="M254" s="299">
        <v>1</v>
      </c>
      <c r="N254" s="299"/>
      <c r="O254" s="299"/>
      <c r="P254" s="296">
        <v>100</v>
      </c>
      <c r="Q254" s="146" t="s">
        <v>414</v>
      </c>
      <c r="R254" s="146" t="s">
        <v>420</v>
      </c>
      <c r="S254" s="146" t="s">
        <v>440</v>
      </c>
      <c r="T254" s="146" t="s">
        <v>407</v>
      </c>
      <c r="U254" s="146" t="s">
        <v>400</v>
      </c>
      <c r="V254" s="146" t="s">
        <v>438</v>
      </c>
      <c r="W254" s="146" t="s">
        <v>311</v>
      </c>
      <c r="X254" s="146" t="s">
        <v>307</v>
      </c>
      <c r="Y254" s="146" t="s">
        <v>409</v>
      </c>
      <c r="Z254" s="293"/>
      <c r="AA254" s="294" t="s">
        <v>439</v>
      </c>
      <c r="AB254" s="294">
        <v>9</v>
      </c>
      <c r="AC254" s="296">
        <v>7</v>
      </c>
      <c r="AD254" s="301">
        <v>12915.07</v>
      </c>
      <c r="AE254" s="301">
        <v>84.930000000000291</v>
      </c>
      <c r="AF254" s="301"/>
      <c r="AG254" s="301">
        <v>960</v>
      </c>
      <c r="AH254" s="301"/>
      <c r="AI254" s="301"/>
      <c r="AJ254" s="301"/>
      <c r="AK254" s="301">
        <v>80</v>
      </c>
      <c r="AL254" s="301"/>
      <c r="AM254" s="301"/>
      <c r="AN254" s="301"/>
      <c r="AO254" s="301"/>
      <c r="AP254" s="301"/>
      <c r="AQ254" s="301"/>
      <c r="AR254" s="301"/>
      <c r="AS254" s="301"/>
      <c r="AT254" s="301"/>
      <c r="AU254" s="301"/>
      <c r="AV254" s="301"/>
      <c r="AW254" s="301"/>
      <c r="AX254" s="301"/>
      <c r="AY254" s="301"/>
      <c r="AZ254" s="301"/>
      <c r="BA254" s="301"/>
      <c r="BB254" s="301"/>
      <c r="BC254" s="301"/>
      <c r="BD254" s="301"/>
      <c r="BE254" s="301"/>
      <c r="BF254" s="301"/>
      <c r="BG254" s="301"/>
      <c r="BH254" s="301"/>
      <c r="BI254" s="301"/>
      <c r="BJ254" s="301"/>
      <c r="BK254" s="301"/>
      <c r="BL254" s="301"/>
      <c r="BM254" s="302"/>
      <c r="BN254" s="291">
        <f>+MAX($D$3,DATOS_[[#This Row],[Fecha Inicio Sit. Contract.]])</f>
        <v>45292</v>
      </c>
      <c r="BO254" s="291">
        <f>+MIN($D$4,DATOS_[[#This Row],[Fecha Fin Sit. Contract.]])</f>
        <v>45657</v>
      </c>
      <c r="BP254" s="292">
        <f>+DATOS_[[#This Row],[% de jornada]]*IF(DATOS_[[#This Row],[% jornada reducida]]="",1,DATOS_[[#This Row],[% jornada reducida]])</f>
        <v>1</v>
      </c>
      <c r="BQ254" s="292">
        <f>+(DATOS_[[#This Row],[F.fin.cal]]-DATOS_[[#This Row],[F.ini.cal]]+1)/($D$4-$D$3+1)</f>
        <v>1</v>
      </c>
      <c r="BR254" s="322" t="str">
        <f>IF(OR(AND(DATOS_[[#This Row],[Fecha Fin Contrato]]&lt;$D$3,DATOS_[[#This Row],[Fecha Fin Contrato]]&lt;&gt;""),DATOS_[[#This Row],[Fecha de Contratación]]&gt;$D$4),"Fuera","Dentro")</f>
        <v>Dentro</v>
      </c>
      <c r="BS254" s="322" t="str">
        <f t="array" ref="BS254">IF(MAX(IF(DATOS_[id]=DATOS_[[#This Row],[id]],DATOS_[F.fin.cal]))=DATOS_[[#This Row],[F.fin.cal]],"Sí","NO")</f>
        <v>Sí</v>
      </c>
      <c r="BT254" s="292" t="str">
        <f>IF(AND(DATOS_[[#This Row],[% normaliz]]&lt;&gt;1,DATOS_[[#This Row],[% anualiz]]=1),"Sí","NO")</f>
        <v>NO</v>
      </c>
      <c r="BU254" s="292" t="str">
        <f>IF(AND(DATOS_[[#This Row],[% normaliz]]=1,DATOS_[[#This Row],[% anualiz]]&lt;&gt;1),"Sí","NO")</f>
        <v>NO</v>
      </c>
      <c r="BV254" s="292" t="str">
        <f>IF(AND(DATOS_[[#This Row],[% normaliz]]&lt;&gt;1,DATOS_[[#This Row],[% anualiz]]&lt;&gt;1),"Sí","NO")</f>
        <v>NO</v>
      </c>
      <c r="BW254" s="322" t="str">
        <f>+IF(DATOS_[[#This Row],[% normaliz]]*DATOS_[[#This Row],[% anualiz]]=1,"NO","Sí")</f>
        <v>NO</v>
      </c>
      <c r="BX254" s="323">
        <f>(DATOS_[[#This Row],[S.BASE]]*(1/DATOS_[[#This Row],[% normaliz]])*(1/DATOS_[[#This Row],[% anualiz]]))*IF(DATOS_[[#This Row],[Check Equiparado]]="Sí",1,0)</f>
        <v>12915.07</v>
      </c>
      <c r="BY25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4" s="323">
        <f>+DATOS_[[#This Row],[SALARIO BASE Eq]]+DATOS_[[#This Row],[Tot COMPL.SAL Eq]]</f>
        <v>14040</v>
      </c>
      <c r="CA254" s="323">
        <f t="array" ref="CA2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4" s="323">
        <f>+DATOS_[[#This Row],[TOTAL SALARIO Eq]]+DATOS_[[#This Row],[Tot Extrasalarial Eq]]</f>
        <v>14040</v>
      </c>
      <c r="CC254" s="327">
        <f>DATOS_[[#This Row],[S.BASE]]</f>
        <v>12915.07</v>
      </c>
      <c r="CD254" s="324">
        <f>+SUM(DATOS_[[#This Row],[Conc.Sal.01]:[Conc.Sal.30]])</f>
        <v>1124.9300000000003</v>
      </c>
      <c r="CE254" s="324">
        <f>+DATOS_[[#This Row],[SALARIO BASE Ef]]+DATOS_[[#This Row],[Tot COMPL.SAL Ef]]</f>
        <v>14040</v>
      </c>
      <c r="CF254" s="324">
        <f>+SUM(DATOS_[[#This Row],[C.Extra.01]:[C.Extra.05]])</f>
        <v>0</v>
      </c>
      <c r="CG254" s="330">
        <f>+DATOS_[[#This Row],[TOTAL SALARIO Ef]]+DATOS_[[#This Row],[Tot Extrasalarial Ef]]</f>
        <v>14040</v>
      </c>
      <c r="CH254" s="303">
        <f>MIN(IF(DATOS_[[#This Row],[Fecha Fin Contrato]]="",$D$4,DATOS_[[#This Row],[Fecha Fin Contrato]]),$D$4)-MAX(DATOS_[[#This Row],[Fecha de Contratación]],$D$3)+1</f>
        <v>366</v>
      </c>
      <c r="CI254" s="304" t="str">
        <f>IF(COUNTIFS(DATOS_[id],DATOS_[[#This Row],[id]])&gt;1,DATOS_[[#This Row],[id]],"")</f>
        <v/>
      </c>
      <c r="CJ254" s="325">
        <f>(Inicio!$G$10-DATOS_[[#This Row],[Fecha Nacimiento]])/365.25</f>
        <v>38.061601642710471</v>
      </c>
      <c r="CK254" s="325">
        <f>(Inicio!$G$10-DATOS_[[#This Row],[Fecha de Antigüedad]])/365.25</f>
        <v>5.9137577002053385</v>
      </c>
      <c r="CL254" s="325" t="str">
        <f>+VLOOKUP(DATOS_[[#This Row],[Clave de Contrato]],TblTiposContrato13[],3,FALSE)</f>
        <v>Completa</v>
      </c>
      <c r="CM254" s="325" t="str">
        <f>+VLOOKUP(DATOS_[[#This Row],[Clave de Contrato]],TblTiposContrato13[],4,FALSE)</f>
        <v>Indefinido</v>
      </c>
      <c r="CN254" s="325" t="str">
        <f>VLOOKUP(DATOS_[[#This Row],[Edad]],CONTRATOS!TblRngEdad,2,TRUE)</f>
        <v>35 a 40</v>
      </c>
      <c r="CO254" s="325" t="str">
        <f>VLOOKUP(DATOS_[[#This Row],[Antigüedad]],TblRngAntg14[],2,TRUE)</f>
        <v>5 a 10  años</v>
      </c>
    </row>
    <row r="255" spans="2:93" x14ac:dyDescent="0.25">
      <c r="B255" s="146">
        <v>230</v>
      </c>
      <c r="C255" s="146" t="s">
        <v>162</v>
      </c>
      <c r="D255" s="295">
        <v>31390</v>
      </c>
      <c r="E255" s="296" t="s">
        <v>71</v>
      </c>
      <c r="F255" s="296">
        <v>2</v>
      </c>
      <c r="G255" s="296">
        <v>3</v>
      </c>
      <c r="H255" s="297">
        <v>43497</v>
      </c>
      <c r="I255" s="298"/>
      <c r="J255" s="295">
        <v>43497</v>
      </c>
      <c r="K255" s="326"/>
      <c r="L255" s="326"/>
      <c r="M255" s="299">
        <v>1</v>
      </c>
      <c r="N255" s="299"/>
      <c r="O255" s="299"/>
      <c r="P255" s="296">
        <v>100</v>
      </c>
      <c r="Q255" s="146" t="s">
        <v>414</v>
      </c>
      <c r="R255" s="146" t="s">
        <v>420</v>
      </c>
      <c r="S255" s="146" t="s">
        <v>440</v>
      </c>
      <c r="T255" s="146" t="s">
        <v>407</v>
      </c>
      <c r="U255" s="146" t="s">
        <v>400</v>
      </c>
      <c r="V255" s="146" t="s">
        <v>438</v>
      </c>
      <c r="W255" s="146" t="s">
        <v>311</v>
      </c>
      <c r="X255" s="146" t="s">
        <v>307</v>
      </c>
      <c r="Y255" s="146" t="s">
        <v>409</v>
      </c>
      <c r="Z255" s="293"/>
      <c r="AA255" s="294" t="s">
        <v>439</v>
      </c>
      <c r="AB255" s="294">
        <v>9</v>
      </c>
      <c r="AC255" s="296">
        <v>7</v>
      </c>
      <c r="AD255" s="301">
        <v>12915.07</v>
      </c>
      <c r="AE255" s="301">
        <v>84.930000000000291</v>
      </c>
      <c r="AF255" s="301"/>
      <c r="AG255" s="301">
        <v>960</v>
      </c>
      <c r="AH255" s="301"/>
      <c r="AI255" s="301"/>
      <c r="AJ255" s="301"/>
      <c r="AK255" s="301">
        <v>80</v>
      </c>
      <c r="AL255" s="301"/>
      <c r="AM255" s="301"/>
      <c r="AN255" s="301"/>
      <c r="AO255" s="301"/>
      <c r="AP255" s="301"/>
      <c r="AQ255" s="301"/>
      <c r="AR255" s="301"/>
      <c r="AS255" s="301"/>
      <c r="AT255" s="301"/>
      <c r="AU255" s="301"/>
      <c r="AV255" s="301"/>
      <c r="AW255" s="301"/>
      <c r="AX255" s="301"/>
      <c r="AY255" s="301"/>
      <c r="AZ255" s="301"/>
      <c r="BA255" s="301"/>
      <c r="BB255" s="301"/>
      <c r="BC255" s="301"/>
      <c r="BD255" s="301"/>
      <c r="BE255" s="301"/>
      <c r="BF255" s="301"/>
      <c r="BG255" s="301"/>
      <c r="BH255" s="301"/>
      <c r="BI255" s="301"/>
      <c r="BJ255" s="301"/>
      <c r="BK255" s="301"/>
      <c r="BL255" s="301"/>
      <c r="BM255" s="302"/>
      <c r="BN255" s="291">
        <f>+MAX($D$3,DATOS_[[#This Row],[Fecha Inicio Sit. Contract.]])</f>
        <v>45292</v>
      </c>
      <c r="BO255" s="291">
        <f>+MIN($D$4,DATOS_[[#This Row],[Fecha Fin Sit. Contract.]])</f>
        <v>45657</v>
      </c>
      <c r="BP255" s="292">
        <f>+DATOS_[[#This Row],[% de jornada]]*IF(DATOS_[[#This Row],[% jornada reducida]]="",1,DATOS_[[#This Row],[% jornada reducida]])</f>
        <v>1</v>
      </c>
      <c r="BQ255" s="292">
        <f>+(DATOS_[[#This Row],[F.fin.cal]]-DATOS_[[#This Row],[F.ini.cal]]+1)/($D$4-$D$3+1)</f>
        <v>1</v>
      </c>
      <c r="BR255" s="322" t="str">
        <f>IF(OR(AND(DATOS_[[#This Row],[Fecha Fin Contrato]]&lt;$D$3,DATOS_[[#This Row],[Fecha Fin Contrato]]&lt;&gt;""),DATOS_[[#This Row],[Fecha de Contratación]]&gt;$D$4),"Fuera","Dentro")</f>
        <v>Dentro</v>
      </c>
      <c r="BS255" s="322" t="str">
        <f t="array" ref="BS255">IF(MAX(IF(DATOS_[id]=DATOS_[[#This Row],[id]],DATOS_[F.fin.cal]))=DATOS_[[#This Row],[F.fin.cal]],"Sí","NO")</f>
        <v>Sí</v>
      </c>
      <c r="BT255" s="292" t="str">
        <f>IF(AND(DATOS_[[#This Row],[% normaliz]]&lt;&gt;1,DATOS_[[#This Row],[% anualiz]]=1),"Sí","NO")</f>
        <v>NO</v>
      </c>
      <c r="BU255" s="292" t="str">
        <f>IF(AND(DATOS_[[#This Row],[% normaliz]]=1,DATOS_[[#This Row],[% anualiz]]&lt;&gt;1),"Sí","NO")</f>
        <v>NO</v>
      </c>
      <c r="BV255" s="292" t="str">
        <f>IF(AND(DATOS_[[#This Row],[% normaliz]]&lt;&gt;1,DATOS_[[#This Row],[% anualiz]]&lt;&gt;1),"Sí","NO")</f>
        <v>NO</v>
      </c>
      <c r="BW255" s="322" t="str">
        <f>+IF(DATOS_[[#This Row],[% normaliz]]*DATOS_[[#This Row],[% anualiz]]=1,"NO","Sí")</f>
        <v>NO</v>
      </c>
      <c r="BX255" s="323">
        <f>(DATOS_[[#This Row],[S.BASE]]*(1/DATOS_[[#This Row],[% normaliz]])*(1/DATOS_[[#This Row],[% anualiz]]))*IF(DATOS_[[#This Row],[Check Equiparado]]="Sí",1,0)</f>
        <v>12915.07</v>
      </c>
      <c r="BY25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5" s="323">
        <f>+DATOS_[[#This Row],[SALARIO BASE Eq]]+DATOS_[[#This Row],[Tot COMPL.SAL Eq]]</f>
        <v>14040</v>
      </c>
      <c r="CA255" s="323">
        <f t="array" ref="CA2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5" s="323">
        <f>+DATOS_[[#This Row],[TOTAL SALARIO Eq]]+DATOS_[[#This Row],[Tot Extrasalarial Eq]]</f>
        <v>14040</v>
      </c>
      <c r="CC255" s="327">
        <f>DATOS_[[#This Row],[S.BASE]]</f>
        <v>12915.07</v>
      </c>
      <c r="CD255" s="324">
        <f>+SUM(DATOS_[[#This Row],[Conc.Sal.01]:[Conc.Sal.30]])</f>
        <v>1124.9300000000003</v>
      </c>
      <c r="CE255" s="324">
        <f>+DATOS_[[#This Row],[SALARIO BASE Ef]]+DATOS_[[#This Row],[Tot COMPL.SAL Ef]]</f>
        <v>14040</v>
      </c>
      <c r="CF255" s="324">
        <f>+SUM(DATOS_[[#This Row],[C.Extra.01]:[C.Extra.05]])</f>
        <v>0</v>
      </c>
      <c r="CG255" s="330">
        <f>+DATOS_[[#This Row],[TOTAL SALARIO Ef]]+DATOS_[[#This Row],[Tot Extrasalarial Ef]]</f>
        <v>14040</v>
      </c>
      <c r="CH255" s="303">
        <f>MIN(IF(DATOS_[[#This Row],[Fecha Fin Contrato]]="",$D$4,DATOS_[[#This Row],[Fecha Fin Contrato]]),$D$4)-MAX(DATOS_[[#This Row],[Fecha de Contratación]],$D$3)+1</f>
        <v>366</v>
      </c>
      <c r="CI255" s="304" t="str">
        <f>IF(COUNTIFS(DATOS_[id],DATOS_[[#This Row],[id]])&gt;1,DATOS_[[#This Row],[id]],"")</f>
        <v/>
      </c>
      <c r="CJ255" s="325">
        <f>(Inicio!$G$10-DATOS_[[#This Row],[Fecha Nacimiento]])/365.25</f>
        <v>39.060917180013689</v>
      </c>
      <c r="CK255" s="325">
        <f>(Inicio!$G$10-DATOS_[[#This Row],[Fecha de Antigüedad]])/365.25</f>
        <v>5.9137577002053385</v>
      </c>
      <c r="CL255" s="325" t="str">
        <f>+VLOOKUP(DATOS_[[#This Row],[Clave de Contrato]],TblTiposContrato13[],3,FALSE)</f>
        <v>Completa</v>
      </c>
      <c r="CM255" s="325" t="str">
        <f>+VLOOKUP(DATOS_[[#This Row],[Clave de Contrato]],TblTiposContrato13[],4,FALSE)</f>
        <v>Indefinido</v>
      </c>
      <c r="CN255" s="325" t="str">
        <f>VLOOKUP(DATOS_[[#This Row],[Edad]],CONTRATOS!TblRngEdad,2,TRUE)</f>
        <v>35 a 40</v>
      </c>
      <c r="CO255" s="325" t="str">
        <f>VLOOKUP(DATOS_[[#This Row],[Antigüedad]],TblRngAntg14[],2,TRUE)</f>
        <v>5 a 10  años</v>
      </c>
    </row>
    <row r="256" spans="2:93" x14ac:dyDescent="0.25">
      <c r="B256" s="146">
        <v>231</v>
      </c>
      <c r="C256" s="146" t="s">
        <v>162</v>
      </c>
      <c r="D256" s="295">
        <v>33215</v>
      </c>
      <c r="E256" s="296" t="s">
        <v>71</v>
      </c>
      <c r="F256" s="296">
        <v>2</v>
      </c>
      <c r="G256" s="296">
        <v>3</v>
      </c>
      <c r="H256" s="297">
        <v>43497</v>
      </c>
      <c r="I256" s="298"/>
      <c r="J256" s="295">
        <v>43497</v>
      </c>
      <c r="K256" s="326"/>
      <c r="L256" s="326"/>
      <c r="M256" s="299">
        <v>1</v>
      </c>
      <c r="N256" s="299"/>
      <c r="O256" s="299"/>
      <c r="P256" s="296">
        <v>100</v>
      </c>
      <c r="Q256" s="146" t="s">
        <v>414</v>
      </c>
      <c r="R256" s="146" t="s">
        <v>420</v>
      </c>
      <c r="S256" s="146" t="s">
        <v>440</v>
      </c>
      <c r="T256" s="146" t="s">
        <v>407</v>
      </c>
      <c r="U256" s="146" t="s">
        <v>400</v>
      </c>
      <c r="V256" s="146" t="s">
        <v>438</v>
      </c>
      <c r="W256" s="146" t="s">
        <v>311</v>
      </c>
      <c r="X256" s="146" t="s">
        <v>307</v>
      </c>
      <c r="Y256" s="146" t="s">
        <v>409</v>
      </c>
      <c r="Z256" s="293"/>
      <c r="AA256" s="294" t="s">
        <v>439</v>
      </c>
      <c r="AB256" s="294">
        <v>9</v>
      </c>
      <c r="AC256" s="296">
        <v>7</v>
      </c>
      <c r="AD256" s="301">
        <v>12915.07</v>
      </c>
      <c r="AE256" s="301">
        <v>84.930000000000291</v>
      </c>
      <c r="AF256" s="301"/>
      <c r="AG256" s="301">
        <v>960</v>
      </c>
      <c r="AH256" s="301"/>
      <c r="AI256" s="301"/>
      <c r="AJ256" s="301"/>
      <c r="AK256" s="301">
        <v>80</v>
      </c>
      <c r="AL256" s="301"/>
      <c r="AM256" s="301"/>
      <c r="AN256" s="301"/>
      <c r="AO256" s="301"/>
      <c r="AP256" s="301"/>
      <c r="AQ256" s="301"/>
      <c r="AR256" s="301"/>
      <c r="AS256" s="301"/>
      <c r="AT256" s="301"/>
      <c r="AU256" s="301"/>
      <c r="AV256" s="301"/>
      <c r="AW256" s="301"/>
      <c r="AX256" s="301"/>
      <c r="AY256" s="301"/>
      <c r="AZ256" s="301"/>
      <c r="BA256" s="301"/>
      <c r="BB256" s="301"/>
      <c r="BC256" s="301"/>
      <c r="BD256" s="301"/>
      <c r="BE256" s="301"/>
      <c r="BF256" s="301"/>
      <c r="BG256" s="301"/>
      <c r="BH256" s="301"/>
      <c r="BI256" s="301"/>
      <c r="BJ256" s="301"/>
      <c r="BK256" s="301"/>
      <c r="BL256" s="301"/>
      <c r="BM256" s="302"/>
      <c r="BN256" s="291">
        <f>+MAX($D$3,DATOS_[[#This Row],[Fecha Inicio Sit. Contract.]])</f>
        <v>45292</v>
      </c>
      <c r="BO256" s="291">
        <f>+MIN($D$4,DATOS_[[#This Row],[Fecha Fin Sit. Contract.]])</f>
        <v>45657</v>
      </c>
      <c r="BP256" s="292">
        <f>+DATOS_[[#This Row],[% de jornada]]*IF(DATOS_[[#This Row],[% jornada reducida]]="",1,DATOS_[[#This Row],[% jornada reducida]])</f>
        <v>1</v>
      </c>
      <c r="BQ256" s="292">
        <f>+(DATOS_[[#This Row],[F.fin.cal]]-DATOS_[[#This Row],[F.ini.cal]]+1)/($D$4-$D$3+1)</f>
        <v>1</v>
      </c>
      <c r="BR256" s="322" t="str">
        <f>IF(OR(AND(DATOS_[[#This Row],[Fecha Fin Contrato]]&lt;$D$3,DATOS_[[#This Row],[Fecha Fin Contrato]]&lt;&gt;""),DATOS_[[#This Row],[Fecha de Contratación]]&gt;$D$4),"Fuera","Dentro")</f>
        <v>Dentro</v>
      </c>
      <c r="BS256" s="322" t="str">
        <f t="array" ref="BS256">IF(MAX(IF(DATOS_[id]=DATOS_[[#This Row],[id]],DATOS_[F.fin.cal]))=DATOS_[[#This Row],[F.fin.cal]],"Sí","NO")</f>
        <v>Sí</v>
      </c>
      <c r="BT256" s="292" t="str">
        <f>IF(AND(DATOS_[[#This Row],[% normaliz]]&lt;&gt;1,DATOS_[[#This Row],[% anualiz]]=1),"Sí","NO")</f>
        <v>NO</v>
      </c>
      <c r="BU256" s="292" t="str">
        <f>IF(AND(DATOS_[[#This Row],[% normaliz]]=1,DATOS_[[#This Row],[% anualiz]]&lt;&gt;1),"Sí","NO")</f>
        <v>NO</v>
      </c>
      <c r="BV256" s="292" t="str">
        <f>IF(AND(DATOS_[[#This Row],[% normaliz]]&lt;&gt;1,DATOS_[[#This Row],[% anualiz]]&lt;&gt;1),"Sí","NO")</f>
        <v>NO</v>
      </c>
      <c r="BW256" s="322" t="str">
        <f>+IF(DATOS_[[#This Row],[% normaliz]]*DATOS_[[#This Row],[% anualiz]]=1,"NO","Sí")</f>
        <v>NO</v>
      </c>
      <c r="BX256" s="323">
        <f>(DATOS_[[#This Row],[S.BASE]]*(1/DATOS_[[#This Row],[% normaliz]])*(1/DATOS_[[#This Row],[% anualiz]]))*IF(DATOS_[[#This Row],[Check Equiparado]]="Sí",1,0)</f>
        <v>12915.07</v>
      </c>
      <c r="BY25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6" s="323">
        <f>+DATOS_[[#This Row],[SALARIO BASE Eq]]+DATOS_[[#This Row],[Tot COMPL.SAL Eq]]</f>
        <v>14040</v>
      </c>
      <c r="CA256" s="323">
        <f t="array" ref="CA2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6" s="323">
        <f>+DATOS_[[#This Row],[TOTAL SALARIO Eq]]+DATOS_[[#This Row],[Tot Extrasalarial Eq]]</f>
        <v>14040</v>
      </c>
      <c r="CC256" s="327">
        <f>DATOS_[[#This Row],[S.BASE]]</f>
        <v>12915.07</v>
      </c>
      <c r="CD256" s="324">
        <f>+SUM(DATOS_[[#This Row],[Conc.Sal.01]:[Conc.Sal.30]])</f>
        <v>1124.9300000000003</v>
      </c>
      <c r="CE256" s="324">
        <f>+DATOS_[[#This Row],[SALARIO BASE Ef]]+DATOS_[[#This Row],[Tot COMPL.SAL Ef]]</f>
        <v>14040</v>
      </c>
      <c r="CF256" s="324">
        <f>+SUM(DATOS_[[#This Row],[C.Extra.01]:[C.Extra.05]])</f>
        <v>0</v>
      </c>
      <c r="CG256" s="330">
        <f>+DATOS_[[#This Row],[TOTAL SALARIO Ef]]+DATOS_[[#This Row],[Tot Extrasalarial Ef]]</f>
        <v>14040</v>
      </c>
      <c r="CH256" s="303">
        <f>MIN(IF(DATOS_[[#This Row],[Fecha Fin Contrato]]="",$D$4,DATOS_[[#This Row],[Fecha Fin Contrato]]),$D$4)-MAX(DATOS_[[#This Row],[Fecha de Contratación]],$D$3)+1</f>
        <v>366</v>
      </c>
      <c r="CI256" s="304" t="str">
        <f>IF(COUNTIFS(DATOS_[id],DATOS_[[#This Row],[id]])&gt;1,DATOS_[[#This Row],[id]],"")</f>
        <v/>
      </c>
      <c r="CJ256" s="325">
        <f>(Inicio!$G$10-DATOS_[[#This Row],[Fecha Nacimiento]])/365.25</f>
        <v>34.064339493497606</v>
      </c>
      <c r="CK256" s="325">
        <f>(Inicio!$G$10-DATOS_[[#This Row],[Fecha de Antigüedad]])/365.25</f>
        <v>5.9137577002053385</v>
      </c>
      <c r="CL256" s="325" t="str">
        <f>+VLOOKUP(DATOS_[[#This Row],[Clave de Contrato]],TblTiposContrato13[],3,FALSE)</f>
        <v>Completa</v>
      </c>
      <c r="CM256" s="325" t="str">
        <f>+VLOOKUP(DATOS_[[#This Row],[Clave de Contrato]],TblTiposContrato13[],4,FALSE)</f>
        <v>Indefinido</v>
      </c>
      <c r="CN256" s="325" t="str">
        <f>VLOOKUP(DATOS_[[#This Row],[Edad]],CONTRATOS!TblRngEdad,2,TRUE)</f>
        <v>30 a 35</v>
      </c>
      <c r="CO256" s="325" t="str">
        <f>VLOOKUP(DATOS_[[#This Row],[Antigüedad]],TblRngAntg14[],2,TRUE)</f>
        <v>5 a 10  años</v>
      </c>
    </row>
    <row r="257" spans="2:93" x14ac:dyDescent="0.25">
      <c r="B257" s="146">
        <v>232</v>
      </c>
      <c r="C257" s="146" t="s">
        <v>162</v>
      </c>
      <c r="D257" s="295">
        <v>34675</v>
      </c>
      <c r="E257" s="296" t="s">
        <v>71</v>
      </c>
      <c r="F257" s="296">
        <v>2</v>
      </c>
      <c r="G257" s="296">
        <v>2</v>
      </c>
      <c r="H257" s="297">
        <v>43497</v>
      </c>
      <c r="I257" s="298"/>
      <c r="J257" s="295">
        <v>43497</v>
      </c>
      <c r="K257" s="326"/>
      <c r="L257" s="326"/>
      <c r="M257" s="299">
        <v>1</v>
      </c>
      <c r="N257" s="299"/>
      <c r="O257" s="299"/>
      <c r="P257" s="296">
        <v>100</v>
      </c>
      <c r="Q257" s="146" t="s">
        <v>414</v>
      </c>
      <c r="R257" s="146" t="s">
        <v>420</v>
      </c>
      <c r="S257" s="146" t="s">
        <v>440</v>
      </c>
      <c r="T257" s="146" t="s">
        <v>407</v>
      </c>
      <c r="U257" s="146" t="s">
        <v>400</v>
      </c>
      <c r="V257" s="146" t="s">
        <v>438</v>
      </c>
      <c r="W257" s="146" t="s">
        <v>311</v>
      </c>
      <c r="X257" s="146" t="s">
        <v>307</v>
      </c>
      <c r="Y257" s="146" t="s">
        <v>409</v>
      </c>
      <c r="Z257" s="293"/>
      <c r="AA257" s="294" t="s">
        <v>439</v>
      </c>
      <c r="AB257" s="294">
        <v>9</v>
      </c>
      <c r="AC257" s="296">
        <v>7</v>
      </c>
      <c r="AD257" s="301">
        <v>12915.07</v>
      </c>
      <c r="AE257" s="301">
        <v>84.930000000000291</v>
      </c>
      <c r="AF257" s="301"/>
      <c r="AG257" s="301">
        <v>960</v>
      </c>
      <c r="AH257" s="301"/>
      <c r="AI257" s="301"/>
      <c r="AJ257" s="301"/>
      <c r="AK257" s="301">
        <v>80</v>
      </c>
      <c r="AL257" s="301"/>
      <c r="AM257" s="301"/>
      <c r="AN257" s="301"/>
      <c r="AO257" s="301"/>
      <c r="AP257" s="301"/>
      <c r="AQ257" s="301"/>
      <c r="AR257" s="301"/>
      <c r="AS257" s="301"/>
      <c r="AT257" s="301"/>
      <c r="AU257" s="301"/>
      <c r="AV257" s="301"/>
      <c r="AW257" s="301"/>
      <c r="AX257" s="301"/>
      <c r="AY257" s="301"/>
      <c r="AZ257" s="301"/>
      <c r="BA257" s="301"/>
      <c r="BB257" s="301"/>
      <c r="BC257" s="301"/>
      <c r="BD257" s="301"/>
      <c r="BE257" s="301"/>
      <c r="BF257" s="301"/>
      <c r="BG257" s="301"/>
      <c r="BH257" s="301"/>
      <c r="BI257" s="301"/>
      <c r="BJ257" s="301"/>
      <c r="BK257" s="301"/>
      <c r="BL257" s="301"/>
      <c r="BM257" s="302"/>
      <c r="BN257" s="291">
        <f>+MAX($D$3,DATOS_[[#This Row],[Fecha Inicio Sit. Contract.]])</f>
        <v>45292</v>
      </c>
      <c r="BO257" s="291">
        <f>+MIN($D$4,DATOS_[[#This Row],[Fecha Fin Sit. Contract.]])</f>
        <v>45657</v>
      </c>
      <c r="BP257" s="292">
        <f>+DATOS_[[#This Row],[% de jornada]]*IF(DATOS_[[#This Row],[% jornada reducida]]="",1,DATOS_[[#This Row],[% jornada reducida]])</f>
        <v>1</v>
      </c>
      <c r="BQ257" s="292">
        <f>+(DATOS_[[#This Row],[F.fin.cal]]-DATOS_[[#This Row],[F.ini.cal]]+1)/($D$4-$D$3+1)</f>
        <v>1</v>
      </c>
      <c r="BR257" s="322" t="str">
        <f>IF(OR(AND(DATOS_[[#This Row],[Fecha Fin Contrato]]&lt;$D$3,DATOS_[[#This Row],[Fecha Fin Contrato]]&lt;&gt;""),DATOS_[[#This Row],[Fecha de Contratación]]&gt;$D$4),"Fuera","Dentro")</f>
        <v>Dentro</v>
      </c>
      <c r="BS257" s="322" t="str">
        <f t="array" ref="BS257">IF(MAX(IF(DATOS_[id]=DATOS_[[#This Row],[id]],DATOS_[F.fin.cal]))=DATOS_[[#This Row],[F.fin.cal]],"Sí","NO")</f>
        <v>Sí</v>
      </c>
      <c r="BT257" s="292" t="str">
        <f>IF(AND(DATOS_[[#This Row],[% normaliz]]&lt;&gt;1,DATOS_[[#This Row],[% anualiz]]=1),"Sí","NO")</f>
        <v>NO</v>
      </c>
      <c r="BU257" s="292" t="str">
        <f>IF(AND(DATOS_[[#This Row],[% normaliz]]=1,DATOS_[[#This Row],[% anualiz]]&lt;&gt;1),"Sí","NO")</f>
        <v>NO</v>
      </c>
      <c r="BV257" s="292" t="str">
        <f>IF(AND(DATOS_[[#This Row],[% normaliz]]&lt;&gt;1,DATOS_[[#This Row],[% anualiz]]&lt;&gt;1),"Sí","NO")</f>
        <v>NO</v>
      </c>
      <c r="BW257" s="322" t="str">
        <f>+IF(DATOS_[[#This Row],[% normaliz]]*DATOS_[[#This Row],[% anualiz]]=1,"NO","Sí")</f>
        <v>NO</v>
      </c>
      <c r="BX257" s="323">
        <f>(DATOS_[[#This Row],[S.BASE]]*(1/DATOS_[[#This Row],[% normaliz]])*(1/DATOS_[[#This Row],[% anualiz]]))*IF(DATOS_[[#This Row],[Check Equiparado]]="Sí",1,0)</f>
        <v>12915.07</v>
      </c>
      <c r="BY25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7" s="323">
        <f>+DATOS_[[#This Row],[SALARIO BASE Eq]]+DATOS_[[#This Row],[Tot COMPL.SAL Eq]]</f>
        <v>14040</v>
      </c>
      <c r="CA257" s="323">
        <f t="array" ref="CA2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7" s="323">
        <f>+DATOS_[[#This Row],[TOTAL SALARIO Eq]]+DATOS_[[#This Row],[Tot Extrasalarial Eq]]</f>
        <v>14040</v>
      </c>
      <c r="CC257" s="327">
        <f>DATOS_[[#This Row],[S.BASE]]</f>
        <v>12915.07</v>
      </c>
      <c r="CD257" s="324">
        <f>+SUM(DATOS_[[#This Row],[Conc.Sal.01]:[Conc.Sal.30]])</f>
        <v>1124.9300000000003</v>
      </c>
      <c r="CE257" s="324">
        <f>+DATOS_[[#This Row],[SALARIO BASE Ef]]+DATOS_[[#This Row],[Tot COMPL.SAL Ef]]</f>
        <v>14040</v>
      </c>
      <c r="CF257" s="324">
        <f>+SUM(DATOS_[[#This Row],[C.Extra.01]:[C.Extra.05]])</f>
        <v>0</v>
      </c>
      <c r="CG257" s="330">
        <f>+DATOS_[[#This Row],[TOTAL SALARIO Ef]]+DATOS_[[#This Row],[Tot Extrasalarial Ef]]</f>
        <v>14040</v>
      </c>
      <c r="CH257" s="303">
        <f>MIN(IF(DATOS_[[#This Row],[Fecha Fin Contrato]]="",$D$4,DATOS_[[#This Row],[Fecha Fin Contrato]]),$D$4)-MAX(DATOS_[[#This Row],[Fecha de Contratación]],$D$3)+1</f>
        <v>366</v>
      </c>
      <c r="CI257" s="304" t="str">
        <f>IF(COUNTIFS(DATOS_[id],DATOS_[[#This Row],[id]])&gt;1,DATOS_[[#This Row],[id]],"")</f>
        <v/>
      </c>
      <c r="CJ257" s="325">
        <f>(Inicio!$G$10-DATOS_[[#This Row],[Fecha Nacimiento]])/365.25</f>
        <v>30.067077344284737</v>
      </c>
      <c r="CK257" s="325">
        <f>(Inicio!$G$10-DATOS_[[#This Row],[Fecha de Antigüedad]])/365.25</f>
        <v>5.9137577002053385</v>
      </c>
      <c r="CL257" s="325" t="str">
        <f>+VLOOKUP(DATOS_[[#This Row],[Clave de Contrato]],TblTiposContrato13[],3,FALSE)</f>
        <v>Completa</v>
      </c>
      <c r="CM257" s="325" t="str">
        <f>+VLOOKUP(DATOS_[[#This Row],[Clave de Contrato]],TblTiposContrato13[],4,FALSE)</f>
        <v>Indefinido</v>
      </c>
      <c r="CN257" s="325" t="str">
        <f>VLOOKUP(DATOS_[[#This Row],[Edad]],CONTRATOS!TblRngEdad,2,TRUE)</f>
        <v>30 a 35</v>
      </c>
      <c r="CO257" s="325" t="str">
        <f>VLOOKUP(DATOS_[[#This Row],[Antigüedad]],TblRngAntg14[],2,TRUE)</f>
        <v>5 a 10  años</v>
      </c>
    </row>
    <row r="258" spans="2:93" x14ac:dyDescent="0.25">
      <c r="B258" s="146">
        <v>233</v>
      </c>
      <c r="C258" s="146" t="s">
        <v>162</v>
      </c>
      <c r="D258" s="295">
        <v>29200</v>
      </c>
      <c r="E258" s="296" t="s">
        <v>71</v>
      </c>
      <c r="F258" s="296">
        <v>2</v>
      </c>
      <c r="G258" s="296">
        <v>1</v>
      </c>
      <c r="H258" s="297">
        <v>43497</v>
      </c>
      <c r="I258" s="298"/>
      <c r="J258" s="295">
        <v>43497</v>
      </c>
      <c r="K258" s="326"/>
      <c r="L258" s="326"/>
      <c r="M258" s="299">
        <v>1</v>
      </c>
      <c r="N258" s="299"/>
      <c r="O258" s="299"/>
      <c r="P258" s="296">
        <v>100</v>
      </c>
      <c r="Q258" s="146" t="s">
        <v>414</v>
      </c>
      <c r="R258" s="146" t="s">
        <v>420</v>
      </c>
      <c r="S258" s="146" t="s">
        <v>440</v>
      </c>
      <c r="T258" s="146" t="s">
        <v>407</v>
      </c>
      <c r="U258" s="146" t="s">
        <v>400</v>
      </c>
      <c r="V258" s="146" t="s">
        <v>438</v>
      </c>
      <c r="W258" s="146" t="s">
        <v>311</v>
      </c>
      <c r="X258" s="146" t="s">
        <v>307</v>
      </c>
      <c r="Y258" s="146" t="s">
        <v>409</v>
      </c>
      <c r="Z258" s="293"/>
      <c r="AA258" s="294" t="s">
        <v>439</v>
      </c>
      <c r="AB258" s="294">
        <v>9</v>
      </c>
      <c r="AC258" s="296">
        <v>7</v>
      </c>
      <c r="AD258" s="301">
        <v>12915.07</v>
      </c>
      <c r="AE258" s="301">
        <v>84.930000000000291</v>
      </c>
      <c r="AF258" s="301"/>
      <c r="AG258" s="301">
        <v>960</v>
      </c>
      <c r="AH258" s="301"/>
      <c r="AI258" s="301"/>
      <c r="AJ258" s="301"/>
      <c r="AK258" s="301">
        <v>80</v>
      </c>
      <c r="AL258" s="301"/>
      <c r="AM258" s="301"/>
      <c r="AN258" s="301"/>
      <c r="AO258" s="301"/>
      <c r="AP258" s="301"/>
      <c r="AQ258" s="301"/>
      <c r="AR258" s="301"/>
      <c r="AS258" s="301"/>
      <c r="AT258" s="301"/>
      <c r="AU258" s="301"/>
      <c r="AV258" s="301"/>
      <c r="AW258" s="301"/>
      <c r="AX258" s="301"/>
      <c r="AY258" s="301"/>
      <c r="AZ258" s="301"/>
      <c r="BA258" s="301"/>
      <c r="BB258" s="301"/>
      <c r="BC258" s="301"/>
      <c r="BD258" s="301"/>
      <c r="BE258" s="301"/>
      <c r="BF258" s="301"/>
      <c r="BG258" s="301"/>
      <c r="BH258" s="301"/>
      <c r="BI258" s="301"/>
      <c r="BJ258" s="301"/>
      <c r="BK258" s="301"/>
      <c r="BL258" s="301"/>
      <c r="BM258" s="302"/>
      <c r="BN258" s="291">
        <f>+MAX($D$3,DATOS_[[#This Row],[Fecha Inicio Sit. Contract.]])</f>
        <v>45292</v>
      </c>
      <c r="BO258" s="291">
        <f>+MIN($D$4,DATOS_[[#This Row],[Fecha Fin Sit. Contract.]])</f>
        <v>45657</v>
      </c>
      <c r="BP258" s="292">
        <f>+DATOS_[[#This Row],[% de jornada]]*IF(DATOS_[[#This Row],[% jornada reducida]]="",1,DATOS_[[#This Row],[% jornada reducida]])</f>
        <v>1</v>
      </c>
      <c r="BQ258" s="292">
        <f>+(DATOS_[[#This Row],[F.fin.cal]]-DATOS_[[#This Row],[F.ini.cal]]+1)/($D$4-$D$3+1)</f>
        <v>1</v>
      </c>
      <c r="BR258" s="322" t="str">
        <f>IF(OR(AND(DATOS_[[#This Row],[Fecha Fin Contrato]]&lt;$D$3,DATOS_[[#This Row],[Fecha Fin Contrato]]&lt;&gt;""),DATOS_[[#This Row],[Fecha de Contratación]]&gt;$D$4),"Fuera","Dentro")</f>
        <v>Dentro</v>
      </c>
      <c r="BS258" s="322" t="str">
        <f t="array" ref="BS258">IF(MAX(IF(DATOS_[id]=DATOS_[[#This Row],[id]],DATOS_[F.fin.cal]))=DATOS_[[#This Row],[F.fin.cal]],"Sí","NO")</f>
        <v>Sí</v>
      </c>
      <c r="BT258" s="292" t="str">
        <f>IF(AND(DATOS_[[#This Row],[% normaliz]]&lt;&gt;1,DATOS_[[#This Row],[% anualiz]]=1),"Sí","NO")</f>
        <v>NO</v>
      </c>
      <c r="BU258" s="292" t="str">
        <f>IF(AND(DATOS_[[#This Row],[% normaliz]]=1,DATOS_[[#This Row],[% anualiz]]&lt;&gt;1),"Sí","NO")</f>
        <v>NO</v>
      </c>
      <c r="BV258" s="292" t="str">
        <f>IF(AND(DATOS_[[#This Row],[% normaliz]]&lt;&gt;1,DATOS_[[#This Row],[% anualiz]]&lt;&gt;1),"Sí","NO")</f>
        <v>NO</v>
      </c>
      <c r="BW258" s="322" t="str">
        <f>+IF(DATOS_[[#This Row],[% normaliz]]*DATOS_[[#This Row],[% anualiz]]=1,"NO","Sí")</f>
        <v>NO</v>
      </c>
      <c r="BX258" s="323">
        <f>(DATOS_[[#This Row],[S.BASE]]*(1/DATOS_[[#This Row],[% normaliz]])*(1/DATOS_[[#This Row],[% anualiz]]))*IF(DATOS_[[#This Row],[Check Equiparado]]="Sí",1,0)</f>
        <v>12915.07</v>
      </c>
      <c r="BY25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8" s="323">
        <f>+DATOS_[[#This Row],[SALARIO BASE Eq]]+DATOS_[[#This Row],[Tot COMPL.SAL Eq]]</f>
        <v>14040</v>
      </c>
      <c r="CA258" s="323">
        <f t="array" ref="CA2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8" s="323">
        <f>+DATOS_[[#This Row],[TOTAL SALARIO Eq]]+DATOS_[[#This Row],[Tot Extrasalarial Eq]]</f>
        <v>14040</v>
      </c>
      <c r="CC258" s="327">
        <f>DATOS_[[#This Row],[S.BASE]]</f>
        <v>12915.07</v>
      </c>
      <c r="CD258" s="324">
        <f>+SUM(DATOS_[[#This Row],[Conc.Sal.01]:[Conc.Sal.30]])</f>
        <v>1124.9300000000003</v>
      </c>
      <c r="CE258" s="324">
        <f>+DATOS_[[#This Row],[SALARIO BASE Ef]]+DATOS_[[#This Row],[Tot COMPL.SAL Ef]]</f>
        <v>14040</v>
      </c>
      <c r="CF258" s="324">
        <f>+SUM(DATOS_[[#This Row],[C.Extra.01]:[C.Extra.05]])</f>
        <v>0</v>
      </c>
      <c r="CG258" s="330">
        <f>+DATOS_[[#This Row],[TOTAL SALARIO Ef]]+DATOS_[[#This Row],[Tot Extrasalarial Ef]]</f>
        <v>14040</v>
      </c>
      <c r="CH258" s="303">
        <f>MIN(IF(DATOS_[[#This Row],[Fecha Fin Contrato]]="",$D$4,DATOS_[[#This Row],[Fecha Fin Contrato]]),$D$4)-MAX(DATOS_[[#This Row],[Fecha de Contratación]],$D$3)+1</f>
        <v>366</v>
      </c>
      <c r="CI258" s="304" t="str">
        <f>IF(COUNTIFS(DATOS_[id],DATOS_[[#This Row],[id]])&gt;1,DATOS_[[#This Row],[id]],"")</f>
        <v/>
      </c>
      <c r="CJ258" s="325">
        <f>(Inicio!$G$10-DATOS_[[#This Row],[Fecha Nacimiento]])/365.25</f>
        <v>45.056810403832991</v>
      </c>
      <c r="CK258" s="325">
        <f>(Inicio!$G$10-DATOS_[[#This Row],[Fecha de Antigüedad]])/365.25</f>
        <v>5.9137577002053385</v>
      </c>
      <c r="CL258" s="325" t="str">
        <f>+VLOOKUP(DATOS_[[#This Row],[Clave de Contrato]],TblTiposContrato13[],3,FALSE)</f>
        <v>Completa</v>
      </c>
      <c r="CM258" s="325" t="str">
        <f>+VLOOKUP(DATOS_[[#This Row],[Clave de Contrato]],TblTiposContrato13[],4,FALSE)</f>
        <v>Indefinido</v>
      </c>
      <c r="CN258" s="325" t="str">
        <f>VLOOKUP(DATOS_[[#This Row],[Edad]],CONTRATOS!TblRngEdad,2,TRUE)</f>
        <v>45 a 50</v>
      </c>
      <c r="CO258" s="325" t="str">
        <f>VLOOKUP(DATOS_[[#This Row],[Antigüedad]],TblRngAntg14[],2,TRUE)</f>
        <v>5 a 10  años</v>
      </c>
    </row>
    <row r="259" spans="2:93" x14ac:dyDescent="0.25">
      <c r="B259" s="146">
        <v>234</v>
      </c>
      <c r="C259" s="146" t="s">
        <v>162</v>
      </c>
      <c r="D259" s="295">
        <v>33215</v>
      </c>
      <c r="E259" s="296" t="s">
        <v>71</v>
      </c>
      <c r="F259" s="296">
        <v>1</v>
      </c>
      <c r="G259" s="296">
        <v>3</v>
      </c>
      <c r="H259" s="297">
        <v>43497</v>
      </c>
      <c r="I259" s="298"/>
      <c r="J259" s="295">
        <v>43497</v>
      </c>
      <c r="K259" s="326"/>
      <c r="L259" s="326"/>
      <c r="M259" s="299">
        <v>1</v>
      </c>
      <c r="N259" s="299"/>
      <c r="O259" s="299"/>
      <c r="P259" s="296">
        <v>100</v>
      </c>
      <c r="Q259" s="146" t="s">
        <v>414</v>
      </c>
      <c r="R259" s="146" t="s">
        <v>420</v>
      </c>
      <c r="S259" s="146" t="s">
        <v>440</v>
      </c>
      <c r="T259" s="146" t="s">
        <v>407</v>
      </c>
      <c r="U259" s="146" t="s">
        <v>400</v>
      </c>
      <c r="V259" s="146" t="s">
        <v>438</v>
      </c>
      <c r="W259" s="146" t="s">
        <v>311</v>
      </c>
      <c r="X259" s="146" t="s">
        <v>307</v>
      </c>
      <c r="Y259" s="146" t="s">
        <v>409</v>
      </c>
      <c r="Z259" s="293"/>
      <c r="AA259" s="294" t="s">
        <v>439</v>
      </c>
      <c r="AB259" s="294">
        <v>9</v>
      </c>
      <c r="AC259" s="296">
        <v>7</v>
      </c>
      <c r="AD259" s="301">
        <v>12915.07</v>
      </c>
      <c r="AE259" s="301">
        <v>84.930000000000291</v>
      </c>
      <c r="AF259" s="301"/>
      <c r="AG259" s="301">
        <v>960</v>
      </c>
      <c r="AH259" s="301"/>
      <c r="AI259" s="301"/>
      <c r="AJ259" s="301"/>
      <c r="AK259" s="301">
        <v>80</v>
      </c>
      <c r="AL259" s="301"/>
      <c r="AM259" s="301"/>
      <c r="AN259" s="301"/>
      <c r="AO259" s="301"/>
      <c r="AP259" s="301"/>
      <c r="AQ259" s="301"/>
      <c r="AR259" s="301"/>
      <c r="AS259" s="301"/>
      <c r="AT259" s="301"/>
      <c r="AU259" s="301"/>
      <c r="AV259" s="301"/>
      <c r="AW259" s="301"/>
      <c r="AX259" s="301"/>
      <c r="AY259" s="301"/>
      <c r="AZ259" s="301"/>
      <c r="BA259" s="301"/>
      <c r="BB259" s="301"/>
      <c r="BC259" s="301"/>
      <c r="BD259" s="301"/>
      <c r="BE259" s="301"/>
      <c r="BF259" s="301"/>
      <c r="BG259" s="301"/>
      <c r="BH259" s="301"/>
      <c r="BI259" s="301"/>
      <c r="BJ259" s="301"/>
      <c r="BK259" s="301"/>
      <c r="BL259" s="301"/>
      <c r="BM259" s="302"/>
      <c r="BN259" s="291">
        <f>+MAX($D$3,DATOS_[[#This Row],[Fecha Inicio Sit. Contract.]])</f>
        <v>45292</v>
      </c>
      <c r="BO259" s="291">
        <f>+MIN($D$4,DATOS_[[#This Row],[Fecha Fin Sit. Contract.]])</f>
        <v>45657</v>
      </c>
      <c r="BP259" s="292">
        <f>+DATOS_[[#This Row],[% de jornada]]*IF(DATOS_[[#This Row],[% jornada reducida]]="",1,DATOS_[[#This Row],[% jornada reducida]])</f>
        <v>1</v>
      </c>
      <c r="BQ259" s="292">
        <f>+(DATOS_[[#This Row],[F.fin.cal]]-DATOS_[[#This Row],[F.ini.cal]]+1)/($D$4-$D$3+1)</f>
        <v>1</v>
      </c>
      <c r="BR259" s="322" t="str">
        <f>IF(OR(AND(DATOS_[[#This Row],[Fecha Fin Contrato]]&lt;$D$3,DATOS_[[#This Row],[Fecha Fin Contrato]]&lt;&gt;""),DATOS_[[#This Row],[Fecha de Contratación]]&gt;$D$4),"Fuera","Dentro")</f>
        <v>Dentro</v>
      </c>
      <c r="BS259" s="322" t="str">
        <f t="array" ref="BS259">IF(MAX(IF(DATOS_[id]=DATOS_[[#This Row],[id]],DATOS_[F.fin.cal]))=DATOS_[[#This Row],[F.fin.cal]],"Sí","NO")</f>
        <v>Sí</v>
      </c>
      <c r="BT259" s="292" t="str">
        <f>IF(AND(DATOS_[[#This Row],[% normaliz]]&lt;&gt;1,DATOS_[[#This Row],[% anualiz]]=1),"Sí","NO")</f>
        <v>NO</v>
      </c>
      <c r="BU259" s="292" t="str">
        <f>IF(AND(DATOS_[[#This Row],[% normaliz]]=1,DATOS_[[#This Row],[% anualiz]]&lt;&gt;1),"Sí","NO")</f>
        <v>NO</v>
      </c>
      <c r="BV259" s="292" t="str">
        <f>IF(AND(DATOS_[[#This Row],[% normaliz]]&lt;&gt;1,DATOS_[[#This Row],[% anualiz]]&lt;&gt;1),"Sí","NO")</f>
        <v>NO</v>
      </c>
      <c r="BW259" s="322" t="str">
        <f>+IF(DATOS_[[#This Row],[% normaliz]]*DATOS_[[#This Row],[% anualiz]]=1,"NO","Sí")</f>
        <v>NO</v>
      </c>
      <c r="BX259" s="323">
        <f>(DATOS_[[#This Row],[S.BASE]]*(1/DATOS_[[#This Row],[% normaliz]])*(1/DATOS_[[#This Row],[% anualiz]]))*IF(DATOS_[[#This Row],[Check Equiparado]]="Sí",1,0)</f>
        <v>12915.07</v>
      </c>
      <c r="BY25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9" s="323">
        <f>+DATOS_[[#This Row],[SALARIO BASE Eq]]+DATOS_[[#This Row],[Tot COMPL.SAL Eq]]</f>
        <v>14040</v>
      </c>
      <c r="CA259" s="323">
        <f t="array" ref="CA2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9" s="323">
        <f>+DATOS_[[#This Row],[TOTAL SALARIO Eq]]+DATOS_[[#This Row],[Tot Extrasalarial Eq]]</f>
        <v>14040</v>
      </c>
      <c r="CC259" s="327">
        <f>DATOS_[[#This Row],[S.BASE]]</f>
        <v>12915.07</v>
      </c>
      <c r="CD259" s="324">
        <f>+SUM(DATOS_[[#This Row],[Conc.Sal.01]:[Conc.Sal.30]])</f>
        <v>1124.9300000000003</v>
      </c>
      <c r="CE259" s="324">
        <f>+DATOS_[[#This Row],[SALARIO BASE Ef]]+DATOS_[[#This Row],[Tot COMPL.SAL Ef]]</f>
        <v>14040</v>
      </c>
      <c r="CF259" s="324">
        <f>+SUM(DATOS_[[#This Row],[C.Extra.01]:[C.Extra.05]])</f>
        <v>0</v>
      </c>
      <c r="CG259" s="330">
        <f>+DATOS_[[#This Row],[TOTAL SALARIO Ef]]+DATOS_[[#This Row],[Tot Extrasalarial Ef]]</f>
        <v>14040</v>
      </c>
      <c r="CH259" s="303">
        <f>MIN(IF(DATOS_[[#This Row],[Fecha Fin Contrato]]="",$D$4,DATOS_[[#This Row],[Fecha Fin Contrato]]),$D$4)-MAX(DATOS_[[#This Row],[Fecha de Contratación]],$D$3)+1</f>
        <v>366</v>
      </c>
      <c r="CI259" s="304" t="str">
        <f>IF(COUNTIFS(DATOS_[id],DATOS_[[#This Row],[id]])&gt;1,DATOS_[[#This Row],[id]],"")</f>
        <v/>
      </c>
      <c r="CJ259" s="325">
        <f>(Inicio!$G$10-DATOS_[[#This Row],[Fecha Nacimiento]])/365.25</f>
        <v>34.064339493497606</v>
      </c>
      <c r="CK259" s="325">
        <f>(Inicio!$G$10-DATOS_[[#This Row],[Fecha de Antigüedad]])/365.25</f>
        <v>5.9137577002053385</v>
      </c>
      <c r="CL259" s="325" t="str">
        <f>+VLOOKUP(DATOS_[[#This Row],[Clave de Contrato]],TblTiposContrato13[],3,FALSE)</f>
        <v>Completa</v>
      </c>
      <c r="CM259" s="325" t="str">
        <f>+VLOOKUP(DATOS_[[#This Row],[Clave de Contrato]],TblTiposContrato13[],4,FALSE)</f>
        <v>Indefinido</v>
      </c>
      <c r="CN259" s="325" t="str">
        <f>VLOOKUP(DATOS_[[#This Row],[Edad]],CONTRATOS!TblRngEdad,2,TRUE)</f>
        <v>30 a 35</v>
      </c>
      <c r="CO259" s="325" t="str">
        <f>VLOOKUP(DATOS_[[#This Row],[Antigüedad]],TblRngAntg14[],2,TRUE)</f>
        <v>5 a 10  años</v>
      </c>
    </row>
    <row r="260" spans="2:93" x14ac:dyDescent="0.25">
      <c r="B260" s="146">
        <v>235</v>
      </c>
      <c r="C260" s="146" t="s">
        <v>162</v>
      </c>
      <c r="D260" s="295">
        <v>31755</v>
      </c>
      <c r="E260" s="296" t="s">
        <v>71</v>
      </c>
      <c r="F260" s="296">
        <v>1</v>
      </c>
      <c r="G260" s="296">
        <v>1</v>
      </c>
      <c r="H260" s="297">
        <v>43417</v>
      </c>
      <c r="I260" s="298"/>
      <c r="J260" s="295">
        <v>43417</v>
      </c>
      <c r="K260" s="326"/>
      <c r="L260" s="326"/>
      <c r="M260" s="299">
        <v>1</v>
      </c>
      <c r="N260" s="299"/>
      <c r="O260" s="299"/>
      <c r="P260" s="296">
        <v>100</v>
      </c>
      <c r="Q260" s="146" t="s">
        <v>414</v>
      </c>
      <c r="R260" s="146" t="s">
        <v>420</v>
      </c>
      <c r="S260" s="146" t="s">
        <v>440</v>
      </c>
      <c r="T260" s="146" t="s">
        <v>407</v>
      </c>
      <c r="U260" s="146" t="s">
        <v>400</v>
      </c>
      <c r="V260" s="146" t="s">
        <v>438</v>
      </c>
      <c r="W260" s="146" t="s">
        <v>311</v>
      </c>
      <c r="X260" s="146" t="s">
        <v>307</v>
      </c>
      <c r="Y260" s="146" t="s">
        <v>409</v>
      </c>
      <c r="Z260" s="293"/>
      <c r="AA260" s="294" t="s">
        <v>439</v>
      </c>
      <c r="AB260" s="294">
        <v>9</v>
      </c>
      <c r="AC260" s="296">
        <v>7</v>
      </c>
      <c r="AD260" s="301">
        <v>12915.07</v>
      </c>
      <c r="AE260" s="301">
        <v>84.930000000000291</v>
      </c>
      <c r="AF260" s="301"/>
      <c r="AG260" s="301">
        <v>960</v>
      </c>
      <c r="AH260" s="301"/>
      <c r="AI260" s="301"/>
      <c r="AJ260" s="301"/>
      <c r="AK260" s="301">
        <v>80</v>
      </c>
      <c r="AL260" s="301"/>
      <c r="AM260" s="301"/>
      <c r="AN260" s="301"/>
      <c r="AO260" s="301"/>
      <c r="AP260" s="301"/>
      <c r="AQ260" s="301"/>
      <c r="AR260" s="301"/>
      <c r="AS260" s="301"/>
      <c r="AT260" s="301"/>
      <c r="AU260" s="301"/>
      <c r="AV260" s="301"/>
      <c r="AW260" s="301"/>
      <c r="AX260" s="301"/>
      <c r="AY260" s="301"/>
      <c r="AZ260" s="301"/>
      <c r="BA260" s="301"/>
      <c r="BB260" s="301"/>
      <c r="BC260" s="301"/>
      <c r="BD260" s="301"/>
      <c r="BE260" s="301"/>
      <c r="BF260" s="301"/>
      <c r="BG260" s="301"/>
      <c r="BH260" s="301"/>
      <c r="BI260" s="301"/>
      <c r="BJ260" s="301"/>
      <c r="BK260" s="301"/>
      <c r="BL260" s="301"/>
      <c r="BM260" s="302"/>
      <c r="BN260" s="291">
        <f>+MAX($D$3,DATOS_[[#This Row],[Fecha Inicio Sit. Contract.]])</f>
        <v>45292</v>
      </c>
      <c r="BO260" s="291">
        <f>+MIN($D$4,DATOS_[[#This Row],[Fecha Fin Sit. Contract.]])</f>
        <v>45657</v>
      </c>
      <c r="BP260" s="292">
        <f>+DATOS_[[#This Row],[% de jornada]]*IF(DATOS_[[#This Row],[% jornada reducida]]="",1,DATOS_[[#This Row],[% jornada reducida]])</f>
        <v>1</v>
      </c>
      <c r="BQ260" s="292">
        <f>+(DATOS_[[#This Row],[F.fin.cal]]-DATOS_[[#This Row],[F.ini.cal]]+1)/($D$4-$D$3+1)</f>
        <v>1</v>
      </c>
      <c r="BR260" s="322" t="str">
        <f>IF(OR(AND(DATOS_[[#This Row],[Fecha Fin Contrato]]&lt;$D$3,DATOS_[[#This Row],[Fecha Fin Contrato]]&lt;&gt;""),DATOS_[[#This Row],[Fecha de Contratación]]&gt;$D$4),"Fuera","Dentro")</f>
        <v>Dentro</v>
      </c>
      <c r="BS260" s="322" t="str">
        <f t="array" ref="BS260">IF(MAX(IF(DATOS_[id]=DATOS_[[#This Row],[id]],DATOS_[F.fin.cal]))=DATOS_[[#This Row],[F.fin.cal]],"Sí","NO")</f>
        <v>Sí</v>
      </c>
      <c r="BT260" s="292" t="str">
        <f>IF(AND(DATOS_[[#This Row],[% normaliz]]&lt;&gt;1,DATOS_[[#This Row],[% anualiz]]=1),"Sí","NO")</f>
        <v>NO</v>
      </c>
      <c r="BU260" s="292" t="str">
        <f>IF(AND(DATOS_[[#This Row],[% normaliz]]=1,DATOS_[[#This Row],[% anualiz]]&lt;&gt;1),"Sí","NO")</f>
        <v>NO</v>
      </c>
      <c r="BV260" s="292" t="str">
        <f>IF(AND(DATOS_[[#This Row],[% normaliz]]&lt;&gt;1,DATOS_[[#This Row],[% anualiz]]&lt;&gt;1),"Sí","NO")</f>
        <v>NO</v>
      </c>
      <c r="BW260" s="322" t="str">
        <f>+IF(DATOS_[[#This Row],[% normaliz]]*DATOS_[[#This Row],[% anualiz]]=1,"NO","Sí")</f>
        <v>NO</v>
      </c>
      <c r="BX260" s="323">
        <f>(DATOS_[[#This Row],[S.BASE]]*(1/DATOS_[[#This Row],[% normaliz]])*(1/DATOS_[[#This Row],[% anualiz]]))*IF(DATOS_[[#This Row],[Check Equiparado]]="Sí",1,0)</f>
        <v>12915.07</v>
      </c>
      <c r="BY26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60" s="323">
        <f>+DATOS_[[#This Row],[SALARIO BASE Eq]]+DATOS_[[#This Row],[Tot COMPL.SAL Eq]]</f>
        <v>14040</v>
      </c>
      <c r="CA260" s="323">
        <f t="array" ref="CA2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0" s="323">
        <f>+DATOS_[[#This Row],[TOTAL SALARIO Eq]]+DATOS_[[#This Row],[Tot Extrasalarial Eq]]</f>
        <v>14040</v>
      </c>
      <c r="CC260" s="327">
        <f>DATOS_[[#This Row],[S.BASE]]</f>
        <v>12915.07</v>
      </c>
      <c r="CD260" s="324">
        <f>+SUM(DATOS_[[#This Row],[Conc.Sal.01]:[Conc.Sal.30]])</f>
        <v>1124.9300000000003</v>
      </c>
      <c r="CE260" s="324">
        <f>+DATOS_[[#This Row],[SALARIO BASE Ef]]+DATOS_[[#This Row],[Tot COMPL.SAL Ef]]</f>
        <v>14040</v>
      </c>
      <c r="CF260" s="324">
        <f>+SUM(DATOS_[[#This Row],[C.Extra.01]:[C.Extra.05]])</f>
        <v>0</v>
      </c>
      <c r="CG260" s="330">
        <f>+DATOS_[[#This Row],[TOTAL SALARIO Ef]]+DATOS_[[#This Row],[Tot Extrasalarial Ef]]</f>
        <v>14040</v>
      </c>
      <c r="CH260" s="303">
        <f>MIN(IF(DATOS_[[#This Row],[Fecha Fin Contrato]]="",$D$4,DATOS_[[#This Row],[Fecha Fin Contrato]]),$D$4)-MAX(DATOS_[[#This Row],[Fecha de Contratación]],$D$3)+1</f>
        <v>366</v>
      </c>
      <c r="CI260" s="304" t="str">
        <f>IF(COUNTIFS(DATOS_[id],DATOS_[[#This Row],[id]])&gt;1,DATOS_[[#This Row],[id]],"")</f>
        <v/>
      </c>
      <c r="CJ260" s="325">
        <f>(Inicio!$G$10-DATOS_[[#This Row],[Fecha Nacimiento]])/365.25</f>
        <v>38.061601642710471</v>
      </c>
      <c r="CK260" s="325">
        <f>(Inicio!$G$10-DATOS_[[#This Row],[Fecha de Antigüedad]])/365.25</f>
        <v>6.1327857631759066</v>
      </c>
      <c r="CL260" s="325" t="str">
        <f>+VLOOKUP(DATOS_[[#This Row],[Clave de Contrato]],TblTiposContrato13[],3,FALSE)</f>
        <v>Completa</v>
      </c>
      <c r="CM260" s="325" t="str">
        <f>+VLOOKUP(DATOS_[[#This Row],[Clave de Contrato]],TblTiposContrato13[],4,FALSE)</f>
        <v>Indefinido</v>
      </c>
      <c r="CN260" s="325" t="str">
        <f>VLOOKUP(DATOS_[[#This Row],[Edad]],CONTRATOS!TblRngEdad,2,TRUE)</f>
        <v>35 a 40</v>
      </c>
      <c r="CO260" s="325" t="str">
        <f>VLOOKUP(DATOS_[[#This Row],[Antigüedad]],TblRngAntg14[],2,TRUE)</f>
        <v>5 a 10  años</v>
      </c>
    </row>
    <row r="261" spans="2:93" x14ac:dyDescent="0.25">
      <c r="B261" s="146">
        <v>236</v>
      </c>
      <c r="C261" s="146" t="s">
        <v>162</v>
      </c>
      <c r="D261" s="295">
        <v>28835</v>
      </c>
      <c r="E261" s="296" t="s">
        <v>71</v>
      </c>
      <c r="F261" s="296">
        <v>1</v>
      </c>
      <c r="G261" s="296">
        <v>1</v>
      </c>
      <c r="H261" s="297">
        <v>43417</v>
      </c>
      <c r="I261" s="298"/>
      <c r="J261" s="295">
        <v>43417</v>
      </c>
      <c r="K261" s="326"/>
      <c r="L261" s="326"/>
      <c r="M261" s="299">
        <v>1</v>
      </c>
      <c r="N261" s="299"/>
      <c r="O261" s="299"/>
      <c r="P261" s="296">
        <v>100</v>
      </c>
      <c r="Q261" s="146" t="s">
        <v>414</v>
      </c>
      <c r="R261" s="146" t="s">
        <v>420</v>
      </c>
      <c r="S261" s="146" t="s">
        <v>440</v>
      </c>
      <c r="T261" s="146" t="s">
        <v>407</v>
      </c>
      <c r="U261" s="146" t="s">
        <v>400</v>
      </c>
      <c r="V261" s="146" t="s">
        <v>438</v>
      </c>
      <c r="W261" s="146" t="s">
        <v>311</v>
      </c>
      <c r="X261" s="146" t="s">
        <v>307</v>
      </c>
      <c r="Y261" s="146" t="s">
        <v>409</v>
      </c>
      <c r="Z261" s="293"/>
      <c r="AA261" s="294" t="s">
        <v>439</v>
      </c>
      <c r="AB261" s="294">
        <v>9</v>
      </c>
      <c r="AC261" s="296">
        <v>7</v>
      </c>
      <c r="AD261" s="301">
        <v>12915.07</v>
      </c>
      <c r="AE261" s="301">
        <v>84.930000000000291</v>
      </c>
      <c r="AF261" s="301"/>
      <c r="AG261" s="301">
        <v>960</v>
      </c>
      <c r="AH261" s="301"/>
      <c r="AI261" s="301"/>
      <c r="AJ261" s="301"/>
      <c r="AK261" s="301">
        <v>80</v>
      </c>
      <c r="AL261" s="301"/>
      <c r="AM261" s="301"/>
      <c r="AN261" s="301"/>
      <c r="AO261" s="301"/>
      <c r="AP261" s="301"/>
      <c r="AQ261" s="301"/>
      <c r="AR261" s="301"/>
      <c r="AS261" s="301"/>
      <c r="AT261" s="301"/>
      <c r="AU261" s="301"/>
      <c r="AV261" s="301"/>
      <c r="AW261" s="301"/>
      <c r="AX261" s="301"/>
      <c r="AY261" s="301"/>
      <c r="AZ261" s="301"/>
      <c r="BA261" s="301"/>
      <c r="BB261" s="301"/>
      <c r="BC261" s="301"/>
      <c r="BD261" s="301"/>
      <c r="BE261" s="301"/>
      <c r="BF261" s="301"/>
      <c r="BG261" s="301"/>
      <c r="BH261" s="301"/>
      <c r="BI261" s="301"/>
      <c r="BJ261" s="301"/>
      <c r="BK261" s="301"/>
      <c r="BL261" s="301"/>
      <c r="BM261" s="302"/>
      <c r="BN261" s="291">
        <f>+MAX($D$3,DATOS_[[#This Row],[Fecha Inicio Sit. Contract.]])</f>
        <v>45292</v>
      </c>
      <c r="BO261" s="291">
        <f>+MIN($D$4,DATOS_[[#This Row],[Fecha Fin Sit. Contract.]])</f>
        <v>45657</v>
      </c>
      <c r="BP261" s="292">
        <f>+DATOS_[[#This Row],[% de jornada]]*IF(DATOS_[[#This Row],[% jornada reducida]]="",1,DATOS_[[#This Row],[% jornada reducida]])</f>
        <v>1</v>
      </c>
      <c r="BQ261" s="292">
        <f>+(DATOS_[[#This Row],[F.fin.cal]]-DATOS_[[#This Row],[F.ini.cal]]+1)/($D$4-$D$3+1)</f>
        <v>1</v>
      </c>
      <c r="BR261" s="322" t="str">
        <f>IF(OR(AND(DATOS_[[#This Row],[Fecha Fin Contrato]]&lt;$D$3,DATOS_[[#This Row],[Fecha Fin Contrato]]&lt;&gt;""),DATOS_[[#This Row],[Fecha de Contratación]]&gt;$D$4),"Fuera","Dentro")</f>
        <v>Dentro</v>
      </c>
      <c r="BS261" s="322" t="str">
        <f t="array" ref="BS261">IF(MAX(IF(DATOS_[id]=DATOS_[[#This Row],[id]],DATOS_[F.fin.cal]))=DATOS_[[#This Row],[F.fin.cal]],"Sí","NO")</f>
        <v>Sí</v>
      </c>
      <c r="BT261" s="292" t="str">
        <f>IF(AND(DATOS_[[#This Row],[% normaliz]]&lt;&gt;1,DATOS_[[#This Row],[% anualiz]]=1),"Sí","NO")</f>
        <v>NO</v>
      </c>
      <c r="BU261" s="292" t="str">
        <f>IF(AND(DATOS_[[#This Row],[% normaliz]]=1,DATOS_[[#This Row],[% anualiz]]&lt;&gt;1),"Sí","NO")</f>
        <v>NO</v>
      </c>
      <c r="BV261" s="292" t="str">
        <f>IF(AND(DATOS_[[#This Row],[% normaliz]]&lt;&gt;1,DATOS_[[#This Row],[% anualiz]]&lt;&gt;1),"Sí","NO")</f>
        <v>NO</v>
      </c>
      <c r="BW261" s="322" t="str">
        <f>+IF(DATOS_[[#This Row],[% normaliz]]*DATOS_[[#This Row],[% anualiz]]=1,"NO","Sí")</f>
        <v>NO</v>
      </c>
      <c r="BX261" s="323">
        <f>(DATOS_[[#This Row],[S.BASE]]*(1/DATOS_[[#This Row],[% normaliz]])*(1/DATOS_[[#This Row],[% anualiz]]))*IF(DATOS_[[#This Row],[Check Equiparado]]="Sí",1,0)</f>
        <v>12915.07</v>
      </c>
      <c r="BY26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61" s="323">
        <f>+DATOS_[[#This Row],[SALARIO BASE Eq]]+DATOS_[[#This Row],[Tot COMPL.SAL Eq]]</f>
        <v>14040</v>
      </c>
      <c r="CA261" s="323">
        <f t="array" ref="CA2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1" s="323">
        <f>+DATOS_[[#This Row],[TOTAL SALARIO Eq]]+DATOS_[[#This Row],[Tot Extrasalarial Eq]]</f>
        <v>14040</v>
      </c>
      <c r="CC261" s="327">
        <f>DATOS_[[#This Row],[S.BASE]]</f>
        <v>12915.07</v>
      </c>
      <c r="CD261" s="324">
        <f>+SUM(DATOS_[[#This Row],[Conc.Sal.01]:[Conc.Sal.30]])</f>
        <v>1124.9300000000003</v>
      </c>
      <c r="CE261" s="324">
        <f>+DATOS_[[#This Row],[SALARIO BASE Ef]]+DATOS_[[#This Row],[Tot COMPL.SAL Ef]]</f>
        <v>14040</v>
      </c>
      <c r="CF261" s="324">
        <f>+SUM(DATOS_[[#This Row],[C.Extra.01]:[C.Extra.05]])</f>
        <v>0</v>
      </c>
      <c r="CG261" s="330">
        <f>+DATOS_[[#This Row],[TOTAL SALARIO Ef]]+DATOS_[[#This Row],[Tot Extrasalarial Ef]]</f>
        <v>14040</v>
      </c>
      <c r="CH261" s="303">
        <f>MIN(IF(DATOS_[[#This Row],[Fecha Fin Contrato]]="",$D$4,DATOS_[[#This Row],[Fecha Fin Contrato]]),$D$4)-MAX(DATOS_[[#This Row],[Fecha de Contratación]],$D$3)+1</f>
        <v>366</v>
      </c>
      <c r="CI261" s="304" t="str">
        <f>IF(COUNTIFS(DATOS_[id],DATOS_[[#This Row],[id]])&gt;1,DATOS_[[#This Row],[id]],"")</f>
        <v/>
      </c>
      <c r="CJ261" s="325">
        <f>(Inicio!$G$10-DATOS_[[#This Row],[Fecha Nacimiento]])/365.25</f>
        <v>46.056125941136209</v>
      </c>
      <c r="CK261" s="325">
        <f>(Inicio!$G$10-DATOS_[[#This Row],[Fecha de Antigüedad]])/365.25</f>
        <v>6.1327857631759066</v>
      </c>
      <c r="CL261" s="325" t="str">
        <f>+VLOOKUP(DATOS_[[#This Row],[Clave de Contrato]],TblTiposContrato13[],3,FALSE)</f>
        <v>Completa</v>
      </c>
      <c r="CM261" s="325" t="str">
        <f>+VLOOKUP(DATOS_[[#This Row],[Clave de Contrato]],TblTiposContrato13[],4,FALSE)</f>
        <v>Indefinido</v>
      </c>
      <c r="CN261" s="325" t="str">
        <f>VLOOKUP(DATOS_[[#This Row],[Edad]],CONTRATOS!TblRngEdad,2,TRUE)</f>
        <v>45 a 50</v>
      </c>
      <c r="CO261" s="325" t="str">
        <f>VLOOKUP(DATOS_[[#This Row],[Antigüedad]],TblRngAntg14[],2,TRUE)</f>
        <v>5 a 10  años</v>
      </c>
    </row>
    <row r="262" spans="2:93" x14ac:dyDescent="0.25">
      <c r="B262" s="146">
        <v>237</v>
      </c>
      <c r="C262" s="146" t="s">
        <v>162</v>
      </c>
      <c r="D262" s="295">
        <v>28835</v>
      </c>
      <c r="E262" s="296" t="s">
        <v>71</v>
      </c>
      <c r="F262" s="296">
        <v>1</v>
      </c>
      <c r="G262" s="296">
        <v>1</v>
      </c>
      <c r="H262" s="297">
        <v>43417</v>
      </c>
      <c r="I262" s="298"/>
      <c r="J262" s="295">
        <v>43417</v>
      </c>
      <c r="K262" s="326"/>
      <c r="L262" s="326"/>
      <c r="M262" s="299">
        <v>1</v>
      </c>
      <c r="N262" s="299"/>
      <c r="O262" s="299"/>
      <c r="P262" s="296">
        <v>100</v>
      </c>
      <c r="Q262" s="146" t="s">
        <v>414</v>
      </c>
      <c r="R262" s="146" t="s">
        <v>420</v>
      </c>
      <c r="S262" s="146" t="s">
        <v>440</v>
      </c>
      <c r="T262" s="146" t="s">
        <v>407</v>
      </c>
      <c r="U262" s="146" t="s">
        <v>400</v>
      </c>
      <c r="V262" s="146" t="s">
        <v>438</v>
      </c>
      <c r="W262" s="146" t="s">
        <v>311</v>
      </c>
      <c r="X262" s="146" t="s">
        <v>307</v>
      </c>
      <c r="Y262" s="146" t="s">
        <v>409</v>
      </c>
      <c r="Z262" s="293"/>
      <c r="AA262" s="294" t="s">
        <v>439</v>
      </c>
      <c r="AB262" s="294">
        <v>9</v>
      </c>
      <c r="AC262" s="296">
        <v>7</v>
      </c>
      <c r="AD262" s="301">
        <v>12915.07</v>
      </c>
      <c r="AE262" s="301">
        <v>84.930000000000291</v>
      </c>
      <c r="AF262" s="301"/>
      <c r="AG262" s="301">
        <v>960</v>
      </c>
      <c r="AH262" s="301"/>
      <c r="AI262" s="301"/>
      <c r="AJ262" s="301"/>
      <c r="AK262" s="301">
        <v>80</v>
      </c>
      <c r="AL262" s="301"/>
      <c r="AM262" s="301"/>
      <c r="AN262" s="301"/>
      <c r="AO262" s="301"/>
      <c r="AP262" s="301"/>
      <c r="AQ262" s="301"/>
      <c r="AR262" s="301"/>
      <c r="AS262" s="301"/>
      <c r="AT262" s="301"/>
      <c r="AU262" s="301"/>
      <c r="AV262" s="301"/>
      <c r="AW262" s="301"/>
      <c r="AX262" s="301"/>
      <c r="AY262" s="301"/>
      <c r="AZ262" s="301"/>
      <c r="BA262" s="301"/>
      <c r="BB262" s="301"/>
      <c r="BC262" s="301"/>
      <c r="BD262" s="301"/>
      <c r="BE262" s="301"/>
      <c r="BF262" s="301"/>
      <c r="BG262" s="301"/>
      <c r="BH262" s="301"/>
      <c r="BI262" s="301"/>
      <c r="BJ262" s="301"/>
      <c r="BK262" s="301"/>
      <c r="BL262" s="301"/>
      <c r="BM262" s="302"/>
      <c r="BN262" s="291">
        <f>+MAX($D$3,DATOS_[[#This Row],[Fecha Inicio Sit. Contract.]])</f>
        <v>45292</v>
      </c>
      <c r="BO262" s="291">
        <f>+MIN($D$4,DATOS_[[#This Row],[Fecha Fin Sit. Contract.]])</f>
        <v>45657</v>
      </c>
      <c r="BP262" s="292">
        <f>+DATOS_[[#This Row],[% de jornada]]*IF(DATOS_[[#This Row],[% jornada reducida]]="",1,DATOS_[[#This Row],[% jornada reducida]])</f>
        <v>1</v>
      </c>
      <c r="BQ262" s="292">
        <f>+(DATOS_[[#This Row],[F.fin.cal]]-DATOS_[[#This Row],[F.ini.cal]]+1)/($D$4-$D$3+1)</f>
        <v>1</v>
      </c>
      <c r="BR262" s="322" t="str">
        <f>IF(OR(AND(DATOS_[[#This Row],[Fecha Fin Contrato]]&lt;$D$3,DATOS_[[#This Row],[Fecha Fin Contrato]]&lt;&gt;""),DATOS_[[#This Row],[Fecha de Contratación]]&gt;$D$4),"Fuera","Dentro")</f>
        <v>Dentro</v>
      </c>
      <c r="BS262" s="322" t="str">
        <f t="array" ref="BS262">IF(MAX(IF(DATOS_[id]=DATOS_[[#This Row],[id]],DATOS_[F.fin.cal]))=DATOS_[[#This Row],[F.fin.cal]],"Sí","NO")</f>
        <v>Sí</v>
      </c>
      <c r="BT262" s="292" t="str">
        <f>IF(AND(DATOS_[[#This Row],[% normaliz]]&lt;&gt;1,DATOS_[[#This Row],[% anualiz]]=1),"Sí","NO")</f>
        <v>NO</v>
      </c>
      <c r="BU262" s="292" t="str">
        <f>IF(AND(DATOS_[[#This Row],[% normaliz]]=1,DATOS_[[#This Row],[% anualiz]]&lt;&gt;1),"Sí","NO")</f>
        <v>NO</v>
      </c>
      <c r="BV262" s="292" t="str">
        <f>IF(AND(DATOS_[[#This Row],[% normaliz]]&lt;&gt;1,DATOS_[[#This Row],[% anualiz]]&lt;&gt;1),"Sí","NO")</f>
        <v>NO</v>
      </c>
      <c r="BW262" s="322" t="str">
        <f>+IF(DATOS_[[#This Row],[% normaliz]]*DATOS_[[#This Row],[% anualiz]]=1,"NO","Sí")</f>
        <v>NO</v>
      </c>
      <c r="BX262" s="323">
        <f>(DATOS_[[#This Row],[S.BASE]]*(1/DATOS_[[#This Row],[% normaliz]])*(1/DATOS_[[#This Row],[% anualiz]]))*IF(DATOS_[[#This Row],[Check Equiparado]]="Sí",1,0)</f>
        <v>12915.07</v>
      </c>
      <c r="BY26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62" s="323">
        <f>+DATOS_[[#This Row],[SALARIO BASE Eq]]+DATOS_[[#This Row],[Tot COMPL.SAL Eq]]</f>
        <v>14040</v>
      </c>
      <c r="CA262" s="323">
        <f t="array" ref="CA2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2" s="323">
        <f>+DATOS_[[#This Row],[TOTAL SALARIO Eq]]+DATOS_[[#This Row],[Tot Extrasalarial Eq]]</f>
        <v>14040</v>
      </c>
      <c r="CC262" s="327">
        <f>DATOS_[[#This Row],[S.BASE]]</f>
        <v>12915.07</v>
      </c>
      <c r="CD262" s="324">
        <f>+SUM(DATOS_[[#This Row],[Conc.Sal.01]:[Conc.Sal.30]])</f>
        <v>1124.9300000000003</v>
      </c>
      <c r="CE262" s="324">
        <f>+DATOS_[[#This Row],[SALARIO BASE Ef]]+DATOS_[[#This Row],[Tot COMPL.SAL Ef]]</f>
        <v>14040</v>
      </c>
      <c r="CF262" s="324">
        <f>+SUM(DATOS_[[#This Row],[C.Extra.01]:[C.Extra.05]])</f>
        <v>0</v>
      </c>
      <c r="CG262" s="330">
        <f>+DATOS_[[#This Row],[TOTAL SALARIO Ef]]+DATOS_[[#This Row],[Tot Extrasalarial Ef]]</f>
        <v>14040</v>
      </c>
      <c r="CH262" s="303">
        <f>MIN(IF(DATOS_[[#This Row],[Fecha Fin Contrato]]="",$D$4,DATOS_[[#This Row],[Fecha Fin Contrato]]),$D$4)-MAX(DATOS_[[#This Row],[Fecha de Contratación]],$D$3)+1</f>
        <v>366</v>
      </c>
      <c r="CI262" s="304" t="str">
        <f>IF(COUNTIFS(DATOS_[id],DATOS_[[#This Row],[id]])&gt;1,DATOS_[[#This Row],[id]],"")</f>
        <v/>
      </c>
      <c r="CJ262" s="325">
        <f>(Inicio!$G$10-DATOS_[[#This Row],[Fecha Nacimiento]])/365.25</f>
        <v>46.056125941136209</v>
      </c>
      <c r="CK262" s="325">
        <f>(Inicio!$G$10-DATOS_[[#This Row],[Fecha de Antigüedad]])/365.25</f>
        <v>6.1327857631759066</v>
      </c>
      <c r="CL262" s="325" t="str">
        <f>+VLOOKUP(DATOS_[[#This Row],[Clave de Contrato]],TblTiposContrato13[],3,FALSE)</f>
        <v>Completa</v>
      </c>
      <c r="CM262" s="325" t="str">
        <f>+VLOOKUP(DATOS_[[#This Row],[Clave de Contrato]],TblTiposContrato13[],4,FALSE)</f>
        <v>Indefinido</v>
      </c>
      <c r="CN262" s="325" t="str">
        <f>VLOOKUP(DATOS_[[#This Row],[Edad]],CONTRATOS!TblRngEdad,2,TRUE)</f>
        <v>45 a 50</v>
      </c>
      <c r="CO262" s="325" t="str">
        <f>VLOOKUP(DATOS_[[#This Row],[Antigüedad]],TblRngAntg14[],2,TRUE)</f>
        <v>5 a 10  años</v>
      </c>
    </row>
    <row r="263" spans="2:93" x14ac:dyDescent="0.25">
      <c r="B263" s="146">
        <v>238</v>
      </c>
      <c r="C263" s="146" t="s">
        <v>162</v>
      </c>
      <c r="D263" s="295">
        <v>32120</v>
      </c>
      <c r="E263" s="296" t="s">
        <v>71</v>
      </c>
      <c r="F263" s="296">
        <v>1</v>
      </c>
      <c r="G263" s="296">
        <v>2</v>
      </c>
      <c r="H263" s="297">
        <v>43417</v>
      </c>
      <c r="I263" s="298"/>
      <c r="J263" s="295">
        <v>43417</v>
      </c>
      <c r="K263" s="326"/>
      <c r="L263" s="326"/>
      <c r="M263" s="299">
        <v>1</v>
      </c>
      <c r="N263" s="299"/>
      <c r="O263" s="299"/>
      <c r="P263" s="296">
        <v>100</v>
      </c>
      <c r="Q263" s="146" t="s">
        <v>414</v>
      </c>
      <c r="R263" s="146" t="s">
        <v>420</v>
      </c>
      <c r="S263" s="146" t="s">
        <v>440</v>
      </c>
      <c r="T263" s="146" t="s">
        <v>407</v>
      </c>
      <c r="U263" s="146" t="s">
        <v>400</v>
      </c>
      <c r="V263" s="146" t="s">
        <v>438</v>
      </c>
      <c r="W263" s="146" t="s">
        <v>311</v>
      </c>
      <c r="X263" s="146" t="s">
        <v>307</v>
      </c>
      <c r="Y263" s="146" t="s">
        <v>409</v>
      </c>
      <c r="Z263" s="293"/>
      <c r="AA263" s="294" t="s">
        <v>439</v>
      </c>
      <c r="AB263" s="294">
        <v>9</v>
      </c>
      <c r="AC263" s="296">
        <v>7</v>
      </c>
      <c r="AD263" s="301">
        <v>12915.07</v>
      </c>
      <c r="AE263" s="301">
        <v>84.930000000000291</v>
      </c>
      <c r="AF263" s="301"/>
      <c r="AG263" s="301">
        <v>960</v>
      </c>
      <c r="AH263" s="301"/>
      <c r="AI263" s="301"/>
      <c r="AJ263" s="301"/>
      <c r="AK263" s="301">
        <v>80</v>
      </c>
      <c r="AL263" s="301"/>
      <c r="AM263" s="301"/>
      <c r="AN263" s="301"/>
      <c r="AO263" s="301"/>
      <c r="AP263" s="301"/>
      <c r="AQ263" s="301"/>
      <c r="AR263" s="301"/>
      <c r="AS263" s="301"/>
      <c r="AT263" s="301"/>
      <c r="AU263" s="301"/>
      <c r="AV263" s="301"/>
      <c r="AW263" s="301"/>
      <c r="AX263" s="301"/>
      <c r="AY263" s="301"/>
      <c r="AZ263" s="301"/>
      <c r="BA263" s="301"/>
      <c r="BB263" s="301"/>
      <c r="BC263" s="301"/>
      <c r="BD263" s="301"/>
      <c r="BE263" s="301"/>
      <c r="BF263" s="301"/>
      <c r="BG263" s="301"/>
      <c r="BH263" s="301"/>
      <c r="BI263" s="301"/>
      <c r="BJ263" s="301"/>
      <c r="BK263" s="301"/>
      <c r="BL263" s="301"/>
      <c r="BM263" s="302"/>
      <c r="BN263" s="291">
        <f>+MAX($D$3,DATOS_[[#This Row],[Fecha Inicio Sit. Contract.]])</f>
        <v>45292</v>
      </c>
      <c r="BO263" s="291">
        <f>+MIN($D$4,DATOS_[[#This Row],[Fecha Fin Sit. Contract.]])</f>
        <v>45657</v>
      </c>
      <c r="BP263" s="292">
        <f>+DATOS_[[#This Row],[% de jornada]]*IF(DATOS_[[#This Row],[% jornada reducida]]="",1,DATOS_[[#This Row],[% jornada reducida]])</f>
        <v>1</v>
      </c>
      <c r="BQ263" s="292">
        <f>+(DATOS_[[#This Row],[F.fin.cal]]-DATOS_[[#This Row],[F.ini.cal]]+1)/($D$4-$D$3+1)</f>
        <v>1</v>
      </c>
      <c r="BR263" s="322" t="str">
        <f>IF(OR(AND(DATOS_[[#This Row],[Fecha Fin Contrato]]&lt;$D$3,DATOS_[[#This Row],[Fecha Fin Contrato]]&lt;&gt;""),DATOS_[[#This Row],[Fecha de Contratación]]&gt;$D$4),"Fuera","Dentro")</f>
        <v>Dentro</v>
      </c>
      <c r="BS263" s="322" t="str">
        <f t="array" ref="BS263">IF(MAX(IF(DATOS_[id]=DATOS_[[#This Row],[id]],DATOS_[F.fin.cal]))=DATOS_[[#This Row],[F.fin.cal]],"Sí","NO")</f>
        <v>Sí</v>
      </c>
      <c r="BT263" s="292" t="str">
        <f>IF(AND(DATOS_[[#This Row],[% normaliz]]&lt;&gt;1,DATOS_[[#This Row],[% anualiz]]=1),"Sí","NO")</f>
        <v>NO</v>
      </c>
      <c r="BU263" s="292" t="str">
        <f>IF(AND(DATOS_[[#This Row],[% normaliz]]=1,DATOS_[[#This Row],[% anualiz]]&lt;&gt;1),"Sí","NO")</f>
        <v>NO</v>
      </c>
      <c r="BV263" s="292" t="str">
        <f>IF(AND(DATOS_[[#This Row],[% normaliz]]&lt;&gt;1,DATOS_[[#This Row],[% anualiz]]&lt;&gt;1),"Sí","NO")</f>
        <v>NO</v>
      </c>
      <c r="BW263" s="322" t="str">
        <f>+IF(DATOS_[[#This Row],[% normaliz]]*DATOS_[[#This Row],[% anualiz]]=1,"NO","Sí")</f>
        <v>NO</v>
      </c>
      <c r="BX263" s="323">
        <f>(DATOS_[[#This Row],[S.BASE]]*(1/DATOS_[[#This Row],[% normaliz]])*(1/DATOS_[[#This Row],[% anualiz]]))*IF(DATOS_[[#This Row],[Check Equiparado]]="Sí",1,0)</f>
        <v>12915.07</v>
      </c>
      <c r="BY26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63" s="323">
        <f>+DATOS_[[#This Row],[SALARIO BASE Eq]]+DATOS_[[#This Row],[Tot COMPL.SAL Eq]]</f>
        <v>14040</v>
      </c>
      <c r="CA263" s="323">
        <f t="array" ref="CA2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3" s="323">
        <f>+DATOS_[[#This Row],[TOTAL SALARIO Eq]]+DATOS_[[#This Row],[Tot Extrasalarial Eq]]</f>
        <v>14040</v>
      </c>
      <c r="CC263" s="327">
        <f>DATOS_[[#This Row],[S.BASE]]</f>
        <v>12915.07</v>
      </c>
      <c r="CD263" s="324">
        <f>+SUM(DATOS_[[#This Row],[Conc.Sal.01]:[Conc.Sal.30]])</f>
        <v>1124.9300000000003</v>
      </c>
      <c r="CE263" s="324">
        <f>+DATOS_[[#This Row],[SALARIO BASE Ef]]+DATOS_[[#This Row],[Tot COMPL.SAL Ef]]</f>
        <v>14040</v>
      </c>
      <c r="CF263" s="324">
        <f>+SUM(DATOS_[[#This Row],[C.Extra.01]:[C.Extra.05]])</f>
        <v>0</v>
      </c>
      <c r="CG263" s="330">
        <f>+DATOS_[[#This Row],[TOTAL SALARIO Ef]]+DATOS_[[#This Row],[Tot Extrasalarial Ef]]</f>
        <v>14040</v>
      </c>
      <c r="CH263" s="303">
        <f>MIN(IF(DATOS_[[#This Row],[Fecha Fin Contrato]]="",$D$4,DATOS_[[#This Row],[Fecha Fin Contrato]]),$D$4)-MAX(DATOS_[[#This Row],[Fecha de Contratación]],$D$3)+1</f>
        <v>366</v>
      </c>
      <c r="CI263" s="304" t="str">
        <f>IF(COUNTIFS(DATOS_[id],DATOS_[[#This Row],[id]])&gt;1,DATOS_[[#This Row],[id]],"")</f>
        <v/>
      </c>
      <c r="CJ263" s="325">
        <f>(Inicio!$G$10-DATOS_[[#This Row],[Fecha Nacimiento]])/365.25</f>
        <v>37.062286105407253</v>
      </c>
      <c r="CK263" s="325">
        <f>(Inicio!$G$10-DATOS_[[#This Row],[Fecha de Antigüedad]])/365.25</f>
        <v>6.1327857631759066</v>
      </c>
      <c r="CL263" s="325" t="str">
        <f>+VLOOKUP(DATOS_[[#This Row],[Clave de Contrato]],TblTiposContrato13[],3,FALSE)</f>
        <v>Completa</v>
      </c>
      <c r="CM263" s="325" t="str">
        <f>+VLOOKUP(DATOS_[[#This Row],[Clave de Contrato]],TblTiposContrato13[],4,FALSE)</f>
        <v>Indefinido</v>
      </c>
      <c r="CN263" s="325" t="str">
        <f>VLOOKUP(DATOS_[[#This Row],[Edad]],CONTRATOS!TblRngEdad,2,TRUE)</f>
        <v>35 a 40</v>
      </c>
      <c r="CO263" s="325" t="str">
        <f>VLOOKUP(DATOS_[[#This Row],[Antigüedad]],TblRngAntg14[],2,TRUE)</f>
        <v>5 a 10  años</v>
      </c>
    </row>
    <row r="264" spans="2:93" x14ac:dyDescent="0.25">
      <c r="B264" s="146">
        <v>239</v>
      </c>
      <c r="C264" s="146" t="s">
        <v>162</v>
      </c>
      <c r="D264" s="295">
        <v>27375</v>
      </c>
      <c r="E264" s="296" t="s">
        <v>71</v>
      </c>
      <c r="F264" s="296">
        <v>2</v>
      </c>
      <c r="G264" s="296">
        <v>1</v>
      </c>
      <c r="H264" s="297">
        <v>43891</v>
      </c>
      <c r="I264" s="298">
        <v>43982</v>
      </c>
      <c r="J264" s="295">
        <v>43891</v>
      </c>
      <c r="K264" s="326">
        <v>43891</v>
      </c>
      <c r="L264" s="326">
        <v>43982</v>
      </c>
      <c r="M264" s="299">
        <v>1</v>
      </c>
      <c r="N264" s="299"/>
      <c r="O264" s="299"/>
      <c r="P264" s="296">
        <v>401</v>
      </c>
      <c r="Q264" s="146" t="s">
        <v>414</v>
      </c>
      <c r="R264" s="146" t="s">
        <v>420</v>
      </c>
      <c r="S264" s="146" t="s">
        <v>440</v>
      </c>
      <c r="T264" s="146" t="s">
        <v>407</v>
      </c>
      <c r="U264" s="146" t="s">
        <v>400</v>
      </c>
      <c r="V264" s="146" t="s">
        <v>438</v>
      </c>
      <c r="W264" s="146" t="s">
        <v>311</v>
      </c>
      <c r="X264" s="146" t="s">
        <v>307</v>
      </c>
      <c r="Y264" s="146" t="s">
        <v>409</v>
      </c>
      <c r="Z264" s="293"/>
      <c r="AA264" s="294" t="s">
        <v>439</v>
      </c>
      <c r="AB264" s="294">
        <v>9</v>
      </c>
      <c r="AC264" s="296">
        <v>7</v>
      </c>
      <c r="AD264" s="301">
        <v>3228</v>
      </c>
      <c r="AE264" s="301">
        <v>21</v>
      </c>
      <c r="AF264" s="301"/>
      <c r="AG264" s="301">
        <v>240</v>
      </c>
      <c r="AH264" s="301"/>
      <c r="AI264" s="301"/>
      <c r="AJ264" s="301"/>
      <c r="AK264" s="301"/>
      <c r="AL264" s="301"/>
      <c r="AM264" s="301"/>
      <c r="AN264" s="301"/>
      <c r="AO264" s="301"/>
      <c r="AP264" s="301"/>
      <c r="AQ264" s="301"/>
      <c r="AR264" s="301"/>
      <c r="AS264" s="301"/>
      <c r="AT264" s="301"/>
      <c r="AU264" s="301"/>
      <c r="AV264" s="301"/>
      <c r="AW264" s="301"/>
      <c r="AX264" s="301"/>
      <c r="AY264" s="301"/>
      <c r="AZ264" s="301"/>
      <c r="BA264" s="301"/>
      <c r="BB264" s="301"/>
      <c r="BC264" s="301"/>
      <c r="BD264" s="301"/>
      <c r="BE264" s="301"/>
      <c r="BF264" s="301"/>
      <c r="BG264" s="301"/>
      <c r="BH264" s="301"/>
      <c r="BI264" s="301"/>
      <c r="BJ264" s="301">
        <v>107</v>
      </c>
      <c r="BK264" s="301"/>
      <c r="BL264" s="301"/>
      <c r="BM264" s="302"/>
      <c r="BN264" s="291">
        <f>+MAX($D$3,DATOS_[[#This Row],[Fecha Inicio Sit. Contract.]])</f>
        <v>45292</v>
      </c>
      <c r="BO264" s="291">
        <f>+MIN($D$4,DATOS_[[#This Row],[Fecha Fin Sit. Contract.]])</f>
        <v>43982</v>
      </c>
      <c r="BP264" s="292">
        <f>+DATOS_[[#This Row],[% de jornada]]*IF(DATOS_[[#This Row],[% jornada reducida]]="",1,DATOS_[[#This Row],[% jornada reducida]])</f>
        <v>1</v>
      </c>
      <c r="BQ264" s="292">
        <f>+(DATOS_[[#This Row],[F.fin.cal]]-DATOS_[[#This Row],[F.ini.cal]]+1)/($D$4-$D$3+1)</f>
        <v>-3.5765027322404372</v>
      </c>
      <c r="BR264" s="322" t="str">
        <f>IF(OR(AND(DATOS_[[#This Row],[Fecha Fin Contrato]]&lt;$D$3,DATOS_[[#This Row],[Fecha Fin Contrato]]&lt;&gt;""),DATOS_[[#This Row],[Fecha de Contratación]]&gt;$D$4),"Fuera","Dentro")</f>
        <v>Fuera</v>
      </c>
      <c r="BS264" s="322" t="str">
        <f t="array" ref="BS264">IF(MAX(IF(DATOS_[id]=DATOS_[[#This Row],[id]],DATOS_[F.fin.cal]))=DATOS_[[#This Row],[F.fin.cal]],"Sí","NO")</f>
        <v>Sí</v>
      </c>
      <c r="BT264" s="292" t="str">
        <f>IF(AND(DATOS_[[#This Row],[% normaliz]]&lt;&gt;1,DATOS_[[#This Row],[% anualiz]]=1),"Sí","NO")</f>
        <v>NO</v>
      </c>
      <c r="BU264" s="292" t="str">
        <f>IF(AND(DATOS_[[#This Row],[% normaliz]]=1,DATOS_[[#This Row],[% anualiz]]&lt;&gt;1),"Sí","NO")</f>
        <v>Sí</v>
      </c>
      <c r="BV264" s="292" t="str">
        <f>IF(AND(DATOS_[[#This Row],[% normaliz]]&lt;&gt;1,DATOS_[[#This Row],[% anualiz]]&lt;&gt;1),"Sí","NO")</f>
        <v>NO</v>
      </c>
      <c r="BW264" s="322" t="str">
        <f>+IF(DATOS_[[#This Row],[% normaliz]]*DATOS_[[#This Row],[% anualiz]]=1,"NO","Sí")</f>
        <v>Sí</v>
      </c>
      <c r="BX264" s="323">
        <f>(DATOS_[[#This Row],[S.BASE]]*(1/DATOS_[[#This Row],[% normaliz]])*(1/DATOS_[[#This Row],[% anualiz]]))*IF(DATOS_[[#This Row],[Check Equiparado]]="Sí",1,0)</f>
        <v>-902.55767761650111</v>
      </c>
      <c r="BY26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-72.976317799847209</v>
      </c>
      <c r="BZ264" s="323">
        <f>+DATOS_[[#This Row],[SALARIO BASE Eq]]+DATOS_[[#This Row],[Tot COMPL.SAL Eq]]</f>
        <v>-975.53399541634826</v>
      </c>
      <c r="CA264" s="323">
        <f t="array" ref="CA2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107</v>
      </c>
      <c r="CB264" s="323">
        <f>+DATOS_[[#This Row],[TOTAL SALARIO Eq]]+DATOS_[[#This Row],[Tot Extrasalarial Eq]]</f>
        <v>-868.53399541634826</v>
      </c>
      <c r="CC264" s="327">
        <f>DATOS_[[#This Row],[S.BASE]]</f>
        <v>3228</v>
      </c>
      <c r="CD264" s="324">
        <f>+SUM(DATOS_[[#This Row],[Conc.Sal.01]:[Conc.Sal.30]])</f>
        <v>261</v>
      </c>
      <c r="CE264" s="324">
        <f>+DATOS_[[#This Row],[SALARIO BASE Ef]]+DATOS_[[#This Row],[Tot COMPL.SAL Ef]]</f>
        <v>3489</v>
      </c>
      <c r="CF264" s="324">
        <f>+SUM(DATOS_[[#This Row],[C.Extra.01]:[C.Extra.05]])</f>
        <v>107</v>
      </c>
      <c r="CG264" s="330">
        <f>+DATOS_[[#This Row],[TOTAL SALARIO Ef]]+DATOS_[[#This Row],[Tot Extrasalarial Ef]]</f>
        <v>3596</v>
      </c>
      <c r="CH264" s="303">
        <f>MIN(IF(DATOS_[[#This Row],[Fecha Fin Contrato]]="",$D$4,DATOS_[[#This Row],[Fecha Fin Contrato]]),$D$4)-MAX(DATOS_[[#This Row],[Fecha de Contratación]],$D$3)+1</f>
        <v>-1309</v>
      </c>
      <c r="CI264" s="304" t="str">
        <f>IF(COUNTIFS(DATOS_[id],DATOS_[[#This Row],[id]])&gt;1,DATOS_[[#This Row],[id]],"")</f>
        <v/>
      </c>
      <c r="CJ264" s="325">
        <f>(Inicio!$G$10-DATOS_[[#This Row],[Fecha Nacimiento]])/365.25</f>
        <v>50.053388090349074</v>
      </c>
      <c r="CK264" s="325">
        <f>(Inicio!$G$10-DATOS_[[#This Row],[Fecha de Antigüedad]])/365.25</f>
        <v>4.8350444900752905</v>
      </c>
      <c r="CL264" s="325" t="str">
        <f>+VLOOKUP(DATOS_[[#This Row],[Clave de Contrato]],TblTiposContrato13[],3,FALSE)</f>
        <v>Completa</v>
      </c>
      <c r="CM264" s="325" t="str">
        <f>+VLOOKUP(DATOS_[[#This Row],[Clave de Contrato]],TblTiposContrato13[],4,FALSE)</f>
        <v>Temporal</v>
      </c>
      <c r="CN264" s="325" t="str">
        <f>VLOOKUP(DATOS_[[#This Row],[Edad]],CONTRATOS!TblRngEdad,2,TRUE)</f>
        <v>50 a 55</v>
      </c>
      <c r="CO264" s="325" t="str">
        <f>VLOOKUP(DATOS_[[#This Row],[Antigüedad]],TblRngAntg14[],2,TRUE)</f>
        <v>3 a 5  años</v>
      </c>
    </row>
    <row r="265" spans="2:93" x14ac:dyDescent="0.25">
      <c r="B265" s="146">
        <v>240</v>
      </c>
      <c r="C265" s="146" t="s">
        <v>162</v>
      </c>
      <c r="D265" s="295">
        <v>31755</v>
      </c>
      <c r="E265" s="296" t="s">
        <v>71</v>
      </c>
      <c r="F265" s="296">
        <v>2</v>
      </c>
      <c r="G265" s="296">
        <v>2</v>
      </c>
      <c r="H265" s="297">
        <v>44136</v>
      </c>
      <c r="I265" s="298">
        <v>44196</v>
      </c>
      <c r="J265" s="295">
        <v>44136</v>
      </c>
      <c r="K265" s="326">
        <v>44136</v>
      </c>
      <c r="L265" s="326">
        <v>44196</v>
      </c>
      <c r="M265" s="299">
        <v>1</v>
      </c>
      <c r="N265" s="299"/>
      <c r="O265" s="299"/>
      <c r="P265" s="296">
        <v>401</v>
      </c>
      <c r="Q265" s="146" t="s">
        <v>414</v>
      </c>
      <c r="R265" s="146" t="s">
        <v>420</v>
      </c>
      <c r="S265" s="146" t="s">
        <v>440</v>
      </c>
      <c r="T265" s="146" t="s">
        <v>407</v>
      </c>
      <c r="U265" s="146" t="s">
        <v>400</v>
      </c>
      <c r="V265" s="146" t="s">
        <v>438</v>
      </c>
      <c r="W265" s="146" t="s">
        <v>311</v>
      </c>
      <c r="X265" s="146" t="s">
        <v>307</v>
      </c>
      <c r="Y265" s="146" t="s">
        <v>409</v>
      </c>
      <c r="Z265" s="293"/>
      <c r="AA265" s="294" t="s">
        <v>439</v>
      </c>
      <c r="AB265" s="294">
        <v>9</v>
      </c>
      <c r="AC265" s="296">
        <v>7</v>
      </c>
      <c r="AD265" s="301">
        <v>2152</v>
      </c>
      <c r="AE265" s="301">
        <v>14</v>
      </c>
      <c r="AF265" s="301"/>
      <c r="AG265" s="301">
        <v>160</v>
      </c>
      <c r="AH265" s="301"/>
      <c r="AI265" s="301"/>
      <c r="AJ265" s="301"/>
      <c r="AK265" s="301">
        <v>80</v>
      </c>
      <c r="AL265" s="301"/>
      <c r="AM265" s="301"/>
      <c r="AN265" s="301"/>
      <c r="AO265" s="301"/>
      <c r="AP265" s="301"/>
      <c r="AQ265" s="301"/>
      <c r="AR265" s="301"/>
      <c r="AS265" s="301"/>
      <c r="AT265" s="301"/>
      <c r="AU265" s="301"/>
      <c r="AV265" s="301"/>
      <c r="AW265" s="301"/>
      <c r="AX265" s="301"/>
      <c r="AY265" s="301"/>
      <c r="AZ265" s="301"/>
      <c r="BA265" s="301"/>
      <c r="BB265" s="301"/>
      <c r="BC265" s="301"/>
      <c r="BD265" s="301"/>
      <c r="BE265" s="301"/>
      <c r="BF265" s="301"/>
      <c r="BG265" s="301"/>
      <c r="BH265" s="301"/>
      <c r="BI265" s="301"/>
      <c r="BJ265" s="301">
        <v>72</v>
      </c>
      <c r="BK265" s="301"/>
      <c r="BL265" s="301"/>
      <c r="BM265" s="302"/>
      <c r="BN265" s="291">
        <f>+MAX($D$3,DATOS_[[#This Row],[Fecha Inicio Sit. Contract.]])</f>
        <v>45292</v>
      </c>
      <c r="BO265" s="291">
        <f>+MIN($D$4,DATOS_[[#This Row],[Fecha Fin Sit. Contract.]])</f>
        <v>44196</v>
      </c>
      <c r="BP265" s="292">
        <f>+DATOS_[[#This Row],[% de jornada]]*IF(DATOS_[[#This Row],[% jornada reducida]]="",1,DATOS_[[#This Row],[% jornada reducida]])</f>
        <v>1</v>
      </c>
      <c r="BQ265" s="292">
        <f>+(DATOS_[[#This Row],[F.fin.cal]]-DATOS_[[#This Row],[F.ini.cal]]+1)/($D$4-$D$3+1)</f>
        <v>-2.9918032786885247</v>
      </c>
      <c r="BR265" s="322" t="str">
        <f>IF(OR(AND(DATOS_[[#This Row],[Fecha Fin Contrato]]&lt;$D$3,DATOS_[[#This Row],[Fecha Fin Contrato]]&lt;&gt;""),DATOS_[[#This Row],[Fecha de Contratación]]&gt;$D$4),"Fuera","Dentro")</f>
        <v>Fuera</v>
      </c>
      <c r="BS265" s="322" t="str">
        <f t="array" ref="BS265">IF(MAX(IF(DATOS_[id]=DATOS_[[#This Row],[id]],DATOS_[F.fin.cal]))=DATOS_[[#This Row],[F.fin.cal]],"Sí","NO")</f>
        <v>Sí</v>
      </c>
      <c r="BT265" s="292" t="str">
        <f>IF(AND(DATOS_[[#This Row],[% normaliz]]&lt;&gt;1,DATOS_[[#This Row],[% anualiz]]=1),"Sí","NO")</f>
        <v>NO</v>
      </c>
      <c r="BU265" s="292" t="str">
        <f>IF(AND(DATOS_[[#This Row],[% normaliz]]=1,DATOS_[[#This Row],[% anualiz]]&lt;&gt;1),"Sí","NO")</f>
        <v>Sí</v>
      </c>
      <c r="BV265" s="292" t="str">
        <f>IF(AND(DATOS_[[#This Row],[% normaliz]]&lt;&gt;1,DATOS_[[#This Row],[% anualiz]]&lt;&gt;1),"Sí","NO")</f>
        <v>NO</v>
      </c>
      <c r="BW265" s="322" t="str">
        <f>+IF(DATOS_[[#This Row],[% normaliz]]*DATOS_[[#This Row],[% anualiz]]=1,"NO","Sí")</f>
        <v>Sí</v>
      </c>
      <c r="BX265" s="323">
        <f>(DATOS_[[#This Row],[S.BASE]]*(1/DATOS_[[#This Row],[% normaliz]])*(1/DATOS_[[#This Row],[% anualiz]]))*IF(DATOS_[[#This Row],[Check Equiparado]]="Sí",1,0)</f>
        <v>-719.29863013698639</v>
      </c>
      <c r="BY26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21.841095890410955</v>
      </c>
      <c r="BZ265" s="323">
        <f>+DATOS_[[#This Row],[SALARIO BASE Eq]]+DATOS_[[#This Row],[Tot COMPL.SAL Eq]]</f>
        <v>-697.45753424657539</v>
      </c>
      <c r="CA265" s="323">
        <f t="array" ref="CA2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72</v>
      </c>
      <c r="CB265" s="323">
        <f>+DATOS_[[#This Row],[TOTAL SALARIO Eq]]+DATOS_[[#This Row],[Tot Extrasalarial Eq]]</f>
        <v>-625.45753424657539</v>
      </c>
      <c r="CC265" s="327">
        <f>DATOS_[[#This Row],[S.BASE]]</f>
        <v>2152</v>
      </c>
      <c r="CD265" s="324">
        <f>+SUM(DATOS_[[#This Row],[Conc.Sal.01]:[Conc.Sal.30]])</f>
        <v>254</v>
      </c>
      <c r="CE265" s="324">
        <f>+DATOS_[[#This Row],[SALARIO BASE Ef]]+DATOS_[[#This Row],[Tot COMPL.SAL Ef]]</f>
        <v>2406</v>
      </c>
      <c r="CF265" s="324">
        <f>+SUM(DATOS_[[#This Row],[C.Extra.01]:[C.Extra.05]])</f>
        <v>72</v>
      </c>
      <c r="CG265" s="330">
        <f>+DATOS_[[#This Row],[TOTAL SALARIO Ef]]+DATOS_[[#This Row],[Tot Extrasalarial Ef]]</f>
        <v>2478</v>
      </c>
      <c r="CH265" s="303">
        <f>MIN(IF(DATOS_[[#This Row],[Fecha Fin Contrato]]="",$D$4,DATOS_[[#This Row],[Fecha Fin Contrato]]),$D$4)-MAX(DATOS_[[#This Row],[Fecha de Contratación]],$D$3)+1</f>
        <v>-1095</v>
      </c>
      <c r="CI265" s="304" t="str">
        <f>IF(COUNTIFS(DATOS_[id],DATOS_[[#This Row],[id]])&gt;1,DATOS_[[#This Row],[id]],"")</f>
        <v/>
      </c>
      <c r="CJ265" s="325">
        <f>(Inicio!$G$10-DATOS_[[#This Row],[Fecha Nacimiento]])/365.25</f>
        <v>38.061601642710471</v>
      </c>
      <c r="CK265" s="325">
        <f>(Inicio!$G$10-DATOS_[[#This Row],[Fecha de Antigüedad]])/365.25</f>
        <v>4.1642710472279258</v>
      </c>
      <c r="CL265" s="325" t="str">
        <f>+VLOOKUP(DATOS_[[#This Row],[Clave de Contrato]],TblTiposContrato13[],3,FALSE)</f>
        <v>Completa</v>
      </c>
      <c r="CM265" s="325" t="str">
        <f>+VLOOKUP(DATOS_[[#This Row],[Clave de Contrato]],TblTiposContrato13[],4,FALSE)</f>
        <v>Temporal</v>
      </c>
      <c r="CN265" s="325" t="str">
        <f>VLOOKUP(DATOS_[[#This Row],[Edad]],CONTRATOS!TblRngEdad,2,TRUE)</f>
        <v>35 a 40</v>
      </c>
      <c r="CO265" s="325" t="str">
        <f>VLOOKUP(DATOS_[[#This Row],[Antigüedad]],TblRngAntg14[],2,TRUE)</f>
        <v>3 a 5  años</v>
      </c>
    </row>
    <row r="266" spans="2:93" x14ac:dyDescent="0.25">
      <c r="B266" s="146">
        <v>241</v>
      </c>
      <c r="C266" s="146" t="s">
        <v>162</v>
      </c>
      <c r="D266" s="295">
        <v>32120</v>
      </c>
      <c r="E266" s="296" t="s">
        <v>71</v>
      </c>
      <c r="F266" s="296">
        <v>2</v>
      </c>
      <c r="G266" s="296">
        <v>1</v>
      </c>
      <c r="H266" s="297">
        <v>44044</v>
      </c>
      <c r="I266" s="298">
        <v>44165</v>
      </c>
      <c r="J266" s="295">
        <v>44044</v>
      </c>
      <c r="K266" s="326">
        <v>44044</v>
      </c>
      <c r="L266" s="326">
        <v>44165</v>
      </c>
      <c r="M266" s="299">
        <v>1</v>
      </c>
      <c r="N266" s="299"/>
      <c r="O266" s="299"/>
      <c r="P266" s="296">
        <v>401</v>
      </c>
      <c r="Q266" s="146" t="s">
        <v>414</v>
      </c>
      <c r="R266" s="146" t="s">
        <v>420</v>
      </c>
      <c r="S266" s="146" t="s">
        <v>440</v>
      </c>
      <c r="T266" s="146" t="s">
        <v>407</v>
      </c>
      <c r="U266" s="146" t="s">
        <v>400</v>
      </c>
      <c r="V266" s="146" t="s">
        <v>438</v>
      </c>
      <c r="W266" s="146" t="s">
        <v>311</v>
      </c>
      <c r="X266" s="146" t="s">
        <v>307</v>
      </c>
      <c r="Y266" s="146" t="s">
        <v>409</v>
      </c>
      <c r="Z266" s="293"/>
      <c r="AA266" s="294" t="s">
        <v>439</v>
      </c>
      <c r="AB266" s="294">
        <v>9</v>
      </c>
      <c r="AC266" s="296">
        <v>7</v>
      </c>
      <c r="AD266" s="301">
        <v>4305</v>
      </c>
      <c r="AE266" s="301">
        <v>28</v>
      </c>
      <c r="AF266" s="301"/>
      <c r="AG266" s="301">
        <v>320</v>
      </c>
      <c r="AH266" s="301"/>
      <c r="AI266" s="301"/>
      <c r="AJ266" s="301"/>
      <c r="AK266" s="301"/>
      <c r="AL266" s="301"/>
      <c r="AM266" s="301"/>
      <c r="AN266" s="301"/>
      <c r="AO266" s="301"/>
      <c r="AP266" s="301"/>
      <c r="AQ266" s="301"/>
      <c r="AR266" s="301"/>
      <c r="AS266" s="301"/>
      <c r="AT266" s="301"/>
      <c r="AU266" s="301"/>
      <c r="AV266" s="301"/>
      <c r="AW266" s="301"/>
      <c r="AX266" s="301"/>
      <c r="AY266" s="301"/>
      <c r="AZ266" s="301"/>
      <c r="BA266" s="301"/>
      <c r="BB266" s="301"/>
      <c r="BC266" s="301"/>
      <c r="BD266" s="301"/>
      <c r="BE266" s="301"/>
      <c r="BF266" s="301"/>
      <c r="BG266" s="301"/>
      <c r="BH266" s="301"/>
      <c r="BI266" s="301"/>
      <c r="BJ266" s="301">
        <v>143</v>
      </c>
      <c r="BK266" s="301"/>
      <c r="BL266" s="301"/>
      <c r="BM266" s="302"/>
      <c r="BN266" s="291">
        <f>+MAX($D$3,DATOS_[[#This Row],[Fecha Inicio Sit. Contract.]])</f>
        <v>45292</v>
      </c>
      <c r="BO266" s="291">
        <f>+MIN($D$4,DATOS_[[#This Row],[Fecha Fin Sit. Contract.]])</f>
        <v>44165</v>
      </c>
      <c r="BP266" s="292">
        <f>+DATOS_[[#This Row],[% de jornada]]*IF(DATOS_[[#This Row],[% jornada reducida]]="",1,DATOS_[[#This Row],[% jornada reducida]])</f>
        <v>1</v>
      </c>
      <c r="BQ266" s="292">
        <f>+(DATOS_[[#This Row],[F.fin.cal]]-DATOS_[[#This Row],[F.ini.cal]]+1)/($D$4-$D$3+1)</f>
        <v>-3.0765027322404372</v>
      </c>
      <c r="BR266" s="322" t="str">
        <f>IF(OR(AND(DATOS_[[#This Row],[Fecha Fin Contrato]]&lt;$D$3,DATOS_[[#This Row],[Fecha Fin Contrato]]&lt;&gt;""),DATOS_[[#This Row],[Fecha de Contratación]]&gt;$D$4),"Fuera","Dentro")</f>
        <v>Fuera</v>
      </c>
      <c r="BS266" s="322" t="str">
        <f t="array" ref="BS266">IF(MAX(IF(DATOS_[id]=DATOS_[[#This Row],[id]],DATOS_[F.fin.cal]))=DATOS_[[#This Row],[F.fin.cal]],"Sí","NO")</f>
        <v>Sí</v>
      </c>
      <c r="BT266" s="292" t="str">
        <f>IF(AND(DATOS_[[#This Row],[% normaliz]]&lt;&gt;1,DATOS_[[#This Row],[% anualiz]]=1),"Sí","NO")</f>
        <v>NO</v>
      </c>
      <c r="BU266" s="292" t="str">
        <f>IF(AND(DATOS_[[#This Row],[% normaliz]]=1,DATOS_[[#This Row],[% anualiz]]&lt;&gt;1),"Sí","NO")</f>
        <v>Sí</v>
      </c>
      <c r="BV266" s="292" t="str">
        <f>IF(AND(DATOS_[[#This Row],[% normaliz]]&lt;&gt;1,DATOS_[[#This Row],[% anualiz]]&lt;&gt;1),"Sí","NO")</f>
        <v>NO</v>
      </c>
      <c r="BW266" s="322" t="str">
        <f>+IF(DATOS_[[#This Row],[% normaliz]]*DATOS_[[#This Row],[% anualiz]]=1,"NO","Sí")</f>
        <v>Sí</v>
      </c>
      <c r="BX266" s="323">
        <f>(DATOS_[[#This Row],[S.BASE]]*(1/DATOS_[[#This Row],[% normaliz]])*(1/DATOS_[[#This Row],[% anualiz]]))*IF(DATOS_[[#This Row],[Check Equiparado]]="Sí",1,0)</f>
        <v>-1399.3161634103019</v>
      </c>
      <c r="BY26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-113.11545293072824</v>
      </c>
      <c r="BZ266" s="323">
        <f>+DATOS_[[#This Row],[SALARIO BASE Eq]]+DATOS_[[#This Row],[Tot COMPL.SAL Eq]]</f>
        <v>-1512.4316163410301</v>
      </c>
      <c r="CA266" s="323">
        <f t="array" ref="CA2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66" s="323">
        <f>+DATOS_[[#This Row],[TOTAL SALARIO Eq]]+DATOS_[[#This Row],[Tot Extrasalarial Eq]]</f>
        <v>-1369.4316163410301</v>
      </c>
      <c r="CC266" s="327">
        <f>DATOS_[[#This Row],[S.BASE]]</f>
        <v>4305</v>
      </c>
      <c r="CD266" s="324">
        <f>+SUM(DATOS_[[#This Row],[Conc.Sal.01]:[Conc.Sal.30]])</f>
        <v>348</v>
      </c>
      <c r="CE266" s="324">
        <f>+DATOS_[[#This Row],[SALARIO BASE Ef]]+DATOS_[[#This Row],[Tot COMPL.SAL Ef]]</f>
        <v>4653</v>
      </c>
      <c r="CF266" s="324">
        <f>+SUM(DATOS_[[#This Row],[C.Extra.01]:[C.Extra.05]])</f>
        <v>143</v>
      </c>
      <c r="CG266" s="330">
        <f>+DATOS_[[#This Row],[TOTAL SALARIO Ef]]+DATOS_[[#This Row],[Tot Extrasalarial Ef]]</f>
        <v>4796</v>
      </c>
      <c r="CH266" s="303">
        <f>MIN(IF(DATOS_[[#This Row],[Fecha Fin Contrato]]="",$D$4,DATOS_[[#This Row],[Fecha Fin Contrato]]),$D$4)-MAX(DATOS_[[#This Row],[Fecha de Contratación]],$D$3)+1</f>
        <v>-1126</v>
      </c>
      <c r="CI266" s="304" t="str">
        <f>IF(COUNTIFS(DATOS_[id],DATOS_[[#This Row],[id]])&gt;1,DATOS_[[#This Row],[id]],"")</f>
        <v/>
      </c>
      <c r="CJ266" s="325">
        <f>(Inicio!$G$10-DATOS_[[#This Row],[Fecha Nacimiento]])/365.25</f>
        <v>37.062286105407253</v>
      </c>
      <c r="CK266" s="325">
        <f>(Inicio!$G$10-DATOS_[[#This Row],[Fecha de Antigüedad]])/365.25</f>
        <v>4.4161533196440796</v>
      </c>
      <c r="CL266" s="325" t="str">
        <f>+VLOOKUP(DATOS_[[#This Row],[Clave de Contrato]],TblTiposContrato13[],3,FALSE)</f>
        <v>Completa</v>
      </c>
      <c r="CM266" s="325" t="str">
        <f>+VLOOKUP(DATOS_[[#This Row],[Clave de Contrato]],TblTiposContrato13[],4,FALSE)</f>
        <v>Temporal</v>
      </c>
      <c r="CN266" s="325" t="str">
        <f>VLOOKUP(DATOS_[[#This Row],[Edad]],CONTRATOS!TblRngEdad,2,TRUE)</f>
        <v>35 a 40</v>
      </c>
      <c r="CO266" s="325" t="str">
        <f>VLOOKUP(DATOS_[[#This Row],[Antigüedad]],TblRngAntg14[],2,TRUE)</f>
        <v>3 a 5  años</v>
      </c>
    </row>
    <row r="267" spans="2:93" x14ac:dyDescent="0.25">
      <c r="B267" s="146">
        <v>242</v>
      </c>
      <c r="C267" s="146" t="s">
        <v>162</v>
      </c>
      <c r="D267" s="295">
        <v>29200</v>
      </c>
      <c r="E267" s="296" t="s">
        <v>71</v>
      </c>
      <c r="F267" s="296">
        <v>2</v>
      </c>
      <c r="G267" s="296">
        <v>1</v>
      </c>
      <c r="H267" s="297">
        <v>43417</v>
      </c>
      <c r="I267" s="298"/>
      <c r="J267" s="295">
        <v>43417</v>
      </c>
      <c r="K267" s="326"/>
      <c r="L267" s="326"/>
      <c r="M267" s="299">
        <v>1</v>
      </c>
      <c r="N267" s="299"/>
      <c r="O267" s="299"/>
      <c r="P267" s="296">
        <v>100</v>
      </c>
      <c r="Q267" s="146" t="s">
        <v>431</v>
      </c>
      <c r="R267" s="146" t="s">
        <v>419</v>
      </c>
      <c r="S267" s="146" t="s">
        <v>437</v>
      </c>
      <c r="T267" s="146" t="s">
        <v>407</v>
      </c>
      <c r="U267" s="146" t="s">
        <v>399</v>
      </c>
      <c r="V267" s="146" t="s">
        <v>438</v>
      </c>
      <c r="W267" s="146" t="s">
        <v>311</v>
      </c>
      <c r="X267" s="146" t="s">
        <v>307</v>
      </c>
      <c r="Y267" s="146" t="s">
        <v>409</v>
      </c>
      <c r="Z267" s="293"/>
      <c r="AA267" s="294" t="s">
        <v>439</v>
      </c>
      <c r="AB267" s="294">
        <v>9</v>
      </c>
      <c r="AC267" s="296">
        <v>8</v>
      </c>
      <c r="AD267" s="301">
        <v>12915.07</v>
      </c>
      <c r="AE267" s="301">
        <v>84.930000000000291</v>
      </c>
      <c r="AF267" s="301"/>
      <c r="AG267" s="301">
        <v>960</v>
      </c>
      <c r="AH267" s="301"/>
      <c r="AI267" s="301"/>
      <c r="AJ267" s="301"/>
      <c r="AK267" s="301">
        <v>80</v>
      </c>
      <c r="AL267" s="301"/>
      <c r="AM267" s="301"/>
      <c r="AN267" s="301"/>
      <c r="AO267" s="301"/>
      <c r="AP267" s="301"/>
      <c r="AQ267" s="301"/>
      <c r="AR267" s="301"/>
      <c r="AS267" s="301"/>
      <c r="AT267" s="301"/>
      <c r="AU267" s="301"/>
      <c r="AV267" s="301"/>
      <c r="AW267" s="301"/>
      <c r="AX267" s="301"/>
      <c r="AY267" s="301"/>
      <c r="AZ267" s="301"/>
      <c r="BA267" s="301"/>
      <c r="BB267" s="301"/>
      <c r="BC267" s="301"/>
      <c r="BD267" s="301"/>
      <c r="BE267" s="301"/>
      <c r="BF267" s="301"/>
      <c r="BG267" s="301"/>
      <c r="BH267" s="301"/>
      <c r="BI267" s="301"/>
      <c r="BJ267" s="301"/>
      <c r="BK267" s="301"/>
      <c r="BL267" s="301"/>
      <c r="BM267" s="302"/>
      <c r="BN267" s="291">
        <f>+MAX($D$3,DATOS_[[#This Row],[Fecha Inicio Sit. Contract.]])</f>
        <v>45292</v>
      </c>
      <c r="BO267" s="291">
        <f>+MIN($D$4,DATOS_[[#This Row],[Fecha Fin Sit. Contract.]])</f>
        <v>45657</v>
      </c>
      <c r="BP267" s="292">
        <f>+DATOS_[[#This Row],[% de jornada]]*IF(DATOS_[[#This Row],[% jornada reducida]]="",1,DATOS_[[#This Row],[% jornada reducida]])</f>
        <v>1</v>
      </c>
      <c r="BQ267" s="292">
        <f>+(DATOS_[[#This Row],[F.fin.cal]]-DATOS_[[#This Row],[F.ini.cal]]+1)/($D$4-$D$3+1)</f>
        <v>1</v>
      </c>
      <c r="BR267" s="322" t="str">
        <f>IF(OR(AND(DATOS_[[#This Row],[Fecha Fin Contrato]]&lt;$D$3,DATOS_[[#This Row],[Fecha Fin Contrato]]&lt;&gt;""),DATOS_[[#This Row],[Fecha de Contratación]]&gt;$D$4),"Fuera","Dentro")</f>
        <v>Dentro</v>
      </c>
      <c r="BS267" s="322" t="str">
        <f t="array" ref="BS267">IF(MAX(IF(DATOS_[id]=DATOS_[[#This Row],[id]],DATOS_[F.fin.cal]))=DATOS_[[#This Row],[F.fin.cal]],"Sí","NO")</f>
        <v>Sí</v>
      </c>
      <c r="BT267" s="292" t="str">
        <f>IF(AND(DATOS_[[#This Row],[% normaliz]]&lt;&gt;1,DATOS_[[#This Row],[% anualiz]]=1),"Sí","NO")</f>
        <v>NO</v>
      </c>
      <c r="BU267" s="292" t="str">
        <f>IF(AND(DATOS_[[#This Row],[% normaliz]]=1,DATOS_[[#This Row],[% anualiz]]&lt;&gt;1),"Sí","NO")</f>
        <v>NO</v>
      </c>
      <c r="BV267" s="292" t="str">
        <f>IF(AND(DATOS_[[#This Row],[% normaliz]]&lt;&gt;1,DATOS_[[#This Row],[% anualiz]]&lt;&gt;1),"Sí","NO")</f>
        <v>NO</v>
      </c>
      <c r="BW267" s="322" t="str">
        <f>+IF(DATOS_[[#This Row],[% normaliz]]*DATOS_[[#This Row],[% anualiz]]=1,"NO","Sí")</f>
        <v>NO</v>
      </c>
      <c r="BX267" s="323">
        <f>(DATOS_[[#This Row],[S.BASE]]*(1/DATOS_[[#This Row],[% normaliz]])*(1/DATOS_[[#This Row],[% anualiz]]))*IF(DATOS_[[#This Row],[Check Equiparado]]="Sí",1,0)</f>
        <v>12915.07</v>
      </c>
      <c r="BY26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67" s="323">
        <f>+DATOS_[[#This Row],[SALARIO BASE Eq]]+DATOS_[[#This Row],[Tot COMPL.SAL Eq]]</f>
        <v>14040</v>
      </c>
      <c r="CA267" s="323">
        <f t="array" ref="CA2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7" s="323">
        <f>+DATOS_[[#This Row],[TOTAL SALARIO Eq]]+DATOS_[[#This Row],[Tot Extrasalarial Eq]]</f>
        <v>14040</v>
      </c>
      <c r="CC267" s="327">
        <f>DATOS_[[#This Row],[S.BASE]]</f>
        <v>12915.07</v>
      </c>
      <c r="CD267" s="324">
        <f>+SUM(DATOS_[[#This Row],[Conc.Sal.01]:[Conc.Sal.30]])</f>
        <v>1124.9300000000003</v>
      </c>
      <c r="CE267" s="324">
        <f>+DATOS_[[#This Row],[SALARIO BASE Ef]]+DATOS_[[#This Row],[Tot COMPL.SAL Ef]]</f>
        <v>14040</v>
      </c>
      <c r="CF267" s="324">
        <f>+SUM(DATOS_[[#This Row],[C.Extra.01]:[C.Extra.05]])</f>
        <v>0</v>
      </c>
      <c r="CG267" s="330">
        <f>+DATOS_[[#This Row],[TOTAL SALARIO Ef]]+DATOS_[[#This Row],[Tot Extrasalarial Ef]]</f>
        <v>14040</v>
      </c>
      <c r="CH267" s="303">
        <f>MIN(IF(DATOS_[[#This Row],[Fecha Fin Contrato]]="",$D$4,DATOS_[[#This Row],[Fecha Fin Contrato]]),$D$4)-MAX(DATOS_[[#This Row],[Fecha de Contratación]],$D$3)+1</f>
        <v>366</v>
      </c>
      <c r="CI267" s="304" t="str">
        <f>IF(COUNTIFS(DATOS_[id],DATOS_[[#This Row],[id]])&gt;1,DATOS_[[#This Row],[id]],"")</f>
        <v/>
      </c>
      <c r="CJ267" s="325">
        <f>(Inicio!$G$10-DATOS_[[#This Row],[Fecha Nacimiento]])/365.25</f>
        <v>45.056810403832991</v>
      </c>
      <c r="CK267" s="325">
        <f>(Inicio!$G$10-DATOS_[[#This Row],[Fecha de Antigüedad]])/365.25</f>
        <v>6.1327857631759066</v>
      </c>
      <c r="CL267" s="325" t="str">
        <f>+VLOOKUP(DATOS_[[#This Row],[Clave de Contrato]],TblTiposContrato13[],3,FALSE)</f>
        <v>Completa</v>
      </c>
      <c r="CM267" s="325" t="str">
        <f>+VLOOKUP(DATOS_[[#This Row],[Clave de Contrato]],TblTiposContrato13[],4,FALSE)</f>
        <v>Indefinido</v>
      </c>
      <c r="CN267" s="325" t="str">
        <f>VLOOKUP(DATOS_[[#This Row],[Edad]],CONTRATOS!TblRngEdad,2,TRUE)</f>
        <v>45 a 50</v>
      </c>
      <c r="CO267" s="325" t="str">
        <f>VLOOKUP(DATOS_[[#This Row],[Antigüedad]],TblRngAntg14[],2,TRUE)</f>
        <v>5 a 10  años</v>
      </c>
    </row>
    <row r="268" spans="2:93" x14ac:dyDescent="0.25">
      <c r="B268" s="146">
        <v>243</v>
      </c>
      <c r="C268" s="146" t="s">
        <v>162</v>
      </c>
      <c r="D268" s="295">
        <v>26645</v>
      </c>
      <c r="E268" s="296" t="s">
        <v>71</v>
      </c>
      <c r="F268" s="296">
        <v>2</v>
      </c>
      <c r="G268" s="296">
        <v>2</v>
      </c>
      <c r="H268" s="297">
        <v>43952</v>
      </c>
      <c r="I268" s="298">
        <v>44104</v>
      </c>
      <c r="J268" s="295">
        <v>43952</v>
      </c>
      <c r="K268" s="326">
        <v>43952</v>
      </c>
      <c r="L268" s="326">
        <v>44104</v>
      </c>
      <c r="M268" s="299">
        <v>1</v>
      </c>
      <c r="N268" s="299"/>
      <c r="O268" s="299"/>
      <c r="P268" s="296">
        <v>401</v>
      </c>
      <c r="Q268" s="146" t="s">
        <v>414</v>
      </c>
      <c r="R268" s="146" t="s">
        <v>420</v>
      </c>
      <c r="S268" s="146" t="s">
        <v>440</v>
      </c>
      <c r="T268" s="146" t="s">
        <v>407</v>
      </c>
      <c r="U268" s="146" t="s">
        <v>400</v>
      </c>
      <c r="V268" s="146" t="s">
        <v>438</v>
      </c>
      <c r="W268" s="146" t="s">
        <v>311</v>
      </c>
      <c r="X268" s="146" t="s">
        <v>307</v>
      </c>
      <c r="Y268" s="146" t="s">
        <v>409</v>
      </c>
      <c r="Z268" s="293"/>
      <c r="AA268" s="294" t="s">
        <v>439</v>
      </c>
      <c r="AB268" s="294">
        <v>9</v>
      </c>
      <c r="AC268" s="296">
        <v>7</v>
      </c>
      <c r="AD268" s="301">
        <v>5381</v>
      </c>
      <c r="AE268" s="301">
        <v>35</v>
      </c>
      <c r="AF268" s="301"/>
      <c r="AG268" s="301">
        <v>400</v>
      </c>
      <c r="AH268" s="301"/>
      <c r="AI268" s="301"/>
      <c r="AJ268" s="301"/>
      <c r="AK268" s="301"/>
      <c r="AL268" s="301"/>
      <c r="AM268" s="301"/>
      <c r="AN268" s="301"/>
      <c r="AO268" s="301"/>
      <c r="AP268" s="301"/>
      <c r="AQ268" s="301"/>
      <c r="AR268" s="301"/>
      <c r="AS268" s="301"/>
      <c r="AT268" s="301"/>
      <c r="AU268" s="301"/>
      <c r="AV268" s="301"/>
      <c r="AW268" s="301"/>
      <c r="AX268" s="301"/>
      <c r="AY268" s="301"/>
      <c r="AZ268" s="301"/>
      <c r="BA268" s="301"/>
      <c r="BB268" s="301"/>
      <c r="BC268" s="301"/>
      <c r="BD268" s="301"/>
      <c r="BE268" s="301"/>
      <c r="BF268" s="301"/>
      <c r="BG268" s="301"/>
      <c r="BH268" s="301"/>
      <c r="BI268" s="301"/>
      <c r="BJ268" s="301">
        <v>179</v>
      </c>
      <c r="BK268" s="301"/>
      <c r="BL268" s="301"/>
      <c r="BM268" s="302"/>
      <c r="BN268" s="291">
        <f>+MAX($D$3,DATOS_[[#This Row],[Fecha Inicio Sit. Contract.]])</f>
        <v>45292</v>
      </c>
      <c r="BO268" s="291">
        <f>+MIN($D$4,DATOS_[[#This Row],[Fecha Fin Sit. Contract.]])</f>
        <v>44104</v>
      </c>
      <c r="BP268" s="292">
        <f>+DATOS_[[#This Row],[% de jornada]]*IF(DATOS_[[#This Row],[% jornada reducida]]="",1,DATOS_[[#This Row],[% jornada reducida]])</f>
        <v>1</v>
      </c>
      <c r="BQ268" s="292">
        <f>+(DATOS_[[#This Row],[F.fin.cal]]-DATOS_[[#This Row],[F.ini.cal]]+1)/($D$4-$D$3+1)</f>
        <v>-3.2431693989071038</v>
      </c>
      <c r="BR268" s="322" t="str">
        <f>IF(OR(AND(DATOS_[[#This Row],[Fecha Fin Contrato]]&lt;$D$3,DATOS_[[#This Row],[Fecha Fin Contrato]]&lt;&gt;""),DATOS_[[#This Row],[Fecha de Contratación]]&gt;$D$4),"Fuera","Dentro")</f>
        <v>Fuera</v>
      </c>
      <c r="BS268" s="322" t="str">
        <f t="array" ref="BS268">IF(MAX(IF(DATOS_[id]=DATOS_[[#This Row],[id]],DATOS_[F.fin.cal]))=DATOS_[[#This Row],[F.fin.cal]],"Sí","NO")</f>
        <v>Sí</v>
      </c>
      <c r="BT268" s="292" t="str">
        <f>IF(AND(DATOS_[[#This Row],[% normaliz]]&lt;&gt;1,DATOS_[[#This Row],[% anualiz]]=1),"Sí","NO")</f>
        <v>NO</v>
      </c>
      <c r="BU268" s="292" t="str">
        <f>IF(AND(DATOS_[[#This Row],[% normaliz]]=1,DATOS_[[#This Row],[% anualiz]]&lt;&gt;1),"Sí","NO")</f>
        <v>Sí</v>
      </c>
      <c r="BV268" s="292" t="str">
        <f>IF(AND(DATOS_[[#This Row],[% normaliz]]&lt;&gt;1,DATOS_[[#This Row],[% anualiz]]&lt;&gt;1),"Sí","NO")</f>
        <v>NO</v>
      </c>
      <c r="BW268" s="322" t="str">
        <f>+IF(DATOS_[[#This Row],[% normaliz]]*DATOS_[[#This Row],[% anualiz]]=1,"NO","Sí")</f>
        <v>Sí</v>
      </c>
      <c r="BX268" s="323">
        <f>(DATOS_[[#This Row],[S.BASE]]*(1/DATOS_[[#This Row],[% normaliz]])*(1/DATOS_[[#This Row],[% anualiz]]))*IF(DATOS_[[#This Row],[Check Equiparado]]="Sí",1,0)</f>
        <v>-1659.179443976411</v>
      </c>
      <c r="BY26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-134.12805391743893</v>
      </c>
      <c r="BZ268" s="323">
        <f>+DATOS_[[#This Row],[SALARIO BASE Eq]]+DATOS_[[#This Row],[Tot COMPL.SAL Eq]]</f>
        <v>-1793.3074978938498</v>
      </c>
      <c r="CA268" s="323">
        <f t="array" ref="CA26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268" s="323">
        <f>+DATOS_[[#This Row],[TOTAL SALARIO Eq]]+DATOS_[[#This Row],[Tot Extrasalarial Eq]]</f>
        <v>-1614.3074978938498</v>
      </c>
      <c r="CC268" s="327">
        <f>DATOS_[[#This Row],[S.BASE]]</f>
        <v>5381</v>
      </c>
      <c r="CD268" s="324">
        <f>+SUM(DATOS_[[#This Row],[Conc.Sal.01]:[Conc.Sal.30]])</f>
        <v>435</v>
      </c>
      <c r="CE268" s="324">
        <f>+DATOS_[[#This Row],[SALARIO BASE Ef]]+DATOS_[[#This Row],[Tot COMPL.SAL Ef]]</f>
        <v>5816</v>
      </c>
      <c r="CF268" s="324">
        <f>+SUM(DATOS_[[#This Row],[C.Extra.01]:[C.Extra.05]])</f>
        <v>179</v>
      </c>
      <c r="CG268" s="330">
        <f>+DATOS_[[#This Row],[TOTAL SALARIO Ef]]+DATOS_[[#This Row],[Tot Extrasalarial Ef]]</f>
        <v>5995</v>
      </c>
      <c r="CH268" s="303">
        <f>MIN(IF(DATOS_[[#This Row],[Fecha Fin Contrato]]="",$D$4,DATOS_[[#This Row],[Fecha Fin Contrato]]),$D$4)-MAX(DATOS_[[#This Row],[Fecha de Contratación]],$D$3)+1</f>
        <v>-1187</v>
      </c>
      <c r="CI268" s="304" t="str">
        <f>IF(COUNTIFS(DATOS_[id],DATOS_[[#This Row],[id]])&gt;1,DATOS_[[#This Row],[id]],"")</f>
        <v/>
      </c>
      <c r="CJ268" s="325">
        <f>(Inicio!$G$10-DATOS_[[#This Row],[Fecha Nacimiento]])/365.25</f>
        <v>52.05201916495551</v>
      </c>
      <c r="CK268" s="325">
        <f>(Inicio!$G$10-DATOS_[[#This Row],[Fecha de Antigüedad]])/365.25</f>
        <v>4.6680355920602326</v>
      </c>
      <c r="CL268" s="325" t="str">
        <f>+VLOOKUP(DATOS_[[#This Row],[Clave de Contrato]],TblTiposContrato13[],3,FALSE)</f>
        <v>Completa</v>
      </c>
      <c r="CM268" s="325" t="str">
        <f>+VLOOKUP(DATOS_[[#This Row],[Clave de Contrato]],TblTiposContrato13[],4,FALSE)</f>
        <v>Temporal</v>
      </c>
      <c r="CN268" s="325" t="str">
        <f>VLOOKUP(DATOS_[[#This Row],[Edad]],CONTRATOS!TblRngEdad,2,TRUE)</f>
        <v>50 a 55</v>
      </c>
      <c r="CO268" s="325" t="str">
        <f>VLOOKUP(DATOS_[[#This Row],[Antigüedad]],TblRngAntg14[],2,TRUE)</f>
        <v>3 a 5  años</v>
      </c>
    </row>
    <row r="269" spans="2:93" x14ac:dyDescent="0.25">
      <c r="B269" s="146">
        <v>244</v>
      </c>
      <c r="C269" s="146" t="s">
        <v>163</v>
      </c>
      <c r="D269" s="295">
        <v>36500</v>
      </c>
      <c r="E269" s="296" t="s">
        <v>71</v>
      </c>
      <c r="F269" s="296">
        <v>1</v>
      </c>
      <c r="G269" s="296">
        <v>2</v>
      </c>
      <c r="H269" s="297">
        <v>43800</v>
      </c>
      <c r="I269" s="298">
        <v>43861</v>
      </c>
      <c r="J269" s="295">
        <v>43800</v>
      </c>
      <c r="K269" s="326"/>
      <c r="L269" s="326">
        <v>43861</v>
      </c>
      <c r="M269" s="299">
        <v>1</v>
      </c>
      <c r="N269" s="299"/>
      <c r="O269" s="299"/>
      <c r="P269" s="296">
        <v>401</v>
      </c>
      <c r="Q269" s="146" t="s">
        <v>414</v>
      </c>
      <c r="R269" s="146" t="s">
        <v>420</v>
      </c>
      <c r="S269" s="146" t="s">
        <v>440</v>
      </c>
      <c r="T269" s="146" t="s">
        <v>407</v>
      </c>
      <c r="U269" s="146" t="s">
        <v>400</v>
      </c>
      <c r="V269" s="146" t="s">
        <v>438</v>
      </c>
      <c r="W269" s="146" t="s">
        <v>311</v>
      </c>
      <c r="X269" s="146" t="s">
        <v>307</v>
      </c>
      <c r="Y269" s="146" t="s">
        <v>409</v>
      </c>
      <c r="Z269" s="293"/>
      <c r="AA269" s="294" t="s">
        <v>439</v>
      </c>
      <c r="AB269" s="294">
        <v>9</v>
      </c>
      <c r="AC269" s="296">
        <v>7</v>
      </c>
      <c r="AD269" s="301">
        <v>1076</v>
      </c>
      <c r="AE269" s="301">
        <v>7</v>
      </c>
      <c r="AF269" s="301"/>
      <c r="AG269" s="301">
        <v>80</v>
      </c>
      <c r="AH269" s="301"/>
      <c r="AI269" s="301"/>
      <c r="AJ269" s="301"/>
      <c r="AK269" s="301"/>
      <c r="AL269" s="301"/>
      <c r="AM269" s="301"/>
      <c r="AN269" s="301"/>
      <c r="AO269" s="301"/>
      <c r="AP269" s="301"/>
      <c r="AQ269" s="301"/>
      <c r="AR269" s="301"/>
      <c r="AS269" s="301"/>
      <c r="AT269" s="301"/>
      <c r="AU269" s="301"/>
      <c r="AV269" s="301"/>
      <c r="AW269" s="301"/>
      <c r="AX269" s="301"/>
      <c r="AY269" s="301"/>
      <c r="AZ269" s="301"/>
      <c r="BA269" s="301"/>
      <c r="BB269" s="301"/>
      <c r="BC269" s="301"/>
      <c r="BD269" s="301"/>
      <c r="BE269" s="301"/>
      <c r="BF269" s="301"/>
      <c r="BG269" s="301"/>
      <c r="BH269" s="301"/>
      <c r="BI269" s="301"/>
      <c r="BJ269" s="301">
        <v>80.25</v>
      </c>
      <c r="BK269" s="301"/>
      <c r="BL269" s="301"/>
      <c r="BM269" s="302"/>
      <c r="BN269" s="291">
        <f>+MAX($D$3,DATOS_[[#This Row],[Fecha Inicio Sit. Contract.]])</f>
        <v>45292</v>
      </c>
      <c r="BO269" s="291">
        <f>+MIN($D$4,DATOS_[[#This Row],[Fecha Fin Sit. Contract.]])</f>
        <v>43861</v>
      </c>
      <c r="BP269" s="292">
        <f>+DATOS_[[#This Row],[% de jornada]]*IF(DATOS_[[#This Row],[% jornada reducida]]="",1,DATOS_[[#This Row],[% jornada reducida]])</f>
        <v>1</v>
      </c>
      <c r="BQ269" s="292">
        <f>+(DATOS_[[#This Row],[F.fin.cal]]-DATOS_[[#This Row],[F.ini.cal]]+1)/($D$4-$D$3+1)</f>
        <v>-3.9071038251366121</v>
      </c>
      <c r="BR269" s="322" t="str">
        <f>IF(OR(AND(DATOS_[[#This Row],[Fecha Fin Contrato]]&lt;$D$3,DATOS_[[#This Row],[Fecha Fin Contrato]]&lt;&gt;""),DATOS_[[#This Row],[Fecha de Contratación]]&gt;$D$4),"Fuera","Dentro")</f>
        <v>Fuera</v>
      </c>
      <c r="BS269" s="322" t="str">
        <f t="array" ref="BS269">IF(MAX(IF(DATOS_[id]=DATOS_[[#This Row],[id]],DATOS_[F.fin.cal]))=DATOS_[[#This Row],[F.fin.cal]],"Sí","NO")</f>
        <v>Sí</v>
      </c>
      <c r="BT269" s="292" t="str">
        <f>IF(AND(DATOS_[[#This Row],[% normaliz]]&lt;&gt;1,DATOS_[[#This Row],[% anualiz]]=1),"Sí","NO")</f>
        <v>NO</v>
      </c>
      <c r="BU269" s="292" t="str">
        <f>IF(AND(DATOS_[[#This Row],[% normaliz]]=1,DATOS_[[#This Row],[% anualiz]]&lt;&gt;1),"Sí","NO")</f>
        <v>Sí</v>
      </c>
      <c r="BV269" s="292" t="str">
        <f>IF(AND(DATOS_[[#This Row],[% normaliz]]&lt;&gt;1,DATOS_[[#This Row],[% anualiz]]&lt;&gt;1),"Sí","NO")</f>
        <v>NO</v>
      </c>
      <c r="BW269" s="322" t="str">
        <f>+IF(DATOS_[[#This Row],[% normaliz]]*DATOS_[[#This Row],[% anualiz]]=1,"NO","Sí")</f>
        <v>Sí</v>
      </c>
      <c r="BX269" s="323">
        <f>(DATOS_[[#This Row],[S.BASE]]*(1/DATOS_[[#This Row],[% normaliz]])*(1/DATOS_[[#This Row],[% anualiz]]))*IF(DATOS_[[#This Row],[Check Equiparado]]="Sí",1,0)</f>
        <v>-275.3958041958042</v>
      </c>
      <c r="BY26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-22.267132867132869</v>
      </c>
      <c r="BZ269" s="323">
        <f>+DATOS_[[#This Row],[SALARIO BASE Eq]]+DATOS_[[#This Row],[Tot COMPL.SAL Eq]]</f>
        <v>-297.66293706293709</v>
      </c>
      <c r="CA269" s="323">
        <f t="array" ref="CA26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80.25</v>
      </c>
      <c r="CB269" s="323">
        <f>+DATOS_[[#This Row],[TOTAL SALARIO Eq]]+DATOS_[[#This Row],[Tot Extrasalarial Eq]]</f>
        <v>-217.41293706293709</v>
      </c>
      <c r="CC269" s="327">
        <f>DATOS_[[#This Row],[S.BASE]]</f>
        <v>1076</v>
      </c>
      <c r="CD269" s="324">
        <f>+SUM(DATOS_[[#This Row],[Conc.Sal.01]:[Conc.Sal.30]])</f>
        <v>87</v>
      </c>
      <c r="CE269" s="324">
        <f>+DATOS_[[#This Row],[SALARIO BASE Ef]]+DATOS_[[#This Row],[Tot COMPL.SAL Ef]]</f>
        <v>1163</v>
      </c>
      <c r="CF269" s="324">
        <f>+SUM(DATOS_[[#This Row],[C.Extra.01]:[C.Extra.05]])</f>
        <v>80.25</v>
      </c>
      <c r="CG269" s="330">
        <f>+DATOS_[[#This Row],[TOTAL SALARIO Ef]]+DATOS_[[#This Row],[Tot Extrasalarial Ef]]</f>
        <v>1243.25</v>
      </c>
      <c r="CH269" s="303">
        <f>MIN(IF(DATOS_[[#This Row],[Fecha Fin Contrato]]="",$D$4,DATOS_[[#This Row],[Fecha Fin Contrato]]),$D$4)-MAX(DATOS_[[#This Row],[Fecha de Contratación]],$D$3)+1</f>
        <v>-1430</v>
      </c>
      <c r="CI269" s="304" t="str">
        <f>IF(COUNTIFS(DATOS_[id],DATOS_[[#This Row],[id]])&gt;1,DATOS_[[#This Row],[id]],"")</f>
        <v/>
      </c>
      <c r="CJ269" s="325">
        <f>(Inicio!$G$10-DATOS_[[#This Row],[Fecha Nacimiento]])/365.25</f>
        <v>25.07049965776865</v>
      </c>
      <c r="CK269" s="325">
        <f>(Inicio!$G$10-DATOS_[[#This Row],[Fecha de Antigüedad]])/365.25</f>
        <v>5.0841889117043122</v>
      </c>
      <c r="CL269" s="325" t="str">
        <f>+VLOOKUP(DATOS_[[#This Row],[Clave de Contrato]],TblTiposContrato13[],3,FALSE)</f>
        <v>Completa</v>
      </c>
      <c r="CM269" s="325" t="str">
        <f>+VLOOKUP(DATOS_[[#This Row],[Clave de Contrato]],TblTiposContrato13[],4,FALSE)</f>
        <v>Temporal</v>
      </c>
      <c r="CN269" s="325" t="str">
        <f>VLOOKUP(DATOS_[[#This Row],[Edad]],CONTRATOS!TblRngEdad,2,TRUE)</f>
        <v>25 a 30</v>
      </c>
      <c r="CO269" s="325" t="str">
        <f>VLOOKUP(DATOS_[[#This Row],[Antigüedad]],TblRngAntg14[],2,TRUE)</f>
        <v>5 a 10  años</v>
      </c>
    </row>
    <row r="270" spans="2:93" x14ac:dyDescent="0.25">
      <c r="B270" s="146">
        <v>245</v>
      </c>
      <c r="C270" s="146" t="s">
        <v>163</v>
      </c>
      <c r="D270" s="295">
        <v>33580</v>
      </c>
      <c r="E270" s="296" t="s">
        <v>71</v>
      </c>
      <c r="F270" s="296">
        <v>1</v>
      </c>
      <c r="G270" s="296">
        <v>3</v>
      </c>
      <c r="H270" s="297">
        <v>43800</v>
      </c>
      <c r="I270" s="298">
        <v>44012</v>
      </c>
      <c r="J270" s="295">
        <v>43800</v>
      </c>
      <c r="K270" s="326"/>
      <c r="L270" s="326">
        <v>44012</v>
      </c>
      <c r="M270" s="299">
        <v>1</v>
      </c>
      <c r="N270" s="299"/>
      <c r="O270" s="299"/>
      <c r="P270" s="296">
        <v>401</v>
      </c>
      <c r="Q270" s="146" t="s">
        <v>414</v>
      </c>
      <c r="R270" s="146" t="s">
        <v>420</v>
      </c>
      <c r="S270" s="146" t="s">
        <v>440</v>
      </c>
      <c r="T270" s="146" t="s">
        <v>407</v>
      </c>
      <c r="U270" s="146" t="s">
        <v>400</v>
      </c>
      <c r="V270" s="146" t="s">
        <v>438</v>
      </c>
      <c r="W270" s="146" t="s">
        <v>311</v>
      </c>
      <c r="X270" s="146" t="s">
        <v>307</v>
      </c>
      <c r="Y270" s="146" t="s">
        <v>409</v>
      </c>
      <c r="Z270" s="293"/>
      <c r="AA270" s="294" t="s">
        <v>439</v>
      </c>
      <c r="AB270" s="294">
        <v>9</v>
      </c>
      <c r="AC270" s="296">
        <v>7</v>
      </c>
      <c r="AD270" s="301">
        <v>6457</v>
      </c>
      <c r="AE270" s="301">
        <v>42</v>
      </c>
      <c r="AF270" s="301"/>
      <c r="AG270" s="301">
        <v>480</v>
      </c>
      <c r="AH270" s="301"/>
      <c r="AI270" s="301"/>
      <c r="AJ270" s="301"/>
      <c r="AK270" s="301"/>
      <c r="AL270" s="301"/>
      <c r="AM270" s="301"/>
      <c r="AN270" s="301"/>
      <c r="AO270" s="301"/>
      <c r="AP270" s="301"/>
      <c r="AQ270" s="301"/>
      <c r="AR270" s="301"/>
      <c r="AS270" s="301"/>
      <c r="AT270" s="301"/>
      <c r="AU270" s="301"/>
      <c r="AV270" s="301"/>
      <c r="AW270" s="301"/>
      <c r="AX270" s="301"/>
      <c r="AY270" s="301"/>
      <c r="AZ270" s="301"/>
      <c r="BA270" s="301"/>
      <c r="BB270" s="301"/>
      <c r="BC270" s="301"/>
      <c r="BD270" s="301"/>
      <c r="BE270" s="301"/>
      <c r="BF270" s="301"/>
      <c r="BG270" s="301"/>
      <c r="BH270" s="301"/>
      <c r="BI270" s="301"/>
      <c r="BJ270" s="301">
        <v>280.875</v>
      </c>
      <c r="BK270" s="301"/>
      <c r="BL270" s="301"/>
      <c r="BM270" s="302"/>
      <c r="BN270" s="291">
        <f>+MAX($D$3,DATOS_[[#This Row],[Fecha Inicio Sit. Contract.]])</f>
        <v>45292</v>
      </c>
      <c r="BO270" s="291">
        <f>+MIN($D$4,DATOS_[[#This Row],[Fecha Fin Sit. Contract.]])</f>
        <v>44012</v>
      </c>
      <c r="BP270" s="292">
        <f>+DATOS_[[#This Row],[% de jornada]]*IF(DATOS_[[#This Row],[% jornada reducida]]="",1,DATOS_[[#This Row],[% jornada reducida]])</f>
        <v>1</v>
      </c>
      <c r="BQ270" s="292">
        <f>+(DATOS_[[#This Row],[F.fin.cal]]-DATOS_[[#This Row],[F.ini.cal]]+1)/($D$4-$D$3+1)</f>
        <v>-3.4945355191256833</v>
      </c>
      <c r="BR270" s="322" t="str">
        <f>IF(OR(AND(DATOS_[[#This Row],[Fecha Fin Contrato]]&lt;$D$3,DATOS_[[#This Row],[Fecha Fin Contrato]]&lt;&gt;""),DATOS_[[#This Row],[Fecha de Contratación]]&gt;$D$4),"Fuera","Dentro")</f>
        <v>Fuera</v>
      </c>
      <c r="BS270" s="322" t="str">
        <f t="array" ref="BS270">IF(MAX(IF(DATOS_[id]=DATOS_[[#This Row],[id]],DATOS_[F.fin.cal]))=DATOS_[[#This Row],[F.fin.cal]],"Sí","NO")</f>
        <v>Sí</v>
      </c>
      <c r="BT270" s="292" t="str">
        <f>IF(AND(DATOS_[[#This Row],[% normaliz]]&lt;&gt;1,DATOS_[[#This Row],[% anualiz]]=1),"Sí","NO")</f>
        <v>NO</v>
      </c>
      <c r="BU270" s="292" t="str">
        <f>IF(AND(DATOS_[[#This Row],[% normaliz]]=1,DATOS_[[#This Row],[% anualiz]]&lt;&gt;1),"Sí","NO")</f>
        <v>Sí</v>
      </c>
      <c r="BV270" s="292" t="str">
        <f>IF(AND(DATOS_[[#This Row],[% normaliz]]&lt;&gt;1,DATOS_[[#This Row],[% anualiz]]&lt;&gt;1),"Sí","NO")</f>
        <v>NO</v>
      </c>
      <c r="BW270" s="322" t="str">
        <f>+IF(DATOS_[[#This Row],[% normaliz]]*DATOS_[[#This Row],[% anualiz]]=1,"NO","Sí")</f>
        <v>Sí</v>
      </c>
      <c r="BX270" s="323">
        <f>(DATOS_[[#This Row],[S.BASE]]*(1/DATOS_[[#This Row],[% normaliz]])*(1/DATOS_[[#This Row],[% anualiz]]))*IF(DATOS_[[#This Row],[Check Equiparado]]="Sí",1,0)</f>
        <v>-1847.7419859265049</v>
      </c>
      <c r="BY27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-149.37607505863954</v>
      </c>
      <c r="BZ270" s="323">
        <f>+DATOS_[[#This Row],[SALARIO BASE Eq]]+DATOS_[[#This Row],[Tot COMPL.SAL Eq]]</f>
        <v>-1997.1180609851444</v>
      </c>
      <c r="CA270" s="323">
        <f t="array" ref="CA27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280.875</v>
      </c>
      <c r="CB270" s="323">
        <f>+DATOS_[[#This Row],[TOTAL SALARIO Eq]]+DATOS_[[#This Row],[Tot Extrasalarial Eq]]</f>
        <v>-1716.2430609851444</v>
      </c>
      <c r="CC270" s="327">
        <f>DATOS_[[#This Row],[S.BASE]]</f>
        <v>6457</v>
      </c>
      <c r="CD270" s="324">
        <f>+SUM(DATOS_[[#This Row],[Conc.Sal.01]:[Conc.Sal.30]])</f>
        <v>522</v>
      </c>
      <c r="CE270" s="324">
        <f>+DATOS_[[#This Row],[SALARIO BASE Ef]]+DATOS_[[#This Row],[Tot COMPL.SAL Ef]]</f>
        <v>6979</v>
      </c>
      <c r="CF270" s="324">
        <f>+SUM(DATOS_[[#This Row],[C.Extra.01]:[C.Extra.05]])</f>
        <v>280.875</v>
      </c>
      <c r="CG270" s="330">
        <f>+DATOS_[[#This Row],[TOTAL SALARIO Ef]]+DATOS_[[#This Row],[Tot Extrasalarial Ef]]</f>
        <v>7259.875</v>
      </c>
      <c r="CH270" s="303">
        <f>MIN(IF(DATOS_[[#This Row],[Fecha Fin Contrato]]="",$D$4,DATOS_[[#This Row],[Fecha Fin Contrato]]),$D$4)-MAX(DATOS_[[#This Row],[Fecha de Contratación]],$D$3)+1</f>
        <v>-1279</v>
      </c>
      <c r="CI270" s="304" t="str">
        <f>IF(COUNTIFS(DATOS_[id],DATOS_[[#This Row],[id]])&gt;1,DATOS_[[#This Row],[id]],"")</f>
        <v/>
      </c>
      <c r="CJ270" s="325">
        <f>(Inicio!$G$10-DATOS_[[#This Row],[Fecha Nacimiento]])/365.25</f>
        <v>33.065023956194388</v>
      </c>
      <c r="CK270" s="325">
        <f>(Inicio!$G$10-DATOS_[[#This Row],[Fecha de Antigüedad]])/365.25</f>
        <v>5.0841889117043122</v>
      </c>
      <c r="CL270" s="325" t="str">
        <f>+VLOOKUP(DATOS_[[#This Row],[Clave de Contrato]],TblTiposContrato13[],3,FALSE)</f>
        <v>Completa</v>
      </c>
      <c r="CM270" s="325" t="str">
        <f>+VLOOKUP(DATOS_[[#This Row],[Clave de Contrato]],TblTiposContrato13[],4,FALSE)</f>
        <v>Temporal</v>
      </c>
      <c r="CN270" s="325" t="str">
        <f>VLOOKUP(DATOS_[[#This Row],[Edad]],CONTRATOS!TblRngEdad,2,TRUE)</f>
        <v>30 a 35</v>
      </c>
      <c r="CO270" s="325" t="str">
        <f>VLOOKUP(DATOS_[[#This Row],[Antigüedad]],TblRngAntg14[],2,TRUE)</f>
        <v>5 a 10  años</v>
      </c>
    </row>
    <row r="271" spans="2:93" x14ac:dyDescent="0.25">
      <c r="B271" s="146">
        <v>246</v>
      </c>
      <c r="C271" s="146" t="s">
        <v>162</v>
      </c>
      <c r="D271" s="295">
        <v>33580</v>
      </c>
      <c r="E271" s="296" t="s">
        <v>71</v>
      </c>
      <c r="F271" s="296">
        <v>2</v>
      </c>
      <c r="G271" s="296">
        <v>3</v>
      </c>
      <c r="H271" s="297">
        <v>43891</v>
      </c>
      <c r="I271" s="298">
        <v>44012</v>
      </c>
      <c r="J271" s="295">
        <v>43891</v>
      </c>
      <c r="K271" s="326">
        <v>43891</v>
      </c>
      <c r="L271" s="326">
        <v>44012</v>
      </c>
      <c r="M271" s="299">
        <v>1</v>
      </c>
      <c r="N271" s="299"/>
      <c r="O271" s="299"/>
      <c r="P271" s="296">
        <v>401</v>
      </c>
      <c r="Q271" s="146" t="s">
        <v>414</v>
      </c>
      <c r="R271" s="146" t="s">
        <v>420</v>
      </c>
      <c r="S271" s="146" t="s">
        <v>440</v>
      </c>
      <c r="T271" s="146" t="s">
        <v>407</v>
      </c>
      <c r="U271" s="146" t="s">
        <v>400</v>
      </c>
      <c r="V271" s="146" t="s">
        <v>438</v>
      </c>
      <c r="W271" s="146" t="s">
        <v>311</v>
      </c>
      <c r="X271" s="146" t="s">
        <v>307</v>
      </c>
      <c r="Y271" s="146" t="s">
        <v>409</v>
      </c>
      <c r="Z271" s="293"/>
      <c r="AA271" s="294" t="s">
        <v>439</v>
      </c>
      <c r="AB271" s="294">
        <v>9</v>
      </c>
      <c r="AC271" s="296">
        <v>7</v>
      </c>
      <c r="AD271" s="301">
        <v>4305</v>
      </c>
      <c r="AE271" s="301">
        <v>28</v>
      </c>
      <c r="AF271" s="301"/>
      <c r="AG271" s="301">
        <v>320</v>
      </c>
      <c r="AH271" s="301"/>
      <c r="AI271" s="301"/>
      <c r="AJ271" s="301"/>
      <c r="AK271" s="301"/>
      <c r="AL271" s="301"/>
      <c r="AM271" s="301"/>
      <c r="AN271" s="301"/>
      <c r="AO271" s="301"/>
      <c r="AP271" s="301"/>
      <c r="AQ271" s="301"/>
      <c r="AR271" s="301"/>
      <c r="AS271" s="301"/>
      <c r="AT271" s="301"/>
      <c r="AU271" s="301"/>
      <c r="AV271" s="301"/>
      <c r="AW271" s="301"/>
      <c r="AX271" s="301"/>
      <c r="AY271" s="301"/>
      <c r="AZ271" s="301"/>
      <c r="BA271" s="301"/>
      <c r="BB271" s="301"/>
      <c r="BC271" s="301"/>
      <c r="BD271" s="301"/>
      <c r="BE271" s="301"/>
      <c r="BF271" s="301"/>
      <c r="BG271" s="301"/>
      <c r="BH271" s="301"/>
      <c r="BI271" s="301"/>
      <c r="BJ271" s="301">
        <v>143</v>
      </c>
      <c r="BK271" s="301"/>
      <c r="BL271" s="301"/>
      <c r="BM271" s="302"/>
      <c r="BN271" s="291">
        <f>+MAX($D$3,DATOS_[[#This Row],[Fecha Inicio Sit. Contract.]])</f>
        <v>45292</v>
      </c>
      <c r="BO271" s="291">
        <f>+MIN($D$4,DATOS_[[#This Row],[Fecha Fin Sit. Contract.]])</f>
        <v>44012</v>
      </c>
      <c r="BP271" s="292">
        <f>+DATOS_[[#This Row],[% de jornada]]*IF(DATOS_[[#This Row],[% jornada reducida]]="",1,DATOS_[[#This Row],[% jornada reducida]])</f>
        <v>1</v>
      </c>
      <c r="BQ271" s="292">
        <f>+(DATOS_[[#This Row],[F.fin.cal]]-DATOS_[[#This Row],[F.ini.cal]]+1)/($D$4-$D$3+1)</f>
        <v>-3.4945355191256833</v>
      </c>
      <c r="BR271" s="322" t="str">
        <f>IF(OR(AND(DATOS_[[#This Row],[Fecha Fin Contrato]]&lt;$D$3,DATOS_[[#This Row],[Fecha Fin Contrato]]&lt;&gt;""),DATOS_[[#This Row],[Fecha de Contratación]]&gt;$D$4),"Fuera","Dentro")</f>
        <v>Fuera</v>
      </c>
      <c r="BS271" s="322" t="str">
        <f t="array" ref="BS271">IF(MAX(IF(DATOS_[id]=DATOS_[[#This Row],[id]],DATOS_[F.fin.cal]))=DATOS_[[#This Row],[F.fin.cal]],"Sí","NO")</f>
        <v>Sí</v>
      </c>
      <c r="BT271" s="292" t="str">
        <f>IF(AND(DATOS_[[#This Row],[% normaliz]]&lt;&gt;1,DATOS_[[#This Row],[% anualiz]]=1),"Sí","NO")</f>
        <v>NO</v>
      </c>
      <c r="BU271" s="292" t="str">
        <f>IF(AND(DATOS_[[#This Row],[% normaliz]]=1,DATOS_[[#This Row],[% anualiz]]&lt;&gt;1),"Sí","NO")</f>
        <v>Sí</v>
      </c>
      <c r="BV271" s="292" t="str">
        <f>IF(AND(DATOS_[[#This Row],[% normaliz]]&lt;&gt;1,DATOS_[[#This Row],[% anualiz]]&lt;&gt;1),"Sí","NO")</f>
        <v>NO</v>
      </c>
      <c r="BW271" s="322" t="str">
        <f>+IF(DATOS_[[#This Row],[% normaliz]]*DATOS_[[#This Row],[% anualiz]]=1,"NO","Sí")</f>
        <v>Sí</v>
      </c>
      <c r="BX271" s="323">
        <f>(DATOS_[[#This Row],[S.BASE]]*(1/DATOS_[[#This Row],[% normaliz]])*(1/DATOS_[[#This Row],[% anualiz]]))*IF(DATOS_[[#This Row],[Check Equiparado]]="Sí",1,0)</f>
        <v>-1231.9233776387803</v>
      </c>
      <c r="BY27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-99.584050039093043</v>
      </c>
      <c r="BZ271" s="323">
        <f>+DATOS_[[#This Row],[SALARIO BASE Eq]]+DATOS_[[#This Row],[Tot COMPL.SAL Eq]]</f>
        <v>-1331.5074276778732</v>
      </c>
      <c r="CA271" s="323">
        <f t="array" ref="CA27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71" s="323">
        <f>+DATOS_[[#This Row],[TOTAL SALARIO Eq]]+DATOS_[[#This Row],[Tot Extrasalarial Eq]]</f>
        <v>-1188.5074276778732</v>
      </c>
      <c r="CC271" s="327">
        <f>DATOS_[[#This Row],[S.BASE]]</f>
        <v>4305</v>
      </c>
      <c r="CD271" s="324">
        <f>+SUM(DATOS_[[#This Row],[Conc.Sal.01]:[Conc.Sal.30]])</f>
        <v>348</v>
      </c>
      <c r="CE271" s="324">
        <f>+DATOS_[[#This Row],[SALARIO BASE Ef]]+DATOS_[[#This Row],[Tot COMPL.SAL Ef]]</f>
        <v>4653</v>
      </c>
      <c r="CF271" s="324">
        <f>+SUM(DATOS_[[#This Row],[C.Extra.01]:[C.Extra.05]])</f>
        <v>143</v>
      </c>
      <c r="CG271" s="330">
        <f>+DATOS_[[#This Row],[TOTAL SALARIO Ef]]+DATOS_[[#This Row],[Tot Extrasalarial Ef]]</f>
        <v>4796</v>
      </c>
      <c r="CH271" s="303">
        <f>MIN(IF(DATOS_[[#This Row],[Fecha Fin Contrato]]="",$D$4,DATOS_[[#This Row],[Fecha Fin Contrato]]),$D$4)-MAX(DATOS_[[#This Row],[Fecha de Contratación]],$D$3)+1</f>
        <v>-1279</v>
      </c>
      <c r="CI271" s="304" t="str">
        <f>IF(COUNTIFS(DATOS_[id],DATOS_[[#This Row],[id]])&gt;1,DATOS_[[#This Row],[id]],"")</f>
        <v/>
      </c>
      <c r="CJ271" s="325">
        <f>(Inicio!$G$10-DATOS_[[#This Row],[Fecha Nacimiento]])/365.25</f>
        <v>33.065023956194388</v>
      </c>
      <c r="CK271" s="325">
        <f>(Inicio!$G$10-DATOS_[[#This Row],[Fecha de Antigüedad]])/365.25</f>
        <v>4.8350444900752905</v>
      </c>
      <c r="CL271" s="325" t="str">
        <f>+VLOOKUP(DATOS_[[#This Row],[Clave de Contrato]],TblTiposContrato13[],3,FALSE)</f>
        <v>Completa</v>
      </c>
      <c r="CM271" s="325" t="str">
        <f>+VLOOKUP(DATOS_[[#This Row],[Clave de Contrato]],TblTiposContrato13[],4,FALSE)</f>
        <v>Temporal</v>
      </c>
      <c r="CN271" s="325" t="str">
        <f>VLOOKUP(DATOS_[[#This Row],[Edad]],CONTRATOS!TblRngEdad,2,TRUE)</f>
        <v>30 a 35</v>
      </c>
      <c r="CO271" s="325" t="str">
        <f>VLOOKUP(DATOS_[[#This Row],[Antigüedad]],TblRngAntg14[],2,TRUE)</f>
        <v>3 a 5  años</v>
      </c>
    </row>
    <row r="272" spans="2:93" x14ac:dyDescent="0.25">
      <c r="B272" s="146">
        <v>247</v>
      </c>
      <c r="C272" s="146" t="s">
        <v>163</v>
      </c>
      <c r="D272" s="295">
        <v>32120</v>
      </c>
      <c r="E272" s="296" t="s">
        <v>71</v>
      </c>
      <c r="F272" s="296">
        <v>2</v>
      </c>
      <c r="G272" s="296">
        <v>2</v>
      </c>
      <c r="H272" s="297">
        <v>43800</v>
      </c>
      <c r="I272" s="298">
        <v>44012</v>
      </c>
      <c r="J272" s="295">
        <v>43800</v>
      </c>
      <c r="K272" s="326"/>
      <c r="L272" s="326">
        <v>44012</v>
      </c>
      <c r="M272" s="299">
        <v>1</v>
      </c>
      <c r="N272" s="299"/>
      <c r="O272" s="299"/>
      <c r="P272" s="296">
        <v>401</v>
      </c>
      <c r="Q272" s="146" t="s">
        <v>414</v>
      </c>
      <c r="R272" s="146" t="s">
        <v>420</v>
      </c>
      <c r="S272" s="146" t="s">
        <v>440</v>
      </c>
      <c r="T272" s="146" t="s">
        <v>407</v>
      </c>
      <c r="U272" s="146" t="s">
        <v>400</v>
      </c>
      <c r="V272" s="146" t="s">
        <v>438</v>
      </c>
      <c r="W272" s="146" t="s">
        <v>311</v>
      </c>
      <c r="X272" s="146" t="s">
        <v>307</v>
      </c>
      <c r="Y272" s="146" t="s">
        <v>409</v>
      </c>
      <c r="Z272" s="293"/>
      <c r="AA272" s="294" t="s">
        <v>439</v>
      </c>
      <c r="AB272" s="294">
        <v>9</v>
      </c>
      <c r="AC272" s="296">
        <v>7</v>
      </c>
      <c r="AD272" s="301">
        <v>6457</v>
      </c>
      <c r="AE272" s="301">
        <v>42</v>
      </c>
      <c r="AF272" s="301"/>
      <c r="AG272" s="301">
        <v>480</v>
      </c>
      <c r="AH272" s="301"/>
      <c r="AI272" s="301"/>
      <c r="AJ272" s="301"/>
      <c r="AK272" s="301"/>
      <c r="AL272" s="301"/>
      <c r="AM272" s="301"/>
      <c r="AN272" s="301"/>
      <c r="AO272" s="301"/>
      <c r="AP272" s="301"/>
      <c r="AQ272" s="301"/>
      <c r="AR272" s="301"/>
      <c r="AS272" s="301"/>
      <c r="AT272" s="301"/>
      <c r="AU272" s="301"/>
      <c r="AV272" s="301"/>
      <c r="AW272" s="301"/>
      <c r="AX272" s="301"/>
      <c r="AY272" s="301"/>
      <c r="AZ272" s="301"/>
      <c r="BA272" s="301"/>
      <c r="BB272" s="301"/>
      <c r="BC272" s="301"/>
      <c r="BD272" s="301"/>
      <c r="BE272" s="301"/>
      <c r="BF272" s="301"/>
      <c r="BG272" s="301"/>
      <c r="BH272" s="301"/>
      <c r="BI272" s="301"/>
      <c r="BJ272" s="301">
        <v>280.875</v>
      </c>
      <c r="BK272" s="301"/>
      <c r="BL272" s="301"/>
      <c r="BM272" s="302"/>
      <c r="BN272" s="291">
        <f>+MAX($D$3,DATOS_[[#This Row],[Fecha Inicio Sit. Contract.]])</f>
        <v>45292</v>
      </c>
      <c r="BO272" s="291">
        <f>+MIN($D$4,DATOS_[[#This Row],[Fecha Fin Sit. Contract.]])</f>
        <v>44012</v>
      </c>
      <c r="BP272" s="292">
        <f>+DATOS_[[#This Row],[% de jornada]]*IF(DATOS_[[#This Row],[% jornada reducida]]="",1,DATOS_[[#This Row],[% jornada reducida]])</f>
        <v>1</v>
      </c>
      <c r="BQ272" s="292">
        <f>+(DATOS_[[#This Row],[F.fin.cal]]-DATOS_[[#This Row],[F.ini.cal]]+1)/($D$4-$D$3+1)</f>
        <v>-3.4945355191256833</v>
      </c>
      <c r="BR272" s="322" t="str">
        <f>IF(OR(AND(DATOS_[[#This Row],[Fecha Fin Contrato]]&lt;$D$3,DATOS_[[#This Row],[Fecha Fin Contrato]]&lt;&gt;""),DATOS_[[#This Row],[Fecha de Contratación]]&gt;$D$4),"Fuera","Dentro")</f>
        <v>Fuera</v>
      </c>
      <c r="BS272" s="322" t="str">
        <f t="array" ref="BS272">IF(MAX(IF(DATOS_[id]=DATOS_[[#This Row],[id]],DATOS_[F.fin.cal]))=DATOS_[[#This Row],[F.fin.cal]],"Sí","NO")</f>
        <v>Sí</v>
      </c>
      <c r="BT272" s="292" t="str">
        <f>IF(AND(DATOS_[[#This Row],[% normaliz]]&lt;&gt;1,DATOS_[[#This Row],[% anualiz]]=1),"Sí","NO")</f>
        <v>NO</v>
      </c>
      <c r="BU272" s="292" t="str">
        <f>IF(AND(DATOS_[[#This Row],[% normaliz]]=1,DATOS_[[#This Row],[% anualiz]]&lt;&gt;1),"Sí","NO")</f>
        <v>Sí</v>
      </c>
      <c r="BV272" s="292" t="str">
        <f>IF(AND(DATOS_[[#This Row],[% normaliz]]&lt;&gt;1,DATOS_[[#This Row],[% anualiz]]&lt;&gt;1),"Sí","NO")</f>
        <v>NO</v>
      </c>
      <c r="BW272" s="322" t="str">
        <f>+IF(DATOS_[[#This Row],[% normaliz]]*DATOS_[[#This Row],[% anualiz]]=1,"NO","Sí")</f>
        <v>Sí</v>
      </c>
      <c r="BX272" s="323">
        <f>(DATOS_[[#This Row],[S.BASE]]*(1/DATOS_[[#This Row],[% normaliz]])*(1/DATOS_[[#This Row],[% anualiz]]))*IF(DATOS_[[#This Row],[Check Equiparado]]="Sí",1,0)</f>
        <v>-1847.7419859265049</v>
      </c>
      <c r="BY27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-149.37607505863954</v>
      </c>
      <c r="BZ272" s="323">
        <f>+DATOS_[[#This Row],[SALARIO BASE Eq]]+DATOS_[[#This Row],[Tot COMPL.SAL Eq]]</f>
        <v>-1997.1180609851444</v>
      </c>
      <c r="CA272" s="323">
        <f t="array" ref="CA27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280.875</v>
      </c>
      <c r="CB272" s="323">
        <f>+DATOS_[[#This Row],[TOTAL SALARIO Eq]]+DATOS_[[#This Row],[Tot Extrasalarial Eq]]</f>
        <v>-1716.2430609851444</v>
      </c>
      <c r="CC272" s="327">
        <f>DATOS_[[#This Row],[S.BASE]]</f>
        <v>6457</v>
      </c>
      <c r="CD272" s="324">
        <f>+SUM(DATOS_[[#This Row],[Conc.Sal.01]:[Conc.Sal.30]])</f>
        <v>522</v>
      </c>
      <c r="CE272" s="324">
        <f>+DATOS_[[#This Row],[SALARIO BASE Ef]]+DATOS_[[#This Row],[Tot COMPL.SAL Ef]]</f>
        <v>6979</v>
      </c>
      <c r="CF272" s="324">
        <f>+SUM(DATOS_[[#This Row],[C.Extra.01]:[C.Extra.05]])</f>
        <v>280.875</v>
      </c>
      <c r="CG272" s="330">
        <f>+DATOS_[[#This Row],[TOTAL SALARIO Ef]]+DATOS_[[#This Row],[Tot Extrasalarial Ef]]</f>
        <v>7259.875</v>
      </c>
      <c r="CH272" s="303">
        <f>MIN(IF(DATOS_[[#This Row],[Fecha Fin Contrato]]="",$D$4,DATOS_[[#This Row],[Fecha Fin Contrato]]),$D$4)-MAX(DATOS_[[#This Row],[Fecha de Contratación]],$D$3)+1</f>
        <v>-1279</v>
      </c>
      <c r="CI272" s="304" t="str">
        <f>IF(COUNTIFS(DATOS_[id],DATOS_[[#This Row],[id]])&gt;1,DATOS_[[#This Row],[id]],"")</f>
        <v/>
      </c>
      <c r="CJ272" s="325">
        <f>(Inicio!$G$10-DATOS_[[#This Row],[Fecha Nacimiento]])/365.25</f>
        <v>37.062286105407253</v>
      </c>
      <c r="CK272" s="325">
        <f>(Inicio!$G$10-DATOS_[[#This Row],[Fecha de Antigüedad]])/365.25</f>
        <v>5.0841889117043122</v>
      </c>
      <c r="CL272" s="325" t="str">
        <f>+VLOOKUP(DATOS_[[#This Row],[Clave de Contrato]],TblTiposContrato13[],3,FALSE)</f>
        <v>Completa</v>
      </c>
      <c r="CM272" s="325" t="str">
        <f>+VLOOKUP(DATOS_[[#This Row],[Clave de Contrato]],TblTiposContrato13[],4,FALSE)</f>
        <v>Temporal</v>
      </c>
      <c r="CN272" s="325" t="str">
        <f>VLOOKUP(DATOS_[[#This Row],[Edad]],CONTRATOS!TblRngEdad,2,TRUE)</f>
        <v>35 a 40</v>
      </c>
      <c r="CO272" s="325" t="str">
        <f>VLOOKUP(DATOS_[[#This Row],[Antigüedad]],TblRngAntg14[],2,TRUE)</f>
        <v>5 a 10  años</v>
      </c>
    </row>
    <row r="273" spans="2:93" x14ac:dyDescent="0.25">
      <c r="B273" s="146">
        <v>248</v>
      </c>
      <c r="C273" s="146" t="s">
        <v>163</v>
      </c>
      <c r="D273" s="295">
        <v>36500</v>
      </c>
      <c r="E273" s="296" t="s">
        <v>71</v>
      </c>
      <c r="F273" s="296">
        <v>2</v>
      </c>
      <c r="G273" s="296">
        <v>3</v>
      </c>
      <c r="H273" s="297">
        <v>43800</v>
      </c>
      <c r="I273" s="298">
        <v>43982</v>
      </c>
      <c r="J273" s="295">
        <v>43800</v>
      </c>
      <c r="K273" s="326"/>
      <c r="L273" s="326">
        <v>43982</v>
      </c>
      <c r="M273" s="299">
        <v>1</v>
      </c>
      <c r="N273" s="299"/>
      <c r="O273" s="299"/>
      <c r="P273" s="296">
        <v>401</v>
      </c>
      <c r="Q273" s="146" t="s">
        <v>414</v>
      </c>
      <c r="R273" s="146" t="s">
        <v>420</v>
      </c>
      <c r="S273" s="146" t="s">
        <v>440</v>
      </c>
      <c r="T273" s="146" t="s">
        <v>407</v>
      </c>
      <c r="U273" s="146" t="s">
        <v>400</v>
      </c>
      <c r="V273" s="146" t="s">
        <v>438</v>
      </c>
      <c r="W273" s="146" t="s">
        <v>311</v>
      </c>
      <c r="X273" s="146" t="s">
        <v>307</v>
      </c>
      <c r="Y273" s="146" t="s">
        <v>409</v>
      </c>
      <c r="Z273" s="293"/>
      <c r="AA273" s="294" t="s">
        <v>439</v>
      </c>
      <c r="AB273" s="294">
        <v>9</v>
      </c>
      <c r="AC273" s="296">
        <v>7</v>
      </c>
      <c r="AD273" s="301">
        <v>5381</v>
      </c>
      <c r="AE273" s="301">
        <v>35</v>
      </c>
      <c r="AF273" s="301"/>
      <c r="AG273" s="301">
        <v>400</v>
      </c>
      <c r="AH273" s="301"/>
      <c r="AI273" s="301"/>
      <c r="AJ273" s="301"/>
      <c r="AK273" s="301"/>
      <c r="AL273" s="301"/>
      <c r="AM273" s="301"/>
      <c r="AN273" s="301"/>
      <c r="AO273" s="301"/>
      <c r="AP273" s="301"/>
      <c r="AQ273" s="301"/>
      <c r="AR273" s="301"/>
      <c r="AS273" s="301"/>
      <c r="AT273" s="301"/>
      <c r="AU273" s="301"/>
      <c r="AV273" s="301"/>
      <c r="AW273" s="301"/>
      <c r="AX273" s="301"/>
      <c r="AY273" s="301"/>
      <c r="AZ273" s="301"/>
      <c r="BA273" s="301"/>
      <c r="BB273" s="301"/>
      <c r="BC273" s="301"/>
      <c r="BD273" s="301"/>
      <c r="BE273" s="301"/>
      <c r="BF273" s="301"/>
      <c r="BG273" s="301"/>
      <c r="BH273" s="301"/>
      <c r="BI273" s="301"/>
      <c r="BJ273" s="301">
        <v>240.75</v>
      </c>
      <c r="BK273" s="301"/>
      <c r="BL273" s="301"/>
      <c r="BM273" s="302"/>
      <c r="BN273" s="291">
        <f>+MAX($D$3,DATOS_[[#This Row],[Fecha Inicio Sit. Contract.]])</f>
        <v>45292</v>
      </c>
      <c r="BO273" s="291">
        <f>+MIN($D$4,DATOS_[[#This Row],[Fecha Fin Sit. Contract.]])</f>
        <v>43982</v>
      </c>
      <c r="BP273" s="292">
        <f>+DATOS_[[#This Row],[% de jornada]]*IF(DATOS_[[#This Row],[% jornada reducida]]="",1,DATOS_[[#This Row],[% jornada reducida]])</f>
        <v>1</v>
      </c>
      <c r="BQ273" s="292">
        <f>+(DATOS_[[#This Row],[F.fin.cal]]-DATOS_[[#This Row],[F.ini.cal]]+1)/($D$4-$D$3+1)</f>
        <v>-3.5765027322404372</v>
      </c>
      <c r="BR273" s="322" t="str">
        <f>IF(OR(AND(DATOS_[[#This Row],[Fecha Fin Contrato]]&lt;$D$3,DATOS_[[#This Row],[Fecha Fin Contrato]]&lt;&gt;""),DATOS_[[#This Row],[Fecha de Contratación]]&gt;$D$4),"Fuera","Dentro")</f>
        <v>Fuera</v>
      </c>
      <c r="BS273" s="322" t="str">
        <f t="array" ref="BS273">IF(MAX(IF(DATOS_[id]=DATOS_[[#This Row],[id]],DATOS_[F.fin.cal]))=DATOS_[[#This Row],[F.fin.cal]],"Sí","NO")</f>
        <v>Sí</v>
      </c>
      <c r="BT273" s="292" t="str">
        <f>IF(AND(DATOS_[[#This Row],[% normaliz]]&lt;&gt;1,DATOS_[[#This Row],[% anualiz]]=1),"Sí","NO")</f>
        <v>NO</v>
      </c>
      <c r="BU273" s="292" t="str">
        <f>IF(AND(DATOS_[[#This Row],[% normaliz]]=1,DATOS_[[#This Row],[% anualiz]]&lt;&gt;1),"Sí","NO")</f>
        <v>Sí</v>
      </c>
      <c r="BV273" s="292" t="str">
        <f>IF(AND(DATOS_[[#This Row],[% normaliz]]&lt;&gt;1,DATOS_[[#This Row],[% anualiz]]&lt;&gt;1),"Sí","NO")</f>
        <v>NO</v>
      </c>
      <c r="BW273" s="322" t="str">
        <f>+IF(DATOS_[[#This Row],[% normaliz]]*DATOS_[[#This Row],[% anualiz]]=1,"NO","Sí")</f>
        <v>Sí</v>
      </c>
      <c r="BX273" s="323">
        <f>(DATOS_[[#This Row],[S.BASE]]*(1/DATOS_[[#This Row],[% normaliz]])*(1/DATOS_[[#This Row],[% anualiz]]))*IF(DATOS_[[#This Row],[Check Equiparado]]="Sí",1,0)</f>
        <v>-1504.5423987776928</v>
      </c>
      <c r="BY273"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-121.62719633307867</v>
      </c>
      <c r="BZ273" s="323">
        <f>+DATOS_[[#This Row],[SALARIO BASE Eq]]+DATOS_[[#This Row],[Tot COMPL.SAL Eq]]</f>
        <v>-1626.1695951107715</v>
      </c>
      <c r="CA273" s="323">
        <f t="array" ref="CA27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240.75</v>
      </c>
      <c r="CB273" s="323">
        <f>+DATOS_[[#This Row],[TOTAL SALARIO Eq]]+DATOS_[[#This Row],[Tot Extrasalarial Eq]]</f>
        <v>-1385.4195951107715</v>
      </c>
      <c r="CC273" s="327">
        <f>DATOS_[[#This Row],[S.BASE]]</f>
        <v>5381</v>
      </c>
      <c r="CD273" s="324">
        <f>+SUM(DATOS_[[#This Row],[Conc.Sal.01]:[Conc.Sal.30]])</f>
        <v>435</v>
      </c>
      <c r="CE273" s="324">
        <f>+DATOS_[[#This Row],[SALARIO BASE Ef]]+DATOS_[[#This Row],[Tot COMPL.SAL Ef]]</f>
        <v>5816</v>
      </c>
      <c r="CF273" s="324">
        <f>+SUM(DATOS_[[#This Row],[C.Extra.01]:[C.Extra.05]])</f>
        <v>240.75</v>
      </c>
      <c r="CG273" s="330">
        <f>+DATOS_[[#This Row],[TOTAL SALARIO Ef]]+DATOS_[[#This Row],[Tot Extrasalarial Ef]]</f>
        <v>6056.75</v>
      </c>
      <c r="CH273" s="303">
        <f>MIN(IF(DATOS_[[#This Row],[Fecha Fin Contrato]]="",$D$4,DATOS_[[#This Row],[Fecha Fin Contrato]]),$D$4)-MAX(DATOS_[[#This Row],[Fecha de Contratación]],$D$3)+1</f>
        <v>-1309</v>
      </c>
      <c r="CI273" s="304" t="str">
        <f>IF(COUNTIFS(DATOS_[id],DATOS_[[#This Row],[id]])&gt;1,DATOS_[[#This Row],[id]],"")</f>
        <v/>
      </c>
      <c r="CJ273" s="325">
        <f>(Inicio!$G$10-DATOS_[[#This Row],[Fecha Nacimiento]])/365.25</f>
        <v>25.07049965776865</v>
      </c>
      <c r="CK273" s="325">
        <f>(Inicio!$G$10-DATOS_[[#This Row],[Fecha de Antigüedad]])/365.25</f>
        <v>5.0841889117043122</v>
      </c>
      <c r="CL273" s="325" t="str">
        <f>+VLOOKUP(DATOS_[[#This Row],[Clave de Contrato]],TblTiposContrato13[],3,FALSE)</f>
        <v>Completa</v>
      </c>
      <c r="CM273" s="325" t="str">
        <f>+VLOOKUP(DATOS_[[#This Row],[Clave de Contrato]],TblTiposContrato13[],4,FALSE)</f>
        <v>Temporal</v>
      </c>
      <c r="CN273" s="325" t="str">
        <f>VLOOKUP(DATOS_[[#This Row],[Edad]],CONTRATOS!TblRngEdad,2,TRUE)</f>
        <v>25 a 30</v>
      </c>
      <c r="CO273" s="325" t="str">
        <f>VLOOKUP(DATOS_[[#This Row],[Antigüedad]],TblRngAntg14[],2,TRUE)</f>
        <v>5 a 10  años</v>
      </c>
    </row>
    <row r="274" spans="2:93" x14ac:dyDescent="0.25">
      <c r="B274" s="146">
        <v>249</v>
      </c>
      <c r="C274" s="146" t="s">
        <v>163</v>
      </c>
      <c r="D274" s="295">
        <v>29930</v>
      </c>
      <c r="E274" s="296" t="s">
        <v>71</v>
      </c>
      <c r="F274" s="296">
        <v>2</v>
      </c>
      <c r="G274" s="296">
        <v>3</v>
      </c>
      <c r="H274" s="297">
        <v>43800</v>
      </c>
      <c r="I274" s="298">
        <v>43861</v>
      </c>
      <c r="J274" s="295">
        <v>43800</v>
      </c>
      <c r="K274" s="326"/>
      <c r="L274" s="326">
        <v>43861</v>
      </c>
      <c r="M274" s="299">
        <v>1</v>
      </c>
      <c r="N274" s="299"/>
      <c r="O274" s="299"/>
      <c r="P274" s="296">
        <v>401</v>
      </c>
      <c r="Q274" s="146" t="s">
        <v>414</v>
      </c>
      <c r="R274" s="146" t="s">
        <v>420</v>
      </c>
      <c r="S274" s="146" t="s">
        <v>440</v>
      </c>
      <c r="T274" s="146" t="s">
        <v>407</v>
      </c>
      <c r="U274" s="146" t="s">
        <v>400</v>
      </c>
      <c r="V274" s="146" t="s">
        <v>438</v>
      </c>
      <c r="W274" s="146" t="s">
        <v>311</v>
      </c>
      <c r="X274" s="146" t="s">
        <v>307</v>
      </c>
      <c r="Y274" s="146" t="s">
        <v>409</v>
      </c>
      <c r="Z274" s="293"/>
      <c r="AA274" s="294" t="s">
        <v>439</v>
      </c>
      <c r="AB274" s="294">
        <v>9</v>
      </c>
      <c r="AC274" s="296">
        <v>7</v>
      </c>
      <c r="AD274" s="301">
        <v>1076</v>
      </c>
      <c r="AE274" s="301">
        <v>7</v>
      </c>
      <c r="AF274" s="301"/>
      <c r="AG274" s="301">
        <v>80</v>
      </c>
      <c r="AH274" s="301"/>
      <c r="AI274" s="301"/>
      <c r="AJ274" s="301"/>
      <c r="AK274" s="301"/>
      <c r="AL274" s="301"/>
      <c r="AM274" s="301"/>
      <c r="AN274" s="301"/>
      <c r="AO274" s="301"/>
      <c r="AP274" s="301"/>
      <c r="AQ274" s="301"/>
      <c r="AR274" s="301"/>
      <c r="AS274" s="301"/>
      <c r="AT274" s="301"/>
      <c r="AU274" s="301"/>
      <c r="AV274" s="301"/>
      <c r="AW274" s="301"/>
      <c r="AX274" s="301"/>
      <c r="AY274" s="301"/>
      <c r="AZ274" s="301"/>
      <c r="BA274" s="301"/>
      <c r="BB274" s="301"/>
      <c r="BC274" s="301"/>
      <c r="BD274" s="301"/>
      <c r="BE274" s="301"/>
      <c r="BF274" s="301"/>
      <c r="BG274" s="301"/>
      <c r="BH274" s="301"/>
      <c r="BI274" s="301"/>
      <c r="BJ274" s="301">
        <v>80.25</v>
      </c>
      <c r="BK274" s="301"/>
      <c r="BL274" s="301"/>
      <c r="BM274" s="302"/>
      <c r="BN274" s="291">
        <f>+MAX($D$3,DATOS_[[#This Row],[Fecha Inicio Sit. Contract.]])</f>
        <v>45292</v>
      </c>
      <c r="BO274" s="291">
        <f>+MIN($D$4,DATOS_[[#This Row],[Fecha Fin Sit. Contract.]])</f>
        <v>43861</v>
      </c>
      <c r="BP274" s="292">
        <f>+DATOS_[[#This Row],[% de jornada]]*IF(DATOS_[[#This Row],[% jornada reducida]]="",1,DATOS_[[#This Row],[% jornada reducida]])</f>
        <v>1</v>
      </c>
      <c r="BQ274" s="292">
        <f>+(DATOS_[[#This Row],[F.fin.cal]]-DATOS_[[#This Row],[F.ini.cal]]+1)/($D$4-$D$3+1)</f>
        <v>-3.9071038251366121</v>
      </c>
      <c r="BR274" s="322" t="str">
        <f>IF(OR(AND(DATOS_[[#This Row],[Fecha Fin Contrato]]&lt;$D$3,DATOS_[[#This Row],[Fecha Fin Contrato]]&lt;&gt;""),DATOS_[[#This Row],[Fecha de Contratación]]&gt;$D$4),"Fuera","Dentro")</f>
        <v>Fuera</v>
      </c>
      <c r="BS274" s="322" t="str">
        <f t="array" ref="BS274">IF(MAX(IF(DATOS_[id]=DATOS_[[#This Row],[id]],DATOS_[F.fin.cal]))=DATOS_[[#This Row],[F.fin.cal]],"Sí","NO")</f>
        <v>Sí</v>
      </c>
      <c r="BT274" s="292" t="str">
        <f>IF(AND(DATOS_[[#This Row],[% normaliz]]&lt;&gt;1,DATOS_[[#This Row],[% anualiz]]=1),"Sí","NO")</f>
        <v>NO</v>
      </c>
      <c r="BU274" s="292" t="str">
        <f>IF(AND(DATOS_[[#This Row],[% normaliz]]=1,DATOS_[[#This Row],[% anualiz]]&lt;&gt;1),"Sí","NO")</f>
        <v>Sí</v>
      </c>
      <c r="BV274" s="292" t="str">
        <f>IF(AND(DATOS_[[#This Row],[% normaliz]]&lt;&gt;1,DATOS_[[#This Row],[% anualiz]]&lt;&gt;1),"Sí","NO")</f>
        <v>NO</v>
      </c>
      <c r="BW274" s="322" t="str">
        <f>+IF(DATOS_[[#This Row],[% normaliz]]*DATOS_[[#This Row],[% anualiz]]=1,"NO","Sí")</f>
        <v>Sí</v>
      </c>
      <c r="BX274" s="323">
        <f>(DATOS_[[#This Row],[S.BASE]]*(1/DATOS_[[#This Row],[% normaliz]])*(1/DATOS_[[#This Row],[% anualiz]]))*IF(DATOS_[[#This Row],[Check Equiparado]]="Sí",1,0)</f>
        <v>-275.3958041958042</v>
      </c>
      <c r="BY274"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-22.267132867132869</v>
      </c>
      <c r="BZ274" s="323">
        <f>+DATOS_[[#This Row],[SALARIO BASE Eq]]+DATOS_[[#This Row],[Tot COMPL.SAL Eq]]</f>
        <v>-297.66293706293709</v>
      </c>
      <c r="CA274" s="323">
        <f t="array" ref="CA27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80.25</v>
      </c>
      <c r="CB274" s="323">
        <f>+DATOS_[[#This Row],[TOTAL SALARIO Eq]]+DATOS_[[#This Row],[Tot Extrasalarial Eq]]</f>
        <v>-217.41293706293709</v>
      </c>
      <c r="CC274" s="327">
        <f>DATOS_[[#This Row],[S.BASE]]</f>
        <v>1076</v>
      </c>
      <c r="CD274" s="324">
        <f>+SUM(DATOS_[[#This Row],[Conc.Sal.01]:[Conc.Sal.30]])</f>
        <v>87</v>
      </c>
      <c r="CE274" s="324">
        <f>+DATOS_[[#This Row],[SALARIO BASE Ef]]+DATOS_[[#This Row],[Tot COMPL.SAL Ef]]</f>
        <v>1163</v>
      </c>
      <c r="CF274" s="324">
        <f>+SUM(DATOS_[[#This Row],[C.Extra.01]:[C.Extra.05]])</f>
        <v>80.25</v>
      </c>
      <c r="CG274" s="330">
        <f>+DATOS_[[#This Row],[TOTAL SALARIO Ef]]+DATOS_[[#This Row],[Tot Extrasalarial Ef]]</f>
        <v>1243.25</v>
      </c>
      <c r="CH274" s="303">
        <f>MIN(IF(DATOS_[[#This Row],[Fecha Fin Contrato]]="",$D$4,DATOS_[[#This Row],[Fecha Fin Contrato]]),$D$4)-MAX(DATOS_[[#This Row],[Fecha de Contratación]],$D$3)+1</f>
        <v>-1430</v>
      </c>
      <c r="CI274" s="304" t="str">
        <f>IF(COUNTIFS(DATOS_[id],DATOS_[[#This Row],[id]])&gt;1,DATOS_[[#This Row],[id]],"")</f>
        <v/>
      </c>
      <c r="CJ274" s="325">
        <f>(Inicio!$G$10-DATOS_[[#This Row],[Fecha Nacimiento]])/365.25</f>
        <v>43.058179329226554</v>
      </c>
      <c r="CK274" s="325">
        <f>(Inicio!$G$10-DATOS_[[#This Row],[Fecha de Antigüedad]])/365.25</f>
        <v>5.0841889117043122</v>
      </c>
      <c r="CL274" s="325" t="str">
        <f>+VLOOKUP(DATOS_[[#This Row],[Clave de Contrato]],TblTiposContrato13[],3,FALSE)</f>
        <v>Completa</v>
      </c>
      <c r="CM274" s="325" t="str">
        <f>+VLOOKUP(DATOS_[[#This Row],[Clave de Contrato]],TblTiposContrato13[],4,FALSE)</f>
        <v>Temporal</v>
      </c>
      <c r="CN274" s="325" t="str">
        <f>VLOOKUP(DATOS_[[#This Row],[Edad]],CONTRATOS!TblRngEdad,2,TRUE)</f>
        <v>40 a 45</v>
      </c>
      <c r="CO274" s="325" t="str">
        <f>VLOOKUP(DATOS_[[#This Row],[Antigüedad]],TblRngAntg14[],2,TRUE)</f>
        <v>5 a 10  años</v>
      </c>
    </row>
    <row r="275" spans="2:93" x14ac:dyDescent="0.25">
      <c r="B275" s="146">
        <v>250</v>
      </c>
      <c r="C275" s="146" t="s">
        <v>163</v>
      </c>
      <c r="D275" s="295">
        <v>34675</v>
      </c>
      <c r="E275" s="296" t="s">
        <v>71</v>
      </c>
      <c r="F275" s="296">
        <v>2</v>
      </c>
      <c r="G275" s="296">
        <v>1</v>
      </c>
      <c r="H275" s="297">
        <v>44044</v>
      </c>
      <c r="I275" s="298">
        <v>44165</v>
      </c>
      <c r="J275" s="295">
        <v>44044</v>
      </c>
      <c r="K275" s="326">
        <v>44044</v>
      </c>
      <c r="L275" s="326">
        <v>44165</v>
      </c>
      <c r="M275" s="299">
        <v>1</v>
      </c>
      <c r="N275" s="299"/>
      <c r="O275" s="299"/>
      <c r="P275" s="296">
        <v>401</v>
      </c>
      <c r="Q275" s="146" t="s">
        <v>414</v>
      </c>
      <c r="R275" s="146" t="s">
        <v>420</v>
      </c>
      <c r="S275" s="146" t="s">
        <v>440</v>
      </c>
      <c r="T275" s="146" t="s">
        <v>407</v>
      </c>
      <c r="U275" s="146" t="s">
        <v>400</v>
      </c>
      <c r="V275" s="146" t="s">
        <v>438</v>
      </c>
      <c r="W275" s="146" t="s">
        <v>311</v>
      </c>
      <c r="X275" s="146" t="s">
        <v>307</v>
      </c>
      <c r="Y275" s="146" t="s">
        <v>409</v>
      </c>
      <c r="Z275" s="293"/>
      <c r="AA275" s="294" t="s">
        <v>439</v>
      </c>
      <c r="AB275" s="294">
        <v>9</v>
      </c>
      <c r="AC275" s="296">
        <v>7</v>
      </c>
      <c r="AD275" s="301">
        <v>4305</v>
      </c>
      <c r="AE275" s="301">
        <v>28</v>
      </c>
      <c r="AF275" s="301"/>
      <c r="AG275" s="301">
        <v>320</v>
      </c>
      <c r="AH275" s="301"/>
      <c r="AI275" s="301"/>
      <c r="AJ275" s="301"/>
      <c r="AK275" s="301"/>
      <c r="AL275" s="301"/>
      <c r="AM275" s="301"/>
      <c r="AN275" s="301"/>
      <c r="AO275" s="301"/>
      <c r="AP275" s="301"/>
      <c r="AQ275" s="301"/>
      <c r="AR275" s="301"/>
      <c r="AS275" s="301"/>
      <c r="AT275" s="301"/>
      <c r="AU275" s="301"/>
      <c r="AV275" s="301"/>
      <c r="AW275" s="301"/>
      <c r="AX275" s="301"/>
      <c r="AY275" s="301"/>
      <c r="AZ275" s="301"/>
      <c r="BA275" s="301"/>
      <c r="BB275" s="301"/>
      <c r="BC275" s="301"/>
      <c r="BD275" s="301"/>
      <c r="BE275" s="301"/>
      <c r="BF275" s="301"/>
      <c r="BG275" s="301"/>
      <c r="BH275" s="301"/>
      <c r="BI275" s="301"/>
      <c r="BJ275" s="301">
        <v>143</v>
      </c>
      <c r="BK275" s="301"/>
      <c r="BL275" s="301"/>
      <c r="BM275" s="302"/>
      <c r="BN275" s="291">
        <f>+MAX($D$3,DATOS_[[#This Row],[Fecha Inicio Sit. Contract.]])</f>
        <v>45292</v>
      </c>
      <c r="BO275" s="291">
        <f>+MIN($D$4,DATOS_[[#This Row],[Fecha Fin Sit. Contract.]])</f>
        <v>44165</v>
      </c>
      <c r="BP275" s="292">
        <f>+DATOS_[[#This Row],[% de jornada]]*IF(DATOS_[[#This Row],[% jornada reducida]]="",1,DATOS_[[#This Row],[% jornada reducida]])</f>
        <v>1</v>
      </c>
      <c r="BQ275" s="292">
        <f>+(DATOS_[[#This Row],[F.fin.cal]]-DATOS_[[#This Row],[F.ini.cal]]+1)/($D$4-$D$3+1)</f>
        <v>-3.0765027322404372</v>
      </c>
      <c r="BR275" s="322" t="str">
        <f>IF(OR(AND(DATOS_[[#This Row],[Fecha Fin Contrato]]&lt;$D$3,DATOS_[[#This Row],[Fecha Fin Contrato]]&lt;&gt;""),DATOS_[[#This Row],[Fecha de Contratación]]&gt;$D$4),"Fuera","Dentro")</f>
        <v>Fuera</v>
      </c>
      <c r="BS275" s="322" t="str">
        <f t="array" ref="BS275">IF(MAX(IF(DATOS_[id]=DATOS_[[#This Row],[id]],DATOS_[F.fin.cal]))=DATOS_[[#This Row],[F.fin.cal]],"Sí","NO")</f>
        <v>Sí</v>
      </c>
      <c r="BT275" s="292" t="str">
        <f>IF(AND(DATOS_[[#This Row],[% normaliz]]&lt;&gt;1,DATOS_[[#This Row],[% anualiz]]=1),"Sí","NO")</f>
        <v>NO</v>
      </c>
      <c r="BU275" s="292" t="str">
        <f>IF(AND(DATOS_[[#This Row],[% normaliz]]=1,DATOS_[[#This Row],[% anualiz]]&lt;&gt;1),"Sí","NO")</f>
        <v>Sí</v>
      </c>
      <c r="BV275" s="292" t="str">
        <f>IF(AND(DATOS_[[#This Row],[% normaliz]]&lt;&gt;1,DATOS_[[#This Row],[% anualiz]]&lt;&gt;1),"Sí","NO")</f>
        <v>NO</v>
      </c>
      <c r="BW275" s="322" t="str">
        <f>+IF(DATOS_[[#This Row],[% normaliz]]*DATOS_[[#This Row],[% anualiz]]=1,"NO","Sí")</f>
        <v>Sí</v>
      </c>
      <c r="BX275" s="323">
        <f>(DATOS_[[#This Row],[S.BASE]]*(1/DATOS_[[#This Row],[% normaliz]])*(1/DATOS_[[#This Row],[% anualiz]]))*IF(DATOS_[[#This Row],[Check Equiparado]]="Sí",1,0)</f>
        <v>-1399.3161634103019</v>
      </c>
      <c r="BY275"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-113.11545293072824</v>
      </c>
      <c r="BZ275" s="323">
        <f>+DATOS_[[#This Row],[SALARIO BASE Eq]]+DATOS_[[#This Row],[Tot COMPL.SAL Eq]]</f>
        <v>-1512.4316163410301</v>
      </c>
      <c r="CA275" s="323">
        <f t="array" ref="CA27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75" s="323">
        <f>+DATOS_[[#This Row],[TOTAL SALARIO Eq]]+DATOS_[[#This Row],[Tot Extrasalarial Eq]]</f>
        <v>-1369.4316163410301</v>
      </c>
      <c r="CC275" s="327">
        <f>DATOS_[[#This Row],[S.BASE]]</f>
        <v>4305</v>
      </c>
      <c r="CD275" s="324">
        <f>+SUM(DATOS_[[#This Row],[Conc.Sal.01]:[Conc.Sal.30]])</f>
        <v>348</v>
      </c>
      <c r="CE275" s="324">
        <f>+DATOS_[[#This Row],[SALARIO BASE Ef]]+DATOS_[[#This Row],[Tot COMPL.SAL Ef]]</f>
        <v>4653</v>
      </c>
      <c r="CF275" s="324">
        <f>+SUM(DATOS_[[#This Row],[C.Extra.01]:[C.Extra.05]])</f>
        <v>143</v>
      </c>
      <c r="CG275" s="330">
        <f>+DATOS_[[#This Row],[TOTAL SALARIO Ef]]+DATOS_[[#This Row],[Tot Extrasalarial Ef]]</f>
        <v>4796</v>
      </c>
      <c r="CH275" s="303">
        <f>MIN(IF(DATOS_[[#This Row],[Fecha Fin Contrato]]="",$D$4,DATOS_[[#This Row],[Fecha Fin Contrato]]),$D$4)-MAX(DATOS_[[#This Row],[Fecha de Contratación]],$D$3)+1</f>
        <v>-1126</v>
      </c>
      <c r="CI275" s="304" t="str">
        <f>IF(COUNTIFS(DATOS_[id],DATOS_[[#This Row],[id]])&gt;1,DATOS_[[#This Row],[id]],"")</f>
        <v/>
      </c>
      <c r="CJ275" s="325">
        <f>(Inicio!$G$10-DATOS_[[#This Row],[Fecha Nacimiento]])/365.25</f>
        <v>30.067077344284737</v>
      </c>
      <c r="CK275" s="325">
        <f>(Inicio!$G$10-DATOS_[[#This Row],[Fecha de Antigüedad]])/365.25</f>
        <v>4.4161533196440796</v>
      </c>
      <c r="CL275" s="325" t="str">
        <f>+VLOOKUP(DATOS_[[#This Row],[Clave de Contrato]],TblTiposContrato13[],3,FALSE)</f>
        <v>Completa</v>
      </c>
      <c r="CM275" s="325" t="str">
        <f>+VLOOKUP(DATOS_[[#This Row],[Clave de Contrato]],TblTiposContrato13[],4,FALSE)</f>
        <v>Temporal</v>
      </c>
      <c r="CN275" s="325" t="str">
        <f>VLOOKUP(DATOS_[[#This Row],[Edad]],CONTRATOS!TblRngEdad,2,TRUE)</f>
        <v>30 a 35</v>
      </c>
      <c r="CO275" s="325" t="str">
        <f>VLOOKUP(DATOS_[[#This Row],[Antigüedad]],TblRngAntg14[],2,TRUE)</f>
        <v>3 a 5  años</v>
      </c>
    </row>
    <row r="276" spans="2:93" x14ac:dyDescent="0.25">
      <c r="B276" s="146">
        <v>251</v>
      </c>
      <c r="C276" s="146" t="s">
        <v>163</v>
      </c>
      <c r="D276" s="295">
        <v>32120</v>
      </c>
      <c r="E276" s="296" t="s">
        <v>71</v>
      </c>
      <c r="F276" s="296">
        <v>1</v>
      </c>
      <c r="G276" s="296">
        <v>3</v>
      </c>
      <c r="H276" s="297">
        <v>43952</v>
      </c>
      <c r="I276" s="298">
        <v>44104</v>
      </c>
      <c r="J276" s="295">
        <v>43952</v>
      </c>
      <c r="K276" s="326">
        <v>43952</v>
      </c>
      <c r="L276" s="326">
        <v>44104</v>
      </c>
      <c r="M276" s="299">
        <v>1</v>
      </c>
      <c r="N276" s="299"/>
      <c r="O276" s="299"/>
      <c r="P276" s="296">
        <v>401</v>
      </c>
      <c r="Q276" s="146" t="s">
        <v>414</v>
      </c>
      <c r="R276" s="146" t="s">
        <v>420</v>
      </c>
      <c r="S276" s="146" t="s">
        <v>440</v>
      </c>
      <c r="T276" s="146" t="s">
        <v>407</v>
      </c>
      <c r="U276" s="146" t="s">
        <v>400</v>
      </c>
      <c r="V276" s="146" t="s">
        <v>438</v>
      </c>
      <c r="W276" s="146" t="s">
        <v>311</v>
      </c>
      <c r="X276" s="146" t="s">
        <v>307</v>
      </c>
      <c r="Y276" s="146" t="s">
        <v>409</v>
      </c>
      <c r="Z276" s="293"/>
      <c r="AA276" s="294" t="s">
        <v>439</v>
      </c>
      <c r="AB276" s="294">
        <v>9</v>
      </c>
      <c r="AC276" s="296">
        <v>7</v>
      </c>
      <c r="AD276" s="301">
        <v>5381</v>
      </c>
      <c r="AE276" s="301">
        <v>35</v>
      </c>
      <c r="AF276" s="301"/>
      <c r="AG276" s="301">
        <v>400</v>
      </c>
      <c r="AH276" s="301"/>
      <c r="AI276" s="301"/>
      <c r="AJ276" s="301"/>
      <c r="AK276" s="301"/>
      <c r="AL276" s="301"/>
      <c r="AM276" s="301"/>
      <c r="AN276" s="301"/>
      <c r="AO276" s="301"/>
      <c r="AP276" s="301"/>
      <c r="AQ276" s="301"/>
      <c r="AR276" s="301"/>
      <c r="AS276" s="301"/>
      <c r="AT276" s="301"/>
      <c r="AU276" s="301"/>
      <c r="AV276" s="301"/>
      <c r="AW276" s="301"/>
      <c r="AX276" s="301"/>
      <c r="AY276" s="301"/>
      <c r="AZ276" s="301"/>
      <c r="BA276" s="301"/>
      <c r="BB276" s="301"/>
      <c r="BC276" s="301"/>
      <c r="BD276" s="301"/>
      <c r="BE276" s="301"/>
      <c r="BF276" s="301"/>
      <c r="BG276" s="301"/>
      <c r="BH276" s="301"/>
      <c r="BI276" s="301"/>
      <c r="BJ276" s="301">
        <v>179</v>
      </c>
      <c r="BK276" s="301"/>
      <c r="BL276" s="301"/>
      <c r="BM276" s="302"/>
      <c r="BN276" s="291">
        <f>+MAX($D$3,DATOS_[[#This Row],[Fecha Inicio Sit. Contract.]])</f>
        <v>45292</v>
      </c>
      <c r="BO276" s="291">
        <f>+MIN($D$4,DATOS_[[#This Row],[Fecha Fin Sit. Contract.]])</f>
        <v>44104</v>
      </c>
      <c r="BP276" s="292">
        <f>+DATOS_[[#This Row],[% de jornada]]*IF(DATOS_[[#This Row],[% jornada reducida]]="",1,DATOS_[[#This Row],[% jornada reducida]])</f>
        <v>1</v>
      </c>
      <c r="BQ276" s="292">
        <f>+(DATOS_[[#This Row],[F.fin.cal]]-DATOS_[[#This Row],[F.ini.cal]]+1)/($D$4-$D$3+1)</f>
        <v>-3.2431693989071038</v>
      </c>
      <c r="BR276" s="322" t="str">
        <f>IF(OR(AND(DATOS_[[#This Row],[Fecha Fin Contrato]]&lt;$D$3,DATOS_[[#This Row],[Fecha Fin Contrato]]&lt;&gt;""),DATOS_[[#This Row],[Fecha de Contratación]]&gt;$D$4),"Fuera","Dentro")</f>
        <v>Fuera</v>
      </c>
      <c r="BS276" s="322" t="str">
        <f t="array" ref="BS276">IF(MAX(IF(DATOS_[id]=DATOS_[[#This Row],[id]],DATOS_[F.fin.cal]))=DATOS_[[#This Row],[F.fin.cal]],"Sí","NO")</f>
        <v>Sí</v>
      </c>
      <c r="BT276" s="292" t="str">
        <f>IF(AND(DATOS_[[#This Row],[% normaliz]]&lt;&gt;1,DATOS_[[#This Row],[% anualiz]]=1),"Sí","NO")</f>
        <v>NO</v>
      </c>
      <c r="BU276" s="292" t="str">
        <f>IF(AND(DATOS_[[#This Row],[% normaliz]]=1,DATOS_[[#This Row],[% anualiz]]&lt;&gt;1),"Sí","NO")</f>
        <v>Sí</v>
      </c>
      <c r="BV276" s="292" t="str">
        <f>IF(AND(DATOS_[[#This Row],[% normaliz]]&lt;&gt;1,DATOS_[[#This Row],[% anualiz]]&lt;&gt;1),"Sí","NO")</f>
        <v>NO</v>
      </c>
      <c r="BW276" s="322" t="str">
        <f>+IF(DATOS_[[#This Row],[% normaliz]]*DATOS_[[#This Row],[% anualiz]]=1,"NO","Sí")</f>
        <v>Sí</v>
      </c>
      <c r="BX276" s="323">
        <f>(DATOS_[[#This Row],[S.BASE]]*(1/DATOS_[[#This Row],[% normaliz]])*(1/DATOS_[[#This Row],[% anualiz]]))*IF(DATOS_[[#This Row],[Check Equiparado]]="Sí",1,0)</f>
        <v>-1659.179443976411</v>
      </c>
      <c r="BY276"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-134.12805391743893</v>
      </c>
      <c r="BZ276" s="323">
        <f>+DATOS_[[#This Row],[SALARIO BASE Eq]]+DATOS_[[#This Row],[Tot COMPL.SAL Eq]]</f>
        <v>-1793.3074978938498</v>
      </c>
      <c r="CA276" s="323">
        <f t="array" ref="CA27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276" s="323">
        <f>+DATOS_[[#This Row],[TOTAL SALARIO Eq]]+DATOS_[[#This Row],[Tot Extrasalarial Eq]]</f>
        <v>-1614.3074978938498</v>
      </c>
      <c r="CC276" s="327">
        <f>DATOS_[[#This Row],[S.BASE]]</f>
        <v>5381</v>
      </c>
      <c r="CD276" s="324">
        <f>+SUM(DATOS_[[#This Row],[Conc.Sal.01]:[Conc.Sal.30]])</f>
        <v>435</v>
      </c>
      <c r="CE276" s="324">
        <f>+DATOS_[[#This Row],[SALARIO BASE Ef]]+DATOS_[[#This Row],[Tot COMPL.SAL Ef]]</f>
        <v>5816</v>
      </c>
      <c r="CF276" s="324">
        <f>+SUM(DATOS_[[#This Row],[C.Extra.01]:[C.Extra.05]])</f>
        <v>179</v>
      </c>
      <c r="CG276" s="330">
        <f>+DATOS_[[#This Row],[TOTAL SALARIO Ef]]+DATOS_[[#This Row],[Tot Extrasalarial Ef]]</f>
        <v>5995</v>
      </c>
      <c r="CH276" s="303">
        <f>MIN(IF(DATOS_[[#This Row],[Fecha Fin Contrato]]="",$D$4,DATOS_[[#This Row],[Fecha Fin Contrato]]),$D$4)-MAX(DATOS_[[#This Row],[Fecha de Contratación]],$D$3)+1</f>
        <v>-1187</v>
      </c>
      <c r="CI276" s="304" t="str">
        <f>IF(COUNTIFS(DATOS_[id],DATOS_[[#This Row],[id]])&gt;1,DATOS_[[#This Row],[id]],"")</f>
        <v/>
      </c>
      <c r="CJ276" s="325">
        <f>(Inicio!$G$10-DATOS_[[#This Row],[Fecha Nacimiento]])/365.25</f>
        <v>37.062286105407253</v>
      </c>
      <c r="CK276" s="325">
        <f>(Inicio!$G$10-DATOS_[[#This Row],[Fecha de Antigüedad]])/365.25</f>
        <v>4.6680355920602326</v>
      </c>
      <c r="CL276" s="325" t="str">
        <f>+VLOOKUP(DATOS_[[#This Row],[Clave de Contrato]],TblTiposContrato13[],3,FALSE)</f>
        <v>Completa</v>
      </c>
      <c r="CM276" s="325" t="str">
        <f>+VLOOKUP(DATOS_[[#This Row],[Clave de Contrato]],TblTiposContrato13[],4,FALSE)</f>
        <v>Temporal</v>
      </c>
      <c r="CN276" s="325" t="str">
        <f>VLOOKUP(DATOS_[[#This Row],[Edad]],CONTRATOS!TblRngEdad,2,TRUE)</f>
        <v>35 a 40</v>
      </c>
      <c r="CO276" s="325" t="str">
        <f>VLOOKUP(DATOS_[[#This Row],[Antigüedad]],TblRngAntg14[],2,TRUE)</f>
        <v>3 a 5  años</v>
      </c>
    </row>
    <row r="277" spans="2:93" x14ac:dyDescent="0.25">
      <c r="B277" s="146">
        <v>252</v>
      </c>
      <c r="C277" s="146" t="s">
        <v>163</v>
      </c>
      <c r="D277" s="295">
        <v>30660</v>
      </c>
      <c r="E277" s="296" t="s">
        <v>71</v>
      </c>
      <c r="F277" s="296">
        <v>1</v>
      </c>
      <c r="G277" s="296">
        <v>2</v>
      </c>
      <c r="H277" s="297">
        <v>43891</v>
      </c>
      <c r="I277" s="298">
        <v>44012</v>
      </c>
      <c r="J277" s="295">
        <v>43891</v>
      </c>
      <c r="K277" s="326">
        <v>43891</v>
      </c>
      <c r="L277" s="326">
        <v>44012</v>
      </c>
      <c r="M277" s="299">
        <v>1</v>
      </c>
      <c r="N277" s="299"/>
      <c r="O277" s="299"/>
      <c r="P277" s="296">
        <v>401</v>
      </c>
      <c r="Q277" s="146" t="s">
        <v>414</v>
      </c>
      <c r="R277" s="146" t="s">
        <v>420</v>
      </c>
      <c r="S277" s="146" t="s">
        <v>440</v>
      </c>
      <c r="T277" s="146" t="s">
        <v>407</v>
      </c>
      <c r="U277" s="146" t="s">
        <v>400</v>
      </c>
      <c r="V277" s="146" t="s">
        <v>438</v>
      </c>
      <c r="W277" s="146" t="s">
        <v>311</v>
      </c>
      <c r="X277" s="146" t="s">
        <v>307</v>
      </c>
      <c r="Y277" s="146" t="s">
        <v>409</v>
      </c>
      <c r="Z277" s="293"/>
      <c r="AA277" s="294" t="s">
        <v>439</v>
      </c>
      <c r="AB277" s="294">
        <v>9</v>
      </c>
      <c r="AC277" s="296">
        <v>7</v>
      </c>
      <c r="AD277" s="301">
        <v>4305</v>
      </c>
      <c r="AE277" s="301">
        <v>28</v>
      </c>
      <c r="AF277" s="301"/>
      <c r="AG277" s="301">
        <v>320</v>
      </c>
      <c r="AH277" s="301"/>
      <c r="AI277" s="301"/>
      <c r="AJ277" s="301"/>
      <c r="AK277" s="301"/>
      <c r="AL277" s="301"/>
      <c r="AM277" s="301"/>
      <c r="AN277" s="301"/>
      <c r="AO277" s="301"/>
      <c r="AP277" s="301"/>
      <c r="AQ277" s="301"/>
      <c r="AR277" s="301"/>
      <c r="AS277" s="301"/>
      <c r="AT277" s="301"/>
      <c r="AU277" s="301"/>
      <c r="AV277" s="301"/>
      <c r="AW277" s="301"/>
      <c r="AX277" s="301"/>
      <c r="AY277" s="301"/>
      <c r="AZ277" s="301"/>
      <c r="BA277" s="301"/>
      <c r="BB277" s="301"/>
      <c r="BC277" s="301"/>
      <c r="BD277" s="301"/>
      <c r="BE277" s="301"/>
      <c r="BF277" s="301"/>
      <c r="BG277" s="301"/>
      <c r="BH277" s="301"/>
      <c r="BI277" s="301"/>
      <c r="BJ277" s="301">
        <v>143</v>
      </c>
      <c r="BK277" s="301"/>
      <c r="BL277" s="301"/>
      <c r="BM277" s="302"/>
      <c r="BN277" s="291">
        <f>+MAX($D$3,DATOS_[[#This Row],[Fecha Inicio Sit. Contract.]])</f>
        <v>45292</v>
      </c>
      <c r="BO277" s="291">
        <f>+MIN($D$4,DATOS_[[#This Row],[Fecha Fin Sit. Contract.]])</f>
        <v>44012</v>
      </c>
      <c r="BP277" s="292">
        <f>+DATOS_[[#This Row],[% de jornada]]*IF(DATOS_[[#This Row],[% jornada reducida]]="",1,DATOS_[[#This Row],[% jornada reducida]])</f>
        <v>1</v>
      </c>
      <c r="BQ277" s="292">
        <f>+(DATOS_[[#This Row],[F.fin.cal]]-DATOS_[[#This Row],[F.ini.cal]]+1)/($D$4-$D$3+1)</f>
        <v>-3.4945355191256833</v>
      </c>
      <c r="BR277" s="322" t="str">
        <f>IF(OR(AND(DATOS_[[#This Row],[Fecha Fin Contrato]]&lt;$D$3,DATOS_[[#This Row],[Fecha Fin Contrato]]&lt;&gt;""),DATOS_[[#This Row],[Fecha de Contratación]]&gt;$D$4),"Fuera","Dentro")</f>
        <v>Fuera</v>
      </c>
      <c r="BS277" s="322" t="str">
        <f t="array" ref="BS277">IF(MAX(IF(DATOS_[id]=DATOS_[[#This Row],[id]],DATOS_[F.fin.cal]))=DATOS_[[#This Row],[F.fin.cal]],"Sí","NO")</f>
        <v>Sí</v>
      </c>
      <c r="BT277" s="292" t="str">
        <f>IF(AND(DATOS_[[#This Row],[% normaliz]]&lt;&gt;1,DATOS_[[#This Row],[% anualiz]]=1),"Sí","NO")</f>
        <v>NO</v>
      </c>
      <c r="BU277" s="292" t="str">
        <f>IF(AND(DATOS_[[#This Row],[% normaliz]]=1,DATOS_[[#This Row],[% anualiz]]&lt;&gt;1),"Sí","NO")</f>
        <v>Sí</v>
      </c>
      <c r="BV277" s="292" t="str">
        <f>IF(AND(DATOS_[[#This Row],[% normaliz]]&lt;&gt;1,DATOS_[[#This Row],[% anualiz]]&lt;&gt;1),"Sí","NO")</f>
        <v>NO</v>
      </c>
      <c r="BW277" s="322" t="str">
        <f>+IF(DATOS_[[#This Row],[% normaliz]]*DATOS_[[#This Row],[% anualiz]]=1,"NO","Sí")</f>
        <v>Sí</v>
      </c>
      <c r="BX277" s="323">
        <f>(DATOS_[[#This Row],[S.BASE]]*(1/DATOS_[[#This Row],[% normaliz]])*(1/DATOS_[[#This Row],[% anualiz]]))*IF(DATOS_[[#This Row],[Check Equiparado]]="Sí",1,0)</f>
        <v>-1231.9233776387803</v>
      </c>
      <c r="BY277"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-99.584050039093043</v>
      </c>
      <c r="BZ277" s="323">
        <f>+DATOS_[[#This Row],[SALARIO BASE Eq]]+DATOS_[[#This Row],[Tot COMPL.SAL Eq]]</f>
        <v>-1331.5074276778732</v>
      </c>
      <c r="CA277" s="323">
        <f t="array" ref="CA27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77" s="323">
        <f>+DATOS_[[#This Row],[TOTAL SALARIO Eq]]+DATOS_[[#This Row],[Tot Extrasalarial Eq]]</f>
        <v>-1188.5074276778732</v>
      </c>
      <c r="CC277" s="327">
        <f>DATOS_[[#This Row],[S.BASE]]</f>
        <v>4305</v>
      </c>
      <c r="CD277" s="324">
        <f>+SUM(DATOS_[[#This Row],[Conc.Sal.01]:[Conc.Sal.30]])</f>
        <v>348</v>
      </c>
      <c r="CE277" s="324">
        <f>+DATOS_[[#This Row],[SALARIO BASE Ef]]+DATOS_[[#This Row],[Tot COMPL.SAL Ef]]</f>
        <v>4653</v>
      </c>
      <c r="CF277" s="324">
        <f>+SUM(DATOS_[[#This Row],[C.Extra.01]:[C.Extra.05]])</f>
        <v>143</v>
      </c>
      <c r="CG277" s="330">
        <f>+DATOS_[[#This Row],[TOTAL SALARIO Ef]]+DATOS_[[#This Row],[Tot Extrasalarial Ef]]</f>
        <v>4796</v>
      </c>
      <c r="CH277" s="303">
        <f>MIN(IF(DATOS_[[#This Row],[Fecha Fin Contrato]]="",$D$4,DATOS_[[#This Row],[Fecha Fin Contrato]]),$D$4)-MAX(DATOS_[[#This Row],[Fecha de Contratación]],$D$3)+1</f>
        <v>-1279</v>
      </c>
      <c r="CI277" s="304" t="str">
        <f>IF(COUNTIFS(DATOS_[id],DATOS_[[#This Row],[id]])&gt;1,DATOS_[[#This Row],[id]],"")</f>
        <v/>
      </c>
      <c r="CJ277" s="325">
        <f>(Inicio!$G$10-DATOS_[[#This Row],[Fecha Nacimiento]])/365.25</f>
        <v>41.059548254620125</v>
      </c>
      <c r="CK277" s="325">
        <f>(Inicio!$G$10-DATOS_[[#This Row],[Fecha de Antigüedad]])/365.25</f>
        <v>4.8350444900752905</v>
      </c>
      <c r="CL277" s="325" t="str">
        <f>+VLOOKUP(DATOS_[[#This Row],[Clave de Contrato]],TblTiposContrato13[],3,FALSE)</f>
        <v>Completa</v>
      </c>
      <c r="CM277" s="325" t="str">
        <f>+VLOOKUP(DATOS_[[#This Row],[Clave de Contrato]],TblTiposContrato13[],4,FALSE)</f>
        <v>Temporal</v>
      </c>
      <c r="CN277" s="325" t="str">
        <f>VLOOKUP(DATOS_[[#This Row],[Edad]],CONTRATOS!TblRngEdad,2,TRUE)</f>
        <v>40 a 45</v>
      </c>
      <c r="CO277" s="325" t="str">
        <f>VLOOKUP(DATOS_[[#This Row],[Antigüedad]],TblRngAntg14[],2,TRUE)</f>
        <v>3 a 5  años</v>
      </c>
    </row>
    <row r="278" spans="2:93" x14ac:dyDescent="0.25">
      <c r="B278" s="146">
        <v>253</v>
      </c>
      <c r="C278" s="146" t="s">
        <v>163</v>
      </c>
      <c r="D278" s="295">
        <v>33945</v>
      </c>
      <c r="E278" s="296" t="s">
        <v>71</v>
      </c>
      <c r="F278" s="296">
        <v>3</v>
      </c>
      <c r="G278" s="296">
        <v>0</v>
      </c>
      <c r="H278" s="297">
        <v>43891</v>
      </c>
      <c r="I278" s="298">
        <v>43982</v>
      </c>
      <c r="J278" s="295">
        <v>43891</v>
      </c>
      <c r="K278" s="326">
        <v>43891</v>
      </c>
      <c r="L278" s="326">
        <v>43982</v>
      </c>
      <c r="M278" s="299">
        <v>1</v>
      </c>
      <c r="N278" s="299"/>
      <c r="O278" s="299"/>
      <c r="P278" s="296">
        <v>401</v>
      </c>
      <c r="Q278" s="146" t="s">
        <v>414</v>
      </c>
      <c r="R278" s="146" t="s">
        <v>420</v>
      </c>
      <c r="S278" s="146" t="s">
        <v>440</v>
      </c>
      <c r="T278" s="146" t="s">
        <v>407</v>
      </c>
      <c r="U278" s="146" t="s">
        <v>400</v>
      </c>
      <c r="V278" s="146" t="s">
        <v>438</v>
      </c>
      <c r="W278" s="146" t="s">
        <v>311</v>
      </c>
      <c r="X278" s="146" t="s">
        <v>307</v>
      </c>
      <c r="Y278" s="146" t="s">
        <v>409</v>
      </c>
      <c r="Z278" s="293"/>
      <c r="AA278" s="294" t="s">
        <v>439</v>
      </c>
      <c r="AB278" s="294">
        <v>9</v>
      </c>
      <c r="AC278" s="296">
        <v>7</v>
      </c>
      <c r="AD278" s="301">
        <v>3228</v>
      </c>
      <c r="AE278" s="301">
        <v>21</v>
      </c>
      <c r="AF278" s="301"/>
      <c r="AG278" s="301">
        <v>240</v>
      </c>
      <c r="AH278" s="301"/>
      <c r="AI278" s="301"/>
      <c r="AJ278" s="301"/>
      <c r="AK278" s="301"/>
      <c r="AL278" s="301"/>
      <c r="AM278" s="301"/>
      <c r="AN278" s="301"/>
      <c r="AO278" s="301"/>
      <c r="AP278" s="301"/>
      <c r="AQ278" s="301"/>
      <c r="AR278" s="301"/>
      <c r="AS278" s="301"/>
      <c r="AT278" s="301"/>
      <c r="AU278" s="301"/>
      <c r="AV278" s="301"/>
      <c r="AW278" s="301"/>
      <c r="AX278" s="301"/>
      <c r="AY278" s="301"/>
      <c r="AZ278" s="301"/>
      <c r="BA278" s="301"/>
      <c r="BB278" s="301"/>
      <c r="BC278" s="301"/>
      <c r="BD278" s="301"/>
      <c r="BE278" s="301"/>
      <c r="BF278" s="301"/>
      <c r="BG278" s="301"/>
      <c r="BH278" s="301"/>
      <c r="BI278" s="301"/>
      <c r="BJ278" s="301">
        <v>107</v>
      </c>
      <c r="BK278" s="301"/>
      <c r="BL278" s="301"/>
      <c r="BM278" s="302"/>
      <c r="BN278" s="291">
        <f>+MAX($D$3,DATOS_[[#This Row],[Fecha Inicio Sit. Contract.]])</f>
        <v>45292</v>
      </c>
      <c r="BO278" s="291">
        <f>+MIN($D$4,DATOS_[[#This Row],[Fecha Fin Sit. Contract.]])</f>
        <v>43982</v>
      </c>
      <c r="BP278" s="292">
        <f>+DATOS_[[#This Row],[% de jornada]]*IF(DATOS_[[#This Row],[% jornada reducida]]="",1,DATOS_[[#This Row],[% jornada reducida]])</f>
        <v>1</v>
      </c>
      <c r="BQ278" s="292">
        <f>+(DATOS_[[#This Row],[F.fin.cal]]-DATOS_[[#This Row],[F.ini.cal]]+1)/($D$4-$D$3+1)</f>
        <v>-3.5765027322404372</v>
      </c>
      <c r="BR278" s="322" t="str">
        <f>IF(OR(AND(DATOS_[[#This Row],[Fecha Fin Contrato]]&lt;$D$3,DATOS_[[#This Row],[Fecha Fin Contrato]]&lt;&gt;""),DATOS_[[#This Row],[Fecha de Contratación]]&gt;$D$4),"Fuera","Dentro")</f>
        <v>Fuera</v>
      </c>
      <c r="BS278" s="322" t="str">
        <f t="array" ref="BS278">IF(MAX(IF(DATOS_[id]=DATOS_[[#This Row],[id]],DATOS_[F.fin.cal]))=DATOS_[[#This Row],[F.fin.cal]],"Sí","NO")</f>
        <v>Sí</v>
      </c>
      <c r="BT278" s="292" t="str">
        <f>IF(AND(DATOS_[[#This Row],[% normaliz]]&lt;&gt;1,DATOS_[[#This Row],[% anualiz]]=1),"Sí","NO")</f>
        <v>NO</v>
      </c>
      <c r="BU278" s="292" t="str">
        <f>IF(AND(DATOS_[[#This Row],[% normaliz]]=1,DATOS_[[#This Row],[% anualiz]]&lt;&gt;1),"Sí","NO")</f>
        <v>Sí</v>
      </c>
      <c r="BV278" s="292" t="str">
        <f>IF(AND(DATOS_[[#This Row],[% normaliz]]&lt;&gt;1,DATOS_[[#This Row],[% anualiz]]&lt;&gt;1),"Sí","NO")</f>
        <v>NO</v>
      </c>
      <c r="BW278" s="322" t="str">
        <f>+IF(DATOS_[[#This Row],[% normaliz]]*DATOS_[[#This Row],[% anualiz]]=1,"NO","Sí")</f>
        <v>Sí</v>
      </c>
      <c r="BX278" s="323">
        <f>(DATOS_[[#This Row],[S.BASE]]*(1/DATOS_[[#This Row],[% normaliz]])*(1/DATOS_[[#This Row],[% anualiz]]))*IF(DATOS_[[#This Row],[Check Equiparado]]="Sí",1,0)</f>
        <v>-902.55767761650111</v>
      </c>
      <c r="BY278"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-72.976317799847209</v>
      </c>
      <c r="BZ278" s="323">
        <f>+DATOS_[[#This Row],[SALARIO BASE Eq]]+DATOS_[[#This Row],[Tot COMPL.SAL Eq]]</f>
        <v>-975.53399541634826</v>
      </c>
      <c r="CA278" s="323">
        <f t="array" ref="CA27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107</v>
      </c>
      <c r="CB278" s="323">
        <f>+DATOS_[[#This Row],[TOTAL SALARIO Eq]]+DATOS_[[#This Row],[Tot Extrasalarial Eq]]</f>
        <v>-868.53399541634826</v>
      </c>
      <c r="CC278" s="327">
        <f>DATOS_[[#This Row],[S.BASE]]</f>
        <v>3228</v>
      </c>
      <c r="CD278" s="324">
        <f>+SUM(DATOS_[[#This Row],[Conc.Sal.01]:[Conc.Sal.30]])</f>
        <v>261</v>
      </c>
      <c r="CE278" s="324">
        <f>+DATOS_[[#This Row],[SALARIO BASE Ef]]+DATOS_[[#This Row],[Tot COMPL.SAL Ef]]</f>
        <v>3489</v>
      </c>
      <c r="CF278" s="324">
        <f>+SUM(DATOS_[[#This Row],[C.Extra.01]:[C.Extra.05]])</f>
        <v>107</v>
      </c>
      <c r="CG278" s="330">
        <f>+DATOS_[[#This Row],[TOTAL SALARIO Ef]]+DATOS_[[#This Row],[Tot Extrasalarial Ef]]</f>
        <v>3596</v>
      </c>
      <c r="CH278" s="303">
        <f>MIN(IF(DATOS_[[#This Row],[Fecha Fin Contrato]]="",$D$4,DATOS_[[#This Row],[Fecha Fin Contrato]]),$D$4)-MAX(DATOS_[[#This Row],[Fecha de Contratación]],$D$3)+1</f>
        <v>-1309</v>
      </c>
      <c r="CI278" s="304" t="str">
        <f>IF(COUNTIFS(DATOS_[id],DATOS_[[#This Row],[id]])&gt;1,DATOS_[[#This Row],[id]],"")</f>
        <v/>
      </c>
      <c r="CJ278" s="325">
        <f>(Inicio!$G$10-DATOS_[[#This Row],[Fecha Nacimiento]])/365.25</f>
        <v>32.06570841889117</v>
      </c>
      <c r="CK278" s="325">
        <f>(Inicio!$G$10-DATOS_[[#This Row],[Fecha de Antigüedad]])/365.25</f>
        <v>4.8350444900752905</v>
      </c>
      <c r="CL278" s="325" t="str">
        <f>+VLOOKUP(DATOS_[[#This Row],[Clave de Contrato]],TblTiposContrato13[],3,FALSE)</f>
        <v>Completa</v>
      </c>
      <c r="CM278" s="325" t="str">
        <f>+VLOOKUP(DATOS_[[#This Row],[Clave de Contrato]],TblTiposContrato13[],4,FALSE)</f>
        <v>Temporal</v>
      </c>
      <c r="CN278" s="325" t="str">
        <f>VLOOKUP(DATOS_[[#This Row],[Edad]],CONTRATOS!TblRngEdad,2,TRUE)</f>
        <v>30 a 35</v>
      </c>
      <c r="CO278" s="325" t="str">
        <f>VLOOKUP(DATOS_[[#This Row],[Antigüedad]],TblRngAntg14[],2,TRUE)</f>
        <v>3 a 5  años</v>
      </c>
    </row>
    <row r="279" spans="2:93" x14ac:dyDescent="0.25">
      <c r="B279" s="146">
        <v>254</v>
      </c>
      <c r="C279" s="146" t="s">
        <v>162</v>
      </c>
      <c r="D279" s="295">
        <v>32120</v>
      </c>
      <c r="E279" s="296" t="s">
        <v>71</v>
      </c>
      <c r="F279" s="296">
        <v>3</v>
      </c>
      <c r="G279" s="296">
        <v>0</v>
      </c>
      <c r="H279" s="297">
        <v>43891</v>
      </c>
      <c r="I279" s="298">
        <v>43982</v>
      </c>
      <c r="J279" s="295">
        <v>43891</v>
      </c>
      <c r="K279" s="326">
        <v>43891</v>
      </c>
      <c r="L279" s="326">
        <v>43982</v>
      </c>
      <c r="M279" s="299">
        <v>1</v>
      </c>
      <c r="N279" s="299"/>
      <c r="O279" s="299"/>
      <c r="P279" s="296">
        <v>401</v>
      </c>
      <c r="Q279" s="146" t="s">
        <v>414</v>
      </c>
      <c r="R279" s="146" t="s">
        <v>420</v>
      </c>
      <c r="S279" s="146" t="s">
        <v>440</v>
      </c>
      <c r="T279" s="146" t="s">
        <v>407</v>
      </c>
      <c r="U279" s="146" t="s">
        <v>400</v>
      </c>
      <c r="V279" s="146" t="s">
        <v>438</v>
      </c>
      <c r="W279" s="146" t="s">
        <v>311</v>
      </c>
      <c r="X279" s="146" t="s">
        <v>307</v>
      </c>
      <c r="Y279" s="146" t="s">
        <v>409</v>
      </c>
      <c r="Z279" s="293"/>
      <c r="AA279" s="294" t="s">
        <v>439</v>
      </c>
      <c r="AB279" s="294">
        <v>9</v>
      </c>
      <c r="AC279" s="296">
        <v>7</v>
      </c>
      <c r="AD279" s="301">
        <v>3228</v>
      </c>
      <c r="AE279" s="301">
        <v>21</v>
      </c>
      <c r="AF279" s="301"/>
      <c r="AG279" s="301">
        <v>240</v>
      </c>
      <c r="AH279" s="301"/>
      <c r="AI279" s="301"/>
      <c r="AJ279" s="301"/>
      <c r="AK279" s="301"/>
      <c r="AL279" s="301"/>
      <c r="AM279" s="301"/>
      <c r="AN279" s="301"/>
      <c r="AO279" s="301"/>
      <c r="AP279" s="301"/>
      <c r="AQ279" s="301"/>
      <c r="AR279" s="301"/>
      <c r="AS279" s="301"/>
      <c r="AT279" s="301"/>
      <c r="AU279" s="301"/>
      <c r="AV279" s="301"/>
      <c r="AW279" s="301"/>
      <c r="AX279" s="301"/>
      <c r="AY279" s="301"/>
      <c r="AZ279" s="301"/>
      <c r="BA279" s="301"/>
      <c r="BB279" s="301"/>
      <c r="BC279" s="301"/>
      <c r="BD279" s="301"/>
      <c r="BE279" s="301"/>
      <c r="BF279" s="301"/>
      <c r="BG279" s="301"/>
      <c r="BH279" s="301"/>
      <c r="BI279" s="301"/>
      <c r="BJ279" s="301">
        <v>107</v>
      </c>
      <c r="BK279" s="301"/>
      <c r="BL279" s="301"/>
      <c r="BM279" s="302"/>
      <c r="BN279" s="291">
        <f>+MAX($D$3,DATOS_[[#This Row],[Fecha Inicio Sit. Contract.]])</f>
        <v>45292</v>
      </c>
      <c r="BO279" s="291">
        <f>+MIN($D$4,DATOS_[[#This Row],[Fecha Fin Sit. Contract.]])</f>
        <v>43982</v>
      </c>
      <c r="BP279" s="292">
        <f>+DATOS_[[#This Row],[% de jornada]]*IF(DATOS_[[#This Row],[% jornada reducida]]="",1,DATOS_[[#This Row],[% jornada reducida]])</f>
        <v>1</v>
      </c>
      <c r="BQ279" s="292">
        <f>+(DATOS_[[#This Row],[F.fin.cal]]-DATOS_[[#This Row],[F.ini.cal]]+1)/($D$4-$D$3+1)</f>
        <v>-3.5765027322404372</v>
      </c>
      <c r="BR279" s="322" t="str">
        <f>IF(OR(AND(DATOS_[[#This Row],[Fecha Fin Contrato]]&lt;$D$3,DATOS_[[#This Row],[Fecha Fin Contrato]]&lt;&gt;""),DATOS_[[#This Row],[Fecha de Contratación]]&gt;$D$4),"Fuera","Dentro")</f>
        <v>Fuera</v>
      </c>
      <c r="BS279" s="322" t="str">
        <f t="array" ref="BS279">IF(MAX(IF(DATOS_[id]=DATOS_[[#This Row],[id]],DATOS_[F.fin.cal]))=DATOS_[[#This Row],[F.fin.cal]],"Sí","NO")</f>
        <v>Sí</v>
      </c>
      <c r="BT279" s="292" t="str">
        <f>IF(AND(DATOS_[[#This Row],[% normaliz]]&lt;&gt;1,DATOS_[[#This Row],[% anualiz]]=1),"Sí","NO")</f>
        <v>NO</v>
      </c>
      <c r="BU279" s="292" t="str">
        <f>IF(AND(DATOS_[[#This Row],[% normaliz]]=1,DATOS_[[#This Row],[% anualiz]]&lt;&gt;1),"Sí","NO")</f>
        <v>Sí</v>
      </c>
      <c r="BV279" s="292" t="str">
        <f>IF(AND(DATOS_[[#This Row],[% normaliz]]&lt;&gt;1,DATOS_[[#This Row],[% anualiz]]&lt;&gt;1),"Sí","NO")</f>
        <v>NO</v>
      </c>
      <c r="BW279" s="322" t="str">
        <f>+IF(DATOS_[[#This Row],[% normaliz]]*DATOS_[[#This Row],[% anualiz]]=1,"NO","Sí")</f>
        <v>Sí</v>
      </c>
      <c r="BX279" s="323">
        <f>(DATOS_[[#This Row],[S.BASE]]*(1/DATOS_[[#This Row],[% normaliz]])*(1/DATOS_[[#This Row],[% anualiz]]))*IF(DATOS_[[#This Row],[Check Equiparado]]="Sí",1,0)</f>
        <v>-902.55767761650111</v>
      </c>
      <c r="BY279"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-72.976317799847209</v>
      </c>
      <c r="BZ279" s="323">
        <f>+DATOS_[[#This Row],[SALARIO BASE Eq]]+DATOS_[[#This Row],[Tot COMPL.SAL Eq]]</f>
        <v>-975.53399541634826</v>
      </c>
      <c r="CA279" s="323">
        <f t="array" ref="CA27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107</v>
      </c>
      <c r="CB279" s="323">
        <f>+DATOS_[[#This Row],[TOTAL SALARIO Eq]]+DATOS_[[#This Row],[Tot Extrasalarial Eq]]</f>
        <v>-868.53399541634826</v>
      </c>
      <c r="CC279" s="327">
        <f>DATOS_[[#This Row],[S.BASE]]</f>
        <v>3228</v>
      </c>
      <c r="CD279" s="324">
        <f>+SUM(DATOS_[[#This Row],[Conc.Sal.01]:[Conc.Sal.30]])</f>
        <v>261</v>
      </c>
      <c r="CE279" s="324">
        <f>+DATOS_[[#This Row],[SALARIO BASE Ef]]+DATOS_[[#This Row],[Tot COMPL.SAL Ef]]</f>
        <v>3489</v>
      </c>
      <c r="CF279" s="324">
        <f>+SUM(DATOS_[[#This Row],[C.Extra.01]:[C.Extra.05]])</f>
        <v>107</v>
      </c>
      <c r="CG279" s="330">
        <f>+DATOS_[[#This Row],[TOTAL SALARIO Ef]]+DATOS_[[#This Row],[Tot Extrasalarial Ef]]</f>
        <v>3596</v>
      </c>
      <c r="CH279" s="303">
        <f>MIN(IF(DATOS_[[#This Row],[Fecha Fin Contrato]]="",$D$4,DATOS_[[#This Row],[Fecha Fin Contrato]]),$D$4)-MAX(DATOS_[[#This Row],[Fecha de Contratación]],$D$3)+1</f>
        <v>-1309</v>
      </c>
      <c r="CI279" s="304" t="str">
        <f>IF(COUNTIFS(DATOS_[id],DATOS_[[#This Row],[id]])&gt;1,DATOS_[[#This Row],[id]],"")</f>
        <v/>
      </c>
      <c r="CJ279" s="325">
        <f>(Inicio!$G$10-DATOS_[[#This Row],[Fecha Nacimiento]])/365.25</f>
        <v>37.062286105407253</v>
      </c>
      <c r="CK279" s="325">
        <f>(Inicio!$G$10-DATOS_[[#This Row],[Fecha de Antigüedad]])/365.25</f>
        <v>4.8350444900752905</v>
      </c>
      <c r="CL279" s="325" t="str">
        <f>+VLOOKUP(DATOS_[[#This Row],[Clave de Contrato]],TblTiposContrato13[],3,FALSE)</f>
        <v>Completa</v>
      </c>
      <c r="CM279" s="325" t="str">
        <f>+VLOOKUP(DATOS_[[#This Row],[Clave de Contrato]],TblTiposContrato13[],4,FALSE)</f>
        <v>Temporal</v>
      </c>
      <c r="CN279" s="325" t="str">
        <f>VLOOKUP(DATOS_[[#This Row],[Edad]],CONTRATOS!TblRngEdad,2,TRUE)</f>
        <v>35 a 40</v>
      </c>
      <c r="CO279" s="325" t="str">
        <f>VLOOKUP(DATOS_[[#This Row],[Antigüedad]],TblRngAntg14[],2,TRUE)</f>
        <v>3 a 5  años</v>
      </c>
    </row>
    <row r="280" spans="2:93" x14ac:dyDescent="0.25">
      <c r="B280" s="146">
        <v>255</v>
      </c>
      <c r="C280" s="146" t="s">
        <v>163</v>
      </c>
      <c r="D280" s="295">
        <v>30295</v>
      </c>
      <c r="E280" s="296" t="s">
        <v>71</v>
      </c>
      <c r="F280" s="296">
        <v>3</v>
      </c>
      <c r="G280" s="296">
        <v>0</v>
      </c>
      <c r="H280" s="297">
        <v>44136</v>
      </c>
      <c r="I280" s="298"/>
      <c r="J280" s="295">
        <v>44136</v>
      </c>
      <c r="K280" s="326">
        <v>44136</v>
      </c>
      <c r="L280" s="326"/>
      <c r="M280" s="299">
        <v>1</v>
      </c>
      <c r="N280" s="299"/>
      <c r="O280" s="299"/>
      <c r="P280" s="296">
        <v>401</v>
      </c>
      <c r="Q280" s="146" t="s">
        <v>414</v>
      </c>
      <c r="R280" s="146" t="s">
        <v>420</v>
      </c>
      <c r="S280" s="146" t="s">
        <v>440</v>
      </c>
      <c r="T280" s="146" t="s">
        <v>407</v>
      </c>
      <c r="U280" s="146" t="s">
        <v>400</v>
      </c>
      <c r="V280" s="146" t="s">
        <v>438</v>
      </c>
      <c r="W280" s="146" t="s">
        <v>311</v>
      </c>
      <c r="X280" s="146" t="s">
        <v>307</v>
      </c>
      <c r="Y280" s="146" t="s">
        <v>409</v>
      </c>
      <c r="Z280" s="293"/>
      <c r="AA280" s="294" t="s">
        <v>439</v>
      </c>
      <c r="AB280" s="294">
        <v>9</v>
      </c>
      <c r="AC280" s="296">
        <v>7</v>
      </c>
      <c r="AD280" s="301">
        <v>2152</v>
      </c>
      <c r="AE280" s="301">
        <v>14</v>
      </c>
      <c r="AF280" s="301"/>
      <c r="AG280" s="301">
        <v>160</v>
      </c>
      <c r="AH280" s="301"/>
      <c r="AI280" s="301"/>
      <c r="AJ280" s="301"/>
      <c r="AK280" s="301">
        <v>80</v>
      </c>
      <c r="AL280" s="301"/>
      <c r="AM280" s="301"/>
      <c r="AN280" s="301"/>
      <c r="AO280" s="301"/>
      <c r="AP280" s="301"/>
      <c r="AQ280" s="301"/>
      <c r="AR280" s="301"/>
      <c r="AS280" s="301"/>
      <c r="AT280" s="301"/>
      <c r="AU280" s="301"/>
      <c r="AV280" s="301"/>
      <c r="AW280" s="301"/>
      <c r="AX280" s="301"/>
      <c r="AY280" s="301"/>
      <c r="AZ280" s="301"/>
      <c r="BA280" s="301"/>
      <c r="BB280" s="301"/>
      <c r="BC280" s="301"/>
      <c r="BD280" s="301"/>
      <c r="BE280" s="301"/>
      <c r="BF280" s="301"/>
      <c r="BG280" s="301"/>
      <c r="BH280" s="301"/>
      <c r="BI280" s="301"/>
      <c r="BJ280" s="301"/>
      <c r="BK280" s="301"/>
      <c r="BL280" s="301"/>
      <c r="BM280" s="302"/>
      <c r="BN280" s="291">
        <f>+MAX($D$3,DATOS_[[#This Row],[Fecha Inicio Sit. Contract.]])</f>
        <v>45292</v>
      </c>
      <c r="BO280" s="291">
        <f>+MIN($D$4,DATOS_[[#This Row],[Fecha Fin Sit. Contract.]])</f>
        <v>45657</v>
      </c>
      <c r="BP280" s="292">
        <f>+DATOS_[[#This Row],[% de jornada]]*IF(DATOS_[[#This Row],[% jornada reducida]]="",1,DATOS_[[#This Row],[% jornada reducida]])</f>
        <v>1</v>
      </c>
      <c r="BQ280" s="292">
        <f>+(DATOS_[[#This Row],[F.fin.cal]]-DATOS_[[#This Row],[F.ini.cal]]+1)/($D$4-$D$3+1)</f>
        <v>1</v>
      </c>
      <c r="BR280" s="322" t="str">
        <f>IF(OR(AND(DATOS_[[#This Row],[Fecha Fin Contrato]]&lt;$D$3,DATOS_[[#This Row],[Fecha Fin Contrato]]&lt;&gt;""),DATOS_[[#This Row],[Fecha de Contratación]]&gt;$D$4),"Fuera","Dentro")</f>
        <v>Dentro</v>
      </c>
      <c r="BS280" s="322" t="str">
        <f t="array" ref="BS280">IF(MAX(IF(DATOS_[id]=DATOS_[[#This Row],[id]],DATOS_[F.fin.cal]))=DATOS_[[#This Row],[F.fin.cal]],"Sí","NO")</f>
        <v>Sí</v>
      </c>
      <c r="BT280" s="292" t="str">
        <f>IF(AND(DATOS_[[#This Row],[% normaliz]]&lt;&gt;1,DATOS_[[#This Row],[% anualiz]]=1),"Sí","NO")</f>
        <v>NO</v>
      </c>
      <c r="BU280" s="292" t="str">
        <f>IF(AND(DATOS_[[#This Row],[% normaliz]]=1,DATOS_[[#This Row],[% anualiz]]&lt;&gt;1),"Sí","NO")</f>
        <v>NO</v>
      </c>
      <c r="BV280" s="292" t="str">
        <f>IF(AND(DATOS_[[#This Row],[% normaliz]]&lt;&gt;1,DATOS_[[#This Row],[% anualiz]]&lt;&gt;1),"Sí","NO")</f>
        <v>NO</v>
      </c>
      <c r="BW280" s="322" t="str">
        <f>+IF(DATOS_[[#This Row],[% normaliz]]*DATOS_[[#This Row],[% anualiz]]=1,"NO","Sí")</f>
        <v>NO</v>
      </c>
      <c r="BX280" s="323">
        <f>(DATOS_[[#This Row],[S.BASE]]*(1/DATOS_[[#This Row],[% normaliz]])*(1/DATOS_[[#This Row],[% anualiz]]))*IF(DATOS_[[#This Row],[Check Equiparado]]="Sí",1,0)</f>
        <v>2152</v>
      </c>
      <c r="BY280"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254</v>
      </c>
      <c r="BZ280" s="323">
        <f>+DATOS_[[#This Row],[SALARIO BASE Eq]]+DATOS_[[#This Row],[Tot COMPL.SAL Eq]]</f>
        <v>2406</v>
      </c>
      <c r="CA280" s="323">
        <f t="array" ref="CA28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80" s="323">
        <f>+DATOS_[[#This Row],[TOTAL SALARIO Eq]]+DATOS_[[#This Row],[Tot Extrasalarial Eq]]</f>
        <v>2406</v>
      </c>
      <c r="CC280" s="327">
        <f>DATOS_[[#This Row],[S.BASE]]</f>
        <v>2152</v>
      </c>
      <c r="CD280" s="324">
        <f>+SUM(DATOS_[[#This Row],[Conc.Sal.01]:[Conc.Sal.30]])</f>
        <v>254</v>
      </c>
      <c r="CE280" s="324">
        <f>+DATOS_[[#This Row],[SALARIO BASE Ef]]+DATOS_[[#This Row],[Tot COMPL.SAL Ef]]</f>
        <v>2406</v>
      </c>
      <c r="CF280" s="324">
        <f>+SUM(DATOS_[[#This Row],[C.Extra.01]:[C.Extra.05]])</f>
        <v>0</v>
      </c>
      <c r="CG280" s="330">
        <f>+DATOS_[[#This Row],[TOTAL SALARIO Ef]]+DATOS_[[#This Row],[Tot Extrasalarial Ef]]</f>
        <v>2406</v>
      </c>
      <c r="CH280" s="303">
        <f>MIN(IF(DATOS_[[#This Row],[Fecha Fin Contrato]]="",$D$4,DATOS_[[#This Row],[Fecha Fin Contrato]]),$D$4)-MAX(DATOS_[[#This Row],[Fecha de Contratación]],$D$3)+1</f>
        <v>366</v>
      </c>
      <c r="CI280" s="304" t="str">
        <f>IF(COUNTIFS(DATOS_[id],DATOS_[[#This Row],[id]])&gt;1,DATOS_[[#This Row],[id]],"")</f>
        <v/>
      </c>
      <c r="CJ280" s="325">
        <f>(Inicio!$G$10-DATOS_[[#This Row],[Fecha Nacimiento]])/365.25</f>
        <v>42.058863791923343</v>
      </c>
      <c r="CK280" s="325">
        <f>(Inicio!$G$10-DATOS_[[#This Row],[Fecha de Antigüedad]])/365.25</f>
        <v>4.1642710472279258</v>
      </c>
      <c r="CL280" s="325" t="str">
        <f>+VLOOKUP(DATOS_[[#This Row],[Clave de Contrato]],TblTiposContrato13[],3,FALSE)</f>
        <v>Completa</v>
      </c>
      <c r="CM280" s="325" t="str">
        <f>+VLOOKUP(DATOS_[[#This Row],[Clave de Contrato]],TblTiposContrato13[],4,FALSE)</f>
        <v>Temporal</v>
      </c>
      <c r="CN280" s="325" t="str">
        <f>VLOOKUP(DATOS_[[#This Row],[Edad]],CONTRATOS!TblRngEdad,2,TRUE)</f>
        <v>40 a 45</v>
      </c>
      <c r="CO280" s="325" t="str">
        <f>VLOOKUP(DATOS_[[#This Row],[Antigüedad]],TblRngAntg14[],2,TRUE)</f>
        <v>3 a 5  años</v>
      </c>
    </row>
    <row r="281" spans="2:93" x14ac:dyDescent="0.25">
      <c r="B281" s="146">
        <v>256</v>
      </c>
      <c r="C281" s="146" t="s">
        <v>162</v>
      </c>
      <c r="D281" s="295">
        <v>35040</v>
      </c>
      <c r="E281" s="296" t="s">
        <v>71</v>
      </c>
      <c r="F281" s="296">
        <v>3</v>
      </c>
      <c r="G281" s="296">
        <v>0</v>
      </c>
      <c r="H281" s="297">
        <v>44136</v>
      </c>
      <c r="I281" s="298"/>
      <c r="J281" s="295">
        <v>44136</v>
      </c>
      <c r="K281" s="326">
        <v>44136</v>
      </c>
      <c r="L281" s="326"/>
      <c r="M281" s="299">
        <v>1</v>
      </c>
      <c r="N281" s="299"/>
      <c r="O281" s="299"/>
      <c r="P281" s="296">
        <v>401</v>
      </c>
      <c r="Q281" s="146" t="s">
        <v>414</v>
      </c>
      <c r="R281" s="146" t="s">
        <v>420</v>
      </c>
      <c r="S281" s="146" t="s">
        <v>440</v>
      </c>
      <c r="T281" s="146" t="s">
        <v>407</v>
      </c>
      <c r="U281" s="146" t="s">
        <v>400</v>
      </c>
      <c r="V281" s="146" t="s">
        <v>438</v>
      </c>
      <c r="W281" s="146" t="s">
        <v>311</v>
      </c>
      <c r="X281" s="146" t="s">
        <v>307</v>
      </c>
      <c r="Y281" s="146" t="s">
        <v>409</v>
      </c>
      <c r="Z281" s="293"/>
      <c r="AA281" s="294" t="s">
        <v>439</v>
      </c>
      <c r="AB281" s="294">
        <v>9</v>
      </c>
      <c r="AC281" s="296">
        <v>7</v>
      </c>
      <c r="AD281" s="301">
        <v>2152</v>
      </c>
      <c r="AE281" s="301">
        <v>14</v>
      </c>
      <c r="AF281" s="301"/>
      <c r="AG281" s="301">
        <v>160</v>
      </c>
      <c r="AH281" s="301"/>
      <c r="AI281" s="301"/>
      <c r="AJ281" s="301"/>
      <c r="AK281" s="301">
        <v>80</v>
      </c>
      <c r="AL281" s="301"/>
      <c r="AM281" s="301"/>
      <c r="AN281" s="301"/>
      <c r="AO281" s="301"/>
      <c r="AP281" s="301"/>
      <c r="AQ281" s="301"/>
      <c r="AR281" s="301"/>
      <c r="AS281" s="301"/>
      <c r="AT281" s="301"/>
      <c r="AU281" s="301"/>
      <c r="AV281" s="301"/>
      <c r="AW281" s="301"/>
      <c r="AX281" s="301"/>
      <c r="AY281" s="301"/>
      <c r="AZ281" s="301"/>
      <c r="BA281" s="301"/>
      <c r="BB281" s="301"/>
      <c r="BC281" s="301"/>
      <c r="BD281" s="301"/>
      <c r="BE281" s="301"/>
      <c r="BF281" s="301"/>
      <c r="BG281" s="301"/>
      <c r="BH281" s="301"/>
      <c r="BI281" s="301"/>
      <c r="BJ281" s="301"/>
      <c r="BK281" s="301"/>
      <c r="BL281" s="301"/>
      <c r="BM281" s="302"/>
      <c r="BN281" s="291">
        <f>+MAX($D$3,DATOS_[[#This Row],[Fecha Inicio Sit. Contract.]])</f>
        <v>45292</v>
      </c>
      <c r="BO281" s="291">
        <f>+MIN($D$4,DATOS_[[#This Row],[Fecha Fin Sit. Contract.]])</f>
        <v>45657</v>
      </c>
      <c r="BP281" s="292">
        <f>+DATOS_[[#This Row],[% de jornada]]*IF(DATOS_[[#This Row],[% jornada reducida]]="",1,DATOS_[[#This Row],[% jornada reducida]])</f>
        <v>1</v>
      </c>
      <c r="BQ281" s="292">
        <f>+(DATOS_[[#This Row],[F.fin.cal]]-DATOS_[[#This Row],[F.ini.cal]]+1)/($D$4-$D$3+1)</f>
        <v>1</v>
      </c>
      <c r="BR281" s="322" t="str">
        <f>IF(OR(AND(DATOS_[[#This Row],[Fecha Fin Contrato]]&lt;$D$3,DATOS_[[#This Row],[Fecha Fin Contrato]]&lt;&gt;""),DATOS_[[#This Row],[Fecha de Contratación]]&gt;$D$4),"Fuera","Dentro")</f>
        <v>Dentro</v>
      </c>
      <c r="BS281" s="322" t="str">
        <f t="array" ref="BS281">IF(MAX(IF(DATOS_[id]=DATOS_[[#This Row],[id]],DATOS_[F.fin.cal]))=DATOS_[[#This Row],[F.fin.cal]],"Sí","NO")</f>
        <v>Sí</v>
      </c>
      <c r="BT281" s="292" t="str">
        <f>IF(AND(DATOS_[[#This Row],[% normaliz]]&lt;&gt;1,DATOS_[[#This Row],[% anualiz]]=1),"Sí","NO")</f>
        <v>NO</v>
      </c>
      <c r="BU281" s="292" t="str">
        <f>IF(AND(DATOS_[[#This Row],[% normaliz]]=1,DATOS_[[#This Row],[% anualiz]]&lt;&gt;1),"Sí","NO")</f>
        <v>NO</v>
      </c>
      <c r="BV281" s="292" t="str">
        <f>IF(AND(DATOS_[[#This Row],[% normaliz]]&lt;&gt;1,DATOS_[[#This Row],[% anualiz]]&lt;&gt;1),"Sí","NO")</f>
        <v>NO</v>
      </c>
      <c r="BW281" s="322" t="str">
        <f>+IF(DATOS_[[#This Row],[% normaliz]]*DATOS_[[#This Row],[% anualiz]]=1,"NO","Sí")</f>
        <v>NO</v>
      </c>
      <c r="BX281" s="323">
        <f>(DATOS_[[#This Row],[S.BASE]]*(1/DATOS_[[#This Row],[% normaliz]])*(1/DATOS_[[#This Row],[% anualiz]]))*IF(DATOS_[[#This Row],[Check Equiparado]]="Sí",1,0)</f>
        <v>2152</v>
      </c>
      <c r="BY281"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254</v>
      </c>
      <c r="BZ281" s="323">
        <f>+DATOS_[[#This Row],[SALARIO BASE Eq]]+DATOS_[[#This Row],[Tot COMPL.SAL Eq]]</f>
        <v>2406</v>
      </c>
      <c r="CA281" s="323">
        <f t="array" ref="CA28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81" s="323">
        <f>+DATOS_[[#This Row],[TOTAL SALARIO Eq]]+DATOS_[[#This Row],[Tot Extrasalarial Eq]]</f>
        <v>2406</v>
      </c>
      <c r="CC281" s="327">
        <f>DATOS_[[#This Row],[S.BASE]]</f>
        <v>2152</v>
      </c>
      <c r="CD281" s="324">
        <f>+SUM(DATOS_[[#This Row],[Conc.Sal.01]:[Conc.Sal.30]])</f>
        <v>254</v>
      </c>
      <c r="CE281" s="324">
        <f>+DATOS_[[#This Row],[SALARIO BASE Ef]]+DATOS_[[#This Row],[Tot COMPL.SAL Ef]]</f>
        <v>2406</v>
      </c>
      <c r="CF281" s="324">
        <f>+SUM(DATOS_[[#This Row],[C.Extra.01]:[C.Extra.05]])</f>
        <v>0</v>
      </c>
      <c r="CG281" s="330">
        <f>+DATOS_[[#This Row],[TOTAL SALARIO Ef]]+DATOS_[[#This Row],[Tot Extrasalarial Ef]]</f>
        <v>2406</v>
      </c>
      <c r="CH281" s="303">
        <f>MIN(IF(DATOS_[[#This Row],[Fecha Fin Contrato]]="",$D$4,DATOS_[[#This Row],[Fecha Fin Contrato]]),$D$4)-MAX(DATOS_[[#This Row],[Fecha de Contratación]],$D$3)+1</f>
        <v>366</v>
      </c>
      <c r="CI281" s="304" t="str">
        <f>IF(COUNTIFS(DATOS_[id],DATOS_[[#This Row],[id]])&gt;1,DATOS_[[#This Row],[id]],"")</f>
        <v/>
      </c>
      <c r="CJ281" s="325">
        <f>(Inicio!$G$10-DATOS_[[#This Row],[Fecha Nacimiento]])/365.25</f>
        <v>29.067761806981519</v>
      </c>
      <c r="CK281" s="325">
        <f>(Inicio!$G$10-DATOS_[[#This Row],[Fecha de Antigüedad]])/365.25</f>
        <v>4.1642710472279258</v>
      </c>
      <c r="CL281" s="325" t="str">
        <f>+VLOOKUP(DATOS_[[#This Row],[Clave de Contrato]],TblTiposContrato13[],3,FALSE)</f>
        <v>Completa</v>
      </c>
      <c r="CM281" s="325" t="str">
        <f>+VLOOKUP(DATOS_[[#This Row],[Clave de Contrato]],TblTiposContrato13[],4,FALSE)</f>
        <v>Temporal</v>
      </c>
      <c r="CN281" s="325" t="str">
        <f>VLOOKUP(DATOS_[[#This Row],[Edad]],CONTRATOS!TblRngEdad,2,TRUE)</f>
        <v>25 a 30</v>
      </c>
      <c r="CO281" s="325" t="str">
        <f>VLOOKUP(DATOS_[[#This Row],[Antigüedad]],TblRngAntg14[],2,TRUE)</f>
        <v>3 a 5  años</v>
      </c>
    </row>
    <row r="282" spans="2:93" x14ac:dyDescent="0.25">
      <c r="B282" s="146">
        <v>257</v>
      </c>
      <c r="C282" s="146" t="s">
        <v>163</v>
      </c>
      <c r="D282" s="295">
        <v>26645</v>
      </c>
      <c r="E282" s="296" t="s">
        <v>71</v>
      </c>
      <c r="F282" s="296">
        <v>3</v>
      </c>
      <c r="G282" s="296">
        <v>0</v>
      </c>
      <c r="H282" s="297">
        <v>44044</v>
      </c>
      <c r="I282" s="298">
        <v>44165</v>
      </c>
      <c r="J282" s="295">
        <v>44044</v>
      </c>
      <c r="K282" s="326">
        <v>44044</v>
      </c>
      <c r="L282" s="326">
        <v>44165</v>
      </c>
      <c r="M282" s="299">
        <v>1</v>
      </c>
      <c r="N282" s="299"/>
      <c r="O282" s="299"/>
      <c r="P282" s="296">
        <v>401</v>
      </c>
      <c r="Q282" s="146" t="s">
        <v>414</v>
      </c>
      <c r="R282" s="146" t="s">
        <v>420</v>
      </c>
      <c r="S282" s="146" t="s">
        <v>440</v>
      </c>
      <c r="T282" s="146" t="s">
        <v>407</v>
      </c>
      <c r="U282" s="146" t="s">
        <v>400</v>
      </c>
      <c r="V282" s="146" t="s">
        <v>438</v>
      </c>
      <c r="W282" s="146" t="s">
        <v>311</v>
      </c>
      <c r="X282" s="146" t="s">
        <v>307</v>
      </c>
      <c r="Y282" s="146" t="s">
        <v>409</v>
      </c>
      <c r="Z282" s="293"/>
      <c r="AA282" s="294" t="s">
        <v>439</v>
      </c>
      <c r="AB282" s="294">
        <v>9</v>
      </c>
      <c r="AC282" s="296">
        <v>7</v>
      </c>
      <c r="AD282" s="301">
        <v>4305</v>
      </c>
      <c r="AE282" s="301">
        <v>28</v>
      </c>
      <c r="AF282" s="301"/>
      <c r="AG282" s="301">
        <v>320</v>
      </c>
      <c r="AH282" s="301"/>
      <c r="AI282" s="301"/>
      <c r="AJ282" s="301"/>
      <c r="AK282" s="301"/>
      <c r="AL282" s="301"/>
      <c r="AM282" s="301"/>
      <c r="AN282" s="301"/>
      <c r="AO282" s="301"/>
      <c r="AP282" s="301"/>
      <c r="AQ282" s="301"/>
      <c r="AR282" s="301"/>
      <c r="AS282" s="301"/>
      <c r="AT282" s="301"/>
      <c r="AU282" s="301"/>
      <c r="AV282" s="301"/>
      <c r="AW282" s="301"/>
      <c r="AX282" s="301"/>
      <c r="AY282" s="301"/>
      <c r="AZ282" s="301"/>
      <c r="BA282" s="301"/>
      <c r="BB282" s="301"/>
      <c r="BC282" s="301"/>
      <c r="BD282" s="301"/>
      <c r="BE282" s="301"/>
      <c r="BF282" s="301"/>
      <c r="BG282" s="301"/>
      <c r="BH282" s="301"/>
      <c r="BI282" s="301"/>
      <c r="BJ282" s="301">
        <v>143</v>
      </c>
      <c r="BK282" s="301"/>
      <c r="BL282" s="301"/>
      <c r="BM282" s="302"/>
      <c r="BN282" s="291">
        <f>+MAX($D$3,DATOS_[[#This Row],[Fecha Inicio Sit. Contract.]])</f>
        <v>45292</v>
      </c>
      <c r="BO282" s="291">
        <f>+MIN($D$4,DATOS_[[#This Row],[Fecha Fin Sit. Contract.]])</f>
        <v>44165</v>
      </c>
      <c r="BP282" s="292">
        <f>+DATOS_[[#This Row],[% de jornada]]*IF(DATOS_[[#This Row],[% jornada reducida]]="",1,DATOS_[[#This Row],[% jornada reducida]])</f>
        <v>1</v>
      </c>
      <c r="BQ282" s="292">
        <f>+(DATOS_[[#This Row],[F.fin.cal]]-DATOS_[[#This Row],[F.ini.cal]]+1)/($D$4-$D$3+1)</f>
        <v>-3.0765027322404372</v>
      </c>
      <c r="BR282" s="322" t="str">
        <f>IF(OR(AND(DATOS_[[#This Row],[Fecha Fin Contrato]]&lt;$D$3,DATOS_[[#This Row],[Fecha Fin Contrato]]&lt;&gt;""),DATOS_[[#This Row],[Fecha de Contratación]]&gt;$D$4),"Fuera","Dentro")</f>
        <v>Fuera</v>
      </c>
      <c r="BS282" s="322" t="str">
        <f t="array" ref="BS282">IF(MAX(IF(DATOS_[id]=DATOS_[[#This Row],[id]],DATOS_[F.fin.cal]))=DATOS_[[#This Row],[F.fin.cal]],"Sí","NO")</f>
        <v>Sí</v>
      </c>
      <c r="BT282" s="292" t="str">
        <f>IF(AND(DATOS_[[#This Row],[% normaliz]]&lt;&gt;1,DATOS_[[#This Row],[% anualiz]]=1),"Sí","NO")</f>
        <v>NO</v>
      </c>
      <c r="BU282" s="292" t="str">
        <f>IF(AND(DATOS_[[#This Row],[% normaliz]]=1,DATOS_[[#This Row],[% anualiz]]&lt;&gt;1),"Sí","NO")</f>
        <v>Sí</v>
      </c>
      <c r="BV282" s="292" t="str">
        <f>IF(AND(DATOS_[[#This Row],[% normaliz]]&lt;&gt;1,DATOS_[[#This Row],[% anualiz]]&lt;&gt;1),"Sí","NO")</f>
        <v>NO</v>
      </c>
      <c r="BW282" s="322" t="str">
        <f>+IF(DATOS_[[#This Row],[% normaliz]]*DATOS_[[#This Row],[% anualiz]]=1,"NO","Sí")</f>
        <v>Sí</v>
      </c>
      <c r="BX282" s="323">
        <f>(DATOS_[[#This Row],[S.BASE]]*(1/DATOS_[[#This Row],[% normaliz]])*(1/DATOS_[[#This Row],[% anualiz]]))*IF(DATOS_[[#This Row],[Check Equiparado]]="Sí",1,0)</f>
        <v>-1399.3161634103019</v>
      </c>
      <c r="BY282" s="323">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-113.11545293072824</v>
      </c>
      <c r="BZ282" s="323">
        <f>+DATOS_[[#This Row],[SALARIO BASE Eq]]+DATOS_[[#This Row],[Tot COMPL.SAL Eq]]</f>
        <v>-1512.4316163410301</v>
      </c>
      <c r="CA282" s="323">
        <f t="array" ref="CA28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82" s="323">
        <f>+DATOS_[[#This Row],[TOTAL SALARIO Eq]]+DATOS_[[#This Row],[Tot Extrasalarial Eq]]</f>
        <v>-1369.4316163410301</v>
      </c>
      <c r="CC282" s="327">
        <f>DATOS_[[#This Row],[S.BASE]]</f>
        <v>4305</v>
      </c>
      <c r="CD282" s="324">
        <f>+SUM(DATOS_[[#This Row],[Conc.Sal.01]:[Conc.Sal.30]])</f>
        <v>348</v>
      </c>
      <c r="CE282" s="324">
        <f>+DATOS_[[#This Row],[SALARIO BASE Ef]]+DATOS_[[#This Row],[Tot COMPL.SAL Ef]]</f>
        <v>4653</v>
      </c>
      <c r="CF282" s="324">
        <f>+SUM(DATOS_[[#This Row],[C.Extra.01]:[C.Extra.05]])</f>
        <v>143</v>
      </c>
      <c r="CG282" s="330">
        <f>+DATOS_[[#This Row],[TOTAL SALARIO Ef]]+DATOS_[[#This Row],[Tot Extrasalarial Ef]]</f>
        <v>4796</v>
      </c>
      <c r="CH282" s="303">
        <f>MIN(IF(DATOS_[[#This Row],[Fecha Fin Contrato]]="",$D$4,DATOS_[[#This Row],[Fecha Fin Contrato]]),$D$4)-MAX(DATOS_[[#This Row],[Fecha de Contratación]],$D$3)+1</f>
        <v>-1126</v>
      </c>
      <c r="CI282" s="304" t="str">
        <f>IF(COUNTIFS(DATOS_[id],DATOS_[[#This Row],[id]])&gt;1,DATOS_[[#This Row],[id]],"")</f>
        <v/>
      </c>
      <c r="CJ282" s="325">
        <f>(Inicio!$G$10-DATOS_[[#This Row],[Fecha Nacimiento]])/365.25</f>
        <v>52.05201916495551</v>
      </c>
      <c r="CK282" s="325">
        <f>(Inicio!$G$10-DATOS_[[#This Row],[Fecha de Antigüedad]])/365.25</f>
        <v>4.4161533196440796</v>
      </c>
      <c r="CL282" s="325" t="str">
        <f>+VLOOKUP(DATOS_[[#This Row],[Clave de Contrato]],TblTiposContrato13[],3,FALSE)</f>
        <v>Completa</v>
      </c>
      <c r="CM282" s="325" t="str">
        <f>+VLOOKUP(DATOS_[[#This Row],[Clave de Contrato]],TblTiposContrato13[],4,FALSE)</f>
        <v>Temporal</v>
      </c>
      <c r="CN282" s="325" t="str">
        <f>VLOOKUP(DATOS_[[#This Row],[Edad]],CONTRATOS!TblRngEdad,2,TRUE)</f>
        <v>50 a 55</v>
      </c>
      <c r="CO282" s="325" t="str">
        <f>VLOOKUP(DATOS_[[#This Row],[Antigüedad]],TblRngAntg14[],2,TRUE)</f>
        <v>3 a 5  años</v>
      </c>
    </row>
  </sheetData>
  <mergeCells count="1">
    <mergeCell ref="G1:U1"/>
  </mergeCells>
  <phoneticPr fontId="21" type="noConversion"/>
  <conditionalFormatting sqref="B9:B282">
    <cfRule type="duplicateValues" dxfId="0" priority="9"/>
  </conditionalFormatting>
  <dataValidations count="3">
    <dataValidation type="list" allowBlank="1" showInputMessage="1" showErrorMessage="1" sqref="W9:W282" xr:uid="{00000000-0002-0000-0300-000000000000}">
      <formula1>AGR_CL_EMP</formula1>
    </dataValidation>
    <dataValidation type="list" allowBlank="1" showInputMessage="1" showErrorMessage="1" sqref="C9:C282" xr:uid="{00000000-0002-0000-0300-000001000000}">
      <formula1>"Mujer,Hombre"</formula1>
    </dataValidation>
    <dataValidation type="list" allowBlank="1" showInputMessage="1" showErrorMessage="1" sqref="X9:X282" xr:uid="{00000000-0002-0000-0300-000002000000}">
      <formula1>AGR_VAL_PTO</formula1>
    </dataValidation>
  </dataValidations>
  <pageMargins left="0.25" right="0.25" top="0.75" bottom="0.75" header="0.3" footer="0.3"/>
  <pageSetup paperSize="9" scale="23"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pageSetUpPr fitToPage="1"/>
  </sheetPr>
  <dimension ref="B1:P110"/>
  <sheetViews>
    <sheetView showGridLines="0" zoomScaleNormal="100" workbookViewId="0"/>
  </sheetViews>
  <sheetFormatPr baseColWidth="10" defaultColWidth="9.28515625" defaultRowHeight="15" x14ac:dyDescent="0.25"/>
  <cols>
    <col min="4" max="4" width="16.28515625" customWidth="1"/>
    <col min="5" max="21" width="9.42578125" customWidth="1"/>
  </cols>
  <sheetData>
    <row r="1" spans="3:16" ht="27.6" customHeight="1" x14ac:dyDescent="0.25">
      <c r="D1" s="338" t="s">
        <v>375</v>
      </c>
      <c r="E1" s="338"/>
      <c r="F1" s="338"/>
      <c r="G1" s="338"/>
      <c r="H1" s="338"/>
      <c r="I1" s="338"/>
      <c r="J1" s="338"/>
      <c r="K1" s="338"/>
      <c r="L1" s="338"/>
      <c r="M1" s="338"/>
      <c r="N1" s="338"/>
      <c r="O1" s="338"/>
      <c r="P1" s="338"/>
    </row>
    <row r="2" spans="3:16" ht="21.6" customHeight="1" x14ac:dyDescent="0.25"/>
    <row r="8" spans="3:16" ht="18.75" x14ac:dyDescent="0.3">
      <c r="C8" s="186" t="s">
        <v>317</v>
      </c>
      <c r="D8" s="8"/>
      <c r="E8" s="8"/>
      <c r="F8" s="8"/>
      <c r="G8" s="8"/>
      <c r="H8" s="8"/>
      <c r="I8" s="8"/>
      <c r="J8" s="8"/>
    </row>
    <row r="10" spans="3:16" x14ac:dyDescent="0.25">
      <c r="C10" s="1" t="s">
        <v>318</v>
      </c>
      <c r="E10" s="1" t="s">
        <v>370</v>
      </c>
    </row>
    <row r="11" spans="3:16" ht="31.9" customHeight="1" x14ac:dyDescent="0.25">
      <c r="C11" s="1" t="s">
        <v>76</v>
      </c>
      <c r="D11" s="1" t="s">
        <v>75</v>
      </c>
      <c r="E11" t="s">
        <v>298</v>
      </c>
      <c r="F11" t="s">
        <v>299</v>
      </c>
      <c r="G11" t="s">
        <v>300</v>
      </c>
      <c r="H11" t="s">
        <v>301</v>
      </c>
      <c r="I11" t="s">
        <v>311</v>
      </c>
    </row>
    <row r="12" spans="3:16" x14ac:dyDescent="0.25">
      <c r="C12" t="s">
        <v>408</v>
      </c>
      <c r="D12" t="s">
        <v>406</v>
      </c>
      <c r="E12">
        <v>10</v>
      </c>
    </row>
    <row r="13" spans="3:16" x14ac:dyDescent="0.25">
      <c r="C13" t="s">
        <v>423</v>
      </c>
      <c r="D13" t="s">
        <v>422</v>
      </c>
      <c r="E13">
        <v>7</v>
      </c>
    </row>
    <row r="14" spans="3:16" x14ac:dyDescent="0.25">
      <c r="C14" t="s">
        <v>425</v>
      </c>
      <c r="D14" t="s">
        <v>424</v>
      </c>
      <c r="F14">
        <v>45</v>
      </c>
    </row>
    <row r="15" spans="3:16" x14ac:dyDescent="0.25">
      <c r="C15" t="s">
        <v>126</v>
      </c>
      <c r="D15" t="s">
        <v>433</v>
      </c>
      <c r="H15">
        <v>17</v>
      </c>
    </row>
    <row r="16" spans="3:16" x14ac:dyDescent="0.25">
      <c r="C16" t="s">
        <v>126</v>
      </c>
      <c r="D16" t="s">
        <v>429</v>
      </c>
      <c r="G16">
        <v>50</v>
      </c>
    </row>
    <row r="17" spans="3:9" x14ac:dyDescent="0.25">
      <c r="C17" t="s">
        <v>436</v>
      </c>
      <c r="D17" t="s">
        <v>435</v>
      </c>
      <c r="H17">
        <v>28</v>
      </c>
    </row>
    <row r="18" spans="3:9" x14ac:dyDescent="0.25">
      <c r="C18" t="s">
        <v>438</v>
      </c>
      <c r="D18" t="s">
        <v>440</v>
      </c>
      <c r="I18">
        <v>114</v>
      </c>
    </row>
    <row r="19" spans="3:9" x14ac:dyDescent="0.25">
      <c r="C19" t="s">
        <v>438</v>
      </c>
      <c r="D19" t="s">
        <v>437</v>
      </c>
      <c r="I19">
        <v>3</v>
      </c>
    </row>
    <row r="99" spans="2:12" ht="18.75" x14ac:dyDescent="0.3">
      <c r="B99" s="187" t="s">
        <v>316</v>
      </c>
      <c r="C99" s="9"/>
      <c r="D99" s="9"/>
      <c r="E99" s="9"/>
      <c r="F99" s="9"/>
      <c r="G99" s="9"/>
      <c r="H99" s="9"/>
      <c r="I99" s="9"/>
      <c r="J99" s="9"/>
      <c r="K99" s="9"/>
      <c r="L99" s="9"/>
    </row>
    <row r="101" spans="2:12" ht="45" x14ac:dyDescent="0.25">
      <c r="C101" s="1" t="s">
        <v>100</v>
      </c>
      <c r="E101" s="185" t="s">
        <v>290</v>
      </c>
    </row>
    <row r="102" spans="2:12" x14ac:dyDescent="0.25">
      <c r="C102" s="1" t="s">
        <v>76</v>
      </c>
      <c r="D102" s="1" t="s">
        <v>75</v>
      </c>
      <c r="E102" t="s">
        <v>308</v>
      </c>
      <c r="F102" t="s">
        <v>304</v>
      </c>
      <c r="G102" t="s">
        <v>310</v>
      </c>
      <c r="H102" t="s">
        <v>309</v>
      </c>
      <c r="I102" t="s">
        <v>307</v>
      </c>
    </row>
    <row r="103" spans="2:12" x14ac:dyDescent="0.25">
      <c r="C103" t="s">
        <v>408</v>
      </c>
      <c r="D103" t="s">
        <v>406</v>
      </c>
      <c r="E103">
        <v>10</v>
      </c>
    </row>
    <row r="104" spans="2:12" x14ac:dyDescent="0.25">
      <c r="C104" t="s">
        <v>423</v>
      </c>
      <c r="D104" t="s">
        <v>422</v>
      </c>
      <c r="F104">
        <v>7</v>
      </c>
    </row>
    <row r="105" spans="2:12" x14ac:dyDescent="0.25">
      <c r="C105" t="s">
        <v>425</v>
      </c>
      <c r="D105" t="s">
        <v>424</v>
      </c>
      <c r="G105">
        <v>45</v>
      </c>
    </row>
    <row r="106" spans="2:12" x14ac:dyDescent="0.25">
      <c r="C106" t="s">
        <v>126</v>
      </c>
      <c r="D106" t="s">
        <v>429</v>
      </c>
      <c r="H106">
        <v>50</v>
      </c>
    </row>
    <row r="107" spans="2:12" x14ac:dyDescent="0.25">
      <c r="C107" t="s">
        <v>126</v>
      </c>
      <c r="D107" t="s">
        <v>433</v>
      </c>
      <c r="H107">
        <v>17</v>
      </c>
    </row>
    <row r="108" spans="2:12" x14ac:dyDescent="0.25">
      <c r="C108" t="s">
        <v>436</v>
      </c>
      <c r="D108" t="s">
        <v>435</v>
      </c>
      <c r="H108">
        <v>28</v>
      </c>
    </row>
    <row r="109" spans="2:12" x14ac:dyDescent="0.25">
      <c r="C109" t="s">
        <v>438</v>
      </c>
      <c r="D109" t="s">
        <v>437</v>
      </c>
      <c r="I109">
        <v>3</v>
      </c>
    </row>
    <row r="110" spans="2:12" x14ac:dyDescent="0.25">
      <c r="C110" t="s">
        <v>438</v>
      </c>
      <c r="D110" t="s">
        <v>440</v>
      </c>
      <c r="I110">
        <v>114</v>
      </c>
    </row>
  </sheetData>
  <mergeCells count="1">
    <mergeCell ref="D1:P1"/>
  </mergeCells>
  <pageMargins left="0.7" right="0.7" top="0.75" bottom="0.75" header="0.3" footer="0.3"/>
  <pageSetup paperSize="9" scale="52"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pageSetUpPr fitToPage="1"/>
  </sheetPr>
  <dimension ref="A2:Q47"/>
  <sheetViews>
    <sheetView showGridLines="0" zoomScale="110" zoomScaleNormal="110" workbookViewId="0"/>
  </sheetViews>
  <sheetFormatPr baseColWidth="10" defaultRowHeight="15" x14ac:dyDescent="0.25"/>
  <cols>
    <col min="1" max="1" width="8.7109375" customWidth="1"/>
    <col min="2" max="2" width="4.28515625" hidden="1" customWidth="1"/>
    <col min="3" max="3" width="3.85546875" hidden="1" customWidth="1"/>
    <col min="4" max="4" width="5.140625" customWidth="1"/>
    <col min="5" max="5" width="102.28515625" bestFit="1" customWidth="1"/>
    <col min="6" max="6" width="10.5703125" bestFit="1" customWidth="1"/>
    <col min="7" max="7" width="11.7109375" bestFit="1" customWidth="1"/>
    <col min="8" max="8" width="5.140625" customWidth="1"/>
    <col min="9" max="9" width="4" customWidth="1"/>
    <col min="10" max="10" width="7.85546875" hidden="1" customWidth="1"/>
    <col min="11" max="11" width="15" hidden="1" customWidth="1"/>
    <col min="12" max="12" width="0" hidden="1" customWidth="1"/>
    <col min="13" max="13" width="12.5703125" hidden="1" customWidth="1"/>
    <col min="14" max="14" width="13.140625" hidden="1" customWidth="1"/>
    <col min="15" max="15" width="0" hidden="1" customWidth="1"/>
    <col min="17" max="17" width="44.140625" customWidth="1"/>
  </cols>
  <sheetData>
    <row r="2" spans="1:17" x14ac:dyDescent="0.25">
      <c r="D2" s="6" t="s">
        <v>117</v>
      </c>
      <c r="E2" s="7"/>
      <c r="F2" s="7"/>
      <c r="G2" s="7"/>
      <c r="J2" s="341" t="s">
        <v>127</v>
      </c>
      <c r="K2" s="342"/>
      <c r="M2" s="341" t="s">
        <v>136</v>
      </c>
      <c r="N2" s="342"/>
      <c r="P2" s="343" t="s">
        <v>148</v>
      </c>
      <c r="Q2" s="343"/>
    </row>
    <row r="3" spans="1:17" x14ac:dyDescent="0.25">
      <c r="J3" s="16"/>
      <c r="K3" s="16"/>
      <c r="M3" s="16"/>
      <c r="N3" s="16"/>
      <c r="P3" s="23"/>
      <c r="Q3" s="23"/>
    </row>
    <row r="4" spans="1:17" s="15" customFormat="1" ht="24" x14ac:dyDescent="0.25">
      <c r="A4"/>
      <c r="B4"/>
      <c r="D4" s="4" t="s">
        <v>15</v>
      </c>
      <c r="E4" s="5" t="s">
        <v>13</v>
      </c>
      <c r="F4" s="5" t="s">
        <v>21</v>
      </c>
      <c r="G4" s="5" t="s">
        <v>22</v>
      </c>
      <c r="J4" s="19" t="s">
        <v>128</v>
      </c>
      <c r="K4" s="20" t="s">
        <v>129</v>
      </c>
      <c r="M4" s="21" t="s">
        <v>128</v>
      </c>
      <c r="N4" s="22" t="s">
        <v>129</v>
      </c>
      <c r="P4" s="24" t="s">
        <v>15</v>
      </c>
      <c r="Q4" s="25" t="s">
        <v>13</v>
      </c>
    </row>
    <row r="5" spans="1:17" x14ac:dyDescent="0.25">
      <c r="D5" s="26">
        <v>100</v>
      </c>
      <c r="E5" s="27" t="s">
        <v>23</v>
      </c>
      <c r="F5" s="27" t="s">
        <v>24</v>
      </c>
      <c r="G5" s="27" t="s">
        <v>25</v>
      </c>
      <c r="J5" s="17">
        <v>0</v>
      </c>
      <c r="K5" s="18" t="s">
        <v>130</v>
      </c>
      <c r="M5" s="17">
        <v>0</v>
      </c>
      <c r="N5" s="18" t="s">
        <v>137</v>
      </c>
      <c r="P5" s="18"/>
      <c r="Q5" s="18" t="s">
        <v>149</v>
      </c>
    </row>
    <row r="6" spans="1:17" x14ac:dyDescent="0.25">
      <c r="D6" s="26">
        <v>109</v>
      </c>
      <c r="E6" s="27" t="s">
        <v>26</v>
      </c>
      <c r="F6" s="27" t="s">
        <v>24</v>
      </c>
      <c r="G6" s="27" t="s">
        <v>25</v>
      </c>
      <c r="J6" s="17">
        <v>1</v>
      </c>
      <c r="K6" s="18" t="s">
        <v>131</v>
      </c>
      <c r="M6" s="17">
        <v>20</v>
      </c>
      <c r="N6" s="18" t="s">
        <v>138</v>
      </c>
      <c r="P6" s="18" t="s">
        <v>147</v>
      </c>
      <c r="Q6" s="18" t="s">
        <v>150</v>
      </c>
    </row>
    <row r="7" spans="1:17" x14ac:dyDescent="0.25">
      <c r="D7" s="26">
        <v>130</v>
      </c>
      <c r="E7" s="27" t="s">
        <v>27</v>
      </c>
      <c r="F7" s="27" t="s">
        <v>24</v>
      </c>
      <c r="G7" s="27" t="s">
        <v>25</v>
      </c>
      <c r="J7" s="17">
        <v>3</v>
      </c>
      <c r="K7" s="18" t="s">
        <v>132</v>
      </c>
      <c r="M7" s="17">
        <v>25</v>
      </c>
      <c r="N7" s="18" t="s">
        <v>139</v>
      </c>
      <c r="P7" s="18" t="s">
        <v>151</v>
      </c>
      <c r="Q7" s="18" t="s">
        <v>152</v>
      </c>
    </row>
    <row r="8" spans="1:17" x14ac:dyDescent="0.25">
      <c r="D8" s="26">
        <v>139</v>
      </c>
      <c r="E8" s="27" t="s">
        <v>28</v>
      </c>
      <c r="F8" s="27" t="s">
        <v>24</v>
      </c>
      <c r="G8" s="27" t="s">
        <v>25</v>
      </c>
      <c r="J8" s="17">
        <v>5</v>
      </c>
      <c r="K8" s="18" t="s">
        <v>133</v>
      </c>
      <c r="M8" s="17">
        <v>30</v>
      </c>
      <c r="N8" s="18" t="s">
        <v>140</v>
      </c>
      <c r="P8" s="18" t="s">
        <v>153</v>
      </c>
      <c r="Q8" s="18" t="s">
        <v>154</v>
      </c>
    </row>
    <row r="9" spans="1:17" x14ac:dyDescent="0.25">
      <c r="D9" s="26">
        <v>150</v>
      </c>
      <c r="E9" s="27" t="s">
        <v>29</v>
      </c>
      <c r="F9" s="27" t="s">
        <v>24</v>
      </c>
      <c r="G9" s="27" t="s">
        <v>25</v>
      </c>
      <c r="J9" s="17">
        <v>10</v>
      </c>
      <c r="K9" s="18" t="s">
        <v>134</v>
      </c>
      <c r="M9" s="17">
        <v>35</v>
      </c>
      <c r="N9" s="18" t="s">
        <v>141</v>
      </c>
      <c r="P9" s="18" t="s">
        <v>126</v>
      </c>
      <c r="Q9" s="18" t="s">
        <v>155</v>
      </c>
    </row>
    <row r="10" spans="1:17" x14ac:dyDescent="0.25">
      <c r="D10" s="26">
        <v>189</v>
      </c>
      <c r="E10" s="27" t="s">
        <v>30</v>
      </c>
      <c r="F10" s="27" t="s">
        <v>24</v>
      </c>
      <c r="G10" s="27" t="s">
        <v>25</v>
      </c>
      <c r="J10" s="17">
        <v>15</v>
      </c>
      <c r="K10" s="18" t="s">
        <v>135</v>
      </c>
      <c r="M10" s="17">
        <v>40</v>
      </c>
      <c r="N10" s="18" t="s">
        <v>142</v>
      </c>
      <c r="P10" s="18" t="s">
        <v>376</v>
      </c>
      <c r="Q10" s="18" t="s">
        <v>441</v>
      </c>
    </row>
    <row r="11" spans="1:17" x14ac:dyDescent="0.25">
      <c r="D11" s="26">
        <v>200</v>
      </c>
      <c r="E11" s="27" t="s">
        <v>31</v>
      </c>
      <c r="F11" s="27" t="s">
        <v>32</v>
      </c>
      <c r="G11" s="27" t="s">
        <v>25</v>
      </c>
      <c r="M11" s="17">
        <v>45</v>
      </c>
      <c r="N11" s="18" t="s">
        <v>143</v>
      </c>
    </row>
    <row r="12" spans="1:17" x14ac:dyDescent="0.25">
      <c r="D12" s="26">
        <v>209</v>
      </c>
      <c r="E12" s="27" t="s">
        <v>33</v>
      </c>
      <c r="F12" s="27" t="s">
        <v>32</v>
      </c>
      <c r="G12" s="27" t="s">
        <v>25</v>
      </c>
      <c r="M12" s="17">
        <v>50</v>
      </c>
      <c r="N12" s="18" t="s">
        <v>144</v>
      </c>
    </row>
    <row r="13" spans="1:17" x14ac:dyDescent="0.25">
      <c r="D13" s="26">
        <v>230</v>
      </c>
      <c r="E13" s="27" t="s">
        <v>34</v>
      </c>
      <c r="F13" s="27" t="s">
        <v>32</v>
      </c>
      <c r="G13" s="27" t="s">
        <v>25</v>
      </c>
      <c r="M13" s="17">
        <v>55</v>
      </c>
      <c r="N13" s="18" t="s">
        <v>145</v>
      </c>
    </row>
    <row r="14" spans="1:17" x14ac:dyDescent="0.25">
      <c r="D14" s="26">
        <v>239</v>
      </c>
      <c r="E14" s="27" t="s">
        <v>35</v>
      </c>
      <c r="F14" s="27" t="s">
        <v>32</v>
      </c>
      <c r="G14" s="27" t="s">
        <v>25</v>
      </c>
      <c r="M14" s="17">
        <v>60</v>
      </c>
      <c r="N14" s="18" t="s">
        <v>146</v>
      </c>
    </row>
    <row r="15" spans="1:17" x14ac:dyDescent="0.25">
      <c r="D15" s="26">
        <v>250</v>
      </c>
      <c r="E15" s="27" t="s">
        <v>36</v>
      </c>
      <c r="F15" s="27" t="s">
        <v>32</v>
      </c>
      <c r="G15" s="27" t="s">
        <v>25</v>
      </c>
    </row>
    <row r="16" spans="1:17" x14ac:dyDescent="0.25">
      <c r="D16" s="26">
        <v>289</v>
      </c>
      <c r="E16" s="27" t="s">
        <v>37</v>
      </c>
      <c r="F16" s="27" t="s">
        <v>32</v>
      </c>
      <c r="G16" s="27" t="s">
        <v>25</v>
      </c>
    </row>
    <row r="17" spans="1:7" x14ac:dyDescent="0.25">
      <c r="D17" s="26">
        <v>300</v>
      </c>
      <c r="E17" s="27" t="s">
        <v>38</v>
      </c>
      <c r="F17" s="27" t="s">
        <v>39</v>
      </c>
      <c r="G17" s="27" t="s">
        <v>40</v>
      </c>
    </row>
    <row r="18" spans="1:7" x14ac:dyDescent="0.25">
      <c r="D18" s="26">
        <v>309</v>
      </c>
      <c r="E18" s="27" t="s">
        <v>41</v>
      </c>
      <c r="F18" s="27" t="s">
        <v>39</v>
      </c>
      <c r="G18" s="27" t="s">
        <v>40</v>
      </c>
    </row>
    <row r="19" spans="1:7" x14ac:dyDescent="0.25">
      <c r="D19" s="26">
        <v>330</v>
      </c>
      <c r="E19" s="27" t="s">
        <v>42</v>
      </c>
      <c r="F19" s="27" t="s">
        <v>39</v>
      </c>
      <c r="G19" s="27" t="s">
        <v>40</v>
      </c>
    </row>
    <row r="20" spans="1:7" x14ac:dyDescent="0.25">
      <c r="D20" s="26">
        <v>339</v>
      </c>
      <c r="E20" s="27" t="s">
        <v>43</v>
      </c>
      <c r="F20" s="27" t="s">
        <v>39</v>
      </c>
      <c r="G20" s="27" t="s">
        <v>40</v>
      </c>
    </row>
    <row r="21" spans="1:7" x14ac:dyDescent="0.25">
      <c r="D21" s="26">
        <v>350</v>
      </c>
      <c r="E21" s="27" t="s">
        <v>44</v>
      </c>
      <c r="F21" s="27" t="s">
        <v>39</v>
      </c>
      <c r="G21" s="27" t="s">
        <v>40</v>
      </c>
    </row>
    <row r="22" spans="1:7" x14ac:dyDescent="0.25">
      <c r="D22" s="26">
        <v>389</v>
      </c>
      <c r="E22" s="27" t="s">
        <v>45</v>
      </c>
      <c r="F22" s="27" t="s">
        <v>39</v>
      </c>
      <c r="G22" s="27" t="s">
        <v>40</v>
      </c>
    </row>
    <row r="23" spans="1:7" x14ac:dyDescent="0.25">
      <c r="D23" s="26">
        <v>401</v>
      </c>
      <c r="E23" s="27" t="s">
        <v>46</v>
      </c>
      <c r="F23" s="27" t="s">
        <v>24</v>
      </c>
      <c r="G23" s="27" t="s">
        <v>47</v>
      </c>
    </row>
    <row r="24" spans="1:7" x14ac:dyDescent="0.25">
      <c r="D24" s="26">
        <v>402</v>
      </c>
      <c r="E24" s="27" t="s">
        <v>48</v>
      </c>
      <c r="F24" s="27" t="s">
        <v>24</v>
      </c>
      <c r="G24" s="27" t="s">
        <v>47</v>
      </c>
    </row>
    <row r="25" spans="1:7" x14ac:dyDescent="0.25">
      <c r="D25" s="26">
        <v>403</v>
      </c>
      <c r="E25" s="27" t="s">
        <v>49</v>
      </c>
      <c r="F25" s="27" t="s">
        <v>24</v>
      </c>
      <c r="G25" s="27" t="s">
        <v>47</v>
      </c>
    </row>
    <row r="26" spans="1:7" x14ac:dyDescent="0.25">
      <c r="A26" s="15"/>
      <c r="B26" s="15"/>
      <c r="D26" s="26">
        <v>408</v>
      </c>
      <c r="E26" s="27" t="s">
        <v>50</v>
      </c>
      <c r="F26" s="27" t="s">
        <v>24</v>
      </c>
      <c r="G26" s="27" t="s">
        <v>47</v>
      </c>
    </row>
    <row r="27" spans="1:7" x14ac:dyDescent="0.25">
      <c r="D27" s="26">
        <v>410</v>
      </c>
      <c r="E27" s="27" t="s">
        <v>51</v>
      </c>
      <c r="F27" s="27" t="s">
        <v>24</v>
      </c>
      <c r="G27" s="27" t="s">
        <v>47</v>
      </c>
    </row>
    <row r="28" spans="1:7" x14ac:dyDescent="0.25">
      <c r="D28" s="26">
        <v>418</v>
      </c>
      <c r="E28" s="27" t="s">
        <v>52</v>
      </c>
      <c r="F28" s="27" t="s">
        <v>24</v>
      </c>
      <c r="G28" s="27" t="s">
        <v>47</v>
      </c>
    </row>
    <row r="29" spans="1:7" x14ac:dyDescent="0.25">
      <c r="D29" s="26">
        <v>420</v>
      </c>
      <c r="E29" s="27" t="s">
        <v>53</v>
      </c>
      <c r="F29" s="27" t="s">
        <v>24</v>
      </c>
      <c r="G29" s="27" t="s">
        <v>47</v>
      </c>
    </row>
    <row r="30" spans="1:7" x14ac:dyDescent="0.25">
      <c r="D30" s="26">
        <v>421</v>
      </c>
      <c r="E30" s="27" t="s">
        <v>54</v>
      </c>
      <c r="F30" s="27" t="s">
        <v>24</v>
      </c>
      <c r="G30" s="27" t="s">
        <v>47</v>
      </c>
    </row>
    <row r="31" spans="1:7" x14ac:dyDescent="0.25">
      <c r="D31" s="26">
        <v>430</v>
      </c>
      <c r="E31" s="27" t="s">
        <v>55</v>
      </c>
      <c r="F31" s="27" t="s">
        <v>24</v>
      </c>
      <c r="G31" s="27" t="s">
        <v>47</v>
      </c>
    </row>
    <row r="32" spans="1:7" x14ac:dyDescent="0.25">
      <c r="D32" s="26">
        <v>441</v>
      </c>
      <c r="E32" s="27" t="s">
        <v>56</v>
      </c>
      <c r="F32" s="27" t="s">
        <v>24</v>
      </c>
      <c r="G32" s="27" t="s">
        <v>47</v>
      </c>
    </row>
    <row r="33" spans="4:7" x14ac:dyDescent="0.25">
      <c r="D33" s="26">
        <v>450</v>
      </c>
      <c r="E33" s="27" t="s">
        <v>57</v>
      </c>
      <c r="F33" s="27" t="s">
        <v>24</v>
      </c>
      <c r="G33" s="27" t="s">
        <v>47</v>
      </c>
    </row>
    <row r="34" spans="4:7" x14ac:dyDescent="0.25">
      <c r="D34" s="26">
        <v>452</v>
      </c>
      <c r="E34" s="27" t="s">
        <v>58</v>
      </c>
      <c r="F34" s="27" t="s">
        <v>24</v>
      </c>
      <c r="G34" s="27" t="s">
        <v>47</v>
      </c>
    </row>
    <row r="35" spans="4:7" x14ac:dyDescent="0.25">
      <c r="D35" s="26">
        <v>501</v>
      </c>
      <c r="E35" s="27" t="s">
        <v>59</v>
      </c>
      <c r="F35" s="27" t="s">
        <v>32</v>
      </c>
      <c r="G35" s="27" t="s">
        <v>47</v>
      </c>
    </row>
    <row r="36" spans="4:7" x14ac:dyDescent="0.25">
      <c r="D36" s="26">
        <v>502</v>
      </c>
      <c r="E36" s="27" t="s">
        <v>60</v>
      </c>
      <c r="F36" s="27" t="s">
        <v>32</v>
      </c>
      <c r="G36" s="27" t="s">
        <v>47</v>
      </c>
    </row>
    <row r="37" spans="4:7" x14ac:dyDescent="0.25">
      <c r="D37" s="26">
        <v>503</v>
      </c>
      <c r="E37" s="27" t="s">
        <v>61</v>
      </c>
      <c r="F37" s="27" t="s">
        <v>32</v>
      </c>
      <c r="G37" s="27" t="s">
        <v>47</v>
      </c>
    </row>
    <row r="38" spans="4:7" x14ac:dyDescent="0.25">
      <c r="D38" s="26">
        <v>508</v>
      </c>
      <c r="E38" s="27" t="s">
        <v>62</v>
      </c>
      <c r="F38" s="27" t="s">
        <v>32</v>
      </c>
      <c r="G38" s="27" t="s">
        <v>47</v>
      </c>
    </row>
    <row r="39" spans="4:7" x14ac:dyDescent="0.25">
      <c r="D39" s="26">
        <v>510</v>
      </c>
      <c r="E39" s="27" t="s">
        <v>63</v>
      </c>
      <c r="F39" s="27" t="s">
        <v>32</v>
      </c>
      <c r="G39" s="27" t="s">
        <v>47</v>
      </c>
    </row>
    <row r="40" spans="4:7" x14ac:dyDescent="0.25">
      <c r="D40" s="26">
        <v>518</v>
      </c>
      <c r="E40" s="27" t="s">
        <v>64</v>
      </c>
      <c r="F40" s="27" t="s">
        <v>32</v>
      </c>
      <c r="G40" s="27" t="s">
        <v>47</v>
      </c>
    </row>
    <row r="41" spans="4:7" x14ac:dyDescent="0.25">
      <c r="D41" s="26">
        <v>520</v>
      </c>
      <c r="E41" s="27" t="s">
        <v>65</v>
      </c>
      <c r="F41" s="27" t="s">
        <v>32</v>
      </c>
      <c r="G41" s="27" t="s">
        <v>47</v>
      </c>
    </row>
    <row r="42" spans="4:7" x14ac:dyDescent="0.25">
      <c r="D42" s="26">
        <v>530</v>
      </c>
      <c r="E42" s="27" t="s">
        <v>66</v>
      </c>
      <c r="F42" s="27" t="s">
        <v>32</v>
      </c>
      <c r="G42" s="27" t="s">
        <v>47</v>
      </c>
    </row>
    <row r="43" spans="4:7" x14ac:dyDescent="0.25">
      <c r="D43" s="26">
        <v>540</v>
      </c>
      <c r="E43" s="27" t="s">
        <v>67</v>
      </c>
      <c r="F43" s="27" t="s">
        <v>32</v>
      </c>
      <c r="G43" s="27" t="s">
        <v>47</v>
      </c>
    </row>
    <row r="44" spans="4:7" x14ac:dyDescent="0.25">
      <c r="D44" s="26">
        <v>541</v>
      </c>
      <c r="E44" s="27" t="s">
        <v>68</v>
      </c>
      <c r="F44" s="27" t="s">
        <v>32</v>
      </c>
      <c r="G44" s="27" t="s">
        <v>47</v>
      </c>
    </row>
    <row r="45" spans="4:7" x14ac:dyDescent="0.25">
      <c r="D45" s="26">
        <v>550</v>
      </c>
      <c r="E45" s="27" t="s">
        <v>69</v>
      </c>
      <c r="F45" s="27" t="s">
        <v>32</v>
      </c>
      <c r="G45" s="27" t="s">
        <v>47</v>
      </c>
    </row>
    <row r="46" spans="4:7" x14ac:dyDescent="0.25">
      <c r="D46" s="26">
        <v>552</v>
      </c>
      <c r="E46" s="27" t="s">
        <v>70</v>
      </c>
      <c r="F46" s="27" t="s">
        <v>32</v>
      </c>
      <c r="G46" s="27" t="s">
        <v>47</v>
      </c>
    </row>
    <row r="47" spans="4:7" x14ac:dyDescent="0.25">
      <c r="D47" s="26" t="s">
        <v>71</v>
      </c>
      <c r="E47" s="27" t="s">
        <v>72</v>
      </c>
      <c r="F47" s="27"/>
      <c r="G47" s="27"/>
    </row>
  </sheetData>
  <mergeCells count="3">
    <mergeCell ref="J2:K2"/>
    <mergeCell ref="M2:N2"/>
    <mergeCell ref="P2:Q2"/>
  </mergeCells>
  <dataValidations count="1">
    <dataValidation allowBlank="1" sqref="D2" xr:uid="{00000000-0002-0000-0500-000000000000}"/>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5" tint="0.39997558519241921"/>
    <pageSetUpPr fitToPage="1"/>
  </sheetPr>
  <dimension ref="A1:AU104"/>
  <sheetViews>
    <sheetView showGridLines="0" zoomScaleNormal="100" workbookViewId="0">
      <selection activeCell="AS1" sqref="AS1:AS11"/>
    </sheetView>
  </sheetViews>
  <sheetFormatPr baseColWidth="10" defaultColWidth="7.28515625" defaultRowHeight="16.5" outlineLevelCol="1" x14ac:dyDescent="0.3"/>
  <cols>
    <col min="1" max="2" width="8.85546875" style="305" customWidth="1"/>
    <col min="3" max="4" width="7.28515625" style="305" customWidth="1"/>
    <col min="5" max="5" width="10.42578125" style="305" customWidth="1"/>
    <col min="6" max="13" width="7.28515625" style="305" customWidth="1"/>
    <col min="14" max="15" width="7.28515625" style="305" hidden="1" customWidth="1"/>
    <col min="16" max="35" width="7.28515625" style="305" hidden="1" customWidth="1" outlineLevel="1"/>
    <col min="36" max="36" width="8.85546875" style="305" customWidth="1" collapsed="1"/>
    <col min="37" max="37" width="8.85546875" style="305" customWidth="1"/>
    <col min="38" max="41" width="7.28515625" style="305" customWidth="1"/>
    <col min="42" max="42" width="7.28515625" style="305" hidden="1" customWidth="1"/>
    <col min="43" max="44" width="8.85546875" style="305" customWidth="1"/>
    <col min="45" max="45" width="16.7109375" style="305" customWidth="1"/>
    <col min="46" max="46" width="7" style="305" customWidth="1"/>
    <col min="47" max="16384" width="7.28515625" style="305"/>
  </cols>
  <sheetData>
    <row r="1" spans="1:47" ht="42.6" customHeight="1" x14ac:dyDescent="0.3">
      <c r="E1" s="306" t="s">
        <v>371</v>
      </c>
      <c r="AS1" s="344" t="str">
        <f>+IFERROR(IF(OR(((AR10-AR11)/AR11)&gt;=25%,((AR11-AR10)/AR10)&gt;=25%),AU1,""),"")</f>
        <v>Recuerde: Cuando la media aritmética o la mediana de las retribuciones totales en la empresa de las personas trabajadoras de un sexo sea superior a las del otro en, al menos un 25%, se deberá incluir la justificación a la que se refiere el art. 28.3 del ET.</v>
      </c>
      <c r="AU1" s="332" t="s">
        <v>445</v>
      </c>
    </row>
    <row r="2" spans="1:47" ht="13.9" customHeight="1" x14ac:dyDescent="0.3">
      <c r="B2" s="53"/>
      <c r="C2" s="53"/>
      <c r="D2" s="53"/>
      <c r="E2" s="53"/>
      <c r="F2" s="53"/>
      <c r="G2" s="53" t="str">
        <f>+IF(G8="[ocultar]",G8,"")</f>
        <v/>
      </c>
      <c r="H2" s="53" t="str">
        <f t="shared" ref="H2:AP2" si="0">+IF(H8="[ocultar]",H8,"")</f>
        <v/>
      </c>
      <c r="I2" s="53" t="str">
        <f t="shared" si="0"/>
        <v/>
      </c>
      <c r="J2" s="53" t="str">
        <f t="shared" si="0"/>
        <v/>
      </c>
      <c r="K2" s="53" t="str">
        <f t="shared" si="0"/>
        <v/>
      </c>
      <c r="L2" s="53" t="str">
        <f t="shared" si="0"/>
        <v/>
      </c>
      <c r="M2" s="53" t="str">
        <f t="shared" si="0"/>
        <v/>
      </c>
      <c r="N2" s="53" t="str">
        <f t="shared" si="0"/>
        <v>[ocultar]</v>
      </c>
      <c r="O2" s="53" t="str">
        <f t="shared" si="0"/>
        <v>[ocultar]</v>
      </c>
      <c r="P2" s="53" t="str">
        <f t="shared" si="0"/>
        <v>[ocultar]</v>
      </c>
      <c r="Q2" s="53" t="str">
        <f t="shared" si="0"/>
        <v>[ocultar]</v>
      </c>
      <c r="R2" s="53" t="str">
        <f t="shared" si="0"/>
        <v>[ocultar]</v>
      </c>
      <c r="S2" s="53" t="str">
        <f t="shared" si="0"/>
        <v>[ocultar]</v>
      </c>
      <c r="T2" s="53" t="str">
        <f t="shared" si="0"/>
        <v>[ocultar]</v>
      </c>
      <c r="U2" s="53" t="str">
        <f t="shared" si="0"/>
        <v>[ocultar]</v>
      </c>
      <c r="V2" s="53" t="str">
        <f t="shared" si="0"/>
        <v>[ocultar]</v>
      </c>
      <c r="W2" s="53" t="str">
        <f t="shared" si="0"/>
        <v>[ocultar]</v>
      </c>
      <c r="X2" s="53" t="str">
        <f t="shared" si="0"/>
        <v>[ocultar]</v>
      </c>
      <c r="Y2" s="53" t="str">
        <f t="shared" si="0"/>
        <v>[ocultar]</v>
      </c>
      <c r="Z2" s="53" t="str">
        <f t="shared" si="0"/>
        <v>[ocultar]</v>
      </c>
      <c r="AA2" s="53" t="str">
        <f t="shared" si="0"/>
        <v>[ocultar]</v>
      </c>
      <c r="AB2" s="53" t="str">
        <f t="shared" si="0"/>
        <v>[ocultar]</v>
      </c>
      <c r="AC2" s="53" t="str">
        <f t="shared" si="0"/>
        <v>[ocultar]</v>
      </c>
      <c r="AD2" s="53" t="str">
        <f t="shared" si="0"/>
        <v>[ocultar]</v>
      </c>
      <c r="AE2" s="53" t="str">
        <f t="shared" si="0"/>
        <v>[ocultar]</v>
      </c>
      <c r="AF2" s="53" t="str">
        <f t="shared" si="0"/>
        <v>[ocultar]</v>
      </c>
      <c r="AG2" s="53" t="str">
        <f t="shared" si="0"/>
        <v>[ocultar]</v>
      </c>
      <c r="AH2" s="53" t="str">
        <f t="shared" si="0"/>
        <v>[ocultar]</v>
      </c>
      <c r="AI2" s="53" t="str">
        <f t="shared" si="0"/>
        <v>[ocultar]</v>
      </c>
      <c r="AJ2" s="53" t="str">
        <f t="shared" si="0"/>
        <v/>
      </c>
      <c r="AK2" s="53" t="str">
        <f t="shared" si="0"/>
        <v/>
      </c>
      <c r="AL2" s="53" t="str">
        <f t="shared" si="0"/>
        <v/>
      </c>
      <c r="AM2" s="53" t="str">
        <f t="shared" si="0"/>
        <v/>
      </c>
      <c r="AN2" s="53" t="str">
        <f t="shared" si="0"/>
        <v/>
      </c>
      <c r="AO2" s="53" t="str">
        <f t="shared" si="0"/>
        <v/>
      </c>
      <c r="AP2" s="53" t="str">
        <f t="shared" si="0"/>
        <v>[ocultar]</v>
      </c>
      <c r="AQ2" s="53"/>
      <c r="AR2" s="53"/>
      <c r="AS2" s="344"/>
    </row>
    <row r="3" spans="1:47" ht="13.9" customHeight="1" x14ac:dyDescent="0.3">
      <c r="B3" s="53"/>
      <c r="C3" s="53"/>
      <c r="D3" s="53"/>
      <c r="E3" s="156" t="str">
        <f>+"Razón Social: "&amp;Inicio!C6&amp;"  -  NIF: "&amp;Inicio!C8</f>
        <v>Razón Social: Empresa Ejemplo Ficticio 3  -  NIF: B55512345</v>
      </c>
      <c r="F3" s="48"/>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344"/>
    </row>
    <row r="4" spans="1:47" ht="13.9" customHeight="1" x14ac:dyDescent="0.3">
      <c r="B4" s="53"/>
      <c r="C4" s="53"/>
      <c r="D4" s="53"/>
      <c r="E4" s="157" t="s">
        <v>97</v>
      </c>
      <c r="F4" s="177"/>
      <c r="G4" s="13"/>
      <c r="H4" s="13"/>
      <c r="I4" s="13"/>
      <c r="J4" s="13"/>
      <c r="K4" s="1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344"/>
    </row>
    <row r="5" spans="1:47" ht="13.9" customHeight="1" x14ac:dyDescent="0.3">
      <c r="B5" s="53"/>
      <c r="C5" s="53"/>
      <c r="D5" s="53"/>
      <c r="E5" s="158">
        <f>+Inicio!E10</f>
        <v>45292</v>
      </c>
      <c r="F5" s="159" t="str">
        <f>+Inicio!D10</f>
        <v>fecha inicio</v>
      </c>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344"/>
    </row>
    <row r="6" spans="1:47" ht="13.9" customHeight="1" x14ac:dyDescent="0.3">
      <c r="B6" s="53"/>
      <c r="C6" s="53"/>
      <c r="D6" s="53"/>
      <c r="E6" s="158">
        <f>+Inicio!G10</f>
        <v>45657</v>
      </c>
      <c r="F6" s="160" t="s">
        <v>94</v>
      </c>
      <c r="G6" s="154"/>
      <c r="H6" s="154"/>
      <c r="I6" s="53"/>
      <c r="J6" s="53"/>
      <c r="K6" s="154"/>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344"/>
    </row>
    <row r="7" spans="1:47" s="307" customFormat="1" ht="13.9" customHeight="1" x14ac:dyDescent="0.25">
      <c r="B7" s="118"/>
      <c r="C7" s="118"/>
      <c r="D7" s="118"/>
      <c r="E7" s="118"/>
      <c r="F7" s="118"/>
      <c r="G7" s="118"/>
      <c r="H7" s="118"/>
      <c r="I7" s="118"/>
      <c r="J7" s="118"/>
      <c r="K7"/>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344"/>
    </row>
    <row r="8" spans="1:47" s="308" customFormat="1" ht="46.15" customHeight="1" x14ac:dyDescent="0.25">
      <c r="B8" s="43"/>
      <c r="C8" s="43" t="s">
        <v>225</v>
      </c>
      <c r="D8" s="43" t="s">
        <v>220</v>
      </c>
      <c r="E8" s="44" t="s">
        <v>223</v>
      </c>
      <c r="F8" s="178" t="str">
        <f>+IF(DATOS!AE6="","[ocultar]",DATOS!AE6)</f>
        <v>MejVol</v>
      </c>
      <c r="G8" s="178" t="str">
        <f>+IF(DATOS!AF6="","[ocultar]",DATOS!AF6)</f>
        <v>Antig.</v>
      </c>
      <c r="H8" s="178" t="str">
        <f>+IF(DATOS!AG6="","[ocultar]",DATOS!AG6)</f>
        <v>Transporte</v>
      </c>
      <c r="I8" s="178" t="str">
        <f>+IF(DATOS!AH6="","[ocultar]",DATOS!AH6)</f>
        <v>Ventas</v>
      </c>
      <c r="J8" s="178" t="str">
        <f>+IF(DATOS!AI6="","[ocultar]",DATOS!AI6)</f>
        <v>Bonus</v>
      </c>
      <c r="K8" s="178" t="str">
        <f>+IF(DATOS!AJ6="","[ocultar]",DATOS!AJ6)</f>
        <v>Coche</v>
      </c>
      <c r="L8" s="178" t="str">
        <f>+IF(DATOS!AK6="","[ocultar]",DATOS!AK6)</f>
        <v>Cesta</v>
      </c>
      <c r="M8" s="178" t="str">
        <f>+IF(DATOS!AL6="","[ocultar]",DATOS!AL6)</f>
        <v>Nocturnidad</v>
      </c>
      <c r="N8" s="178" t="str">
        <f>+IF(DATOS!AM6="","[ocultar]",DATOS!AM6)</f>
        <v>[ocultar]</v>
      </c>
      <c r="O8" s="178" t="str">
        <f>+IF(DATOS!AN6="","[ocultar]",DATOS!AN6)</f>
        <v>[ocultar]</v>
      </c>
      <c r="P8" s="178" t="str">
        <f>+IF(DATOS!AO6="","[ocultar]",DATOS!AO6)</f>
        <v>[ocultar]</v>
      </c>
      <c r="Q8" s="178" t="str">
        <f>+IF(DATOS!AP6="","[ocultar]",DATOS!AP6)</f>
        <v>[ocultar]</v>
      </c>
      <c r="R8" s="178" t="str">
        <f>+IF(DATOS!AQ6="","[ocultar]",DATOS!AQ6)</f>
        <v>[ocultar]</v>
      </c>
      <c r="S8" s="178" t="str">
        <f>+IF(DATOS!AR6="","[ocultar]",DATOS!AR6)</f>
        <v>[ocultar]</v>
      </c>
      <c r="T8" s="178" t="str">
        <f>+IF(DATOS!AS6="","[ocultar]",DATOS!AS6)</f>
        <v>[ocultar]</v>
      </c>
      <c r="U8" s="178" t="str">
        <f>+IF(DATOS!AT6="","[ocultar]",DATOS!AT6)</f>
        <v>[ocultar]</v>
      </c>
      <c r="V8" s="178" t="str">
        <f>+IF(DATOS!AU6="","[ocultar]",DATOS!AU6)</f>
        <v>[ocultar]</v>
      </c>
      <c r="W8" s="178" t="str">
        <f>+IF(DATOS!AV6="","[ocultar]",DATOS!AV6)</f>
        <v>[ocultar]</v>
      </c>
      <c r="X8" s="178" t="str">
        <f>+IF(DATOS!AW6="","[ocultar]",DATOS!AW6)</f>
        <v>[ocultar]</v>
      </c>
      <c r="Y8" s="178" t="str">
        <f>+IF(DATOS!AX6="","[ocultar]",DATOS!AX6)</f>
        <v>[ocultar]</v>
      </c>
      <c r="Z8" s="178" t="str">
        <f>+IF(DATOS!AY6="","[ocultar]",DATOS!AY6)</f>
        <v>[ocultar]</v>
      </c>
      <c r="AA8" s="178" t="str">
        <f>+IF(DATOS!AZ6="","[ocultar]",DATOS!AZ6)</f>
        <v>[ocultar]</v>
      </c>
      <c r="AB8" s="178" t="str">
        <f>+IF(DATOS!BA6="","[ocultar]",DATOS!BA6)</f>
        <v>[ocultar]</v>
      </c>
      <c r="AC8" s="178" t="str">
        <f>+IF(DATOS!BB6="","[ocultar]",DATOS!BB6)</f>
        <v>[ocultar]</v>
      </c>
      <c r="AD8" s="178" t="str">
        <f>+IF(DATOS!BC6="","[ocultar]",DATOS!BC6)</f>
        <v>[ocultar]</v>
      </c>
      <c r="AE8" s="178" t="str">
        <f>+IF(DATOS!BD6="","[ocultar]",DATOS!BD6)</f>
        <v>[ocultar]</v>
      </c>
      <c r="AF8" s="178" t="str">
        <f>+IF(DATOS!BE6="","[ocultar]",DATOS!BE6)</f>
        <v>[ocultar]</v>
      </c>
      <c r="AG8" s="178" t="str">
        <f>+IF(DATOS!BF6="","[ocultar]",DATOS!BF6)</f>
        <v>[ocultar]</v>
      </c>
      <c r="AH8" s="178" t="str">
        <f>+IF(DATOS!BG6="","[ocultar]",DATOS!BG6)</f>
        <v>[ocultar]</v>
      </c>
      <c r="AI8" s="178" t="str">
        <f>+IF(DATOS!BH6="","[ocultar]",DATOS!BH6)</f>
        <v>[ocultar]</v>
      </c>
      <c r="AJ8" s="69" t="s">
        <v>221</v>
      </c>
      <c r="AK8" s="70" t="s">
        <v>213</v>
      </c>
      <c r="AL8" s="183" t="str">
        <f>+IF(DATOS!BI6="","[ocultar]",DATOS!BI6)</f>
        <v>Dietas</v>
      </c>
      <c r="AM8" s="183" t="str">
        <f>+IF(DATOS!BJ6="","[ocultar]",DATOS!BJ6)</f>
        <v>Indem</v>
      </c>
      <c r="AN8" s="183" t="str">
        <f>+IF(DATOS!BK6="","[ocultar]",DATOS!BK6)</f>
        <v>ERTE</v>
      </c>
      <c r="AO8" s="183" t="str">
        <f>+IF(DATOS!BL6="","[ocultar]",DATOS!BL6)</f>
        <v>IT</v>
      </c>
      <c r="AP8" s="183" t="str">
        <f>+IF(DATOS!BM6="","[ocultar]",DATOS!BM6)</f>
        <v>[ocultar]</v>
      </c>
      <c r="AQ8" s="71" t="s">
        <v>222</v>
      </c>
      <c r="AR8" s="72" t="s">
        <v>214</v>
      </c>
      <c r="AS8" s="344"/>
    </row>
    <row r="9" spans="1:47" s="309" customFormat="1" ht="17.25" thickBot="1" x14ac:dyDescent="0.35">
      <c r="B9" s="51" t="s">
        <v>247</v>
      </c>
      <c r="C9" s="91"/>
      <c r="D9" s="52"/>
      <c r="E9" s="139">
        <f t="shared" ref="E9" si="1">IFERROR((E10-E11)/E10,"")</f>
        <v>0.11669022606728094</v>
      </c>
      <c r="F9" s="310">
        <f>IFERROR((F10-F11)/F10,"")</f>
        <v>0.55053072823681537</v>
      </c>
      <c r="G9" s="180">
        <f t="shared" ref="G9:AR9" si="2">IFERROR((G10-G11)/G10,"")</f>
        <v>0.24808138857855089</v>
      </c>
      <c r="H9" s="180">
        <f t="shared" si="2"/>
        <v>-0.49310710498409338</v>
      </c>
      <c r="I9" s="180">
        <f t="shared" si="2"/>
        <v>-0.18894758228362468</v>
      </c>
      <c r="J9" s="181">
        <f t="shared" si="2"/>
        <v>0.75201288244766507</v>
      </c>
      <c r="K9" s="182">
        <f t="shared" si="2"/>
        <v>0.50524737631184413</v>
      </c>
      <c r="L9" s="182">
        <f t="shared" si="2"/>
        <v>2.4844720496893335E-3</v>
      </c>
      <c r="M9" s="182">
        <f t="shared" si="2"/>
        <v>1</v>
      </c>
      <c r="N9" s="182" t="str">
        <f t="shared" si="2"/>
        <v/>
      </c>
      <c r="O9" s="182" t="str">
        <f t="shared" si="2"/>
        <v/>
      </c>
      <c r="P9" s="182" t="str">
        <f t="shared" si="2"/>
        <v/>
      </c>
      <c r="Q9" s="182" t="str">
        <f t="shared" si="2"/>
        <v/>
      </c>
      <c r="R9" s="182" t="str">
        <f t="shared" si="2"/>
        <v/>
      </c>
      <c r="S9" s="182" t="str">
        <f t="shared" si="2"/>
        <v/>
      </c>
      <c r="T9" s="182" t="str">
        <f t="shared" si="2"/>
        <v/>
      </c>
      <c r="U9" s="182" t="str">
        <f t="shared" si="2"/>
        <v/>
      </c>
      <c r="V9" s="181" t="str">
        <f t="shared" si="2"/>
        <v/>
      </c>
      <c r="W9" s="181" t="str">
        <f t="shared" si="2"/>
        <v/>
      </c>
      <c r="X9" s="181" t="str">
        <f t="shared" si="2"/>
        <v/>
      </c>
      <c r="Y9" s="181" t="str">
        <f t="shared" si="2"/>
        <v/>
      </c>
      <c r="Z9" s="181" t="str">
        <f t="shared" si="2"/>
        <v/>
      </c>
      <c r="AA9" s="181" t="str">
        <f t="shared" si="2"/>
        <v/>
      </c>
      <c r="AB9" s="181" t="str">
        <f t="shared" si="2"/>
        <v/>
      </c>
      <c r="AC9" s="181" t="str">
        <f t="shared" si="2"/>
        <v/>
      </c>
      <c r="AD9" s="181" t="str">
        <f t="shared" si="2"/>
        <v/>
      </c>
      <c r="AE9" s="181" t="str">
        <f t="shared" si="2"/>
        <v/>
      </c>
      <c r="AF9" s="181" t="str">
        <f t="shared" si="2"/>
        <v/>
      </c>
      <c r="AG9" s="181" t="str">
        <f t="shared" si="2"/>
        <v/>
      </c>
      <c r="AH9" s="181" t="str">
        <f t="shared" si="2"/>
        <v/>
      </c>
      <c r="AI9" s="181" t="str">
        <f t="shared" si="2"/>
        <v/>
      </c>
      <c r="AJ9" s="140">
        <f t="shared" si="2"/>
        <v>0.53123068720934119</v>
      </c>
      <c r="AK9" s="143">
        <f t="shared" si="2"/>
        <v>0.25209355609422152</v>
      </c>
      <c r="AL9" s="184">
        <f t="shared" si="2"/>
        <v>0.96457326892109496</v>
      </c>
      <c r="AM9" s="184" t="str">
        <f t="shared" si="2"/>
        <v/>
      </c>
      <c r="AN9" s="184">
        <f t="shared" si="2"/>
        <v>-0.27536231884057966</v>
      </c>
      <c r="AO9" s="184">
        <f t="shared" si="2"/>
        <v>1</v>
      </c>
      <c r="AP9" s="184" t="str">
        <f t="shared" si="2"/>
        <v/>
      </c>
      <c r="AQ9" s="141">
        <f t="shared" si="2"/>
        <v>0.57255560459304244</v>
      </c>
      <c r="AR9" s="142">
        <f t="shared" si="2"/>
        <v>0.25470378275995076</v>
      </c>
      <c r="AS9" s="344"/>
    </row>
    <row r="10" spans="1:47" s="309" customFormat="1" x14ac:dyDescent="0.3">
      <c r="B10" s="46" t="s">
        <v>162</v>
      </c>
      <c r="C10" s="45">
        <f t="array" ref="C10">SUM(IF($B10=DATOS_[Sexo],
IF("Dentro"=DATOS_[Check Periodo Ref.],
1/(COUNTIFS(DATOS_[Sexo],$B10,DATOS_[Check Periodo Ref.],"Dentro",DATOS_[id],DATOS_[id])))))</f>
        <v>102</v>
      </c>
      <c r="D10" s="47">
        <f>COUNTIFS(DATOS_[AGRUP. CLAS. PROF.],"&lt;&gt;",DATOS_[Sexo],$B10,DATOS_[Check Periodo Ref.],"Dentro")</f>
        <v>110</v>
      </c>
      <c r="E10" s="92">
        <f t="array" ref="E10">IFERROR(
AVERAGE(IF(DATOS_[Sexo]=$B10,IF(DATOS_[Check Periodo Ref.]="Dentro",DATOS_[SALARIO BASE Ef],FALSE))),
0)</f>
        <v>12410.595921212147</v>
      </c>
      <c r="F10" s="93">
        <f t="array" ref="F10">IFERROR(
(AVERAGE((IF(DATOS_[[Sexo]:[Sexo]]=$B10,IF(DATOS_[[Check Periodo Ref.]:[Check Periodo Ref.]]="Dentro",DATOS_[Conc.Sal.01]))))),
0)</f>
        <v>2733.4131696969648</v>
      </c>
      <c r="G10" s="93">
        <f t="array" ref="G10">IFERROR(
(AVERAGE((IF(DATOS_[[Sexo]:[Sexo]]=$B10,IF(DATOS_[[Check Periodo Ref.]:[Check Periodo Ref.]]="Dentro",DATOS_[Conc.Sal.02]))))),
0)</f>
        <v>1027.719714666667</v>
      </c>
      <c r="H10" s="93">
        <f t="array" ref="H10">IFERROR(
(AVERAGE((IF(DATOS_[[Sexo]:[Sexo]]=$B10,IF(DATOS_[[Check Periodo Ref.]:[Check Periodo Ref.]]="Dentro",DATOS_[Conc.Sal.03]))))),
0)</f>
        <v>328</v>
      </c>
      <c r="I10" s="93">
        <f t="array" ref="I10">IFERROR(
(AVERAGE((IF(DATOS_[[Sexo]:[Sexo]]=$B10,IF(DATOS_[[Check Periodo Ref.]:[Check Periodo Ref.]]="Dentro",DATOS_[Conc.Sal.04]))))),
0)</f>
        <v>97.272727272727266</v>
      </c>
      <c r="J10" s="93">
        <f t="array" ref="J10">IFERROR(
(AVERAGE((IF(DATOS_[[Sexo]:[Sexo]]=$B10,IF(DATOS_[[Check Periodo Ref.]:[Check Periodo Ref.]]="Dentro",DATOS_[Conc.Sal.05]))))),
0)</f>
        <v>245.45454545454547</v>
      </c>
      <c r="K10" s="93">
        <f t="array" ref="K10">IFERROR(
(AVERAGE((IF(DATOS_[[Sexo]:[Sexo]]=$B10,IF(DATOS_[[Check Periodo Ref.]:[Check Periodo Ref.]]="Dentro",DATOS_[Conc.Sal.06]))))),
0)</f>
        <v>158.18181818181819</v>
      </c>
      <c r="L10" s="93">
        <f t="array" ref="L10">IFERROR(
(AVERAGE((IF(DATOS_[[Sexo]:[Sexo]]=$B10,IF(DATOS_[[Check Periodo Ref.]:[Check Periodo Ref.]]="Dentro",DATOS_[Conc.Sal.07]))))),
0)</f>
        <v>76.36363636363636</v>
      </c>
      <c r="M10" s="93">
        <f t="array" ref="M10">IFERROR(
(AVERAGE((IF(DATOS_[[Sexo]:[Sexo]]=$B10,IF(DATOS_[[Check Periodo Ref.]:[Check Periodo Ref.]]="Dentro",DATOS_[Conc.Sal.08]))))),
0)</f>
        <v>1353.7036036363629</v>
      </c>
      <c r="N10" s="93">
        <f t="array" ref="N10">IFERROR(
(AVERAGE((IF(DATOS_[[Sexo]:[Sexo]]=$B10,IF(DATOS_[[Check Periodo Ref.]:[Check Periodo Ref.]]="Dentro",DATOS_[Conc.Sal.09]))))),
0)</f>
        <v>0</v>
      </c>
      <c r="O10" s="93">
        <f t="array" ref="O10">IFERROR(
(AVERAGE((IF(DATOS_[[Sexo]:[Sexo]]=$B10,IF(DATOS_[[Check Periodo Ref.]:[Check Periodo Ref.]]="Dentro",DATOS_[Conc.Sal.10]))))),
0)</f>
        <v>0</v>
      </c>
      <c r="P10" s="93">
        <f t="array" ref="P10">IFERROR(
(AVERAGE((IF(DATOS_[[Sexo]:[Sexo]]=$B10,IF(DATOS_[[Check Periodo Ref.]:[Check Periodo Ref.]]="Dentro",DATOS_[Conc.Sal.11]))))),
0)</f>
        <v>0</v>
      </c>
      <c r="Q10" s="93">
        <f t="array" ref="Q10">IFERROR(
(AVERAGE((IF(DATOS_[[Sexo]:[Sexo]]=$B10,IF(DATOS_[[Check Periodo Ref.]:[Check Periodo Ref.]]="Dentro",DATOS_[Conc.Sal.12]))))),
0)</f>
        <v>0</v>
      </c>
      <c r="R10" s="93">
        <f t="array" ref="R10">IFERROR(
(AVERAGE((IF(DATOS_[[Sexo]:[Sexo]]=$B10,IF(DATOS_[[Check Periodo Ref.]:[Check Periodo Ref.]]="Dentro",DATOS_[Conc.Sal.13]))))),
0)</f>
        <v>0</v>
      </c>
      <c r="S10" s="93">
        <f t="array" ref="S10">IFERROR(
(AVERAGE((IF(DATOS_[[Sexo]:[Sexo]]=$B10,IF(DATOS_[[Check Periodo Ref.]:[Check Periodo Ref.]]="Dentro",DATOS_[Conc.Sal.14]))))),
0)</f>
        <v>0</v>
      </c>
      <c r="T10" s="93">
        <f t="array" ref="T10">IFERROR(
(AVERAGE((IF(DATOS_[[Sexo]:[Sexo]]=$B10,IF(DATOS_[[Check Periodo Ref.]:[Check Periodo Ref.]]="Dentro",DATOS_[Conc.Sal.15]))))),
0)</f>
        <v>0</v>
      </c>
      <c r="U10" s="93">
        <f t="array" ref="U10">IFERROR(
(AVERAGE((IF(DATOS_[[Sexo]:[Sexo]]=$B10,IF(DATOS_[[Check Periodo Ref.]:[Check Periodo Ref.]]="Dentro",DATOS_[Conc.Sal.16]))))),
0)</f>
        <v>0</v>
      </c>
      <c r="V10" s="93">
        <f t="array" ref="V10">IFERROR(
(AVERAGE((IF(DATOS_[[Sexo]:[Sexo]]=$B10,IF(DATOS_[[Check Periodo Ref.]:[Check Periodo Ref.]]="Dentro",DATOS_[Conc.Sal.17]))))),
0)</f>
        <v>0</v>
      </c>
      <c r="W10" s="93">
        <f t="array" ref="W10">IFERROR(
(AVERAGE((IF(DATOS_[[Sexo]:[Sexo]]=$B10,IF(DATOS_[[Check Periodo Ref.]:[Check Periodo Ref.]]="Dentro",DATOS_[Conc.Sal.18]))))),
0)</f>
        <v>0</v>
      </c>
      <c r="X10" s="93">
        <f t="array" ref="X10">IFERROR(
(AVERAGE((IF(DATOS_[[Sexo]:[Sexo]]=$B10,IF(DATOS_[[Check Periodo Ref.]:[Check Periodo Ref.]]="Dentro",DATOS_[Conc.Sal.19]))))),
0)</f>
        <v>0</v>
      </c>
      <c r="Y10" s="93">
        <f t="array" ref="Y10">IFERROR(
(AVERAGE((IF(DATOS_[[Sexo]:[Sexo]]=$B10,IF(DATOS_[[Check Periodo Ref.]:[Check Periodo Ref.]]="Dentro",DATOS_[Conc.Sal.20]))))),
0)</f>
        <v>0</v>
      </c>
      <c r="Z10" s="93">
        <f t="array" ref="Z10">IFERROR(
(AVERAGE((IF(DATOS_[[Sexo]:[Sexo]]=$B10,IF(DATOS_[[Check Periodo Ref.]:[Check Periodo Ref.]]="Dentro",DATOS_[Conc.Sal.21]))))),
0)</f>
        <v>0</v>
      </c>
      <c r="AA10" s="93">
        <f t="array" ref="AA10">IFERROR(
(AVERAGE((IF(DATOS_[[Sexo]:[Sexo]]=$B10,IF(DATOS_[[Check Periodo Ref.]:[Check Periodo Ref.]]="Dentro",DATOS_[Conc.Sal.22]))))),
0)</f>
        <v>0</v>
      </c>
      <c r="AB10" s="93">
        <f t="array" ref="AB10">IFERROR(
(AVERAGE((IF(DATOS_[[Sexo]:[Sexo]]=$B10,IF(DATOS_[[Check Periodo Ref.]:[Check Periodo Ref.]]="Dentro",DATOS_[Conc.Sal.23]))))),
0)</f>
        <v>0</v>
      </c>
      <c r="AC10" s="93">
        <f t="array" ref="AC10">IFERROR(
(AVERAGE((IF(DATOS_[[Sexo]:[Sexo]]=$B10,IF(DATOS_[[Check Periodo Ref.]:[Check Periodo Ref.]]="Dentro",DATOS_[Conc.Sal.24]))))),
0)</f>
        <v>0</v>
      </c>
      <c r="AD10" s="93">
        <f t="array" ref="AD10">IFERROR(
(AVERAGE((IF(DATOS_[[Sexo]:[Sexo]]=$B10,IF(DATOS_[[Check Periodo Ref.]:[Check Periodo Ref.]]="Dentro",DATOS_[Conc.Sal.25]))))),
0)</f>
        <v>0</v>
      </c>
      <c r="AE10" s="93">
        <f t="array" ref="AE10">IFERROR(
(AVERAGE((IF(DATOS_[[Sexo]:[Sexo]]=$B10,IF(DATOS_[[Check Periodo Ref.]:[Check Periodo Ref.]]="Dentro",DATOS_[Conc.Sal.26]))))),
0)</f>
        <v>0</v>
      </c>
      <c r="AF10" s="93">
        <f t="array" ref="AF10">IFERROR(
(AVERAGE((IF(DATOS_[[Sexo]:[Sexo]]=$B10,IF(DATOS_[[Check Periodo Ref.]:[Check Periodo Ref.]]="Dentro",DATOS_[Conc.Sal.27]))))),
0)</f>
        <v>0</v>
      </c>
      <c r="AG10" s="93">
        <f t="array" ref="AG10">IFERROR(
(AVERAGE((IF(DATOS_[[Sexo]:[Sexo]]=$B10,IF(DATOS_[[Check Periodo Ref.]:[Check Periodo Ref.]]="Dentro",DATOS_[Conc.Sal.28]))))),
0)</f>
        <v>0</v>
      </c>
      <c r="AH10" s="93">
        <f t="array" ref="AH10">IFERROR(
(AVERAGE((IF(DATOS_[[Sexo]:[Sexo]]=$B10,IF(DATOS_[[Check Periodo Ref.]:[Check Periodo Ref.]]="Dentro",DATOS_[Conc.Sal.29]))))),
0)</f>
        <v>0</v>
      </c>
      <c r="AI10" s="93">
        <f t="array" ref="AI10">IFERROR(
(AVERAGE((IF(DATOS_[[Sexo]:[Sexo]]=$B10,IF(DATOS_[[Check Periodo Ref.]:[Check Periodo Ref.]]="Dentro",DATOS_[Conc.Sal.30]))))),
0)</f>
        <v>0</v>
      </c>
      <c r="AJ10" s="94">
        <f t="array" ref="AJ10">IFERROR(
AVERAGE(IF(DATOS_[Sexo]=$B10,IF(DATOS_[Check Periodo Ref.]="Dentro",DATOS_[Tot COMPL.SAL Ef],FALSE))),
0)</f>
        <v>6020.1092152727342</v>
      </c>
      <c r="AK10" s="96">
        <f t="array" ref="AK10">IFERROR(
AVERAGE(IF(DATOS_[Sexo]=$B10,IF(DATOS_[Check Periodo Ref.]="Dentro",DATOS_[TOTAL SALARIO Ef],FALSE))),
0)</f>
        <v>18430.705136484859</v>
      </c>
      <c r="AL10" s="95">
        <f t="array" ref="AL10">IFERROR(
(AVERAGE((IF(DATOS_[[Sexo]:[Sexo]]=$B10,IF(DATOS_[[Check Periodo Ref.]:[Check Periodo Ref.]]="Dentro",DATOS_[C.Extra.01]))))),
0)</f>
        <v>58.909090909090907</v>
      </c>
      <c r="AM10" s="95">
        <f t="array" ref="AM10">IFERROR(
(AVERAGE((IF(DATOS_[[Sexo]:[Sexo]]=$B10,IF(DATOS_[[Check Periodo Ref.]:[Check Periodo Ref.]]="Dentro",DATOS_[C.Extra.02]))))),
0)</f>
        <v>0</v>
      </c>
      <c r="AN10" s="95">
        <f t="array" ref="AN10">IFERROR(
(AVERAGE((IF(DATOS_[[Sexo]:[Sexo]]=$B10,IF(DATOS_[[Check Periodo Ref.]:[Check Periodo Ref.]]="Dentro",DATOS_[C.Extra.03]))))),
0)</f>
        <v>49.090909090909093</v>
      </c>
      <c r="AO10" s="95">
        <f t="array" ref="AO10">IFERROR(
(AVERAGE((IF(DATOS_[[Sexo]:[Sexo]]=$B10,IF(DATOS_[[Check Periodo Ref.]:[Check Periodo Ref.]]="Dentro",DATOS_[C.Extra.04]))))),
0)</f>
        <v>43.354545454545452</v>
      </c>
      <c r="AP10" s="95">
        <f t="array" ref="AP10">IFERROR(
(AVERAGE((IF(DATOS_[[Sexo]:[Sexo]]=$B10,IF(DATOS_[[Check Periodo Ref.]:[Check Periodo Ref.]]="Dentro",DATOS_[C.Extra.05]))))),
0)</f>
        <v>0</v>
      </c>
      <c r="AQ10" s="97">
        <f t="array" ref="AQ10">IFERROR(
AVERAGE(IF(DATOS_[Sexo]=$B10,IF(DATOS_[Check Periodo Ref.]="Dentro",DATOS_[Tot Extrasalarial Ef],FALSE))),
0)</f>
        <v>151.35454545454544</v>
      </c>
      <c r="AR10" s="98">
        <f t="array" ref="AR10">IFERROR(
AVERAGE(IF(DATOS_[Sexo]=$B10,IF(DATOS_[Check Periodo Ref.]="Dentro",DATOS_[TOTAL Retrib Ef],FALSE))),
0)</f>
        <v>18582.059681939405</v>
      </c>
      <c r="AS10" s="344"/>
    </row>
    <row r="11" spans="1:47" s="309" customFormat="1" x14ac:dyDescent="0.3">
      <c r="B11" s="46" t="s">
        <v>163</v>
      </c>
      <c r="C11" s="45">
        <f t="array" ref="C11">SUM(IF($B11=DATOS_[Sexo],
IF("Dentro"=DATOS_[Check Periodo Ref.],
1/(COUNTIFS(DATOS_[Sexo],$B11,DATOS_[Check Periodo Ref.],"Dentro",DATOS_[id],DATOS_[id])))))</f>
        <v>106</v>
      </c>
      <c r="D11" s="47">
        <f>COUNTIFS(DATOS_[AGRUP. CLAS. PROF.],"&lt;&gt;",DATOS_[Sexo],$B11,DATOS_[Check Periodo Ref.],"Dentro")</f>
        <v>115</v>
      </c>
      <c r="E11" s="92">
        <f t="array" ref="E11">IFERROR(
AVERAGE(IF(DATOS_[Sexo]=$B11,IF(DATOS_[Check Periodo Ref.]="Dentro",DATOS_[SALARIO BASE Ef],FALSE))),
0)</f>
        <v>10962.400677536227</v>
      </c>
      <c r="F11" s="93">
        <f t="array" ref="F11">IFERROR(
(AVERAGE((IF(DATOS_[[Sexo]:[Sexo]]=$B11,IF(DATOS_[[Check Periodo Ref.]:[Check Periodo Ref.]]="Dentro",DATOS_[Conc.Sal.01]))))),
0)</f>
        <v>1228.585226811593</v>
      </c>
      <c r="G11" s="93">
        <f t="array" ref="G11">IFERROR(
(AVERAGE((IF(DATOS_[[Sexo]:[Sexo]]=$B11,IF(DATOS_[[Check Periodo Ref.]:[Check Periodo Ref.]]="Dentro",DATOS_[Conc.Sal.02]))))),
0)</f>
        <v>772.76158078260812</v>
      </c>
      <c r="H11" s="93">
        <f t="array" ref="H11">IFERROR(
(AVERAGE((IF(DATOS_[[Sexo]:[Sexo]]=$B11,IF(DATOS_[[Check Periodo Ref.]:[Check Periodo Ref.]]="Dentro",DATOS_[Conc.Sal.03]))))),
0)</f>
        <v>489.73913043478262</v>
      </c>
      <c r="I11" s="93">
        <f t="array" ref="I11">IFERROR(
(AVERAGE((IF(DATOS_[[Sexo]:[Sexo]]=$B11,IF(DATOS_[[Check Periodo Ref.]:[Check Periodo Ref.]]="Dentro",DATOS_[Conc.Sal.04]))))),
0)</f>
        <v>115.65217391304348</v>
      </c>
      <c r="J11" s="93">
        <f t="array" ref="J11">IFERROR(
(AVERAGE((IF(DATOS_[[Sexo]:[Sexo]]=$B11,IF(DATOS_[[Check Periodo Ref.]:[Check Periodo Ref.]]="Dentro",DATOS_[Conc.Sal.05]))))),
0)</f>
        <v>60.869565217391305</v>
      </c>
      <c r="K11" s="93">
        <f t="array" ref="K11">IFERROR(
(AVERAGE((IF(DATOS_[[Sexo]:[Sexo]]=$B11,IF(DATOS_[[Check Periodo Ref.]:[Check Periodo Ref.]]="Dentro",DATOS_[Conc.Sal.06]))))),
0)</f>
        <v>78.260869565217391</v>
      </c>
      <c r="L11" s="93">
        <f t="array" ref="L11">IFERROR(
(AVERAGE((IF(DATOS_[[Sexo]:[Sexo]]=$B11,IF(DATOS_[[Check Periodo Ref.]:[Check Periodo Ref.]]="Dentro",DATOS_[Conc.Sal.07]))))),
0)</f>
        <v>76.173913043478265</v>
      </c>
      <c r="M11" s="93">
        <f t="array" ref="M11">IFERROR(
(AVERAGE((IF(DATOS_[[Sexo]:[Sexo]]=$B11,IF(DATOS_[[Check Periodo Ref.]:[Check Periodo Ref.]]="Dentro",DATOS_[Conc.Sal.08]))))),
0)</f>
        <v>0</v>
      </c>
      <c r="N11" s="93">
        <f t="array" ref="N11">IFERROR(
(AVERAGE((IF(DATOS_[[Sexo]:[Sexo]]=$B11,IF(DATOS_[[Check Periodo Ref.]:[Check Periodo Ref.]]="Dentro",DATOS_[Conc.Sal.09]))))),
0)</f>
        <v>0</v>
      </c>
      <c r="O11" s="93">
        <f t="array" ref="O11">IFERROR(
(AVERAGE((IF(DATOS_[[Sexo]:[Sexo]]=$B11,IF(DATOS_[[Check Periodo Ref.]:[Check Periodo Ref.]]="Dentro",DATOS_[Conc.Sal.10]))))),
0)</f>
        <v>0</v>
      </c>
      <c r="P11" s="93">
        <f t="array" ref="P11">IFERROR(
(AVERAGE((IF(DATOS_[[Sexo]:[Sexo]]=$B11,IF(DATOS_[[Check Periodo Ref.]:[Check Periodo Ref.]]="Dentro",DATOS_[Conc.Sal.11]))))),
0)</f>
        <v>0</v>
      </c>
      <c r="Q11" s="93">
        <f t="array" ref="Q11">IFERROR(
(AVERAGE((IF(DATOS_[[Sexo]:[Sexo]]=$B11,IF(DATOS_[[Check Periodo Ref.]:[Check Periodo Ref.]]="Dentro",DATOS_[Conc.Sal.12]))))),
0)</f>
        <v>0</v>
      </c>
      <c r="R11" s="93">
        <f t="array" ref="R11">IFERROR(
(AVERAGE((IF(DATOS_[[Sexo]:[Sexo]]=$B11,IF(DATOS_[[Check Periodo Ref.]:[Check Periodo Ref.]]="Dentro",DATOS_[Conc.Sal.13]))))),
0)</f>
        <v>0</v>
      </c>
      <c r="S11" s="93">
        <f t="array" ref="S11">IFERROR(
(AVERAGE((IF(DATOS_[[Sexo]:[Sexo]]=$B11,IF(DATOS_[[Check Periodo Ref.]:[Check Periodo Ref.]]="Dentro",DATOS_[Conc.Sal.14]))))),
0)</f>
        <v>0</v>
      </c>
      <c r="T11" s="93">
        <f t="array" ref="T11">IFERROR(
(AVERAGE((IF(DATOS_[[Sexo]:[Sexo]]=$B11,IF(DATOS_[[Check Periodo Ref.]:[Check Periodo Ref.]]="Dentro",DATOS_[Conc.Sal.15]))))),
0)</f>
        <v>0</v>
      </c>
      <c r="U11" s="93">
        <f t="array" ref="U11">IFERROR(
(AVERAGE((IF(DATOS_[[Sexo]:[Sexo]]=$B11,IF(DATOS_[[Check Periodo Ref.]:[Check Periodo Ref.]]="Dentro",DATOS_[Conc.Sal.16]))))),
0)</f>
        <v>0</v>
      </c>
      <c r="V11" s="93">
        <f t="array" ref="V11">IFERROR(
(AVERAGE((IF(DATOS_[[Sexo]:[Sexo]]=$B11,IF(DATOS_[[Check Periodo Ref.]:[Check Periodo Ref.]]="Dentro",DATOS_[Conc.Sal.17]))))),
0)</f>
        <v>0</v>
      </c>
      <c r="W11" s="93">
        <f t="array" ref="W11">IFERROR(
(AVERAGE((IF(DATOS_[[Sexo]:[Sexo]]=$B11,IF(DATOS_[[Check Periodo Ref.]:[Check Periodo Ref.]]="Dentro",DATOS_[Conc.Sal.18]))))),
0)</f>
        <v>0</v>
      </c>
      <c r="X11" s="93">
        <f t="array" ref="X11">IFERROR(
(AVERAGE((IF(DATOS_[[Sexo]:[Sexo]]=$B11,IF(DATOS_[[Check Periodo Ref.]:[Check Periodo Ref.]]="Dentro",DATOS_[Conc.Sal.19]))))),
0)</f>
        <v>0</v>
      </c>
      <c r="Y11" s="93">
        <f t="array" ref="Y11">IFERROR(
(AVERAGE((IF(DATOS_[[Sexo]:[Sexo]]=$B11,IF(DATOS_[[Check Periodo Ref.]:[Check Periodo Ref.]]="Dentro",DATOS_[Conc.Sal.20]))))),
0)</f>
        <v>0</v>
      </c>
      <c r="Z11" s="93">
        <f t="array" ref="Z11">IFERROR(
(AVERAGE((IF(DATOS_[[Sexo]:[Sexo]]=$B11,IF(DATOS_[[Check Periodo Ref.]:[Check Periodo Ref.]]="Dentro",DATOS_[Conc.Sal.21]))))),
0)</f>
        <v>0</v>
      </c>
      <c r="AA11" s="93">
        <f t="array" ref="AA11">IFERROR(
(AVERAGE((IF(DATOS_[[Sexo]:[Sexo]]=$B11,IF(DATOS_[[Check Periodo Ref.]:[Check Periodo Ref.]]="Dentro",DATOS_[Conc.Sal.22]))))),
0)</f>
        <v>0</v>
      </c>
      <c r="AB11" s="93">
        <f t="array" ref="AB11">IFERROR(
(AVERAGE((IF(DATOS_[[Sexo]:[Sexo]]=$B11,IF(DATOS_[[Check Periodo Ref.]:[Check Periodo Ref.]]="Dentro",DATOS_[Conc.Sal.23]))))),
0)</f>
        <v>0</v>
      </c>
      <c r="AC11" s="93">
        <f t="array" ref="AC11">IFERROR(
(AVERAGE((IF(DATOS_[[Sexo]:[Sexo]]=$B11,IF(DATOS_[[Check Periodo Ref.]:[Check Periodo Ref.]]="Dentro",DATOS_[Conc.Sal.24]))))),
0)</f>
        <v>0</v>
      </c>
      <c r="AD11" s="93">
        <f t="array" ref="AD11">IFERROR(
(AVERAGE((IF(DATOS_[[Sexo]:[Sexo]]=$B11,IF(DATOS_[[Check Periodo Ref.]:[Check Periodo Ref.]]="Dentro",DATOS_[Conc.Sal.25]))))),
0)</f>
        <v>0</v>
      </c>
      <c r="AE11" s="93">
        <f t="array" ref="AE11">IFERROR(
(AVERAGE((IF(DATOS_[[Sexo]:[Sexo]]=$B11,IF(DATOS_[[Check Periodo Ref.]:[Check Periodo Ref.]]="Dentro",DATOS_[Conc.Sal.26]))))),
0)</f>
        <v>0</v>
      </c>
      <c r="AF11" s="93">
        <f t="array" ref="AF11">IFERROR(
(AVERAGE((IF(DATOS_[[Sexo]:[Sexo]]=$B11,IF(DATOS_[[Check Periodo Ref.]:[Check Periodo Ref.]]="Dentro",DATOS_[Conc.Sal.27]))))),
0)</f>
        <v>0</v>
      </c>
      <c r="AG11" s="93">
        <f t="array" ref="AG11">IFERROR(
(AVERAGE((IF(DATOS_[[Sexo]:[Sexo]]=$B11,IF(DATOS_[[Check Periodo Ref.]:[Check Periodo Ref.]]="Dentro",DATOS_[Conc.Sal.28]))))),
0)</f>
        <v>0</v>
      </c>
      <c r="AH11" s="93">
        <f t="array" ref="AH11">IFERROR(
(AVERAGE((IF(DATOS_[[Sexo]:[Sexo]]=$B11,IF(DATOS_[[Check Periodo Ref.]:[Check Periodo Ref.]]="Dentro",DATOS_[Conc.Sal.29]))))),
0)</f>
        <v>0</v>
      </c>
      <c r="AI11" s="93">
        <f t="array" ref="AI11">IFERROR(
(AVERAGE((IF(DATOS_[[Sexo]:[Sexo]]=$B11,IF(DATOS_[[Check Periodo Ref.]:[Check Periodo Ref.]]="Dentro",DATOS_[Conc.Sal.30]))))),
0)</f>
        <v>0</v>
      </c>
      <c r="AJ11" s="94">
        <f t="array" ref="AJ11">IFERROR(
AVERAGE(IF(DATOS_[Sexo]=$B11,IF(DATOS_[Check Periodo Ref.]="Dentro",DATOS_[Tot COMPL.SAL Ef],FALSE))),
0)</f>
        <v>2822.0424597681122</v>
      </c>
      <c r="AK11" s="96">
        <f t="array" ref="AK11">IFERROR(
AVERAGE(IF(DATOS_[Sexo]=$B11,IF(DATOS_[Check Periodo Ref.]="Dentro",DATOS_[TOTAL SALARIO Ef],FALSE))),
0)</f>
        <v>13784.443137304357</v>
      </c>
      <c r="AL11" s="95">
        <f t="array" ref="AL11">IFERROR(
(AVERAGE((IF(DATOS_[[Sexo]:[Sexo]]=$B11,IF(DATOS_[[Check Periodo Ref.]:[Check Periodo Ref.]]="Dentro",DATOS_[C.Extra.01]))))),
0)</f>
        <v>2.0869565217391304</v>
      </c>
      <c r="AM11" s="95">
        <f t="array" ref="AM11">IFERROR(
(AVERAGE((IF(DATOS_[[Sexo]:[Sexo]]=$B11,IF(DATOS_[[Check Periodo Ref.]:[Check Periodo Ref.]]="Dentro",DATOS_[C.Extra.02]))))),
0)</f>
        <v>0</v>
      </c>
      <c r="AN11" s="95">
        <f t="array" ref="AN11">IFERROR(
(AVERAGE((IF(DATOS_[[Sexo]:[Sexo]]=$B11,IF(DATOS_[[Check Periodo Ref.]:[Check Periodo Ref.]]="Dentro",DATOS_[C.Extra.03]))))),
0)</f>
        <v>62.608695652173914</v>
      </c>
      <c r="AO11" s="95">
        <f t="array" ref="AO11">IFERROR(
(AVERAGE((IF(DATOS_[[Sexo]:[Sexo]]=$B11,IF(DATOS_[[Check Periodo Ref.]:[Check Periodo Ref.]]="Dentro",DATOS_[C.Extra.04]))))),
0)</f>
        <v>0</v>
      </c>
      <c r="AP11" s="95">
        <f t="array" ref="AP11">IFERROR(
(AVERAGE((IF(DATOS_[[Sexo]:[Sexo]]=$B11,IF(DATOS_[[Check Periodo Ref.]:[Check Periodo Ref.]]="Dentro",DATOS_[C.Extra.05]))))),
0)</f>
        <v>0</v>
      </c>
      <c r="AQ11" s="97">
        <f t="array" ref="AQ11">IFERROR(
AVERAGE(IF(DATOS_[Sexo]=$B11,IF(DATOS_[Check Periodo Ref.]="Dentro",DATOS_[Tot Extrasalarial Ef],FALSE))),
0)</f>
        <v>64.695652173913047</v>
      </c>
      <c r="AR11" s="98">
        <f t="array" ref="AR11">IFERROR(
AVERAGE(IF(DATOS_[Sexo]=$B11,IF(DATOS_[Check Periodo Ref.]="Dentro",DATOS_[TOTAL Retrib Ef],FALSE))),
0)</f>
        <v>13849.138789478271</v>
      </c>
      <c r="AS11" s="344"/>
    </row>
    <row r="12" spans="1:47" s="309" customFormat="1" x14ac:dyDescent="0.3">
      <c r="B12" s="48"/>
      <c r="C12" s="48"/>
      <c r="D12" s="49"/>
      <c r="E12" s="48"/>
      <c r="F12" s="48"/>
      <c r="G12" s="48"/>
      <c r="H12" s="48"/>
      <c r="I12" s="48"/>
      <c r="J12" s="49"/>
      <c r="K12" s="50"/>
      <c r="L12" s="50"/>
      <c r="M12" s="50"/>
      <c r="N12" s="50"/>
      <c r="O12" s="50"/>
      <c r="P12" s="50"/>
      <c r="Q12" s="50"/>
      <c r="R12" s="50"/>
      <c r="S12" s="50"/>
      <c r="T12" s="50"/>
      <c r="U12" s="50"/>
      <c r="V12" s="49"/>
      <c r="W12" s="49"/>
      <c r="X12" s="49"/>
      <c r="Y12" s="49"/>
      <c r="Z12" s="49"/>
      <c r="AA12" s="49"/>
      <c r="AB12" s="49"/>
      <c r="AC12" s="49"/>
      <c r="AD12" s="49"/>
      <c r="AE12" s="49"/>
      <c r="AF12" s="49"/>
      <c r="AG12" s="49"/>
      <c r="AH12" s="49"/>
      <c r="AI12" s="49"/>
      <c r="AJ12" s="48"/>
      <c r="AK12" s="48"/>
      <c r="AL12" s="50"/>
      <c r="AM12" s="50"/>
      <c r="AN12" s="50"/>
      <c r="AO12" s="50"/>
      <c r="AP12" s="50"/>
      <c r="AQ12" s="48"/>
      <c r="AR12" s="48"/>
    </row>
    <row r="13" spans="1:47" s="309" customFormat="1" x14ac:dyDescent="0.3">
      <c r="B13" s="48"/>
      <c r="C13" s="48"/>
      <c r="D13" s="49"/>
      <c r="E13" s="48"/>
      <c r="F13" s="48"/>
      <c r="G13" s="48"/>
      <c r="H13" s="48"/>
      <c r="I13" s="48"/>
      <c r="J13" s="49"/>
      <c r="K13" s="50"/>
      <c r="L13" s="50"/>
      <c r="M13" s="50"/>
      <c r="N13" s="50"/>
      <c r="O13" s="50"/>
      <c r="P13" s="50"/>
      <c r="Q13" s="50"/>
      <c r="R13" s="50"/>
      <c r="S13" s="50"/>
      <c r="T13" s="50"/>
      <c r="U13" s="50"/>
      <c r="V13" s="49"/>
      <c r="W13" s="49"/>
      <c r="X13" s="49"/>
      <c r="Y13" s="49"/>
      <c r="Z13" s="49"/>
      <c r="AA13" s="49"/>
      <c r="AB13" s="49"/>
      <c r="AC13" s="49"/>
      <c r="AD13" s="49"/>
      <c r="AE13" s="49"/>
      <c r="AF13" s="49"/>
      <c r="AG13" s="49"/>
      <c r="AH13" s="49"/>
      <c r="AI13" s="49"/>
      <c r="AJ13" s="48"/>
      <c r="AK13" s="48"/>
      <c r="AL13" s="50"/>
      <c r="AM13" s="50"/>
      <c r="AN13" s="50"/>
      <c r="AO13" s="50"/>
      <c r="AP13" s="50"/>
      <c r="AQ13" s="48"/>
      <c r="AR13" s="48"/>
    </row>
    <row r="14" spans="1:47" s="308" customFormat="1" ht="46.15" customHeight="1" x14ac:dyDescent="0.25">
      <c r="B14" s="43"/>
      <c r="C14" s="43" t="s">
        <v>225</v>
      </c>
      <c r="D14" s="43" t="s">
        <v>220</v>
      </c>
      <c r="E14" s="44" t="s">
        <v>223</v>
      </c>
      <c r="F14" s="178" t="str">
        <f>+F8</f>
        <v>MejVol</v>
      </c>
      <c r="G14" s="178" t="str">
        <f t="shared" ref="G14:AI14" si="3">+G8</f>
        <v>Antig.</v>
      </c>
      <c r="H14" s="178" t="str">
        <f t="shared" si="3"/>
        <v>Transporte</v>
      </c>
      <c r="I14" s="178" t="str">
        <f t="shared" si="3"/>
        <v>Ventas</v>
      </c>
      <c r="J14" s="178" t="str">
        <f t="shared" si="3"/>
        <v>Bonus</v>
      </c>
      <c r="K14" s="178" t="str">
        <f t="shared" si="3"/>
        <v>Coche</v>
      </c>
      <c r="L14" s="178" t="str">
        <f t="shared" si="3"/>
        <v>Cesta</v>
      </c>
      <c r="M14" s="178" t="str">
        <f t="shared" si="3"/>
        <v>Nocturnidad</v>
      </c>
      <c r="N14" s="178" t="str">
        <f t="shared" si="3"/>
        <v>[ocultar]</v>
      </c>
      <c r="O14" s="178" t="str">
        <f t="shared" si="3"/>
        <v>[ocultar]</v>
      </c>
      <c r="P14" s="178" t="str">
        <f t="shared" si="3"/>
        <v>[ocultar]</v>
      </c>
      <c r="Q14" s="178" t="str">
        <f t="shared" si="3"/>
        <v>[ocultar]</v>
      </c>
      <c r="R14" s="178" t="str">
        <f t="shared" si="3"/>
        <v>[ocultar]</v>
      </c>
      <c r="S14" s="178" t="str">
        <f t="shared" si="3"/>
        <v>[ocultar]</v>
      </c>
      <c r="T14" s="178" t="str">
        <f t="shared" si="3"/>
        <v>[ocultar]</v>
      </c>
      <c r="U14" s="178" t="str">
        <f t="shared" si="3"/>
        <v>[ocultar]</v>
      </c>
      <c r="V14" s="178" t="str">
        <f t="shared" si="3"/>
        <v>[ocultar]</v>
      </c>
      <c r="W14" s="178" t="str">
        <f t="shared" si="3"/>
        <v>[ocultar]</v>
      </c>
      <c r="X14" s="178" t="str">
        <f t="shared" si="3"/>
        <v>[ocultar]</v>
      </c>
      <c r="Y14" s="178" t="str">
        <f t="shared" si="3"/>
        <v>[ocultar]</v>
      </c>
      <c r="Z14" s="178" t="str">
        <f t="shared" si="3"/>
        <v>[ocultar]</v>
      </c>
      <c r="AA14" s="178" t="str">
        <f t="shared" si="3"/>
        <v>[ocultar]</v>
      </c>
      <c r="AB14" s="178" t="str">
        <f t="shared" si="3"/>
        <v>[ocultar]</v>
      </c>
      <c r="AC14" s="178" t="str">
        <f t="shared" si="3"/>
        <v>[ocultar]</v>
      </c>
      <c r="AD14" s="178" t="str">
        <f t="shared" si="3"/>
        <v>[ocultar]</v>
      </c>
      <c r="AE14" s="178" t="str">
        <f t="shared" si="3"/>
        <v>[ocultar]</v>
      </c>
      <c r="AF14" s="178" t="str">
        <f t="shared" si="3"/>
        <v>[ocultar]</v>
      </c>
      <c r="AG14" s="178" t="str">
        <f t="shared" si="3"/>
        <v>[ocultar]</v>
      </c>
      <c r="AH14" s="178" t="str">
        <f t="shared" si="3"/>
        <v>[ocultar]</v>
      </c>
      <c r="AI14" s="178" t="str">
        <f t="shared" si="3"/>
        <v>[ocultar]</v>
      </c>
      <c r="AJ14" s="69" t="s">
        <v>221</v>
      </c>
      <c r="AK14" s="70" t="s">
        <v>213</v>
      </c>
      <c r="AL14" s="183" t="str">
        <f>+AL8</f>
        <v>Dietas</v>
      </c>
      <c r="AM14" s="183" t="str">
        <f t="shared" ref="AM14:AP14" si="4">+AM8</f>
        <v>Indem</v>
      </c>
      <c r="AN14" s="183" t="str">
        <f t="shared" si="4"/>
        <v>ERTE</v>
      </c>
      <c r="AO14" s="183" t="str">
        <f t="shared" si="4"/>
        <v>IT</v>
      </c>
      <c r="AP14" s="183" t="str">
        <f t="shared" si="4"/>
        <v>[ocultar]</v>
      </c>
      <c r="AQ14" s="71" t="s">
        <v>222</v>
      </c>
      <c r="AR14" s="72" t="s">
        <v>214</v>
      </c>
    </row>
    <row r="15" spans="1:47" s="309" customFormat="1" ht="17.25" thickBot="1" x14ac:dyDescent="0.35">
      <c r="A15" s="309" t="str">
        <f>+A16</f>
        <v/>
      </c>
      <c r="B15" s="51" t="s">
        <v>298</v>
      </c>
      <c r="C15" s="91"/>
      <c r="D15" s="52"/>
      <c r="E15" s="139">
        <f t="shared" ref="E15" si="5">IFERROR((E16-E17)/E16,"")</f>
        <v>0.23076923076923073</v>
      </c>
      <c r="F15" s="310">
        <f>IFERROR((F16-F17)/F16,"")</f>
        <v>0.51410029349769837</v>
      </c>
      <c r="G15" s="180">
        <f t="shared" ref="G15:AR15" si="6">IFERROR((G16-G17)/G16,"")</f>
        <v>0.15730337078651685</v>
      </c>
      <c r="H15" s="180" t="str">
        <f t="shared" si="6"/>
        <v/>
      </c>
      <c r="I15" s="180">
        <f t="shared" si="6"/>
        <v>-0.24299065420560748</v>
      </c>
      <c r="J15" s="181">
        <f t="shared" si="6"/>
        <v>0.7407407407407407</v>
      </c>
      <c r="K15" s="182">
        <f t="shared" si="6"/>
        <v>0.48275862068965519</v>
      </c>
      <c r="L15" s="182">
        <f t="shared" si="6"/>
        <v>0.125</v>
      </c>
      <c r="M15" s="182" t="str">
        <f t="shared" si="6"/>
        <v/>
      </c>
      <c r="N15" s="182" t="str">
        <f t="shared" si="6"/>
        <v/>
      </c>
      <c r="O15" s="182" t="str">
        <f t="shared" si="6"/>
        <v/>
      </c>
      <c r="P15" s="182" t="str">
        <f t="shared" si="6"/>
        <v/>
      </c>
      <c r="Q15" s="182" t="str">
        <f t="shared" si="6"/>
        <v/>
      </c>
      <c r="R15" s="182" t="str">
        <f t="shared" si="6"/>
        <v/>
      </c>
      <c r="S15" s="182" t="str">
        <f t="shared" si="6"/>
        <v/>
      </c>
      <c r="T15" s="182" t="str">
        <f t="shared" si="6"/>
        <v/>
      </c>
      <c r="U15" s="182" t="str">
        <f t="shared" si="6"/>
        <v/>
      </c>
      <c r="V15" s="181" t="str">
        <f t="shared" si="6"/>
        <v/>
      </c>
      <c r="W15" s="181" t="str">
        <f t="shared" si="6"/>
        <v/>
      </c>
      <c r="X15" s="181" t="str">
        <f t="shared" si="6"/>
        <v/>
      </c>
      <c r="Y15" s="181" t="str">
        <f t="shared" si="6"/>
        <v/>
      </c>
      <c r="Z15" s="181" t="str">
        <f t="shared" si="6"/>
        <v/>
      </c>
      <c r="AA15" s="181" t="str">
        <f t="shared" si="6"/>
        <v/>
      </c>
      <c r="AB15" s="181" t="str">
        <f t="shared" si="6"/>
        <v/>
      </c>
      <c r="AC15" s="181" t="str">
        <f t="shared" si="6"/>
        <v/>
      </c>
      <c r="AD15" s="181" t="str">
        <f t="shared" si="6"/>
        <v/>
      </c>
      <c r="AE15" s="181" t="str">
        <f t="shared" si="6"/>
        <v/>
      </c>
      <c r="AF15" s="181" t="str">
        <f t="shared" si="6"/>
        <v/>
      </c>
      <c r="AG15" s="181" t="str">
        <f t="shared" si="6"/>
        <v/>
      </c>
      <c r="AH15" s="181" t="str">
        <f t="shared" si="6"/>
        <v/>
      </c>
      <c r="AI15" s="181" t="str">
        <f t="shared" si="6"/>
        <v/>
      </c>
      <c r="AJ15" s="140">
        <f t="shared" si="6"/>
        <v>0.48217465368082485</v>
      </c>
      <c r="AK15" s="143">
        <f t="shared" si="6"/>
        <v>0.38913254465770891</v>
      </c>
      <c r="AL15" s="184">
        <f t="shared" si="6"/>
        <v>1</v>
      </c>
      <c r="AM15" s="184" t="str">
        <f t="shared" si="6"/>
        <v/>
      </c>
      <c r="AN15" s="184" t="str">
        <f t="shared" si="6"/>
        <v/>
      </c>
      <c r="AO15" s="184" t="str">
        <f t="shared" si="6"/>
        <v/>
      </c>
      <c r="AP15" s="184" t="str">
        <f t="shared" si="6"/>
        <v/>
      </c>
      <c r="AQ15" s="141">
        <f t="shared" si="6"/>
        <v>1</v>
      </c>
      <c r="AR15" s="142">
        <f t="shared" si="6"/>
        <v>0.39836699122438846</v>
      </c>
    </row>
    <row r="16" spans="1:47" s="309" customFormat="1" x14ac:dyDescent="0.3">
      <c r="A16" s="309" t="str">
        <f>+IF(C16+C17=0,"[ocultar]","")</f>
        <v/>
      </c>
      <c r="B16" s="46" t="s">
        <v>162</v>
      </c>
      <c r="C16" s="45">
        <f t="array" ref="C16">SUM(IF($B16=DATOS_[Sexo],
IF($B15=DATOS_[AGRUP. CLAS. PROF.],
IF("Dentro"=DATOS_[Check Periodo Ref.],
1/(COUNTIFS(DATOS_[Sexo],$B16,DATOS_[AGRUP. CLAS. PROF.],$B15,DATOS_[Check Periodo Ref.],"Dentro",DATOS_[id],DATOS_[id]))))))</f>
        <v>8</v>
      </c>
      <c r="D16" s="47">
        <f>COUNTIFS(DATOS_[AGRUP. CLAS. PROF.],$B15,DATOS_[Sexo],$B16,DATOS_[Check Periodo Ref.],"Dentro")</f>
        <v>8</v>
      </c>
      <c r="E16" s="92">
        <f t="array" ref="E16">IFERROR(
AVERAGE(IF(DATOS_[Sexo]=$B16,IF(DATOS_[AGRUP. CLAS. PROF.]=$B15,IF(DATOS_[Check Periodo Ref.]="Dentro",DATOS_[SALARIO BASE Ef],FALSE)))),
0)</f>
        <v>18083.685749999997</v>
      </c>
      <c r="F16" s="93">
        <f t="array" ref="F16">IFERROR(
AVERAGE((IF(DATOS_[[Sexo]:[Sexo]]=$B16,IF(DATOS_[[AGRUP. CLAS. PROF.]:[AGRUP. CLAS. PROF.]]=$B15,IF(DATOS_[[Check Periodo Ref.]:[Check Periodo Ref.]]="Dentro",DATOS_[Conc.Sal.01]))))),
0)</f>
        <v>22041.314250000003</v>
      </c>
      <c r="G16" s="93">
        <f t="array" ref="G16">IFERROR(
AVERAGE((IF(DATOS_[[Sexo]:[Sexo]]=$B16,IF(DATOS_[[AGRUP. CLAS. PROF.]:[AGRUP. CLAS. PROF.]]=$B15,IF(DATOS_[[Check Periodo Ref.]:[Check Periodo Ref.]]="Dentro",DATOS_[Conc.Sal.02]))))),
0)</f>
        <v>1650.7159300000001</v>
      </c>
      <c r="H16" s="93">
        <f t="array" ref="H16">IFERROR(
AVERAGE((IF(DATOS_[[Sexo]:[Sexo]]=$B16,IF(DATOS_[[AGRUP. CLAS. PROF.]:[AGRUP. CLAS. PROF.]]=$B15,IF(DATOS_[[Check Periodo Ref.]:[Check Periodo Ref.]]="Dentro",DATOS_[Conc.Sal.03]))))),
0)</f>
        <v>0</v>
      </c>
      <c r="I16" s="93">
        <f t="array" ref="I16">IFERROR(
AVERAGE((IF(DATOS_[[Sexo]:[Sexo]]=$B16,IF(DATOS_[[AGRUP. CLAS. PROF.]:[AGRUP. CLAS. PROF.]]=$B15,IF(DATOS_[[Check Periodo Ref.]:[Check Periodo Ref.]]="Dentro",DATOS_[Conc.Sal.04]))))),
0)</f>
        <v>1337.5</v>
      </c>
      <c r="J16" s="93">
        <f t="array" ref="J16">IFERROR(
AVERAGE((IF(DATOS_[[Sexo]:[Sexo]]=$B16,IF(DATOS_[[AGRUP. CLAS. PROF.]:[AGRUP. CLAS. PROF.]]=$B15,IF(DATOS_[[Check Periodo Ref.]:[Check Periodo Ref.]]="Dentro",DATOS_[Conc.Sal.05]))))),
0)</f>
        <v>3375</v>
      </c>
      <c r="K16" s="93">
        <f t="array" ref="K16">IFERROR(
AVERAGE((IF(DATOS_[[Sexo]:[Sexo]]=$B16,IF(DATOS_[[AGRUP. CLAS. PROF.]:[AGRUP. CLAS. PROF.]]=$B15,IF(DATOS_[[Check Periodo Ref.]:[Check Periodo Ref.]]="Dentro",DATOS_[Conc.Sal.06]))))),
0)</f>
        <v>2175</v>
      </c>
      <c r="L16" s="93">
        <f t="array" ref="L16">IFERROR(
AVERAGE((IF(DATOS_[[Sexo]:[Sexo]]=$B16,IF(DATOS_[[AGRUP. CLAS. PROF.]:[AGRUP. CLAS. PROF.]]=$B15,IF(DATOS_[[Check Periodo Ref.]:[Check Periodo Ref.]]="Dentro",DATOS_[Conc.Sal.07]))))),
0)</f>
        <v>200</v>
      </c>
      <c r="M16" s="93">
        <f t="array" ref="M16">IFERROR(
AVERAGE((IF(DATOS_[[Sexo]:[Sexo]]=$B16,IF(DATOS_[[AGRUP. CLAS. PROF.]:[AGRUP. CLAS. PROF.]]=$B15,IF(DATOS_[[Check Periodo Ref.]:[Check Periodo Ref.]]="Dentro",DATOS_[Conc.Sal.08]))))),
0)</f>
        <v>0</v>
      </c>
      <c r="N16" s="93">
        <f t="array" ref="N16">IFERROR(
AVERAGE((IF(DATOS_[[Sexo]:[Sexo]]=$B16,IF(DATOS_[[AGRUP. CLAS. PROF.]:[AGRUP. CLAS. PROF.]]=$B15,IF(DATOS_[[Check Periodo Ref.]:[Check Periodo Ref.]]="Dentro",DATOS_[Conc.Sal.09]))))),
0)</f>
        <v>0</v>
      </c>
      <c r="O16" s="93">
        <f t="array" ref="O16">IFERROR(
AVERAGE((IF(DATOS_[[Sexo]:[Sexo]]=$B16,IF(DATOS_[[AGRUP. CLAS. PROF.]:[AGRUP. CLAS. PROF.]]=$B15,IF(DATOS_[[Check Periodo Ref.]:[Check Periodo Ref.]]="Dentro",DATOS_[Conc.Sal.10]))))),
0)</f>
        <v>0</v>
      </c>
      <c r="P16" s="93">
        <f t="array" ref="P16">IFERROR(
AVERAGE((IF(DATOS_[[Sexo]:[Sexo]]=$B16,IF(DATOS_[[AGRUP. CLAS. PROF.]:[AGRUP. CLAS. PROF.]]=$B15,IF(DATOS_[[Check Periodo Ref.]:[Check Periodo Ref.]]="Dentro",DATOS_[Conc.Sal.11]))))),
0)</f>
        <v>0</v>
      </c>
      <c r="Q16" s="93">
        <f t="array" ref="Q16">IFERROR(
AVERAGE((IF(DATOS_[[Sexo]:[Sexo]]=$B16,IF(DATOS_[[AGRUP. CLAS. PROF.]:[AGRUP. CLAS. PROF.]]=$B15,IF(DATOS_[[Check Periodo Ref.]:[Check Periodo Ref.]]="Dentro",DATOS_[Conc.Sal.12]))))),
0)</f>
        <v>0</v>
      </c>
      <c r="R16" s="93">
        <f t="array" ref="R16">IFERROR(
AVERAGE((IF(DATOS_[[Sexo]:[Sexo]]=$B16,IF(DATOS_[[AGRUP. CLAS. PROF.]:[AGRUP. CLAS. PROF.]]=$B15,IF(DATOS_[[Check Periodo Ref.]:[Check Periodo Ref.]]="Dentro",DATOS_[Conc.Sal.13]))))),
0)</f>
        <v>0</v>
      </c>
      <c r="S16" s="93">
        <f t="array" ref="S16">IFERROR(
AVERAGE((IF(DATOS_[[Sexo]:[Sexo]]=$B16,IF(DATOS_[[AGRUP. CLAS. PROF.]:[AGRUP. CLAS. PROF.]]=$B15,IF(DATOS_[[Check Periodo Ref.]:[Check Periodo Ref.]]="Dentro",DATOS_[Conc.Sal.14]))))),
0)</f>
        <v>0</v>
      </c>
      <c r="T16" s="93">
        <f t="array" ref="T16">IFERROR(
AVERAGE((IF(DATOS_[[Sexo]:[Sexo]]=$B16,IF(DATOS_[[AGRUP. CLAS. PROF.]:[AGRUP. CLAS. PROF.]]=$B15,IF(DATOS_[[Check Periodo Ref.]:[Check Periodo Ref.]]="Dentro",DATOS_[Conc.Sal.15]))))),
0)</f>
        <v>0</v>
      </c>
      <c r="U16" s="93">
        <f t="array" ref="U16">IFERROR(
AVERAGE((IF(DATOS_[[Sexo]:[Sexo]]=$B16,IF(DATOS_[[AGRUP. CLAS. PROF.]:[AGRUP. CLAS. PROF.]]=$B15,IF(DATOS_[[Check Periodo Ref.]:[Check Periodo Ref.]]="Dentro",DATOS_[Conc.Sal.16]))))),
0)</f>
        <v>0</v>
      </c>
      <c r="V16" s="93">
        <f t="array" ref="V16">IFERROR(
AVERAGE((IF(DATOS_[[Sexo]:[Sexo]]=$B16,IF(DATOS_[[AGRUP. CLAS. PROF.]:[AGRUP. CLAS. PROF.]]=$B15,IF(DATOS_[[Check Periodo Ref.]:[Check Periodo Ref.]]="Dentro",DATOS_[Conc.Sal.17]))))),
0)</f>
        <v>0</v>
      </c>
      <c r="W16" s="93">
        <f t="array" ref="W16">IFERROR(
AVERAGE((IF(DATOS_[[Sexo]:[Sexo]]=$B16,IF(DATOS_[[AGRUP. CLAS. PROF.]:[AGRUP. CLAS. PROF.]]=$B15,IF(DATOS_[[Check Periodo Ref.]:[Check Periodo Ref.]]="Dentro",DATOS_[Conc.Sal.18]))))),
0)</f>
        <v>0</v>
      </c>
      <c r="X16" s="93">
        <f t="array" ref="X16">IFERROR(
AVERAGE((IF(DATOS_[[Sexo]:[Sexo]]=$B16,IF(DATOS_[[AGRUP. CLAS. PROF.]:[AGRUP. CLAS. PROF.]]=$B15,IF(DATOS_[[Check Periodo Ref.]:[Check Periodo Ref.]]="Dentro",DATOS_[Conc.Sal.19]))))),
0)</f>
        <v>0</v>
      </c>
      <c r="Y16" s="93">
        <f t="array" ref="Y16">IFERROR(
AVERAGE((IF(DATOS_[[Sexo]:[Sexo]]=$B16,IF(DATOS_[[AGRUP. CLAS. PROF.]:[AGRUP. CLAS. PROF.]]=$B15,IF(DATOS_[[Check Periodo Ref.]:[Check Periodo Ref.]]="Dentro",DATOS_[Conc.Sal.20]))))),
0)</f>
        <v>0</v>
      </c>
      <c r="Z16" s="93">
        <f t="array" ref="Z16">IFERROR(
AVERAGE((IF(DATOS_[[Sexo]:[Sexo]]=$B16,IF(DATOS_[[AGRUP. CLAS. PROF.]:[AGRUP. CLAS. PROF.]]=$B15,IF(DATOS_[[Check Periodo Ref.]:[Check Periodo Ref.]]="Dentro",DATOS_[Conc.Sal.21]))))),
0)</f>
        <v>0</v>
      </c>
      <c r="AA16" s="93">
        <f t="array" ref="AA16">IFERROR(
AVERAGE((IF(DATOS_[[Sexo]:[Sexo]]=$B16,IF(DATOS_[[AGRUP. CLAS. PROF.]:[AGRUP. CLAS. PROF.]]=$B15,IF(DATOS_[[Check Periodo Ref.]:[Check Periodo Ref.]]="Dentro",DATOS_[Conc.Sal.22]))))),
0)</f>
        <v>0</v>
      </c>
      <c r="AB16" s="93">
        <f t="array" ref="AB16">IFERROR(
AVERAGE((IF(DATOS_[[Sexo]:[Sexo]]=$B16,IF(DATOS_[[AGRUP. CLAS. PROF.]:[AGRUP. CLAS. PROF.]]=$B15,IF(DATOS_[[Check Periodo Ref.]:[Check Periodo Ref.]]="Dentro",DATOS_[Conc.Sal.23]))))),
0)</f>
        <v>0</v>
      </c>
      <c r="AC16" s="93">
        <f t="array" ref="AC16">IFERROR(
AVERAGE((IF(DATOS_[[Sexo]:[Sexo]]=$B16,IF(DATOS_[[AGRUP. CLAS. PROF.]:[AGRUP. CLAS. PROF.]]=$B15,IF(DATOS_[[Check Periodo Ref.]:[Check Periodo Ref.]]="Dentro",DATOS_[Conc.Sal.24]))))),
0)</f>
        <v>0</v>
      </c>
      <c r="AD16" s="93">
        <f t="array" ref="AD16">IFERROR(
AVERAGE((IF(DATOS_[[Sexo]:[Sexo]]=$B16,IF(DATOS_[[AGRUP. CLAS. PROF.]:[AGRUP. CLAS. PROF.]]=$B15,IF(DATOS_[[Check Periodo Ref.]:[Check Periodo Ref.]]="Dentro",DATOS_[Conc.Sal.25]))))),
0)</f>
        <v>0</v>
      </c>
      <c r="AE16" s="93">
        <f t="array" ref="AE16">IFERROR(
AVERAGE((IF(DATOS_[[Sexo]:[Sexo]]=$B16,IF(DATOS_[[AGRUP. CLAS. PROF.]:[AGRUP. CLAS. PROF.]]=$B15,IF(DATOS_[[Check Periodo Ref.]:[Check Periodo Ref.]]="Dentro",DATOS_[Conc.Sal.26]))))),
0)</f>
        <v>0</v>
      </c>
      <c r="AF16" s="93">
        <f t="array" ref="AF16">IFERROR(
AVERAGE((IF(DATOS_[[Sexo]:[Sexo]]=$B16,IF(DATOS_[[AGRUP. CLAS. PROF.]:[AGRUP. CLAS. PROF.]]=$B15,IF(DATOS_[[Check Periodo Ref.]:[Check Periodo Ref.]]="Dentro",DATOS_[Conc.Sal.27]))))),
0)</f>
        <v>0</v>
      </c>
      <c r="AG16" s="93">
        <f t="array" ref="AG16">IFERROR(
AVERAGE((IF(DATOS_[[Sexo]:[Sexo]]=$B16,IF(DATOS_[[AGRUP. CLAS. PROF.]:[AGRUP. CLAS. PROF.]]=$B15,IF(DATOS_[[Check Periodo Ref.]:[Check Periodo Ref.]]="Dentro",DATOS_[Conc.Sal.28]))))),
0)</f>
        <v>0</v>
      </c>
      <c r="AH16" s="93">
        <f t="array" ref="AH16">IFERROR(
AVERAGE((IF(DATOS_[[Sexo]:[Sexo]]=$B16,IF(DATOS_[[AGRUP. CLAS. PROF.]:[AGRUP. CLAS. PROF.]]=$B15,IF(DATOS_[[Check Periodo Ref.]:[Check Periodo Ref.]]="Dentro",DATOS_[Conc.Sal.29]))))),
0)</f>
        <v>0</v>
      </c>
      <c r="AI16" s="93">
        <f t="array" ref="AI16">IFERROR(
AVERAGE((IF(DATOS_[[Sexo]:[Sexo]]=$B16,IF(DATOS_[[AGRUP. CLAS. PROF.]:[AGRUP. CLAS. PROF.]]=$B15,IF(DATOS_[[Check Periodo Ref.]:[Check Periodo Ref.]]="Dentro",DATOS_[Conc.Sal.30]))))),
0)</f>
        <v>0</v>
      </c>
      <c r="AJ16" s="94">
        <f t="array" ref="AJ16">IFERROR(
AVERAGE(IF(DATOS_[Sexo]=$B16,IF(DATOS_[AGRUP. CLAS. PROF.]=$B15,IF(DATOS_[Check Periodo Ref.]="Dentro",DATOS_[Tot COMPL.SAL Ef],FALSE)))),
0)</f>
        <v>30779.530179999998</v>
      </c>
      <c r="AK16" s="96">
        <f t="array" ref="AK16">IFERROR(
AVERAGE(IF(DATOS_[Sexo]=$B16,IF(DATOS_[AGRUP. CLAS. PROF.]=$B15,IF(DATOS_[Check Periodo Ref.]="Dentro",DATOS_[TOTAL SALARIO Ef],FALSE)))),
0)</f>
        <v>48863.215929999998</v>
      </c>
      <c r="AL16" s="95">
        <f t="array" ref="AL16">IFERROR(
AVERAGE((IF(DATOS_[[Sexo]:[Sexo]]=$B16,IF(DATOS_[[AGRUP. CLAS. PROF.]:[AGRUP. CLAS. PROF.]]=$B15,IF(DATOS_[[Check Periodo Ref.]:[Check Periodo Ref.]]="Dentro",DATOS_[C.Extra.01]))))),
0)</f>
        <v>750</v>
      </c>
      <c r="AM16" s="95">
        <f t="array" ref="AM16">IFERROR(
AVERAGE((IF(DATOS_[[Sexo]:[Sexo]]=$B16,IF(DATOS_[[AGRUP. CLAS. PROF.]:[AGRUP. CLAS. PROF.]]=$B15,IF(DATOS_[[Check Periodo Ref.]:[Check Periodo Ref.]]="Dentro",DATOS_[C.Extra.02]))))),
0)</f>
        <v>0</v>
      </c>
      <c r="AN16" s="95">
        <f t="array" ref="AN16">IFERROR(
AVERAGE((IF(DATOS_[[Sexo]:[Sexo]]=$B16,IF(DATOS_[[AGRUP. CLAS. PROF.]:[AGRUP. CLAS. PROF.]]=$B15,IF(DATOS_[[Check Periodo Ref.]:[Check Periodo Ref.]]="Dentro",DATOS_[C.Extra.03]))))),
0)</f>
        <v>0</v>
      </c>
      <c r="AO16" s="95">
        <f t="array" ref="AO16">IFERROR(
AVERAGE((IF(DATOS_[[Sexo]:[Sexo]]=$B16,IF(DATOS_[[AGRUP. CLAS. PROF.]:[AGRUP. CLAS. PROF.]]=$B15,IF(DATOS_[[Check Periodo Ref.]:[Check Periodo Ref.]]="Dentro",DATOS_[C.Extra.04]))))),
0)</f>
        <v>0</v>
      </c>
      <c r="AP16" s="95">
        <f t="array" ref="AP16">IFERROR(
AVERAGE((IF(DATOS_[[Sexo]:[Sexo]]=$B16,IF(DATOS_[[AGRUP. CLAS. PROF.]:[AGRUP. CLAS. PROF.]]=$B15,IF(DATOS_[[Check Periodo Ref.]:[Check Periodo Ref.]]="Dentro",DATOS_[C.Extra.05]))))),
0)</f>
        <v>0</v>
      </c>
      <c r="AQ16" s="97">
        <f t="array" ref="AQ16">IFERROR(
AVERAGE(IF(DATOS_[Sexo]=$B16,IF(DATOS_[AGRUP. CLAS. PROF.]=$B15,IF(DATOS_[Check Periodo Ref.]="Dentro",DATOS_[Tot Extrasalarial Ef],FALSE)))),
0)</f>
        <v>750</v>
      </c>
      <c r="AR16" s="98">
        <f t="array" ref="AR16">IFERROR(
AVERAGE(IF(DATOS_[Sexo]=$B16,IF(DATOS_[AGRUP. CLAS. PROF.]=$B15,IF(DATOS_[Check Periodo Ref.]="Dentro",DATOS_[TOTAL Retrib Ef],FALSE)))),
0)</f>
        <v>49613.215929999998</v>
      </c>
    </row>
    <row r="17" spans="1:44" s="309" customFormat="1" x14ac:dyDescent="0.3">
      <c r="A17" s="309" t="str">
        <f>+A16</f>
        <v/>
      </c>
      <c r="B17" s="46" t="s">
        <v>163</v>
      </c>
      <c r="C17" s="45">
        <f t="array" ref="C17">SUM(IF($B17=DATOS_[Sexo],
IF($B15=DATOS_[AGRUP. CLAS. PROF.],
IF("Dentro"=DATOS_[Check Periodo Ref.],
1/(COUNTIFS(DATOS_[Sexo],$B17,DATOS_[AGRUP. CLAS. PROF.],$B15,DATOS_[Check Periodo Ref.],"Dentro",DATOS_[id],DATOS_[id]))))))</f>
        <v>7</v>
      </c>
      <c r="D17" s="47">
        <f>COUNTIFS(DATOS_[AGRUP. CLAS. PROF.],$B15,DATOS_[Sexo],$B17,DATOS_[Check Periodo Ref.],"Dentro")</f>
        <v>8</v>
      </c>
      <c r="E17" s="92">
        <f t="array" ref="E17">IFERROR(
AVERAGE(IF(DATOS_[Sexo]=$B17,IF(DATOS_[AGRUP. CLAS. PROF.]=$B15,IF(DATOS_[Check Periodo Ref.]="Dentro",DATOS_[SALARIO BASE Ef],FALSE)))),
0)</f>
        <v>13910.527499999998</v>
      </c>
      <c r="F17" s="93">
        <f t="array" ref="F17">IFERROR(
AVERAGE((IF(DATOS_[[Sexo]:[Sexo]]=$B17,IF(DATOS_[[AGRUP. CLAS. PROF.]:[AGRUP. CLAS. PROF.]]=$B15,IF(DATOS_[[Check Periodo Ref.]:[Check Periodo Ref.]]="Dentro",DATOS_[Conc.Sal.01]))))),
0)</f>
        <v>10709.868125000001</v>
      </c>
      <c r="G17" s="93">
        <f t="array" ref="G17">IFERROR(
AVERAGE((IF(DATOS_[[Sexo]:[Sexo]]=$B17,IF(DATOS_[[AGRUP. CLAS. PROF.]:[AGRUP. CLAS. PROF.]]=$B15,IF(DATOS_[[Check Periodo Ref.]:[Check Periodo Ref.]]="Dentro",DATOS_[Conc.Sal.02]))))),
0)</f>
        <v>1391.0527500000001</v>
      </c>
      <c r="H17" s="93">
        <f t="array" ref="H17">IFERROR(
AVERAGE((IF(DATOS_[[Sexo]:[Sexo]]=$B17,IF(DATOS_[[AGRUP. CLAS. PROF.]:[AGRUP. CLAS. PROF.]]=$B15,IF(DATOS_[[Check Periodo Ref.]:[Check Periodo Ref.]]="Dentro",DATOS_[Conc.Sal.03]))))),
0)</f>
        <v>0</v>
      </c>
      <c r="I17" s="93">
        <f t="array" ref="I17">IFERROR(
AVERAGE((IF(DATOS_[[Sexo]:[Sexo]]=$B17,IF(DATOS_[[AGRUP. CLAS. PROF.]:[AGRUP. CLAS. PROF.]]=$B15,IF(DATOS_[[Check Periodo Ref.]:[Check Periodo Ref.]]="Dentro",DATOS_[Conc.Sal.04]))))),
0)</f>
        <v>1662.5</v>
      </c>
      <c r="J17" s="93">
        <f t="array" ref="J17">IFERROR(
AVERAGE((IF(DATOS_[[Sexo]:[Sexo]]=$B17,IF(DATOS_[[AGRUP. CLAS. PROF.]:[AGRUP. CLAS. PROF.]]=$B15,IF(DATOS_[[Check Periodo Ref.]:[Check Periodo Ref.]]="Dentro",DATOS_[Conc.Sal.05]))))),
0)</f>
        <v>875</v>
      </c>
      <c r="K17" s="93">
        <f t="array" ref="K17">IFERROR(
AVERAGE((IF(DATOS_[[Sexo]:[Sexo]]=$B17,IF(DATOS_[[AGRUP. CLAS. PROF.]:[AGRUP. CLAS. PROF.]]=$B15,IF(DATOS_[[Check Periodo Ref.]:[Check Periodo Ref.]]="Dentro",DATOS_[Conc.Sal.06]))))),
0)</f>
        <v>1125</v>
      </c>
      <c r="L17" s="93">
        <f t="array" ref="L17">IFERROR(
AVERAGE((IF(DATOS_[[Sexo]:[Sexo]]=$B17,IF(DATOS_[[AGRUP. CLAS. PROF.]:[AGRUP. CLAS. PROF.]]=$B15,IF(DATOS_[[Check Periodo Ref.]:[Check Periodo Ref.]]="Dentro",DATOS_[Conc.Sal.07]))))),
0)</f>
        <v>175</v>
      </c>
      <c r="M17" s="93">
        <f t="array" ref="M17">IFERROR(
AVERAGE((IF(DATOS_[[Sexo]:[Sexo]]=$B17,IF(DATOS_[[AGRUP. CLAS. PROF.]:[AGRUP. CLAS. PROF.]]=$B15,IF(DATOS_[[Check Periodo Ref.]:[Check Periodo Ref.]]="Dentro",DATOS_[Conc.Sal.08]))))),
0)</f>
        <v>0</v>
      </c>
      <c r="N17" s="93">
        <f t="array" ref="N17">IFERROR(
AVERAGE((IF(DATOS_[[Sexo]:[Sexo]]=$B17,IF(DATOS_[[AGRUP. CLAS. PROF.]:[AGRUP. CLAS. PROF.]]=$B15,IF(DATOS_[[Check Periodo Ref.]:[Check Periodo Ref.]]="Dentro",DATOS_[Conc.Sal.09]))))),
0)</f>
        <v>0</v>
      </c>
      <c r="O17" s="93">
        <f t="array" ref="O17">IFERROR(
AVERAGE((IF(DATOS_[[Sexo]:[Sexo]]=$B17,IF(DATOS_[[AGRUP. CLAS. PROF.]:[AGRUP. CLAS. PROF.]]=$B15,IF(DATOS_[[Check Periodo Ref.]:[Check Periodo Ref.]]="Dentro",DATOS_[Conc.Sal.10]))))),
0)</f>
        <v>0</v>
      </c>
      <c r="P17" s="93">
        <f t="array" ref="P17">IFERROR(
AVERAGE((IF(DATOS_[[Sexo]:[Sexo]]=$B17,IF(DATOS_[[AGRUP. CLAS. PROF.]:[AGRUP. CLAS. PROF.]]=$B15,IF(DATOS_[[Check Periodo Ref.]:[Check Periodo Ref.]]="Dentro",DATOS_[Conc.Sal.11]))))),
0)</f>
        <v>0</v>
      </c>
      <c r="Q17" s="93">
        <f t="array" ref="Q17">IFERROR(
AVERAGE((IF(DATOS_[[Sexo]:[Sexo]]=$B17,IF(DATOS_[[AGRUP. CLAS. PROF.]:[AGRUP. CLAS. PROF.]]=$B15,IF(DATOS_[[Check Periodo Ref.]:[Check Periodo Ref.]]="Dentro",DATOS_[Conc.Sal.12]))))),
0)</f>
        <v>0</v>
      </c>
      <c r="R17" s="93">
        <f t="array" ref="R17">IFERROR(
AVERAGE((IF(DATOS_[[Sexo]:[Sexo]]=$B17,IF(DATOS_[[AGRUP. CLAS. PROF.]:[AGRUP. CLAS. PROF.]]=$B15,IF(DATOS_[[Check Periodo Ref.]:[Check Periodo Ref.]]="Dentro",DATOS_[Conc.Sal.13]))))),
0)</f>
        <v>0</v>
      </c>
      <c r="S17" s="93">
        <f t="array" ref="S17">IFERROR(
AVERAGE((IF(DATOS_[[Sexo]:[Sexo]]=$B17,IF(DATOS_[[AGRUP. CLAS. PROF.]:[AGRUP. CLAS. PROF.]]=$B15,IF(DATOS_[[Check Periodo Ref.]:[Check Periodo Ref.]]="Dentro",DATOS_[Conc.Sal.14]))))),
0)</f>
        <v>0</v>
      </c>
      <c r="T17" s="93">
        <f t="array" ref="T17">IFERROR(
AVERAGE((IF(DATOS_[[Sexo]:[Sexo]]=$B17,IF(DATOS_[[AGRUP. CLAS. PROF.]:[AGRUP. CLAS. PROF.]]=$B15,IF(DATOS_[[Check Periodo Ref.]:[Check Periodo Ref.]]="Dentro",DATOS_[Conc.Sal.15]))))),
0)</f>
        <v>0</v>
      </c>
      <c r="U17" s="93">
        <f t="array" ref="U17">IFERROR(
AVERAGE((IF(DATOS_[[Sexo]:[Sexo]]=$B17,IF(DATOS_[[AGRUP. CLAS. PROF.]:[AGRUP. CLAS. PROF.]]=$B15,IF(DATOS_[[Check Periodo Ref.]:[Check Periodo Ref.]]="Dentro",DATOS_[Conc.Sal.16]))))),
0)</f>
        <v>0</v>
      </c>
      <c r="V17" s="93">
        <f t="array" ref="V17">IFERROR(
AVERAGE((IF(DATOS_[[Sexo]:[Sexo]]=$B17,IF(DATOS_[[AGRUP. CLAS. PROF.]:[AGRUP. CLAS. PROF.]]=$B15,IF(DATOS_[[Check Periodo Ref.]:[Check Periodo Ref.]]="Dentro",DATOS_[Conc.Sal.17]))))),
0)</f>
        <v>0</v>
      </c>
      <c r="W17" s="93">
        <f t="array" ref="W17">IFERROR(
AVERAGE((IF(DATOS_[[Sexo]:[Sexo]]=$B17,IF(DATOS_[[AGRUP. CLAS. PROF.]:[AGRUP. CLAS. PROF.]]=$B15,IF(DATOS_[[Check Periodo Ref.]:[Check Periodo Ref.]]="Dentro",DATOS_[Conc.Sal.18]))))),
0)</f>
        <v>0</v>
      </c>
      <c r="X17" s="93">
        <f t="array" ref="X17">IFERROR(
AVERAGE((IF(DATOS_[[Sexo]:[Sexo]]=$B17,IF(DATOS_[[AGRUP. CLAS. PROF.]:[AGRUP. CLAS. PROF.]]=$B15,IF(DATOS_[[Check Periodo Ref.]:[Check Periodo Ref.]]="Dentro",DATOS_[Conc.Sal.19]))))),
0)</f>
        <v>0</v>
      </c>
      <c r="Y17" s="93">
        <f t="array" ref="Y17">IFERROR(
AVERAGE((IF(DATOS_[[Sexo]:[Sexo]]=$B17,IF(DATOS_[[AGRUP. CLAS. PROF.]:[AGRUP. CLAS. PROF.]]=$B15,IF(DATOS_[[Check Periodo Ref.]:[Check Periodo Ref.]]="Dentro",DATOS_[Conc.Sal.20]))))),
0)</f>
        <v>0</v>
      </c>
      <c r="Z17" s="93">
        <f t="array" ref="Z17">IFERROR(
AVERAGE((IF(DATOS_[[Sexo]:[Sexo]]=$B17,IF(DATOS_[[AGRUP. CLAS. PROF.]:[AGRUP. CLAS. PROF.]]=$B15,IF(DATOS_[[Check Periodo Ref.]:[Check Periodo Ref.]]="Dentro",DATOS_[Conc.Sal.21]))))),
0)</f>
        <v>0</v>
      </c>
      <c r="AA17" s="93">
        <f t="array" ref="AA17">IFERROR(
AVERAGE((IF(DATOS_[[Sexo]:[Sexo]]=$B17,IF(DATOS_[[AGRUP. CLAS. PROF.]:[AGRUP. CLAS. PROF.]]=$B15,IF(DATOS_[[Check Periodo Ref.]:[Check Periodo Ref.]]="Dentro",DATOS_[Conc.Sal.22]))))),
0)</f>
        <v>0</v>
      </c>
      <c r="AB17" s="93">
        <f t="array" ref="AB17">IFERROR(
AVERAGE((IF(DATOS_[[Sexo]:[Sexo]]=$B17,IF(DATOS_[[AGRUP. CLAS. PROF.]:[AGRUP. CLAS. PROF.]]=$B15,IF(DATOS_[[Check Periodo Ref.]:[Check Periodo Ref.]]="Dentro",DATOS_[Conc.Sal.23]))))),
0)</f>
        <v>0</v>
      </c>
      <c r="AC17" s="93">
        <f t="array" ref="AC17">IFERROR(
AVERAGE((IF(DATOS_[[Sexo]:[Sexo]]=$B17,IF(DATOS_[[AGRUP. CLAS. PROF.]:[AGRUP. CLAS. PROF.]]=$B15,IF(DATOS_[[Check Periodo Ref.]:[Check Periodo Ref.]]="Dentro",DATOS_[Conc.Sal.24]))))),
0)</f>
        <v>0</v>
      </c>
      <c r="AD17" s="93">
        <f t="array" ref="AD17">IFERROR(
AVERAGE((IF(DATOS_[[Sexo]:[Sexo]]=$B17,IF(DATOS_[[AGRUP. CLAS. PROF.]:[AGRUP. CLAS. PROF.]]=$B15,IF(DATOS_[[Check Periodo Ref.]:[Check Periodo Ref.]]="Dentro",DATOS_[Conc.Sal.25]))))),
0)</f>
        <v>0</v>
      </c>
      <c r="AE17" s="93">
        <f t="array" ref="AE17">IFERROR(
AVERAGE((IF(DATOS_[[Sexo]:[Sexo]]=$B17,IF(DATOS_[[AGRUP. CLAS. PROF.]:[AGRUP. CLAS. PROF.]]=$B15,IF(DATOS_[[Check Periodo Ref.]:[Check Periodo Ref.]]="Dentro",DATOS_[Conc.Sal.26]))))),
0)</f>
        <v>0</v>
      </c>
      <c r="AF17" s="93">
        <f t="array" ref="AF17">IFERROR(
AVERAGE((IF(DATOS_[[Sexo]:[Sexo]]=$B17,IF(DATOS_[[AGRUP. CLAS. PROF.]:[AGRUP. CLAS. PROF.]]=$B15,IF(DATOS_[[Check Periodo Ref.]:[Check Periodo Ref.]]="Dentro",DATOS_[Conc.Sal.27]))))),
0)</f>
        <v>0</v>
      </c>
      <c r="AG17" s="93">
        <f t="array" ref="AG17">IFERROR(
AVERAGE((IF(DATOS_[[Sexo]:[Sexo]]=$B17,IF(DATOS_[[AGRUP. CLAS. PROF.]:[AGRUP. CLAS. PROF.]]=$B15,IF(DATOS_[[Check Periodo Ref.]:[Check Periodo Ref.]]="Dentro",DATOS_[Conc.Sal.28]))))),
0)</f>
        <v>0</v>
      </c>
      <c r="AH17" s="93">
        <f t="array" ref="AH17">IFERROR(
AVERAGE((IF(DATOS_[[Sexo]:[Sexo]]=$B17,IF(DATOS_[[AGRUP. CLAS. PROF.]:[AGRUP. CLAS. PROF.]]=$B15,IF(DATOS_[[Check Periodo Ref.]:[Check Periodo Ref.]]="Dentro",DATOS_[Conc.Sal.29]))))),
0)</f>
        <v>0</v>
      </c>
      <c r="AI17" s="93">
        <f t="array" ref="AI17">IFERROR(
AVERAGE((IF(DATOS_[[Sexo]:[Sexo]]=$B17,IF(DATOS_[[AGRUP. CLAS. PROF.]:[AGRUP. CLAS. PROF.]]=$B15,IF(DATOS_[[Check Periodo Ref.]:[Check Periodo Ref.]]="Dentro",DATOS_[Conc.Sal.30]))))),
0)</f>
        <v>0</v>
      </c>
      <c r="AJ17" s="94">
        <f t="array" ref="AJ17">IFERROR(
AVERAGE(IF(DATOS_[Sexo]=$B17,IF(DATOS_[AGRUP. CLAS. PROF.]=$B15,IF(DATOS_[Check Periodo Ref.]="Dentro",DATOS_[Tot COMPL.SAL Ef],FALSE)))),
0)</f>
        <v>15938.420875000002</v>
      </c>
      <c r="AK17" s="96">
        <f t="array" ref="AK17">IFERROR(
AVERAGE(IF(DATOS_[Sexo]=$B17,IF(DATOS_[AGRUP. CLAS. PROF.]=$B15,IF(DATOS_[Check Periodo Ref.]="Dentro",DATOS_[TOTAL SALARIO Ef],FALSE)))),
0)</f>
        <v>29848.948375</v>
      </c>
      <c r="AL17" s="95">
        <f>IFERROR(
AVERAGE((IF(DATOS_[[Sexo]:[Sexo]]=$B17,IF(DATOS_[[AGRUP. CLAS. PROF.]:[AGRUP. CLAS. PROF.]]=$B15,IF(DATOS_[[Check Periodo Ref.]:[Check Periodo Ref.]]="Dentro",DATOS_[C.Extra.01]))))),
0)</f>
        <v>0</v>
      </c>
      <c r="AM17" s="95">
        <f t="array" ref="AM17">IFERROR(
AVERAGE((IF(DATOS_[[Sexo]:[Sexo]]=$B17,IF(DATOS_[[AGRUP. CLAS. PROF.]:[AGRUP. CLAS. PROF.]]=$B15,IF(DATOS_[[Check Periodo Ref.]:[Check Periodo Ref.]]="Dentro",DATOS_[C.Extra.02]))))),
0)</f>
        <v>0</v>
      </c>
      <c r="AN17" s="95">
        <f t="array" ref="AN17">IFERROR(
AVERAGE((IF(DATOS_[[Sexo]:[Sexo]]=$B17,IF(DATOS_[[AGRUP. CLAS. PROF.]:[AGRUP. CLAS. PROF.]]=$B15,IF(DATOS_[[Check Periodo Ref.]:[Check Periodo Ref.]]="Dentro",DATOS_[C.Extra.03]))))),
0)</f>
        <v>0</v>
      </c>
      <c r="AO17" s="95">
        <f t="array" ref="AO17">IFERROR(
AVERAGE((IF(DATOS_[[Sexo]:[Sexo]]=$B17,IF(DATOS_[[AGRUP. CLAS. PROF.]:[AGRUP. CLAS. PROF.]]=$B15,IF(DATOS_[[Check Periodo Ref.]:[Check Periodo Ref.]]="Dentro",DATOS_[C.Extra.04]))))),
0)</f>
        <v>0</v>
      </c>
      <c r="AP17" s="95">
        <f t="array" ref="AP17">IFERROR(
AVERAGE((IF(DATOS_[[Sexo]:[Sexo]]=$B17,IF(DATOS_[[AGRUP. CLAS. PROF.]:[AGRUP. CLAS. PROF.]]=$B15,IF(DATOS_[[Check Periodo Ref.]:[Check Periodo Ref.]]="Dentro",DATOS_[C.Extra.05]))))),
0)</f>
        <v>0</v>
      </c>
      <c r="AQ17" s="97">
        <f t="array" ref="AQ17">IFERROR(
AVERAGE(IF(DATOS_[Sexo]=$B17,IF(DATOS_[AGRUP. CLAS. PROF.]=$B15,IF(DATOS_[Check Periodo Ref.]="Dentro",DATOS_[Tot Extrasalarial Ef],FALSE)))),
0)</f>
        <v>0</v>
      </c>
      <c r="AR17" s="98">
        <f t="array" ref="AR17">IFERROR(
AVERAGE(IF(DATOS_[Sexo]=$B17,IF(DATOS_[AGRUP. CLAS. PROF.]=$B15,IF(DATOS_[Check Periodo Ref.]="Dentro",DATOS_[TOTAL Retrib Ef],FALSE)))),
0)</f>
        <v>29848.948375</v>
      </c>
    </row>
    <row r="18" spans="1:44" s="309" customFormat="1" ht="17.25" thickBot="1" x14ac:dyDescent="0.35">
      <c r="A18" s="309" t="str">
        <f t="shared" ref="A18" si="7">+A19</f>
        <v/>
      </c>
      <c r="B18" s="51" t="s">
        <v>299</v>
      </c>
      <c r="C18" s="91"/>
      <c r="D18" s="52"/>
      <c r="E18" s="139">
        <f t="shared" ref="E18:AR18" si="8">IFERROR((E19-E20)/E19,"")</f>
        <v>0.24591217913834273</v>
      </c>
      <c r="F18" s="310">
        <f t="shared" si="8"/>
        <v>0.43581307229904431</v>
      </c>
      <c r="G18" s="180">
        <f t="shared" si="8"/>
        <v>0.24258626710233916</v>
      </c>
      <c r="H18" s="180" t="str">
        <f t="shared" si="8"/>
        <v/>
      </c>
      <c r="I18" s="180" t="str">
        <f t="shared" si="8"/>
        <v/>
      </c>
      <c r="J18" s="181" t="str">
        <f t="shared" si="8"/>
        <v/>
      </c>
      <c r="K18" s="182" t="str">
        <f t="shared" si="8"/>
        <v/>
      </c>
      <c r="L18" s="182">
        <f t="shared" si="8"/>
        <v>2.0408163265306152E-2</v>
      </c>
      <c r="M18" s="182" t="str">
        <f t="shared" si="8"/>
        <v/>
      </c>
      <c r="N18" s="182" t="str">
        <f t="shared" si="8"/>
        <v/>
      </c>
      <c r="O18" s="182" t="str">
        <f t="shared" si="8"/>
        <v/>
      </c>
      <c r="P18" s="182" t="str">
        <f t="shared" si="8"/>
        <v/>
      </c>
      <c r="Q18" s="182" t="str">
        <f t="shared" si="8"/>
        <v/>
      </c>
      <c r="R18" s="182" t="str">
        <f t="shared" si="8"/>
        <v/>
      </c>
      <c r="S18" s="182" t="str">
        <f t="shared" si="8"/>
        <v/>
      </c>
      <c r="T18" s="182" t="str">
        <f t="shared" si="8"/>
        <v/>
      </c>
      <c r="U18" s="182" t="str">
        <f t="shared" si="8"/>
        <v/>
      </c>
      <c r="V18" s="181" t="str">
        <f t="shared" si="8"/>
        <v/>
      </c>
      <c r="W18" s="181" t="str">
        <f t="shared" si="8"/>
        <v/>
      </c>
      <c r="X18" s="181" t="str">
        <f t="shared" si="8"/>
        <v/>
      </c>
      <c r="Y18" s="181" t="str">
        <f t="shared" si="8"/>
        <v/>
      </c>
      <c r="Z18" s="181" t="str">
        <f t="shared" si="8"/>
        <v/>
      </c>
      <c r="AA18" s="181" t="str">
        <f t="shared" si="8"/>
        <v/>
      </c>
      <c r="AB18" s="181" t="str">
        <f t="shared" si="8"/>
        <v/>
      </c>
      <c r="AC18" s="181" t="str">
        <f t="shared" si="8"/>
        <v/>
      </c>
      <c r="AD18" s="181" t="str">
        <f t="shared" si="8"/>
        <v/>
      </c>
      <c r="AE18" s="181" t="str">
        <f t="shared" si="8"/>
        <v/>
      </c>
      <c r="AF18" s="181" t="str">
        <f t="shared" si="8"/>
        <v/>
      </c>
      <c r="AG18" s="181" t="str">
        <f t="shared" si="8"/>
        <v/>
      </c>
      <c r="AH18" s="181" t="str">
        <f t="shared" si="8"/>
        <v/>
      </c>
      <c r="AI18" s="181" t="str">
        <f t="shared" si="8"/>
        <v/>
      </c>
      <c r="AJ18" s="140">
        <f t="shared" si="8"/>
        <v>0.36248324493082229</v>
      </c>
      <c r="AK18" s="143">
        <f t="shared" si="8"/>
        <v>0.27563391530113562</v>
      </c>
      <c r="AL18" s="184" t="str">
        <f t="shared" si="8"/>
        <v/>
      </c>
      <c r="AM18" s="184" t="str">
        <f t="shared" si="8"/>
        <v/>
      </c>
      <c r="AN18" s="184" t="str">
        <f t="shared" si="8"/>
        <v/>
      </c>
      <c r="AO18" s="184">
        <f t="shared" si="8"/>
        <v>1</v>
      </c>
      <c r="AP18" s="184" t="str">
        <f t="shared" si="8"/>
        <v/>
      </c>
      <c r="AQ18" s="141">
        <f t="shared" si="8"/>
        <v>1</v>
      </c>
      <c r="AR18" s="142">
        <f t="shared" si="8"/>
        <v>0.2829747005715002</v>
      </c>
    </row>
    <row r="19" spans="1:44" s="309" customFormat="1" x14ac:dyDescent="0.3">
      <c r="A19" s="309" t="str">
        <f t="shared" ref="A19" si="9">+IF(C19+C20=0,"[ocultar]","")</f>
        <v/>
      </c>
      <c r="B19" s="46" t="s">
        <v>162</v>
      </c>
      <c r="C19" s="45">
        <f t="array" ref="C19">SUM(IF($B19=DATOS_[Sexo],
IF($B18=DATOS_[AGRUP. CLAS. PROF.],
IF("Dentro"=DATOS_[Check Periodo Ref.],
1/(COUNTIFS(DATOS_[Sexo],$B19,DATOS_[AGRUP. CLAS. PROF.],$B18,DATOS_[Check Periodo Ref.],"Dentro",DATOS_[id],DATOS_[id]))))))</f>
        <v>23</v>
      </c>
      <c r="D19" s="47">
        <f>COUNTIFS(DATOS_[AGRUP. CLAS. PROF.],$B18,DATOS_[Sexo],$B19,DATOS_[Check Periodo Ref.],"Dentro")</f>
        <v>24</v>
      </c>
      <c r="E19" s="92">
        <f t="array" ref="E19">IFERROR(
AVERAGE(IF(DATOS_[Sexo]=$B19,IF(DATOS_[AGRUP. CLAS. PROF.]=$B18,IF(DATOS_[Check Periodo Ref.]="Dentro",DATOS_[SALARIO BASE Ef],FALSE)))),
0)</f>
        <v>14460.514430555564</v>
      </c>
      <c r="F19" s="93">
        <f t="array" ref="F19">IFERROR(
AVERAGE((IF(DATOS_[[Sexo]:[Sexo]]=$B19,IF(DATOS_[[AGRUP. CLAS. PROF.]:[AGRUP. CLAS. PROF.]]=$B18,IF(DATOS_[[Check Periodo Ref.]:[Check Periodo Ref.]]="Dentro",DATOS_[Conc.Sal.01]))))),
0)</f>
        <v>3151.1522361111097</v>
      </c>
      <c r="G19" s="93">
        <f t="array" ref="G19">IFERROR(
AVERAGE((IF(DATOS_[[Sexo]:[Sexo]]=$B19,IF(DATOS_[[AGRUP. CLAS. PROF.]:[AGRUP. CLAS. PROF.]]=$B18,IF(DATOS_[[Check Periodo Ref.]:[Check Periodo Ref.]]="Dentro",DATOS_[Conc.Sal.02]))))),
0)</f>
        <v>1727.5514155555559</v>
      </c>
      <c r="H19" s="93">
        <f t="array" ref="H19">IFERROR(
AVERAGE((IF(DATOS_[[Sexo]:[Sexo]]=$B19,IF(DATOS_[[AGRUP. CLAS. PROF.]:[AGRUP. CLAS. PROF.]]=$B18,IF(DATOS_[[Check Periodo Ref.]:[Check Periodo Ref.]]="Dentro",DATOS_[Conc.Sal.03]))))),
0)</f>
        <v>0</v>
      </c>
      <c r="I19" s="93">
        <f t="array" ref="I19">IFERROR(
AVERAGE((IF(DATOS_[[Sexo]:[Sexo]]=$B19,IF(DATOS_[[AGRUP. CLAS. PROF.]:[AGRUP. CLAS. PROF.]]=$B18,IF(DATOS_[[Check Periodo Ref.]:[Check Periodo Ref.]]="Dentro",DATOS_[Conc.Sal.04]))))),
0)</f>
        <v>0</v>
      </c>
      <c r="J19" s="93">
        <f t="array" ref="J19">IFERROR(
AVERAGE((IF(DATOS_[[Sexo]:[Sexo]]=$B19,IF(DATOS_[[AGRUP. CLAS. PROF.]:[AGRUP. CLAS. PROF.]]=$B18,IF(DATOS_[[Check Periodo Ref.]:[Check Periodo Ref.]]="Dentro",DATOS_[Conc.Sal.05]))))),
0)</f>
        <v>0</v>
      </c>
      <c r="K19" s="93">
        <f t="array" ref="K19">IFERROR(
AVERAGE((IF(DATOS_[[Sexo]:[Sexo]]=$B19,IF(DATOS_[[AGRUP. CLAS. PROF.]:[AGRUP. CLAS. PROF.]]=$B18,IF(DATOS_[[Check Periodo Ref.]:[Check Periodo Ref.]]="Dentro",DATOS_[Conc.Sal.06]))))),
0)</f>
        <v>0</v>
      </c>
      <c r="L19" s="93">
        <f t="array" ref="L19">IFERROR(
AVERAGE((IF(DATOS_[[Sexo]:[Sexo]]=$B19,IF(DATOS_[[AGRUP. CLAS. PROF.]:[AGRUP. CLAS. PROF.]]=$B18,IF(DATOS_[[Check Periodo Ref.]:[Check Periodo Ref.]]="Dentro",DATOS_[Conc.Sal.07]))))),
0)</f>
        <v>70</v>
      </c>
      <c r="M19" s="93">
        <f t="array" ref="M19">IFERROR(
AVERAGE((IF(DATOS_[[Sexo]:[Sexo]]=$B19,IF(DATOS_[[AGRUP. CLAS. PROF.]:[AGRUP. CLAS. PROF.]]=$B18,IF(DATOS_[[Check Periodo Ref.]:[Check Periodo Ref.]]="Dentro",DATOS_[Conc.Sal.08]))))),
0)</f>
        <v>0</v>
      </c>
      <c r="N19" s="93">
        <f t="array" ref="N19">IFERROR(
AVERAGE((IF(DATOS_[[Sexo]:[Sexo]]=$B19,IF(DATOS_[[AGRUP. CLAS. PROF.]:[AGRUP. CLAS. PROF.]]=$B18,IF(DATOS_[[Check Periodo Ref.]:[Check Periodo Ref.]]="Dentro",DATOS_[Conc.Sal.09]))))),
0)</f>
        <v>0</v>
      </c>
      <c r="O19" s="93">
        <f t="array" ref="O19">IFERROR(
AVERAGE((IF(DATOS_[[Sexo]:[Sexo]]=$B19,IF(DATOS_[[AGRUP. CLAS. PROF.]:[AGRUP. CLAS. PROF.]]=$B18,IF(DATOS_[[Check Periodo Ref.]:[Check Periodo Ref.]]="Dentro",DATOS_[Conc.Sal.10]))))),
0)</f>
        <v>0</v>
      </c>
      <c r="P19" s="93">
        <f t="array" ref="P19">IFERROR(
AVERAGE((IF(DATOS_[[Sexo]:[Sexo]]=$B19,IF(DATOS_[[AGRUP. CLAS. PROF.]:[AGRUP. CLAS. PROF.]]=$B18,IF(DATOS_[[Check Periodo Ref.]:[Check Periodo Ref.]]="Dentro",DATOS_[Conc.Sal.11]))))),
0)</f>
        <v>0</v>
      </c>
      <c r="Q19" s="93">
        <f t="array" ref="Q19">IFERROR(
AVERAGE((IF(DATOS_[[Sexo]:[Sexo]]=$B19,IF(DATOS_[[AGRUP. CLAS. PROF.]:[AGRUP. CLAS. PROF.]]=$B18,IF(DATOS_[[Check Periodo Ref.]:[Check Periodo Ref.]]="Dentro",DATOS_[Conc.Sal.12]))))),
0)</f>
        <v>0</v>
      </c>
      <c r="R19" s="93">
        <f t="array" ref="R19">IFERROR(
AVERAGE((IF(DATOS_[[Sexo]:[Sexo]]=$B19,IF(DATOS_[[AGRUP. CLAS. PROF.]:[AGRUP. CLAS. PROF.]]=$B18,IF(DATOS_[[Check Periodo Ref.]:[Check Periodo Ref.]]="Dentro",DATOS_[Conc.Sal.13]))))),
0)</f>
        <v>0</v>
      </c>
      <c r="S19" s="93">
        <f t="array" ref="S19">IFERROR(
AVERAGE((IF(DATOS_[[Sexo]:[Sexo]]=$B19,IF(DATOS_[[AGRUP. CLAS. PROF.]:[AGRUP. CLAS. PROF.]]=$B18,IF(DATOS_[[Check Periodo Ref.]:[Check Periodo Ref.]]="Dentro",DATOS_[Conc.Sal.14]))))),
0)</f>
        <v>0</v>
      </c>
      <c r="T19" s="93">
        <f t="array" ref="T19">IFERROR(
AVERAGE((IF(DATOS_[[Sexo]:[Sexo]]=$B19,IF(DATOS_[[AGRUP. CLAS. PROF.]:[AGRUP. CLAS. PROF.]]=$B18,IF(DATOS_[[Check Periodo Ref.]:[Check Periodo Ref.]]="Dentro",DATOS_[Conc.Sal.15]))))),
0)</f>
        <v>0</v>
      </c>
      <c r="U19" s="93">
        <f t="array" ref="U19">IFERROR(
AVERAGE((IF(DATOS_[[Sexo]:[Sexo]]=$B19,IF(DATOS_[[AGRUP. CLAS. PROF.]:[AGRUP. CLAS. PROF.]]=$B18,IF(DATOS_[[Check Periodo Ref.]:[Check Periodo Ref.]]="Dentro",DATOS_[Conc.Sal.16]))))),
0)</f>
        <v>0</v>
      </c>
      <c r="V19" s="93">
        <f t="array" ref="V19">IFERROR(
AVERAGE((IF(DATOS_[[Sexo]:[Sexo]]=$B19,IF(DATOS_[[AGRUP. CLAS. PROF.]:[AGRUP. CLAS. PROF.]]=$B18,IF(DATOS_[[Check Periodo Ref.]:[Check Periodo Ref.]]="Dentro",DATOS_[Conc.Sal.17]))))),
0)</f>
        <v>0</v>
      </c>
      <c r="W19" s="93">
        <f t="array" ref="W19">IFERROR(
AVERAGE((IF(DATOS_[[Sexo]:[Sexo]]=$B19,IF(DATOS_[[AGRUP. CLAS. PROF.]:[AGRUP. CLAS. PROF.]]=$B18,IF(DATOS_[[Check Periodo Ref.]:[Check Periodo Ref.]]="Dentro",DATOS_[Conc.Sal.18]))))),
0)</f>
        <v>0</v>
      </c>
      <c r="X19" s="93">
        <f t="array" ref="X19">IFERROR(
AVERAGE((IF(DATOS_[[Sexo]:[Sexo]]=$B19,IF(DATOS_[[AGRUP. CLAS. PROF.]:[AGRUP. CLAS. PROF.]]=$B18,IF(DATOS_[[Check Periodo Ref.]:[Check Periodo Ref.]]="Dentro",DATOS_[Conc.Sal.19]))))),
0)</f>
        <v>0</v>
      </c>
      <c r="Y19" s="93">
        <f t="array" ref="Y19">IFERROR(
AVERAGE((IF(DATOS_[[Sexo]:[Sexo]]=$B19,IF(DATOS_[[AGRUP. CLAS. PROF.]:[AGRUP. CLAS. PROF.]]=$B18,IF(DATOS_[[Check Periodo Ref.]:[Check Periodo Ref.]]="Dentro",DATOS_[Conc.Sal.20]))))),
0)</f>
        <v>0</v>
      </c>
      <c r="Z19" s="93">
        <f t="array" ref="Z19">IFERROR(
AVERAGE((IF(DATOS_[[Sexo]:[Sexo]]=$B19,IF(DATOS_[[AGRUP. CLAS. PROF.]:[AGRUP. CLAS. PROF.]]=$B18,IF(DATOS_[[Check Periodo Ref.]:[Check Periodo Ref.]]="Dentro",DATOS_[Conc.Sal.21]))))),
0)</f>
        <v>0</v>
      </c>
      <c r="AA19" s="93">
        <f t="array" ref="AA19">IFERROR(
AVERAGE((IF(DATOS_[[Sexo]:[Sexo]]=$B19,IF(DATOS_[[AGRUP. CLAS. PROF.]:[AGRUP. CLAS. PROF.]]=$B18,IF(DATOS_[[Check Periodo Ref.]:[Check Periodo Ref.]]="Dentro",DATOS_[Conc.Sal.22]))))),
0)</f>
        <v>0</v>
      </c>
      <c r="AB19" s="93">
        <f t="array" ref="AB19">IFERROR(
AVERAGE((IF(DATOS_[[Sexo]:[Sexo]]=$B19,IF(DATOS_[[AGRUP. CLAS. PROF.]:[AGRUP. CLAS. PROF.]]=$B18,IF(DATOS_[[Check Periodo Ref.]:[Check Periodo Ref.]]="Dentro",DATOS_[Conc.Sal.23]))))),
0)</f>
        <v>0</v>
      </c>
      <c r="AC19" s="93">
        <f t="array" ref="AC19">IFERROR(
AVERAGE((IF(DATOS_[[Sexo]:[Sexo]]=$B19,IF(DATOS_[[AGRUP. CLAS. PROF.]:[AGRUP. CLAS. PROF.]]=$B18,IF(DATOS_[[Check Periodo Ref.]:[Check Periodo Ref.]]="Dentro",DATOS_[Conc.Sal.24]))))),
0)</f>
        <v>0</v>
      </c>
      <c r="AD19" s="93">
        <f t="array" ref="AD19">IFERROR(
AVERAGE((IF(DATOS_[[Sexo]:[Sexo]]=$B19,IF(DATOS_[[AGRUP. CLAS. PROF.]:[AGRUP. CLAS. PROF.]]=$B18,IF(DATOS_[[Check Periodo Ref.]:[Check Periodo Ref.]]="Dentro",DATOS_[Conc.Sal.25]))))),
0)</f>
        <v>0</v>
      </c>
      <c r="AE19" s="93">
        <f t="array" ref="AE19">IFERROR(
AVERAGE((IF(DATOS_[[Sexo]:[Sexo]]=$B19,IF(DATOS_[[AGRUP. CLAS. PROF.]:[AGRUP. CLAS. PROF.]]=$B18,IF(DATOS_[[Check Periodo Ref.]:[Check Periodo Ref.]]="Dentro",DATOS_[Conc.Sal.26]))))),
0)</f>
        <v>0</v>
      </c>
      <c r="AF19" s="93">
        <f t="array" ref="AF19">IFERROR(
AVERAGE((IF(DATOS_[[Sexo]:[Sexo]]=$B19,IF(DATOS_[[AGRUP. CLAS. PROF.]:[AGRUP. CLAS. PROF.]]=$B18,IF(DATOS_[[Check Periodo Ref.]:[Check Periodo Ref.]]="Dentro",DATOS_[Conc.Sal.27]))))),
0)</f>
        <v>0</v>
      </c>
      <c r="AG19" s="93">
        <f t="array" ref="AG19">IFERROR(
AVERAGE((IF(DATOS_[[Sexo]:[Sexo]]=$B19,IF(DATOS_[[AGRUP. CLAS. PROF.]:[AGRUP. CLAS. PROF.]]=$B18,IF(DATOS_[[Check Periodo Ref.]:[Check Periodo Ref.]]="Dentro",DATOS_[Conc.Sal.28]))))),
0)</f>
        <v>0</v>
      </c>
      <c r="AH19" s="93">
        <f t="array" ref="AH19">IFERROR(
AVERAGE((IF(DATOS_[[Sexo]:[Sexo]]=$B19,IF(DATOS_[[AGRUP. CLAS. PROF.]:[AGRUP. CLAS. PROF.]]=$B18,IF(DATOS_[[Check Periodo Ref.]:[Check Periodo Ref.]]="Dentro",DATOS_[Conc.Sal.29]))))),
0)</f>
        <v>0</v>
      </c>
      <c r="AI19" s="93">
        <f t="array" ref="AI19">IFERROR(
AVERAGE((IF(DATOS_[[Sexo]:[Sexo]]=$B19,IF(DATOS_[[AGRUP. CLAS. PROF.]:[AGRUP. CLAS. PROF.]]=$B18,IF(DATOS_[[Check Periodo Ref.]:[Check Periodo Ref.]]="Dentro",DATOS_[Conc.Sal.30]))))),
0)</f>
        <v>0</v>
      </c>
      <c r="AJ19" s="94">
        <f t="array" ref="AJ19">IFERROR(
AVERAGE(IF(DATOS_[Sexo]=$B19,IF(DATOS_[AGRUP. CLAS. PROF.]=$B18,IF(DATOS_[Check Periodo Ref.]="Dentro",DATOS_[Tot COMPL.SAL Ef],FALSE)))),
0)</f>
        <v>4948.7036516666667</v>
      </c>
      <c r="AK19" s="96">
        <f t="array" ref="AK19">IFERROR(
AVERAGE(IF(DATOS_[Sexo]=$B19,IF(DATOS_[AGRUP. CLAS. PROF.]=$B18,IF(DATOS_[Check Periodo Ref.]="Dentro",DATOS_[TOTAL SALARIO Ef],FALSE)))),
0)</f>
        <v>19409.218082222225</v>
      </c>
      <c r="AL19" s="95">
        <f t="array" ref="AL19">IFERROR(
AVERAGE((IF(DATOS_[[Sexo]:[Sexo]]=$B19,IF(DATOS_[[AGRUP. CLAS. PROF.]:[AGRUP. CLAS. PROF.]]=$B18,IF(DATOS_[[Check Periodo Ref.]:[Check Periodo Ref.]]="Dentro",DATOS_[C.Extra.01]))))),
0)</f>
        <v>0</v>
      </c>
      <c r="AM19" s="95">
        <f t="array" ref="AM19">IFERROR(
AVERAGE((IF(DATOS_[[Sexo]:[Sexo]]=$B19,IF(DATOS_[[AGRUP. CLAS. PROF.]:[AGRUP. CLAS. PROF.]]=$B18,IF(DATOS_[[Check Periodo Ref.]:[Check Periodo Ref.]]="Dentro",DATOS_[C.Extra.02]))))),
0)</f>
        <v>0</v>
      </c>
      <c r="AN19" s="95">
        <f t="array" ref="AN19">IFERROR(
AVERAGE((IF(DATOS_[[Sexo]:[Sexo]]=$B19,IF(DATOS_[[AGRUP. CLAS. PROF.]:[AGRUP. CLAS. PROF.]]=$B18,IF(DATOS_[[Check Periodo Ref.]:[Check Periodo Ref.]]="Dentro",DATOS_[C.Extra.03]))))),
0)</f>
        <v>0</v>
      </c>
      <c r="AO19" s="95">
        <f t="array" ref="AO19">IFERROR(
AVERAGE((IF(DATOS_[[Sexo]:[Sexo]]=$B19,IF(DATOS_[[AGRUP. CLAS. PROF.]:[AGRUP. CLAS. PROF.]]=$B18,IF(DATOS_[[Check Periodo Ref.]:[Check Periodo Ref.]]="Dentro",DATOS_[C.Extra.04]))))),
0)</f>
        <v>198.70833333333334</v>
      </c>
      <c r="AP19" s="95">
        <f t="array" ref="AP19">IFERROR(
AVERAGE((IF(DATOS_[[Sexo]:[Sexo]]=$B19,IF(DATOS_[[AGRUP. CLAS. PROF.]:[AGRUP. CLAS. PROF.]]=$B18,IF(DATOS_[[Check Periodo Ref.]:[Check Periodo Ref.]]="Dentro",DATOS_[C.Extra.05]))))),
0)</f>
        <v>0</v>
      </c>
      <c r="AQ19" s="97">
        <f t="array" ref="AQ19">IFERROR(
AVERAGE(IF(DATOS_[Sexo]=$B19,IF(DATOS_[AGRUP. CLAS. PROF.]=$B18,IF(DATOS_[Check Periodo Ref.]="Dentro",DATOS_[Tot Extrasalarial Ef],FALSE)))),
0)</f>
        <v>198.70833333333334</v>
      </c>
      <c r="AR19" s="98">
        <f t="array" ref="AR19">IFERROR(
AVERAGE(IF(DATOS_[Sexo]=$B19,IF(DATOS_[AGRUP. CLAS. PROF.]=$B18,IF(DATOS_[Check Periodo Ref.]="Dentro",DATOS_[TOTAL Retrib Ef],FALSE)))),
0)</f>
        <v>19607.926415555557</v>
      </c>
    </row>
    <row r="20" spans="1:44" s="309" customFormat="1" x14ac:dyDescent="0.3">
      <c r="A20" s="309" t="str">
        <f t="shared" ref="A20" si="10">+A19</f>
        <v/>
      </c>
      <c r="B20" s="46" t="s">
        <v>163</v>
      </c>
      <c r="C20" s="45">
        <f t="array" ref="C20">SUM(IF($B20=DATOS_[Sexo],
IF($B18=DATOS_[AGRUP. CLAS. PROF.],
IF("Dentro"=DATOS_[Check Periodo Ref.],
1/(COUNTIFS(DATOS_[Sexo],$B20,DATOS_[AGRUP. CLAS. PROF.],$B18,DATOS_[Check Periodo Ref.],"Dentro",DATOS_[id],DATOS_[id]))))))</f>
        <v>13</v>
      </c>
      <c r="D20" s="47">
        <f>COUNTIFS(DATOS_[AGRUP. CLAS. PROF.],$B18,DATOS_[Sexo],$B20,DATOS_[Check Periodo Ref.],"Dentro")</f>
        <v>14</v>
      </c>
      <c r="E20" s="92">
        <f t="array" ref="E20">IFERROR(
AVERAGE(IF(DATOS_[Sexo]=$B20,IF(DATOS_[AGRUP. CLAS. PROF.]=$B18,IF(DATOS_[Check Periodo Ref.]="Dentro",DATOS_[SALARIO BASE Ef],FALSE)))),
0)</f>
        <v>10904.497815476194</v>
      </c>
      <c r="F20" s="93">
        <f t="array" ref="F20">IFERROR(
AVERAGE((IF(DATOS_[[Sexo]:[Sexo]]=$B20,IF(DATOS_[[AGRUP. CLAS. PROF.]:[AGRUP. CLAS. PROF.]]=$B18,IF(DATOS_[[Check Periodo Ref.]:[Check Periodo Ref.]]="Dentro",DATOS_[Conc.Sal.01]))))),
0)</f>
        <v>1777.8388988095235</v>
      </c>
      <c r="G20" s="93">
        <f t="array" ref="G20">IFERROR(
AVERAGE((IF(DATOS_[[Sexo]:[Sexo]]=$B20,IF(DATOS_[[AGRUP. CLAS. PROF.]:[AGRUP. CLAS. PROF.]]=$B18,IF(DATOS_[[Check Periodo Ref.]:[Check Periodo Ref.]]="Dentro",DATOS_[Conc.Sal.02]))))),
0)</f>
        <v>1308.4711664285717</v>
      </c>
      <c r="H20" s="93">
        <f t="array" ref="H20">IFERROR(
AVERAGE((IF(DATOS_[[Sexo]:[Sexo]]=$B20,IF(DATOS_[[AGRUP. CLAS. PROF.]:[AGRUP. CLAS. PROF.]]=$B18,IF(DATOS_[[Check Periodo Ref.]:[Check Periodo Ref.]]="Dentro",DATOS_[Conc.Sal.03]))))),
0)</f>
        <v>0</v>
      </c>
      <c r="I20" s="93">
        <f t="array" ref="I20">IFERROR(
AVERAGE((IF(DATOS_[[Sexo]:[Sexo]]=$B20,IF(DATOS_[[AGRUP. CLAS. PROF.]:[AGRUP. CLAS. PROF.]]=$B18,IF(DATOS_[[Check Periodo Ref.]:[Check Periodo Ref.]]="Dentro",DATOS_[Conc.Sal.04]))))),
0)</f>
        <v>0</v>
      </c>
      <c r="J20" s="93">
        <f t="array" ref="J20">IFERROR(
AVERAGE((IF(DATOS_[[Sexo]:[Sexo]]=$B20,IF(DATOS_[[AGRUP. CLAS. PROF.]:[AGRUP. CLAS. PROF.]]=$B18,IF(DATOS_[[Check Periodo Ref.]:[Check Periodo Ref.]]="Dentro",DATOS_[Conc.Sal.05]))))),
0)</f>
        <v>0</v>
      </c>
      <c r="K20" s="93">
        <f t="array" ref="K20">IFERROR(
AVERAGE((IF(DATOS_[[Sexo]:[Sexo]]=$B20,IF(DATOS_[[AGRUP. CLAS. PROF.]:[AGRUP. CLAS. PROF.]]=$B18,IF(DATOS_[[Check Periodo Ref.]:[Check Periodo Ref.]]="Dentro",DATOS_[Conc.Sal.06]))))),
0)</f>
        <v>0</v>
      </c>
      <c r="L20" s="93">
        <f t="array" ref="L20">IFERROR(
AVERAGE((IF(DATOS_[[Sexo]:[Sexo]]=$B20,IF(DATOS_[[AGRUP. CLAS. PROF.]:[AGRUP. CLAS. PROF.]]=$B18,IF(DATOS_[[Check Periodo Ref.]:[Check Periodo Ref.]]="Dentro",DATOS_[Conc.Sal.07]))))),
0)</f>
        <v>68.571428571428569</v>
      </c>
      <c r="M20" s="93">
        <f t="array" ref="M20">IFERROR(
AVERAGE((IF(DATOS_[[Sexo]:[Sexo]]=$B20,IF(DATOS_[[AGRUP. CLAS. PROF.]:[AGRUP. CLAS. PROF.]]=$B18,IF(DATOS_[[Check Periodo Ref.]:[Check Periodo Ref.]]="Dentro",DATOS_[Conc.Sal.08]))))),
0)</f>
        <v>0</v>
      </c>
      <c r="N20" s="93">
        <f t="array" ref="N20">IFERROR(
AVERAGE((IF(DATOS_[[Sexo]:[Sexo]]=$B20,IF(DATOS_[[AGRUP. CLAS. PROF.]:[AGRUP. CLAS. PROF.]]=$B18,IF(DATOS_[[Check Periodo Ref.]:[Check Periodo Ref.]]="Dentro",DATOS_[Conc.Sal.09]))))),
0)</f>
        <v>0</v>
      </c>
      <c r="O20" s="93">
        <f t="array" ref="O20">IFERROR(
AVERAGE((IF(DATOS_[[Sexo]:[Sexo]]=$B20,IF(DATOS_[[AGRUP. CLAS. PROF.]:[AGRUP. CLAS. PROF.]]=$B18,IF(DATOS_[[Check Periodo Ref.]:[Check Periodo Ref.]]="Dentro",DATOS_[Conc.Sal.10]))))),
0)</f>
        <v>0</v>
      </c>
      <c r="P20" s="93">
        <f t="array" ref="P20">IFERROR(
AVERAGE((IF(DATOS_[[Sexo]:[Sexo]]=$B20,IF(DATOS_[[AGRUP. CLAS. PROF.]:[AGRUP. CLAS. PROF.]]=$B18,IF(DATOS_[[Check Periodo Ref.]:[Check Periodo Ref.]]="Dentro",DATOS_[Conc.Sal.11]))))),
0)</f>
        <v>0</v>
      </c>
      <c r="Q20" s="93">
        <f t="array" ref="Q20">IFERROR(
AVERAGE((IF(DATOS_[[Sexo]:[Sexo]]=$B20,IF(DATOS_[[AGRUP. CLAS. PROF.]:[AGRUP. CLAS. PROF.]]=$B18,IF(DATOS_[[Check Periodo Ref.]:[Check Periodo Ref.]]="Dentro",DATOS_[Conc.Sal.12]))))),
0)</f>
        <v>0</v>
      </c>
      <c r="R20" s="93">
        <f t="array" ref="R20">IFERROR(
AVERAGE((IF(DATOS_[[Sexo]:[Sexo]]=$B20,IF(DATOS_[[AGRUP. CLAS. PROF.]:[AGRUP. CLAS. PROF.]]=$B18,IF(DATOS_[[Check Periodo Ref.]:[Check Periodo Ref.]]="Dentro",DATOS_[Conc.Sal.13]))))),
0)</f>
        <v>0</v>
      </c>
      <c r="S20" s="93">
        <f t="array" ref="S20">IFERROR(
AVERAGE((IF(DATOS_[[Sexo]:[Sexo]]=$B20,IF(DATOS_[[AGRUP. CLAS. PROF.]:[AGRUP. CLAS. PROF.]]=$B18,IF(DATOS_[[Check Periodo Ref.]:[Check Periodo Ref.]]="Dentro",DATOS_[Conc.Sal.14]))))),
0)</f>
        <v>0</v>
      </c>
      <c r="T20" s="93">
        <f t="array" ref="T20">IFERROR(
AVERAGE((IF(DATOS_[[Sexo]:[Sexo]]=$B20,IF(DATOS_[[AGRUP. CLAS. PROF.]:[AGRUP. CLAS. PROF.]]=$B18,IF(DATOS_[[Check Periodo Ref.]:[Check Periodo Ref.]]="Dentro",DATOS_[Conc.Sal.15]))))),
0)</f>
        <v>0</v>
      </c>
      <c r="U20" s="93">
        <f t="array" ref="U20">IFERROR(
AVERAGE((IF(DATOS_[[Sexo]:[Sexo]]=$B20,IF(DATOS_[[AGRUP. CLAS. PROF.]:[AGRUP. CLAS. PROF.]]=$B18,IF(DATOS_[[Check Periodo Ref.]:[Check Periodo Ref.]]="Dentro",DATOS_[Conc.Sal.16]))))),
0)</f>
        <v>0</v>
      </c>
      <c r="V20" s="93">
        <f t="array" ref="V20">IFERROR(
AVERAGE((IF(DATOS_[[Sexo]:[Sexo]]=$B20,IF(DATOS_[[AGRUP. CLAS. PROF.]:[AGRUP. CLAS. PROF.]]=$B18,IF(DATOS_[[Check Periodo Ref.]:[Check Periodo Ref.]]="Dentro",DATOS_[Conc.Sal.17]))))),
0)</f>
        <v>0</v>
      </c>
      <c r="W20" s="93">
        <f t="array" ref="W20">IFERROR(
AVERAGE((IF(DATOS_[[Sexo]:[Sexo]]=$B20,IF(DATOS_[[AGRUP. CLAS. PROF.]:[AGRUP. CLAS. PROF.]]=$B18,IF(DATOS_[[Check Periodo Ref.]:[Check Periodo Ref.]]="Dentro",DATOS_[Conc.Sal.18]))))),
0)</f>
        <v>0</v>
      </c>
      <c r="X20" s="93">
        <f t="array" ref="X20">IFERROR(
AVERAGE((IF(DATOS_[[Sexo]:[Sexo]]=$B20,IF(DATOS_[[AGRUP. CLAS. PROF.]:[AGRUP. CLAS. PROF.]]=$B18,IF(DATOS_[[Check Periodo Ref.]:[Check Periodo Ref.]]="Dentro",DATOS_[Conc.Sal.19]))))),
0)</f>
        <v>0</v>
      </c>
      <c r="Y20" s="93">
        <f t="array" ref="Y20">IFERROR(
AVERAGE((IF(DATOS_[[Sexo]:[Sexo]]=$B20,IF(DATOS_[[AGRUP. CLAS. PROF.]:[AGRUP. CLAS. PROF.]]=$B18,IF(DATOS_[[Check Periodo Ref.]:[Check Periodo Ref.]]="Dentro",DATOS_[Conc.Sal.20]))))),
0)</f>
        <v>0</v>
      </c>
      <c r="Z20" s="93">
        <f t="array" ref="Z20">IFERROR(
AVERAGE((IF(DATOS_[[Sexo]:[Sexo]]=$B20,IF(DATOS_[[AGRUP. CLAS. PROF.]:[AGRUP. CLAS. PROF.]]=$B18,IF(DATOS_[[Check Periodo Ref.]:[Check Periodo Ref.]]="Dentro",DATOS_[Conc.Sal.21]))))),
0)</f>
        <v>0</v>
      </c>
      <c r="AA20" s="93">
        <f t="array" ref="AA20">IFERROR(
AVERAGE((IF(DATOS_[[Sexo]:[Sexo]]=$B20,IF(DATOS_[[AGRUP. CLAS. PROF.]:[AGRUP. CLAS. PROF.]]=$B18,IF(DATOS_[[Check Periodo Ref.]:[Check Periodo Ref.]]="Dentro",DATOS_[Conc.Sal.22]))))),
0)</f>
        <v>0</v>
      </c>
      <c r="AB20" s="93">
        <f t="array" ref="AB20">IFERROR(
AVERAGE((IF(DATOS_[[Sexo]:[Sexo]]=$B20,IF(DATOS_[[AGRUP. CLAS. PROF.]:[AGRUP. CLAS. PROF.]]=$B18,IF(DATOS_[[Check Periodo Ref.]:[Check Periodo Ref.]]="Dentro",DATOS_[Conc.Sal.23]))))),
0)</f>
        <v>0</v>
      </c>
      <c r="AC20" s="93">
        <f t="array" ref="AC20">IFERROR(
AVERAGE((IF(DATOS_[[Sexo]:[Sexo]]=$B20,IF(DATOS_[[AGRUP. CLAS. PROF.]:[AGRUP. CLAS. PROF.]]=$B18,IF(DATOS_[[Check Periodo Ref.]:[Check Periodo Ref.]]="Dentro",DATOS_[Conc.Sal.24]))))),
0)</f>
        <v>0</v>
      </c>
      <c r="AD20" s="93">
        <f t="array" ref="AD20">IFERROR(
AVERAGE((IF(DATOS_[[Sexo]:[Sexo]]=$B20,IF(DATOS_[[AGRUP. CLAS. PROF.]:[AGRUP. CLAS. PROF.]]=$B18,IF(DATOS_[[Check Periodo Ref.]:[Check Periodo Ref.]]="Dentro",DATOS_[Conc.Sal.25]))))),
0)</f>
        <v>0</v>
      </c>
      <c r="AE20" s="93">
        <f t="array" ref="AE20">IFERROR(
AVERAGE((IF(DATOS_[[Sexo]:[Sexo]]=$B20,IF(DATOS_[[AGRUP. CLAS. PROF.]:[AGRUP. CLAS. PROF.]]=$B18,IF(DATOS_[[Check Periodo Ref.]:[Check Periodo Ref.]]="Dentro",DATOS_[Conc.Sal.26]))))),
0)</f>
        <v>0</v>
      </c>
      <c r="AF20" s="93">
        <f t="array" ref="AF20">IFERROR(
AVERAGE((IF(DATOS_[[Sexo]:[Sexo]]=$B20,IF(DATOS_[[AGRUP. CLAS. PROF.]:[AGRUP. CLAS. PROF.]]=$B18,IF(DATOS_[[Check Periodo Ref.]:[Check Periodo Ref.]]="Dentro",DATOS_[Conc.Sal.27]))))),
0)</f>
        <v>0</v>
      </c>
      <c r="AG20" s="93">
        <f t="array" ref="AG20">IFERROR(
AVERAGE((IF(DATOS_[[Sexo]:[Sexo]]=$B20,IF(DATOS_[[AGRUP. CLAS. PROF.]:[AGRUP. CLAS. PROF.]]=$B18,IF(DATOS_[[Check Periodo Ref.]:[Check Periodo Ref.]]="Dentro",DATOS_[Conc.Sal.28]))))),
0)</f>
        <v>0</v>
      </c>
      <c r="AH20" s="93">
        <f t="array" ref="AH20">IFERROR(
AVERAGE((IF(DATOS_[[Sexo]:[Sexo]]=$B20,IF(DATOS_[[AGRUP. CLAS. PROF.]:[AGRUP. CLAS. PROF.]]=$B18,IF(DATOS_[[Check Periodo Ref.]:[Check Periodo Ref.]]="Dentro",DATOS_[Conc.Sal.29]))))),
0)</f>
        <v>0</v>
      </c>
      <c r="AI20" s="93">
        <f t="array" ref="AI20">IFERROR(
AVERAGE((IF(DATOS_[[Sexo]:[Sexo]]=$B20,IF(DATOS_[[AGRUP. CLAS. PROF.]:[AGRUP. CLAS. PROF.]]=$B18,IF(DATOS_[[Check Periodo Ref.]:[Check Periodo Ref.]]="Dentro",DATOS_[Conc.Sal.30]))))),
0)</f>
        <v>0</v>
      </c>
      <c r="AJ20" s="94">
        <f t="array" ref="AJ20">IFERROR(
AVERAGE(IF(DATOS_[Sexo]=$B20,IF(DATOS_[AGRUP. CLAS. PROF.]=$B18,IF(DATOS_[Check Periodo Ref.]="Dentro",DATOS_[Tot COMPL.SAL Ef],FALSE)))),
0)</f>
        <v>3154.8814938095238</v>
      </c>
      <c r="AK20" s="96">
        <f t="array" ref="AK20">IFERROR(
AVERAGE(IF(DATOS_[Sexo]=$B20,IF(DATOS_[AGRUP. CLAS. PROF.]=$B18,IF(DATOS_[Check Periodo Ref.]="Dentro",DATOS_[TOTAL SALARIO Ef],FALSE)))),
0)</f>
        <v>14059.379309285714</v>
      </c>
      <c r="AL20" s="95">
        <f t="array" ref="AL20">IFERROR(
AVERAGE((IF(DATOS_[[Sexo]:[Sexo]]=$B20,IF(DATOS_[[AGRUP. CLAS. PROF.]:[AGRUP. CLAS. PROF.]]=$B18,IF(DATOS_[[Check Periodo Ref.]:[Check Periodo Ref.]]="Dentro",DATOS_[C.Extra.01]))))),
0)</f>
        <v>0</v>
      </c>
      <c r="AM20" s="95">
        <f t="array" ref="AM20">IFERROR(
AVERAGE((IF(DATOS_[[Sexo]:[Sexo]]=$B20,IF(DATOS_[[AGRUP. CLAS. PROF.]:[AGRUP. CLAS. PROF.]]=$B18,IF(DATOS_[[Check Periodo Ref.]:[Check Periodo Ref.]]="Dentro",DATOS_[C.Extra.02]))))),
0)</f>
        <v>0</v>
      </c>
      <c r="AN20" s="95">
        <f t="array" ref="AN20">IFERROR(
AVERAGE((IF(DATOS_[[Sexo]:[Sexo]]=$B20,IF(DATOS_[[AGRUP. CLAS. PROF.]:[AGRUP. CLAS. PROF.]]=$B18,IF(DATOS_[[Check Periodo Ref.]:[Check Periodo Ref.]]="Dentro",DATOS_[C.Extra.03]))))),
0)</f>
        <v>0</v>
      </c>
      <c r="AO20" s="95">
        <f t="array" ref="AO20">IFERROR(
AVERAGE((IF(DATOS_[[Sexo]:[Sexo]]=$B20,IF(DATOS_[[AGRUP. CLAS. PROF.]:[AGRUP. CLAS. PROF.]]=$B18,IF(DATOS_[[Check Periodo Ref.]:[Check Periodo Ref.]]="Dentro",DATOS_[C.Extra.04]))))),
0)</f>
        <v>0</v>
      </c>
      <c r="AP20" s="95">
        <f t="array" ref="AP20">IFERROR(
AVERAGE((IF(DATOS_[[Sexo]:[Sexo]]=$B20,IF(DATOS_[[AGRUP. CLAS. PROF.]:[AGRUP. CLAS. PROF.]]=$B18,IF(DATOS_[[Check Periodo Ref.]:[Check Periodo Ref.]]="Dentro",DATOS_[C.Extra.05]))))),
0)</f>
        <v>0</v>
      </c>
      <c r="AQ20" s="97">
        <f t="array" ref="AQ20">IFERROR(
AVERAGE(IF(DATOS_[Sexo]=$B20,IF(DATOS_[AGRUP. CLAS. PROF.]=$B18,IF(DATOS_[Check Periodo Ref.]="Dentro",DATOS_[Tot Extrasalarial Ef],FALSE)))),
0)</f>
        <v>0</v>
      </c>
      <c r="AR20" s="98">
        <f t="array" ref="AR20">IFERROR(
AVERAGE(IF(DATOS_[Sexo]=$B20,IF(DATOS_[AGRUP. CLAS. PROF.]=$B18,IF(DATOS_[Check Periodo Ref.]="Dentro",DATOS_[TOTAL Retrib Ef],FALSE)))),
0)</f>
        <v>14059.379309285714</v>
      </c>
    </row>
    <row r="21" spans="1:44" ht="17.25" thickBot="1" x14ac:dyDescent="0.35">
      <c r="A21" s="309" t="str">
        <f t="shared" ref="A21" si="11">+A22</f>
        <v/>
      </c>
      <c r="B21" s="51" t="s">
        <v>300</v>
      </c>
      <c r="C21" s="91"/>
      <c r="D21" s="52"/>
      <c r="E21" s="139">
        <f t="shared" ref="E21:AR21" si="12">IFERROR((E22-E23)/E22,"")</f>
        <v>8.1231175130828184E-2</v>
      </c>
      <c r="F21" s="310">
        <f t="shared" si="12"/>
        <v>8.1249178314713136E-2</v>
      </c>
      <c r="G21" s="180">
        <f t="shared" si="12"/>
        <v>-0.47829230987431059</v>
      </c>
      <c r="H21" s="180" t="str">
        <f t="shared" si="12"/>
        <v/>
      </c>
      <c r="I21" s="180" t="str">
        <f t="shared" si="12"/>
        <v/>
      </c>
      <c r="J21" s="181" t="str">
        <f t="shared" si="12"/>
        <v/>
      </c>
      <c r="K21" s="182" t="str">
        <f t="shared" si="12"/>
        <v/>
      </c>
      <c r="L21" s="182">
        <f t="shared" si="12"/>
        <v>4.7619047619047644E-2</v>
      </c>
      <c r="M21" s="182">
        <f t="shared" si="12"/>
        <v>1</v>
      </c>
      <c r="N21" s="182" t="str">
        <f t="shared" si="12"/>
        <v/>
      </c>
      <c r="O21" s="182" t="str">
        <f t="shared" si="12"/>
        <v/>
      </c>
      <c r="P21" s="182" t="str">
        <f t="shared" si="12"/>
        <v/>
      </c>
      <c r="Q21" s="182" t="str">
        <f t="shared" si="12"/>
        <v/>
      </c>
      <c r="R21" s="182" t="str">
        <f t="shared" si="12"/>
        <v/>
      </c>
      <c r="S21" s="182" t="str">
        <f t="shared" si="12"/>
        <v/>
      </c>
      <c r="T21" s="182" t="str">
        <f t="shared" si="12"/>
        <v/>
      </c>
      <c r="U21" s="182" t="str">
        <f t="shared" si="12"/>
        <v/>
      </c>
      <c r="V21" s="181" t="str">
        <f t="shared" si="12"/>
        <v/>
      </c>
      <c r="W21" s="181" t="str">
        <f t="shared" si="12"/>
        <v/>
      </c>
      <c r="X21" s="181" t="str">
        <f t="shared" si="12"/>
        <v/>
      </c>
      <c r="Y21" s="181" t="str">
        <f t="shared" si="12"/>
        <v/>
      </c>
      <c r="Z21" s="181" t="str">
        <f t="shared" si="12"/>
        <v/>
      </c>
      <c r="AA21" s="181" t="str">
        <f t="shared" si="12"/>
        <v/>
      </c>
      <c r="AB21" s="181" t="str">
        <f t="shared" si="12"/>
        <v/>
      </c>
      <c r="AC21" s="181" t="str">
        <f t="shared" si="12"/>
        <v/>
      </c>
      <c r="AD21" s="181" t="str">
        <f t="shared" si="12"/>
        <v/>
      </c>
      <c r="AE21" s="181" t="str">
        <f t="shared" si="12"/>
        <v/>
      </c>
      <c r="AF21" s="181" t="str">
        <f t="shared" si="12"/>
        <v/>
      </c>
      <c r="AG21" s="181" t="str">
        <f t="shared" si="12"/>
        <v/>
      </c>
      <c r="AH21" s="181" t="str">
        <f t="shared" si="12"/>
        <v/>
      </c>
      <c r="AI21" s="181" t="str">
        <f t="shared" si="12"/>
        <v/>
      </c>
      <c r="AJ21" s="140">
        <f t="shared" si="12"/>
        <v>0.62487970733665388</v>
      </c>
      <c r="AK21" s="143">
        <f t="shared" si="12"/>
        <v>0.27810273373118272</v>
      </c>
      <c r="AL21" s="184" t="str">
        <f t="shared" si="12"/>
        <v/>
      </c>
      <c r="AM21" s="184" t="str">
        <f t="shared" si="12"/>
        <v/>
      </c>
      <c r="AN21" s="184" t="str">
        <f t="shared" si="12"/>
        <v/>
      </c>
      <c r="AO21" s="184" t="str">
        <f t="shared" si="12"/>
        <v/>
      </c>
      <c r="AP21" s="184" t="str">
        <f t="shared" si="12"/>
        <v/>
      </c>
      <c r="AQ21" s="141" t="str">
        <f t="shared" si="12"/>
        <v/>
      </c>
      <c r="AR21" s="142">
        <f t="shared" si="12"/>
        <v>0.27810273373118272</v>
      </c>
    </row>
    <row r="22" spans="1:44" x14ac:dyDescent="0.3">
      <c r="A22" s="309" t="str">
        <f t="shared" ref="A22" si="13">+IF(C22+C23=0,"[ocultar]","")</f>
        <v/>
      </c>
      <c r="B22" s="46" t="s">
        <v>162</v>
      </c>
      <c r="C22" s="45">
        <f t="array" ref="C22">SUM(IF($B22=DATOS_[Sexo],
IF($B21=DATOS_[AGRUP. CLAS. PROF.],
IF("Dentro"=DATOS_[Check Periodo Ref.],
1/(COUNTIFS(DATOS_[Sexo],$B22,DATOS_[AGRUP. CLAS. PROF.],$B21,DATOS_[Check Periodo Ref.],"Dentro",DATOS_[id],DATOS_[id]))))))</f>
        <v>30</v>
      </c>
      <c r="D22" s="47">
        <f>COUNTIFS(DATOS_[AGRUP. CLAS. PROF.],$B21,DATOS_[Sexo],$B22,DATOS_[Check Periodo Ref.],"Dentro")</f>
        <v>30</v>
      </c>
      <c r="E22" s="92">
        <f t="array" ref="E22">IFERROR(
AVERAGE(IF(DATOS_[Sexo]=$B22,IF(DATOS_[AGRUP. CLAS. PROF.]=$B21,IF(DATOS_[Check Periodo Ref.]="Dentro",DATOS_[SALARIO BASE Ef],FALSE)))),
0)</f>
        <v>13006.7637</v>
      </c>
      <c r="F22" s="93">
        <f t="array" ref="F22">IFERROR(
AVERAGE((IF(DATOS_[[Sexo]:[Sexo]]=$B22,IF(DATOS_[[AGRUP. CLAS. PROF.]:[AGRUP. CLAS. PROF.]]=$B21,IF(DATOS_[[Check Periodo Ref.]:[Check Periodo Ref.]]="Dentro",DATOS_[Conc.Sal.01]))))),
0)</f>
        <v>1377.069633333334</v>
      </c>
      <c r="G22" s="93">
        <f t="array" ref="G22">IFERROR(
AVERAGE((IF(DATOS_[[Sexo]:[Sexo]]=$B22,IF(DATOS_[[AGRUP. CLAS. PROF.]:[AGRUP. CLAS. PROF.]]=$B21,IF(DATOS_[[Check Periodo Ref.]:[Check Periodo Ref.]]="Dentro",DATOS_[Conc.Sal.02]))))),
0)</f>
        <v>971.52543733333312</v>
      </c>
      <c r="H22" s="93">
        <f t="array" ref="H22">IFERROR(
AVERAGE((IF(DATOS_[[Sexo]:[Sexo]]=$B22,IF(DATOS_[[AGRUP. CLAS. PROF.]:[AGRUP. CLAS. PROF.]]=$B21,IF(DATOS_[[Check Periodo Ref.]:[Check Periodo Ref.]]="Dentro",DATOS_[Conc.Sal.03]))))),
0)</f>
        <v>0</v>
      </c>
      <c r="I22" s="93">
        <f t="array" ref="I22">IFERROR(
AVERAGE((IF(DATOS_[[Sexo]:[Sexo]]=$B22,IF(DATOS_[[AGRUP. CLAS. PROF.]:[AGRUP. CLAS. PROF.]]=$B21,IF(DATOS_[[Check Periodo Ref.]:[Check Periodo Ref.]]="Dentro",DATOS_[Conc.Sal.04]))))),
0)</f>
        <v>0</v>
      </c>
      <c r="J22" s="93">
        <f t="array" ref="J22">IFERROR(
AVERAGE((IF(DATOS_[[Sexo]:[Sexo]]=$B22,IF(DATOS_[[AGRUP. CLAS. PROF.]:[AGRUP. CLAS. PROF.]]=$B21,IF(DATOS_[[Check Periodo Ref.]:[Check Periodo Ref.]]="Dentro",DATOS_[Conc.Sal.05]))))),
0)</f>
        <v>0</v>
      </c>
      <c r="K22" s="93">
        <f t="array" ref="K22">IFERROR(
AVERAGE((IF(DATOS_[[Sexo]:[Sexo]]=$B22,IF(DATOS_[[AGRUP. CLAS. PROF.]:[AGRUP. CLAS. PROF.]]=$B21,IF(DATOS_[[Check Periodo Ref.]:[Check Periodo Ref.]]="Dentro",DATOS_[Conc.Sal.06]))))),
0)</f>
        <v>0</v>
      </c>
      <c r="L22" s="93">
        <f t="array" ref="L22">IFERROR(
AVERAGE((IF(DATOS_[[Sexo]:[Sexo]]=$B22,IF(DATOS_[[AGRUP. CLAS. PROF.]:[AGRUP. CLAS. PROF.]]=$B21,IF(DATOS_[[Check Periodo Ref.]:[Check Periodo Ref.]]="Dentro",DATOS_[Conc.Sal.07]))))),
0)</f>
        <v>72</v>
      </c>
      <c r="M22" s="93">
        <f t="array" ref="M22">IFERROR(
AVERAGE((IF(DATOS_[[Sexo]:[Sexo]]=$B22,IF(DATOS_[[AGRUP. CLAS. PROF.]:[AGRUP. CLAS. PROF.]]=$B21,IF(DATOS_[[Check Periodo Ref.]:[Check Periodo Ref.]]="Dentro",DATOS_[Conc.Sal.08]))))),
0)</f>
        <v>4963.5798799999966</v>
      </c>
      <c r="N22" s="93">
        <f t="array" ref="N22">IFERROR(
AVERAGE((IF(DATOS_[[Sexo]:[Sexo]]=$B22,IF(DATOS_[[AGRUP. CLAS. PROF.]:[AGRUP. CLAS. PROF.]]=$B21,IF(DATOS_[[Check Periodo Ref.]:[Check Periodo Ref.]]="Dentro",DATOS_[Conc.Sal.09]))))),
0)</f>
        <v>0</v>
      </c>
      <c r="O22" s="93">
        <f t="array" ref="O22">IFERROR(
AVERAGE((IF(DATOS_[[Sexo]:[Sexo]]=$B22,IF(DATOS_[[AGRUP. CLAS. PROF.]:[AGRUP. CLAS. PROF.]]=$B21,IF(DATOS_[[Check Periodo Ref.]:[Check Periodo Ref.]]="Dentro",DATOS_[Conc.Sal.10]))))),
0)</f>
        <v>0</v>
      </c>
      <c r="P22" s="93">
        <f t="array" ref="P22">IFERROR(
AVERAGE((IF(DATOS_[[Sexo]:[Sexo]]=$B22,IF(DATOS_[[AGRUP. CLAS. PROF.]:[AGRUP. CLAS. PROF.]]=$B21,IF(DATOS_[[Check Periodo Ref.]:[Check Periodo Ref.]]="Dentro",DATOS_[Conc.Sal.11]))))),
0)</f>
        <v>0</v>
      </c>
      <c r="Q22" s="93">
        <f t="array" ref="Q22">IFERROR(
AVERAGE((IF(DATOS_[[Sexo]:[Sexo]]=$B22,IF(DATOS_[[AGRUP. CLAS. PROF.]:[AGRUP. CLAS. PROF.]]=$B21,IF(DATOS_[[Check Periodo Ref.]:[Check Periodo Ref.]]="Dentro",DATOS_[Conc.Sal.12]))))),
0)</f>
        <v>0</v>
      </c>
      <c r="R22" s="93">
        <f t="array" ref="R22">IFERROR(
AVERAGE((IF(DATOS_[[Sexo]:[Sexo]]=$B22,IF(DATOS_[[AGRUP. CLAS. PROF.]:[AGRUP. CLAS. PROF.]]=$B21,IF(DATOS_[[Check Periodo Ref.]:[Check Periodo Ref.]]="Dentro",DATOS_[Conc.Sal.13]))))),
0)</f>
        <v>0</v>
      </c>
      <c r="S22" s="93">
        <f t="array" ref="S22">IFERROR(
AVERAGE((IF(DATOS_[[Sexo]:[Sexo]]=$B22,IF(DATOS_[[AGRUP. CLAS. PROF.]:[AGRUP. CLAS. PROF.]]=$B21,IF(DATOS_[[Check Periodo Ref.]:[Check Periodo Ref.]]="Dentro",DATOS_[Conc.Sal.14]))))),
0)</f>
        <v>0</v>
      </c>
      <c r="T22" s="93">
        <f t="array" ref="T22">IFERROR(
AVERAGE((IF(DATOS_[[Sexo]:[Sexo]]=$B22,IF(DATOS_[[AGRUP. CLAS. PROF.]:[AGRUP. CLAS. PROF.]]=$B21,IF(DATOS_[[Check Periodo Ref.]:[Check Periodo Ref.]]="Dentro",DATOS_[Conc.Sal.15]))))),
0)</f>
        <v>0</v>
      </c>
      <c r="U22" s="93">
        <f t="array" ref="U22">IFERROR(
AVERAGE((IF(DATOS_[[Sexo]:[Sexo]]=$B22,IF(DATOS_[[AGRUP. CLAS. PROF.]:[AGRUP. CLAS. PROF.]]=$B21,IF(DATOS_[[Check Periodo Ref.]:[Check Periodo Ref.]]="Dentro",DATOS_[Conc.Sal.16]))))),
0)</f>
        <v>0</v>
      </c>
      <c r="V22" s="93">
        <f t="array" ref="V22">IFERROR(
AVERAGE((IF(DATOS_[[Sexo]:[Sexo]]=$B22,IF(DATOS_[[AGRUP. CLAS. PROF.]:[AGRUP. CLAS. PROF.]]=$B21,IF(DATOS_[[Check Periodo Ref.]:[Check Periodo Ref.]]="Dentro",DATOS_[Conc.Sal.17]))))),
0)</f>
        <v>0</v>
      </c>
      <c r="W22" s="93">
        <f t="array" ref="W22">IFERROR(
AVERAGE((IF(DATOS_[[Sexo]:[Sexo]]=$B22,IF(DATOS_[[AGRUP. CLAS. PROF.]:[AGRUP. CLAS. PROF.]]=$B21,IF(DATOS_[[Check Periodo Ref.]:[Check Periodo Ref.]]="Dentro",DATOS_[Conc.Sal.18]))))),
0)</f>
        <v>0</v>
      </c>
      <c r="X22" s="93">
        <f t="array" ref="X22">IFERROR(
AVERAGE((IF(DATOS_[[Sexo]:[Sexo]]=$B22,IF(DATOS_[[AGRUP. CLAS. PROF.]:[AGRUP. CLAS. PROF.]]=$B21,IF(DATOS_[[Check Periodo Ref.]:[Check Periodo Ref.]]="Dentro",DATOS_[Conc.Sal.19]))))),
0)</f>
        <v>0</v>
      </c>
      <c r="Y22" s="93">
        <f t="array" ref="Y22">IFERROR(
AVERAGE((IF(DATOS_[[Sexo]:[Sexo]]=$B22,IF(DATOS_[[AGRUP. CLAS. PROF.]:[AGRUP. CLAS. PROF.]]=$B21,IF(DATOS_[[Check Periodo Ref.]:[Check Periodo Ref.]]="Dentro",DATOS_[Conc.Sal.20]))))),
0)</f>
        <v>0</v>
      </c>
      <c r="Z22" s="93">
        <f t="array" ref="Z22">IFERROR(
AVERAGE((IF(DATOS_[[Sexo]:[Sexo]]=$B22,IF(DATOS_[[AGRUP. CLAS. PROF.]:[AGRUP. CLAS. PROF.]]=$B21,IF(DATOS_[[Check Periodo Ref.]:[Check Periodo Ref.]]="Dentro",DATOS_[Conc.Sal.21]))))),
0)</f>
        <v>0</v>
      </c>
      <c r="AA22" s="93">
        <f t="array" ref="AA22">IFERROR(
AVERAGE((IF(DATOS_[[Sexo]:[Sexo]]=$B22,IF(DATOS_[[AGRUP. CLAS. PROF.]:[AGRUP. CLAS. PROF.]]=$B21,IF(DATOS_[[Check Periodo Ref.]:[Check Periodo Ref.]]="Dentro",DATOS_[Conc.Sal.22]))))),
0)</f>
        <v>0</v>
      </c>
      <c r="AB22" s="93">
        <f t="array" ref="AB22">IFERROR(
AVERAGE((IF(DATOS_[[Sexo]:[Sexo]]=$B22,IF(DATOS_[[AGRUP. CLAS. PROF.]:[AGRUP. CLAS. PROF.]]=$B21,IF(DATOS_[[Check Periodo Ref.]:[Check Periodo Ref.]]="Dentro",DATOS_[Conc.Sal.23]))))),
0)</f>
        <v>0</v>
      </c>
      <c r="AC22" s="93">
        <f t="array" ref="AC22">IFERROR(
AVERAGE((IF(DATOS_[[Sexo]:[Sexo]]=$B22,IF(DATOS_[[AGRUP. CLAS. PROF.]:[AGRUP. CLAS. PROF.]]=$B21,IF(DATOS_[[Check Periodo Ref.]:[Check Periodo Ref.]]="Dentro",DATOS_[Conc.Sal.24]))))),
0)</f>
        <v>0</v>
      </c>
      <c r="AD22" s="93">
        <f t="array" ref="AD22">IFERROR(
AVERAGE((IF(DATOS_[[Sexo]:[Sexo]]=$B22,IF(DATOS_[[AGRUP. CLAS. PROF.]:[AGRUP. CLAS. PROF.]]=$B21,IF(DATOS_[[Check Periodo Ref.]:[Check Periodo Ref.]]="Dentro",DATOS_[Conc.Sal.25]))))),
0)</f>
        <v>0</v>
      </c>
      <c r="AE22" s="93">
        <f t="array" ref="AE22">IFERROR(
AVERAGE((IF(DATOS_[[Sexo]:[Sexo]]=$B22,IF(DATOS_[[AGRUP. CLAS. PROF.]:[AGRUP. CLAS. PROF.]]=$B21,IF(DATOS_[[Check Periodo Ref.]:[Check Periodo Ref.]]="Dentro",DATOS_[Conc.Sal.26]))))),
0)</f>
        <v>0</v>
      </c>
      <c r="AF22" s="93">
        <f t="array" ref="AF22">IFERROR(
AVERAGE((IF(DATOS_[[Sexo]:[Sexo]]=$B22,IF(DATOS_[[AGRUP. CLAS. PROF.]:[AGRUP. CLAS. PROF.]]=$B21,IF(DATOS_[[Check Periodo Ref.]:[Check Periodo Ref.]]="Dentro",DATOS_[Conc.Sal.27]))))),
0)</f>
        <v>0</v>
      </c>
      <c r="AG22" s="93">
        <f t="array" ref="AG22">IFERROR(
AVERAGE((IF(DATOS_[[Sexo]:[Sexo]]=$B22,IF(DATOS_[[AGRUP. CLAS. PROF.]:[AGRUP. CLAS. PROF.]]=$B21,IF(DATOS_[[Check Periodo Ref.]:[Check Periodo Ref.]]="Dentro",DATOS_[Conc.Sal.28]))))),
0)</f>
        <v>0</v>
      </c>
      <c r="AH22" s="93">
        <f t="array" ref="AH22">IFERROR(
AVERAGE((IF(DATOS_[[Sexo]:[Sexo]]=$B22,IF(DATOS_[[AGRUP. CLAS. PROF.]:[AGRUP. CLAS. PROF.]]=$B21,IF(DATOS_[[Check Periodo Ref.]:[Check Periodo Ref.]]="Dentro",DATOS_[Conc.Sal.29]))))),
0)</f>
        <v>0</v>
      </c>
      <c r="AI22" s="93">
        <f t="array" ref="AI22">IFERROR(
AVERAGE((IF(DATOS_[[Sexo]:[Sexo]]=$B22,IF(DATOS_[[AGRUP. CLAS. PROF.]:[AGRUP. CLAS. PROF.]]=$B21,IF(DATOS_[[Check Periodo Ref.]:[Check Periodo Ref.]]="Dentro",DATOS_[Conc.Sal.30]))))),
0)</f>
        <v>0</v>
      </c>
      <c r="AJ22" s="94">
        <f t="array" ref="AJ22">IFERROR(
AVERAGE(IF(DATOS_[Sexo]=$B22,IF(DATOS_[AGRUP. CLAS. PROF.]=$B21,IF(DATOS_[Check Periodo Ref.]="Dentro",DATOS_[Tot COMPL.SAL Ef],FALSE)))),
0)</f>
        <v>7384.1749506666656</v>
      </c>
      <c r="AK22" s="96">
        <f t="array" ref="AK22">IFERROR(
AVERAGE(IF(DATOS_[Sexo]=$B22,IF(DATOS_[AGRUP. CLAS. PROF.]=$B21,IF(DATOS_[Check Periodo Ref.]="Dentro",DATOS_[TOTAL SALARIO Ef],FALSE)))),
0)</f>
        <v>20390.93865066666</v>
      </c>
      <c r="AL22" s="95">
        <f t="array" ref="AL22">IFERROR(
AVERAGE((IF(DATOS_[[Sexo]:[Sexo]]=$B22,IF(DATOS_[[AGRUP. CLAS. PROF.]:[AGRUP. CLAS. PROF.]]=$B21,IF(DATOS_[[Check Periodo Ref.]:[Check Periodo Ref.]]="Dentro",DATOS_[C.Extra.01]))))),
0)</f>
        <v>0</v>
      </c>
      <c r="AM22" s="95">
        <f t="array" ref="AM22">IFERROR(
AVERAGE((IF(DATOS_[[Sexo]:[Sexo]]=$B22,IF(DATOS_[[AGRUP. CLAS. PROF.]:[AGRUP. CLAS. PROF.]]=$B21,IF(DATOS_[[Check Periodo Ref.]:[Check Periodo Ref.]]="Dentro",DATOS_[C.Extra.02]))))),
0)</f>
        <v>0</v>
      </c>
      <c r="AN22" s="95">
        <f t="array" ref="AN22">IFERROR(
AVERAGE((IF(DATOS_[[Sexo]:[Sexo]]=$B22,IF(DATOS_[[AGRUP. CLAS. PROF.]:[AGRUP. CLAS. PROF.]]=$B21,IF(DATOS_[[Check Periodo Ref.]:[Check Periodo Ref.]]="Dentro",DATOS_[C.Extra.03]))))),
0)</f>
        <v>0</v>
      </c>
      <c r="AO22" s="95">
        <f t="array" ref="AO22">IFERROR(
AVERAGE((IF(DATOS_[[Sexo]:[Sexo]]=$B22,IF(DATOS_[[AGRUP. CLAS. PROF.]:[AGRUP. CLAS. PROF.]]=$B21,IF(DATOS_[[Check Periodo Ref.]:[Check Periodo Ref.]]="Dentro",DATOS_[C.Extra.04]))))),
0)</f>
        <v>0</v>
      </c>
      <c r="AP22" s="95">
        <f t="array" ref="AP22">IFERROR(
AVERAGE((IF(DATOS_[[Sexo]:[Sexo]]=$B22,IF(DATOS_[[AGRUP. CLAS. PROF.]:[AGRUP. CLAS. PROF.]]=$B21,IF(DATOS_[[Check Periodo Ref.]:[Check Periodo Ref.]]="Dentro",DATOS_[C.Extra.05]))))),
0)</f>
        <v>0</v>
      </c>
      <c r="AQ22" s="97">
        <f t="array" ref="AQ22">IFERROR(
AVERAGE(IF(DATOS_[Sexo]=$B22,IF(DATOS_[AGRUP. CLAS. PROF.]=$B21,IF(DATOS_[Check Periodo Ref.]="Dentro",DATOS_[Tot Extrasalarial Ef],FALSE)))),
0)</f>
        <v>0</v>
      </c>
      <c r="AR22" s="98">
        <f t="array" ref="AR22">IFERROR(
AVERAGE(IF(DATOS_[Sexo]=$B22,IF(DATOS_[AGRUP. CLAS. PROF.]=$B21,IF(DATOS_[Check Periodo Ref.]="Dentro",DATOS_[TOTAL Retrib Ef],FALSE)))),
0)</f>
        <v>20390.93865066666</v>
      </c>
    </row>
    <row r="23" spans="1:44" x14ac:dyDescent="0.3">
      <c r="A23" s="309" t="str">
        <f t="shared" ref="A23" si="14">+A22</f>
        <v/>
      </c>
      <c r="B23" s="46" t="s">
        <v>163</v>
      </c>
      <c r="C23" s="45">
        <f t="array" ref="C23">SUM(IF($B23=DATOS_[Sexo],
IF($B21=DATOS_[AGRUP. CLAS. PROF.],
IF("Dentro"=DATOS_[Check Periodo Ref.],
1/(COUNTIFS(DATOS_[Sexo],$B23,DATOS_[AGRUP. CLAS. PROF.],$B21,DATOS_[Check Periodo Ref.],"Dentro",DATOS_[id],DATOS_[id]))))))</f>
        <v>14</v>
      </c>
      <c r="D23" s="47">
        <f>COUNTIFS(DATOS_[AGRUP. CLAS. PROF.],$B21,DATOS_[Sexo],$B23,DATOS_[Check Periodo Ref.],"Dentro")</f>
        <v>14</v>
      </c>
      <c r="E23" s="92">
        <f t="array" ref="E23">IFERROR(
AVERAGE(IF(DATOS_[Sexo]=$B23,IF(DATOS_[AGRUP. CLAS. PROF.]=$B21,IF(DATOS_[Check Periodo Ref.]="Dentro",DATOS_[SALARIO BASE Ef],FALSE)))),
0)</f>
        <v>11950.209000000001</v>
      </c>
      <c r="F23" s="93">
        <f t="array" ref="F23">IFERROR(
AVERAGE((IF(DATOS_[[Sexo]:[Sexo]]=$B23,IF(DATOS_[[AGRUP. CLAS. PROF.]:[AGRUP. CLAS. PROF.]]=$B21,IF(DATOS_[[Check Periodo Ref.]:[Check Periodo Ref.]]="Dentro",DATOS_[Conc.Sal.01]))))),
0)</f>
        <v>1265.1838571428573</v>
      </c>
      <c r="G23" s="93">
        <f t="array" ref="G23">IFERROR(
AVERAGE((IF(DATOS_[[Sexo]:[Sexo]]=$B23,IF(DATOS_[[AGRUP. CLAS. PROF.]:[AGRUP. CLAS. PROF.]]=$B21,IF(DATOS_[[Check Periodo Ref.]:[Check Periodo Ref.]]="Dentro",DATOS_[Conc.Sal.02]))))),
0)</f>
        <v>1436.1985828571428</v>
      </c>
      <c r="H23" s="93">
        <f t="array" ref="H23">IFERROR(
AVERAGE((IF(DATOS_[[Sexo]:[Sexo]]=$B23,IF(DATOS_[[AGRUP. CLAS. PROF.]:[AGRUP. CLAS. PROF.]]=$B21,IF(DATOS_[[Check Periodo Ref.]:[Check Periodo Ref.]]="Dentro",DATOS_[Conc.Sal.03]))))),
0)</f>
        <v>0</v>
      </c>
      <c r="I23" s="93">
        <f t="array" ref="I23">IFERROR(
AVERAGE((IF(DATOS_[[Sexo]:[Sexo]]=$B23,IF(DATOS_[[AGRUP. CLAS. PROF.]:[AGRUP. CLAS. PROF.]]=$B21,IF(DATOS_[[Check Periodo Ref.]:[Check Periodo Ref.]]="Dentro",DATOS_[Conc.Sal.04]))))),
0)</f>
        <v>0</v>
      </c>
      <c r="J23" s="93">
        <f t="array" ref="J23">IFERROR(
AVERAGE((IF(DATOS_[[Sexo]:[Sexo]]=$B23,IF(DATOS_[[AGRUP. CLAS. PROF.]:[AGRUP. CLAS. PROF.]]=$B21,IF(DATOS_[[Check Periodo Ref.]:[Check Periodo Ref.]]="Dentro",DATOS_[Conc.Sal.05]))))),
0)</f>
        <v>0</v>
      </c>
      <c r="K23" s="93">
        <f t="array" ref="K23">IFERROR(
AVERAGE((IF(DATOS_[[Sexo]:[Sexo]]=$B23,IF(DATOS_[[AGRUP. CLAS. PROF.]:[AGRUP. CLAS. PROF.]]=$B21,IF(DATOS_[[Check Periodo Ref.]:[Check Periodo Ref.]]="Dentro",DATOS_[Conc.Sal.06]))))),
0)</f>
        <v>0</v>
      </c>
      <c r="L23" s="93">
        <f t="array" ref="L23">IFERROR(
AVERAGE((IF(DATOS_[[Sexo]:[Sexo]]=$B23,IF(DATOS_[[AGRUP. CLAS. PROF.]:[AGRUP. CLAS. PROF.]]=$B21,IF(DATOS_[[Check Periodo Ref.]:[Check Periodo Ref.]]="Dentro",DATOS_[Conc.Sal.07]))))),
0)</f>
        <v>68.571428571428569</v>
      </c>
      <c r="M23" s="93">
        <f t="array" ref="M23">IFERROR(
AVERAGE((IF(DATOS_[[Sexo]:[Sexo]]=$B23,IF(DATOS_[[AGRUP. CLAS. PROF.]:[AGRUP. CLAS. PROF.]]=$B21,IF(DATOS_[[Check Periodo Ref.]:[Check Periodo Ref.]]="Dentro",DATOS_[Conc.Sal.08]))))),
0)</f>
        <v>0</v>
      </c>
      <c r="N23" s="93">
        <f t="array" ref="N23">IFERROR(
AVERAGE((IF(DATOS_[[Sexo]:[Sexo]]=$B23,IF(DATOS_[[AGRUP. CLAS. PROF.]:[AGRUP. CLAS. PROF.]]=$B21,IF(DATOS_[[Check Periodo Ref.]:[Check Periodo Ref.]]="Dentro",DATOS_[Conc.Sal.09]))))),
0)</f>
        <v>0</v>
      </c>
      <c r="O23" s="93">
        <f t="array" ref="O23">IFERROR(
AVERAGE((IF(DATOS_[[Sexo]:[Sexo]]=$B23,IF(DATOS_[[AGRUP. CLAS. PROF.]:[AGRUP. CLAS. PROF.]]=$B21,IF(DATOS_[[Check Periodo Ref.]:[Check Periodo Ref.]]="Dentro",DATOS_[Conc.Sal.10]))))),
0)</f>
        <v>0</v>
      </c>
      <c r="P23" s="93">
        <f t="array" ref="P23">IFERROR(
AVERAGE((IF(DATOS_[[Sexo]:[Sexo]]=$B23,IF(DATOS_[[AGRUP. CLAS. PROF.]:[AGRUP. CLAS. PROF.]]=$B21,IF(DATOS_[[Check Periodo Ref.]:[Check Periodo Ref.]]="Dentro",DATOS_[Conc.Sal.11]))))),
0)</f>
        <v>0</v>
      </c>
      <c r="Q23" s="93">
        <f t="array" ref="Q23">IFERROR(
AVERAGE((IF(DATOS_[[Sexo]:[Sexo]]=$B23,IF(DATOS_[[AGRUP. CLAS. PROF.]:[AGRUP. CLAS. PROF.]]=$B21,IF(DATOS_[[Check Periodo Ref.]:[Check Periodo Ref.]]="Dentro",DATOS_[Conc.Sal.12]))))),
0)</f>
        <v>0</v>
      </c>
      <c r="R23" s="93">
        <f t="array" ref="R23">IFERROR(
AVERAGE((IF(DATOS_[[Sexo]:[Sexo]]=$B23,IF(DATOS_[[AGRUP. CLAS. PROF.]:[AGRUP. CLAS. PROF.]]=$B21,IF(DATOS_[[Check Periodo Ref.]:[Check Periodo Ref.]]="Dentro",DATOS_[Conc.Sal.13]))))),
0)</f>
        <v>0</v>
      </c>
      <c r="S23" s="93">
        <f t="array" ref="S23">IFERROR(
AVERAGE((IF(DATOS_[[Sexo]:[Sexo]]=$B23,IF(DATOS_[[AGRUP. CLAS. PROF.]:[AGRUP. CLAS. PROF.]]=$B21,IF(DATOS_[[Check Periodo Ref.]:[Check Periodo Ref.]]="Dentro",DATOS_[Conc.Sal.14]))))),
0)</f>
        <v>0</v>
      </c>
      <c r="T23" s="93">
        <f t="array" ref="T23">IFERROR(
AVERAGE((IF(DATOS_[[Sexo]:[Sexo]]=$B23,IF(DATOS_[[AGRUP. CLAS. PROF.]:[AGRUP. CLAS. PROF.]]=$B21,IF(DATOS_[[Check Periodo Ref.]:[Check Periodo Ref.]]="Dentro",DATOS_[Conc.Sal.15]))))),
0)</f>
        <v>0</v>
      </c>
      <c r="U23" s="93">
        <f t="array" ref="U23">IFERROR(
AVERAGE((IF(DATOS_[[Sexo]:[Sexo]]=$B23,IF(DATOS_[[AGRUP. CLAS. PROF.]:[AGRUP. CLAS. PROF.]]=$B21,IF(DATOS_[[Check Periodo Ref.]:[Check Periodo Ref.]]="Dentro",DATOS_[Conc.Sal.16]))))),
0)</f>
        <v>0</v>
      </c>
      <c r="V23" s="93">
        <f t="array" ref="V23">IFERROR(
AVERAGE((IF(DATOS_[[Sexo]:[Sexo]]=$B23,IF(DATOS_[[AGRUP. CLAS. PROF.]:[AGRUP. CLAS. PROF.]]=$B21,IF(DATOS_[[Check Periodo Ref.]:[Check Periodo Ref.]]="Dentro",DATOS_[Conc.Sal.17]))))),
0)</f>
        <v>0</v>
      </c>
      <c r="W23" s="93">
        <f t="array" ref="W23">IFERROR(
AVERAGE((IF(DATOS_[[Sexo]:[Sexo]]=$B23,IF(DATOS_[[AGRUP. CLAS. PROF.]:[AGRUP. CLAS. PROF.]]=$B21,IF(DATOS_[[Check Periodo Ref.]:[Check Periodo Ref.]]="Dentro",DATOS_[Conc.Sal.18]))))),
0)</f>
        <v>0</v>
      </c>
      <c r="X23" s="93">
        <f t="array" ref="X23">IFERROR(
AVERAGE((IF(DATOS_[[Sexo]:[Sexo]]=$B23,IF(DATOS_[[AGRUP. CLAS. PROF.]:[AGRUP. CLAS. PROF.]]=$B21,IF(DATOS_[[Check Periodo Ref.]:[Check Periodo Ref.]]="Dentro",DATOS_[Conc.Sal.19]))))),
0)</f>
        <v>0</v>
      </c>
      <c r="Y23" s="93">
        <f t="array" ref="Y23">IFERROR(
AVERAGE((IF(DATOS_[[Sexo]:[Sexo]]=$B23,IF(DATOS_[[AGRUP. CLAS. PROF.]:[AGRUP. CLAS. PROF.]]=$B21,IF(DATOS_[[Check Periodo Ref.]:[Check Periodo Ref.]]="Dentro",DATOS_[Conc.Sal.20]))))),
0)</f>
        <v>0</v>
      </c>
      <c r="Z23" s="93">
        <f t="array" ref="Z23">IFERROR(
AVERAGE((IF(DATOS_[[Sexo]:[Sexo]]=$B23,IF(DATOS_[[AGRUP. CLAS. PROF.]:[AGRUP. CLAS. PROF.]]=$B21,IF(DATOS_[[Check Periodo Ref.]:[Check Periodo Ref.]]="Dentro",DATOS_[Conc.Sal.21]))))),
0)</f>
        <v>0</v>
      </c>
      <c r="AA23" s="93">
        <f t="array" ref="AA23">IFERROR(
AVERAGE((IF(DATOS_[[Sexo]:[Sexo]]=$B23,IF(DATOS_[[AGRUP. CLAS. PROF.]:[AGRUP. CLAS. PROF.]]=$B21,IF(DATOS_[[Check Periodo Ref.]:[Check Periodo Ref.]]="Dentro",DATOS_[Conc.Sal.22]))))),
0)</f>
        <v>0</v>
      </c>
      <c r="AB23" s="93">
        <f t="array" ref="AB23">IFERROR(
AVERAGE((IF(DATOS_[[Sexo]:[Sexo]]=$B23,IF(DATOS_[[AGRUP. CLAS. PROF.]:[AGRUP. CLAS. PROF.]]=$B21,IF(DATOS_[[Check Periodo Ref.]:[Check Periodo Ref.]]="Dentro",DATOS_[Conc.Sal.23]))))),
0)</f>
        <v>0</v>
      </c>
      <c r="AC23" s="93">
        <f t="array" ref="AC23">IFERROR(
AVERAGE((IF(DATOS_[[Sexo]:[Sexo]]=$B23,IF(DATOS_[[AGRUP. CLAS. PROF.]:[AGRUP. CLAS. PROF.]]=$B21,IF(DATOS_[[Check Periodo Ref.]:[Check Periodo Ref.]]="Dentro",DATOS_[Conc.Sal.24]))))),
0)</f>
        <v>0</v>
      </c>
      <c r="AD23" s="93">
        <f t="array" ref="AD23">IFERROR(
AVERAGE((IF(DATOS_[[Sexo]:[Sexo]]=$B23,IF(DATOS_[[AGRUP. CLAS. PROF.]:[AGRUP. CLAS. PROF.]]=$B21,IF(DATOS_[[Check Periodo Ref.]:[Check Periodo Ref.]]="Dentro",DATOS_[Conc.Sal.25]))))),
0)</f>
        <v>0</v>
      </c>
      <c r="AE23" s="93">
        <f t="array" ref="AE23">IFERROR(
AVERAGE((IF(DATOS_[[Sexo]:[Sexo]]=$B23,IF(DATOS_[[AGRUP. CLAS. PROF.]:[AGRUP. CLAS. PROF.]]=$B21,IF(DATOS_[[Check Periodo Ref.]:[Check Periodo Ref.]]="Dentro",DATOS_[Conc.Sal.26]))))),
0)</f>
        <v>0</v>
      </c>
      <c r="AF23" s="93">
        <f t="array" ref="AF23">IFERROR(
AVERAGE((IF(DATOS_[[Sexo]:[Sexo]]=$B23,IF(DATOS_[[AGRUP. CLAS. PROF.]:[AGRUP. CLAS. PROF.]]=$B21,IF(DATOS_[[Check Periodo Ref.]:[Check Periodo Ref.]]="Dentro",DATOS_[Conc.Sal.27]))))),
0)</f>
        <v>0</v>
      </c>
      <c r="AG23" s="93">
        <f t="array" ref="AG23">IFERROR(
AVERAGE((IF(DATOS_[[Sexo]:[Sexo]]=$B23,IF(DATOS_[[AGRUP. CLAS. PROF.]:[AGRUP. CLAS. PROF.]]=$B21,IF(DATOS_[[Check Periodo Ref.]:[Check Periodo Ref.]]="Dentro",DATOS_[Conc.Sal.28]))))),
0)</f>
        <v>0</v>
      </c>
      <c r="AH23" s="93">
        <f t="array" ref="AH23">IFERROR(
AVERAGE((IF(DATOS_[[Sexo]:[Sexo]]=$B23,IF(DATOS_[[AGRUP. CLAS. PROF.]:[AGRUP. CLAS. PROF.]]=$B21,IF(DATOS_[[Check Periodo Ref.]:[Check Periodo Ref.]]="Dentro",DATOS_[Conc.Sal.29]))))),
0)</f>
        <v>0</v>
      </c>
      <c r="AI23" s="93">
        <f t="array" ref="AI23">IFERROR(
AVERAGE((IF(DATOS_[[Sexo]:[Sexo]]=$B23,IF(DATOS_[[AGRUP. CLAS. PROF.]:[AGRUP. CLAS. PROF.]]=$B21,IF(DATOS_[[Check Periodo Ref.]:[Check Periodo Ref.]]="Dentro",DATOS_[Conc.Sal.30]))))),
0)</f>
        <v>0</v>
      </c>
      <c r="AJ23" s="94">
        <f t="array" ref="AJ23">IFERROR(
AVERAGE(IF(DATOS_[Sexo]=$B23,IF(DATOS_[AGRUP. CLAS. PROF.]=$B21,IF(DATOS_[Check Periodo Ref.]="Dentro",DATOS_[Tot COMPL.SAL Ef],FALSE)))),
0)</f>
        <v>2769.9538685714288</v>
      </c>
      <c r="AK23" s="96">
        <f t="array" ref="AK23">IFERROR(
AVERAGE(IF(DATOS_[Sexo]=$B23,IF(DATOS_[AGRUP. CLAS. PROF.]=$B21,IF(DATOS_[Check Periodo Ref.]="Dentro",DATOS_[TOTAL SALARIO Ef],FALSE)))),
0)</f>
        <v>14720.162868571428</v>
      </c>
      <c r="AL23" s="95">
        <f t="array" ref="AL23">IFERROR(
AVERAGE((IF(DATOS_[[Sexo]:[Sexo]]=$B23,IF(DATOS_[[AGRUP. CLAS. PROF.]:[AGRUP. CLAS. PROF.]]=$B21,IF(DATOS_[[Check Periodo Ref.]:[Check Periodo Ref.]]="Dentro",DATOS_[C.Extra.01]))))),
0)</f>
        <v>0</v>
      </c>
      <c r="AM23" s="95">
        <f t="array" ref="AM23">IFERROR(
AVERAGE((IF(DATOS_[[Sexo]:[Sexo]]=$B23,IF(DATOS_[[AGRUP. CLAS. PROF.]:[AGRUP. CLAS. PROF.]]=$B21,IF(DATOS_[[Check Periodo Ref.]:[Check Periodo Ref.]]="Dentro",DATOS_[C.Extra.02]))))),
0)</f>
        <v>0</v>
      </c>
      <c r="AN23" s="95">
        <f t="array" ref="AN23">IFERROR(
AVERAGE((IF(DATOS_[[Sexo]:[Sexo]]=$B23,IF(DATOS_[[AGRUP. CLAS. PROF.]:[AGRUP. CLAS. PROF.]]=$B21,IF(DATOS_[[Check Periodo Ref.]:[Check Periodo Ref.]]="Dentro",DATOS_[C.Extra.03]))))),
0)</f>
        <v>0</v>
      </c>
      <c r="AO23" s="95">
        <f t="array" ref="AO23">IFERROR(
AVERAGE((IF(DATOS_[[Sexo]:[Sexo]]=$B23,IF(DATOS_[[AGRUP. CLAS. PROF.]:[AGRUP. CLAS. PROF.]]=$B21,IF(DATOS_[[Check Periodo Ref.]:[Check Periodo Ref.]]="Dentro",DATOS_[C.Extra.04]))))),
0)</f>
        <v>0</v>
      </c>
      <c r="AP23" s="95">
        <f t="array" ref="AP23">IFERROR(
AVERAGE((IF(DATOS_[[Sexo]:[Sexo]]=$B23,IF(DATOS_[[AGRUP. CLAS. PROF.]:[AGRUP. CLAS. PROF.]]=$B21,IF(DATOS_[[Check Periodo Ref.]:[Check Periodo Ref.]]="Dentro",DATOS_[C.Extra.05]))))),
0)</f>
        <v>0</v>
      </c>
      <c r="AQ23" s="97">
        <f t="array" ref="AQ23">IFERROR(
AVERAGE(IF(DATOS_[Sexo]=$B23,IF(DATOS_[AGRUP. CLAS. PROF.]=$B21,IF(DATOS_[Check Periodo Ref.]="Dentro",DATOS_[Tot Extrasalarial Ef],FALSE)))),
0)</f>
        <v>0</v>
      </c>
      <c r="AR23" s="98">
        <f t="array" ref="AR23">IFERROR(
AVERAGE(IF(DATOS_[Sexo]=$B23,IF(DATOS_[AGRUP. CLAS. PROF.]=$B21,IF(DATOS_[Check Periodo Ref.]="Dentro",DATOS_[TOTAL Retrib Ef],FALSE)))),
0)</f>
        <v>14720.162868571428</v>
      </c>
    </row>
    <row r="24" spans="1:44" ht="17.25" thickBot="1" x14ac:dyDescent="0.35">
      <c r="A24" s="309" t="str">
        <f t="shared" ref="A24" si="15">+A25</f>
        <v/>
      </c>
      <c r="B24" s="51" t="s">
        <v>301</v>
      </c>
      <c r="C24" s="91"/>
      <c r="D24" s="52"/>
      <c r="E24" s="139">
        <f t="shared" ref="E24:AR24" si="16">IFERROR((E25-E26)/E25,"")</f>
        <v>-6.9878472222222557E-2</v>
      </c>
      <c r="F24" s="310">
        <f t="shared" si="16"/>
        <v>-0.21859772897746577</v>
      </c>
      <c r="G24" s="180">
        <f t="shared" si="16"/>
        <v>9.5335144927536197E-2</v>
      </c>
      <c r="H24" s="180">
        <f t="shared" si="16"/>
        <v>0.30776515151515149</v>
      </c>
      <c r="I24" s="180" t="str">
        <f t="shared" si="16"/>
        <v/>
      </c>
      <c r="J24" s="181" t="str">
        <f t="shared" si="16"/>
        <v/>
      </c>
      <c r="K24" s="182" t="str">
        <f t="shared" si="16"/>
        <v/>
      </c>
      <c r="L24" s="182">
        <f t="shared" si="16"/>
        <v>-0.16369047619047639</v>
      </c>
      <c r="M24" s="182" t="str">
        <f t="shared" si="16"/>
        <v/>
      </c>
      <c r="N24" s="182" t="str">
        <f t="shared" si="16"/>
        <v/>
      </c>
      <c r="O24" s="182" t="str">
        <f t="shared" si="16"/>
        <v/>
      </c>
      <c r="P24" s="182" t="str">
        <f t="shared" si="16"/>
        <v/>
      </c>
      <c r="Q24" s="182" t="str">
        <f t="shared" si="16"/>
        <v/>
      </c>
      <c r="R24" s="182" t="str">
        <f t="shared" si="16"/>
        <v/>
      </c>
      <c r="S24" s="182" t="str">
        <f t="shared" si="16"/>
        <v/>
      </c>
      <c r="T24" s="182" t="str">
        <f t="shared" si="16"/>
        <v/>
      </c>
      <c r="U24" s="182" t="str">
        <f t="shared" si="16"/>
        <v/>
      </c>
      <c r="V24" s="181" t="str">
        <f t="shared" si="16"/>
        <v/>
      </c>
      <c r="W24" s="181" t="str">
        <f t="shared" si="16"/>
        <v/>
      </c>
      <c r="X24" s="181" t="str">
        <f t="shared" si="16"/>
        <v/>
      </c>
      <c r="Y24" s="181" t="str">
        <f t="shared" si="16"/>
        <v/>
      </c>
      <c r="Z24" s="181" t="str">
        <f t="shared" si="16"/>
        <v/>
      </c>
      <c r="AA24" s="181" t="str">
        <f t="shared" si="16"/>
        <v/>
      </c>
      <c r="AB24" s="181" t="str">
        <f t="shared" si="16"/>
        <v/>
      </c>
      <c r="AC24" s="181" t="str">
        <f t="shared" si="16"/>
        <v/>
      </c>
      <c r="AD24" s="181" t="str">
        <f t="shared" si="16"/>
        <v/>
      </c>
      <c r="AE24" s="181" t="str">
        <f t="shared" si="16"/>
        <v/>
      </c>
      <c r="AF24" s="181" t="str">
        <f t="shared" si="16"/>
        <v/>
      </c>
      <c r="AG24" s="181" t="str">
        <f t="shared" si="16"/>
        <v/>
      </c>
      <c r="AH24" s="181" t="str">
        <f t="shared" si="16"/>
        <v/>
      </c>
      <c r="AI24" s="181" t="str">
        <f t="shared" si="16"/>
        <v/>
      </c>
      <c r="AJ24" s="140">
        <f t="shared" si="16"/>
        <v>0.1158675719002864</v>
      </c>
      <c r="AK24" s="143">
        <f t="shared" si="16"/>
        <v>-3.5087660342417316E-2</v>
      </c>
      <c r="AL24" s="184">
        <f t="shared" si="16"/>
        <v>0.64583333333333337</v>
      </c>
      <c r="AM24" s="184" t="str">
        <f t="shared" si="16"/>
        <v/>
      </c>
      <c r="AN24" s="184" t="str">
        <f t="shared" si="16"/>
        <v/>
      </c>
      <c r="AO24" s="184" t="str">
        <f t="shared" si="16"/>
        <v/>
      </c>
      <c r="AP24" s="184" t="str">
        <f t="shared" si="16"/>
        <v/>
      </c>
      <c r="AQ24" s="141">
        <f t="shared" si="16"/>
        <v>0.64583333333333337</v>
      </c>
      <c r="AR24" s="142">
        <f t="shared" si="16"/>
        <v>-3.3776025894199604E-2</v>
      </c>
    </row>
    <row r="25" spans="1:44" x14ac:dyDescent="0.3">
      <c r="A25" s="309" t="str">
        <f t="shared" ref="A25" si="17">+IF(C25+C26=0,"[ocultar]","")</f>
        <v/>
      </c>
      <c r="B25" s="46" t="s">
        <v>162</v>
      </c>
      <c r="C25" s="45">
        <f t="array" ref="C25">SUM(IF($B25=DATOS_[Sexo],
IF($B24=DATOS_[AGRUP. CLAS. PROF.],
IF("Dentro"=DATOS_[Check Periodo Ref.],
1/(COUNTIFS(DATOS_[Sexo],$B25,DATOS_[AGRUP. CLAS. PROF.],$B24,DATOS_[Check Periodo Ref.],"Dentro",DATOS_[id],DATOS_[id]))))))</f>
        <v>16</v>
      </c>
      <c r="D25" s="47">
        <f>COUNTIFS(DATOS_[AGRUP. CLAS. PROF.],$B24,DATOS_[Sexo],$B25,DATOS_[Check Periodo Ref.],"Dentro")</f>
        <v>17</v>
      </c>
      <c r="E25" s="92">
        <f t="array" ref="E25">IFERROR(
AVERAGE(IF(DATOS_[Sexo]=$B25,IF(DATOS_[AGRUP. CLAS. PROF.]=$B24,IF(DATOS_[Check Periodo Ref.]="Dentro",DATOS_[SALARIO BASE Ef],FALSE)))),
0)</f>
        <v>11889.605647058823</v>
      </c>
      <c r="F25" s="93">
        <f t="array" ref="F25">IFERROR(
AVERAGE((IF(DATOS_[[Sexo]:[Sexo]]=$B25,IF(DATOS_[[AGRUP. CLAS. PROF.]:[AGRUP. CLAS. PROF.]]=$B24,IF(DATOS_[[Check Periodo Ref.]:[Check Periodo Ref.]]="Dentro",DATOS_[Conc.Sal.01]))))),
0)</f>
        <v>326.86494117647044</v>
      </c>
      <c r="G25" s="93">
        <f t="array" ref="G25">IFERROR(
AVERAGE((IF(DATOS_[[Sexo]:[Sexo]]=$B25,IF(DATOS_[[AGRUP. CLAS. PROF.]:[AGRUP. CLAS. PROF.]]=$B24,IF(DATOS_[[Check Periodo Ref.]:[Check Periodo Ref.]]="Dentro",DATOS_[Conc.Sal.02]))))),
0)</f>
        <v>1519.227388235294</v>
      </c>
      <c r="H25" s="93">
        <f t="array" ref="H25">IFERROR(
AVERAGE((IF(DATOS_[[Sexo]:[Sexo]]=$B25,IF(DATOS_[[AGRUP. CLAS. PROF.]:[AGRUP. CLAS. PROF.]]=$B24,IF(DATOS_[[Check Periodo Ref.]:[Check Periodo Ref.]]="Dentro",DATOS_[Conc.Sal.03]))))),
0)</f>
        <v>828.23529411764707</v>
      </c>
      <c r="I25" s="93">
        <f t="array" ref="I25">IFERROR(
AVERAGE((IF(DATOS_[[Sexo]:[Sexo]]=$B25,IF(DATOS_[[AGRUP. CLAS. PROF.]:[AGRUP. CLAS. PROF.]]=$B24,IF(DATOS_[[Check Periodo Ref.]:[Check Periodo Ref.]]="Dentro",DATOS_[Conc.Sal.04]))))),
0)</f>
        <v>0</v>
      </c>
      <c r="J25" s="93">
        <f t="array" ref="J25">IFERROR(
AVERAGE((IF(DATOS_[[Sexo]:[Sexo]]=$B25,IF(DATOS_[[AGRUP. CLAS. PROF.]:[AGRUP. CLAS. PROF.]]=$B24,IF(DATOS_[[Check Periodo Ref.]:[Check Periodo Ref.]]="Dentro",DATOS_[Conc.Sal.05]))))),
0)</f>
        <v>0</v>
      </c>
      <c r="K25" s="93">
        <f t="array" ref="K25">IFERROR(
AVERAGE((IF(DATOS_[[Sexo]:[Sexo]]=$B25,IF(DATOS_[[AGRUP. CLAS. PROF.]:[AGRUP. CLAS. PROF.]]=$B24,IF(DATOS_[[Check Periodo Ref.]:[Check Periodo Ref.]]="Dentro",DATOS_[Conc.Sal.06]))))),
0)</f>
        <v>0</v>
      </c>
      <c r="L25" s="93">
        <f t="array" ref="L25">IFERROR(
AVERAGE((IF(DATOS_[[Sexo]:[Sexo]]=$B25,IF(DATOS_[[AGRUP. CLAS. PROF.]:[AGRUP. CLAS. PROF.]]=$B24,IF(DATOS_[[Check Periodo Ref.]:[Check Periodo Ref.]]="Dentro",DATOS_[Conc.Sal.07]))))),
0)</f>
        <v>65.882352941176464</v>
      </c>
      <c r="M25" s="93">
        <f t="array" ref="M25">IFERROR(
AVERAGE((IF(DATOS_[[Sexo]:[Sexo]]=$B25,IF(DATOS_[[AGRUP. CLAS. PROF.]:[AGRUP. CLAS. PROF.]]=$B24,IF(DATOS_[[Check Periodo Ref.]:[Check Periodo Ref.]]="Dentro",DATOS_[Conc.Sal.08]))))),
0)</f>
        <v>0</v>
      </c>
      <c r="N25" s="93">
        <f t="array" ref="N25">IFERROR(
AVERAGE((IF(DATOS_[[Sexo]:[Sexo]]=$B25,IF(DATOS_[[AGRUP. CLAS. PROF.]:[AGRUP. CLAS. PROF.]]=$B24,IF(DATOS_[[Check Periodo Ref.]:[Check Periodo Ref.]]="Dentro",DATOS_[Conc.Sal.09]))))),
0)</f>
        <v>0</v>
      </c>
      <c r="O25" s="93">
        <f t="array" ref="O25">IFERROR(
AVERAGE((IF(DATOS_[[Sexo]:[Sexo]]=$B25,IF(DATOS_[[AGRUP. CLAS. PROF.]:[AGRUP. CLAS. PROF.]]=$B24,IF(DATOS_[[Check Periodo Ref.]:[Check Periodo Ref.]]="Dentro",DATOS_[Conc.Sal.10]))))),
0)</f>
        <v>0</v>
      </c>
      <c r="P25" s="93">
        <f t="array" ref="P25">IFERROR(
AVERAGE((IF(DATOS_[[Sexo]:[Sexo]]=$B25,IF(DATOS_[[AGRUP. CLAS. PROF.]:[AGRUP. CLAS. PROF.]]=$B24,IF(DATOS_[[Check Periodo Ref.]:[Check Periodo Ref.]]="Dentro",DATOS_[Conc.Sal.11]))))),
0)</f>
        <v>0</v>
      </c>
      <c r="Q25" s="93">
        <f t="array" ref="Q25">IFERROR(
AVERAGE((IF(DATOS_[[Sexo]:[Sexo]]=$B25,IF(DATOS_[[AGRUP. CLAS. PROF.]:[AGRUP. CLAS. PROF.]]=$B24,IF(DATOS_[[Check Periodo Ref.]:[Check Periodo Ref.]]="Dentro",DATOS_[Conc.Sal.12]))))),
0)</f>
        <v>0</v>
      </c>
      <c r="R25" s="93">
        <f t="array" ref="R25">IFERROR(
AVERAGE((IF(DATOS_[[Sexo]:[Sexo]]=$B25,IF(DATOS_[[AGRUP. CLAS. PROF.]:[AGRUP. CLAS. PROF.]]=$B24,IF(DATOS_[[Check Periodo Ref.]:[Check Periodo Ref.]]="Dentro",DATOS_[Conc.Sal.13]))))),
0)</f>
        <v>0</v>
      </c>
      <c r="S25" s="93">
        <f t="array" ref="S25">IFERROR(
AVERAGE((IF(DATOS_[[Sexo]:[Sexo]]=$B25,IF(DATOS_[[AGRUP. CLAS. PROF.]:[AGRUP. CLAS. PROF.]]=$B24,IF(DATOS_[[Check Periodo Ref.]:[Check Periodo Ref.]]="Dentro",DATOS_[Conc.Sal.14]))))),
0)</f>
        <v>0</v>
      </c>
      <c r="T25" s="93">
        <f t="array" ref="T25">IFERROR(
AVERAGE((IF(DATOS_[[Sexo]:[Sexo]]=$B25,IF(DATOS_[[AGRUP. CLAS. PROF.]:[AGRUP. CLAS. PROF.]]=$B24,IF(DATOS_[[Check Periodo Ref.]:[Check Periodo Ref.]]="Dentro",DATOS_[Conc.Sal.15]))))),
0)</f>
        <v>0</v>
      </c>
      <c r="U25" s="93">
        <f t="array" ref="U25">IFERROR(
AVERAGE((IF(DATOS_[[Sexo]:[Sexo]]=$B25,IF(DATOS_[[AGRUP. CLAS. PROF.]:[AGRUP. CLAS. PROF.]]=$B24,IF(DATOS_[[Check Periodo Ref.]:[Check Periodo Ref.]]="Dentro",DATOS_[Conc.Sal.16]))))),
0)</f>
        <v>0</v>
      </c>
      <c r="V25" s="93">
        <f t="array" ref="V25">IFERROR(
AVERAGE((IF(DATOS_[[Sexo]:[Sexo]]=$B25,IF(DATOS_[[AGRUP. CLAS. PROF.]:[AGRUP. CLAS. PROF.]]=$B24,IF(DATOS_[[Check Periodo Ref.]:[Check Periodo Ref.]]="Dentro",DATOS_[Conc.Sal.17]))))),
0)</f>
        <v>0</v>
      </c>
      <c r="W25" s="93">
        <f t="array" ref="W25">IFERROR(
AVERAGE((IF(DATOS_[[Sexo]:[Sexo]]=$B25,IF(DATOS_[[AGRUP. CLAS. PROF.]:[AGRUP. CLAS. PROF.]]=$B24,IF(DATOS_[[Check Periodo Ref.]:[Check Periodo Ref.]]="Dentro",DATOS_[Conc.Sal.18]))))),
0)</f>
        <v>0</v>
      </c>
      <c r="X25" s="93">
        <f t="array" ref="X25">IFERROR(
AVERAGE((IF(DATOS_[[Sexo]:[Sexo]]=$B25,IF(DATOS_[[AGRUP. CLAS. PROF.]:[AGRUP. CLAS. PROF.]]=$B24,IF(DATOS_[[Check Periodo Ref.]:[Check Periodo Ref.]]="Dentro",DATOS_[Conc.Sal.19]))))),
0)</f>
        <v>0</v>
      </c>
      <c r="Y25" s="93">
        <f t="array" ref="Y25">IFERROR(
AVERAGE((IF(DATOS_[[Sexo]:[Sexo]]=$B25,IF(DATOS_[[AGRUP. CLAS. PROF.]:[AGRUP. CLAS. PROF.]]=$B24,IF(DATOS_[[Check Periodo Ref.]:[Check Periodo Ref.]]="Dentro",DATOS_[Conc.Sal.20]))))),
0)</f>
        <v>0</v>
      </c>
      <c r="Z25" s="93">
        <f t="array" ref="Z25">IFERROR(
AVERAGE((IF(DATOS_[[Sexo]:[Sexo]]=$B25,IF(DATOS_[[AGRUP. CLAS. PROF.]:[AGRUP. CLAS. PROF.]]=$B24,IF(DATOS_[[Check Periodo Ref.]:[Check Periodo Ref.]]="Dentro",DATOS_[Conc.Sal.21]))))),
0)</f>
        <v>0</v>
      </c>
      <c r="AA25" s="93">
        <f t="array" ref="AA25">IFERROR(
AVERAGE((IF(DATOS_[[Sexo]:[Sexo]]=$B25,IF(DATOS_[[AGRUP. CLAS. PROF.]:[AGRUP. CLAS. PROF.]]=$B24,IF(DATOS_[[Check Periodo Ref.]:[Check Periodo Ref.]]="Dentro",DATOS_[Conc.Sal.22]))))),
0)</f>
        <v>0</v>
      </c>
      <c r="AB25" s="93">
        <f t="array" ref="AB25">IFERROR(
AVERAGE((IF(DATOS_[[Sexo]:[Sexo]]=$B25,IF(DATOS_[[AGRUP. CLAS. PROF.]:[AGRUP. CLAS. PROF.]]=$B24,IF(DATOS_[[Check Periodo Ref.]:[Check Periodo Ref.]]="Dentro",DATOS_[Conc.Sal.23]))))),
0)</f>
        <v>0</v>
      </c>
      <c r="AC25" s="93">
        <f t="array" ref="AC25">IFERROR(
AVERAGE((IF(DATOS_[[Sexo]:[Sexo]]=$B25,IF(DATOS_[[AGRUP. CLAS. PROF.]:[AGRUP. CLAS. PROF.]]=$B24,IF(DATOS_[[Check Periodo Ref.]:[Check Periodo Ref.]]="Dentro",DATOS_[Conc.Sal.24]))))),
0)</f>
        <v>0</v>
      </c>
      <c r="AD25" s="93">
        <f t="array" ref="AD25">IFERROR(
AVERAGE((IF(DATOS_[[Sexo]:[Sexo]]=$B25,IF(DATOS_[[AGRUP. CLAS. PROF.]:[AGRUP. CLAS. PROF.]]=$B24,IF(DATOS_[[Check Periodo Ref.]:[Check Periodo Ref.]]="Dentro",DATOS_[Conc.Sal.25]))))),
0)</f>
        <v>0</v>
      </c>
      <c r="AE25" s="93">
        <f t="array" ref="AE25">IFERROR(
AVERAGE((IF(DATOS_[[Sexo]:[Sexo]]=$B25,IF(DATOS_[[AGRUP. CLAS. PROF.]:[AGRUP. CLAS. PROF.]]=$B24,IF(DATOS_[[Check Periodo Ref.]:[Check Periodo Ref.]]="Dentro",DATOS_[Conc.Sal.26]))))),
0)</f>
        <v>0</v>
      </c>
      <c r="AF25" s="93">
        <f t="array" ref="AF25">IFERROR(
AVERAGE((IF(DATOS_[[Sexo]:[Sexo]]=$B25,IF(DATOS_[[AGRUP. CLAS. PROF.]:[AGRUP. CLAS. PROF.]]=$B24,IF(DATOS_[[Check Periodo Ref.]:[Check Periodo Ref.]]="Dentro",DATOS_[Conc.Sal.27]))))),
0)</f>
        <v>0</v>
      </c>
      <c r="AG25" s="93">
        <f t="array" ref="AG25">IFERROR(
AVERAGE((IF(DATOS_[[Sexo]:[Sexo]]=$B25,IF(DATOS_[[AGRUP. CLAS. PROF.]:[AGRUP. CLAS. PROF.]]=$B24,IF(DATOS_[[Check Periodo Ref.]:[Check Periodo Ref.]]="Dentro",DATOS_[Conc.Sal.28]))))),
0)</f>
        <v>0</v>
      </c>
      <c r="AH25" s="93">
        <f t="array" ref="AH25">IFERROR(
AVERAGE((IF(DATOS_[[Sexo]:[Sexo]]=$B25,IF(DATOS_[[AGRUP. CLAS. PROF.]:[AGRUP. CLAS. PROF.]]=$B24,IF(DATOS_[[Check Periodo Ref.]:[Check Periodo Ref.]]="Dentro",DATOS_[Conc.Sal.29]))))),
0)</f>
        <v>0</v>
      </c>
      <c r="AI25" s="93">
        <f t="array" ref="AI25">IFERROR(
AVERAGE((IF(DATOS_[[Sexo]:[Sexo]]=$B25,IF(DATOS_[[AGRUP. CLAS. PROF.]:[AGRUP. CLAS. PROF.]]=$B24,IF(DATOS_[[Check Periodo Ref.]:[Check Periodo Ref.]]="Dentro",DATOS_[Conc.Sal.30]))))),
0)</f>
        <v>0</v>
      </c>
      <c r="AJ25" s="94">
        <f t="array" ref="AJ25">IFERROR(
AVERAGE(IF(DATOS_[Sexo]=$B25,IF(DATOS_[AGRUP. CLAS. PROF.]=$B24,IF(DATOS_[Check Periodo Ref.]="Dentro",DATOS_[Tot COMPL.SAL Ef],FALSE)))),
0)</f>
        <v>2740.2099764705877</v>
      </c>
      <c r="AK25" s="96">
        <f t="array" ref="AK25">IFERROR(
AVERAGE(IF(DATOS_[Sexo]=$B25,IF(DATOS_[AGRUP. CLAS. PROF.]=$B24,IF(DATOS_[Check Periodo Ref.]="Dentro",DATOS_[TOTAL SALARIO Ef],FALSE)))),
0)</f>
        <v>14629.815623529412</v>
      </c>
      <c r="AL25" s="95">
        <f t="array" ref="AL25">IFERROR(
AVERAGE((IF(DATOS_[[Sexo]:[Sexo]]=$B25,IF(DATOS_[[AGRUP. CLAS. PROF.]:[AGRUP. CLAS. PROF.]]=$B24,IF(DATOS_[[Check Periodo Ref.]:[Check Periodo Ref.]]="Dentro",DATOS_[C.Extra.01]))))),
0)</f>
        <v>28.235294117647058</v>
      </c>
      <c r="AM25" s="95">
        <f t="array" ref="AM25">IFERROR(
AVERAGE((IF(DATOS_[[Sexo]:[Sexo]]=$B25,IF(DATOS_[[AGRUP. CLAS. PROF.]:[AGRUP. CLAS. PROF.]]=$B24,IF(DATOS_[[Check Periodo Ref.]:[Check Periodo Ref.]]="Dentro",DATOS_[C.Extra.02]))))),
0)</f>
        <v>0</v>
      </c>
      <c r="AN25" s="95">
        <f t="array" ref="AN25">IFERROR(
AVERAGE((IF(DATOS_[[Sexo]:[Sexo]]=$B25,IF(DATOS_[[AGRUP. CLAS. PROF.]:[AGRUP. CLAS. PROF.]]=$B24,IF(DATOS_[[Check Periodo Ref.]:[Check Periodo Ref.]]="Dentro",DATOS_[C.Extra.03]))))),
0)</f>
        <v>0</v>
      </c>
      <c r="AO25" s="95">
        <f t="array" ref="AO25">IFERROR(
AVERAGE((IF(DATOS_[[Sexo]:[Sexo]]=$B25,IF(DATOS_[[AGRUP. CLAS. PROF.]:[AGRUP. CLAS. PROF.]]=$B24,IF(DATOS_[[Check Periodo Ref.]:[Check Periodo Ref.]]="Dentro",DATOS_[C.Extra.04]))))),
0)</f>
        <v>0</v>
      </c>
      <c r="AP25" s="95">
        <f t="array" ref="AP25">IFERROR(
AVERAGE((IF(DATOS_[[Sexo]:[Sexo]]=$B25,IF(DATOS_[[AGRUP. CLAS. PROF.]:[AGRUP. CLAS. PROF.]]=$B24,IF(DATOS_[[Check Periodo Ref.]:[Check Periodo Ref.]]="Dentro",DATOS_[C.Extra.05]))))),
0)</f>
        <v>0</v>
      </c>
      <c r="AQ25" s="97">
        <f t="array" ref="AQ25">IFERROR(
AVERAGE(IF(DATOS_[Sexo]=$B25,IF(DATOS_[AGRUP. CLAS. PROF.]=$B24,IF(DATOS_[Check Periodo Ref.]="Dentro",DATOS_[Tot Extrasalarial Ef],FALSE)))),
0)</f>
        <v>28.235294117647058</v>
      </c>
      <c r="AR25" s="98">
        <f t="array" ref="AR25">IFERROR(
AVERAGE(IF(DATOS_[Sexo]=$B25,IF(DATOS_[AGRUP. CLAS. PROF.]=$B24,IF(DATOS_[Check Periodo Ref.]="Dentro",DATOS_[TOTAL Retrib Ef],FALSE)))),
0)</f>
        <v>14658.050917647059</v>
      </c>
    </row>
    <row r="26" spans="1:44" x14ac:dyDescent="0.3">
      <c r="A26" s="309" t="str">
        <f t="shared" ref="A26" si="18">+A25</f>
        <v/>
      </c>
      <c r="B26" s="46" t="s">
        <v>163</v>
      </c>
      <c r="C26" s="45">
        <f t="array" ref="C26">SUM(IF($B26=DATOS_[Sexo],
IF($B24=DATOS_[AGRUP. CLAS. PROF.],
IF("Dentro"=DATOS_[Check Periodo Ref.],
1/(COUNTIFS(DATOS_[Sexo],$B26,DATOS_[AGRUP. CLAS. PROF.],$B24,DATOS_[Check Periodo Ref.],"Dentro",DATOS_[id],DATOS_[id]))))))</f>
        <v>24</v>
      </c>
      <c r="D26" s="47">
        <f>COUNTIFS(DATOS_[AGRUP. CLAS. PROF.],$B24,DATOS_[Sexo],$B26,DATOS_[Check Periodo Ref.],"Dentro")</f>
        <v>24</v>
      </c>
      <c r="E26" s="92">
        <f t="array" ref="E26">IFERROR(
AVERAGE(IF(DATOS_[Sexo]=$B26,IF(DATOS_[AGRUP. CLAS. PROF.]=$B24,IF(DATOS_[Check Periodo Ref.]="Dentro",DATOS_[SALARIO BASE Ef],FALSE)))),
0)</f>
        <v>12720.433125000003</v>
      </c>
      <c r="F26" s="93">
        <f t="array" ref="F26">IFERROR(
AVERAGE((IF(DATOS_[[Sexo]:[Sexo]]=$B26,IF(DATOS_[[AGRUP. CLAS. PROF.]:[AGRUP. CLAS. PROF.]]=$B24,IF(DATOS_[[Check Periodo Ref.]:[Check Periodo Ref.]]="Dentro",DATOS_[Conc.Sal.01]))))),
0)</f>
        <v>398.31687499999981</v>
      </c>
      <c r="G26" s="93">
        <f t="array" ref="G26">IFERROR(
AVERAGE((IF(DATOS_[[Sexo]:[Sexo]]=$B26,IF(DATOS_[[AGRUP. CLAS. PROF.]:[AGRUP. CLAS. PROF.]]=$B24,IF(DATOS_[[Check Periodo Ref.]:[Check Periodo Ref.]]="Dentro",DATOS_[Conc.Sal.02]))))),
0)</f>
        <v>1374.391625</v>
      </c>
      <c r="H26" s="93">
        <f t="array" ref="H26">IFERROR(
AVERAGE((IF(DATOS_[[Sexo]:[Sexo]]=$B26,IF(DATOS_[[AGRUP. CLAS. PROF.]:[AGRUP. CLAS. PROF.]]=$B24,IF(DATOS_[[Check Periodo Ref.]:[Check Periodo Ref.]]="Dentro",DATOS_[Conc.Sal.03]))))),
0)</f>
        <v>573.33333333333337</v>
      </c>
      <c r="I26" s="93">
        <f t="array" ref="I26">IFERROR(
AVERAGE((IF(DATOS_[[Sexo]:[Sexo]]=$B26,IF(DATOS_[[AGRUP. CLAS. PROF.]:[AGRUP. CLAS. PROF.]]=$B24,IF(DATOS_[[Check Periodo Ref.]:[Check Periodo Ref.]]="Dentro",DATOS_[Conc.Sal.04]))))),
0)</f>
        <v>0</v>
      </c>
      <c r="J26" s="93">
        <f t="array" ref="J26">IFERROR(
AVERAGE((IF(DATOS_[[Sexo]:[Sexo]]=$B26,IF(DATOS_[[AGRUP. CLAS. PROF.]:[AGRUP. CLAS. PROF.]]=$B24,IF(DATOS_[[Check Periodo Ref.]:[Check Periodo Ref.]]="Dentro",DATOS_[Conc.Sal.05]))))),
0)</f>
        <v>0</v>
      </c>
      <c r="K26" s="93">
        <f t="array" ref="K26">IFERROR(
AVERAGE((IF(DATOS_[[Sexo]:[Sexo]]=$B26,IF(DATOS_[[AGRUP. CLAS. PROF.]:[AGRUP. CLAS. PROF.]]=$B24,IF(DATOS_[[Check Periodo Ref.]:[Check Periodo Ref.]]="Dentro",DATOS_[Conc.Sal.06]))))),
0)</f>
        <v>0</v>
      </c>
      <c r="L26" s="93">
        <f t="array" ref="L26">IFERROR(
AVERAGE((IF(DATOS_[[Sexo]:[Sexo]]=$B26,IF(DATOS_[[AGRUP. CLAS. PROF.]:[AGRUP. CLAS. PROF.]]=$B24,IF(DATOS_[[Check Periodo Ref.]:[Check Periodo Ref.]]="Dentro",DATOS_[Conc.Sal.07]))))),
0)</f>
        <v>76.666666666666671</v>
      </c>
      <c r="M26" s="93">
        <f t="array" ref="M26">IFERROR(
AVERAGE((IF(DATOS_[[Sexo]:[Sexo]]=$B26,IF(DATOS_[[AGRUP. CLAS. PROF.]:[AGRUP. CLAS. PROF.]]=$B24,IF(DATOS_[[Check Periodo Ref.]:[Check Periodo Ref.]]="Dentro",DATOS_[Conc.Sal.08]))))),
0)</f>
        <v>0</v>
      </c>
      <c r="N26" s="93">
        <f t="array" ref="N26">IFERROR(
AVERAGE((IF(DATOS_[[Sexo]:[Sexo]]=$B26,IF(DATOS_[[AGRUP. CLAS. PROF.]:[AGRUP. CLAS. PROF.]]=$B24,IF(DATOS_[[Check Periodo Ref.]:[Check Periodo Ref.]]="Dentro",DATOS_[Conc.Sal.09]))))),
0)</f>
        <v>0</v>
      </c>
      <c r="O26" s="93">
        <f t="array" ref="O26">IFERROR(
AVERAGE((IF(DATOS_[[Sexo]:[Sexo]]=$B26,IF(DATOS_[[AGRUP. CLAS. PROF.]:[AGRUP. CLAS. PROF.]]=$B24,IF(DATOS_[[Check Periodo Ref.]:[Check Periodo Ref.]]="Dentro",DATOS_[Conc.Sal.10]))))),
0)</f>
        <v>0</v>
      </c>
      <c r="P26" s="93">
        <f t="array" ref="P26">IFERROR(
AVERAGE((IF(DATOS_[[Sexo]:[Sexo]]=$B26,IF(DATOS_[[AGRUP. CLAS. PROF.]:[AGRUP. CLAS. PROF.]]=$B24,IF(DATOS_[[Check Periodo Ref.]:[Check Periodo Ref.]]="Dentro",DATOS_[Conc.Sal.11]))))),
0)</f>
        <v>0</v>
      </c>
      <c r="Q26" s="93">
        <f t="array" ref="Q26">IFERROR(
AVERAGE((IF(DATOS_[[Sexo]:[Sexo]]=$B26,IF(DATOS_[[AGRUP. CLAS. PROF.]:[AGRUP. CLAS. PROF.]]=$B24,IF(DATOS_[[Check Periodo Ref.]:[Check Periodo Ref.]]="Dentro",DATOS_[Conc.Sal.12]))))),
0)</f>
        <v>0</v>
      </c>
      <c r="R26" s="93">
        <f t="array" ref="R26">IFERROR(
AVERAGE((IF(DATOS_[[Sexo]:[Sexo]]=$B26,IF(DATOS_[[AGRUP. CLAS. PROF.]:[AGRUP. CLAS. PROF.]]=$B24,IF(DATOS_[[Check Periodo Ref.]:[Check Periodo Ref.]]="Dentro",DATOS_[Conc.Sal.13]))))),
0)</f>
        <v>0</v>
      </c>
      <c r="S26" s="93">
        <f t="array" ref="S26">IFERROR(
AVERAGE((IF(DATOS_[[Sexo]:[Sexo]]=$B26,IF(DATOS_[[AGRUP. CLAS. PROF.]:[AGRUP. CLAS. PROF.]]=$B24,IF(DATOS_[[Check Periodo Ref.]:[Check Periodo Ref.]]="Dentro",DATOS_[Conc.Sal.14]))))),
0)</f>
        <v>0</v>
      </c>
      <c r="T26" s="93">
        <f t="array" ref="T26">IFERROR(
AVERAGE((IF(DATOS_[[Sexo]:[Sexo]]=$B26,IF(DATOS_[[AGRUP. CLAS. PROF.]:[AGRUP. CLAS. PROF.]]=$B24,IF(DATOS_[[Check Periodo Ref.]:[Check Periodo Ref.]]="Dentro",DATOS_[Conc.Sal.15]))))),
0)</f>
        <v>0</v>
      </c>
      <c r="U26" s="93">
        <f t="array" ref="U26">IFERROR(
AVERAGE((IF(DATOS_[[Sexo]:[Sexo]]=$B26,IF(DATOS_[[AGRUP. CLAS. PROF.]:[AGRUP. CLAS. PROF.]]=$B24,IF(DATOS_[[Check Periodo Ref.]:[Check Periodo Ref.]]="Dentro",DATOS_[Conc.Sal.16]))))),
0)</f>
        <v>0</v>
      </c>
      <c r="V26" s="93">
        <f t="array" ref="V26">IFERROR(
AVERAGE((IF(DATOS_[[Sexo]:[Sexo]]=$B26,IF(DATOS_[[AGRUP. CLAS. PROF.]:[AGRUP. CLAS. PROF.]]=$B24,IF(DATOS_[[Check Periodo Ref.]:[Check Periodo Ref.]]="Dentro",DATOS_[Conc.Sal.17]))))),
0)</f>
        <v>0</v>
      </c>
      <c r="W26" s="93">
        <f t="array" ref="W26">IFERROR(
AVERAGE((IF(DATOS_[[Sexo]:[Sexo]]=$B26,IF(DATOS_[[AGRUP. CLAS. PROF.]:[AGRUP. CLAS. PROF.]]=$B24,IF(DATOS_[[Check Periodo Ref.]:[Check Periodo Ref.]]="Dentro",DATOS_[Conc.Sal.18]))))),
0)</f>
        <v>0</v>
      </c>
      <c r="X26" s="93">
        <f t="array" ref="X26">IFERROR(
AVERAGE((IF(DATOS_[[Sexo]:[Sexo]]=$B26,IF(DATOS_[[AGRUP. CLAS. PROF.]:[AGRUP. CLAS. PROF.]]=$B24,IF(DATOS_[[Check Periodo Ref.]:[Check Periodo Ref.]]="Dentro",DATOS_[Conc.Sal.19]))))),
0)</f>
        <v>0</v>
      </c>
      <c r="Y26" s="93">
        <f t="array" ref="Y26">IFERROR(
AVERAGE((IF(DATOS_[[Sexo]:[Sexo]]=$B26,IF(DATOS_[[AGRUP. CLAS. PROF.]:[AGRUP. CLAS. PROF.]]=$B24,IF(DATOS_[[Check Periodo Ref.]:[Check Periodo Ref.]]="Dentro",DATOS_[Conc.Sal.20]))))),
0)</f>
        <v>0</v>
      </c>
      <c r="Z26" s="93">
        <f t="array" ref="Z26">IFERROR(
AVERAGE((IF(DATOS_[[Sexo]:[Sexo]]=$B26,IF(DATOS_[[AGRUP. CLAS. PROF.]:[AGRUP. CLAS. PROF.]]=$B24,IF(DATOS_[[Check Periodo Ref.]:[Check Periodo Ref.]]="Dentro",DATOS_[Conc.Sal.21]))))),
0)</f>
        <v>0</v>
      </c>
      <c r="AA26" s="93">
        <f t="array" ref="AA26">IFERROR(
AVERAGE((IF(DATOS_[[Sexo]:[Sexo]]=$B26,IF(DATOS_[[AGRUP. CLAS. PROF.]:[AGRUP. CLAS. PROF.]]=$B24,IF(DATOS_[[Check Periodo Ref.]:[Check Periodo Ref.]]="Dentro",DATOS_[Conc.Sal.22]))))),
0)</f>
        <v>0</v>
      </c>
      <c r="AB26" s="93">
        <f t="array" ref="AB26">IFERROR(
AVERAGE((IF(DATOS_[[Sexo]:[Sexo]]=$B26,IF(DATOS_[[AGRUP. CLAS. PROF.]:[AGRUP. CLAS. PROF.]]=$B24,IF(DATOS_[[Check Periodo Ref.]:[Check Periodo Ref.]]="Dentro",DATOS_[Conc.Sal.23]))))),
0)</f>
        <v>0</v>
      </c>
      <c r="AC26" s="93">
        <f t="array" ref="AC26">IFERROR(
AVERAGE((IF(DATOS_[[Sexo]:[Sexo]]=$B26,IF(DATOS_[[AGRUP. CLAS. PROF.]:[AGRUP. CLAS. PROF.]]=$B24,IF(DATOS_[[Check Periodo Ref.]:[Check Periodo Ref.]]="Dentro",DATOS_[Conc.Sal.24]))))),
0)</f>
        <v>0</v>
      </c>
      <c r="AD26" s="93">
        <f t="array" ref="AD26">IFERROR(
AVERAGE((IF(DATOS_[[Sexo]:[Sexo]]=$B26,IF(DATOS_[[AGRUP. CLAS. PROF.]:[AGRUP. CLAS. PROF.]]=$B24,IF(DATOS_[[Check Periodo Ref.]:[Check Periodo Ref.]]="Dentro",DATOS_[Conc.Sal.25]))))),
0)</f>
        <v>0</v>
      </c>
      <c r="AE26" s="93">
        <f t="array" ref="AE26">IFERROR(
AVERAGE((IF(DATOS_[[Sexo]:[Sexo]]=$B26,IF(DATOS_[[AGRUP. CLAS. PROF.]:[AGRUP. CLAS. PROF.]]=$B24,IF(DATOS_[[Check Periodo Ref.]:[Check Periodo Ref.]]="Dentro",DATOS_[Conc.Sal.26]))))),
0)</f>
        <v>0</v>
      </c>
      <c r="AF26" s="93">
        <f t="array" ref="AF26">IFERROR(
AVERAGE((IF(DATOS_[[Sexo]:[Sexo]]=$B26,IF(DATOS_[[AGRUP. CLAS. PROF.]:[AGRUP. CLAS. PROF.]]=$B24,IF(DATOS_[[Check Periodo Ref.]:[Check Periodo Ref.]]="Dentro",DATOS_[Conc.Sal.27]))))),
0)</f>
        <v>0</v>
      </c>
      <c r="AG26" s="93">
        <f t="array" ref="AG26">IFERROR(
AVERAGE((IF(DATOS_[[Sexo]:[Sexo]]=$B26,IF(DATOS_[[AGRUP. CLAS. PROF.]:[AGRUP. CLAS. PROF.]]=$B24,IF(DATOS_[[Check Periodo Ref.]:[Check Periodo Ref.]]="Dentro",DATOS_[Conc.Sal.28]))))),
0)</f>
        <v>0</v>
      </c>
      <c r="AH26" s="93">
        <f t="array" ref="AH26">IFERROR(
AVERAGE((IF(DATOS_[[Sexo]:[Sexo]]=$B26,IF(DATOS_[[AGRUP. CLAS. PROF.]:[AGRUP. CLAS. PROF.]]=$B24,IF(DATOS_[[Check Periodo Ref.]:[Check Periodo Ref.]]="Dentro",DATOS_[Conc.Sal.29]))))),
0)</f>
        <v>0</v>
      </c>
      <c r="AI26" s="93">
        <f t="array" ref="AI26">IFERROR(
AVERAGE((IF(DATOS_[[Sexo]:[Sexo]]=$B26,IF(DATOS_[[AGRUP. CLAS. PROF.]:[AGRUP. CLAS. PROF.]]=$B24,IF(DATOS_[[Check Periodo Ref.]:[Check Periodo Ref.]]="Dentro",DATOS_[Conc.Sal.30]))))),
0)</f>
        <v>0</v>
      </c>
      <c r="AJ26" s="94">
        <f t="array" ref="AJ26">IFERROR(
AVERAGE(IF(DATOS_[Sexo]=$B26,IF(DATOS_[AGRUP. CLAS. PROF.]=$B24,IF(DATOS_[Check Periodo Ref.]="Dentro",DATOS_[Tot COMPL.SAL Ef],FALSE)))),
0)</f>
        <v>2422.7084999999997</v>
      </c>
      <c r="AK26" s="96">
        <f t="array" ref="AK26">IFERROR(
AVERAGE(IF(DATOS_[Sexo]=$B26,IF(DATOS_[AGRUP. CLAS. PROF.]=$B24,IF(DATOS_[Check Periodo Ref.]="Dentro",DATOS_[TOTAL SALARIO Ef],FALSE)))),
0)</f>
        <v>15143.141625000002</v>
      </c>
      <c r="AL26" s="95">
        <f t="array" ref="AL26">IFERROR(
AVERAGE((IF(DATOS_[[Sexo]:[Sexo]]=$B26,IF(DATOS_[[AGRUP. CLAS. PROF.]:[AGRUP. CLAS. PROF.]]=$B24,IF(DATOS_[[Check Periodo Ref.]:[Check Periodo Ref.]]="Dentro",DATOS_[C.Extra.01]))))),
0)</f>
        <v>10</v>
      </c>
      <c r="AM26" s="95">
        <f t="array" ref="AM26">IFERROR(
AVERAGE((IF(DATOS_[[Sexo]:[Sexo]]=$B26,IF(DATOS_[[AGRUP. CLAS. PROF.]:[AGRUP. CLAS. PROF.]]=$B24,IF(DATOS_[[Check Periodo Ref.]:[Check Periodo Ref.]]="Dentro",DATOS_[C.Extra.02]))))),
0)</f>
        <v>0</v>
      </c>
      <c r="AN26" s="95">
        <f t="array" ref="AN26">IFERROR(
AVERAGE((IF(DATOS_[[Sexo]:[Sexo]]=$B26,IF(DATOS_[[AGRUP. CLAS. PROF.]:[AGRUP. CLAS. PROF.]]=$B24,IF(DATOS_[[Check Periodo Ref.]:[Check Periodo Ref.]]="Dentro",DATOS_[C.Extra.03]))))),
0)</f>
        <v>0</v>
      </c>
      <c r="AO26" s="95">
        <f t="array" ref="AO26">IFERROR(
AVERAGE((IF(DATOS_[[Sexo]:[Sexo]]=$B26,IF(DATOS_[[AGRUP. CLAS. PROF.]:[AGRUP. CLAS. PROF.]]=$B24,IF(DATOS_[[Check Periodo Ref.]:[Check Periodo Ref.]]="Dentro",DATOS_[C.Extra.04]))))),
0)</f>
        <v>0</v>
      </c>
      <c r="AP26" s="95">
        <f t="array" ref="AP26">IFERROR(
AVERAGE((IF(DATOS_[[Sexo]:[Sexo]]=$B26,IF(DATOS_[[AGRUP. CLAS. PROF.]:[AGRUP. CLAS. PROF.]]=$B24,IF(DATOS_[[Check Periodo Ref.]:[Check Periodo Ref.]]="Dentro",DATOS_[C.Extra.05]))))),
0)</f>
        <v>0</v>
      </c>
      <c r="AQ26" s="97">
        <f t="array" ref="AQ26">IFERROR(
AVERAGE(IF(DATOS_[Sexo]=$B26,IF(DATOS_[AGRUP. CLAS. PROF.]=$B24,IF(DATOS_[Check Periodo Ref.]="Dentro",DATOS_[Tot Extrasalarial Ef],FALSE)))),
0)</f>
        <v>10</v>
      </c>
      <c r="AR26" s="98">
        <f t="array" ref="AR26">IFERROR(
AVERAGE(IF(DATOS_[Sexo]=$B26,IF(DATOS_[AGRUP. CLAS. PROF.]=$B24,IF(DATOS_[Check Periodo Ref.]="Dentro",DATOS_[TOTAL Retrib Ef],FALSE)))),
0)</f>
        <v>15153.141625000002</v>
      </c>
    </row>
    <row r="27" spans="1:44" ht="17.25" thickBot="1" x14ac:dyDescent="0.35">
      <c r="A27" s="309" t="str">
        <f t="shared" ref="A27" si="19">+A28</f>
        <v/>
      </c>
      <c r="B27" s="51" t="s">
        <v>311</v>
      </c>
      <c r="C27" s="91"/>
      <c r="D27" s="52"/>
      <c r="E27" s="139">
        <f t="shared" ref="E27:AR27" si="20">IFERROR((E28-E29)/E28,"")</f>
        <v>-5.0883892705274721E-2</v>
      </c>
      <c r="F27" s="310">
        <f t="shared" si="20"/>
        <v>-5.0877626372571115E-2</v>
      </c>
      <c r="G27" s="180">
        <f t="shared" si="20"/>
        <v>-4.6143250688705416E-2</v>
      </c>
      <c r="H27" s="180">
        <f t="shared" si="20"/>
        <v>-9.038016528925634E-2</v>
      </c>
      <c r="I27" s="180" t="str">
        <f t="shared" si="20"/>
        <v/>
      </c>
      <c r="J27" s="181" t="str">
        <f t="shared" si="20"/>
        <v/>
      </c>
      <c r="K27" s="182" t="str">
        <f t="shared" si="20"/>
        <v/>
      </c>
      <c r="L27" s="182">
        <f t="shared" si="20"/>
        <v>-0.10276679841897236</v>
      </c>
      <c r="M27" s="182" t="str">
        <f t="shared" si="20"/>
        <v/>
      </c>
      <c r="N27" s="182" t="str">
        <f t="shared" si="20"/>
        <v/>
      </c>
      <c r="O27" s="182" t="str">
        <f t="shared" si="20"/>
        <v/>
      </c>
      <c r="P27" s="182" t="str">
        <f t="shared" si="20"/>
        <v/>
      </c>
      <c r="Q27" s="182" t="str">
        <f t="shared" si="20"/>
        <v/>
      </c>
      <c r="R27" s="182" t="str">
        <f t="shared" si="20"/>
        <v/>
      </c>
      <c r="S27" s="182" t="str">
        <f t="shared" si="20"/>
        <v/>
      </c>
      <c r="T27" s="182" t="str">
        <f t="shared" si="20"/>
        <v/>
      </c>
      <c r="U27" s="182" t="str">
        <f t="shared" si="20"/>
        <v/>
      </c>
      <c r="V27" s="181" t="str">
        <f t="shared" si="20"/>
        <v/>
      </c>
      <c r="W27" s="181" t="str">
        <f t="shared" si="20"/>
        <v/>
      </c>
      <c r="X27" s="181" t="str">
        <f t="shared" si="20"/>
        <v/>
      </c>
      <c r="Y27" s="181" t="str">
        <f t="shared" si="20"/>
        <v/>
      </c>
      <c r="Z27" s="181" t="str">
        <f t="shared" si="20"/>
        <v/>
      </c>
      <c r="AA27" s="181" t="str">
        <f t="shared" si="20"/>
        <v/>
      </c>
      <c r="AB27" s="181" t="str">
        <f t="shared" si="20"/>
        <v/>
      </c>
      <c r="AC27" s="181" t="str">
        <f t="shared" si="20"/>
        <v/>
      </c>
      <c r="AD27" s="181" t="str">
        <f t="shared" si="20"/>
        <v/>
      </c>
      <c r="AE27" s="181" t="str">
        <f t="shared" si="20"/>
        <v/>
      </c>
      <c r="AF27" s="181" t="str">
        <f t="shared" si="20"/>
        <v/>
      </c>
      <c r="AG27" s="181" t="str">
        <f t="shared" si="20"/>
        <v/>
      </c>
      <c r="AH27" s="181" t="str">
        <f t="shared" si="20"/>
        <v/>
      </c>
      <c r="AI27" s="181" t="str">
        <f t="shared" si="20"/>
        <v/>
      </c>
      <c r="AJ27" s="140">
        <f t="shared" si="20"/>
        <v>-8.3470503563787907E-2</v>
      </c>
      <c r="AK27" s="143">
        <f t="shared" si="20"/>
        <v>-5.3940500544780993E-2</v>
      </c>
      <c r="AL27" s="184" t="str">
        <f t="shared" si="20"/>
        <v/>
      </c>
      <c r="AM27" s="184" t="str">
        <f t="shared" si="20"/>
        <v/>
      </c>
      <c r="AN27" s="184">
        <f t="shared" si="20"/>
        <v>0.24848484848484848</v>
      </c>
      <c r="AO27" s="184" t="str">
        <f t="shared" si="20"/>
        <v/>
      </c>
      <c r="AP27" s="184" t="str">
        <f t="shared" si="20"/>
        <v/>
      </c>
      <c r="AQ27" s="141">
        <f t="shared" si="20"/>
        <v>0.24848484848484848</v>
      </c>
      <c r="AR27" s="142">
        <f t="shared" si="20"/>
        <v>-4.8766177741625998E-2</v>
      </c>
    </row>
    <row r="28" spans="1:44" x14ac:dyDescent="0.3">
      <c r="A28" s="309" t="str">
        <f t="shared" ref="A28" si="21">+IF(C28+C29=0,"[ocultar]","")</f>
        <v/>
      </c>
      <c r="B28" s="46" t="s">
        <v>162</v>
      </c>
      <c r="C28" s="45">
        <f t="array" ref="C28">SUM(IF($B28=DATOS_[Sexo],
IF($B27=DATOS_[AGRUP. CLAS. PROF.],
IF("Dentro"=DATOS_[Check Periodo Ref.],
1/(COUNTIFS(DATOS_[Sexo],$B28,DATOS_[AGRUP. CLAS. PROF.],$B27,DATOS_[Check Periodo Ref.],"Dentro",DATOS_[id],DATOS_[id]))))))</f>
        <v>26</v>
      </c>
      <c r="D28" s="47">
        <f>COUNTIFS(DATOS_[AGRUP. CLAS. PROF.],$B27,DATOS_[Sexo],$B28,DATOS_[Check Periodo Ref.],"Dentro")</f>
        <v>31</v>
      </c>
      <c r="E28" s="92">
        <f t="array" ref="E28">IFERROR(
AVERAGE(IF(DATOS_[Sexo]=$B28,IF(DATOS_[AGRUP. CLAS. PROF.]=$B27,IF(DATOS_[Check Periodo Ref.]="Dentro",DATOS_[SALARIO BASE Ef],FALSE)))),
0)</f>
        <v>9068.306838709681</v>
      </c>
      <c r="F28" s="93">
        <f t="array" ref="F28">IFERROR(
AVERAGE((IF(DATOS_[[Sexo]:[Sexo]]=$B28,IF(DATOS_[[AGRUP. CLAS. PROF.]:[AGRUP. CLAS. PROF.]]=$B27,IF(DATOS_[[Check Periodo Ref.]:[Check Periodo Ref.]]="Dentro",DATOS_[Conc.Sal.01]))))),
0)</f>
        <v>59.628645161290478</v>
      </c>
      <c r="G28" s="93">
        <f t="array" ref="G28">IFERROR(
AVERAGE((IF(DATOS_[[Sexo]:[Sexo]]=$B28,IF(DATOS_[[AGRUP. CLAS. PROF.]:[AGRUP. CLAS. PROF.]]=$B27,IF(DATOS_[[Check Periodo Ref.]:[Check Periodo Ref.]]="Dentro",DATOS_[Conc.Sal.02]))))),
0)</f>
        <v>109.98640258064516</v>
      </c>
      <c r="H28" s="93">
        <f t="array" ref="H28">IFERROR(
AVERAGE((IF(DATOS_[[Sexo]:[Sexo]]=$B28,IF(DATOS_[[AGRUP. CLAS. PROF.]:[AGRUP. CLAS. PROF.]]=$B27,IF(DATOS_[[Check Periodo Ref.]:[Check Periodo Ref.]]="Dentro",DATOS_[Conc.Sal.03]))))),
0)</f>
        <v>709.67741935483866</v>
      </c>
      <c r="I28" s="93">
        <f t="array" ref="I28">IFERROR(
AVERAGE((IF(DATOS_[[Sexo]:[Sexo]]=$B28,IF(DATOS_[[AGRUP. CLAS. PROF.]:[AGRUP. CLAS. PROF.]]=$B27,IF(DATOS_[[Check Periodo Ref.]:[Check Periodo Ref.]]="Dentro",DATOS_[Conc.Sal.04]))))),
0)</f>
        <v>0</v>
      </c>
      <c r="J28" s="93">
        <f t="array" ref="J28">IFERROR(
AVERAGE((IF(DATOS_[[Sexo]:[Sexo]]=$B28,IF(DATOS_[[AGRUP. CLAS. PROF.]:[AGRUP. CLAS. PROF.]]=$B27,IF(DATOS_[[Check Periodo Ref.]:[Check Periodo Ref.]]="Dentro",DATOS_[Conc.Sal.05]))))),
0)</f>
        <v>0</v>
      </c>
      <c r="K28" s="93">
        <f t="array" ref="K28">IFERROR(
AVERAGE((IF(DATOS_[[Sexo]:[Sexo]]=$B28,IF(DATOS_[[AGRUP. CLAS. PROF.]:[AGRUP. CLAS. PROF.]]=$B27,IF(DATOS_[[Check Periodo Ref.]:[Check Periodo Ref.]]="Dentro",DATOS_[Conc.Sal.06]))))),
0)</f>
        <v>0</v>
      </c>
      <c r="L28" s="93">
        <f t="array" ref="L28">IFERROR(
AVERAGE((IF(DATOS_[[Sexo]:[Sexo]]=$B28,IF(DATOS_[[AGRUP. CLAS. PROF.]:[AGRUP. CLAS. PROF.]]=$B27,IF(DATOS_[[Check Periodo Ref.]:[Check Periodo Ref.]]="Dentro",DATOS_[Conc.Sal.07]))))),
0)</f>
        <v>59.354838709677416</v>
      </c>
      <c r="M28" s="93">
        <f t="array" ref="M28">IFERROR(
AVERAGE((IF(DATOS_[[Sexo]:[Sexo]]=$B28,IF(DATOS_[[AGRUP. CLAS. PROF.]:[AGRUP. CLAS. PROF.]]=$B27,IF(DATOS_[[Check Periodo Ref.]:[Check Periodo Ref.]]="Dentro",DATOS_[Conc.Sal.08]))))),
0)</f>
        <v>0</v>
      </c>
      <c r="N28" s="93">
        <f t="array" ref="N28">IFERROR(
AVERAGE((IF(DATOS_[[Sexo]:[Sexo]]=$B28,IF(DATOS_[[AGRUP. CLAS. PROF.]:[AGRUP. CLAS. PROF.]]=$B27,IF(DATOS_[[Check Periodo Ref.]:[Check Periodo Ref.]]="Dentro",DATOS_[Conc.Sal.09]))))),
0)</f>
        <v>0</v>
      </c>
      <c r="O28" s="93">
        <f t="array" ref="O28">IFERROR(
AVERAGE((IF(DATOS_[[Sexo]:[Sexo]]=$B28,IF(DATOS_[[AGRUP. CLAS. PROF.]:[AGRUP. CLAS. PROF.]]=$B27,IF(DATOS_[[Check Periodo Ref.]:[Check Periodo Ref.]]="Dentro",DATOS_[Conc.Sal.10]))))),
0)</f>
        <v>0</v>
      </c>
      <c r="P28" s="93"/>
      <c r="Q28" s="93">
        <f t="array" ref="Q28">IFERROR(
AVERAGE((IF(DATOS_[[Sexo]:[Sexo]]=$B28,IF(DATOS_[[AGRUP. CLAS. PROF.]:[AGRUP. CLAS. PROF.]]=$B27,IF(DATOS_[[Check Periodo Ref.]:[Check Periodo Ref.]]="Dentro",DATOS_[Conc.Sal.12]))))),
0)</f>
        <v>0</v>
      </c>
      <c r="R28" s="93">
        <f t="array" ref="R28">IFERROR(
AVERAGE((IF(DATOS_[[Sexo]:[Sexo]]=$B28,IF(DATOS_[[AGRUP. CLAS. PROF.]:[AGRUP. CLAS. PROF.]]=$B27,IF(DATOS_[[Check Periodo Ref.]:[Check Periodo Ref.]]="Dentro",DATOS_[Conc.Sal.13]))))),
0)</f>
        <v>0</v>
      </c>
      <c r="S28" s="93">
        <f t="array" ref="S28">IFERROR(
AVERAGE((IF(DATOS_[[Sexo]:[Sexo]]=$B28,IF(DATOS_[[AGRUP. CLAS. PROF.]:[AGRUP. CLAS. PROF.]]=$B27,IF(DATOS_[[Check Periodo Ref.]:[Check Periodo Ref.]]="Dentro",DATOS_[Conc.Sal.14]))))),
0)</f>
        <v>0</v>
      </c>
      <c r="T28" s="93">
        <f t="array" ref="T28">IFERROR(
AVERAGE((IF(DATOS_[[Sexo]:[Sexo]]=$B28,IF(DATOS_[[AGRUP. CLAS. PROF.]:[AGRUP. CLAS. PROF.]]=$B27,IF(DATOS_[[Check Periodo Ref.]:[Check Periodo Ref.]]="Dentro",DATOS_[Conc.Sal.15]))))),
0)</f>
        <v>0</v>
      </c>
      <c r="U28" s="93">
        <f t="array" ref="U28">IFERROR(
AVERAGE((IF(DATOS_[[Sexo]:[Sexo]]=$B28,IF(DATOS_[[AGRUP. CLAS. PROF.]:[AGRUP. CLAS. PROF.]]=$B27,IF(DATOS_[[Check Periodo Ref.]:[Check Periodo Ref.]]="Dentro",DATOS_[Conc.Sal.16]))))),
0)</f>
        <v>0</v>
      </c>
      <c r="V28" s="93">
        <f t="array" ref="V28">IFERROR(
AVERAGE((IF(DATOS_[[Sexo]:[Sexo]]=$B28,IF(DATOS_[[AGRUP. CLAS. PROF.]:[AGRUP. CLAS. PROF.]]=$B27,IF(DATOS_[[Check Periodo Ref.]:[Check Periodo Ref.]]="Dentro",DATOS_[Conc.Sal.17]))))),
0)</f>
        <v>0</v>
      </c>
      <c r="W28" s="93">
        <f t="array" ref="W28">IFERROR(
AVERAGE((IF(DATOS_[[Sexo]:[Sexo]]=$B28,IF(DATOS_[[AGRUP. CLAS. PROF.]:[AGRUP. CLAS. PROF.]]=$B27,IF(DATOS_[[Check Periodo Ref.]:[Check Periodo Ref.]]="Dentro",DATOS_[Conc.Sal.18]))))),
0)</f>
        <v>0</v>
      </c>
      <c r="X28" s="93">
        <f t="array" ref="X28">IFERROR(
AVERAGE((IF(DATOS_[[Sexo]:[Sexo]]=$B28,IF(DATOS_[[AGRUP. CLAS. PROF.]:[AGRUP. CLAS. PROF.]]=$B27,IF(DATOS_[[Check Periodo Ref.]:[Check Periodo Ref.]]="Dentro",DATOS_[Conc.Sal.19]))))),
0)</f>
        <v>0</v>
      </c>
      <c r="Y28" s="93">
        <f t="array" ref="Y28">IFERROR(
AVERAGE((IF(DATOS_[[Sexo]:[Sexo]]=$B28,IF(DATOS_[[AGRUP. CLAS. PROF.]:[AGRUP. CLAS. PROF.]]=$B27,IF(DATOS_[[Check Periodo Ref.]:[Check Periodo Ref.]]="Dentro",DATOS_[Conc.Sal.20]))))),
0)</f>
        <v>0</v>
      </c>
      <c r="Z28" s="93">
        <f t="array" ref="Z28">IFERROR(
AVERAGE((IF(DATOS_[[Sexo]:[Sexo]]=$B28,IF(DATOS_[[AGRUP. CLAS. PROF.]:[AGRUP. CLAS. PROF.]]=$B27,IF(DATOS_[[Check Periodo Ref.]:[Check Periodo Ref.]]="Dentro",DATOS_[Conc.Sal.21]))))),
0)</f>
        <v>0</v>
      </c>
      <c r="AA28" s="93">
        <f t="array" ref="AA28">IFERROR(
AVERAGE((IF(DATOS_[[Sexo]:[Sexo]]=$B28,IF(DATOS_[[AGRUP. CLAS. PROF.]:[AGRUP. CLAS. PROF.]]=$B27,IF(DATOS_[[Check Periodo Ref.]:[Check Periodo Ref.]]="Dentro",DATOS_[Conc.Sal.22]))))),
0)</f>
        <v>0</v>
      </c>
      <c r="AB28" s="93">
        <f t="array" ref="AB28">IFERROR(
AVERAGE((IF(DATOS_[[Sexo]:[Sexo]]=$B28,IF(DATOS_[[AGRUP. CLAS. PROF.]:[AGRUP. CLAS. PROF.]]=$B27,IF(DATOS_[[Check Periodo Ref.]:[Check Periodo Ref.]]="Dentro",DATOS_[Conc.Sal.23]))))),
0)</f>
        <v>0</v>
      </c>
      <c r="AC28" s="93">
        <f t="array" ref="AC28">IFERROR(
AVERAGE((IF(DATOS_[[Sexo]:[Sexo]]=$B28,IF(DATOS_[[AGRUP. CLAS. PROF.]:[AGRUP. CLAS. PROF.]]=$B27,IF(DATOS_[[Check Periodo Ref.]:[Check Periodo Ref.]]="Dentro",DATOS_[Conc.Sal.24]))))),
0)</f>
        <v>0</v>
      </c>
      <c r="AD28" s="93">
        <f t="array" ref="AD28">IFERROR(
AVERAGE((IF(DATOS_[[Sexo]:[Sexo]]=$B28,IF(DATOS_[[AGRUP. CLAS. PROF.]:[AGRUP. CLAS. PROF.]]=$B27,IF(DATOS_[[Check Periodo Ref.]:[Check Periodo Ref.]]="Dentro",DATOS_[Conc.Sal.25]))))),
0)</f>
        <v>0</v>
      </c>
      <c r="AE28" s="93">
        <f t="array" ref="AE28">IFERROR(
AVERAGE((IF(DATOS_[[Sexo]:[Sexo]]=$B28,IF(DATOS_[[AGRUP. CLAS. PROF.]:[AGRUP. CLAS. PROF.]]=$B27,IF(DATOS_[[Check Periodo Ref.]:[Check Periodo Ref.]]="Dentro",DATOS_[Conc.Sal.26]))))),
0)</f>
        <v>0</v>
      </c>
      <c r="AF28" s="93">
        <f t="array" ref="AF28">IFERROR(
AVERAGE((IF(DATOS_[[Sexo]:[Sexo]]=$B28,IF(DATOS_[[AGRUP. CLAS. PROF.]:[AGRUP. CLAS. PROF.]]=$B27,IF(DATOS_[[Check Periodo Ref.]:[Check Periodo Ref.]]="Dentro",DATOS_[Conc.Sal.27]))))),
0)</f>
        <v>0</v>
      </c>
      <c r="AG28" s="93">
        <f t="array" ref="AG28">IFERROR(
AVERAGE((IF(DATOS_[[Sexo]:[Sexo]]=$B28,IF(DATOS_[[AGRUP. CLAS. PROF.]:[AGRUP. CLAS. PROF.]]=$B27,IF(DATOS_[[Check Periodo Ref.]:[Check Periodo Ref.]]="Dentro",DATOS_[Conc.Sal.28]))))),
0)</f>
        <v>0</v>
      </c>
      <c r="AH28" s="93">
        <f t="array" ref="AH28">IFERROR(
AVERAGE((IF(DATOS_[[Sexo]:[Sexo]]=$B28,IF(DATOS_[[AGRUP. CLAS. PROF.]:[AGRUP. CLAS. PROF.]]=$B27,IF(DATOS_[[Check Periodo Ref.]:[Check Periodo Ref.]]="Dentro",DATOS_[Conc.Sal.29]))))),
0)</f>
        <v>0</v>
      </c>
      <c r="AI28" s="93">
        <f t="array" ref="AI28">IFERROR(
AVERAGE((IF(DATOS_[[Sexo]:[Sexo]]=$B28,IF(DATOS_[[AGRUP. CLAS. PROF.]:[AGRUP. CLAS. PROF.]]=$B27,IF(DATOS_[[Check Periodo Ref.]:[Check Periodo Ref.]]="Dentro",DATOS_[Conc.Sal.30]))))),
0)</f>
        <v>0</v>
      </c>
      <c r="AJ28" s="94">
        <f t="array" ref="AJ28">IFERROR(
AVERAGE(IF(DATOS_[Sexo]=$B28,IF(DATOS_[AGRUP. CLAS. PROF.]=$B27,IF(DATOS_[Check Periodo Ref.]="Dentro",DATOS_[Tot COMPL.SAL Ef],FALSE)))),
0)</f>
        <v>938.64730580645187</v>
      </c>
      <c r="AK28" s="96">
        <f t="array" ref="AK28">IFERROR(
AVERAGE(IF(DATOS_[Sexo]=$B28,IF(DATOS_[AGRUP. CLAS. PROF.]=$B27,IF(DATOS_[Check Periodo Ref.]="Dentro",DATOS_[TOTAL SALARIO Ef],FALSE)))),
0)</f>
        <v>10006.95414451613</v>
      </c>
      <c r="AL28" s="95">
        <f t="array" ref="AL28">IFERROR(
AVERAGE((IF(DATOS_[[Sexo]:[Sexo]]=$B28,IF(DATOS_[[AGRUP. CLAS. PROF.]:[AGRUP. CLAS. PROF.]]=$B27,IF(DATOS_[[Check Periodo Ref.]:[Check Periodo Ref.]]="Dentro",DATOS_[C.Extra.01]))))),
0)</f>
        <v>0</v>
      </c>
      <c r="AM28" s="95">
        <f t="array" ref="AM28">IFERROR(
AVERAGE((IF(DATOS_[[Sexo]:[Sexo]]=$B28,IF(DATOS_[[AGRUP. CLAS. PROF.]:[AGRUP. CLAS. PROF.]]=$B27,IF(DATOS_[[Check Periodo Ref.]:[Check Periodo Ref.]]="Dentro",DATOS_[C.Extra.02]))))),
0)</f>
        <v>0</v>
      </c>
      <c r="AN28" s="95">
        <f t="array" ref="AN28">IFERROR(
AVERAGE((IF(DATOS_[[Sexo]:[Sexo]]=$B28,IF(DATOS_[[AGRUP. CLAS. PROF.]:[AGRUP. CLAS. PROF.]]=$B27,IF(DATOS_[[Check Periodo Ref.]:[Check Periodo Ref.]]="Dentro",DATOS_[C.Extra.03]))))),
0)</f>
        <v>174.19354838709677</v>
      </c>
      <c r="AO28" s="95">
        <f t="array" ref="AO28">IFERROR(
AVERAGE((IF(DATOS_[[Sexo]:[Sexo]]=$B28,IF(DATOS_[[AGRUP. CLAS. PROF.]:[AGRUP. CLAS. PROF.]]=$B27,IF(DATOS_[[Check Periodo Ref.]:[Check Periodo Ref.]]="Dentro",DATOS_[C.Extra.04]))))),
0)</f>
        <v>0</v>
      </c>
      <c r="AP28" s="95">
        <f t="array" ref="AP28">IFERROR(
AVERAGE((IF(DATOS_[[Sexo]:[Sexo]]=$B28,IF(DATOS_[[AGRUP. CLAS. PROF.]:[AGRUP. CLAS. PROF.]]=$B27,IF(DATOS_[[Check Periodo Ref.]:[Check Periodo Ref.]]="Dentro",DATOS_[C.Extra.05]))))),
0)</f>
        <v>0</v>
      </c>
      <c r="AQ28" s="97">
        <f t="array" ref="AQ28">IFERROR(
AVERAGE(IF(DATOS_[Sexo]=$B28,IF(DATOS_[AGRUP. CLAS. PROF.]=$B27,IF(DATOS_[Check Periodo Ref.]="Dentro",DATOS_[Tot Extrasalarial Ef],FALSE)))),
0)</f>
        <v>174.19354838709677</v>
      </c>
      <c r="AR28" s="98">
        <f t="array" ref="AR28">IFERROR(
AVERAGE(IF(DATOS_[Sexo]=$B28,IF(DATOS_[AGRUP. CLAS. PROF.]=$B27,IF(DATOS_[Check Periodo Ref.]="Dentro",DATOS_[TOTAL Retrib Ef],FALSE)))),
0)</f>
        <v>10181.147692903227</v>
      </c>
    </row>
    <row r="29" spans="1:44" x14ac:dyDescent="0.3">
      <c r="A29" s="309" t="str">
        <f t="shared" ref="A29" si="22">+A28</f>
        <v/>
      </c>
      <c r="B29" s="46" t="s">
        <v>163</v>
      </c>
      <c r="C29" s="45">
        <f t="array" ref="C29">SUM(IF($B29=DATOS_[Sexo],
IF($B27=DATOS_[AGRUP. CLAS. PROF.],
IF("Dentro"=DATOS_[Check Periodo Ref.],
1/(COUNTIFS(DATOS_[Sexo],$B29,DATOS_[AGRUP. CLAS. PROF.],$B27,DATOS_[Check Periodo Ref.],"Dentro",DATOS_[id],DATOS_[id]))))))</f>
        <v>49</v>
      </c>
      <c r="D29" s="47">
        <f>COUNTIFS(DATOS_[AGRUP. CLAS. PROF.],$B27,DATOS_[Sexo],$B29,DATOS_[Check Periodo Ref.],"Dentro")</f>
        <v>55</v>
      </c>
      <c r="E29" s="92">
        <f t="array" ref="E29">IFERROR(
AVERAGE(IF(DATOS_[Sexo]=$B29,IF(DATOS_[AGRUP. CLAS. PROF.]=$B27,IF(DATOS_[Check Periodo Ref.]="Dentro",DATOS_[SALARIO BASE Ef],FALSE)))),
0)</f>
        <v>9529.7375909090933</v>
      </c>
      <c r="F29" s="93">
        <f t="array" ref="F29">IFERROR(
AVERAGE((IF(DATOS_[[Sexo]:[Sexo]]=$B29,IF(DATOS_[[AGRUP. CLAS. PROF.]:[AGRUP. CLAS. PROF.]]=$B27,IF(DATOS_[[Check Periodo Ref.]:[Check Periodo Ref.]]="Dentro",DATOS_[Conc.Sal.01]))))),
0)</f>
        <v>62.662409090909236</v>
      </c>
      <c r="G29" s="93">
        <f t="array" ref="G29">IFERROR(
AVERAGE((IF(DATOS_[[Sexo]:[Sexo]]=$B29,IF(DATOS_[[AGRUP. CLAS. PROF.]:[AGRUP. CLAS. PROF.]]=$B27,IF(DATOS_[[Check Periodo Ref.]:[Check Periodo Ref.]]="Dentro",DATOS_[Conc.Sal.02]))))),
0)</f>
        <v>115.06153272727275</v>
      </c>
      <c r="H29" s="93">
        <f t="array" ref="H29">IFERROR(
AVERAGE((IF(DATOS_[[Sexo]:[Sexo]]=$B29,IF(DATOS_[[AGRUP. CLAS. PROF.]:[AGRUP. CLAS. PROF.]]=$B27,IF(DATOS_[[Check Periodo Ref.]:[Check Periodo Ref.]]="Dentro",DATOS_[Conc.Sal.03]))))),
0)</f>
        <v>773.81818181818187</v>
      </c>
      <c r="I29" s="93">
        <f t="array" ref="I29">IFERROR(
AVERAGE((IF(DATOS_[[Sexo]:[Sexo]]=$B29,IF(DATOS_[[AGRUP. CLAS. PROF.]:[AGRUP. CLAS. PROF.]]=$B27,IF(DATOS_[[Check Periodo Ref.]:[Check Periodo Ref.]]="Dentro",DATOS_[Conc.Sal.04]))))),
0)</f>
        <v>0</v>
      </c>
      <c r="J29" s="93">
        <f t="array" ref="J29">IFERROR(
AVERAGE((IF(DATOS_[[Sexo]:[Sexo]]=$B29,IF(DATOS_[[AGRUP. CLAS. PROF.]:[AGRUP. CLAS. PROF.]]=$B27,IF(DATOS_[[Check Periodo Ref.]:[Check Periodo Ref.]]="Dentro",DATOS_[Conc.Sal.05]))))),
0)</f>
        <v>0</v>
      </c>
      <c r="K29" s="93">
        <f t="array" ref="K29">IFERROR(
AVERAGE((IF(DATOS_[[Sexo]:[Sexo]]=$B29,IF(DATOS_[[AGRUP. CLAS. PROF.]:[AGRUP. CLAS. PROF.]]=$B27,IF(DATOS_[[Check Periodo Ref.]:[Check Periodo Ref.]]="Dentro",DATOS_[Conc.Sal.06]))))),
0)</f>
        <v>0</v>
      </c>
      <c r="L29" s="93">
        <f t="array" ref="L29">IFERROR(
AVERAGE((IF(DATOS_[[Sexo]:[Sexo]]=$B29,IF(DATOS_[[AGRUP. CLAS. PROF.]:[AGRUP. CLAS. PROF.]]=$B27,IF(DATOS_[[Check Periodo Ref.]:[Check Periodo Ref.]]="Dentro",DATOS_[Conc.Sal.07]))))),
0)</f>
        <v>65.454545454545453</v>
      </c>
      <c r="M29" s="93">
        <f t="array" ref="M29">IFERROR(
AVERAGE((IF(DATOS_[[Sexo]:[Sexo]]=$B29,IF(DATOS_[[AGRUP. CLAS. PROF.]:[AGRUP. CLAS. PROF.]]=$B27,IF(DATOS_[[Check Periodo Ref.]:[Check Periodo Ref.]]="Dentro",DATOS_[Conc.Sal.08]))))),
0)</f>
        <v>0</v>
      </c>
      <c r="N29" s="93">
        <f t="array" ref="N29">IFERROR(
AVERAGE((IF(DATOS_[[Sexo]:[Sexo]]=$B29,IF(DATOS_[[AGRUP. CLAS. PROF.]:[AGRUP. CLAS. PROF.]]=$B27,IF(DATOS_[[Check Periodo Ref.]:[Check Periodo Ref.]]="Dentro",DATOS_[Conc.Sal.09]))))),
0)</f>
        <v>0</v>
      </c>
      <c r="O29" s="93">
        <f t="array" ref="O29">IFERROR(
AVERAGE((IF(DATOS_[[Sexo]:[Sexo]]=$B29,IF(DATOS_[[AGRUP. CLAS. PROF.]:[AGRUP. CLAS. PROF.]]=$B27,IF(DATOS_[[Check Periodo Ref.]:[Check Periodo Ref.]]="Dentro",DATOS_[Conc.Sal.10]))))),
0)</f>
        <v>0</v>
      </c>
      <c r="P29" s="93">
        <f t="array" ref="P29">IFERROR(
AVERAGE((IF(DATOS_[[Sexo]:[Sexo]]=$B29,IF(DATOS_[[AGRUP. CLAS. PROF.]:[AGRUP. CLAS. PROF.]]=$B27,IF(DATOS_[[Check Periodo Ref.]:[Check Periodo Ref.]]="Dentro",DATOS_[Conc.Sal.11]))))),
0)</f>
        <v>0</v>
      </c>
      <c r="Q29" s="93">
        <f t="array" ref="Q29">IFERROR(
AVERAGE((IF(DATOS_[[Sexo]:[Sexo]]=$B29,IF(DATOS_[[AGRUP. CLAS. PROF.]:[AGRUP. CLAS. PROF.]]=$B27,IF(DATOS_[[Check Periodo Ref.]:[Check Periodo Ref.]]="Dentro",DATOS_[Conc.Sal.12]))))),
0)</f>
        <v>0</v>
      </c>
      <c r="R29" s="93">
        <f t="array" ref="R29">IFERROR(
AVERAGE((IF(DATOS_[[Sexo]:[Sexo]]=$B29,IF(DATOS_[[AGRUP. CLAS. PROF.]:[AGRUP. CLAS. PROF.]]=$B27,IF(DATOS_[[Check Periodo Ref.]:[Check Periodo Ref.]]="Dentro",DATOS_[Conc.Sal.13]))))),
0)</f>
        <v>0</v>
      </c>
      <c r="S29" s="93">
        <f t="array" ref="S29">IFERROR(
AVERAGE((IF(DATOS_[[Sexo]:[Sexo]]=$B29,IF(DATOS_[[AGRUP. CLAS. PROF.]:[AGRUP. CLAS. PROF.]]=$B27,IF(DATOS_[[Check Periodo Ref.]:[Check Periodo Ref.]]="Dentro",DATOS_[Conc.Sal.14]))))),
0)</f>
        <v>0</v>
      </c>
      <c r="T29" s="93">
        <f t="array" ref="T29">IFERROR(
AVERAGE((IF(DATOS_[[Sexo]:[Sexo]]=$B29,IF(DATOS_[[AGRUP. CLAS. PROF.]:[AGRUP. CLAS. PROF.]]=$B27,IF(DATOS_[[Check Periodo Ref.]:[Check Periodo Ref.]]="Dentro",DATOS_[Conc.Sal.15]))))),
0)</f>
        <v>0</v>
      </c>
      <c r="U29" s="93">
        <f t="array" ref="U29">IFERROR(
AVERAGE((IF(DATOS_[[Sexo]:[Sexo]]=$B29,IF(DATOS_[[AGRUP. CLAS. PROF.]:[AGRUP. CLAS. PROF.]]=$B27,IF(DATOS_[[Check Periodo Ref.]:[Check Periodo Ref.]]="Dentro",DATOS_[Conc.Sal.16]))))),
0)</f>
        <v>0</v>
      </c>
      <c r="V29" s="93">
        <f t="array" ref="V29">IFERROR(
AVERAGE((IF(DATOS_[[Sexo]:[Sexo]]=$B29,IF(DATOS_[[AGRUP. CLAS. PROF.]:[AGRUP. CLAS. PROF.]]=$B27,IF(DATOS_[[Check Periodo Ref.]:[Check Periodo Ref.]]="Dentro",DATOS_[Conc.Sal.17]))))),
0)</f>
        <v>0</v>
      </c>
      <c r="W29" s="93">
        <f t="array" ref="W29">IFERROR(
AVERAGE((IF(DATOS_[[Sexo]:[Sexo]]=$B29,IF(DATOS_[[AGRUP. CLAS. PROF.]:[AGRUP. CLAS. PROF.]]=$B27,IF(DATOS_[[Check Periodo Ref.]:[Check Periodo Ref.]]="Dentro",DATOS_[Conc.Sal.18]))))),
0)</f>
        <v>0</v>
      </c>
      <c r="X29" s="93">
        <f t="array" ref="X29">IFERROR(
AVERAGE((IF(DATOS_[[Sexo]:[Sexo]]=$B29,IF(DATOS_[[AGRUP. CLAS. PROF.]:[AGRUP. CLAS. PROF.]]=$B27,IF(DATOS_[[Check Periodo Ref.]:[Check Periodo Ref.]]="Dentro",DATOS_[Conc.Sal.19]))))),
0)</f>
        <v>0</v>
      </c>
      <c r="Y29" s="93">
        <f t="array" ref="Y29">IFERROR(
AVERAGE((IF(DATOS_[[Sexo]:[Sexo]]=$B29,IF(DATOS_[[AGRUP. CLAS. PROF.]:[AGRUP. CLAS. PROF.]]=$B27,IF(DATOS_[[Check Periodo Ref.]:[Check Periodo Ref.]]="Dentro",DATOS_[Conc.Sal.20]))))),
0)</f>
        <v>0</v>
      </c>
      <c r="Z29" s="93">
        <f t="array" ref="Z29">IFERROR(
AVERAGE((IF(DATOS_[[Sexo]:[Sexo]]=$B29,IF(DATOS_[[AGRUP. CLAS. PROF.]:[AGRUP. CLAS. PROF.]]=$B27,IF(DATOS_[[Check Periodo Ref.]:[Check Periodo Ref.]]="Dentro",DATOS_[Conc.Sal.21]))))),
0)</f>
        <v>0</v>
      </c>
      <c r="AA29" s="93">
        <f t="array" ref="AA29">IFERROR(
AVERAGE((IF(DATOS_[[Sexo]:[Sexo]]=$B29,IF(DATOS_[[AGRUP. CLAS. PROF.]:[AGRUP. CLAS. PROF.]]=$B27,IF(DATOS_[[Check Periodo Ref.]:[Check Periodo Ref.]]="Dentro",DATOS_[Conc.Sal.22]))))),
0)</f>
        <v>0</v>
      </c>
      <c r="AB29" s="93">
        <f t="array" ref="AB29">IFERROR(
AVERAGE((IF(DATOS_[[Sexo]:[Sexo]]=$B29,IF(DATOS_[[AGRUP. CLAS. PROF.]:[AGRUP. CLAS. PROF.]]=$B27,IF(DATOS_[[Check Periodo Ref.]:[Check Periodo Ref.]]="Dentro",DATOS_[Conc.Sal.23]))))),
0)</f>
        <v>0</v>
      </c>
      <c r="AC29" s="93">
        <f t="array" ref="AC29">IFERROR(
AVERAGE((IF(DATOS_[[Sexo]:[Sexo]]=$B29,IF(DATOS_[[AGRUP. CLAS. PROF.]:[AGRUP. CLAS. PROF.]]=$B27,IF(DATOS_[[Check Periodo Ref.]:[Check Periodo Ref.]]="Dentro",DATOS_[Conc.Sal.24]))))),
0)</f>
        <v>0</v>
      </c>
      <c r="AD29" s="93">
        <f t="array" ref="AD29">IFERROR(
AVERAGE((IF(DATOS_[[Sexo]:[Sexo]]=$B29,IF(DATOS_[[AGRUP. CLAS. PROF.]:[AGRUP. CLAS. PROF.]]=$B27,IF(DATOS_[[Check Periodo Ref.]:[Check Periodo Ref.]]="Dentro",DATOS_[Conc.Sal.25]))))),
0)</f>
        <v>0</v>
      </c>
      <c r="AE29" s="93">
        <f t="array" ref="AE29">IFERROR(
AVERAGE((IF(DATOS_[[Sexo]:[Sexo]]=$B29,IF(DATOS_[[AGRUP. CLAS. PROF.]:[AGRUP. CLAS. PROF.]]=$B27,IF(DATOS_[[Check Periodo Ref.]:[Check Periodo Ref.]]="Dentro",DATOS_[Conc.Sal.26]))))),
0)</f>
        <v>0</v>
      </c>
      <c r="AF29" s="93">
        <f t="array" ref="AF29">IFERROR(
AVERAGE((IF(DATOS_[[Sexo]:[Sexo]]=$B29,IF(DATOS_[[AGRUP. CLAS. PROF.]:[AGRUP. CLAS. PROF.]]=$B27,IF(DATOS_[[Check Periodo Ref.]:[Check Periodo Ref.]]="Dentro",DATOS_[Conc.Sal.27]))))),
0)</f>
        <v>0</v>
      </c>
      <c r="AG29" s="93">
        <f t="array" ref="AG29">IFERROR(
AVERAGE((IF(DATOS_[[Sexo]:[Sexo]]=$B29,IF(DATOS_[[AGRUP. CLAS. PROF.]:[AGRUP. CLAS. PROF.]]=$B27,IF(DATOS_[[Check Periodo Ref.]:[Check Periodo Ref.]]="Dentro",DATOS_[Conc.Sal.28]))))),
0)</f>
        <v>0</v>
      </c>
      <c r="AH29" s="93">
        <f t="array" ref="AH29">IFERROR(
AVERAGE((IF(DATOS_[[Sexo]:[Sexo]]=$B29,IF(DATOS_[[AGRUP. CLAS. PROF.]:[AGRUP. CLAS. PROF.]]=$B27,IF(DATOS_[[Check Periodo Ref.]:[Check Periodo Ref.]]="Dentro",DATOS_[Conc.Sal.29]))))),
0)</f>
        <v>0</v>
      </c>
      <c r="AI29" s="93">
        <f t="array" ref="AI29">IFERROR(
AVERAGE((IF(DATOS_[[Sexo]:[Sexo]]=$B29,IF(DATOS_[[AGRUP. CLAS. PROF.]:[AGRUP. CLAS. PROF.]]=$B27,IF(DATOS_[[Check Periodo Ref.]:[Check Periodo Ref.]]="Dentro",DATOS_[Conc.Sal.30]))))),
0)</f>
        <v>0</v>
      </c>
      <c r="AJ29" s="94">
        <f t="array" ref="AJ29">IFERROR(
AVERAGE(IF(DATOS_[Sexo]=$B29,IF(DATOS_[AGRUP. CLAS. PROF.]=$B27,IF(DATOS_[Check Periodo Ref.]="Dentro",DATOS_[Tot COMPL.SAL Ef],FALSE)))),
0)</f>
        <v>1016.9966690909092</v>
      </c>
      <c r="AK29" s="96">
        <f t="array" ref="AK29">IFERROR(
AVERAGE(IF(DATOS_[Sexo]=$B29,IF(DATOS_[AGRUP. CLAS. PROF.]=$B27,IF(DATOS_[Check Periodo Ref.]="Dentro",DATOS_[TOTAL SALARIO Ef],FALSE)))),
0)</f>
        <v>10546.734260000001</v>
      </c>
      <c r="AL29" s="95">
        <f t="array" ref="AL29">IFERROR(
AVERAGE((IF(DATOS_[[Sexo]:[Sexo]]=$B29,IF(DATOS_[[AGRUP. CLAS. PROF.]:[AGRUP. CLAS. PROF.]]=$B27,IF(DATOS_[[Check Periodo Ref.]:[Check Periodo Ref.]]="Dentro",DATOS_[C.Extra.01]))))),
0)</f>
        <v>0</v>
      </c>
      <c r="AM29" s="95">
        <f t="array" ref="AM29">IFERROR(
AVERAGE((IF(DATOS_[[Sexo]:[Sexo]]=$B29,IF(DATOS_[[AGRUP. CLAS. PROF.]:[AGRUP. CLAS. PROF.]]=$B27,IF(DATOS_[[Check Periodo Ref.]:[Check Periodo Ref.]]="Dentro",DATOS_[C.Extra.02]))))),
0)</f>
        <v>0</v>
      </c>
      <c r="AN29" s="95">
        <f t="array" ref="AN29">IFERROR(
AVERAGE((IF(DATOS_[[Sexo]:[Sexo]]=$B29,IF(DATOS_[[AGRUP. CLAS. PROF.]:[AGRUP. CLAS. PROF.]]=$B27,IF(DATOS_[[Check Periodo Ref.]:[Check Periodo Ref.]]="Dentro",DATOS_[C.Extra.03]))))),
0)</f>
        <v>130.90909090909091</v>
      </c>
      <c r="AO29" s="95">
        <f t="array" ref="AO29">IFERROR(
AVERAGE((IF(DATOS_[[Sexo]:[Sexo]]=$B29,IF(DATOS_[[AGRUP. CLAS. PROF.]:[AGRUP. CLAS. PROF.]]=$B27,IF(DATOS_[[Check Periodo Ref.]:[Check Periodo Ref.]]="Dentro",DATOS_[C.Extra.04]))))),
0)</f>
        <v>0</v>
      </c>
      <c r="AP29" s="95">
        <f t="array" ref="AP29">IFERROR(
AVERAGE((IF(DATOS_[[Sexo]:[Sexo]]=$B29,IF(DATOS_[[AGRUP. CLAS. PROF.]:[AGRUP. CLAS. PROF.]]=$B27,IF(DATOS_[[Check Periodo Ref.]:[Check Periodo Ref.]]="Dentro",DATOS_[C.Extra.05]))))),
0)</f>
        <v>0</v>
      </c>
      <c r="AQ29" s="97">
        <f t="array" ref="AQ29">IFERROR(
AVERAGE(IF(DATOS_[Sexo]=$B29,IF(DATOS_[AGRUP. CLAS. PROF.]=$B27,IF(DATOS_[Check Periodo Ref.]="Dentro",DATOS_[Tot Extrasalarial Ef],FALSE)))),
0)</f>
        <v>130.90909090909091</v>
      </c>
      <c r="AR29" s="98">
        <f t="array" ref="AR29">IFERROR(
AVERAGE(IF(DATOS_[Sexo]=$B29,IF(DATOS_[AGRUP. CLAS. PROF.]=$B27,IF(DATOS_[Check Periodo Ref.]="Dentro",DATOS_[TOTAL Retrib Ef],FALSE)))),
0)</f>
        <v>10677.643350909091</v>
      </c>
    </row>
    <row r="30" spans="1:44" ht="17.25" hidden="1" thickBot="1" x14ac:dyDescent="0.35">
      <c r="A30" s="309" t="str">
        <f t="shared" ref="A30" si="23">+A31</f>
        <v>[ocultar]</v>
      </c>
      <c r="B30" s="51" t="s">
        <v>312</v>
      </c>
      <c r="C30" s="91"/>
      <c r="D30" s="52"/>
      <c r="E30" s="139" t="str">
        <f t="shared" ref="E30:AR30" si="24">IFERROR((E31-E32)/E31,"")</f>
        <v/>
      </c>
      <c r="F30" s="310" t="str">
        <f t="shared" si="24"/>
        <v/>
      </c>
      <c r="G30" s="180" t="str">
        <f t="shared" si="24"/>
        <v/>
      </c>
      <c r="H30" s="180" t="str">
        <f t="shared" si="24"/>
        <v/>
      </c>
      <c r="I30" s="180" t="str">
        <f t="shared" si="24"/>
        <v/>
      </c>
      <c r="J30" s="181" t="str">
        <f t="shared" si="24"/>
        <v/>
      </c>
      <c r="K30" s="182" t="str">
        <f t="shared" si="24"/>
        <v/>
      </c>
      <c r="L30" s="182" t="str">
        <f t="shared" si="24"/>
        <v/>
      </c>
      <c r="M30" s="182" t="str">
        <f t="shared" si="24"/>
        <v/>
      </c>
      <c r="N30" s="182" t="str">
        <f t="shared" si="24"/>
        <v/>
      </c>
      <c r="O30" s="182" t="str">
        <f t="shared" si="24"/>
        <v/>
      </c>
      <c r="P30" s="182" t="str">
        <f t="shared" si="24"/>
        <v/>
      </c>
      <c r="Q30" s="182" t="str">
        <f t="shared" si="24"/>
        <v/>
      </c>
      <c r="R30" s="182" t="str">
        <f t="shared" si="24"/>
        <v/>
      </c>
      <c r="S30" s="182" t="str">
        <f t="shared" si="24"/>
        <v/>
      </c>
      <c r="T30" s="182" t="str">
        <f t="shared" si="24"/>
        <v/>
      </c>
      <c r="U30" s="182" t="str">
        <f t="shared" si="24"/>
        <v/>
      </c>
      <c r="V30" s="181" t="str">
        <f t="shared" si="24"/>
        <v/>
      </c>
      <c r="W30" s="181" t="str">
        <f t="shared" si="24"/>
        <v/>
      </c>
      <c r="X30" s="181" t="str">
        <f t="shared" si="24"/>
        <v/>
      </c>
      <c r="Y30" s="181" t="str">
        <f t="shared" si="24"/>
        <v/>
      </c>
      <c r="Z30" s="181" t="str">
        <f t="shared" si="24"/>
        <v/>
      </c>
      <c r="AA30" s="181" t="str">
        <f t="shared" si="24"/>
        <v/>
      </c>
      <c r="AB30" s="181" t="str">
        <f t="shared" si="24"/>
        <v/>
      </c>
      <c r="AC30" s="181" t="str">
        <f t="shared" si="24"/>
        <v/>
      </c>
      <c r="AD30" s="181" t="str">
        <f t="shared" si="24"/>
        <v/>
      </c>
      <c r="AE30" s="181" t="str">
        <f t="shared" si="24"/>
        <v/>
      </c>
      <c r="AF30" s="181" t="str">
        <f t="shared" si="24"/>
        <v/>
      </c>
      <c r="AG30" s="181" t="str">
        <f t="shared" si="24"/>
        <v/>
      </c>
      <c r="AH30" s="181" t="str">
        <f t="shared" si="24"/>
        <v/>
      </c>
      <c r="AI30" s="181" t="str">
        <f t="shared" si="24"/>
        <v/>
      </c>
      <c r="AJ30" s="140" t="str">
        <f t="shared" si="24"/>
        <v/>
      </c>
      <c r="AK30" s="143" t="str">
        <f t="shared" si="24"/>
        <v/>
      </c>
      <c r="AL30" s="184" t="str">
        <f t="shared" si="24"/>
        <v/>
      </c>
      <c r="AM30" s="184" t="str">
        <f t="shared" si="24"/>
        <v/>
      </c>
      <c r="AN30" s="184" t="str">
        <f t="shared" si="24"/>
        <v/>
      </c>
      <c r="AO30" s="184" t="str">
        <f t="shared" si="24"/>
        <v/>
      </c>
      <c r="AP30" s="184" t="str">
        <f t="shared" si="24"/>
        <v/>
      </c>
      <c r="AQ30" s="141" t="str">
        <f t="shared" si="24"/>
        <v/>
      </c>
      <c r="AR30" s="142" t="str">
        <f t="shared" si="24"/>
        <v/>
      </c>
    </row>
    <row r="31" spans="1:44" hidden="1" x14ac:dyDescent="0.3">
      <c r="A31" s="309" t="str">
        <f t="shared" ref="A31" si="25">+IF(C31+C32=0,"[ocultar]","")</f>
        <v>[ocultar]</v>
      </c>
      <c r="B31" s="46" t="s">
        <v>162</v>
      </c>
      <c r="C31" s="45">
        <f t="array" ref="C31">SUM(IF($B31=DATOS_[Sexo],
IF($B30=DATOS_[AGRUP. CLAS. PROF.],
IF("Dentro"=DATOS_[Check Periodo Ref.],
1/(COUNTIFS(DATOS_[Sexo],$B31,DATOS_[AGRUP. CLAS. PROF.],$B30,DATOS_[Check Periodo Ref.],"Dentro",DATOS_[id],DATOS_[id]))))))</f>
        <v>0</v>
      </c>
      <c r="D31" s="47">
        <f>COUNTIFS(DATOS_[AGRUP. CLAS. PROF.],$B30,DATOS_[Sexo],$B31,DATOS_[Check Periodo Ref.],"Dentro")</f>
        <v>0</v>
      </c>
      <c r="E31" s="92">
        <f t="array" ref="E31">IFERROR(
AVERAGE(IF(DATOS_[Sexo]=$B31,IF(DATOS_[AGRUP. CLAS. PROF.]=$B30,IF(DATOS_[Check Periodo Ref.]="Dentro",DATOS_[SALARIO BASE Ef],FALSE)))),
0)</f>
        <v>0</v>
      </c>
      <c r="F31" s="93">
        <f t="array" ref="F31">IFERROR(
AVERAGE((IF(DATOS_[[Sexo]:[Sexo]]=$B31,IF(DATOS_[[AGRUP. CLAS. PROF.]:[AGRUP. CLAS. PROF.]]=$B30,IF(DATOS_[[Check Periodo Ref.]:[Check Periodo Ref.]]="Dentro",DATOS_[Conc.Sal.01]))))),
0)</f>
        <v>0</v>
      </c>
      <c r="G31" s="93">
        <f t="array" ref="G31">IFERROR(
AVERAGE((IF(DATOS_[[Sexo]:[Sexo]]=$B31,IF(DATOS_[[AGRUP. CLAS. PROF.]:[AGRUP. CLAS. PROF.]]=$B30,IF(DATOS_[[Check Periodo Ref.]:[Check Periodo Ref.]]="Dentro",DATOS_[Conc.Sal.02]))))),
0)</f>
        <v>0</v>
      </c>
      <c r="H31" s="93">
        <f t="array" ref="H31">IFERROR(
AVERAGE((IF(DATOS_[[Sexo]:[Sexo]]=$B31,IF(DATOS_[[AGRUP. CLAS. PROF.]:[AGRUP. CLAS. PROF.]]=$B30,IF(DATOS_[[Check Periodo Ref.]:[Check Periodo Ref.]]="Dentro",DATOS_[Conc.Sal.03]))))),
0)</f>
        <v>0</v>
      </c>
      <c r="I31" s="93">
        <f t="array" ref="I31">IFERROR(
AVERAGE((IF(DATOS_[[Sexo]:[Sexo]]=$B31,IF(DATOS_[[AGRUP. CLAS. PROF.]:[AGRUP. CLAS. PROF.]]=$B30,IF(DATOS_[[Check Periodo Ref.]:[Check Periodo Ref.]]="Dentro",DATOS_[Conc.Sal.04]))))),
0)</f>
        <v>0</v>
      </c>
      <c r="J31" s="93">
        <f t="array" ref="J31">IFERROR(
AVERAGE((IF(DATOS_[[Sexo]:[Sexo]]=$B31,IF(DATOS_[[AGRUP. CLAS. PROF.]:[AGRUP. CLAS. PROF.]]=$B30,IF(DATOS_[[Check Periodo Ref.]:[Check Periodo Ref.]]="Dentro",DATOS_[Conc.Sal.05]))))),
0)</f>
        <v>0</v>
      </c>
      <c r="K31" s="93">
        <f t="array" ref="K31">IFERROR(
AVERAGE((IF(DATOS_[[Sexo]:[Sexo]]=$B31,IF(DATOS_[[AGRUP. CLAS. PROF.]:[AGRUP. CLAS. PROF.]]=$B30,IF(DATOS_[[Check Periodo Ref.]:[Check Periodo Ref.]]="Dentro",DATOS_[Conc.Sal.06]))))),
0)</f>
        <v>0</v>
      </c>
      <c r="L31" s="93">
        <f t="array" ref="L31">IFERROR(
AVERAGE((IF(DATOS_[[Sexo]:[Sexo]]=$B31,IF(DATOS_[[AGRUP. CLAS. PROF.]:[AGRUP. CLAS. PROF.]]=$B30,IF(DATOS_[[Check Periodo Ref.]:[Check Periodo Ref.]]="Dentro",DATOS_[Conc.Sal.07]))))),
0)</f>
        <v>0</v>
      </c>
      <c r="M31" s="93">
        <f t="array" ref="M31">IFERROR(
AVERAGE((IF(DATOS_[[Sexo]:[Sexo]]=$B31,IF(DATOS_[[AGRUP. CLAS. PROF.]:[AGRUP. CLAS. PROF.]]=$B30,IF(DATOS_[[Check Periodo Ref.]:[Check Periodo Ref.]]="Dentro",DATOS_[Conc.Sal.08]))))),
0)</f>
        <v>0</v>
      </c>
      <c r="N31" s="93">
        <f t="array" ref="N31">IFERROR(
AVERAGE((IF(DATOS_[[Sexo]:[Sexo]]=$B31,IF(DATOS_[[AGRUP. CLAS. PROF.]:[AGRUP. CLAS. PROF.]]=$B30,IF(DATOS_[[Check Periodo Ref.]:[Check Periodo Ref.]]="Dentro",DATOS_[Conc.Sal.09]))))),
0)</f>
        <v>0</v>
      </c>
      <c r="O31" s="93">
        <f t="array" ref="O31">IFERROR(
AVERAGE((IF(DATOS_[[Sexo]:[Sexo]]=$B31,IF(DATOS_[[AGRUP. CLAS. PROF.]:[AGRUP. CLAS. PROF.]]=$B30,IF(DATOS_[[Check Periodo Ref.]:[Check Periodo Ref.]]="Dentro",DATOS_[Conc.Sal.10]))))),
0)</f>
        <v>0</v>
      </c>
      <c r="P31" s="93">
        <f t="array" ref="P31">IFERROR(
AVERAGE((IF(DATOS_[[Sexo]:[Sexo]]=$B31,IF(DATOS_[[AGRUP. CLAS. PROF.]:[AGRUP. CLAS. PROF.]]=$B30,IF(DATOS_[[Check Periodo Ref.]:[Check Periodo Ref.]]="Dentro",DATOS_[Conc.Sal.11]))))),
0)</f>
        <v>0</v>
      </c>
      <c r="Q31" s="93">
        <f t="array" ref="Q31">IFERROR(
AVERAGE((IF(DATOS_[[Sexo]:[Sexo]]=$B31,IF(DATOS_[[AGRUP. CLAS. PROF.]:[AGRUP. CLAS. PROF.]]=$B30,IF(DATOS_[[Check Periodo Ref.]:[Check Periodo Ref.]]="Dentro",DATOS_[Conc.Sal.12]))))),
0)</f>
        <v>0</v>
      </c>
      <c r="R31" s="93">
        <f t="array" ref="R31">IFERROR(
AVERAGE((IF(DATOS_[[Sexo]:[Sexo]]=$B31,IF(DATOS_[[AGRUP. CLAS. PROF.]:[AGRUP. CLAS. PROF.]]=$B30,IF(DATOS_[[Check Periodo Ref.]:[Check Periodo Ref.]]="Dentro",DATOS_[Conc.Sal.13]))))),
0)</f>
        <v>0</v>
      </c>
      <c r="S31" s="93">
        <f t="array" ref="S31">IFERROR(
AVERAGE((IF(DATOS_[[Sexo]:[Sexo]]=$B31,IF(DATOS_[[AGRUP. CLAS. PROF.]:[AGRUP. CLAS. PROF.]]=$B30,IF(DATOS_[[Check Periodo Ref.]:[Check Periodo Ref.]]="Dentro",DATOS_[Conc.Sal.14]))))),
0)</f>
        <v>0</v>
      </c>
      <c r="T31" s="93">
        <f t="array" ref="T31">IFERROR(
AVERAGE((IF(DATOS_[[Sexo]:[Sexo]]=$B31,IF(DATOS_[[AGRUP. CLAS. PROF.]:[AGRUP. CLAS. PROF.]]=$B30,IF(DATOS_[[Check Periodo Ref.]:[Check Periodo Ref.]]="Dentro",DATOS_[Conc.Sal.15]))))),
0)</f>
        <v>0</v>
      </c>
      <c r="U31" s="93">
        <f t="array" ref="U31">IFERROR(
AVERAGE((IF(DATOS_[[Sexo]:[Sexo]]=$B31,IF(DATOS_[[AGRUP. CLAS. PROF.]:[AGRUP. CLAS. PROF.]]=$B30,IF(DATOS_[[Check Periodo Ref.]:[Check Periodo Ref.]]="Dentro",DATOS_[Conc.Sal.16]))))),
0)</f>
        <v>0</v>
      </c>
      <c r="V31" s="93">
        <f t="array" ref="V31">IFERROR(
AVERAGE((IF(DATOS_[[Sexo]:[Sexo]]=$B31,IF(DATOS_[[AGRUP. CLAS. PROF.]:[AGRUP. CLAS. PROF.]]=$B30,IF(DATOS_[[Check Periodo Ref.]:[Check Periodo Ref.]]="Dentro",DATOS_[Conc.Sal.17]))))),
0)</f>
        <v>0</v>
      </c>
      <c r="W31" s="93">
        <f t="array" ref="W31">IFERROR(
AVERAGE((IF(DATOS_[[Sexo]:[Sexo]]=$B31,IF(DATOS_[[AGRUP. CLAS. PROF.]:[AGRUP. CLAS. PROF.]]=$B30,IF(DATOS_[[Check Periodo Ref.]:[Check Periodo Ref.]]="Dentro",DATOS_[Conc.Sal.18]))))),
0)</f>
        <v>0</v>
      </c>
      <c r="X31" s="93">
        <f t="array" ref="X31">IFERROR(
AVERAGE((IF(DATOS_[[Sexo]:[Sexo]]=$B31,IF(DATOS_[[AGRUP. CLAS. PROF.]:[AGRUP. CLAS. PROF.]]=$B30,IF(DATOS_[[Check Periodo Ref.]:[Check Periodo Ref.]]="Dentro",DATOS_[Conc.Sal.19]))))),
0)</f>
        <v>0</v>
      </c>
      <c r="Y31" s="93">
        <f t="array" ref="Y31">IFERROR(
AVERAGE((IF(DATOS_[[Sexo]:[Sexo]]=$B31,IF(DATOS_[[AGRUP. CLAS. PROF.]:[AGRUP. CLAS. PROF.]]=$B30,IF(DATOS_[[Check Periodo Ref.]:[Check Periodo Ref.]]="Dentro",DATOS_[Conc.Sal.20]))))),
0)</f>
        <v>0</v>
      </c>
      <c r="Z31" s="93">
        <f t="array" ref="Z31">IFERROR(
AVERAGE((IF(DATOS_[[Sexo]:[Sexo]]=$B31,IF(DATOS_[[AGRUP. CLAS. PROF.]:[AGRUP. CLAS. PROF.]]=$B30,IF(DATOS_[[Check Periodo Ref.]:[Check Periodo Ref.]]="Dentro",DATOS_[Conc.Sal.21]))))),
0)</f>
        <v>0</v>
      </c>
      <c r="AA31" s="93">
        <f t="array" ref="AA31">IFERROR(
AVERAGE((IF(DATOS_[[Sexo]:[Sexo]]=$B31,IF(DATOS_[[AGRUP. CLAS. PROF.]:[AGRUP. CLAS. PROF.]]=$B30,IF(DATOS_[[Check Periodo Ref.]:[Check Periodo Ref.]]="Dentro",DATOS_[Conc.Sal.22]))))),
0)</f>
        <v>0</v>
      </c>
      <c r="AB31" s="93">
        <f t="array" ref="AB31">IFERROR(
AVERAGE((IF(DATOS_[[Sexo]:[Sexo]]=$B31,IF(DATOS_[[AGRUP. CLAS. PROF.]:[AGRUP. CLAS. PROF.]]=$B30,IF(DATOS_[[Check Periodo Ref.]:[Check Periodo Ref.]]="Dentro",DATOS_[Conc.Sal.23]))))),
0)</f>
        <v>0</v>
      </c>
      <c r="AC31" s="93">
        <f t="array" ref="AC31">IFERROR(
AVERAGE((IF(DATOS_[[Sexo]:[Sexo]]=$B31,IF(DATOS_[[AGRUP. CLAS. PROF.]:[AGRUP. CLAS. PROF.]]=$B30,IF(DATOS_[[Check Periodo Ref.]:[Check Periodo Ref.]]="Dentro",DATOS_[Conc.Sal.24]))))),
0)</f>
        <v>0</v>
      </c>
      <c r="AD31" s="93">
        <f t="array" ref="AD31">IFERROR(
AVERAGE((IF(DATOS_[[Sexo]:[Sexo]]=$B31,IF(DATOS_[[AGRUP. CLAS. PROF.]:[AGRUP. CLAS. PROF.]]=$B30,IF(DATOS_[[Check Periodo Ref.]:[Check Periodo Ref.]]="Dentro",DATOS_[Conc.Sal.25]))))),
0)</f>
        <v>0</v>
      </c>
      <c r="AE31" s="93">
        <f t="array" ref="AE31">IFERROR(
AVERAGE((IF(DATOS_[[Sexo]:[Sexo]]=$B31,IF(DATOS_[[AGRUP. CLAS. PROF.]:[AGRUP. CLAS. PROF.]]=$B30,IF(DATOS_[[Check Periodo Ref.]:[Check Periodo Ref.]]="Dentro",DATOS_[Conc.Sal.26]))))),
0)</f>
        <v>0</v>
      </c>
      <c r="AF31" s="93">
        <f t="array" ref="AF31">IFERROR(
AVERAGE((IF(DATOS_[[Sexo]:[Sexo]]=$B31,IF(DATOS_[[AGRUP. CLAS. PROF.]:[AGRUP. CLAS. PROF.]]=$B30,IF(DATOS_[[Check Periodo Ref.]:[Check Periodo Ref.]]="Dentro",DATOS_[Conc.Sal.27]))))),
0)</f>
        <v>0</v>
      </c>
      <c r="AG31" s="93">
        <f t="array" ref="AG31">IFERROR(
AVERAGE((IF(DATOS_[[Sexo]:[Sexo]]=$B31,IF(DATOS_[[AGRUP. CLAS. PROF.]:[AGRUP. CLAS. PROF.]]=$B30,IF(DATOS_[[Check Periodo Ref.]:[Check Periodo Ref.]]="Dentro",DATOS_[Conc.Sal.28]))))),
0)</f>
        <v>0</v>
      </c>
      <c r="AH31" s="93">
        <f t="array" ref="AH31">IFERROR(
AVERAGE((IF(DATOS_[[Sexo]:[Sexo]]=$B31,IF(DATOS_[[AGRUP. CLAS. PROF.]:[AGRUP. CLAS. PROF.]]=$B30,IF(DATOS_[[Check Periodo Ref.]:[Check Periodo Ref.]]="Dentro",DATOS_[Conc.Sal.29]))))),
0)</f>
        <v>0</v>
      </c>
      <c r="AI31" s="93">
        <f t="array" ref="AI31">IFERROR(
AVERAGE((IF(DATOS_[[Sexo]:[Sexo]]=$B31,IF(DATOS_[[AGRUP. CLAS. PROF.]:[AGRUP. CLAS. PROF.]]=$B30,IF(DATOS_[[Check Periodo Ref.]:[Check Periodo Ref.]]="Dentro",DATOS_[Conc.Sal.30]))))),
0)</f>
        <v>0</v>
      </c>
      <c r="AJ31" s="94">
        <f t="array" ref="AJ31">IFERROR(
AVERAGE(IF(DATOS_[Sexo]=$B31,IF(DATOS_[AGRUP. CLAS. PROF.]=$B30,IF(DATOS_[Check Periodo Ref.]="Dentro",DATOS_[Tot COMPL.SAL Ef],FALSE)))),
0)</f>
        <v>0</v>
      </c>
      <c r="AK31" s="96">
        <f t="array" ref="AK31">IFERROR(
AVERAGE(IF(DATOS_[Sexo]=$B31,IF(DATOS_[AGRUP. CLAS. PROF.]=$B30,IF(DATOS_[Check Periodo Ref.]="Dentro",DATOS_[TOTAL SALARIO Ef],FALSE)))),
0)</f>
        <v>0</v>
      </c>
      <c r="AL31" s="95">
        <f t="array" ref="AL31">IFERROR(
AVERAGE((IF(DATOS_[[Sexo]:[Sexo]]=$B31,IF(DATOS_[[AGRUP. CLAS. PROF.]:[AGRUP. CLAS. PROF.]]=$B30,IF(DATOS_[[Check Periodo Ref.]:[Check Periodo Ref.]]="Dentro",DATOS_[C.Extra.01]))))),
0)</f>
        <v>0</v>
      </c>
      <c r="AM31" s="95">
        <f t="array" ref="AM31">IFERROR(
AVERAGE((IF(DATOS_[[Sexo]:[Sexo]]=$B31,IF(DATOS_[[AGRUP. CLAS. PROF.]:[AGRUP. CLAS. PROF.]]=$B30,IF(DATOS_[[Check Periodo Ref.]:[Check Periodo Ref.]]="Dentro",DATOS_[C.Extra.02]))))),
0)</f>
        <v>0</v>
      </c>
      <c r="AN31" s="95">
        <f t="array" ref="AN31">IFERROR(
AVERAGE((IF(DATOS_[[Sexo]:[Sexo]]=$B31,IF(DATOS_[[AGRUP. CLAS. PROF.]:[AGRUP. CLAS. PROF.]]=$B30,IF(DATOS_[[Check Periodo Ref.]:[Check Periodo Ref.]]="Dentro",DATOS_[C.Extra.03]))))),
0)</f>
        <v>0</v>
      </c>
      <c r="AO31" s="95">
        <f t="array" ref="AO31">IFERROR(
AVERAGE((IF(DATOS_[[Sexo]:[Sexo]]=$B31,IF(DATOS_[[AGRUP. CLAS. PROF.]:[AGRUP. CLAS. PROF.]]=$B30,IF(DATOS_[[Check Periodo Ref.]:[Check Periodo Ref.]]="Dentro",DATOS_[C.Extra.04]))))),
0)</f>
        <v>0</v>
      </c>
      <c r="AP31" s="95">
        <f t="array" ref="AP31">IFERROR(
AVERAGE((IF(DATOS_[[Sexo]:[Sexo]]=$B31,IF(DATOS_[[AGRUP. CLAS. PROF.]:[AGRUP. CLAS. PROF.]]=$B30,IF(DATOS_[[Check Periodo Ref.]:[Check Periodo Ref.]]="Dentro",DATOS_[C.Extra.05]))))),
0)</f>
        <v>0</v>
      </c>
      <c r="AQ31" s="97">
        <f t="array" ref="AQ31">IFERROR(
AVERAGE(IF(DATOS_[Sexo]=$B31,IF(DATOS_[AGRUP. CLAS. PROF.]=$B30,IF(DATOS_[Check Periodo Ref.]="Dentro",DATOS_[Tot Extrasalarial Ef],FALSE)))),
0)</f>
        <v>0</v>
      </c>
      <c r="AR31" s="98">
        <f t="array" ref="AR31">IFERROR(
AVERAGE(IF(DATOS_[Sexo]=$B31,IF(DATOS_[AGRUP. CLAS. PROF.]=$B30,IF(DATOS_[Check Periodo Ref.]="Dentro",DATOS_[TOTAL Retrib Ef],FALSE)))),
0)</f>
        <v>0</v>
      </c>
    </row>
    <row r="32" spans="1:44" hidden="1" x14ac:dyDescent="0.3">
      <c r="A32" s="309" t="str">
        <f t="shared" ref="A32" si="26">+A31</f>
        <v>[ocultar]</v>
      </c>
      <c r="B32" s="46" t="s">
        <v>163</v>
      </c>
      <c r="C32" s="45">
        <f t="array" ref="C32">SUM(IF($B32=DATOS_[Sexo],
IF($B30=DATOS_[AGRUP. CLAS. PROF.],
IF("Dentro"=DATOS_[Check Periodo Ref.],
1/(COUNTIFS(DATOS_[Sexo],$B32,DATOS_[AGRUP. CLAS. PROF.],$B30,DATOS_[Check Periodo Ref.],"Dentro",DATOS_[id],DATOS_[id]))))))</f>
        <v>0</v>
      </c>
      <c r="D32" s="47">
        <f>COUNTIFS(DATOS_[AGRUP. CLAS. PROF.],$B30,DATOS_[Sexo],$B32,DATOS_[Check Periodo Ref.],"Dentro")</f>
        <v>0</v>
      </c>
      <c r="E32" s="92">
        <f t="array" ref="E32">IFERROR(
AVERAGE(IF(DATOS_[Sexo]=$B32,IF(DATOS_[AGRUP. CLAS. PROF.]=$B30,IF(DATOS_[Check Periodo Ref.]="Dentro",DATOS_[SALARIO BASE Ef],FALSE)))),
0)</f>
        <v>0</v>
      </c>
      <c r="F32" s="93">
        <f t="array" ref="F32">IFERROR(
AVERAGE((IF(DATOS_[[Sexo]:[Sexo]]=$B32,IF(DATOS_[[AGRUP. CLAS. PROF.]:[AGRUP. CLAS. PROF.]]=$B30,IF(DATOS_[[Check Periodo Ref.]:[Check Periodo Ref.]]="Dentro",DATOS_[Conc.Sal.01]))))),
0)</f>
        <v>0</v>
      </c>
      <c r="G32" s="93">
        <f t="array" ref="G32">IFERROR(
AVERAGE((IF(DATOS_[[Sexo]:[Sexo]]=$B32,IF(DATOS_[[AGRUP. CLAS. PROF.]:[AGRUP. CLAS. PROF.]]=$B30,IF(DATOS_[[Check Periodo Ref.]:[Check Periodo Ref.]]="Dentro",DATOS_[Conc.Sal.02]))))),
0)</f>
        <v>0</v>
      </c>
      <c r="H32" s="93">
        <f t="array" ref="H32">IFERROR(
AVERAGE((IF(DATOS_[[Sexo]:[Sexo]]=$B32,IF(DATOS_[[AGRUP. CLAS. PROF.]:[AGRUP. CLAS. PROF.]]=$B30,IF(DATOS_[[Check Periodo Ref.]:[Check Periodo Ref.]]="Dentro",DATOS_[Conc.Sal.03]))))),
0)</f>
        <v>0</v>
      </c>
      <c r="I32" s="93">
        <f t="array" ref="I32">IFERROR(
AVERAGE((IF(DATOS_[[Sexo]:[Sexo]]=$B32,IF(DATOS_[[AGRUP. CLAS. PROF.]:[AGRUP. CLAS. PROF.]]=$B30,IF(DATOS_[[Check Periodo Ref.]:[Check Periodo Ref.]]="Dentro",DATOS_[Conc.Sal.04]))))),
0)</f>
        <v>0</v>
      </c>
      <c r="J32" s="93">
        <f t="array" ref="J32">IFERROR(
AVERAGE((IF(DATOS_[[Sexo]:[Sexo]]=$B32,IF(DATOS_[[AGRUP. CLAS. PROF.]:[AGRUP. CLAS. PROF.]]=$B30,IF(DATOS_[[Check Periodo Ref.]:[Check Periodo Ref.]]="Dentro",DATOS_[Conc.Sal.05]))))),
0)</f>
        <v>0</v>
      </c>
      <c r="K32" s="93">
        <f t="array" ref="K32">IFERROR(
AVERAGE((IF(DATOS_[[Sexo]:[Sexo]]=$B32,IF(DATOS_[[AGRUP. CLAS. PROF.]:[AGRUP. CLAS. PROF.]]=$B30,IF(DATOS_[[Check Periodo Ref.]:[Check Periodo Ref.]]="Dentro",DATOS_[Conc.Sal.06]))))),
0)</f>
        <v>0</v>
      </c>
      <c r="L32" s="93">
        <f t="array" ref="L32">IFERROR(
AVERAGE((IF(DATOS_[[Sexo]:[Sexo]]=$B32,IF(DATOS_[[AGRUP. CLAS. PROF.]:[AGRUP. CLAS. PROF.]]=$B30,IF(DATOS_[[Check Periodo Ref.]:[Check Periodo Ref.]]="Dentro",DATOS_[Conc.Sal.07]))))),
0)</f>
        <v>0</v>
      </c>
      <c r="M32" s="93">
        <f t="array" ref="M32">IFERROR(
AVERAGE((IF(DATOS_[[Sexo]:[Sexo]]=$B32,IF(DATOS_[[AGRUP. CLAS. PROF.]:[AGRUP. CLAS. PROF.]]=$B30,IF(DATOS_[[Check Periodo Ref.]:[Check Periodo Ref.]]="Dentro",DATOS_[Conc.Sal.08]))))),
0)</f>
        <v>0</v>
      </c>
      <c r="N32" s="93">
        <f t="array" ref="N32">IFERROR(
AVERAGE((IF(DATOS_[[Sexo]:[Sexo]]=$B32,IF(DATOS_[[AGRUP. CLAS. PROF.]:[AGRUP. CLAS. PROF.]]=$B30,IF(DATOS_[[Check Periodo Ref.]:[Check Periodo Ref.]]="Dentro",DATOS_[Conc.Sal.09]))))),
0)</f>
        <v>0</v>
      </c>
      <c r="O32" s="93">
        <f t="array" ref="O32">IFERROR(
AVERAGE((IF(DATOS_[[Sexo]:[Sexo]]=$B32,IF(DATOS_[[AGRUP. CLAS. PROF.]:[AGRUP. CLAS. PROF.]]=$B30,IF(DATOS_[[Check Periodo Ref.]:[Check Periodo Ref.]]="Dentro",DATOS_[Conc.Sal.10]))))),
0)</f>
        <v>0</v>
      </c>
      <c r="P32" s="93">
        <f t="array" ref="P32">IFERROR(
AVERAGE((IF(DATOS_[[Sexo]:[Sexo]]=$B32,IF(DATOS_[[AGRUP. CLAS. PROF.]:[AGRUP. CLAS. PROF.]]=$B30,IF(DATOS_[[Check Periodo Ref.]:[Check Periodo Ref.]]="Dentro",DATOS_[Conc.Sal.11]))))),
0)</f>
        <v>0</v>
      </c>
      <c r="Q32" s="93">
        <f t="array" ref="Q32">IFERROR(
AVERAGE((IF(DATOS_[[Sexo]:[Sexo]]=$B32,IF(DATOS_[[AGRUP. CLAS. PROF.]:[AGRUP. CLAS. PROF.]]=$B30,IF(DATOS_[[Check Periodo Ref.]:[Check Periodo Ref.]]="Dentro",DATOS_[Conc.Sal.12]))))),
0)</f>
        <v>0</v>
      </c>
      <c r="R32" s="93">
        <f t="array" ref="R32">IFERROR(
AVERAGE((IF(DATOS_[[Sexo]:[Sexo]]=$B32,IF(DATOS_[[AGRUP. CLAS. PROF.]:[AGRUP. CLAS. PROF.]]=$B30,IF(DATOS_[[Check Periodo Ref.]:[Check Periodo Ref.]]="Dentro",DATOS_[Conc.Sal.13]))))),
0)</f>
        <v>0</v>
      </c>
      <c r="S32" s="93">
        <f t="array" ref="S32">IFERROR(
AVERAGE((IF(DATOS_[[Sexo]:[Sexo]]=$B32,IF(DATOS_[[AGRUP. CLAS. PROF.]:[AGRUP. CLAS. PROF.]]=$B30,IF(DATOS_[[Check Periodo Ref.]:[Check Periodo Ref.]]="Dentro",DATOS_[Conc.Sal.14]))))),
0)</f>
        <v>0</v>
      </c>
      <c r="T32" s="93">
        <f t="array" ref="T32">IFERROR(
AVERAGE((IF(DATOS_[[Sexo]:[Sexo]]=$B32,IF(DATOS_[[AGRUP. CLAS. PROF.]:[AGRUP. CLAS. PROF.]]=$B30,IF(DATOS_[[Check Periodo Ref.]:[Check Periodo Ref.]]="Dentro",DATOS_[Conc.Sal.15]))))),
0)</f>
        <v>0</v>
      </c>
      <c r="U32" s="93">
        <f t="array" ref="U32">IFERROR(
AVERAGE((IF(DATOS_[[Sexo]:[Sexo]]=$B32,IF(DATOS_[[AGRUP. CLAS. PROF.]:[AGRUP. CLAS. PROF.]]=$B30,IF(DATOS_[[Check Periodo Ref.]:[Check Periodo Ref.]]="Dentro",DATOS_[Conc.Sal.16]))))),
0)</f>
        <v>0</v>
      </c>
      <c r="V32" s="93">
        <f t="array" ref="V32">IFERROR(
AVERAGE((IF(DATOS_[[Sexo]:[Sexo]]=$B32,IF(DATOS_[[AGRUP. CLAS. PROF.]:[AGRUP. CLAS. PROF.]]=$B30,IF(DATOS_[[Check Periodo Ref.]:[Check Periodo Ref.]]="Dentro",DATOS_[Conc.Sal.17]))))),
0)</f>
        <v>0</v>
      </c>
      <c r="W32" s="93">
        <f t="array" ref="W32">IFERROR(
AVERAGE((IF(DATOS_[[Sexo]:[Sexo]]=$B32,IF(DATOS_[[AGRUP. CLAS. PROF.]:[AGRUP. CLAS. PROF.]]=$B30,IF(DATOS_[[Check Periodo Ref.]:[Check Periodo Ref.]]="Dentro",DATOS_[Conc.Sal.18]))))),
0)</f>
        <v>0</v>
      </c>
      <c r="X32" s="93">
        <f t="array" ref="X32">IFERROR(
AVERAGE((IF(DATOS_[[Sexo]:[Sexo]]=$B32,IF(DATOS_[[AGRUP. CLAS. PROF.]:[AGRUP. CLAS. PROF.]]=$B30,IF(DATOS_[[Check Periodo Ref.]:[Check Periodo Ref.]]="Dentro",DATOS_[Conc.Sal.19]))))),
0)</f>
        <v>0</v>
      </c>
      <c r="Y32" s="93">
        <f t="array" ref="Y32">IFERROR(
AVERAGE((IF(DATOS_[[Sexo]:[Sexo]]=$B32,IF(DATOS_[[AGRUP. CLAS. PROF.]:[AGRUP. CLAS. PROF.]]=$B30,IF(DATOS_[[Check Periodo Ref.]:[Check Periodo Ref.]]="Dentro",DATOS_[Conc.Sal.20]))))),
0)</f>
        <v>0</v>
      </c>
      <c r="Z32" s="93">
        <f t="array" ref="Z32">IFERROR(
AVERAGE((IF(DATOS_[[Sexo]:[Sexo]]=$B32,IF(DATOS_[[AGRUP. CLAS. PROF.]:[AGRUP. CLAS. PROF.]]=$B30,IF(DATOS_[[Check Periodo Ref.]:[Check Periodo Ref.]]="Dentro",DATOS_[Conc.Sal.21]))))),
0)</f>
        <v>0</v>
      </c>
      <c r="AA32" s="93">
        <f t="array" ref="AA32">IFERROR(
AVERAGE((IF(DATOS_[[Sexo]:[Sexo]]=$B32,IF(DATOS_[[AGRUP. CLAS. PROF.]:[AGRUP. CLAS. PROF.]]=$B30,IF(DATOS_[[Check Periodo Ref.]:[Check Periodo Ref.]]="Dentro",DATOS_[Conc.Sal.22]))))),
0)</f>
        <v>0</v>
      </c>
      <c r="AB32" s="93">
        <f t="array" ref="AB32">IFERROR(
AVERAGE((IF(DATOS_[[Sexo]:[Sexo]]=$B32,IF(DATOS_[[AGRUP. CLAS. PROF.]:[AGRUP. CLAS. PROF.]]=$B30,IF(DATOS_[[Check Periodo Ref.]:[Check Periodo Ref.]]="Dentro",DATOS_[Conc.Sal.23]))))),
0)</f>
        <v>0</v>
      </c>
      <c r="AC32" s="93">
        <f t="array" ref="AC32">IFERROR(
AVERAGE((IF(DATOS_[[Sexo]:[Sexo]]=$B32,IF(DATOS_[[AGRUP. CLAS. PROF.]:[AGRUP. CLAS. PROF.]]=$B30,IF(DATOS_[[Check Periodo Ref.]:[Check Periodo Ref.]]="Dentro",DATOS_[Conc.Sal.24]))))),
0)</f>
        <v>0</v>
      </c>
      <c r="AD32" s="93">
        <f t="array" ref="AD32">IFERROR(
AVERAGE((IF(DATOS_[[Sexo]:[Sexo]]=$B32,IF(DATOS_[[AGRUP. CLAS. PROF.]:[AGRUP. CLAS. PROF.]]=$B30,IF(DATOS_[[Check Periodo Ref.]:[Check Periodo Ref.]]="Dentro",DATOS_[Conc.Sal.25]))))),
0)</f>
        <v>0</v>
      </c>
      <c r="AE32" s="93">
        <f t="array" ref="AE32">IFERROR(
AVERAGE((IF(DATOS_[[Sexo]:[Sexo]]=$B32,IF(DATOS_[[AGRUP. CLAS. PROF.]:[AGRUP. CLAS. PROF.]]=$B30,IF(DATOS_[[Check Periodo Ref.]:[Check Periodo Ref.]]="Dentro",DATOS_[Conc.Sal.26]))))),
0)</f>
        <v>0</v>
      </c>
      <c r="AF32" s="93">
        <f t="array" ref="AF32">IFERROR(
AVERAGE((IF(DATOS_[[Sexo]:[Sexo]]=$B32,IF(DATOS_[[AGRUP. CLAS. PROF.]:[AGRUP. CLAS. PROF.]]=$B30,IF(DATOS_[[Check Periodo Ref.]:[Check Periodo Ref.]]="Dentro",DATOS_[Conc.Sal.27]))))),
0)</f>
        <v>0</v>
      </c>
      <c r="AG32" s="93">
        <f t="array" ref="AG32">IFERROR(
AVERAGE((IF(DATOS_[[Sexo]:[Sexo]]=$B32,IF(DATOS_[[AGRUP. CLAS. PROF.]:[AGRUP. CLAS. PROF.]]=$B30,IF(DATOS_[[Check Periodo Ref.]:[Check Periodo Ref.]]="Dentro",DATOS_[Conc.Sal.28]))))),
0)</f>
        <v>0</v>
      </c>
      <c r="AH32" s="93">
        <f t="array" ref="AH32">IFERROR(
AVERAGE((IF(DATOS_[[Sexo]:[Sexo]]=$B32,IF(DATOS_[[AGRUP. CLAS. PROF.]:[AGRUP. CLAS. PROF.]]=$B30,IF(DATOS_[[Check Periodo Ref.]:[Check Periodo Ref.]]="Dentro",DATOS_[Conc.Sal.29]))))),
0)</f>
        <v>0</v>
      </c>
      <c r="AI32" s="93">
        <f t="array" ref="AI32">IFERROR(
AVERAGE((IF(DATOS_[[Sexo]:[Sexo]]=$B32,IF(DATOS_[[AGRUP. CLAS. PROF.]:[AGRUP. CLAS. PROF.]]=$B30,IF(DATOS_[[Check Periodo Ref.]:[Check Periodo Ref.]]="Dentro",DATOS_[Conc.Sal.30]))))),
0)</f>
        <v>0</v>
      </c>
      <c r="AJ32" s="94">
        <f t="array" ref="AJ32">IFERROR(
AVERAGE(IF(DATOS_[Sexo]=$B32,IF(DATOS_[AGRUP. CLAS. PROF.]=$B30,IF(DATOS_[Check Periodo Ref.]="Dentro",DATOS_[Tot COMPL.SAL Ef],FALSE)))),
0)</f>
        <v>0</v>
      </c>
      <c r="AK32" s="96">
        <f t="array" ref="AK32">IFERROR(
AVERAGE(IF(DATOS_[Sexo]=$B32,IF(DATOS_[AGRUP. CLAS. PROF.]=$B30,IF(DATOS_[Check Periodo Ref.]="Dentro",DATOS_[TOTAL SALARIO Ef],FALSE)))),
0)</f>
        <v>0</v>
      </c>
      <c r="AL32" s="95">
        <f t="array" ref="AL32">IFERROR(
AVERAGE((IF(DATOS_[[Sexo]:[Sexo]]=$B32,IF(DATOS_[[AGRUP. CLAS. PROF.]:[AGRUP. CLAS. PROF.]]=$B30,IF(DATOS_[[Check Periodo Ref.]:[Check Periodo Ref.]]="Dentro",DATOS_[C.Extra.01]))))),
0)</f>
        <v>0</v>
      </c>
      <c r="AM32" s="95">
        <f t="array" ref="AM32">IFERROR(
AVERAGE((IF(DATOS_[[Sexo]:[Sexo]]=$B32,IF(DATOS_[[AGRUP. CLAS. PROF.]:[AGRUP. CLAS. PROF.]]=$B30,IF(DATOS_[[Check Periodo Ref.]:[Check Periodo Ref.]]="Dentro",DATOS_[C.Extra.02]))))),
0)</f>
        <v>0</v>
      </c>
      <c r="AN32" s="95">
        <f t="array" ref="AN32">IFERROR(
AVERAGE((IF(DATOS_[[Sexo]:[Sexo]]=$B32,IF(DATOS_[[AGRUP. CLAS. PROF.]:[AGRUP. CLAS. PROF.]]=$B30,IF(DATOS_[[Check Periodo Ref.]:[Check Periodo Ref.]]="Dentro",DATOS_[C.Extra.03]))))),
0)</f>
        <v>0</v>
      </c>
      <c r="AO32" s="95">
        <f t="array" ref="AO32">IFERROR(
AVERAGE((IF(DATOS_[[Sexo]:[Sexo]]=$B32,IF(DATOS_[[AGRUP. CLAS. PROF.]:[AGRUP. CLAS. PROF.]]=$B30,IF(DATOS_[[Check Periodo Ref.]:[Check Periodo Ref.]]="Dentro",DATOS_[C.Extra.04]))))),
0)</f>
        <v>0</v>
      </c>
      <c r="AP32" s="95">
        <f t="array" ref="AP32">IFERROR(
AVERAGE((IF(DATOS_[[Sexo]:[Sexo]]=$B32,IF(DATOS_[[AGRUP. CLAS. PROF.]:[AGRUP. CLAS. PROF.]]=$B30,IF(DATOS_[[Check Periodo Ref.]:[Check Periodo Ref.]]="Dentro",DATOS_[C.Extra.05]))))),
0)</f>
        <v>0</v>
      </c>
      <c r="AQ32" s="97">
        <f t="array" ref="AQ32">IFERROR(
AVERAGE(IF(DATOS_[Sexo]=$B32,IF(DATOS_[AGRUP. CLAS. PROF.]=$B30,IF(DATOS_[Check Periodo Ref.]="Dentro",DATOS_[Tot Extrasalarial Ef],FALSE)))),
0)</f>
        <v>0</v>
      </c>
      <c r="AR32" s="98">
        <f t="array" ref="AR32">IFERROR(
AVERAGE(IF(DATOS_[Sexo]=$B32,IF(DATOS_[AGRUP. CLAS. PROF.]=$B30,IF(DATOS_[Check Periodo Ref.]="Dentro",DATOS_[TOTAL Retrib Ef],FALSE)))),
0)</f>
        <v>0</v>
      </c>
    </row>
    <row r="33" spans="1:44" ht="17.25" hidden="1" thickBot="1" x14ac:dyDescent="0.35">
      <c r="A33" s="309" t="str">
        <f t="shared" ref="A33" si="27">+A34</f>
        <v>[ocultar]</v>
      </c>
      <c r="B33" s="51" t="s">
        <v>313</v>
      </c>
      <c r="C33" s="91"/>
      <c r="D33" s="52"/>
      <c r="E33" s="139" t="str">
        <f t="shared" ref="E33:AR33" si="28">IFERROR((E34-E35)/E34,"")</f>
        <v/>
      </c>
      <c r="F33" s="310" t="str">
        <f t="shared" si="28"/>
        <v/>
      </c>
      <c r="G33" s="180" t="str">
        <f t="shared" si="28"/>
        <v/>
      </c>
      <c r="H33" s="180" t="str">
        <f t="shared" si="28"/>
        <v/>
      </c>
      <c r="I33" s="180" t="str">
        <f t="shared" si="28"/>
        <v/>
      </c>
      <c r="J33" s="181" t="str">
        <f t="shared" si="28"/>
        <v/>
      </c>
      <c r="K33" s="182" t="str">
        <f t="shared" si="28"/>
        <v/>
      </c>
      <c r="L33" s="182" t="str">
        <f t="shared" si="28"/>
        <v/>
      </c>
      <c r="M33" s="182" t="str">
        <f t="shared" si="28"/>
        <v/>
      </c>
      <c r="N33" s="182" t="str">
        <f t="shared" si="28"/>
        <v/>
      </c>
      <c r="O33" s="182" t="str">
        <f t="shared" si="28"/>
        <v/>
      </c>
      <c r="P33" s="182" t="str">
        <f t="shared" si="28"/>
        <v/>
      </c>
      <c r="Q33" s="182" t="str">
        <f t="shared" si="28"/>
        <v/>
      </c>
      <c r="R33" s="182" t="str">
        <f t="shared" si="28"/>
        <v/>
      </c>
      <c r="S33" s="182" t="str">
        <f t="shared" si="28"/>
        <v/>
      </c>
      <c r="T33" s="182" t="str">
        <f t="shared" si="28"/>
        <v/>
      </c>
      <c r="U33" s="182" t="str">
        <f t="shared" si="28"/>
        <v/>
      </c>
      <c r="V33" s="181" t="str">
        <f t="shared" si="28"/>
        <v/>
      </c>
      <c r="W33" s="181" t="str">
        <f t="shared" si="28"/>
        <v/>
      </c>
      <c r="X33" s="181" t="str">
        <f t="shared" si="28"/>
        <v/>
      </c>
      <c r="Y33" s="181" t="str">
        <f t="shared" si="28"/>
        <v/>
      </c>
      <c r="Z33" s="181" t="str">
        <f t="shared" si="28"/>
        <v/>
      </c>
      <c r="AA33" s="181" t="str">
        <f t="shared" si="28"/>
        <v/>
      </c>
      <c r="AB33" s="181" t="str">
        <f t="shared" si="28"/>
        <v/>
      </c>
      <c r="AC33" s="181" t="str">
        <f t="shared" si="28"/>
        <v/>
      </c>
      <c r="AD33" s="181" t="str">
        <f t="shared" si="28"/>
        <v/>
      </c>
      <c r="AE33" s="181" t="str">
        <f t="shared" si="28"/>
        <v/>
      </c>
      <c r="AF33" s="181" t="str">
        <f t="shared" si="28"/>
        <v/>
      </c>
      <c r="AG33" s="181" t="str">
        <f t="shared" si="28"/>
        <v/>
      </c>
      <c r="AH33" s="181" t="str">
        <f t="shared" si="28"/>
        <v/>
      </c>
      <c r="AI33" s="181" t="str">
        <f t="shared" si="28"/>
        <v/>
      </c>
      <c r="AJ33" s="140" t="str">
        <f t="shared" si="28"/>
        <v/>
      </c>
      <c r="AK33" s="143" t="str">
        <f t="shared" si="28"/>
        <v/>
      </c>
      <c r="AL33" s="184" t="str">
        <f t="shared" si="28"/>
        <v/>
      </c>
      <c r="AM33" s="184" t="str">
        <f t="shared" si="28"/>
        <v/>
      </c>
      <c r="AN33" s="184" t="str">
        <f t="shared" si="28"/>
        <v/>
      </c>
      <c r="AO33" s="184" t="str">
        <f t="shared" si="28"/>
        <v/>
      </c>
      <c r="AP33" s="184" t="str">
        <f t="shared" si="28"/>
        <v/>
      </c>
      <c r="AQ33" s="141" t="str">
        <f t="shared" si="28"/>
        <v/>
      </c>
      <c r="AR33" s="142" t="str">
        <f t="shared" si="28"/>
        <v/>
      </c>
    </row>
    <row r="34" spans="1:44" hidden="1" x14ac:dyDescent="0.3">
      <c r="A34" s="309" t="str">
        <f t="shared" ref="A34" si="29">+IF(C34+C35=0,"[ocultar]","")</f>
        <v>[ocultar]</v>
      </c>
      <c r="B34" s="46" t="s">
        <v>162</v>
      </c>
      <c r="C34" s="45">
        <f t="array" ref="C34">SUM(IF($B34=DATOS_[Sexo],
IF($B33=DATOS_[AGRUP. CLAS. PROF.],
IF("Dentro"=DATOS_[Check Periodo Ref.],
1/(COUNTIFS(DATOS_[Sexo],$B34,DATOS_[AGRUP. CLAS. PROF.],$B33,DATOS_[Check Periodo Ref.],"Dentro",DATOS_[id],DATOS_[id]))))))</f>
        <v>0</v>
      </c>
      <c r="D34" s="47">
        <f>COUNTIFS(DATOS_[AGRUP. CLAS. PROF.],$B33,DATOS_[Sexo],$B34,DATOS_[Check Periodo Ref.],"Dentro")</f>
        <v>0</v>
      </c>
      <c r="E34" s="92">
        <f t="array" ref="E34">IFERROR(
AVERAGE(IF(DATOS_[Sexo]=$B34,IF(DATOS_[AGRUP. CLAS. PROF.]=$B33,IF(DATOS_[Check Periodo Ref.]="Dentro",DATOS_[SALARIO BASE Ef],FALSE)))),
0)</f>
        <v>0</v>
      </c>
      <c r="F34" s="93">
        <f t="array" ref="F34">IFERROR(
AVERAGE((IF(DATOS_[[Sexo]:[Sexo]]=$B34,IF(DATOS_[[AGRUP. CLAS. PROF.]:[AGRUP. CLAS. PROF.]]=$B33,IF(DATOS_[[Check Periodo Ref.]:[Check Periodo Ref.]]="Dentro",DATOS_[Conc.Sal.01]))))),
0)</f>
        <v>0</v>
      </c>
      <c r="G34" s="93">
        <f t="array" ref="G34">IFERROR(
AVERAGE((IF(DATOS_[[Sexo]:[Sexo]]=$B34,IF(DATOS_[[AGRUP. CLAS. PROF.]:[AGRUP. CLAS. PROF.]]=$B33,IF(DATOS_[[Check Periodo Ref.]:[Check Periodo Ref.]]="Dentro",DATOS_[Conc.Sal.02]))))),
0)</f>
        <v>0</v>
      </c>
      <c r="H34" s="93">
        <f t="array" ref="H34">IFERROR(
AVERAGE((IF(DATOS_[[Sexo]:[Sexo]]=$B34,IF(DATOS_[[AGRUP. CLAS. PROF.]:[AGRUP. CLAS. PROF.]]=$B33,IF(DATOS_[[Check Periodo Ref.]:[Check Periodo Ref.]]="Dentro",DATOS_[Conc.Sal.03]))))),
0)</f>
        <v>0</v>
      </c>
      <c r="I34" s="93">
        <f t="array" ref="I34">IFERROR(
AVERAGE((IF(DATOS_[[Sexo]:[Sexo]]=$B34,IF(DATOS_[[AGRUP. CLAS. PROF.]:[AGRUP. CLAS. PROF.]]=$B33,IF(DATOS_[[Check Periodo Ref.]:[Check Periodo Ref.]]="Dentro",DATOS_[Conc.Sal.04]))))),
0)</f>
        <v>0</v>
      </c>
      <c r="J34" s="93">
        <f t="array" ref="J34">IFERROR(
AVERAGE((IF(DATOS_[[Sexo]:[Sexo]]=$B34,IF(DATOS_[[AGRUP. CLAS. PROF.]:[AGRUP. CLAS. PROF.]]=$B33,IF(DATOS_[[Check Periodo Ref.]:[Check Periodo Ref.]]="Dentro",DATOS_[Conc.Sal.05]))))),
0)</f>
        <v>0</v>
      </c>
      <c r="K34" s="93">
        <f t="array" ref="K34">IFERROR(
AVERAGE((IF(DATOS_[[Sexo]:[Sexo]]=$B34,IF(DATOS_[[AGRUP. CLAS. PROF.]:[AGRUP. CLAS. PROF.]]=$B33,IF(DATOS_[[Check Periodo Ref.]:[Check Periodo Ref.]]="Dentro",DATOS_[Conc.Sal.06]))))),
0)</f>
        <v>0</v>
      </c>
      <c r="L34" s="93">
        <f t="array" ref="L34">IFERROR(
AVERAGE((IF(DATOS_[[Sexo]:[Sexo]]=$B34,IF(DATOS_[[AGRUP. CLAS. PROF.]:[AGRUP. CLAS. PROF.]]=$B33,IF(DATOS_[[Check Periodo Ref.]:[Check Periodo Ref.]]="Dentro",DATOS_[Conc.Sal.07]))))),
0)</f>
        <v>0</v>
      </c>
      <c r="M34" s="93">
        <f t="array" ref="M34">IFERROR(
AVERAGE((IF(DATOS_[[Sexo]:[Sexo]]=$B34,IF(DATOS_[[AGRUP. CLAS. PROF.]:[AGRUP. CLAS. PROF.]]=$B33,IF(DATOS_[[Check Periodo Ref.]:[Check Periodo Ref.]]="Dentro",DATOS_[Conc.Sal.08]))))),
0)</f>
        <v>0</v>
      </c>
      <c r="N34" s="93">
        <f t="array" ref="N34">IFERROR(
AVERAGE((IF(DATOS_[[Sexo]:[Sexo]]=$B34,IF(DATOS_[[AGRUP. CLAS. PROF.]:[AGRUP. CLAS. PROF.]]=$B33,IF(DATOS_[[Check Periodo Ref.]:[Check Periodo Ref.]]="Dentro",DATOS_[Conc.Sal.09]))))),
0)</f>
        <v>0</v>
      </c>
      <c r="O34" s="93">
        <f t="array" ref="O34">IFERROR(
AVERAGE((IF(DATOS_[[Sexo]:[Sexo]]=$B34,IF(DATOS_[[AGRUP. CLAS. PROF.]:[AGRUP. CLAS. PROF.]]=$B33,IF(DATOS_[[Check Periodo Ref.]:[Check Periodo Ref.]]="Dentro",DATOS_[Conc.Sal.10]))))),
0)</f>
        <v>0</v>
      </c>
      <c r="P34" s="93">
        <f t="array" ref="P34">IFERROR(
AVERAGE((IF(DATOS_[[Sexo]:[Sexo]]=$B34,IF(DATOS_[[AGRUP. CLAS. PROF.]:[AGRUP. CLAS. PROF.]]=$B33,IF(DATOS_[[Check Periodo Ref.]:[Check Periodo Ref.]]="Dentro",DATOS_[Conc.Sal.11]))))),
0)</f>
        <v>0</v>
      </c>
      <c r="Q34" s="93">
        <f t="array" ref="Q34">IFERROR(
AVERAGE((IF(DATOS_[[Sexo]:[Sexo]]=$B34,IF(DATOS_[[AGRUP. CLAS. PROF.]:[AGRUP. CLAS. PROF.]]=$B33,IF(DATOS_[[Check Periodo Ref.]:[Check Periodo Ref.]]="Dentro",DATOS_[Conc.Sal.12]))))),
0)</f>
        <v>0</v>
      </c>
      <c r="R34" s="93">
        <f t="array" ref="R34">IFERROR(
AVERAGE((IF(DATOS_[[Sexo]:[Sexo]]=$B34,IF(DATOS_[[AGRUP. CLAS. PROF.]:[AGRUP. CLAS. PROF.]]=$B33,IF(DATOS_[[Check Periodo Ref.]:[Check Periodo Ref.]]="Dentro",DATOS_[Conc.Sal.13]))))),
0)</f>
        <v>0</v>
      </c>
      <c r="S34" s="93">
        <f t="array" ref="S34">IFERROR(
AVERAGE((IF(DATOS_[[Sexo]:[Sexo]]=$B34,IF(DATOS_[[AGRUP. CLAS. PROF.]:[AGRUP. CLAS. PROF.]]=$B33,IF(DATOS_[[Check Periodo Ref.]:[Check Periodo Ref.]]="Dentro",DATOS_[Conc.Sal.14]))))),
0)</f>
        <v>0</v>
      </c>
      <c r="T34" s="93">
        <f t="array" ref="T34">IFERROR(
AVERAGE((IF(DATOS_[[Sexo]:[Sexo]]=$B34,IF(DATOS_[[AGRUP. CLAS. PROF.]:[AGRUP. CLAS. PROF.]]=$B33,IF(DATOS_[[Check Periodo Ref.]:[Check Periodo Ref.]]="Dentro",DATOS_[Conc.Sal.15]))))),
0)</f>
        <v>0</v>
      </c>
      <c r="U34" s="93">
        <f t="array" ref="U34">IFERROR(
AVERAGE((IF(DATOS_[[Sexo]:[Sexo]]=$B34,IF(DATOS_[[AGRUP. CLAS. PROF.]:[AGRUP. CLAS. PROF.]]=$B33,IF(DATOS_[[Check Periodo Ref.]:[Check Periodo Ref.]]="Dentro",DATOS_[Conc.Sal.16]))))),
0)</f>
        <v>0</v>
      </c>
      <c r="V34" s="93">
        <f t="array" ref="V34">IFERROR(
AVERAGE((IF(DATOS_[[Sexo]:[Sexo]]=$B34,IF(DATOS_[[AGRUP. CLAS. PROF.]:[AGRUP. CLAS. PROF.]]=$B33,IF(DATOS_[[Check Periodo Ref.]:[Check Periodo Ref.]]="Dentro",DATOS_[Conc.Sal.17]))))),
0)</f>
        <v>0</v>
      </c>
      <c r="W34" s="93">
        <f t="array" ref="W34">IFERROR(
AVERAGE((IF(DATOS_[[Sexo]:[Sexo]]=$B34,IF(DATOS_[[AGRUP. CLAS. PROF.]:[AGRUP. CLAS. PROF.]]=$B33,IF(DATOS_[[Check Periodo Ref.]:[Check Periodo Ref.]]="Dentro",DATOS_[Conc.Sal.18]))))),
0)</f>
        <v>0</v>
      </c>
      <c r="X34" s="93">
        <f t="array" ref="X34">IFERROR(
AVERAGE((IF(DATOS_[[Sexo]:[Sexo]]=$B34,IF(DATOS_[[AGRUP. CLAS. PROF.]:[AGRUP. CLAS. PROF.]]=$B33,IF(DATOS_[[Check Periodo Ref.]:[Check Periodo Ref.]]="Dentro",DATOS_[Conc.Sal.19]))))),
0)</f>
        <v>0</v>
      </c>
      <c r="Y34" s="93">
        <f t="array" ref="Y34">IFERROR(
AVERAGE((IF(DATOS_[[Sexo]:[Sexo]]=$B34,IF(DATOS_[[AGRUP. CLAS. PROF.]:[AGRUP. CLAS. PROF.]]=$B33,IF(DATOS_[[Check Periodo Ref.]:[Check Periodo Ref.]]="Dentro",DATOS_[Conc.Sal.20]))))),
0)</f>
        <v>0</v>
      </c>
      <c r="Z34" s="93">
        <f t="array" ref="Z34">IFERROR(
AVERAGE((IF(DATOS_[[Sexo]:[Sexo]]=$B34,IF(DATOS_[[AGRUP. CLAS. PROF.]:[AGRUP. CLAS. PROF.]]=$B33,IF(DATOS_[[Check Periodo Ref.]:[Check Periodo Ref.]]="Dentro",DATOS_[Conc.Sal.21]))))),
0)</f>
        <v>0</v>
      </c>
      <c r="AA34" s="93">
        <f t="array" ref="AA34">IFERROR(
AVERAGE((IF(DATOS_[[Sexo]:[Sexo]]=$B34,IF(DATOS_[[AGRUP. CLAS. PROF.]:[AGRUP. CLAS. PROF.]]=$B33,IF(DATOS_[[Check Periodo Ref.]:[Check Periodo Ref.]]="Dentro",DATOS_[Conc.Sal.22]))))),
0)</f>
        <v>0</v>
      </c>
      <c r="AB34" s="93">
        <f t="array" ref="AB34">IFERROR(
AVERAGE((IF(DATOS_[[Sexo]:[Sexo]]=$B34,IF(DATOS_[[AGRUP. CLAS. PROF.]:[AGRUP. CLAS. PROF.]]=$B33,IF(DATOS_[[Check Periodo Ref.]:[Check Periodo Ref.]]="Dentro",DATOS_[Conc.Sal.23]))))),
0)</f>
        <v>0</v>
      </c>
      <c r="AC34" s="93">
        <f t="array" ref="AC34">IFERROR(
AVERAGE((IF(DATOS_[[Sexo]:[Sexo]]=$B34,IF(DATOS_[[AGRUP. CLAS. PROF.]:[AGRUP. CLAS. PROF.]]=$B33,IF(DATOS_[[Check Periodo Ref.]:[Check Periodo Ref.]]="Dentro",DATOS_[Conc.Sal.24]))))),
0)</f>
        <v>0</v>
      </c>
      <c r="AD34" s="93">
        <f t="array" ref="AD34">IFERROR(
AVERAGE((IF(DATOS_[[Sexo]:[Sexo]]=$B34,IF(DATOS_[[AGRUP. CLAS. PROF.]:[AGRUP. CLAS. PROF.]]=$B33,IF(DATOS_[[Check Periodo Ref.]:[Check Periodo Ref.]]="Dentro",DATOS_[Conc.Sal.25]))))),
0)</f>
        <v>0</v>
      </c>
      <c r="AE34" s="93">
        <f t="array" ref="AE34">IFERROR(
AVERAGE((IF(DATOS_[[Sexo]:[Sexo]]=$B34,IF(DATOS_[[AGRUP. CLAS. PROF.]:[AGRUP. CLAS. PROF.]]=$B33,IF(DATOS_[[Check Periodo Ref.]:[Check Periodo Ref.]]="Dentro",DATOS_[Conc.Sal.26]))))),
0)</f>
        <v>0</v>
      </c>
      <c r="AF34" s="93">
        <f t="array" ref="AF34">IFERROR(
AVERAGE((IF(DATOS_[[Sexo]:[Sexo]]=$B34,IF(DATOS_[[AGRUP. CLAS. PROF.]:[AGRUP. CLAS. PROF.]]=$B33,IF(DATOS_[[Check Periodo Ref.]:[Check Periodo Ref.]]="Dentro",DATOS_[Conc.Sal.27]))))),
0)</f>
        <v>0</v>
      </c>
      <c r="AG34" s="93">
        <f t="array" ref="AG34">IFERROR(
AVERAGE((IF(DATOS_[[Sexo]:[Sexo]]=$B34,IF(DATOS_[[AGRUP. CLAS. PROF.]:[AGRUP. CLAS. PROF.]]=$B33,IF(DATOS_[[Check Periodo Ref.]:[Check Periodo Ref.]]="Dentro",DATOS_[Conc.Sal.28]))))),
0)</f>
        <v>0</v>
      </c>
      <c r="AH34" s="93">
        <f t="array" ref="AH34">IFERROR(
AVERAGE((IF(DATOS_[[Sexo]:[Sexo]]=$B34,IF(DATOS_[[AGRUP. CLAS. PROF.]:[AGRUP. CLAS. PROF.]]=$B33,IF(DATOS_[[Check Periodo Ref.]:[Check Periodo Ref.]]="Dentro",DATOS_[Conc.Sal.29]))))),
0)</f>
        <v>0</v>
      </c>
      <c r="AI34" s="93">
        <f t="array" ref="AI34">IFERROR(
AVERAGE((IF(DATOS_[[Sexo]:[Sexo]]=$B34,IF(DATOS_[[AGRUP. CLAS. PROF.]:[AGRUP. CLAS. PROF.]]=$B33,IF(DATOS_[[Check Periodo Ref.]:[Check Periodo Ref.]]="Dentro",DATOS_[Conc.Sal.30]))))),
0)</f>
        <v>0</v>
      </c>
      <c r="AJ34" s="94">
        <f t="array" ref="AJ34">IFERROR(
AVERAGE(IF(DATOS_[Sexo]=$B34,IF(DATOS_[AGRUP. CLAS. PROF.]=$B33,IF(DATOS_[Check Periodo Ref.]="Dentro",DATOS_[Tot COMPL.SAL Ef],FALSE)))),
0)</f>
        <v>0</v>
      </c>
      <c r="AK34" s="96">
        <f t="array" ref="AK34">IFERROR(
AVERAGE(IF(DATOS_[Sexo]=$B34,IF(DATOS_[AGRUP. CLAS. PROF.]=$B33,IF(DATOS_[Check Periodo Ref.]="Dentro",DATOS_[TOTAL SALARIO Ef],FALSE)))),
0)</f>
        <v>0</v>
      </c>
      <c r="AL34" s="95">
        <f t="array" ref="AL34">IFERROR(
AVERAGE((IF(DATOS_[[Sexo]:[Sexo]]=$B34,IF(DATOS_[[AGRUP. CLAS. PROF.]:[AGRUP. CLAS. PROF.]]=$B33,IF(DATOS_[[Check Periodo Ref.]:[Check Periodo Ref.]]="Dentro",DATOS_[C.Extra.01]))))),
0)</f>
        <v>0</v>
      </c>
      <c r="AM34" s="95">
        <f t="array" ref="AM34">IFERROR(
AVERAGE((IF(DATOS_[[Sexo]:[Sexo]]=$B34,IF(DATOS_[[AGRUP. CLAS. PROF.]:[AGRUP. CLAS. PROF.]]=$B33,IF(DATOS_[[Check Periodo Ref.]:[Check Periodo Ref.]]="Dentro",DATOS_[C.Extra.02]))))),
0)</f>
        <v>0</v>
      </c>
      <c r="AN34" s="95">
        <f t="array" ref="AN34">IFERROR(
AVERAGE((IF(DATOS_[[Sexo]:[Sexo]]=$B34,IF(DATOS_[[AGRUP. CLAS. PROF.]:[AGRUP. CLAS. PROF.]]=$B33,IF(DATOS_[[Check Periodo Ref.]:[Check Periodo Ref.]]="Dentro",DATOS_[C.Extra.03]))))),
0)</f>
        <v>0</v>
      </c>
      <c r="AO34" s="95">
        <f t="array" ref="AO34">IFERROR(
AVERAGE((IF(DATOS_[[Sexo]:[Sexo]]=$B34,IF(DATOS_[[AGRUP. CLAS. PROF.]:[AGRUP. CLAS. PROF.]]=$B33,IF(DATOS_[[Check Periodo Ref.]:[Check Periodo Ref.]]="Dentro",DATOS_[C.Extra.04]))))),
0)</f>
        <v>0</v>
      </c>
      <c r="AP34" s="95">
        <f t="array" ref="AP34">IFERROR(
AVERAGE((IF(DATOS_[[Sexo]:[Sexo]]=$B34,IF(DATOS_[[AGRUP. CLAS. PROF.]:[AGRUP. CLAS. PROF.]]=$B33,IF(DATOS_[[Check Periodo Ref.]:[Check Periodo Ref.]]="Dentro",DATOS_[C.Extra.05]))))),
0)</f>
        <v>0</v>
      </c>
      <c r="AQ34" s="97">
        <f t="array" ref="AQ34">IFERROR(
AVERAGE(IF(DATOS_[Sexo]=$B34,IF(DATOS_[AGRUP. CLAS. PROF.]=$B33,IF(DATOS_[Check Periodo Ref.]="Dentro",DATOS_[Tot Extrasalarial Ef],FALSE)))),
0)</f>
        <v>0</v>
      </c>
      <c r="AR34" s="98">
        <f t="array" ref="AR34">IFERROR(
AVERAGE(IF(DATOS_[Sexo]=$B34,IF(DATOS_[AGRUP. CLAS. PROF.]=$B33,IF(DATOS_[Check Periodo Ref.]="Dentro",DATOS_[TOTAL Retrib Ef],FALSE)))),
0)</f>
        <v>0</v>
      </c>
    </row>
    <row r="35" spans="1:44" hidden="1" x14ac:dyDescent="0.3">
      <c r="A35" s="309" t="str">
        <f t="shared" ref="A35" si="30">+A34</f>
        <v>[ocultar]</v>
      </c>
      <c r="B35" s="46" t="s">
        <v>163</v>
      </c>
      <c r="C35" s="45">
        <f t="array" ref="C35">SUM(IF($B35=DATOS_[Sexo],
IF($B33=DATOS_[AGRUP. CLAS. PROF.],
IF("Dentro"=DATOS_[Check Periodo Ref.],
1/(COUNTIFS(DATOS_[Sexo],$B35,DATOS_[AGRUP. CLAS. PROF.],$B33,DATOS_[Check Periodo Ref.],"Dentro",DATOS_[id],DATOS_[id]))))))</f>
        <v>0</v>
      </c>
      <c r="D35" s="47">
        <f>COUNTIFS(DATOS_[AGRUP. CLAS. PROF.],$B33,DATOS_[Sexo],$B35,DATOS_[Check Periodo Ref.],"Dentro")</f>
        <v>0</v>
      </c>
      <c r="E35" s="92">
        <f t="array" ref="E35">IFERROR(
AVERAGE(IF(DATOS_[Sexo]=$B35,IF(DATOS_[AGRUP. CLAS. PROF.]=$B33,IF(DATOS_[Check Periodo Ref.]="Dentro",DATOS_[SALARIO BASE Ef],FALSE)))),
0)</f>
        <v>0</v>
      </c>
      <c r="F35" s="93">
        <f t="array" ref="F35">IFERROR(
AVERAGE((IF(DATOS_[[Sexo]:[Sexo]]=$B35,IF(DATOS_[[AGRUP. CLAS. PROF.]:[AGRUP. CLAS. PROF.]]=$B33,IF(DATOS_[[Check Periodo Ref.]:[Check Periodo Ref.]]="Dentro",DATOS_[Conc.Sal.01]))))),
0)</f>
        <v>0</v>
      </c>
      <c r="G35" s="93">
        <f t="array" ref="G35">IFERROR(
AVERAGE((IF(DATOS_[[Sexo]:[Sexo]]=$B35,IF(DATOS_[[AGRUP. CLAS. PROF.]:[AGRUP. CLAS. PROF.]]=$B33,IF(DATOS_[[Check Periodo Ref.]:[Check Periodo Ref.]]="Dentro",DATOS_[Conc.Sal.02]))))),
0)</f>
        <v>0</v>
      </c>
      <c r="H35" s="93">
        <f t="array" ref="H35">IFERROR(
AVERAGE((IF(DATOS_[[Sexo]:[Sexo]]=$B35,IF(DATOS_[[AGRUP. CLAS. PROF.]:[AGRUP. CLAS. PROF.]]=$B33,IF(DATOS_[[Check Periodo Ref.]:[Check Periodo Ref.]]="Dentro",DATOS_[Conc.Sal.03]))))),
0)</f>
        <v>0</v>
      </c>
      <c r="I35" s="93">
        <f t="array" ref="I35">IFERROR(
AVERAGE((IF(DATOS_[[Sexo]:[Sexo]]=$B35,IF(DATOS_[[AGRUP. CLAS. PROF.]:[AGRUP. CLAS. PROF.]]=$B33,IF(DATOS_[[Check Periodo Ref.]:[Check Periodo Ref.]]="Dentro",DATOS_[Conc.Sal.04]))))),
0)</f>
        <v>0</v>
      </c>
      <c r="J35" s="93">
        <f t="array" ref="J35">IFERROR(
AVERAGE((IF(DATOS_[[Sexo]:[Sexo]]=$B35,IF(DATOS_[[AGRUP. CLAS. PROF.]:[AGRUP. CLAS. PROF.]]=$B33,IF(DATOS_[[Check Periodo Ref.]:[Check Periodo Ref.]]="Dentro",DATOS_[Conc.Sal.05]))))),
0)</f>
        <v>0</v>
      </c>
      <c r="K35" s="93">
        <f t="array" ref="K35">IFERROR(
AVERAGE((IF(DATOS_[[Sexo]:[Sexo]]=$B35,IF(DATOS_[[AGRUP. CLAS. PROF.]:[AGRUP. CLAS. PROF.]]=$B33,IF(DATOS_[[Check Periodo Ref.]:[Check Periodo Ref.]]="Dentro",DATOS_[Conc.Sal.06]))))),
0)</f>
        <v>0</v>
      </c>
      <c r="L35" s="93">
        <f t="array" ref="L35">IFERROR(
AVERAGE((IF(DATOS_[[Sexo]:[Sexo]]=$B35,IF(DATOS_[[AGRUP. CLAS. PROF.]:[AGRUP. CLAS. PROF.]]=$B33,IF(DATOS_[[Check Periodo Ref.]:[Check Periodo Ref.]]="Dentro",DATOS_[Conc.Sal.07]))))),
0)</f>
        <v>0</v>
      </c>
      <c r="M35" s="93">
        <f t="array" ref="M35">IFERROR(
AVERAGE((IF(DATOS_[[Sexo]:[Sexo]]=$B35,IF(DATOS_[[AGRUP. CLAS. PROF.]:[AGRUP. CLAS. PROF.]]=$B33,IF(DATOS_[[Check Periodo Ref.]:[Check Periodo Ref.]]="Dentro",DATOS_[Conc.Sal.08]))))),
0)</f>
        <v>0</v>
      </c>
      <c r="N35" s="93">
        <f t="array" ref="N35">IFERROR(
AVERAGE((IF(DATOS_[[Sexo]:[Sexo]]=$B35,IF(DATOS_[[AGRUP. CLAS. PROF.]:[AGRUP. CLAS. PROF.]]=$B33,IF(DATOS_[[Check Periodo Ref.]:[Check Periodo Ref.]]="Dentro",DATOS_[Conc.Sal.09]))))),
0)</f>
        <v>0</v>
      </c>
      <c r="O35" s="93">
        <f t="array" ref="O35">IFERROR(
AVERAGE((IF(DATOS_[[Sexo]:[Sexo]]=$B35,IF(DATOS_[[AGRUP. CLAS. PROF.]:[AGRUP. CLAS. PROF.]]=$B33,IF(DATOS_[[Check Periodo Ref.]:[Check Periodo Ref.]]="Dentro",DATOS_[Conc.Sal.10]))))),
0)</f>
        <v>0</v>
      </c>
      <c r="P35" s="93">
        <f t="array" ref="P35">IFERROR(
AVERAGE((IF(DATOS_[[Sexo]:[Sexo]]=$B35,IF(DATOS_[[AGRUP. CLAS. PROF.]:[AGRUP. CLAS. PROF.]]=$B33,IF(DATOS_[[Check Periodo Ref.]:[Check Periodo Ref.]]="Dentro",DATOS_[Conc.Sal.11]))))),
0)</f>
        <v>0</v>
      </c>
      <c r="Q35" s="93">
        <f t="array" ref="Q35">IFERROR(
AVERAGE((IF(DATOS_[[Sexo]:[Sexo]]=$B35,IF(DATOS_[[AGRUP. CLAS. PROF.]:[AGRUP. CLAS. PROF.]]=$B33,IF(DATOS_[[Check Periodo Ref.]:[Check Periodo Ref.]]="Dentro",DATOS_[Conc.Sal.12]))))),
0)</f>
        <v>0</v>
      </c>
      <c r="R35" s="93">
        <f t="array" ref="R35">IFERROR(
AVERAGE((IF(DATOS_[[Sexo]:[Sexo]]=$B35,IF(DATOS_[[AGRUP. CLAS. PROF.]:[AGRUP. CLAS. PROF.]]=$B33,IF(DATOS_[[Check Periodo Ref.]:[Check Periodo Ref.]]="Dentro",DATOS_[Conc.Sal.13]))))),
0)</f>
        <v>0</v>
      </c>
      <c r="S35" s="93">
        <f t="array" ref="S35">IFERROR(
AVERAGE((IF(DATOS_[[Sexo]:[Sexo]]=$B35,IF(DATOS_[[AGRUP. CLAS. PROF.]:[AGRUP. CLAS. PROF.]]=$B33,IF(DATOS_[[Check Periodo Ref.]:[Check Periodo Ref.]]="Dentro",DATOS_[Conc.Sal.14]))))),
0)</f>
        <v>0</v>
      </c>
      <c r="T35" s="93">
        <f t="array" ref="T35">IFERROR(
AVERAGE((IF(DATOS_[[Sexo]:[Sexo]]=$B35,IF(DATOS_[[AGRUP. CLAS. PROF.]:[AGRUP. CLAS. PROF.]]=$B33,IF(DATOS_[[Check Periodo Ref.]:[Check Periodo Ref.]]="Dentro",DATOS_[Conc.Sal.15]))))),
0)</f>
        <v>0</v>
      </c>
      <c r="U35" s="93">
        <f t="array" ref="U35">IFERROR(
AVERAGE((IF(DATOS_[[Sexo]:[Sexo]]=$B35,IF(DATOS_[[AGRUP. CLAS. PROF.]:[AGRUP. CLAS. PROF.]]=$B33,IF(DATOS_[[Check Periodo Ref.]:[Check Periodo Ref.]]="Dentro",DATOS_[Conc.Sal.16]))))),
0)</f>
        <v>0</v>
      </c>
      <c r="V35" s="93">
        <f t="array" ref="V35">IFERROR(
AVERAGE((IF(DATOS_[[Sexo]:[Sexo]]=$B35,IF(DATOS_[[AGRUP. CLAS. PROF.]:[AGRUP. CLAS. PROF.]]=$B33,IF(DATOS_[[Check Periodo Ref.]:[Check Periodo Ref.]]="Dentro",DATOS_[Conc.Sal.17]))))),
0)</f>
        <v>0</v>
      </c>
      <c r="W35" s="93">
        <f t="array" ref="W35">IFERROR(
AVERAGE((IF(DATOS_[[Sexo]:[Sexo]]=$B35,IF(DATOS_[[AGRUP. CLAS. PROF.]:[AGRUP. CLAS. PROF.]]=$B33,IF(DATOS_[[Check Periodo Ref.]:[Check Periodo Ref.]]="Dentro",DATOS_[Conc.Sal.18]))))),
0)</f>
        <v>0</v>
      </c>
      <c r="X35" s="93">
        <f t="array" ref="X35">IFERROR(
AVERAGE((IF(DATOS_[[Sexo]:[Sexo]]=$B35,IF(DATOS_[[AGRUP. CLAS. PROF.]:[AGRUP. CLAS. PROF.]]=$B33,IF(DATOS_[[Check Periodo Ref.]:[Check Periodo Ref.]]="Dentro",DATOS_[Conc.Sal.19]))))),
0)</f>
        <v>0</v>
      </c>
      <c r="Y35" s="93">
        <f t="array" ref="Y35">IFERROR(
AVERAGE((IF(DATOS_[[Sexo]:[Sexo]]=$B35,IF(DATOS_[[AGRUP. CLAS. PROF.]:[AGRUP. CLAS. PROF.]]=$B33,IF(DATOS_[[Check Periodo Ref.]:[Check Periodo Ref.]]="Dentro",DATOS_[Conc.Sal.20]))))),
0)</f>
        <v>0</v>
      </c>
      <c r="Z35" s="93">
        <f t="array" ref="Z35">IFERROR(
AVERAGE((IF(DATOS_[[Sexo]:[Sexo]]=$B35,IF(DATOS_[[AGRUP. CLAS. PROF.]:[AGRUP. CLAS. PROF.]]=$B33,IF(DATOS_[[Check Periodo Ref.]:[Check Periodo Ref.]]="Dentro",DATOS_[Conc.Sal.21]))))),
0)</f>
        <v>0</v>
      </c>
      <c r="AA35" s="93">
        <f t="array" ref="AA35">IFERROR(
AVERAGE((IF(DATOS_[[Sexo]:[Sexo]]=$B35,IF(DATOS_[[AGRUP. CLAS. PROF.]:[AGRUP. CLAS. PROF.]]=$B33,IF(DATOS_[[Check Periodo Ref.]:[Check Periodo Ref.]]="Dentro",DATOS_[Conc.Sal.22]))))),
0)</f>
        <v>0</v>
      </c>
      <c r="AB35" s="93">
        <f t="array" ref="AB35">IFERROR(
AVERAGE((IF(DATOS_[[Sexo]:[Sexo]]=$B35,IF(DATOS_[[AGRUP. CLAS. PROF.]:[AGRUP. CLAS. PROF.]]=$B33,IF(DATOS_[[Check Periodo Ref.]:[Check Periodo Ref.]]="Dentro",DATOS_[Conc.Sal.23]))))),
0)</f>
        <v>0</v>
      </c>
      <c r="AC35" s="93">
        <f t="array" ref="AC35">IFERROR(
AVERAGE((IF(DATOS_[[Sexo]:[Sexo]]=$B35,IF(DATOS_[[AGRUP. CLAS. PROF.]:[AGRUP. CLAS. PROF.]]=$B33,IF(DATOS_[[Check Periodo Ref.]:[Check Periodo Ref.]]="Dentro",DATOS_[Conc.Sal.24]))))),
0)</f>
        <v>0</v>
      </c>
      <c r="AD35" s="93">
        <f t="array" ref="AD35">IFERROR(
AVERAGE((IF(DATOS_[[Sexo]:[Sexo]]=$B35,IF(DATOS_[[AGRUP. CLAS. PROF.]:[AGRUP. CLAS. PROF.]]=$B33,IF(DATOS_[[Check Periodo Ref.]:[Check Periodo Ref.]]="Dentro",DATOS_[Conc.Sal.25]))))),
0)</f>
        <v>0</v>
      </c>
      <c r="AE35" s="93">
        <f t="array" ref="AE35">IFERROR(
AVERAGE((IF(DATOS_[[Sexo]:[Sexo]]=$B35,IF(DATOS_[[AGRUP. CLAS. PROF.]:[AGRUP. CLAS. PROF.]]=$B33,IF(DATOS_[[Check Periodo Ref.]:[Check Periodo Ref.]]="Dentro",DATOS_[Conc.Sal.26]))))),
0)</f>
        <v>0</v>
      </c>
      <c r="AF35" s="93">
        <f t="array" ref="AF35">IFERROR(
AVERAGE((IF(DATOS_[[Sexo]:[Sexo]]=$B35,IF(DATOS_[[AGRUP. CLAS. PROF.]:[AGRUP. CLAS. PROF.]]=$B33,IF(DATOS_[[Check Periodo Ref.]:[Check Periodo Ref.]]="Dentro",DATOS_[Conc.Sal.27]))))),
0)</f>
        <v>0</v>
      </c>
      <c r="AG35" s="93">
        <f t="array" ref="AG35">IFERROR(
AVERAGE((IF(DATOS_[[Sexo]:[Sexo]]=$B35,IF(DATOS_[[AGRUP. CLAS. PROF.]:[AGRUP. CLAS. PROF.]]=$B33,IF(DATOS_[[Check Periodo Ref.]:[Check Periodo Ref.]]="Dentro",DATOS_[Conc.Sal.28]))))),
0)</f>
        <v>0</v>
      </c>
      <c r="AH35" s="93">
        <f t="array" ref="AH35">IFERROR(
AVERAGE((IF(DATOS_[[Sexo]:[Sexo]]=$B35,IF(DATOS_[[AGRUP. CLAS. PROF.]:[AGRUP. CLAS. PROF.]]=$B33,IF(DATOS_[[Check Periodo Ref.]:[Check Periodo Ref.]]="Dentro",DATOS_[Conc.Sal.29]))))),
0)</f>
        <v>0</v>
      </c>
      <c r="AI35" s="93">
        <f t="array" ref="AI35">IFERROR(
AVERAGE((IF(DATOS_[[Sexo]:[Sexo]]=$B35,IF(DATOS_[[AGRUP. CLAS. PROF.]:[AGRUP. CLAS. PROF.]]=$B33,IF(DATOS_[[Check Periodo Ref.]:[Check Periodo Ref.]]="Dentro",DATOS_[Conc.Sal.30]))))),
0)</f>
        <v>0</v>
      </c>
      <c r="AJ35" s="94">
        <f t="array" ref="AJ35">IFERROR(
AVERAGE(IF(DATOS_[Sexo]=$B35,IF(DATOS_[AGRUP. CLAS. PROF.]=$B33,IF(DATOS_[Check Periodo Ref.]="Dentro",DATOS_[Tot COMPL.SAL Ef],FALSE)))),
0)</f>
        <v>0</v>
      </c>
      <c r="AK35" s="96">
        <f t="array" ref="AK35">IFERROR(
AVERAGE(IF(DATOS_[Sexo]=$B35,IF(DATOS_[AGRUP. CLAS. PROF.]=$B33,IF(DATOS_[Check Periodo Ref.]="Dentro",DATOS_[TOTAL SALARIO Ef],FALSE)))),
0)</f>
        <v>0</v>
      </c>
      <c r="AL35" s="95">
        <f t="array" ref="AL35">IFERROR(
AVERAGE((IF(DATOS_[[Sexo]:[Sexo]]=$B35,IF(DATOS_[[AGRUP. CLAS. PROF.]:[AGRUP. CLAS. PROF.]]=$B33,IF(DATOS_[[Check Periodo Ref.]:[Check Periodo Ref.]]="Dentro",DATOS_[C.Extra.01]))))),
0)</f>
        <v>0</v>
      </c>
      <c r="AM35" s="95">
        <f t="array" ref="AM35">IFERROR(
AVERAGE((IF(DATOS_[[Sexo]:[Sexo]]=$B35,IF(DATOS_[[AGRUP. CLAS. PROF.]:[AGRUP. CLAS. PROF.]]=$B33,IF(DATOS_[[Check Periodo Ref.]:[Check Periodo Ref.]]="Dentro",DATOS_[C.Extra.02]))))),
0)</f>
        <v>0</v>
      </c>
      <c r="AN35" s="95">
        <f t="array" ref="AN35">IFERROR(
AVERAGE((IF(DATOS_[[Sexo]:[Sexo]]=$B35,IF(DATOS_[[AGRUP. CLAS. PROF.]:[AGRUP. CLAS. PROF.]]=$B33,IF(DATOS_[[Check Periodo Ref.]:[Check Periodo Ref.]]="Dentro",DATOS_[C.Extra.03]))))),
0)</f>
        <v>0</v>
      </c>
      <c r="AO35" s="95">
        <f t="array" ref="AO35">IFERROR(
AVERAGE((IF(DATOS_[[Sexo]:[Sexo]]=$B35,IF(DATOS_[[AGRUP. CLAS. PROF.]:[AGRUP. CLAS. PROF.]]=$B33,IF(DATOS_[[Check Periodo Ref.]:[Check Periodo Ref.]]="Dentro",DATOS_[C.Extra.04]))))),
0)</f>
        <v>0</v>
      </c>
      <c r="AP35" s="95">
        <f t="array" ref="AP35">IFERROR(
AVERAGE((IF(DATOS_[[Sexo]:[Sexo]]=$B35,IF(DATOS_[[AGRUP. CLAS. PROF.]:[AGRUP. CLAS. PROF.]]=$B33,IF(DATOS_[[Check Periodo Ref.]:[Check Periodo Ref.]]="Dentro",DATOS_[C.Extra.05]))))),
0)</f>
        <v>0</v>
      </c>
      <c r="AQ35" s="97">
        <f t="array" ref="AQ35">IFERROR(
AVERAGE(IF(DATOS_[Sexo]=$B35,IF(DATOS_[AGRUP. CLAS. PROF.]=$B33,IF(DATOS_[Check Periodo Ref.]="Dentro",DATOS_[Tot Extrasalarial Ef],FALSE)))),
0)</f>
        <v>0</v>
      </c>
      <c r="AR35" s="98">
        <f t="array" ref="AR35">IFERROR(
AVERAGE(IF(DATOS_[Sexo]=$B35,IF(DATOS_[AGRUP. CLAS. PROF.]=$B33,IF(DATOS_[Check Periodo Ref.]="Dentro",DATOS_[TOTAL Retrib Ef],FALSE)))),
0)</f>
        <v>0</v>
      </c>
    </row>
    <row r="36" spans="1:44" ht="17.25" hidden="1" thickBot="1" x14ac:dyDescent="0.35">
      <c r="A36" s="309" t="str">
        <f t="shared" ref="A36" si="31">+A37</f>
        <v>[ocultar]</v>
      </c>
      <c r="B36" s="51" t="s">
        <v>314</v>
      </c>
      <c r="C36" s="91"/>
      <c r="D36" s="52"/>
      <c r="E36" s="139" t="str">
        <f t="shared" ref="E36:AR36" si="32">IFERROR((E37-E38)/E37,"")</f>
        <v/>
      </c>
      <c r="F36" s="310" t="str">
        <f t="shared" si="32"/>
        <v/>
      </c>
      <c r="G36" s="180" t="str">
        <f t="shared" si="32"/>
        <v/>
      </c>
      <c r="H36" s="180" t="str">
        <f t="shared" si="32"/>
        <v/>
      </c>
      <c r="I36" s="180" t="str">
        <f t="shared" si="32"/>
        <v/>
      </c>
      <c r="J36" s="181" t="str">
        <f t="shared" si="32"/>
        <v/>
      </c>
      <c r="K36" s="182" t="str">
        <f t="shared" si="32"/>
        <v/>
      </c>
      <c r="L36" s="182" t="str">
        <f t="shared" si="32"/>
        <v/>
      </c>
      <c r="M36" s="182" t="str">
        <f t="shared" si="32"/>
        <v/>
      </c>
      <c r="N36" s="182" t="str">
        <f t="shared" si="32"/>
        <v/>
      </c>
      <c r="O36" s="182" t="str">
        <f t="shared" si="32"/>
        <v/>
      </c>
      <c r="P36" s="182" t="str">
        <f t="shared" si="32"/>
        <v/>
      </c>
      <c r="Q36" s="182" t="str">
        <f t="shared" si="32"/>
        <v/>
      </c>
      <c r="R36" s="182" t="str">
        <f t="shared" si="32"/>
        <v/>
      </c>
      <c r="S36" s="182" t="str">
        <f t="shared" si="32"/>
        <v/>
      </c>
      <c r="T36" s="182" t="str">
        <f t="shared" si="32"/>
        <v/>
      </c>
      <c r="U36" s="182" t="str">
        <f t="shared" si="32"/>
        <v/>
      </c>
      <c r="V36" s="181" t="str">
        <f t="shared" si="32"/>
        <v/>
      </c>
      <c r="W36" s="181" t="str">
        <f t="shared" si="32"/>
        <v/>
      </c>
      <c r="X36" s="181" t="str">
        <f t="shared" si="32"/>
        <v/>
      </c>
      <c r="Y36" s="181" t="str">
        <f t="shared" si="32"/>
        <v/>
      </c>
      <c r="Z36" s="181" t="str">
        <f t="shared" si="32"/>
        <v/>
      </c>
      <c r="AA36" s="181" t="str">
        <f t="shared" si="32"/>
        <v/>
      </c>
      <c r="AB36" s="181" t="str">
        <f t="shared" si="32"/>
        <v/>
      </c>
      <c r="AC36" s="181" t="str">
        <f t="shared" si="32"/>
        <v/>
      </c>
      <c r="AD36" s="181" t="str">
        <f t="shared" si="32"/>
        <v/>
      </c>
      <c r="AE36" s="181" t="str">
        <f t="shared" si="32"/>
        <v/>
      </c>
      <c r="AF36" s="181" t="str">
        <f t="shared" si="32"/>
        <v/>
      </c>
      <c r="AG36" s="181" t="str">
        <f t="shared" si="32"/>
        <v/>
      </c>
      <c r="AH36" s="181" t="str">
        <f t="shared" si="32"/>
        <v/>
      </c>
      <c r="AI36" s="181" t="str">
        <f t="shared" si="32"/>
        <v/>
      </c>
      <c r="AJ36" s="140" t="str">
        <f t="shared" si="32"/>
        <v/>
      </c>
      <c r="AK36" s="143" t="str">
        <f t="shared" si="32"/>
        <v/>
      </c>
      <c r="AL36" s="184" t="str">
        <f t="shared" si="32"/>
        <v/>
      </c>
      <c r="AM36" s="184" t="str">
        <f t="shared" si="32"/>
        <v/>
      </c>
      <c r="AN36" s="184" t="str">
        <f t="shared" si="32"/>
        <v/>
      </c>
      <c r="AO36" s="184" t="str">
        <f t="shared" si="32"/>
        <v/>
      </c>
      <c r="AP36" s="184" t="str">
        <f t="shared" si="32"/>
        <v/>
      </c>
      <c r="AQ36" s="141" t="str">
        <f t="shared" si="32"/>
        <v/>
      </c>
      <c r="AR36" s="142" t="str">
        <f t="shared" si="32"/>
        <v/>
      </c>
    </row>
    <row r="37" spans="1:44" hidden="1" x14ac:dyDescent="0.3">
      <c r="A37" s="309" t="str">
        <f t="shared" ref="A37" si="33">+IF(C37+C38=0,"[ocultar]","")</f>
        <v>[ocultar]</v>
      </c>
      <c r="B37" s="46" t="s">
        <v>162</v>
      </c>
      <c r="C37" s="45">
        <f t="array" ref="C37">SUM(IF($B37=DATOS_[Sexo],
IF($B36=DATOS_[AGRUP. CLAS. PROF.],
IF("Dentro"=DATOS_[Check Periodo Ref.],
1/(COUNTIFS(DATOS_[Sexo],$B37,DATOS_[AGRUP. CLAS. PROF.],$B36,DATOS_[Check Periodo Ref.],"Dentro",DATOS_[id],DATOS_[id]))))))</f>
        <v>0</v>
      </c>
      <c r="D37" s="47">
        <f>COUNTIFS(DATOS_[AGRUP. CLAS. PROF.],$B36,DATOS_[Sexo],$B37,DATOS_[Check Periodo Ref.],"Dentro")</f>
        <v>0</v>
      </c>
      <c r="E37" s="92">
        <f t="array" ref="E37">IFERROR(
AVERAGE(IF(DATOS_[Sexo]=$B37,IF(DATOS_[AGRUP. CLAS. PROF.]=$B36,IF(DATOS_[Check Periodo Ref.]="Dentro",DATOS_[SALARIO BASE Ef],FALSE)))),
0)</f>
        <v>0</v>
      </c>
      <c r="F37" s="93">
        <f t="array" ref="F37">IFERROR(
AVERAGE((IF(DATOS_[[Sexo]:[Sexo]]=$B37,IF(DATOS_[[AGRUP. CLAS. PROF.]:[AGRUP. CLAS. PROF.]]=$B36,IF(DATOS_[[Check Periodo Ref.]:[Check Periodo Ref.]]="Dentro",DATOS_[Conc.Sal.01]))))),
0)</f>
        <v>0</v>
      </c>
      <c r="G37" s="93">
        <f t="array" ref="G37">IFERROR(
AVERAGE((IF(DATOS_[[Sexo]:[Sexo]]=$B37,IF(DATOS_[[AGRUP. CLAS. PROF.]:[AGRUP. CLAS. PROF.]]=$B36,IF(DATOS_[[Check Periodo Ref.]:[Check Periodo Ref.]]="Dentro",DATOS_[Conc.Sal.02]))))),
0)</f>
        <v>0</v>
      </c>
      <c r="H37" s="93">
        <f t="array" ref="H37">IFERROR(
AVERAGE((IF(DATOS_[[Sexo]:[Sexo]]=$B37,IF(DATOS_[[AGRUP. CLAS. PROF.]:[AGRUP. CLAS. PROF.]]=$B36,IF(DATOS_[[Check Periodo Ref.]:[Check Periodo Ref.]]="Dentro",DATOS_[Conc.Sal.03]))))),
0)</f>
        <v>0</v>
      </c>
      <c r="I37" s="93">
        <f t="array" ref="I37">IFERROR(
AVERAGE((IF(DATOS_[[Sexo]:[Sexo]]=$B37,IF(DATOS_[[AGRUP. CLAS. PROF.]:[AGRUP. CLAS. PROF.]]=$B36,IF(DATOS_[[Check Periodo Ref.]:[Check Periodo Ref.]]="Dentro",DATOS_[Conc.Sal.04]))))),
0)</f>
        <v>0</v>
      </c>
      <c r="J37" s="93">
        <f t="array" ref="J37">IFERROR(
AVERAGE((IF(DATOS_[[Sexo]:[Sexo]]=$B37,IF(DATOS_[[AGRUP. CLAS. PROF.]:[AGRUP. CLAS. PROF.]]=$B36,IF(DATOS_[[Check Periodo Ref.]:[Check Periodo Ref.]]="Dentro",DATOS_[Conc.Sal.05]))))),
0)</f>
        <v>0</v>
      </c>
      <c r="K37" s="93">
        <f t="array" ref="K37">IFERROR(
AVERAGE((IF(DATOS_[[Sexo]:[Sexo]]=$B37,IF(DATOS_[[AGRUP. CLAS. PROF.]:[AGRUP. CLAS. PROF.]]=$B36,IF(DATOS_[[Check Periodo Ref.]:[Check Periodo Ref.]]="Dentro",DATOS_[Conc.Sal.06]))))),
0)</f>
        <v>0</v>
      </c>
      <c r="L37" s="93">
        <f t="array" ref="L37">IFERROR(
AVERAGE((IF(DATOS_[[Sexo]:[Sexo]]=$B37,IF(DATOS_[[AGRUP. CLAS. PROF.]:[AGRUP. CLAS. PROF.]]=$B36,IF(DATOS_[[Check Periodo Ref.]:[Check Periodo Ref.]]="Dentro",DATOS_[Conc.Sal.07]))))),
0)</f>
        <v>0</v>
      </c>
      <c r="M37" s="93">
        <f t="array" ref="M37">IFERROR(
AVERAGE((IF(DATOS_[[Sexo]:[Sexo]]=$B37,IF(DATOS_[[AGRUP. CLAS. PROF.]:[AGRUP. CLAS. PROF.]]=$B36,IF(DATOS_[[Check Periodo Ref.]:[Check Periodo Ref.]]="Dentro",DATOS_[Conc.Sal.08]))))),
0)</f>
        <v>0</v>
      </c>
      <c r="N37" s="93">
        <f t="array" ref="N37">IFERROR(
AVERAGE((IF(DATOS_[[Sexo]:[Sexo]]=$B37,IF(DATOS_[[AGRUP. CLAS. PROF.]:[AGRUP. CLAS. PROF.]]=$B36,IF(DATOS_[[Check Periodo Ref.]:[Check Periodo Ref.]]="Dentro",DATOS_[Conc.Sal.09]))))),
0)</f>
        <v>0</v>
      </c>
      <c r="O37" s="93">
        <f t="array" ref="O37">IFERROR(
AVERAGE((IF(DATOS_[[Sexo]:[Sexo]]=$B37,IF(DATOS_[[AGRUP. CLAS. PROF.]:[AGRUP. CLAS. PROF.]]=$B36,IF(DATOS_[[Check Periodo Ref.]:[Check Periodo Ref.]]="Dentro",DATOS_[Conc.Sal.10]))))),
0)</f>
        <v>0</v>
      </c>
      <c r="P37" s="93">
        <f t="array" ref="P37">IFERROR(
AVERAGE((IF(DATOS_[[Sexo]:[Sexo]]=$B37,IF(DATOS_[[AGRUP. CLAS. PROF.]:[AGRUP. CLAS. PROF.]]=$B36,IF(DATOS_[[Check Periodo Ref.]:[Check Periodo Ref.]]="Dentro",DATOS_[Conc.Sal.11]))))),
0)</f>
        <v>0</v>
      </c>
      <c r="Q37" s="93">
        <f t="array" ref="Q37">IFERROR(
AVERAGE((IF(DATOS_[[Sexo]:[Sexo]]=$B37,IF(DATOS_[[AGRUP. CLAS. PROF.]:[AGRUP. CLAS. PROF.]]=$B36,IF(DATOS_[[Check Periodo Ref.]:[Check Periodo Ref.]]="Dentro",DATOS_[Conc.Sal.12]))))),
0)</f>
        <v>0</v>
      </c>
      <c r="R37" s="93">
        <f t="array" ref="R37">IFERROR(
AVERAGE((IF(DATOS_[[Sexo]:[Sexo]]=$B37,IF(DATOS_[[AGRUP. CLAS. PROF.]:[AGRUP. CLAS. PROF.]]=$B36,IF(DATOS_[[Check Periodo Ref.]:[Check Periodo Ref.]]="Dentro",DATOS_[Conc.Sal.13]))))),
0)</f>
        <v>0</v>
      </c>
      <c r="S37" s="93">
        <f t="array" ref="S37">IFERROR(
AVERAGE((IF(DATOS_[[Sexo]:[Sexo]]=$B37,IF(DATOS_[[AGRUP. CLAS. PROF.]:[AGRUP. CLAS. PROF.]]=$B36,IF(DATOS_[[Check Periodo Ref.]:[Check Periodo Ref.]]="Dentro",DATOS_[Conc.Sal.14]))))),
0)</f>
        <v>0</v>
      </c>
      <c r="T37" s="93">
        <f t="array" ref="T37">IFERROR(
AVERAGE((IF(DATOS_[[Sexo]:[Sexo]]=$B37,IF(DATOS_[[AGRUP. CLAS. PROF.]:[AGRUP. CLAS. PROF.]]=$B36,IF(DATOS_[[Check Periodo Ref.]:[Check Periodo Ref.]]="Dentro",DATOS_[Conc.Sal.15]))))),
0)</f>
        <v>0</v>
      </c>
      <c r="U37" s="93">
        <f t="array" ref="U37">IFERROR(
AVERAGE((IF(DATOS_[[Sexo]:[Sexo]]=$B37,IF(DATOS_[[AGRUP. CLAS. PROF.]:[AGRUP. CLAS. PROF.]]=$B36,IF(DATOS_[[Check Periodo Ref.]:[Check Periodo Ref.]]="Dentro",DATOS_[Conc.Sal.16]))))),
0)</f>
        <v>0</v>
      </c>
      <c r="V37" s="93">
        <f t="array" ref="V37">IFERROR(
AVERAGE((IF(DATOS_[[Sexo]:[Sexo]]=$B37,IF(DATOS_[[AGRUP. CLAS. PROF.]:[AGRUP. CLAS. PROF.]]=$B36,IF(DATOS_[[Check Periodo Ref.]:[Check Periodo Ref.]]="Dentro",DATOS_[Conc.Sal.17]))))),
0)</f>
        <v>0</v>
      </c>
      <c r="W37" s="93">
        <f t="array" ref="W37">IFERROR(
AVERAGE((IF(DATOS_[[Sexo]:[Sexo]]=$B37,IF(DATOS_[[AGRUP. CLAS. PROF.]:[AGRUP. CLAS. PROF.]]=$B36,IF(DATOS_[[Check Periodo Ref.]:[Check Periodo Ref.]]="Dentro",DATOS_[Conc.Sal.18]))))),
0)</f>
        <v>0</v>
      </c>
      <c r="X37" s="93">
        <f t="array" ref="X37">IFERROR(
AVERAGE((IF(DATOS_[[Sexo]:[Sexo]]=$B37,IF(DATOS_[[AGRUP. CLAS. PROF.]:[AGRUP. CLAS. PROF.]]=$B36,IF(DATOS_[[Check Periodo Ref.]:[Check Periodo Ref.]]="Dentro",DATOS_[Conc.Sal.19]))))),
0)</f>
        <v>0</v>
      </c>
      <c r="Y37" s="93">
        <f t="array" ref="Y37">IFERROR(
AVERAGE((IF(DATOS_[[Sexo]:[Sexo]]=$B37,IF(DATOS_[[AGRUP. CLAS. PROF.]:[AGRUP. CLAS. PROF.]]=$B36,IF(DATOS_[[Check Periodo Ref.]:[Check Periodo Ref.]]="Dentro",DATOS_[Conc.Sal.20]))))),
0)</f>
        <v>0</v>
      </c>
      <c r="Z37" s="93">
        <f t="array" ref="Z37">IFERROR(
AVERAGE((IF(DATOS_[[Sexo]:[Sexo]]=$B37,IF(DATOS_[[AGRUP. CLAS. PROF.]:[AGRUP. CLAS. PROF.]]=$B36,IF(DATOS_[[Check Periodo Ref.]:[Check Periodo Ref.]]="Dentro",DATOS_[Conc.Sal.21]))))),
0)</f>
        <v>0</v>
      </c>
      <c r="AA37" s="93">
        <f t="array" ref="AA37">IFERROR(
AVERAGE((IF(DATOS_[[Sexo]:[Sexo]]=$B37,IF(DATOS_[[AGRUP. CLAS. PROF.]:[AGRUP. CLAS. PROF.]]=$B36,IF(DATOS_[[Check Periodo Ref.]:[Check Periodo Ref.]]="Dentro",DATOS_[Conc.Sal.22]))))),
0)</f>
        <v>0</v>
      </c>
      <c r="AB37" s="93">
        <f t="array" ref="AB37">IFERROR(
AVERAGE((IF(DATOS_[[Sexo]:[Sexo]]=$B37,IF(DATOS_[[AGRUP. CLAS. PROF.]:[AGRUP. CLAS. PROF.]]=$B36,IF(DATOS_[[Check Periodo Ref.]:[Check Periodo Ref.]]="Dentro",DATOS_[Conc.Sal.23]))))),
0)</f>
        <v>0</v>
      </c>
      <c r="AC37" s="93">
        <f t="array" ref="AC37">IFERROR(
AVERAGE((IF(DATOS_[[Sexo]:[Sexo]]=$B37,IF(DATOS_[[AGRUP. CLAS. PROF.]:[AGRUP. CLAS. PROF.]]=$B36,IF(DATOS_[[Check Periodo Ref.]:[Check Periodo Ref.]]="Dentro",DATOS_[Conc.Sal.24]))))),
0)</f>
        <v>0</v>
      </c>
      <c r="AD37" s="93">
        <f t="array" ref="AD37">IFERROR(
AVERAGE((IF(DATOS_[[Sexo]:[Sexo]]=$B37,IF(DATOS_[[AGRUP. CLAS. PROF.]:[AGRUP. CLAS. PROF.]]=$B36,IF(DATOS_[[Check Periodo Ref.]:[Check Periodo Ref.]]="Dentro",DATOS_[Conc.Sal.25]))))),
0)</f>
        <v>0</v>
      </c>
      <c r="AE37" s="93">
        <f t="array" ref="AE37">IFERROR(
AVERAGE((IF(DATOS_[[Sexo]:[Sexo]]=$B37,IF(DATOS_[[AGRUP. CLAS. PROF.]:[AGRUP. CLAS. PROF.]]=$B36,IF(DATOS_[[Check Periodo Ref.]:[Check Periodo Ref.]]="Dentro",DATOS_[Conc.Sal.26]))))),
0)</f>
        <v>0</v>
      </c>
      <c r="AF37" s="93">
        <f t="array" ref="AF37">IFERROR(
AVERAGE((IF(DATOS_[[Sexo]:[Sexo]]=$B37,IF(DATOS_[[AGRUP. CLAS. PROF.]:[AGRUP. CLAS. PROF.]]=$B36,IF(DATOS_[[Check Periodo Ref.]:[Check Periodo Ref.]]="Dentro",DATOS_[Conc.Sal.27]))))),
0)</f>
        <v>0</v>
      </c>
      <c r="AG37" s="93">
        <f t="array" ref="AG37">IFERROR(
AVERAGE((IF(DATOS_[[Sexo]:[Sexo]]=$B37,IF(DATOS_[[AGRUP. CLAS. PROF.]:[AGRUP. CLAS. PROF.]]=$B36,IF(DATOS_[[Check Periodo Ref.]:[Check Periodo Ref.]]="Dentro",DATOS_[Conc.Sal.28]))))),
0)</f>
        <v>0</v>
      </c>
      <c r="AH37" s="93">
        <f t="array" ref="AH37">IFERROR(
AVERAGE((IF(DATOS_[[Sexo]:[Sexo]]=$B37,IF(DATOS_[[AGRUP. CLAS. PROF.]:[AGRUP. CLAS. PROF.]]=$B36,IF(DATOS_[[Check Periodo Ref.]:[Check Periodo Ref.]]="Dentro",DATOS_[Conc.Sal.29]))))),
0)</f>
        <v>0</v>
      </c>
      <c r="AI37" s="93">
        <f t="array" ref="AI37">IFERROR(
AVERAGE((IF(DATOS_[[Sexo]:[Sexo]]=$B37,IF(DATOS_[[AGRUP. CLAS. PROF.]:[AGRUP. CLAS. PROF.]]=$B36,IF(DATOS_[[Check Periodo Ref.]:[Check Periodo Ref.]]="Dentro",DATOS_[Conc.Sal.30]))))),
0)</f>
        <v>0</v>
      </c>
      <c r="AJ37" s="94">
        <f t="array" ref="AJ37">IFERROR(
AVERAGE(IF(DATOS_[Sexo]=$B37,IF(DATOS_[AGRUP. CLAS. PROF.]=$B36,IF(DATOS_[Check Periodo Ref.]="Dentro",DATOS_[Tot COMPL.SAL Ef],FALSE)))),
0)</f>
        <v>0</v>
      </c>
      <c r="AK37" s="96">
        <f t="array" ref="AK37">IFERROR(
AVERAGE(IF(DATOS_[Sexo]=$B37,IF(DATOS_[AGRUP. CLAS. PROF.]=$B36,IF(DATOS_[Check Periodo Ref.]="Dentro",DATOS_[TOTAL SALARIO Ef],FALSE)))),
0)</f>
        <v>0</v>
      </c>
      <c r="AL37" s="95">
        <f t="array" ref="AL37">IFERROR(
AVERAGE((IF(DATOS_[[Sexo]:[Sexo]]=$B37,IF(DATOS_[[AGRUP. CLAS. PROF.]:[AGRUP. CLAS. PROF.]]=$B36,IF(DATOS_[[Check Periodo Ref.]:[Check Periodo Ref.]]="Dentro",DATOS_[C.Extra.01]))))),
0)</f>
        <v>0</v>
      </c>
      <c r="AM37" s="95">
        <f t="array" ref="AM37">IFERROR(
AVERAGE((IF(DATOS_[[Sexo]:[Sexo]]=$B37,IF(DATOS_[[AGRUP. CLAS. PROF.]:[AGRUP. CLAS. PROF.]]=$B36,IF(DATOS_[[Check Periodo Ref.]:[Check Periodo Ref.]]="Dentro",DATOS_[C.Extra.02]))))),
0)</f>
        <v>0</v>
      </c>
      <c r="AN37" s="95">
        <f t="array" ref="AN37">IFERROR(
AVERAGE((IF(DATOS_[[Sexo]:[Sexo]]=$B37,IF(DATOS_[[AGRUP. CLAS. PROF.]:[AGRUP. CLAS. PROF.]]=$B36,IF(DATOS_[[Check Periodo Ref.]:[Check Periodo Ref.]]="Dentro",DATOS_[C.Extra.03]))))),
0)</f>
        <v>0</v>
      </c>
      <c r="AO37" s="95">
        <f t="array" ref="AO37">IFERROR(
AVERAGE((IF(DATOS_[[Sexo]:[Sexo]]=$B37,IF(DATOS_[[AGRUP. CLAS. PROF.]:[AGRUP. CLAS. PROF.]]=$B36,IF(DATOS_[[Check Periodo Ref.]:[Check Periodo Ref.]]="Dentro",DATOS_[C.Extra.04]))))),
0)</f>
        <v>0</v>
      </c>
      <c r="AP37" s="95">
        <f t="array" ref="AP37">IFERROR(
AVERAGE((IF(DATOS_[[Sexo]:[Sexo]]=$B37,IF(DATOS_[[AGRUP. CLAS. PROF.]:[AGRUP. CLAS. PROF.]]=$B36,IF(DATOS_[[Check Periodo Ref.]:[Check Periodo Ref.]]="Dentro",DATOS_[C.Extra.05]))))),
0)</f>
        <v>0</v>
      </c>
      <c r="AQ37" s="97">
        <f t="array" ref="AQ37">IFERROR(
AVERAGE(IF(DATOS_[Sexo]=$B37,IF(DATOS_[AGRUP. CLAS. PROF.]=$B36,IF(DATOS_[Check Periodo Ref.]="Dentro",DATOS_[Tot Extrasalarial Ef],FALSE)))),
0)</f>
        <v>0</v>
      </c>
      <c r="AR37" s="98">
        <f t="array" ref="AR37">IFERROR(
AVERAGE(IF(DATOS_[Sexo]=$B37,IF(DATOS_[AGRUP. CLAS. PROF.]=$B36,IF(DATOS_[Check Periodo Ref.]="Dentro",DATOS_[TOTAL Retrib Ef],FALSE)))),
0)</f>
        <v>0</v>
      </c>
    </row>
    <row r="38" spans="1:44" hidden="1" x14ac:dyDescent="0.3">
      <c r="A38" s="309" t="str">
        <f t="shared" ref="A38" si="34">+A37</f>
        <v>[ocultar]</v>
      </c>
      <c r="B38" s="46" t="s">
        <v>163</v>
      </c>
      <c r="C38" s="45">
        <f t="array" ref="C38">SUM(IF($B38=DATOS_[Sexo],
IF($B36=DATOS_[AGRUP. CLAS. PROF.],
IF("Dentro"=DATOS_[Check Periodo Ref.],
1/(COUNTIFS(DATOS_[Sexo],$B38,DATOS_[AGRUP. CLAS. PROF.],$B36,DATOS_[Check Periodo Ref.],"Dentro",DATOS_[id],DATOS_[id]))))))</f>
        <v>0</v>
      </c>
      <c r="D38" s="47">
        <f>COUNTIFS(DATOS_[AGRUP. CLAS. PROF.],$B36,DATOS_[Sexo],$B38,DATOS_[Check Periodo Ref.],"Dentro")</f>
        <v>0</v>
      </c>
      <c r="E38" s="92">
        <f t="array" ref="E38">IFERROR(
AVERAGE(IF(DATOS_[Sexo]=$B38,IF(DATOS_[AGRUP. CLAS. PROF.]=$B36,IF(DATOS_[Check Periodo Ref.]="Dentro",DATOS_[SALARIO BASE Ef],FALSE)))),
0)</f>
        <v>0</v>
      </c>
      <c r="F38" s="93">
        <f t="array" ref="F38">IFERROR(
AVERAGE((IF(DATOS_[[Sexo]:[Sexo]]=$B38,IF(DATOS_[[AGRUP. CLAS. PROF.]:[AGRUP. CLAS. PROF.]]=$B36,IF(DATOS_[[Check Periodo Ref.]:[Check Periodo Ref.]]="Dentro",DATOS_[Conc.Sal.01]))))),
0)</f>
        <v>0</v>
      </c>
      <c r="G38" s="93">
        <f t="array" ref="G38">IFERROR(
AVERAGE((IF(DATOS_[[Sexo]:[Sexo]]=$B38,IF(DATOS_[[AGRUP. CLAS. PROF.]:[AGRUP. CLAS. PROF.]]=$B36,IF(DATOS_[[Check Periodo Ref.]:[Check Periodo Ref.]]="Dentro",DATOS_[Conc.Sal.02]))))),
0)</f>
        <v>0</v>
      </c>
      <c r="H38" s="93">
        <f t="array" ref="H38">IFERROR(
AVERAGE((IF(DATOS_[[Sexo]:[Sexo]]=$B38,IF(DATOS_[[AGRUP. CLAS. PROF.]:[AGRUP. CLAS. PROF.]]=$B36,IF(DATOS_[[Check Periodo Ref.]:[Check Periodo Ref.]]="Dentro",DATOS_[Conc.Sal.03]))))),
0)</f>
        <v>0</v>
      </c>
      <c r="I38" s="93">
        <f t="array" ref="I38">IFERROR(
AVERAGE((IF(DATOS_[[Sexo]:[Sexo]]=$B38,IF(DATOS_[[AGRUP. CLAS. PROF.]:[AGRUP. CLAS. PROF.]]=$B36,IF(DATOS_[[Check Periodo Ref.]:[Check Periodo Ref.]]="Dentro",DATOS_[Conc.Sal.04]))))),
0)</f>
        <v>0</v>
      </c>
      <c r="J38" s="93">
        <f t="array" ref="J38">IFERROR(
AVERAGE((IF(DATOS_[[Sexo]:[Sexo]]=$B38,IF(DATOS_[[AGRUP. CLAS. PROF.]:[AGRUP. CLAS. PROF.]]=$B36,IF(DATOS_[[Check Periodo Ref.]:[Check Periodo Ref.]]="Dentro",DATOS_[Conc.Sal.05]))))),
0)</f>
        <v>0</v>
      </c>
      <c r="K38" s="93">
        <f t="array" ref="K38">IFERROR(
AVERAGE((IF(DATOS_[[Sexo]:[Sexo]]=$B38,IF(DATOS_[[AGRUP. CLAS. PROF.]:[AGRUP. CLAS. PROF.]]=$B36,IF(DATOS_[[Check Periodo Ref.]:[Check Periodo Ref.]]="Dentro",DATOS_[Conc.Sal.06]))))),
0)</f>
        <v>0</v>
      </c>
      <c r="L38" s="93">
        <f t="array" ref="L38">IFERROR(
AVERAGE((IF(DATOS_[[Sexo]:[Sexo]]=$B38,IF(DATOS_[[AGRUP. CLAS. PROF.]:[AGRUP. CLAS. PROF.]]=$B36,IF(DATOS_[[Check Periodo Ref.]:[Check Periodo Ref.]]="Dentro",DATOS_[Conc.Sal.07]))))),
0)</f>
        <v>0</v>
      </c>
      <c r="M38" s="93">
        <f t="array" ref="M38">IFERROR(
AVERAGE((IF(DATOS_[[Sexo]:[Sexo]]=$B38,IF(DATOS_[[AGRUP. CLAS. PROF.]:[AGRUP. CLAS. PROF.]]=$B36,IF(DATOS_[[Check Periodo Ref.]:[Check Periodo Ref.]]="Dentro",DATOS_[Conc.Sal.08]))))),
0)</f>
        <v>0</v>
      </c>
      <c r="N38" s="93">
        <f t="array" ref="N38">IFERROR(
AVERAGE((IF(DATOS_[[Sexo]:[Sexo]]=$B38,IF(DATOS_[[AGRUP. CLAS. PROF.]:[AGRUP. CLAS. PROF.]]=$B36,IF(DATOS_[[Check Periodo Ref.]:[Check Periodo Ref.]]="Dentro",DATOS_[Conc.Sal.09]))))),
0)</f>
        <v>0</v>
      </c>
      <c r="O38" s="93">
        <f t="array" ref="O38">IFERROR(
AVERAGE((IF(DATOS_[[Sexo]:[Sexo]]=$B38,IF(DATOS_[[AGRUP. CLAS. PROF.]:[AGRUP. CLAS. PROF.]]=$B36,IF(DATOS_[[Check Periodo Ref.]:[Check Periodo Ref.]]="Dentro",DATOS_[Conc.Sal.10]))))),
0)</f>
        <v>0</v>
      </c>
      <c r="P38" s="93">
        <f t="array" ref="P38">IFERROR(
AVERAGE((IF(DATOS_[[Sexo]:[Sexo]]=$B38,IF(DATOS_[[AGRUP. CLAS. PROF.]:[AGRUP. CLAS. PROF.]]=$B36,IF(DATOS_[[Check Periodo Ref.]:[Check Periodo Ref.]]="Dentro",DATOS_[Conc.Sal.11]))))),
0)</f>
        <v>0</v>
      </c>
      <c r="Q38" s="93">
        <f t="array" ref="Q38">IFERROR(
AVERAGE((IF(DATOS_[[Sexo]:[Sexo]]=$B38,IF(DATOS_[[AGRUP. CLAS. PROF.]:[AGRUP. CLAS. PROF.]]=$B36,IF(DATOS_[[Check Periodo Ref.]:[Check Periodo Ref.]]="Dentro",DATOS_[Conc.Sal.12]))))),
0)</f>
        <v>0</v>
      </c>
      <c r="R38" s="93">
        <f t="array" ref="R38">IFERROR(
AVERAGE((IF(DATOS_[[Sexo]:[Sexo]]=$B38,IF(DATOS_[[AGRUP. CLAS. PROF.]:[AGRUP. CLAS. PROF.]]=$B36,IF(DATOS_[[Check Periodo Ref.]:[Check Periodo Ref.]]="Dentro",DATOS_[Conc.Sal.13]))))),
0)</f>
        <v>0</v>
      </c>
      <c r="S38" s="93">
        <f t="array" ref="S38">IFERROR(
AVERAGE((IF(DATOS_[[Sexo]:[Sexo]]=$B38,IF(DATOS_[[AGRUP. CLAS. PROF.]:[AGRUP. CLAS. PROF.]]=$B36,IF(DATOS_[[Check Periodo Ref.]:[Check Periodo Ref.]]="Dentro",DATOS_[Conc.Sal.14]))))),
0)</f>
        <v>0</v>
      </c>
      <c r="T38" s="93">
        <f t="array" ref="T38">IFERROR(
AVERAGE((IF(DATOS_[[Sexo]:[Sexo]]=$B38,IF(DATOS_[[AGRUP. CLAS. PROF.]:[AGRUP. CLAS. PROF.]]=$B36,IF(DATOS_[[Check Periodo Ref.]:[Check Periodo Ref.]]="Dentro",DATOS_[Conc.Sal.15]))))),
0)</f>
        <v>0</v>
      </c>
      <c r="U38" s="93">
        <f t="array" ref="U38">IFERROR(
AVERAGE((IF(DATOS_[[Sexo]:[Sexo]]=$B38,IF(DATOS_[[AGRUP. CLAS. PROF.]:[AGRUP. CLAS. PROF.]]=$B36,IF(DATOS_[[Check Periodo Ref.]:[Check Periodo Ref.]]="Dentro",DATOS_[Conc.Sal.16]))))),
0)</f>
        <v>0</v>
      </c>
      <c r="V38" s="93">
        <f t="array" ref="V38">IFERROR(
AVERAGE((IF(DATOS_[[Sexo]:[Sexo]]=$B38,IF(DATOS_[[AGRUP. CLAS. PROF.]:[AGRUP. CLAS. PROF.]]=$B36,IF(DATOS_[[Check Periodo Ref.]:[Check Periodo Ref.]]="Dentro",DATOS_[Conc.Sal.17]))))),
0)</f>
        <v>0</v>
      </c>
      <c r="W38" s="93">
        <f t="array" ref="W38">IFERROR(
AVERAGE((IF(DATOS_[[Sexo]:[Sexo]]=$B38,IF(DATOS_[[AGRUP. CLAS. PROF.]:[AGRUP. CLAS. PROF.]]=$B36,IF(DATOS_[[Check Periodo Ref.]:[Check Periodo Ref.]]="Dentro",DATOS_[Conc.Sal.18]))))),
0)</f>
        <v>0</v>
      </c>
      <c r="X38" s="93">
        <f t="array" ref="X38">IFERROR(
AVERAGE((IF(DATOS_[[Sexo]:[Sexo]]=$B38,IF(DATOS_[[AGRUP. CLAS. PROF.]:[AGRUP. CLAS. PROF.]]=$B36,IF(DATOS_[[Check Periodo Ref.]:[Check Periodo Ref.]]="Dentro",DATOS_[Conc.Sal.19]))))),
0)</f>
        <v>0</v>
      </c>
      <c r="Y38" s="93">
        <f t="array" ref="Y38">IFERROR(
AVERAGE((IF(DATOS_[[Sexo]:[Sexo]]=$B38,IF(DATOS_[[AGRUP. CLAS. PROF.]:[AGRUP. CLAS. PROF.]]=$B36,IF(DATOS_[[Check Periodo Ref.]:[Check Periodo Ref.]]="Dentro",DATOS_[Conc.Sal.20]))))),
0)</f>
        <v>0</v>
      </c>
      <c r="Z38" s="93">
        <f t="array" ref="Z38">IFERROR(
AVERAGE((IF(DATOS_[[Sexo]:[Sexo]]=$B38,IF(DATOS_[[AGRUP. CLAS. PROF.]:[AGRUP. CLAS. PROF.]]=$B36,IF(DATOS_[[Check Periodo Ref.]:[Check Periodo Ref.]]="Dentro",DATOS_[Conc.Sal.21]))))),
0)</f>
        <v>0</v>
      </c>
      <c r="AA38" s="93">
        <f t="array" ref="AA38">IFERROR(
AVERAGE((IF(DATOS_[[Sexo]:[Sexo]]=$B38,IF(DATOS_[[AGRUP. CLAS. PROF.]:[AGRUP. CLAS. PROF.]]=$B36,IF(DATOS_[[Check Periodo Ref.]:[Check Periodo Ref.]]="Dentro",DATOS_[Conc.Sal.22]))))),
0)</f>
        <v>0</v>
      </c>
      <c r="AB38" s="93">
        <f t="array" ref="AB38">IFERROR(
AVERAGE((IF(DATOS_[[Sexo]:[Sexo]]=$B38,IF(DATOS_[[AGRUP. CLAS. PROF.]:[AGRUP. CLAS. PROF.]]=$B36,IF(DATOS_[[Check Periodo Ref.]:[Check Periodo Ref.]]="Dentro",DATOS_[Conc.Sal.23]))))),
0)</f>
        <v>0</v>
      </c>
      <c r="AC38" s="93">
        <f t="array" ref="AC38">IFERROR(
AVERAGE((IF(DATOS_[[Sexo]:[Sexo]]=$B38,IF(DATOS_[[AGRUP. CLAS. PROF.]:[AGRUP. CLAS. PROF.]]=$B36,IF(DATOS_[[Check Periodo Ref.]:[Check Periodo Ref.]]="Dentro",DATOS_[Conc.Sal.24]))))),
0)</f>
        <v>0</v>
      </c>
      <c r="AD38" s="93">
        <f t="array" ref="AD38">IFERROR(
AVERAGE((IF(DATOS_[[Sexo]:[Sexo]]=$B38,IF(DATOS_[[AGRUP. CLAS. PROF.]:[AGRUP. CLAS. PROF.]]=$B36,IF(DATOS_[[Check Periodo Ref.]:[Check Periodo Ref.]]="Dentro",DATOS_[Conc.Sal.25]))))),
0)</f>
        <v>0</v>
      </c>
      <c r="AE38" s="93">
        <f t="array" ref="AE38">IFERROR(
AVERAGE((IF(DATOS_[[Sexo]:[Sexo]]=$B38,IF(DATOS_[[AGRUP. CLAS. PROF.]:[AGRUP. CLAS. PROF.]]=$B36,IF(DATOS_[[Check Periodo Ref.]:[Check Periodo Ref.]]="Dentro",DATOS_[Conc.Sal.26]))))),
0)</f>
        <v>0</v>
      </c>
      <c r="AF38" s="93">
        <f t="array" ref="AF38">IFERROR(
AVERAGE((IF(DATOS_[[Sexo]:[Sexo]]=$B38,IF(DATOS_[[AGRUP. CLAS. PROF.]:[AGRUP. CLAS. PROF.]]=$B36,IF(DATOS_[[Check Periodo Ref.]:[Check Periodo Ref.]]="Dentro",DATOS_[Conc.Sal.27]))))),
0)</f>
        <v>0</v>
      </c>
      <c r="AG38" s="93">
        <f t="array" ref="AG38">IFERROR(
AVERAGE((IF(DATOS_[[Sexo]:[Sexo]]=$B38,IF(DATOS_[[AGRUP. CLAS. PROF.]:[AGRUP. CLAS. PROF.]]=$B36,IF(DATOS_[[Check Periodo Ref.]:[Check Periodo Ref.]]="Dentro",DATOS_[Conc.Sal.28]))))),
0)</f>
        <v>0</v>
      </c>
      <c r="AH38" s="93">
        <f t="array" ref="AH38">IFERROR(
AVERAGE((IF(DATOS_[[Sexo]:[Sexo]]=$B38,IF(DATOS_[[AGRUP. CLAS. PROF.]:[AGRUP. CLAS. PROF.]]=$B36,IF(DATOS_[[Check Periodo Ref.]:[Check Periodo Ref.]]="Dentro",DATOS_[Conc.Sal.29]))))),
0)</f>
        <v>0</v>
      </c>
      <c r="AI38" s="93">
        <f t="array" ref="AI38">IFERROR(
AVERAGE((IF(DATOS_[[Sexo]:[Sexo]]=$B38,IF(DATOS_[[AGRUP. CLAS. PROF.]:[AGRUP. CLAS. PROF.]]=$B36,IF(DATOS_[[Check Periodo Ref.]:[Check Periodo Ref.]]="Dentro",DATOS_[Conc.Sal.30]))))),
0)</f>
        <v>0</v>
      </c>
      <c r="AJ38" s="94">
        <f t="array" ref="AJ38">IFERROR(
AVERAGE(IF(DATOS_[Sexo]=$B38,IF(DATOS_[AGRUP. CLAS. PROF.]=$B36,IF(DATOS_[Check Periodo Ref.]="Dentro",DATOS_[Tot COMPL.SAL Ef],FALSE)))),
0)</f>
        <v>0</v>
      </c>
      <c r="AK38" s="96">
        <f t="array" ref="AK38">IFERROR(
AVERAGE(IF(DATOS_[Sexo]=$B38,IF(DATOS_[AGRUP. CLAS. PROF.]=$B36,IF(DATOS_[Check Periodo Ref.]="Dentro",DATOS_[TOTAL SALARIO Ef],FALSE)))),
0)</f>
        <v>0</v>
      </c>
      <c r="AL38" s="95">
        <f t="array" ref="AL38">IFERROR(
AVERAGE((IF(DATOS_[[Sexo]:[Sexo]]=$B38,IF(DATOS_[[AGRUP. CLAS. PROF.]:[AGRUP. CLAS. PROF.]]=$B36,IF(DATOS_[[Check Periodo Ref.]:[Check Periodo Ref.]]="Dentro",DATOS_[C.Extra.01]))))),
0)</f>
        <v>0</v>
      </c>
      <c r="AM38" s="95">
        <f t="array" ref="AM38">IFERROR(
AVERAGE((IF(DATOS_[[Sexo]:[Sexo]]=$B38,IF(DATOS_[[AGRUP. CLAS. PROF.]:[AGRUP. CLAS. PROF.]]=$B36,IF(DATOS_[[Check Periodo Ref.]:[Check Periodo Ref.]]="Dentro",DATOS_[C.Extra.02]))))),
0)</f>
        <v>0</v>
      </c>
      <c r="AN38" s="95">
        <f t="array" ref="AN38">IFERROR(
AVERAGE((IF(DATOS_[[Sexo]:[Sexo]]=$B38,IF(DATOS_[[AGRUP. CLAS. PROF.]:[AGRUP. CLAS. PROF.]]=$B36,IF(DATOS_[[Check Periodo Ref.]:[Check Periodo Ref.]]="Dentro",DATOS_[C.Extra.03]))))),
0)</f>
        <v>0</v>
      </c>
      <c r="AO38" s="95">
        <f t="array" ref="AO38">IFERROR(
AVERAGE((IF(DATOS_[[Sexo]:[Sexo]]=$B38,IF(DATOS_[[AGRUP. CLAS. PROF.]:[AGRUP. CLAS. PROF.]]=$B36,IF(DATOS_[[Check Periodo Ref.]:[Check Periodo Ref.]]="Dentro",DATOS_[C.Extra.04]))))),
0)</f>
        <v>0</v>
      </c>
      <c r="AP38" s="95">
        <f t="array" ref="AP38">IFERROR(
AVERAGE((IF(DATOS_[[Sexo]:[Sexo]]=$B38,IF(DATOS_[[AGRUP. CLAS. PROF.]:[AGRUP. CLAS. PROF.]]=$B36,IF(DATOS_[[Check Periodo Ref.]:[Check Periodo Ref.]]="Dentro",DATOS_[C.Extra.05]))))),
0)</f>
        <v>0</v>
      </c>
      <c r="AQ38" s="97">
        <f t="array" ref="AQ38">IFERROR(
AVERAGE(IF(DATOS_[Sexo]=$B38,IF(DATOS_[AGRUP. CLAS. PROF.]=$B36,IF(DATOS_[Check Periodo Ref.]="Dentro",DATOS_[Tot Extrasalarial Ef],FALSE)))),
0)</f>
        <v>0</v>
      </c>
      <c r="AR38" s="98">
        <f t="array" ref="AR38">IFERROR(
AVERAGE(IF(DATOS_[Sexo]=$B38,IF(DATOS_[AGRUP. CLAS. PROF.]=$B36,IF(DATOS_[Check Periodo Ref.]="Dentro",DATOS_[TOTAL Retrib Ef],FALSE)))),
0)</f>
        <v>0</v>
      </c>
    </row>
    <row r="39" spans="1:44" ht="17.25" hidden="1" thickBot="1" x14ac:dyDescent="0.35">
      <c r="A39" s="309" t="str">
        <f t="shared" ref="A39" si="35">+A40</f>
        <v>[ocultar]</v>
      </c>
      <c r="B39" s="51" t="s">
        <v>315</v>
      </c>
      <c r="C39" s="91"/>
      <c r="D39" s="52"/>
      <c r="E39" s="139" t="str">
        <f t="shared" ref="E39:AR39" si="36">IFERROR((E40-E41)/E40,"")</f>
        <v/>
      </c>
      <c r="F39" s="310" t="str">
        <f t="shared" si="36"/>
        <v/>
      </c>
      <c r="G39" s="180" t="str">
        <f t="shared" si="36"/>
        <v/>
      </c>
      <c r="H39" s="180" t="str">
        <f t="shared" si="36"/>
        <v/>
      </c>
      <c r="I39" s="180" t="str">
        <f t="shared" si="36"/>
        <v/>
      </c>
      <c r="J39" s="181" t="str">
        <f t="shared" si="36"/>
        <v/>
      </c>
      <c r="K39" s="182" t="str">
        <f t="shared" si="36"/>
        <v/>
      </c>
      <c r="L39" s="182" t="str">
        <f t="shared" si="36"/>
        <v/>
      </c>
      <c r="M39" s="182" t="str">
        <f t="shared" si="36"/>
        <v/>
      </c>
      <c r="N39" s="182" t="str">
        <f t="shared" si="36"/>
        <v/>
      </c>
      <c r="O39" s="182" t="str">
        <f t="shared" si="36"/>
        <v/>
      </c>
      <c r="P39" s="182" t="str">
        <f t="shared" si="36"/>
        <v/>
      </c>
      <c r="Q39" s="182" t="str">
        <f t="shared" si="36"/>
        <v/>
      </c>
      <c r="R39" s="182" t="str">
        <f t="shared" si="36"/>
        <v/>
      </c>
      <c r="S39" s="182" t="str">
        <f t="shared" si="36"/>
        <v/>
      </c>
      <c r="T39" s="182" t="str">
        <f t="shared" si="36"/>
        <v/>
      </c>
      <c r="U39" s="182" t="str">
        <f t="shared" si="36"/>
        <v/>
      </c>
      <c r="V39" s="181" t="str">
        <f t="shared" si="36"/>
        <v/>
      </c>
      <c r="W39" s="181" t="str">
        <f t="shared" si="36"/>
        <v/>
      </c>
      <c r="X39" s="181" t="str">
        <f t="shared" si="36"/>
        <v/>
      </c>
      <c r="Y39" s="181" t="str">
        <f t="shared" si="36"/>
        <v/>
      </c>
      <c r="Z39" s="181" t="str">
        <f t="shared" si="36"/>
        <v/>
      </c>
      <c r="AA39" s="181" t="str">
        <f t="shared" si="36"/>
        <v/>
      </c>
      <c r="AB39" s="181" t="str">
        <f t="shared" si="36"/>
        <v/>
      </c>
      <c r="AC39" s="181" t="str">
        <f t="shared" si="36"/>
        <v/>
      </c>
      <c r="AD39" s="181" t="str">
        <f t="shared" si="36"/>
        <v/>
      </c>
      <c r="AE39" s="181" t="str">
        <f t="shared" si="36"/>
        <v/>
      </c>
      <c r="AF39" s="181" t="str">
        <f t="shared" si="36"/>
        <v/>
      </c>
      <c r="AG39" s="181" t="str">
        <f t="shared" si="36"/>
        <v/>
      </c>
      <c r="AH39" s="181" t="str">
        <f t="shared" si="36"/>
        <v/>
      </c>
      <c r="AI39" s="181" t="str">
        <f t="shared" si="36"/>
        <v/>
      </c>
      <c r="AJ39" s="140" t="str">
        <f t="shared" si="36"/>
        <v/>
      </c>
      <c r="AK39" s="143" t="str">
        <f t="shared" si="36"/>
        <v/>
      </c>
      <c r="AL39" s="184" t="str">
        <f t="shared" si="36"/>
        <v/>
      </c>
      <c r="AM39" s="184" t="str">
        <f t="shared" si="36"/>
        <v/>
      </c>
      <c r="AN39" s="184" t="str">
        <f t="shared" si="36"/>
        <v/>
      </c>
      <c r="AO39" s="184" t="str">
        <f t="shared" si="36"/>
        <v/>
      </c>
      <c r="AP39" s="184" t="str">
        <f t="shared" si="36"/>
        <v/>
      </c>
      <c r="AQ39" s="141" t="str">
        <f t="shared" si="36"/>
        <v/>
      </c>
      <c r="AR39" s="142" t="str">
        <f t="shared" si="36"/>
        <v/>
      </c>
    </row>
    <row r="40" spans="1:44" hidden="1" x14ac:dyDescent="0.3">
      <c r="A40" s="309" t="str">
        <f t="shared" ref="A40" si="37">+IF(C40+C41=0,"[ocultar]","")</f>
        <v>[ocultar]</v>
      </c>
      <c r="B40" s="46" t="s">
        <v>162</v>
      </c>
      <c r="C40" s="45">
        <f t="array" ref="C40">SUM(IF($B40=DATOS_[Sexo],
IF($B39=DATOS_[AGRUP. CLAS. PROF.],
IF("Dentro"=DATOS_[Check Periodo Ref.],
1/(COUNTIFS(DATOS_[Sexo],$B40,DATOS_[AGRUP. CLAS. PROF.],$B39,DATOS_[Check Periodo Ref.],"Dentro",DATOS_[id],DATOS_[id]))))))</f>
        <v>0</v>
      </c>
      <c r="D40" s="47">
        <f>COUNTIFS(DATOS_[AGRUP. CLAS. PROF.],$B39,DATOS_[Sexo],$B40,DATOS_[Check Periodo Ref.],"Dentro")</f>
        <v>0</v>
      </c>
      <c r="E40" s="92">
        <f t="array" ref="E40">IFERROR(
AVERAGE(IF(DATOS_[Sexo]=$B40,IF(DATOS_[AGRUP. CLAS. PROF.]=$B39,IF(DATOS_[Check Periodo Ref.]="Dentro",DATOS_[SALARIO BASE Ef],FALSE)))),
0)</f>
        <v>0</v>
      </c>
      <c r="F40" s="93">
        <f t="array" ref="F40">IFERROR(
AVERAGE((IF(DATOS_[[Sexo]:[Sexo]]=$B40,IF(DATOS_[[AGRUP. CLAS. PROF.]:[AGRUP. CLAS. PROF.]]=$B39,IF(DATOS_[[Check Periodo Ref.]:[Check Periodo Ref.]]="Dentro",DATOS_[Conc.Sal.01]))))),
0)</f>
        <v>0</v>
      </c>
      <c r="G40" s="93">
        <f t="array" ref="G40">IFERROR(
AVERAGE((IF(DATOS_[[Sexo]:[Sexo]]=$B40,IF(DATOS_[[AGRUP. CLAS. PROF.]:[AGRUP. CLAS. PROF.]]=$B39,IF(DATOS_[[Check Periodo Ref.]:[Check Periodo Ref.]]="Dentro",DATOS_[Conc.Sal.02]))))),
0)</f>
        <v>0</v>
      </c>
      <c r="H40" s="93">
        <f t="array" ref="H40">IFERROR(
AVERAGE((IF(DATOS_[[Sexo]:[Sexo]]=$B40,IF(DATOS_[[AGRUP. CLAS. PROF.]:[AGRUP. CLAS. PROF.]]=$B39,IF(DATOS_[[Check Periodo Ref.]:[Check Periodo Ref.]]="Dentro",DATOS_[Conc.Sal.03]))))),
0)</f>
        <v>0</v>
      </c>
      <c r="I40" s="93">
        <f t="array" ref="I40">IFERROR(
AVERAGE((IF(DATOS_[[Sexo]:[Sexo]]=$B40,IF(DATOS_[[AGRUP. CLAS. PROF.]:[AGRUP. CLAS. PROF.]]=$B39,IF(DATOS_[[Check Periodo Ref.]:[Check Periodo Ref.]]="Dentro",DATOS_[Conc.Sal.04]))))),
0)</f>
        <v>0</v>
      </c>
      <c r="J40" s="93">
        <f t="array" ref="J40">IFERROR(
AVERAGE((IF(DATOS_[[Sexo]:[Sexo]]=$B40,IF(DATOS_[[AGRUP. CLAS. PROF.]:[AGRUP. CLAS. PROF.]]=$B39,IF(DATOS_[[Check Periodo Ref.]:[Check Periodo Ref.]]="Dentro",DATOS_[Conc.Sal.05]))))),
0)</f>
        <v>0</v>
      </c>
      <c r="K40" s="93">
        <f t="array" ref="K40">IFERROR(
AVERAGE((IF(DATOS_[[Sexo]:[Sexo]]=$B40,IF(DATOS_[[AGRUP. CLAS. PROF.]:[AGRUP. CLAS. PROF.]]=$B39,IF(DATOS_[[Check Periodo Ref.]:[Check Periodo Ref.]]="Dentro",DATOS_[Conc.Sal.06]))))),
0)</f>
        <v>0</v>
      </c>
      <c r="L40" s="93">
        <f t="array" ref="L40">IFERROR(
AVERAGE((IF(DATOS_[[Sexo]:[Sexo]]=$B40,IF(DATOS_[[AGRUP. CLAS. PROF.]:[AGRUP. CLAS. PROF.]]=$B39,IF(DATOS_[[Check Periodo Ref.]:[Check Periodo Ref.]]="Dentro",DATOS_[Conc.Sal.07]))))),
0)</f>
        <v>0</v>
      </c>
      <c r="M40" s="93">
        <f t="array" ref="M40">IFERROR(
AVERAGE((IF(DATOS_[[Sexo]:[Sexo]]=$B40,IF(DATOS_[[AGRUP. CLAS. PROF.]:[AGRUP. CLAS. PROF.]]=$B39,IF(DATOS_[[Check Periodo Ref.]:[Check Periodo Ref.]]="Dentro",DATOS_[Conc.Sal.08]))))),
0)</f>
        <v>0</v>
      </c>
      <c r="N40" s="93">
        <f t="array" ref="N40">IFERROR(
AVERAGE((IF(DATOS_[[Sexo]:[Sexo]]=$B40,IF(DATOS_[[AGRUP. CLAS. PROF.]:[AGRUP. CLAS. PROF.]]=$B39,IF(DATOS_[[Check Periodo Ref.]:[Check Periodo Ref.]]="Dentro",DATOS_[Conc.Sal.09]))))),
0)</f>
        <v>0</v>
      </c>
      <c r="O40" s="93">
        <f t="array" ref="O40">IFERROR(
AVERAGE((IF(DATOS_[[Sexo]:[Sexo]]=$B40,IF(DATOS_[[AGRUP. CLAS. PROF.]:[AGRUP. CLAS. PROF.]]=$B39,IF(DATOS_[[Check Periodo Ref.]:[Check Periodo Ref.]]="Dentro",DATOS_[Conc.Sal.10]))))),
0)</f>
        <v>0</v>
      </c>
      <c r="P40" s="93">
        <f t="array" ref="P40">IFERROR(
AVERAGE((IF(DATOS_[[Sexo]:[Sexo]]=$B40,IF(DATOS_[[AGRUP. CLAS. PROF.]:[AGRUP. CLAS. PROF.]]=$B39,IF(DATOS_[[Check Periodo Ref.]:[Check Periodo Ref.]]="Dentro",DATOS_[Conc.Sal.11]))))),
0)</f>
        <v>0</v>
      </c>
      <c r="Q40" s="93">
        <f t="array" ref="Q40">IFERROR(
AVERAGE((IF(DATOS_[[Sexo]:[Sexo]]=$B40,IF(DATOS_[[AGRUP. CLAS. PROF.]:[AGRUP. CLAS. PROF.]]=$B39,IF(DATOS_[[Check Periodo Ref.]:[Check Periodo Ref.]]="Dentro",DATOS_[Conc.Sal.12]))))),
0)</f>
        <v>0</v>
      </c>
      <c r="R40" s="93">
        <f t="array" ref="R40">IFERROR(
AVERAGE((IF(DATOS_[[Sexo]:[Sexo]]=$B40,IF(DATOS_[[AGRUP. CLAS. PROF.]:[AGRUP. CLAS. PROF.]]=$B39,IF(DATOS_[[Check Periodo Ref.]:[Check Periodo Ref.]]="Dentro",DATOS_[Conc.Sal.13]))))),
0)</f>
        <v>0</v>
      </c>
      <c r="S40" s="93">
        <f t="array" ref="S40">IFERROR(
AVERAGE((IF(DATOS_[[Sexo]:[Sexo]]=$B40,IF(DATOS_[[AGRUP. CLAS. PROF.]:[AGRUP. CLAS. PROF.]]=$B39,IF(DATOS_[[Check Periodo Ref.]:[Check Periodo Ref.]]="Dentro",DATOS_[Conc.Sal.14]))))),
0)</f>
        <v>0</v>
      </c>
      <c r="T40" s="93">
        <f t="array" ref="T40">IFERROR(
AVERAGE((IF(DATOS_[[Sexo]:[Sexo]]=$B40,IF(DATOS_[[AGRUP. CLAS. PROF.]:[AGRUP. CLAS. PROF.]]=$B39,IF(DATOS_[[Check Periodo Ref.]:[Check Periodo Ref.]]="Dentro",DATOS_[Conc.Sal.15]))))),
0)</f>
        <v>0</v>
      </c>
      <c r="U40" s="93">
        <f t="array" ref="U40">IFERROR(
AVERAGE((IF(DATOS_[[Sexo]:[Sexo]]=$B40,IF(DATOS_[[AGRUP. CLAS. PROF.]:[AGRUP. CLAS. PROF.]]=$B39,IF(DATOS_[[Check Periodo Ref.]:[Check Periodo Ref.]]="Dentro",DATOS_[Conc.Sal.16]))))),
0)</f>
        <v>0</v>
      </c>
      <c r="V40" s="93">
        <f t="array" ref="V40">IFERROR(
AVERAGE((IF(DATOS_[[Sexo]:[Sexo]]=$B40,IF(DATOS_[[AGRUP. CLAS. PROF.]:[AGRUP. CLAS. PROF.]]=$B39,IF(DATOS_[[Check Periodo Ref.]:[Check Periodo Ref.]]="Dentro",DATOS_[Conc.Sal.17]))))),
0)</f>
        <v>0</v>
      </c>
      <c r="W40" s="93">
        <f t="array" ref="W40">IFERROR(
AVERAGE((IF(DATOS_[[Sexo]:[Sexo]]=$B40,IF(DATOS_[[AGRUP. CLAS. PROF.]:[AGRUP. CLAS. PROF.]]=$B39,IF(DATOS_[[Check Periodo Ref.]:[Check Periodo Ref.]]="Dentro",DATOS_[Conc.Sal.18]))))),
0)</f>
        <v>0</v>
      </c>
      <c r="X40" s="93">
        <f t="array" ref="X40">IFERROR(
AVERAGE((IF(DATOS_[[Sexo]:[Sexo]]=$B40,IF(DATOS_[[AGRUP. CLAS. PROF.]:[AGRUP. CLAS. PROF.]]=$B39,IF(DATOS_[[Check Periodo Ref.]:[Check Periodo Ref.]]="Dentro",DATOS_[Conc.Sal.19]))))),
0)</f>
        <v>0</v>
      </c>
      <c r="Y40" s="93">
        <f t="array" ref="Y40">IFERROR(
AVERAGE((IF(DATOS_[[Sexo]:[Sexo]]=$B40,IF(DATOS_[[AGRUP. CLAS. PROF.]:[AGRUP. CLAS. PROF.]]=$B39,IF(DATOS_[[Check Periodo Ref.]:[Check Periodo Ref.]]="Dentro",DATOS_[Conc.Sal.20]))))),
0)</f>
        <v>0</v>
      </c>
      <c r="Z40" s="93">
        <f t="array" ref="Z40">IFERROR(
AVERAGE((IF(DATOS_[[Sexo]:[Sexo]]=$B40,IF(DATOS_[[AGRUP. CLAS. PROF.]:[AGRUP. CLAS. PROF.]]=$B39,IF(DATOS_[[Check Periodo Ref.]:[Check Periodo Ref.]]="Dentro",DATOS_[Conc.Sal.21]))))),
0)</f>
        <v>0</v>
      </c>
      <c r="AA40" s="93">
        <f t="array" ref="AA40">IFERROR(
AVERAGE((IF(DATOS_[[Sexo]:[Sexo]]=$B40,IF(DATOS_[[AGRUP. CLAS. PROF.]:[AGRUP. CLAS. PROF.]]=$B39,IF(DATOS_[[Check Periodo Ref.]:[Check Periodo Ref.]]="Dentro",DATOS_[Conc.Sal.22]))))),
0)</f>
        <v>0</v>
      </c>
      <c r="AB40" s="93">
        <f t="array" ref="AB40">IFERROR(
AVERAGE((IF(DATOS_[[Sexo]:[Sexo]]=$B40,IF(DATOS_[[AGRUP. CLAS. PROF.]:[AGRUP. CLAS. PROF.]]=$B39,IF(DATOS_[[Check Periodo Ref.]:[Check Periodo Ref.]]="Dentro",DATOS_[Conc.Sal.23]))))),
0)</f>
        <v>0</v>
      </c>
      <c r="AC40" s="93">
        <f t="array" ref="AC40">IFERROR(
AVERAGE((IF(DATOS_[[Sexo]:[Sexo]]=$B40,IF(DATOS_[[AGRUP. CLAS. PROF.]:[AGRUP. CLAS. PROF.]]=$B39,IF(DATOS_[[Check Periodo Ref.]:[Check Periodo Ref.]]="Dentro",DATOS_[Conc.Sal.24]))))),
0)</f>
        <v>0</v>
      </c>
      <c r="AD40" s="93">
        <f t="array" ref="AD40">IFERROR(
AVERAGE((IF(DATOS_[[Sexo]:[Sexo]]=$B40,IF(DATOS_[[AGRUP. CLAS. PROF.]:[AGRUP. CLAS. PROF.]]=$B39,IF(DATOS_[[Check Periodo Ref.]:[Check Periodo Ref.]]="Dentro",DATOS_[Conc.Sal.25]))))),
0)</f>
        <v>0</v>
      </c>
      <c r="AE40" s="93">
        <f t="array" ref="AE40">IFERROR(
AVERAGE((IF(DATOS_[[Sexo]:[Sexo]]=$B40,IF(DATOS_[[AGRUP. CLAS. PROF.]:[AGRUP. CLAS. PROF.]]=$B39,IF(DATOS_[[Check Periodo Ref.]:[Check Periodo Ref.]]="Dentro",DATOS_[Conc.Sal.26]))))),
0)</f>
        <v>0</v>
      </c>
      <c r="AF40" s="93">
        <f t="array" ref="AF40">IFERROR(
AVERAGE((IF(DATOS_[[Sexo]:[Sexo]]=$B40,IF(DATOS_[[AGRUP. CLAS. PROF.]:[AGRUP. CLAS. PROF.]]=$B39,IF(DATOS_[[Check Periodo Ref.]:[Check Periodo Ref.]]="Dentro",DATOS_[Conc.Sal.27]))))),
0)</f>
        <v>0</v>
      </c>
      <c r="AG40" s="93">
        <f t="array" ref="AG40">IFERROR(
AVERAGE((IF(DATOS_[[Sexo]:[Sexo]]=$B40,IF(DATOS_[[AGRUP. CLAS. PROF.]:[AGRUP. CLAS. PROF.]]=$B39,IF(DATOS_[[Check Periodo Ref.]:[Check Periodo Ref.]]="Dentro",DATOS_[Conc.Sal.28]))))),
0)</f>
        <v>0</v>
      </c>
      <c r="AH40" s="93">
        <f t="array" ref="AH40">IFERROR(
AVERAGE((IF(DATOS_[[Sexo]:[Sexo]]=$B40,IF(DATOS_[[AGRUP. CLAS. PROF.]:[AGRUP. CLAS. PROF.]]=$B39,IF(DATOS_[[Check Periodo Ref.]:[Check Periodo Ref.]]="Dentro",DATOS_[Conc.Sal.29]))))),
0)</f>
        <v>0</v>
      </c>
      <c r="AI40" s="93">
        <f t="array" ref="AI40">IFERROR(
AVERAGE((IF(DATOS_[[Sexo]:[Sexo]]=$B40,IF(DATOS_[[AGRUP. CLAS. PROF.]:[AGRUP. CLAS. PROF.]]=$B39,IF(DATOS_[[Check Periodo Ref.]:[Check Periodo Ref.]]="Dentro",DATOS_[Conc.Sal.30]))))),
0)</f>
        <v>0</v>
      </c>
      <c r="AJ40" s="94">
        <f t="array" ref="AJ40">IFERROR(
AVERAGE(IF(DATOS_[Sexo]=$B40,IF(DATOS_[AGRUP. CLAS. PROF.]=$B39,IF(DATOS_[Check Periodo Ref.]="Dentro",DATOS_[Tot COMPL.SAL Ef],FALSE)))),
0)</f>
        <v>0</v>
      </c>
      <c r="AK40" s="96">
        <f t="array" ref="AK40">IFERROR(
AVERAGE(IF(DATOS_[Sexo]=$B40,IF(DATOS_[AGRUP. CLAS. PROF.]=$B39,IF(DATOS_[Check Periodo Ref.]="Dentro",DATOS_[TOTAL SALARIO Ef],FALSE)))),
0)</f>
        <v>0</v>
      </c>
      <c r="AL40" s="95">
        <f t="array" ref="AL40">IFERROR(
AVERAGE((IF(DATOS_[[Sexo]:[Sexo]]=$B40,IF(DATOS_[[AGRUP. CLAS. PROF.]:[AGRUP. CLAS. PROF.]]=$B39,IF(DATOS_[[Check Periodo Ref.]:[Check Periodo Ref.]]="Dentro",DATOS_[C.Extra.01]))))),
0)</f>
        <v>0</v>
      </c>
      <c r="AM40" s="95">
        <f t="array" ref="AM40">IFERROR(
AVERAGE((IF(DATOS_[[Sexo]:[Sexo]]=$B40,IF(DATOS_[[AGRUP. CLAS. PROF.]:[AGRUP. CLAS. PROF.]]=$B39,IF(DATOS_[[Check Periodo Ref.]:[Check Periodo Ref.]]="Dentro",DATOS_[C.Extra.02]))))),
0)</f>
        <v>0</v>
      </c>
      <c r="AN40" s="95">
        <f t="array" ref="AN40">IFERROR(
AVERAGE((IF(DATOS_[[Sexo]:[Sexo]]=$B40,IF(DATOS_[[AGRUP. CLAS. PROF.]:[AGRUP. CLAS. PROF.]]=$B39,IF(DATOS_[[Check Periodo Ref.]:[Check Periodo Ref.]]="Dentro",DATOS_[C.Extra.03]))))),
0)</f>
        <v>0</v>
      </c>
      <c r="AO40" s="95">
        <f t="array" ref="AO40">IFERROR(
AVERAGE((IF(DATOS_[[Sexo]:[Sexo]]=$B40,IF(DATOS_[[AGRUP. CLAS. PROF.]:[AGRUP. CLAS. PROF.]]=$B39,IF(DATOS_[[Check Periodo Ref.]:[Check Periodo Ref.]]="Dentro",DATOS_[C.Extra.04]))))),
0)</f>
        <v>0</v>
      </c>
      <c r="AP40" s="95">
        <f t="array" ref="AP40">IFERROR(
AVERAGE((IF(DATOS_[[Sexo]:[Sexo]]=$B40,IF(DATOS_[[AGRUP. CLAS. PROF.]:[AGRUP. CLAS. PROF.]]=$B39,IF(DATOS_[[Check Periodo Ref.]:[Check Periodo Ref.]]="Dentro",DATOS_[C.Extra.05]))))),
0)</f>
        <v>0</v>
      </c>
      <c r="AQ40" s="97">
        <f t="array" ref="AQ40">IFERROR(
AVERAGE(IF(DATOS_[Sexo]=$B40,IF(DATOS_[AGRUP. CLAS. PROF.]=$B39,IF(DATOS_[Check Periodo Ref.]="Dentro",DATOS_[Tot Extrasalarial Ef],FALSE)))),
0)</f>
        <v>0</v>
      </c>
      <c r="AR40" s="98">
        <f t="array" ref="AR40">IFERROR(
AVERAGE(IF(DATOS_[Sexo]=$B40,IF(DATOS_[AGRUP. CLAS. PROF.]=$B39,IF(DATOS_[Check Periodo Ref.]="Dentro",DATOS_[TOTAL Retrib Ef],FALSE)))),
0)</f>
        <v>0</v>
      </c>
    </row>
    <row r="41" spans="1:44" hidden="1" x14ac:dyDescent="0.3">
      <c r="A41" s="309" t="str">
        <f t="shared" ref="A41" si="38">+A40</f>
        <v>[ocultar]</v>
      </c>
      <c r="B41" s="46" t="s">
        <v>163</v>
      </c>
      <c r="C41" s="45">
        <f t="array" ref="C41">SUM(IF($B41=DATOS_[Sexo],
IF($B39=DATOS_[AGRUP. CLAS. PROF.],
IF("Dentro"=DATOS_[Check Periodo Ref.],
1/(COUNTIFS(DATOS_[Sexo],$B41,DATOS_[AGRUP. CLAS. PROF.],$B39,DATOS_[Check Periodo Ref.],"Dentro",DATOS_[id],DATOS_[id]))))))</f>
        <v>0</v>
      </c>
      <c r="D41" s="47">
        <f>COUNTIFS(DATOS_[AGRUP. CLAS. PROF.],$B39,DATOS_[Sexo],$B41,DATOS_[Check Periodo Ref.],"Dentro")</f>
        <v>0</v>
      </c>
      <c r="E41" s="92">
        <f t="array" ref="E41">IFERROR(
AVERAGE(IF(DATOS_[Sexo]=$B41,IF(DATOS_[AGRUP. CLAS. PROF.]=$B39,IF(DATOS_[Check Periodo Ref.]="Dentro",DATOS_[SALARIO BASE Ef],FALSE)))),
0)</f>
        <v>0</v>
      </c>
      <c r="F41" s="93">
        <f t="array" ref="F41">IFERROR(
AVERAGE((IF(DATOS_[[Sexo]:[Sexo]]=$B41,IF(DATOS_[[AGRUP. CLAS. PROF.]:[AGRUP. CLAS. PROF.]]=$B39,IF(DATOS_[[Check Periodo Ref.]:[Check Periodo Ref.]]="Dentro",DATOS_[Conc.Sal.01]))))),
0)</f>
        <v>0</v>
      </c>
      <c r="G41" s="93">
        <f t="array" ref="G41">IFERROR(
AVERAGE((IF(DATOS_[[Sexo]:[Sexo]]=$B41,IF(DATOS_[[AGRUP. CLAS. PROF.]:[AGRUP. CLAS. PROF.]]=$B39,IF(DATOS_[[Check Periodo Ref.]:[Check Periodo Ref.]]="Dentro",DATOS_[Conc.Sal.02]))))),
0)</f>
        <v>0</v>
      </c>
      <c r="H41" s="93">
        <f t="array" ref="H41">IFERROR(
AVERAGE((IF(DATOS_[[Sexo]:[Sexo]]=$B41,IF(DATOS_[[AGRUP. CLAS. PROF.]:[AGRUP. CLAS. PROF.]]=$B39,IF(DATOS_[[Check Periodo Ref.]:[Check Periodo Ref.]]="Dentro",DATOS_[Conc.Sal.03]))))),
0)</f>
        <v>0</v>
      </c>
      <c r="I41" s="93">
        <f t="array" ref="I41">IFERROR(
AVERAGE((IF(DATOS_[[Sexo]:[Sexo]]=$B41,IF(DATOS_[[AGRUP. CLAS. PROF.]:[AGRUP. CLAS. PROF.]]=$B39,IF(DATOS_[[Check Periodo Ref.]:[Check Periodo Ref.]]="Dentro",DATOS_[Conc.Sal.04]))))),
0)</f>
        <v>0</v>
      </c>
      <c r="J41" s="93">
        <f t="array" ref="J41">IFERROR(
AVERAGE((IF(DATOS_[[Sexo]:[Sexo]]=$B41,IF(DATOS_[[AGRUP. CLAS. PROF.]:[AGRUP. CLAS. PROF.]]=$B39,IF(DATOS_[[Check Periodo Ref.]:[Check Periodo Ref.]]="Dentro",DATOS_[Conc.Sal.05]))))),
0)</f>
        <v>0</v>
      </c>
      <c r="K41" s="93">
        <f t="array" ref="K41">IFERROR(
AVERAGE((IF(DATOS_[[Sexo]:[Sexo]]=$B41,IF(DATOS_[[AGRUP. CLAS. PROF.]:[AGRUP. CLAS. PROF.]]=$B39,IF(DATOS_[[Check Periodo Ref.]:[Check Periodo Ref.]]="Dentro",DATOS_[Conc.Sal.06]))))),
0)</f>
        <v>0</v>
      </c>
      <c r="L41" s="93">
        <f t="array" ref="L41">IFERROR(
AVERAGE((IF(DATOS_[[Sexo]:[Sexo]]=$B41,IF(DATOS_[[AGRUP. CLAS. PROF.]:[AGRUP. CLAS. PROF.]]=$B39,IF(DATOS_[[Check Periodo Ref.]:[Check Periodo Ref.]]="Dentro",DATOS_[Conc.Sal.07]))))),
0)</f>
        <v>0</v>
      </c>
      <c r="M41" s="93">
        <f t="array" ref="M41">IFERROR(
AVERAGE((IF(DATOS_[[Sexo]:[Sexo]]=$B41,IF(DATOS_[[AGRUP. CLAS. PROF.]:[AGRUP. CLAS. PROF.]]=$B39,IF(DATOS_[[Check Periodo Ref.]:[Check Periodo Ref.]]="Dentro",DATOS_[Conc.Sal.08]))))),
0)</f>
        <v>0</v>
      </c>
      <c r="N41" s="93">
        <f t="array" ref="N41">IFERROR(
AVERAGE((IF(DATOS_[[Sexo]:[Sexo]]=$B41,IF(DATOS_[[AGRUP. CLAS. PROF.]:[AGRUP. CLAS. PROF.]]=$B39,IF(DATOS_[[Check Periodo Ref.]:[Check Periodo Ref.]]="Dentro",DATOS_[Conc.Sal.09]))))),
0)</f>
        <v>0</v>
      </c>
      <c r="O41" s="93">
        <f t="array" ref="O41">IFERROR(
AVERAGE((IF(DATOS_[[Sexo]:[Sexo]]=$B41,IF(DATOS_[[AGRUP. CLAS. PROF.]:[AGRUP. CLAS. PROF.]]=$B39,IF(DATOS_[[Check Periodo Ref.]:[Check Periodo Ref.]]="Dentro",DATOS_[Conc.Sal.10]))))),
0)</f>
        <v>0</v>
      </c>
      <c r="P41" s="93">
        <f t="array" ref="P41">IFERROR(
AVERAGE((IF(DATOS_[[Sexo]:[Sexo]]=$B41,IF(DATOS_[[AGRUP. CLAS. PROF.]:[AGRUP. CLAS. PROF.]]=$B39,IF(DATOS_[[Check Periodo Ref.]:[Check Periodo Ref.]]="Dentro",DATOS_[Conc.Sal.11]))))),
0)</f>
        <v>0</v>
      </c>
      <c r="Q41" s="93">
        <f t="array" ref="Q41">IFERROR(
AVERAGE((IF(DATOS_[[Sexo]:[Sexo]]=$B41,IF(DATOS_[[AGRUP. CLAS. PROF.]:[AGRUP. CLAS. PROF.]]=$B39,IF(DATOS_[[Check Periodo Ref.]:[Check Periodo Ref.]]="Dentro",DATOS_[Conc.Sal.12]))))),
0)</f>
        <v>0</v>
      </c>
      <c r="R41" s="93">
        <f t="array" ref="R41">IFERROR(
AVERAGE((IF(DATOS_[[Sexo]:[Sexo]]=$B41,IF(DATOS_[[AGRUP. CLAS. PROF.]:[AGRUP. CLAS. PROF.]]=$B39,IF(DATOS_[[Check Periodo Ref.]:[Check Periodo Ref.]]="Dentro",DATOS_[Conc.Sal.13]))))),
0)</f>
        <v>0</v>
      </c>
      <c r="S41" s="93">
        <f t="array" ref="S41">IFERROR(
AVERAGE((IF(DATOS_[[Sexo]:[Sexo]]=$B41,IF(DATOS_[[AGRUP. CLAS. PROF.]:[AGRUP. CLAS. PROF.]]=$B39,IF(DATOS_[[Check Periodo Ref.]:[Check Periodo Ref.]]="Dentro",DATOS_[Conc.Sal.14]))))),
0)</f>
        <v>0</v>
      </c>
      <c r="T41" s="93">
        <f t="array" ref="T41">IFERROR(
AVERAGE((IF(DATOS_[[Sexo]:[Sexo]]=$B41,IF(DATOS_[[AGRUP. CLAS. PROF.]:[AGRUP. CLAS. PROF.]]=$B39,IF(DATOS_[[Check Periodo Ref.]:[Check Periodo Ref.]]="Dentro",DATOS_[Conc.Sal.15]))))),
0)</f>
        <v>0</v>
      </c>
      <c r="U41" s="93">
        <f t="array" ref="U41">IFERROR(
AVERAGE((IF(DATOS_[[Sexo]:[Sexo]]=$B41,IF(DATOS_[[AGRUP. CLAS. PROF.]:[AGRUP. CLAS. PROF.]]=$B39,IF(DATOS_[[Check Periodo Ref.]:[Check Periodo Ref.]]="Dentro",DATOS_[Conc.Sal.16]))))),
0)</f>
        <v>0</v>
      </c>
      <c r="V41" s="93">
        <f t="array" ref="V41">IFERROR(
AVERAGE((IF(DATOS_[[Sexo]:[Sexo]]=$B41,IF(DATOS_[[AGRUP. CLAS. PROF.]:[AGRUP. CLAS. PROF.]]=$B39,IF(DATOS_[[Check Periodo Ref.]:[Check Periodo Ref.]]="Dentro",DATOS_[Conc.Sal.17]))))),
0)</f>
        <v>0</v>
      </c>
      <c r="W41" s="93">
        <f t="array" ref="W41">IFERROR(
AVERAGE((IF(DATOS_[[Sexo]:[Sexo]]=$B41,IF(DATOS_[[AGRUP. CLAS. PROF.]:[AGRUP. CLAS. PROF.]]=$B39,IF(DATOS_[[Check Periodo Ref.]:[Check Periodo Ref.]]="Dentro",DATOS_[Conc.Sal.18]))))),
0)</f>
        <v>0</v>
      </c>
      <c r="X41" s="93">
        <f t="array" ref="X41">IFERROR(
AVERAGE((IF(DATOS_[[Sexo]:[Sexo]]=$B41,IF(DATOS_[[AGRUP. CLAS. PROF.]:[AGRUP. CLAS. PROF.]]=$B39,IF(DATOS_[[Check Periodo Ref.]:[Check Periodo Ref.]]="Dentro",DATOS_[Conc.Sal.19]))))),
0)</f>
        <v>0</v>
      </c>
      <c r="Y41" s="93">
        <f t="array" ref="Y41">IFERROR(
AVERAGE((IF(DATOS_[[Sexo]:[Sexo]]=$B41,IF(DATOS_[[AGRUP. CLAS. PROF.]:[AGRUP. CLAS. PROF.]]=$B39,IF(DATOS_[[Check Periodo Ref.]:[Check Periodo Ref.]]="Dentro",DATOS_[Conc.Sal.20]))))),
0)</f>
        <v>0</v>
      </c>
      <c r="Z41" s="93">
        <f t="array" ref="Z41">IFERROR(
AVERAGE((IF(DATOS_[[Sexo]:[Sexo]]=$B41,IF(DATOS_[[AGRUP. CLAS. PROF.]:[AGRUP. CLAS. PROF.]]=$B39,IF(DATOS_[[Check Periodo Ref.]:[Check Periodo Ref.]]="Dentro",DATOS_[Conc.Sal.21]))))),
0)</f>
        <v>0</v>
      </c>
      <c r="AA41" s="93">
        <f t="array" ref="AA41">IFERROR(
AVERAGE((IF(DATOS_[[Sexo]:[Sexo]]=$B41,IF(DATOS_[[AGRUP. CLAS. PROF.]:[AGRUP. CLAS. PROF.]]=$B39,IF(DATOS_[[Check Periodo Ref.]:[Check Periodo Ref.]]="Dentro",DATOS_[Conc.Sal.22]))))),
0)</f>
        <v>0</v>
      </c>
      <c r="AB41" s="93">
        <f t="array" ref="AB41">IFERROR(
AVERAGE((IF(DATOS_[[Sexo]:[Sexo]]=$B41,IF(DATOS_[[AGRUP. CLAS. PROF.]:[AGRUP. CLAS. PROF.]]=$B39,IF(DATOS_[[Check Periodo Ref.]:[Check Periodo Ref.]]="Dentro",DATOS_[Conc.Sal.23]))))),
0)</f>
        <v>0</v>
      </c>
      <c r="AC41" s="93">
        <f t="array" ref="AC41">IFERROR(
AVERAGE((IF(DATOS_[[Sexo]:[Sexo]]=$B41,IF(DATOS_[[AGRUP. CLAS. PROF.]:[AGRUP. CLAS. PROF.]]=$B39,IF(DATOS_[[Check Periodo Ref.]:[Check Periodo Ref.]]="Dentro",DATOS_[Conc.Sal.24]))))),
0)</f>
        <v>0</v>
      </c>
      <c r="AD41" s="93">
        <f t="array" ref="AD41">IFERROR(
AVERAGE((IF(DATOS_[[Sexo]:[Sexo]]=$B41,IF(DATOS_[[AGRUP. CLAS. PROF.]:[AGRUP. CLAS. PROF.]]=$B39,IF(DATOS_[[Check Periodo Ref.]:[Check Periodo Ref.]]="Dentro",DATOS_[Conc.Sal.25]))))),
0)</f>
        <v>0</v>
      </c>
      <c r="AE41" s="93">
        <f t="array" ref="AE41">IFERROR(
AVERAGE((IF(DATOS_[[Sexo]:[Sexo]]=$B41,IF(DATOS_[[AGRUP. CLAS. PROF.]:[AGRUP. CLAS. PROF.]]=$B39,IF(DATOS_[[Check Periodo Ref.]:[Check Periodo Ref.]]="Dentro",DATOS_[Conc.Sal.26]))))),
0)</f>
        <v>0</v>
      </c>
      <c r="AF41" s="93">
        <f t="array" ref="AF41">IFERROR(
AVERAGE((IF(DATOS_[[Sexo]:[Sexo]]=$B41,IF(DATOS_[[AGRUP. CLAS. PROF.]:[AGRUP. CLAS. PROF.]]=$B39,IF(DATOS_[[Check Periodo Ref.]:[Check Periodo Ref.]]="Dentro",DATOS_[Conc.Sal.27]))))),
0)</f>
        <v>0</v>
      </c>
      <c r="AG41" s="93">
        <f t="array" ref="AG41">IFERROR(
AVERAGE((IF(DATOS_[[Sexo]:[Sexo]]=$B41,IF(DATOS_[[AGRUP. CLAS. PROF.]:[AGRUP. CLAS. PROF.]]=$B39,IF(DATOS_[[Check Periodo Ref.]:[Check Periodo Ref.]]="Dentro",DATOS_[Conc.Sal.28]))))),
0)</f>
        <v>0</v>
      </c>
      <c r="AH41" s="93">
        <f t="array" ref="AH41">IFERROR(
AVERAGE((IF(DATOS_[[Sexo]:[Sexo]]=$B41,IF(DATOS_[[AGRUP. CLAS. PROF.]:[AGRUP. CLAS. PROF.]]=$B39,IF(DATOS_[[Check Periodo Ref.]:[Check Periodo Ref.]]="Dentro",DATOS_[Conc.Sal.29]))))),
0)</f>
        <v>0</v>
      </c>
      <c r="AI41" s="93">
        <f t="array" ref="AI41">IFERROR(
AVERAGE((IF(DATOS_[[Sexo]:[Sexo]]=$B41,IF(DATOS_[[AGRUP. CLAS. PROF.]:[AGRUP. CLAS. PROF.]]=$B39,IF(DATOS_[[Check Periodo Ref.]:[Check Periodo Ref.]]="Dentro",DATOS_[Conc.Sal.30]))))),
0)</f>
        <v>0</v>
      </c>
      <c r="AJ41" s="94">
        <f t="array" ref="AJ41">IFERROR(
AVERAGE(IF(DATOS_[Sexo]=$B41,IF(DATOS_[AGRUP. CLAS. PROF.]=$B39,IF(DATOS_[Check Periodo Ref.]="Dentro",DATOS_[Tot COMPL.SAL Ef],FALSE)))),
0)</f>
        <v>0</v>
      </c>
      <c r="AK41" s="96">
        <f t="array" ref="AK41">IFERROR(
AVERAGE(IF(DATOS_[Sexo]=$B41,IF(DATOS_[AGRUP. CLAS. PROF.]=$B39,IF(DATOS_[Check Periodo Ref.]="Dentro",DATOS_[TOTAL SALARIO Ef],FALSE)))),
0)</f>
        <v>0</v>
      </c>
      <c r="AL41" s="95">
        <f t="array" ref="AL41">IFERROR(
AVERAGE((IF(DATOS_[[Sexo]:[Sexo]]=$B41,IF(DATOS_[[AGRUP. CLAS. PROF.]:[AGRUP. CLAS. PROF.]]=$B39,IF(DATOS_[[Check Periodo Ref.]:[Check Periodo Ref.]]="Dentro",DATOS_[C.Extra.01]))))),
0)</f>
        <v>0</v>
      </c>
      <c r="AM41" s="95">
        <f t="array" ref="AM41">IFERROR(
AVERAGE((IF(DATOS_[[Sexo]:[Sexo]]=$B41,IF(DATOS_[[AGRUP. CLAS. PROF.]:[AGRUP. CLAS. PROF.]]=$B39,IF(DATOS_[[Check Periodo Ref.]:[Check Periodo Ref.]]="Dentro",DATOS_[C.Extra.02]))))),
0)</f>
        <v>0</v>
      </c>
      <c r="AN41" s="95">
        <f t="array" ref="AN41">IFERROR(
AVERAGE((IF(DATOS_[[Sexo]:[Sexo]]=$B41,IF(DATOS_[[AGRUP. CLAS. PROF.]:[AGRUP. CLAS. PROF.]]=$B39,IF(DATOS_[[Check Periodo Ref.]:[Check Periodo Ref.]]="Dentro",DATOS_[C.Extra.03]))))),
0)</f>
        <v>0</v>
      </c>
      <c r="AO41" s="95">
        <f t="array" ref="AO41">IFERROR(
AVERAGE((IF(DATOS_[[Sexo]:[Sexo]]=$B41,IF(DATOS_[[AGRUP. CLAS. PROF.]:[AGRUP. CLAS. PROF.]]=$B39,IF(DATOS_[[Check Periodo Ref.]:[Check Periodo Ref.]]="Dentro",DATOS_[C.Extra.04]))))),
0)</f>
        <v>0</v>
      </c>
      <c r="AP41" s="95">
        <f t="array" ref="AP41">IFERROR(
AVERAGE((IF(DATOS_[[Sexo]:[Sexo]]=$B41,IF(DATOS_[[AGRUP. CLAS. PROF.]:[AGRUP. CLAS. PROF.]]=$B39,IF(DATOS_[[Check Periodo Ref.]:[Check Periodo Ref.]]="Dentro",DATOS_[C.Extra.05]))))),
0)</f>
        <v>0</v>
      </c>
      <c r="AQ41" s="97">
        <f t="array" ref="AQ41">IFERROR(
AVERAGE(IF(DATOS_[Sexo]=$B41,IF(DATOS_[AGRUP. CLAS. PROF.]=$B39,IF(DATOS_[Check Periodo Ref.]="Dentro",DATOS_[Tot Extrasalarial Ef],FALSE)))),
0)</f>
        <v>0</v>
      </c>
      <c r="AR41" s="98">
        <f t="array" ref="AR41">IFERROR(
AVERAGE(IF(DATOS_[Sexo]=$B41,IF(DATOS_[AGRUP. CLAS. PROF.]=$B39,IF(DATOS_[Check Periodo Ref.]="Dentro",DATOS_[TOTAL Retrib Ef],FALSE)))),
0)</f>
        <v>0</v>
      </c>
    </row>
    <row r="42" spans="1:44" ht="17.25" hidden="1" thickBot="1" x14ac:dyDescent="0.35">
      <c r="A42" s="309" t="str">
        <f t="shared" ref="A42" si="39">+A43</f>
        <v>[ocultar]</v>
      </c>
      <c r="B42" s="51" t="s">
        <v>226</v>
      </c>
      <c r="C42" s="91"/>
      <c r="D42" s="52"/>
      <c r="E42" s="139" t="str">
        <f t="shared" ref="E42:AR42" si="40">IFERROR((E43-E44)/E43,"")</f>
        <v/>
      </c>
      <c r="F42" s="310" t="str">
        <f t="shared" si="40"/>
        <v/>
      </c>
      <c r="G42" s="180" t="str">
        <f t="shared" si="40"/>
        <v/>
      </c>
      <c r="H42" s="180" t="str">
        <f t="shared" si="40"/>
        <v/>
      </c>
      <c r="I42" s="180" t="str">
        <f t="shared" si="40"/>
        <v/>
      </c>
      <c r="J42" s="181" t="str">
        <f t="shared" si="40"/>
        <v/>
      </c>
      <c r="K42" s="182" t="str">
        <f t="shared" si="40"/>
        <v/>
      </c>
      <c r="L42" s="182" t="str">
        <f t="shared" si="40"/>
        <v/>
      </c>
      <c r="M42" s="182" t="str">
        <f t="shared" si="40"/>
        <v/>
      </c>
      <c r="N42" s="182" t="str">
        <f t="shared" si="40"/>
        <v/>
      </c>
      <c r="O42" s="182" t="str">
        <f t="shared" si="40"/>
        <v/>
      </c>
      <c r="P42" s="182" t="str">
        <f t="shared" si="40"/>
        <v/>
      </c>
      <c r="Q42" s="182" t="str">
        <f t="shared" si="40"/>
        <v/>
      </c>
      <c r="R42" s="182" t="str">
        <f t="shared" si="40"/>
        <v/>
      </c>
      <c r="S42" s="182" t="str">
        <f t="shared" si="40"/>
        <v/>
      </c>
      <c r="T42" s="182" t="str">
        <f t="shared" si="40"/>
        <v/>
      </c>
      <c r="U42" s="182" t="str">
        <f t="shared" si="40"/>
        <v/>
      </c>
      <c r="V42" s="181" t="str">
        <f t="shared" si="40"/>
        <v/>
      </c>
      <c r="W42" s="181" t="str">
        <f t="shared" si="40"/>
        <v/>
      </c>
      <c r="X42" s="181" t="str">
        <f t="shared" si="40"/>
        <v/>
      </c>
      <c r="Y42" s="181" t="str">
        <f t="shared" si="40"/>
        <v/>
      </c>
      <c r="Z42" s="181" t="str">
        <f t="shared" si="40"/>
        <v/>
      </c>
      <c r="AA42" s="181" t="str">
        <f t="shared" si="40"/>
        <v/>
      </c>
      <c r="AB42" s="181" t="str">
        <f t="shared" si="40"/>
        <v/>
      </c>
      <c r="AC42" s="181" t="str">
        <f t="shared" si="40"/>
        <v/>
      </c>
      <c r="AD42" s="181" t="str">
        <f t="shared" si="40"/>
        <v/>
      </c>
      <c r="AE42" s="181" t="str">
        <f t="shared" si="40"/>
        <v/>
      </c>
      <c r="AF42" s="181" t="str">
        <f t="shared" si="40"/>
        <v/>
      </c>
      <c r="AG42" s="181" t="str">
        <f t="shared" si="40"/>
        <v/>
      </c>
      <c r="AH42" s="181" t="str">
        <f t="shared" si="40"/>
        <v/>
      </c>
      <c r="AI42" s="181" t="str">
        <f t="shared" si="40"/>
        <v/>
      </c>
      <c r="AJ42" s="140" t="str">
        <f t="shared" si="40"/>
        <v/>
      </c>
      <c r="AK42" s="143" t="str">
        <f t="shared" si="40"/>
        <v/>
      </c>
      <c r="AL42" s="184" t="str">
        <f t="shared" si="40"/>
        <v/>
      </c>
      <c r="AM42" s="184" t="str">
        <f t="shared" si="40"/>
        <v/>
      </c>
      <c r="AN42" s="184" t="str">
        <f t="shared" si="40"/>
        <v/>
      </c>
      <c r="AO42" s="184" t="str">
        <f t="shared" si="40"/>
        <v/>
      </c>
      <c r="AP42" s="184" t="str">
        <f t="shared" si="40"/>
        <v/>
      </c>
      <c r="AQ42" s="141" t="str">
        <f t="shared" si="40"/>
        <v/>
      </c>
      <c r="AR42" s="142" t="str">
        <f t="shared" si="40"/>
        <v/>
      </c>
    </row>
    <row r="43" spans="1:44" hidden="1" x14ac:dyDescent="0.3">
      <c r="A43" s="309" t="str">
        <f t="shared" ref="A43" si="41">+IF(C43+C44=0,"[ocultar]","")</f>
        <v>[ocultar]</v>
      </c>
      <c r="B43" s="46" t="s">
        <v>162</v>
      </c>
      <c r="C43" s="45">
        <f t="array" ref="C43">SUM(IF($B43=DATOS_[Sexo],
IF($B42=DATOS_[AGRUP. CLAS. PROF.],
IF("Dentro"=DATOS_[Check Periodo Ref.],
1/(COUNTIFS(DATOS_[Sexo],$B43,DATOS_[AGRUP. CLAS. PROF.],$B42,DATOS_[Check Periodo Ref.],"Dentro",DATOS_[id],DATOS_[id]))))))</f>
        <v>0</v>
      </c>
      <c r="D43" s="47">
        <f>COUNTIFS(DATOS_[AGRUP. CLAS. PROF.],$B42,DATOS_[Sexo],$B43,DATOS_[Check Periodo Ref.],"Dentro")</f>
        <v>0</v>
      </c>
      <c r="E43" s="92">
        <f t="array" ref="E43">IFERROR(
AVERAGE(IF(DATOS_[Sexo]=$B43,IF(DATOS_[AGRUP. CLAS. PROF.]=$B42,IF(DATOS_[Check Periodo Ref.]="Dentro",DATOS_[SALARIO BASE Ef],FALSE)))),
0)</f>
        <v>0</v>
      </c>
      <c r="F43" s="93">
        <f t="array" ref="F43">IFERROR(
AVERAGE((IF(DATOS_[[Sexo]:[Sexo]]=$B43,IF(DATOS_[[AGRUP. CLAS. PROF.]:[AGRUP. CLAS. PROF.]]=$B42,IF(DATOS_[[Check Periodo Ref.]:[Check Periodo Ref.]]="Dentro",DATOS_[Conc.Sal.01]))))),
0)</f>
        <v>0</v>
      </c>
      <c r="G43" s="93">
        <f t="array" ref="G43">IFERROR(
AVERAGE((IF(DATOS_[[Sexo]:[Sexo]]=$B43,IF(DATOS_[[AGRUP. CLAS. PROF.]:[AGRUP. CLAS. PROF.]]=$B42,IF(DATOS_[[Check Periodo Ref.]:[Check Periodo Ref.]]="Dentro",DATOS_[Conc.Sal.02]))))),
0)</f>
        <v>0</v>
      </c>
      <c r="H43" s="93">
        <f t="array" ref="H43">IFERROR(
AVERAGE((IF(DATOS_[[Sexo]:[Sexo]]=$B43,IF(DATOS_[[AGRUP. CLAS. PROF.]:[AGRUP. CLAS. PROF.]]=$B42,IF(DATOS_[[Check Periodo Ref.]:[Check Periodo Ref.]]="Dentro",DATOS_[Conc.Sal.03]))))),
0)</f>
        <v>0</v>
      </c>
      <c r="I43" s="93">
        <f t="array" ref="I43">IFERROR(
AVERAGE((IF(DATOS_[[Sexo]:[Sexo]]=$B43,IF(DATOS_[[AGRUP. CLAS. PROF.]:[AGRUP. CLAS. PROF.]]=$B42,IF(DATOS_[[Check Periodo Ref.]:[Check Periodo Ref.]]="Dentro",DATOS_[Conc.Sal.04]))))),
0)</f>
        <v>0</v>
      </c>
      <c r="J43" s="93">
        <f t="array" ref="J43">IFERROR(
AVERAGE((IF(DATOS_[[Sexo]:[Sexo]]=$B43,IF(DATOS_[[AGRUP. CLAS. PROF.]:[AGRUP. CLAS. PROF.]]=$B42,IF(DATOS_[[Check Periodo Ref.]:[Check Periodo Ref.]]="Dentro",DATOS_[Conc.Sal.05]))))),
0)</f>
        <v>0</v>
      </c>
      <c r="K43" s="93">
        <f t="array" ref="K43">IFERROR(
AVERAGE((IF(DATOS_[[Sexo]:[Sexo]]=$B43,IF(DATOS_[[AGRUP. CLAS. PROF.]:[AGRUP. CLAS. PROF.]]=$B42,IF(DATOS_[[Check Periodo Ref.]:[Check Periodo Ref.]]="Dentro",DATOS_[Conc.Sal.06]))))),
0)</f>
        <v>0</v>
      </c>
      <c r="L43" s="93">
        <f t="array" ref="L43">IFERROR(
AVERAGE((IF(DATOS_[[Sexo]:[Sexo]]=$B43,IF(DATOS_[[AGRUP. CLAS. PROF.]:[AGRUP. CLAS. PROF.]]=$B42,IF(DATOS_[[Check Periodo Ref.]:[Check Periodo Ref.]]="Dentro",DATOS_[Conc.Sal.07]))))),
0)</f>
        <v>0</v>
      </c>
      <c r="M43" s="93">
        <f t="array" ref="M43">IFERROR(
AVERAGE((IF(DATOS_[[Sexo]:[Sexo]]=$B43,IF(DATOS_[[AGRUP. CLAS. PROF.]:[AGRUP. CLAS. PROF.]]=$B42,IF(DATOS_[[Check Periodo Ref.]:[Check Periodo Ref.]]="Dentro",DATOS_[Conc.Sal.08]))))),
0)</f>
        <v>0</v>
      </c>
      <c r="N43" s="93">
        <f t="array" ref="N43">IFERROR(
AVERAGE((IF(DATOS_[[Sexo]:[Sexo]]=$B43,IF(DATOS_[[AGRUP. CLAS. PROF.]:[AGRUP. CLAS. PROF.]]=$B42,IF(DATOS_[[Check Periodo Ref.]:[Check Periodo Ref.]]="Dentro",DATOS_[Conc.Sal.09]))))),
0)</f>
        <v>0</v>
      </c>
      <c r="O43" s="93">
        <f t="array" ref="O43">IFERROR(
AVERAGE((IF(DATOS_[[Sexo]:[Sexo]]=$B43,IF(DATOS_[[AGRUP. CLAS. PROF.]:[AGRUP. CLAS. PROF.]]=$B42,IF(DATOS_[[Check Periodo Ref.]:[Check Periodo Ref.]]="Dentro",DATOS_[Conc.Sal.10]))))),
0)</f>
        <v>0</v>
      </c>
      <c r="P43" s="93">
        <f t="array" ref="P43">IFERROR(
AVERAGE((IF(DATOS_[[Sexo]:[Sexo]]=$B43,IF(DATOS_[[AGRUP. CLAS. PROF.]:[AGRUP. CLAS. PROF.]]=$B42,IF(DATOS_[[Check Periodo Ref.]:[Check Periodo Ref.]]="Dentro",DATOS_[Conc.Sal.11]))))),
0)</f>
        <v>0</v>
      </c>
      <c r="Q43" s="93">
        <f t="array" ref="Q43">IFERROR(
AVERAGE((IF(DATOS_[[Sexo]:[Sexo]]=$B43,IF(DATOS_[[AGRUP. CLAS. PROF.]:[AGRUP. CLAS. PROF.]]=$B42,IF(DATOS_[[Check Periodo Ref.]:[Check Periodo Ref.]]="Dentro",DATOS_[Conc.Sal.12]))))),
0)</f>
        <v>0</v>
      </c>
      <c r="R43" s="93">
        <f t="array" ref="R43">IFERROR(
AVERAGE((IF(DATOS_[[Sexo]:[Sexo]]=$B43,IF(DATOS_[[AGRUP. CLAS. PROF.]:[AGRUP. CLAS. PROF.]]=$B42,IF(DATOS_[[Check Periodo Ref.]:[Check Periodo Ref.]]="Dentro",DATOS_[Conc.Sal.13]))))),
0)</f>
        <v>0</v>
      </c>
      <c r="S43" s="93">
        <f t="array" ref="S43">IFERROR(
AVERAGE((IF(DATOS_[[Sexo]:[Sexo]]=$B43,IF(DATOS_[[AGRUP. CLAS. PROF.]:[AGRUP. CLAS. PROF.]]=$B42,IF(DATOS_[[Check Periodo Ref.]:[Check Periodo Ref.]]="Dentro",DATOS_[Conc.Sal.14]))))),
0)</f>
        <v>0</v>
      </c>
      <c r="T43" s="93">
        <f t="array" ref="T43">IFERROR(
AVERAGE((IF(DATOS_[[Sexo]:[Sexo]]=$B43,IF(DATOS_[[AGRUP. CLAS. PROF.]:[AGRUP. CLAS. PROF.]]=$B42,IF(DATOS_[[Check Periodo Ref.]:[Check Periodo Ref.]]="Dentro",DATOS_[Conc.Sal.15]))))),
0)</f>
        <v>0</v>
      </c>
      <c r="U43" s="93">
        <f t="array" ref="U43">IFERROR(
AVERAGE((IF(DATOS_[[Sexo]:[Sexo]]=$B43,IF(DATOS_[[AGRUP. CLAS. PROF.]:[AGRUP. CLAS. PROF.]]=$B42,IF(DATOS_[[Check Periodo Ref.]:[Check Periodo Ref.]]="Dentro",DATOS_[Conc.Sal.16]))))),
0)</f>
        <v>0</v>
      </c>
      <c r="V43" s="93">
        <f t="array" ref="V43">IFERROR(
AVERAGE((IF(DATOS_[[Sexo]:[Sexo]]=$B43,IF(DATOS_[[AGRUP. CLAS. PROF.]:[AGRUP. CLAS. PROF.]]=$B42,IF(DATOS_[[Check Periodo Ref.]:[Check Periodo Ref.]]="Dentro",DATOS_[Conc.Sal.17]))))),
0)</f>
        <v>0</v>
      </c>
      <c r="W43" s="93">
        <f t="array" ref="W43">IFERROR(
AVERAGE((IF(DATOS_[[Sexo]:[Sexo]]=$B43,IF(DATOS_[[AGRUP. CLAS. PROF.]:[AGRUP. CLAS. PROF.]]=$B42,IF(DATOS_[[Check Periodo Ref.]:[Check Periodo Ref.]]="Dentro",DATOS_[Conc.Sal.18]))))),
0)</f>
        <v>0</v>
      </c>
      <c r="X43" s="93">
        <f t="array" ref="X43">IFERROR(
AVERAGE((IF(DATOS_[[Sexo]:[Sexo]]=$B43,IF(DATOS_[[AGRUP. CLAS. PROF.]:[AGRUP. CLAS. PROF.]]=$B42,IF(DATOS_[[Check Periodo Ref.]:[Check Periodo Ref.]]="Dentro",DATOS_[Conc.Sal.19]))))),
0)</f>
        <v>0</v>
      </c>
      <c r="Y43" s="93">
        <f t="array" ref="Y43">IFERROR(
AVERAGE((IF(DATOS_[[Sexo]:[Sexo]]=$B43,IF(DATOS_[[AGRUP. CLAS. PROF.]:[AGRUP. CLAS. PROF.]]=$B42,IF(DATOS_[[Check Periodo Ref.]:[Check Periodo Ref.]]="Dentro",DATOS_[Conc.Sal.20]))))),
0)</f>
        <v>0</v>
      </c>
      <c r="Z43" s="93">
        <f t="array" ref="Z43">IFERROR(
AVERAGE((IF(DATOS_[[Sexo]:[Sexo]]=$B43,IF(DATOS_[[AGRUP. CLAS. PROF.]:[AGRUP. CLAS. PROF.]]=$B42,IF(DATOS_[[Check Periodo Ref.]:[Check Periodo Ref.]]="Dentro",DATOS_[Conc.Sal.21]))))),
0)</f>
        <v>0</v>
      </c>
      <c r="AA43" s="93">
        <f t="array" ref="AA43">IFERROR(
AVERAGE((IF(DATOS_[[Sexo]:[Sexo]]=$B43,IF(DATOS_[[AGRUP. CLAS. PROF.]:[AGRUP. CLAS. PROF.]]=$B42,IF(DATOS_[[Check Periodo Ref.]:[Check Periodo Ref.]]="Dentro",DATOS_[Conc.Sal.22]))))),
0)</f>
        <v>0</v>
      </c>
      <c r="AB43" s="93">
        <f t="array" ref="AB43">IFERROR(
AVERAGE((IF(DATOS_[[Sexo]:[Sexo]]=$B43,IF(DATOS_[[AGRUP. CLAS. PROF.]:[AGRUP. CLAS. PROF.]]=$B42,IF(DATOS_[[Check Periodo Ref.]:[Check Periodo Ref.]]="Dentro",DATOS_[Conc.Sal.23]))))),
0)</f>
        <v>0</v>
      </c>
      <c r="AC43" s="93">
        <f t="array" ref="AC43">IFERROR(
AVERAGE((IF(DATOS_[[Sexo]:[Sexo]]=$B43,IF(DATOS_[[AGRUP. CLAS. PROF.]:[AGRUP. CLAS. PROF.]]=$B42,IF(DATOS_[[Check Periodo Ref.]:[Check Periodo Ref.]]="Dentro",DATOS_[Conc.Sal.24]))))),
0)</f>
        <v>0</v>
      </c>
      <c r="AD43" s="93">
        <f t="array" ref="AD43">IFERROR(
AVERAGE((IF(DATOS_[[Sexo]:[Sexo]]=$B43,IF(DATOS_[[AGRUP. CLAS. PROF.]:[AGRUP. CLAS. PROF.]]=$B42,IF(DATOS_[[Check Periodo Ref.]:[Check Periodo Ref.]]="Dentro",DATOS_[Conc.Sal.25]))))),
0)</f>
        <v>0</v>
      </c>
      <c r="AE43" s="93">
        <f t="array" ref="AE43">IFERROR(
AVERAGE((IF(DATOS_[[Sexo]:[Sexo]]=$B43,IF(DATOS_[[AGRUP. CLAS. PROF.]:[AGRUP. CLAS. PROF.]]=$B42,IF(DATOS_[[Check Periodo Ref.]:[Check Periodo Ref.]]="Dentro",DATOS_[Conc.Sal.26]))))),
0)</f>
        <v>0</v>
      </c>
      <c r="AF43" s="93">
        <f t="array" ref="AF43">IFERROR(
AVERAGE((IF(DATOS_[[Sexo]:[Sexo]]=$B43,IF(DATOS_[[AGRUP. CLAS. PROF.]:[AGRUP. CLAS. PROF.]]=$B42,IF(DATOS_[[Check Periodo Ref.]:[Check Periodo Ref.]]="Dentro",DATOS_[Conc.Sal.27]))))),
0)</f>
        <v>0</v>
      </c>
      <c r="AG43" s="93">
        <f t="array" ref="AG43">IFERROR(
AVERAGE((IF(DATOS_[[Sexo]:[Sexo]]=$B43,IF(DATOS_[[AGRUP. CLAS. PROF.]:[AGRUP. CLAS. PROF.]]=$B42,IF(DATOS_[[Check Periodo Ref.]:[Check Periodo Ref.]]="Dentro",DATOS_[Conc.Sal.28]))))),
0)</f>
        <v>0</v>
      </c>
      <c r="AH43" s="93">
        <f t="array" ref="AH43">IFERROR(
AVERAGE((IF(DATOS_[[Sexo]:[Sexo]]=$B43,IF(DATOS_[[AGRUP. CLAS. PROF.]:[AGRUP. CLAS. PROF.]]=$B42,IF(DATOS_[[Check Periodo Ref.]:[Check Periodo Ref.]]="Dentro",DATOS_[Conc.Sal.29]))))),
0)</f>
        <v>0</v>
      </c>
      <c r="AI43" s="93">
        <f t="array" ref="AI43">IFERROR(
AVERAGE((IF(DATOS_[[Sexo]:[Sexo]]=$B43,IF(DATOS_[[AGRUP. CLAS. PROF.]:[AGRUP. CLAS. PROF.]]=$B42,IF(DATOS_[[Check Periodo Ref.]:[Check Periodo Ref.]]="Dentro",DATOS_[Conc.Sal.30]))))),
0)</f>
        <v>0</v>
      </c>
      <c r="AJ43" s="94">
        <f t="array" ref="AJ43">IFERROR(
AVERAGE(IF(DATOS_[Sexo]=$B43,IF(DATOS_[AGRUP. CLAS. PROF.]=$B42,IF(DATOS_[Check Periodo Ref.]="Dentro",DATOS_[Tot COMPL.SAL Ef],FALSE)))),
0)</f>
        <v>0</v>
      </c>
      <c r="AK43" s="96">
        <f t="array" ref="AK43">IFERROR(
AVERAGE(IF(DATOS_[Sexo]=$B43,IF(DATOS_[AGRUP. CLAS. PROF.]=$B42,IF(DATOS_[Check Periodo Ref.]="Dentro",DATOS_[TOTAL SALARIO Ef],FALSE)))),
0)</f>
        <v>0</v>
      </c>
      <c r="AL43" s="95">
        <f t="array" ref="AL43">IFERROR(
AVERAGE((IF(DATOS_[[Sexo]:[Sexo]]=$B43,IF(DATOS_[[AGRUP. CLAS. PROF.]:[AGRUP. CLAS. PROF.]]=$B42,IF(DATOS_[[Check Periodo Ref.]:[Check Periodo Ref.]]="Dentro",DATOS_[C.Extra.01]))))),
0)</f>
        <v>0</v>
      </c>
      <c r="AM43" s="95">
        <f t="array" ref="AM43">IFERROR(
AVERAGE((IF(DATOS_[[Sexo]:[Sexo]]=$B43,IF(DATOS_[[AGRUP. CLAS. PROF.]:[AGRUP. CLAS. PROF.]]=$B42,IF(DATOS_[[Check Periodo Ref.]:[Check Periodo Ref.]]="Dentro",DATOS_[C.Extra.02]))))),
0)</f>
        <v>0</v>
      </c>
      <c r="AN43" s="95">
        <f t="array" ref="AN43">IFERROR(
AVERAGE((IF(DATOS_[[Sexo]:[Sexo]]=$B43,IF(DATOS_[[AGRUP. CLAS. PROF.]:[AGRUP. CLAS. PROF.]]=$B42,IF(DATOS_[[Check Periodo Ref.]:[Check Periodo Ref.]]="Dentro",DATOS_[C.Extra.03]))))),
0)</f>
        <v>0</v>
      </c>
      <c r="AO43" s="95">
        <f t="array" ref="AO43">IFERROR(
AVERAGE((IF(DATOS_[[Sexo]:[Sexo]]=$B43,IF(DATOS_[[AGRUP. CLAS. PROF.]:[AGRUP. CLAS. PROF.]]=$B42,IF(DATOS_[[Check Periodo Ref.]:[Check Periodo Ref.]]="Dentro",DATOS_[C.Extra.04]))))),
0)</f>
        <v>0</v>
      </c>
      <c r="AP43" s="95">
        <f t="array" ref="AP43">IFERROR(
AVERAGE((IF(DATOS_[[Sexo]:[Sexo]]=$B43,IF(DATOS_[[AGRUP. CLAS. PROF.]:[AGRUP. CLAS. PROF.]]=$B42,IF(DATOS_[[Check Periodo Ref.]:[Check Periodo Ref.]]="Dentro",DATOS_[C.Extra.05]))))),
0)</f>
        <v>0</v>
      </c>
      <c r="AQ43" s="97">
        <f t="array" ref="AQ43">IFERROR(
AVERAGE(IF(DATOS_[Sexo]=$B43,IF(DATOS_[AGRUP. CLAS. PROF.]=$B42,IF(DATOS_[Check Periodo Ref.]="Dentro",DATOS_[Tot Extrasalarial Ef],FALSE)))),
0)</f>
        <v>0</v>
      </c>
      <c r="AR43" s="98">
        <f t="array" ref="AR43">IFERROR(
AVERAGE(IF(DATOS_[Sexo]=$B43,IF(DATOS_[AGRUP. CLAS. PROF.]=$B42,IF(DATOS_[Check Periodo Ref.]="Dentro",DATOS_[TOTAL Retrib Ef],FALSE)))),
0)</f>
        <v>0</v>
      </c>
    </row>
    <row r="44" spans="1:44" hidden="1" x14ac:dyDescent="0.3">
      <c r="A44" s="309" t="str">
        <f t="shared" ref="A44" si="42">+A43</f>
        <v>[ocultar]</v>
      </c>
      <c r="B44" s="46" t="s">
        <v>163</v>
      </c>
      <c r="C44" s="45">
        <f t="array" ref="C44">SUM(IF($B44=DATOS_[Sexo],
IF($B42=DATOS_[AGRUP. CLAS. PROF.],
IF("Dentro"=DATOS_[Check Periodo Ref.],
1/(COUNTIFS(DATOS_[Sexo],$B44,DATOS_[AGRUP. CLAS. PROF.],$B42,DATOS_[Check Periodo Ref.],"Dentro",DATOS_[id],DATOS_[id]))))))</f>
        <v>0</v>
      </c>
      <c r="D44" s="47">
        <f>COUNTIFS(DATOS_[AGRUP. CLAS. PROF.],$B42,DATOS_[Sexo],$B44,DATOS_[Check Periodo Ref.],"Dentro")</f>
        <v>0</v>
      </c>
      <c r="E44" s="92">
        <f t="array" ref="E44">IFERROR(
AVERAGE(IF(DATOS_[Sexo]=$B44,IF(DATOS_[AGRUP. CLAS. PROF.]=$B42,IF(DATOS_[Check Periodo Ref.]="Dentro",DATOS_[SALARIO BASE Ef],FALSE)))),
0)</f>
        <v>0</v>
      </c>
      <c r="F44" s="93">
        <f t="array" ref="F44">IFERROR(
AVERAGE((IF(DATOS_[[Sexo]:[Sexo]]=$B44,IF(DATOS_[[AGRUP. CLAS. PROF.]:[AGRUP. CLAS. PROF.]]=$B42,IF(DATOS_[[Check Periodo Ref.]:[Check Periodo Ref.]]="Dentro",DATOS_[Conc.Sal.01]))))),
0)</f>
        <v>0</v>
      </c>
      <c r="G44" s="93">
        <f t="array" ref="G44">IFERROR(
AVERAGE((IF(DATOS_[[Sexo]:[Sexo]]=$B44,IF(DATOS_[[AGRUP. CLAS. PROF.]:[AGRUP. CLAS. PROF.]]=$B42,IF(DATOS_[[Check Periodo Ref.]:[Check Periodo Ref.]]="Dentro",DATOS_[Conc.Sal.02]))))),
0)</f>
        <v>0</v>
      </c>
      <c r="H44" s="93">
        <f t="array" ref="H44">IFERROR(
AVERAGE((IF(DATOS_[[Sexo]:[Sexo]]=$B44,IF(DATOS_[[AGRUP. CLAS. PROF.]:[AGRUP. CLAS. PROF.]]=$B42,IF(DATOS_[[Check Periodo Ref.]:[Check Periodo Ref.]]="Dentro",DATOS_[Conc.Sal.03]))))),
0)</f>
        <v>0</v>
      </c>
      <c r="I44" s="93">
        <f t="array" ref="I44">IFERROR(
AVERAGE((IF(DATOS_[[Sexo]:[Sexo]]=$B44,IF(DATOS_[[AGRUP. CLAS. PROF.]:[AGRUP. CLAS. PROF.]]=$B42,IF(DATOS_[[Check Periodo Ref.]:[Check Periodo Ref.]]="Dentro",DATOS_[Conc.Sal.04]))))),
0)</f>
        <v>0</v>
      </c>
      <c r="J44" s="93">
        <f t="array" ref="J44">IFERROR(
AVERAGE((IF(DATOS_[[Sexo]:[Sexo]]=$B44,IF(DATOS_[[AGRUP. CLAS. PROF.]:[AGRUP. CLAS. PROF.]]=$B42,IF(DATOS_[[Check Periodo Ref.]:[Check Periodo Ref.]]="Dentro",DATOS_[Conc.Sal.05]))))),
0)</f>
        <v>0</v>
      </c>
      <c r="K44" s="93">
        <f t="array" ref="K44">IFERROR(
AVERAGE((IF(DATOS_[[Sexo]:[Sexo]]=$B44,IF(DATOS_[[AGRUP. CLAS. PROF.]:[AGRUP. CLAS. PROF.]]=$B42,IF(DATOS_[[Check Periodo Ref.]:[Check Periodo Ref.]]="Dentro",DATOS_[Conc.Sal.06]))))),
0)</f>
        <v>0</v>
      </c>
      <c r="L44" s="93">
        <f t="array" ref="L44">IFERROR(
AVERAGE((IF(DATOS_[[Sexo]:[Sexo]]=$B44,IF(DATOS_[[AGRUP. CLAS. PROF.]:[AGRUP. CLAS. PROF.]]=$B42,IF(DATOS_[[Check Periodo Ref.]:[Check Periodo Ref.]]="Dentro",DATOS_[Conc.Sal.07]))))),
0)</f>
        <v>0</v>
      </c>
      <c r="M44" s="93">
        <f t="array" ref="M44">IFERROR(
AVERAGE((IF(DATOS_[[Sexo]:[Sexo]]=$B44,IF(DATOS_[[AGRUP. CLAS. PROF.]:[AGRUP. CLAS. PROF.]]=$B42,IF(DATOS_[[Check Periodo Ref.]:[Check Periodo Ref.]]="Dentro",DATOS_[Conc.Sal.08]))))),
0)</f>
        <v>0</v>
      </c>
      <c r="N44" s="93">
        <f t="array" ref="N44">IFERROR(
AVERAGE((IF(DATOS_[[Sexo]:[Sexo]]=$B44,IF(DATOS_[[AGRUP. CLAS. PROF.]:[AGRUP. CLAS. PROF.]]=$B42,IF(DATOS_[[Check Periodo Ref.]:[Check Periodo Ref.]]="Dentro",DATOS_[Conc.Sal.09]))))),
0)</f>
        <v>0</v>
      </c>
      <c r="O44" s="93">
        <f t="array" ref="O44">IFERROR(
AVERAGE((IF(DATOS_[[Sexo]:[Sexo]]=$B44,IF(DATOS_[[AGRUP. CLAS. PROF.]:[AGRUP. CLAS. PROF.]]=$B42,IF(DATOS_[[Check Periodo Ref.]:[Check Periodo Ref.]]="Dentro",DATOS_[Conc.Sal.10]))))),
0)</f>
        <v>0</v>
      </c>
      <c r="P44" s="93">
        <f t="array" ref="P44">IFERROR(
AVERAGE((IF(DATOS_[[Sexo]:[Sexo]]=$B44,IF(DATOS_[[AGRUP. CLAS. PROF.]:[AGRUP. CLAS. PROF.]]=$B42,IF(DATOS_[[Check Periodo Ref.]:[Check Periodo Ref.]]="Dentro",DATOS_[Conc.Sal.11]))))),
0)</f>
        <v>0</v>
      </c>
      <c r="Q44" s="93">
        <f t="array" ref="Q44">IFERROR(
AVERAGE((IF(DATOS_[[Sexo]:[Sexo]]=$B44,IF(DATOS_[[AGRUP. CLAS. PROF.]:[AGRUP. CLAS. PROF.]]=$B42,IF(DATOS_[[Check Periodo Ref.]:[Check Periodo Ref.]]="Dentro",DATOS_[Conc.Sal.12]))))),
0)</f>
        <v>0</v>
      </c>
      <c r="R44" s="93">
        <f t="array" ref="R44">IFERROR(
AVERAGE((IF(DATOS_[[Sexo]:[Sexo]]=$B44,IF(DATOS_[[AGRUP. CLAS. PROF.]:[AGRUP. CLAS. PROF.]]=$B42,IF(DATOS_[[Check Periodo Ref.]:[Check Periodo Ref.]]="Dentro",DATOS_[Conc.Sal.13]))))),
0)</f>
        <v>0</v>
      </c>
      <c r="S44" s="93">
        <f t="array" ref="S44">IFERROR(
AVERAGE((IF(DATOS_[[Sexo]:[Sexo]]=$B44,IF(DATOS_[[AGRUP. CLAS. PROF.]:[AGRUP. CLAS. PROF.]]=$B42,IF(DATOS_[[Check Periodo Ref.]:[Check Periodo Ref.]]="Dentro",DATOS_[Conc.Sal.14]))))),
0)</f>
        <v>0</v>
      </c>
      <c r="T44" s="93">
        <f t="array" ref="T44">IFERROR(
AVERAGE((IF(DATOS_[[Sexo]:[Sexo]]=$B44,IF(DATOS_[[AGRUP. CLAS. PROF.]:[AGRUP. CLAS. PROF.]]=$B42,IF(DATOS_[[Check Periodo Ref.]:[Check Periodo Ref.]]="Dentro",DATOS_[Conc.Sal.15]))))),
0)</f>
        <v>0</v>
      </c>
      <c r="U44" s="93">
        <f t="array" ref="U44">IFERROR(
AVERAGE((IF(DATOS_[[Sexo]:[Sexo]]=$B44,IF(DATOS_[[AGRUP. CLAS. PROF.]:[AGRUP. CLAS. PROF.]]=$B42,IF(DATOS_[[Check Periodo Ref.]:[Check Periodo Ref.]]="Dentro",DATOS_[Conc.Sal.16]))))),
0)</f>
        <v>0</v>
      </c>
      <c r="V44" s="93">
        <f t="array" ref="V44">IFERROR(
AVERAGE((IF(DATOS_[[Sexo]:[Sexo]]=$B44,IF(DATOS_[[AGRUP. CLAS. PROF.]:[AGRUP. CLAS. PROF.]]=$B42,IF(DATOS_[[Check Periodo Ref.]:[Check Periodo Ref.]]="Dentro",DATOS_[Conc.Sal.17]))))),
0)</f>
        <v>0</v>
      </c>
      <c r="W44" s="93">
        <f t="array" ref="W44">IFERROR(
AVERAGE((IF(DATOS_[[Sexo]:[Sexo]]=$B44,IF(DATOS_[[AGRUP. CLAS. PROF.]:[AGRUP. CLAS. PROF.]]=$B42,IF(DATOS_[[Check Periodo Ref.]:[Check Periodo Ref.]]="Dentro",DATOS_[Conc.Sal.18]))))),
0)</f>
        <v>0</v>
      </c>
      <c r="X44" s="93">
        <f t="array" ref="X44">IFERROR(
AVERAGE((IF(DATOS_[[Sexo]:[Sexo]]=$B44,IF(DATOS_[[AGRUP. CLAS. PROF.]:[AGRUP. CLAS. PROF.]]=$B42,IF(DATOS_[[Check Periodo Ref.]:[Check Periodo Ref.]]="Dentro",DATOS_[Conc.Sal.19]))))),
0)</f>
        <v>0</v>
      </c>
      <c r="Y44" s="93">
        <f t="array" ref="Y44">IFERROR(
AVERAGE((IF(DATOS_[[Sexo]:[Sexo]]=$B44,IF(DATOS_[[AGRUP. CLAS. PROF.]:[AGRUP. CLAS. PROF.]]=$B42,IF(DATOS_[[Check Periodo Ref.]:[Check Periodo Ref.]]="Dentro",DATOS_[Conc.Sal.20]))))),
0)</f>
        <v>0</v>
      </c>
      <c r="Z44" s="93">
        <f t="array" ref="Z44">IFERROR(
AVERAGE((IF(DATOS_[[Sexo]:[Sexo]]=$B44,IF(DATOS_[[AGRUP. CLAS. PROF.]:[AGRUP. CLAS. PROF.]]=$B42,IF(DATOS_[[Check Periodo Ref.]:[Check Periodo Ref.]]="Dentro",DATOS_[Conc.Sal.21]))))),
0)</f>
        <v>0</v>
      </c>
      <c r="AA44" s="93">
        <f t="array" ref="AA44">IFERROR(
AVERAGE((IF(DATOS_[[Sexo]:[Sexo]]=$B44,IF(DATOS_[[AGRUP. CLAS. PROF.]:[AGRUP. CLAS. PROF.]]=$B42,IF(DATOS_[[Check Periodo Ref.]:[Check Periodo Ref.]]="Dentro",DATOS_[Conc.Sal.22]))))),
0)</f>
        <v>0</v>
      </c>
      <c r="AB44" s="93">
        <f t="array" ref="AB44">IFERROR(
AVERAGE((IF(DATOS_[[Sexo]:[Sexo]]=$B44,IF(DATOS_[[AGRUP. CLAS. PROF.]:[AGRUP. CLAS. PROF.]]=$B42,IF(DATOS_[[Check Periodo Ref.]:[Check Periodo Ref.]]="Dentro",DATOS_[Conc.Sal.23]))))),
0)</f>
        <v>0</v>
      </c>
      <c r="AC44" s="93">
        <f t="array" ref="AC44">IFERROR(
AVERAGE((IF(DATOS_[[Sexo]:[Sexo]]=$B44,IF(DATOS_[[AGRUP. CLAS. PROF.]:[AGRUP. CLAS. PROF.]]=$B42,IF(DATOS_[[Check Periodo Ref.]:[Check Periodo Ref.]]="Dentro",DATOS_[Conc.Sal.24]))))),
0)</f>
        <v>0</v>
      </c>
      <c r="AD44" s="93">
        <f t="array" ref="AD44">IFERROR(
AVERAGE((IF(DATOS_[[Sexo]:[Sexo]]=$B44,IF(DATOS_[[AGRUP. CLAS. PROF.]:[AGRUP. CLAS. PROF.]]=$B42,IF(DATOS_[[Check Periodo Ref.]:[Check Periodo Ref.]]="Dentro",DATOS_[Conc.Sal.25]))))),
0)</f>
        <v>0</v>
      </c>
      <c r="AE44" s="93">
        <f t="array" ref="AE44">IFERROR(
AVERAGE((IF(DATOS_[[Sexo]:[Sexo]]=$B44,IF(DATOS_[[AGRUP. CLAS. PROF.]:[AGRUP. CLAS. PROF.]]=$B42,IF(DATOS_[[Check Periodo Ref.]:[Check Periodo Ref.]]="Dentro",DATOS_[Conc.Sal.26]))))),
0)</f>
        <v>0</v>
      </c>
      <c r="AF44" s="93">
        <f t="array" ref="AF44">IFERROR(
AVERAGE((IF(DATOS_[[Sexo]:[Sexo]]=$B44,IF(DATOS_[[AGRUP. CLAS. PROF.]:[AGRUP. CLAS. PROF.]]=$B42,IF(DATOS_[[Check Periodo Ref.]:[Check Periodo Ref.]]="Dentro",DATOS_[Conc.Sal.27]))))),
0)</f>
        <v>0</v>
      </c>
      <c r="AG44" s="93">
        <f t="array" ref="AG44">IFERROR(
AVERAGE((IF(DATOS_[[Sexo]:[Sexo]]=$B44,IF(DATOS_[[AGRUP. CLAS. PROF.]:[AGRUP. CLAS. PROF.]]=$B42,IF(DATOS_[[Check Periodo Ref.]:[Check Periodo Ref.]]="Dentro",DATOS_[Conc.Sal.28]))))),
0)</f>
        <v>0</v>
      </c>
      <c r="AH44" s="93">
        <f t="array" ref="AH44">IFERROR(
AVERAGE((IF(DATOS_[[Sexo]:[Sexo]]=$B44,IF(DATOS_[[AGRUP. CLAS. PROF.]:[AGRUP. CLAS. PROF.]]=$B42,IF(DATOS_[[Check Periodo Ref.]:[Check Periodo Ref.]]="Dentro",DATOS_[Conc.Sal.29]))))),
0)</f>
        <v>0</v>
      </c>
      <c r="AI44" s="93">
        <f t="array" ref="AI44">IFERROR(
AVERAGE((IF(DATOS_[[Sexo]:[Sexo]]=$B44,IF(DATOS_[[AGRUP. CLAS. PROF.]:[AGRUP. CLAS. PROF.]]=$B42,IF(DATOS_[[Check Periodo Ref.]:[Check Periodo Ref.]]="Dentro",DATOS_[Conc.Sal.30]))))),
0)</f>
        <v>0</v>
      </c>
      <c r="AJ44" s="94">
        <f t="array" ref="AJ44">IFERROR(
AVERAGE(IF(DATOS_[Sexo]=$B44,IF(DATOS_[AGRUP. CLAS. PROF.]=$B42,IF(DATOS_[Check Periodo Ref.]="Dentro",DATOS_[Tot COMPL.SAL Ef],FALSE)))),
0)</f>
        <v>0</v>
      </c>
      <c r="AK44" s="96">
        <f t="array" ref="AK44">IFERROR(
AVERAGE(IF(DATOS_[Sexo]=$B44,IF(DATOS_[AGRUP. CLAS. PROF.]=$B42,IF(DATOS_[Check Periodo Ref.]="Dentro",DATOS_[TOTAL SALARIO Ef],FALSE)))),
0)</f>
        <v>0</v>
      </c>
      <c r="AL44" s="95">
        <f t="array" ref="AL44">IFERROR(
AVERAGE((IF(DATOS_[[Sexo]:[Sexo]]=$B44,IF(DATOS_[[AGRUP. CLAS. PROF.]:[AGRUP. CLAS. PROF.]]=$B42,IF(DATOS_[[Check Periodo Ref.]:[Check Periodo Ref.]]="Dentro",DATOS_[C.Extra.01]))))),
0)</f>
        <v>0</v>
      </c>
      <c r="AM44" s="95">
        <f t="array" ref="AM44">IFERROR(
AVERAGE((IF(DATOS_[[Sexo]:[Sexo]]=$B44,IF(DATOS_[[AGRUP. CLAS. PROF.]:[AGRUP. CLAS. PROF.]]=$B42,IF(DATOS_[[Check Periodo Ref.]:[Check Periodo Ref.]]="Dentro",DATOS_[C.Extra.02]))))),
0)</f>
        <v>0</v>
      </c>
      <c r="AN44" s="95">
        <f t="array" ref="AN44">IFERROR(
AVERAGE((IF(DATOS_[[Sexo]:[Sexo]]=$B44,IF(DATOS_[[AGRUP. CLAS. PROF.]:[AGRUP. CLAS. PROF.]]=$B42,IF(DATOS_[[Check Periodo Ref.]:[Check Periodo Ref.]]="Dentro",DATOS_[C.Extra.03]))))),
0)</f>
        <v>0</v>
      </c>
      <c r="AO44" s="95">
        <f t="array" ref="AO44">IFERROR(
AVERAGE((IF(DATOS_[[Sexo]:[Sexo]]=$B44,IF(DATOS_[[AGRUP. CLAS. PROF.]:[AGRUP. CLAS. PROF.]]=$B42,IF(DATOS_[[Check Periodo Ref.]:[Check Periodo Ref.]]="Dentro",DATOS_[C.Extra.04]))))),
0)</f>
        <v>0</v>
      </c>
      <c r="AP44" s="95">
        <f t="array" ref="AP44">IFERROR(
AVERAGE((IF(DATOS_[[Sexo]:[Sexo]]=$B44,IF(DATOS_[[AGRUP. CLAS. PROF.]:[AGRUP. CLAS. PROF.]]=$B42,IF(DATOS_[[Check Periodo Ref.]:[Check Periodo Ref.]]="Dentro",DATOS_[C.Extra.05]))))),
0)</f>
        <v>0</v>
      </c>
      <c r="AQ44" s="97">
        <f t="array" ref="AQ44">IFERROR(
AVERAGE(IF(DATOS_[Sexo]=$B44,IF(DATOS_[AGRUP. CLAS. PROF.]=$B42,IF(DATOS_[Check Periodo Ref.]="Dentro",DATOS_[Tot Extrasalarial Ef],FALSE)))),
0)</f>
        <v>0</v>
      </c>
      <c r="AR44" s="98">
        <f t="array" ref="AR44">IFERROR(
AVERAGE(IF(DATOS_[Sexo]=$B44,IF(DATOS_[AGRUP. CLAS. PROF.]=$B42,IF(DATOS_[Check Periodo Ref.]="Dentro",DATOS_[TOTAL Retrib Ef],FALSE)))),
0)</f>
        <v>0</v>
      </c>
    </row>
    <row r="45" spans="1:44" ht="17.25" hidden="1" thickBot="1" x14ac:dyDescent="0.35">
      <c r="A45" s="309" t="str">
        <f t="shared" ref="A45" si="43">+A46</f>
        <v>[ocultar]</v>
      </c>
      <c r="B45" s="51" t="s">
        <v>227</v>
      </c>
      <c r="C45" s="91"/>
      <c r="D45" s="52"/>
      <c r="E45" s="139" t="str">
        <f t="shared" ref="E45:AR45" si="44">IFERROR((E46-E47)/E46,"")</f>
        <v/>
      </c>
      <c r="F45" s="310" t="str">
        <f t="shared" si="44"/>
        <v/>
      </c>
      <c r="G45" s="180" t="str">
        <f t="shared" si="44"/>
        <v/>
      </c>
      <c r="H45" s="180" t="str">
        <f t="shared" si="44"/>
        <v/>
      </c>
      <c r="I45" s="180" t="str">
        <f t="shared" si="44"/>
        <v/>
      </c>
      <c r="J45" s="181" t="str">
        <f t="shared" si="44"/>
        <v/>
      </c>
      <c r="K45" s="182" t="str">
        <f t="shared" si="44"/>
        <v/>
      </c>
      <c r="L45" s="182" t="str">
        <f t="shared" si="44"/>
        <v/>
      </c>
      <c r="M45" s="182" t="str">
        <f t="shared" si="44"/>
        <v/>
      </c>
      <c r="N45" s="182" t="str">
        <f t="shared" si="44"/>
        <v/>
      </c>
      <c r="O45" s="182" t="str">
        <f t="shared" si="44"/>
        <v/>
      </c>
      <c r="P45" s="182" t="str">
        <f t="shared" si="44"/>
        <v/>
      </c>
      <c r="Q45" s="182" t="str">
        <f t="shared" si="44"/>
        <v/>
      </c>
      <c r="R45" s="182" t="str">
        <f t="shared" si="44"/>
        <v/>
      </c>
      <c r="S45" s="182" t="str">
        <f t="shared" si="44"/>
        <v/>
      </c>
      <c r="T45" s="182" t="str">
        <f t="shared" si="44"/>
        <v/>
      </c>
      <c r="U45" s="182" t="str">
        <f t="shared" si="44"/>
        <v/>
      </c>
      <c r="V45" s="181" t="str">
        <f t="shared" si="44"/>
        <v/>
      </c>
      <c r="W45" s="181" t="str">
        <f t="shared" si="44"/>
        <v/>
      </c>
      <c r="X45" s="181" t="str">
        <f t="shared" si="44"/>
        <v/>
      </c>
      <c r="Y45" s="181" t="str">
        <f t="shared" si="44"/>
        <v/>
      </c>
      <c r="Z45" s="181" t="str">
        <f t="shared" si="44"/>
        <v/>
      </c>
      <c r="AA45" s="181" t="str">
        <f t="shared" si="44"/>
        <v/>
      </c>
      <c r="AB45" s="181" t="str">
        <f t="shared" si="44"/>
        <v/>
      </c>
      <c r="AC45" s="181" t="str">
        <f t="shared" si="44"/>
        <v/>
      </c>
      <c r="AD45" s="181" t="str">
        <f t="shared" si="44"/>
        <v/>
      </c>
      <c r="AE45" s="181" t="str">
        <f t="shared" si="44"/>
        <v/>
      </c>
      <c r="AF45" s="181" t="str">
        <f t="shared" si="44"/>
        <v/>
      </c>
      <c r="AG45" s="181" t="str">
        <f t="shared" si="44"/>
        <v/>
      </c>
      <c r="AH45" s="181" t="str">
        <f t="shared" si="44"/>
        <v/>
      </c>
      <c r="AI45" s="181" t="str">
        <f t="shared" si="44"/>
        <v/>
      </c>
      <c r="AJ45" s="140" t="str">
        <f t="shared" si="44"/>
        <v/>
      </c>
      <c r="AK45" s="143" t="str">
        <f t="shared" si="44"/>
        <v/>
      </c>
      <c r="AL45" s="184" t="str">
        <f t="shared" si="44"/>
        <v/>
      </c>
      <c r="AM45" s="184" t="str">
        <f t="shared" si="44"/>
        <v/>
      </c>
      <c r="AN45" s="184" t="str">
        <f t="shared" si="44"/>
        <v/>
      </c>
      <c r="AO45" s="184" t="str">
        <f t="shared" si="44"/>
        <v/>
      </c>
      <c r="AP45" s="184" t="str">
        <f t="shared" si="44"/>
        <v/>
      </c>
      <c r="AQ45" s="141" t="str">
        <f t="shared" si="44"/>
        <v/>
      </c>
      <c r="AR45" s="142" t="str">
        <f t="shared" si="44"/>
        <v/>
      </c>
    </row>
    <row r="46" spans="1:44" hidden="1" x14ac:dyDescent="0.3">
      <c r="A46" s="309" t="str">
        <f t="shared" ref="A46" si="45">+IF(C46+C47=0,"[ocultar]","")</f>
        <v>[ocultar]</v>
      </c>
      <c r="B46" s="46" t="s">
        <v>162</v>
      </c>
      <c r="C46" s="45">
        <f t="array" ref="C46">SUM(IF($B46=DATOS_[Sexo],
IF($B45=DATOS_[AGRUP. CLAS. PROF.],
IF("Dentro"=DATOS_[Check Periodo Ref.],
1/(COUNTIFS(DATOS_[Sexo],$B46,DATOS_[AGRUP. CLAS. PROF.],$B45,DATOS_[Check Periodo Ref.],"Dentro",DATOS_[id],DATOS_[id]))))))</f>
        <v>0</v>
      </c>
      <c r="D46" s="47">
        <f>COUNTIFS(DATOS_[AGRUP. CLAS. PROF.],$B45,DATOS_[Sexo],$B46,DATOS_[Check Periodo Ref.],"Dentro")</f>
        <v>0</v>
      </c>
      <c r="E46" s="92">
        <f t="array" ref="E46">IFERROR(
AVERAGE(IF(DATOS_[Sexo]=$B46,IF(DATOS_[AGRUP. CLAS. PROF.]=$B45,IF(DATOS_[Check Periodo Ref.]="Dentro",DATOS_[SALARIO BASE Ef],FALSE)))),
0)</f>
        <v>0</v>
      </c>
      <c r="F46" s="93">
        <f t="array" ref="F46">IFERROR(
AVERAGE((IF(DATOS_[[Sexo]:[Sexo]]=$B46,IF(DATOS_[[AGRUP. CLAS. PROF.]:[AGRUP. CLAS. PROF.]]=$B45,IF(DATOS_[[Check Periodo Ref.]:[Check Periodo Ref.]]="Dentro",DATOS_[Conc.Sal.01]))))),
0)</f>
        <v>0</v>
      </c>
      <c r="G46" s="93">
        <f t="array" ref="G46">IFERROR(
AVERAGE((IF(DATOS_[[Sexo]:[Sexo]]=$B46,IF(DATOS_[[AGRUP. CLAS. PROF.]:[AGRUP. CLAS. PROF.]]=$B45,IF(DATOS_[[Check Periodo Ref.]:[Check Periodo Ref.]]="Dentro",DATOS_[Conc.Sal.02]))))),
0)</f>
        <v>0</v>
      </c>
      <c r="H46" s="93">
        <f t="array" ref="H46">IFERROR(
AVERAGE((IF(DATOS_[[Sexo]:[Sexo]]=$B46,IF(DATOS_[[AGRUP. CLAS. PROF.]:[AGRUP. CLAS. PROF.]]=$B45,IF(DATOS_[[Check Periodo Ref.]:[Check Periodo Ref.]]="Dentro",DATOS_[Conc.Sal.03]))))),
0)</f>
        <v>0</v>
      </c>
      <c r="I46" s="93">
        <f t="array" ref="I46">IFERROR(
AVERAGE((IF(DATOS_[[Sexo]:[Sexo]]=$B46,IF(DATOS_[[AGRUP. CLAS. PROF.]:[AGRUP. CLAS. PROF.]]=$B45,IF(DATOS_[[Check Periodo Ref.]:[Check Periodo Ref.]]="Dentro",DATOS_[Conc.Sal.04]))))),
0)</f>
        <v>0</v>
      </c>
      <c r="J46" s="93">
        <f t="array" ref="J46">IFERROR(
AVERAGE((IF(DATOS_[[Sexo]:[Sexo]]=$B46,IF(DATOS_[[AGRUP. CLAS. PROF.]:[AGRUP. CLAS. PROF.]]=$B45,IF(DATOS_[[Check Periodo Ref.]:[Check Periodo Ref.]]="Dentro",DATOS_[Conc.Sal.05]))))),
0)</f>
        <v>0</v>
      </c>
      <c r="K46" s="93">
        <f t="array" ref="K46">IFERROR(
AVERAGE((IF(DATOS_[[Sexo]:[Sexo]]=$B46,IF(DATOS_[[AGRUP. CLAS. PROF.]:[AGRUP. CLAS. PROF.]]=$B45,IF(DATOS_[[Check Periodo Ref.]:[Check Periodo Ref.]]="Dentro",DATOS_[Conc.Sal.06]))))),
0)</f>
        <v>0</v>
      </c>
      <c r="L46" s="93">
        <f t="array" ref="L46">IFERROR(
AVERAGE((IF(DATOS_[[Sexo]:[Sexo]]=$B46,IF(DATOS_[[AGRUP. CLAS. PROF.]:[AGRUP. CLAS. PROF.]]=$B45,IF(DATOS_[[Check Periodo Ref.]:[Check Periodo Ref.]]="Dentro",DATOS_[Conc.Sal.07]))))),
0)</f>
        <v>0</v>
      </c>
      <c r="M46" s="93">
        <f t="array" ref="M46">IFERROR(
AVERAGE((IF(DATOS_[[Sexo]:[Sexo]]=$B46,IF(DATOS_[[AGRUP. CLAS. PROF.]:[AGRUP. CLAS. PROF.]]=$B45,IF(DATOS_[[Check Periodo Ref.]:[Check Periodo Ref.]]="Dentro",DATOS_[Conc.Sal.08]))))),
0)</f>
        <v>0</v>
      </c>
      <c r="N46" s="93">
        <f t="array" ref="N46">IFERROR(
AVERAGE((IF(DATOS_[[Sexo]:[Sexo]]=$B46,IF(DATOS_[[AGRUP. CLAS. PROF.]:[AGRUP. CLAS. PROF.]]=$B45,IF(DATOS_[[Check Periodo Ref.]:[Check Periodo Ref.]]="Dentro",DATOS_[Conc.Sal.09]))))),
0)</f>
        <v>0</v>
      </c>
      <c r="O46" s="93">
        <f t="array" ref="O46">IFERROR(
AVERAGE((IF(DATOS_[[Sexo]:[Sexo]]=$B46,IF(DATOS_[[AGRUP. CLAS. PROF.]:[AGRUP. CLAS. PROF.]]=$B45,IF(DATOS_[[Check Periodo Ref.]:[Check Periodo Ref.]]="Dentro",DATOS_[Conc.Sal.10]))))),
0)</f>
        <v>0</v>
      </c>
      <c r="P46" s="93">
        <f t="array" ref="P46">IFERROR(
AVERAGE((IF(DATOS_[[Sexo]:[Sexo]]=$B46,IF(DATOS_[[AGRUP. CLAS. PROF.]:[AGRUP. CLAS. PROF.]]=$B45,IF(DATOS_[[Check Periodo Ref.]:[Check Periodo Ref.]]="Dentro",DATOS_[Conc.Sal.11]))))),
0)</f>
        <v>0</v>
      </c>
      <c r="Q46" s="93">
        <f t="array" ref="Q46">IFERROR(
AVERAGE((IF(DATOS_[[Sexo]:[Sexo]]=$B46,IF(DATOS_[[AGRUP. CLAS. PROF.]:[AGRUP. CLAS. PROF.]]=$B45,IF(DATOS_[[Check Periodo Ref.]:[Check Periodo Ref.]]="Dentro",DATOS_[Conc.Sal.12]))))),
0)</f>
        <v>0</v>
      </c>
      <c r="R46" s="93">
        <f t="array" ref="R46">IFERROR(
AVERAGE((IF(DATOS_[[Sexo]:[Sexo]]=$B46,IF(DATOS_[[AGRUP. CLAS. PROF.]:[AGRUP. CLAS. PROF.]]=$B45,IF(DATOS_[[Check Periodo Ref.]:[Check Periodo Ref.]]="Dentro",DATOS_[Conc.Sal.13]))))),
0)</f>
        <v>0</v>
      </c>
      <c r="S46" s="93">
        <f t="array" ref="S46">IFERROR(
AVERAGE((IF(DATOS_[[Sexo]:[Sexo]]=$B46,IF(DATOS_[[AGRUP. CLAS. PROF.]:[AGRUP. CLAS. PROF.]]=$B45,IF(DATOS_[[Check Periodo Ref.]:[Check Periodo Ref.]]="Dentro",DATOS_[Conc.Sal.14]))))),
0)</f>
        <v>0</v>
      </c>
      <c r="T46" s="93">
        <f t="array" ref="T46">IFERROR(
AVERAGE((IF(DATOS_[[Sexo]:[Sexo]]=$B46,IF(DATOS_[[AGRUP. CLAS. PROF.]:[AGRUP. CLAS. PROF.]]=$B45,IF(DATOS_[[Check Periodo Ref.]:[Check Periodo Ref.]]="Dentro",DATOS_[Conc.Sal.15]))))),
0)</f>
        <v>0</v>
      </c>
      <c r="U46" s="93">
        <f t="array" ref="U46">IFERROR(
AVERAGE((IF(DATOS_[[Sexo]:[Sexo]]=$B46,IF(DATOS_[[AGRUP. CLAS. PROF.]:[AGRUP. CLAS. PROF.]]=$B45,IF(DATOS_[[Check Periodo Ref.]:[Check Periodo Ref.]]="Dentro",DATOS_[Conc.Sal.16]))))),
0)</f>
        <v>0</v>
      </c>
      <c r="V46" s="93">
        <f t="array" ref="V46">IFERROR(
AVERAGE((IF(DATOS_[[Sexo]:[Sexo]]=$B46,IF(DATOS_[[AGRUP. CLAS. PROF.]:[AGRUP. CLAS. PROF.]]=$B45,IF(DATOS_[[Check Periodo Ref.]:[Check Periodo Ref.]]="Dentro",DATOS_[Conc.Sal.17]))))),
0)</f>
        <v>0</v>
      </c>
      <c r="W46" s="93">
        <f t="array" ref="W46">IFERROR(
AVERAGE((IF(DATOS_[[Sexo]:[Sexo]]=$B46,IF(DATOS_[[AGRUP. CLAS. PROF.]:[AGRUP. CLAS. PROF.]]=$B45,IF(DATOS_[[Check Periodo Ref.]:[Check Periodo Ref.]]="Dentro",DATOS_[Conc.Sal.18]))))),
0)</f>
        <v>0</v>
      </c>
      <c r="X46" s="93">
        <f t="array" ref="X46">IFERROR(
AVERAGE((IF(DATOS_[[Sexo]:[Sexo]]=$B46,IF(DATOS_[[AGRUP. CLAS. PROF.]:[AGRUP. CLAS. PROF.]]=$B45,IF(DATOS_[[Check Periodo Ref.]:[Check Periodo Ref.]]="Dentro",DATOS_[Conc.Sal.19]))))),
0)</f>
        <v>0</v>
      </c>
      <c r="Y46" s="93">
        <f t="array" ref="Y46">IFERROR(
AVERAGE((IF(DATOS_[[Sexo]:[Sexo]]=$B46,IF(DATOS_[[AGRUP. CLAS. PROF.]:[AGRUP. CLAS. PROF.]]=$B45,IF(DATOS_[[Check Periodo Ref.]:[Check Periodo Ref.]]="Dentro",DATOS_[Conc.Sal.20]))))),
0)</f>
        <v>0</v>
      </c>
      <c r="Z46" s="93">
        <f t="array" ref="Z46">IFERROR(
AVERAGE((IF(DATOS_[[Sexo]:[Sexo]]=$B46,IF(DATOS_[[AGRUP. CLAS. PROF.]:[AGRUP. CLAS. PROF.]]=$B45,IF(DATOS_[[Check Periodo Ref.]:[Check Periodo Ref.]]="Dentro",DATOS_[Conc.Sal.21]))))),
0)</f>
        <v>0</v>
      </c>
      <c r="AA46" s="93">
        <f t="array" ref="AA46">IFERROR(
AVERAGE((IF(DATOS_[[Sexo]:[Sexo]]=$B46,IF(DATOS_[[AGRUP. CLAS. PROF.]:[AGRUP. CLAS. PROF.]]=$B45,IF(DATOS_[[Check Periodo Ref.]:[Check Periodo Ref.]]="Dentro",DATOS_[Conc.Sal.22]))))),
0)</f>
        <v>0</v>
      </c>
      <c r="AB46" s="93">
        <f t="array" ref="AB46">IFERROR(
AVERAGE((IF(DATOS_[[Sexo]:[Sexo]]=$B46,IF(DATOS_[[AGRUP. CLAS. PROF.]:[AGRUP. CLAS. PROF.]]=$B45,IF(DATOS_[[Check Periodo Ref.]:[Check Periodo Ref.]]="Dentro",DATOS_[Conc.Sal.23]))))),
0)</f>
        <v>0</v>
      </c>
      <c r="AC46" s="93">
        <f t="array" ref="AC46">IFERROR(
AVERAGE((IF(DATOS_[[Sexo]:[Sexo]]=$B46,IF(DATOS_[[AGRUP. CLAS. PROF.]:[AGRUP. CLAS. PROF.]]=$B45,IF(DATOS_[[Check Periodo Ref.]:[Check Periodo Ref.]]="Dentro",DATOS_[Conc.Sal.24]))))),
0)</f>
        <v>0</v>
      </c>
      <c r="AD46" s="93">
        <f t="array" ref="AD46">IFERROR(
AVERAGE((IF(DATOS_[[Sexo]:[Sexo]]=$B46,IF(DATOS_[[AGRUP. CLAS. PROF.]:[AGRUP. CLAS. PROF.]]=$B45,IF(DATOS_[[Check Periodo Ref.]:[Check Periodo Ref.]]="Dentro",DATOS_[Conc.Sal.25]))))),
0)</f>
        <v>0</v>
      </c>
      <c r="AE46" s="93">
        <f t="array" ref="AE46">IFERROR(
AVERAGE((IF(DATOS_[[Sexo]:[Sexo]]=$B46,IF(DATOS_[[AGRUP. CLAS. PROF.]:[AGRUP. CLAS. PROF.]]=$B45,IF(DATOS_[[Check Periodo Ref.]:[Check Periodo Ref.]]="Dentro",DATOS_[Conc.Sal.26]))))),
0)</f>
        <v>0</v>
      </c>
      <c r="AF46" s="93">
        <f t="array" ref="AF46">IFERROR(
AVERAGE((IF(DATOS_[[Sexo]:[Sexo]]=$B46,IF(DATOS_[[AGRUP. CLAS. PROF.]:[AGRUP. CLAS. PROF.]]=$B45,IF(DATOS_[[Check Periodo Ref.]:[Check Periodo Ref.]]="Dentro",DATOS_[Conc.Sal.27]))))),
0)</f>
        <v>0</v>
      </c>
      <c r="AG46" s="93">
        <f t="array" ref="AG46">IFERROR(
AVERAGE((IF(DATOS_[[Sexo]:[Sexo]]=$B46,IF(DATOS_[[AGRUP. CLAS. PROF.]:[AGRUP. CLAS. PROF.]]=$B45,IF(DATOS_[[Check Periodo Ref.]:[Check Periodo Ref.]]="Dentro",DATOS_[Conc.Sal.28]))))),
0)</f>
        <v>0</v>
      </c>
      <c r="AH46" s="93">
        <f t="array" ref="AH46">IFERROR(
AVERAGE((IF(DATOS_[[Sexo]:[Sexo]]=$B46,IF(DATOS_[[AGRUP. CLAS. PROF.]:[AGRUP. CLAS. PROF.]]=$B45,IF(DATOS_[[Check Periodo Ref.]:[Check Periodo Ref.]]="Dentro",DATOS_[Conc.Sal.29]))))),
0)</f>
        <v>0</v>
      </c>
      <c r="AI46" s="93">
        <f t="array" ref="AI46">IFERROR(
AVERAGE((IF(DATOS_[[Sexo]:[Sexo]]=$B46,IF(DATOS_[[AGRUP. CLAS. PROF.]:[AGRUP. CLAS. PROF.]]=$B45,IF(DATOS_[[Check Periodo Ref.]:[Check Periodo Ref.]]="Dentro",DATOS_[Conc.Sal.30]))))),
0)</f>
        <v>0</v>
      </c>
      <c r="AJ46" s="94">
        <f t="array" ref="AJ46">IFERROR(
AVERAGE(IF(DATOS_[Sexo]=$B46,IF(DATOS_[AGRUP. CLAS. PROF.]=$B45,IF(DATOS_[Check Periodo Ref.]="Dentro",DATOS_[Tot COMPL.SAL Ef],FALSE)))),
0)</f>
        <v>0</v>
      </c>
      <c r="AK46" s="96">
        <f t="array" ref="AK46">IFERROR(
AVERAGE(IF(DATOS_[Sexo]=$B46,IF(DATOS_[AGRUP. CLAS. PROF.]=$B45,IF(DATOS_[Check Periodo Ref.]="Dentro",DATOS_[TOTAL SALARIO Ef],FALSE)))),
0)</f>
        <v>0</v>
      </c>
      <c r="AL46" s="95">
        <f t="array" ref="AL46">IFERROR(
AVERAGE((IF(DATOS_[[Sexo]:[Sexo]]=$B46,IF(DATOS_[[AGRUP. CLAS. PROF.]:[AGRUP. CLAS. PROF.]]=$B45,IF(DATOS_[[Check Periodo Ref.]:[Check Periodo Ref.]]="Dentro",DATOS_[C.Extra.01]))))),
0)</f>
        <v>0</v>
      </c>
      <c r="AM46" s="95">
        <f t="array" ref="AM46">IFERROR(
AVERAGE((IF(DATOS_[[Sexo]:[Sexo]]=$B46,IF(DATOS_[[AGRUP. CLAS. PROF.]:[AGRUP. CLAS. PROF.]]=$B45,IF(DATOS_[[Check Periodo Ref.]:[Check Periodo Ref.]]="Dentro",DATOS_[C.Extra.02]))))),
0)</f>
        <v>0</v>
      </c>
      <c r="AN46" s="95">
        <f t="array" ref="AN46">IFERROR(
AVERAGE((IF(DATOS_[[Sexo]:[Sexo]]=$B46,IF(DATOS_[[AGRUP. CLAS. PROF.]:[AGRUP. CLAS. PROF.]]=$B45,IF(DATOS_[[Check Periodo Ref.]:[Check Periodo Ref.]]="Dentro",DATOS_[C.Extra.03]))))),
0)</f>
        <v>0</v>
      </c>
      <c r="AO46" s="95">
        <f t="array" ref="AO46">IFERROR(
AVERAGE((IF(DATOS_[[Sexo]:[Sexo]]=$B46,IF(DATOS_[[AGRUP. CLAS. PROF.]:[AGRUP. CLAS. PROF.]]=$B45,IF(DATOS_[[Check Periodo Ref.]:[Check Periodo Ref.]]="Dentro",DATOS_[C.Extra.04]))))),
0)</f>
        <v>0</v>
      </c>
      <c r="AP46" s="95">
        <f t="array" ref="AP46">IFERROR(
AVERAGE((IF(DATOS_[[Sexo]:[Sexo]]=$B46,IF(DATOS_[[AGRUP. CLAS. PROF.]:[AGRUP. CLAS. PROF.]]=$B45,IF(DATOS_[[Check Periodo Ref.]:[Check Periodo Ref.]]="Dentro",DATOS_[C.Extra.05]))))),
0)</f>
        <v>0</v>
      </c>
      <c r="AQ46" s="97">
        <f t="array" ref="AQ46">IFERROR(
AVERAGE(IF(DATOS_[Sexo]=$B46,IF(DATOS_[AGRUP. CLAS. PROF.]=$B45,IF(DATOS_[Check Periodo Ref.]="Dentro",DATOS_[Tot Extrasalarial Ef],FALSE)))),
0)</f>
        <v>0</v>
      </c>
      <c r="AR46" s="98">
        <f t="array" ref="AR46">IFERROR(
AVERAGE(IF(DATOS_[Sexo]=$B46,IF(DATOS_[AGRUP. CLAS. PROF.]=$B45,IF(DATOS_[Check Periodo Ref.]="Dentro",DATOS_[TOTAL Retrib Ef],FALSE)))),
0)</f>
        <v>0</v>
      </c>
    </row>
    <row r="47" spans="1:44" hidden="1" x14ac:dyDescent="0.3">
      <c r="A47" s="309" t="str">
        <f t="shared" ref="A47" si="46">+A46</f>
        <v>[ocultar]</v>
      </c>
      <c r="B47" s="46" t="s">
        <v>163</v>
      </c>
      <c r="C47" s="45">
        <f t="array" ref="C47">SUM(IF($B47=DATOS_[Sexo],
IF($B45=DATOS_[AGRUP. CLAS. PROF.],
IF("Dentro"=DATOS_[Check Periodo Ref.],
1/(COUNTIFS(DATOS_[Sexo],$B47,DATOS_[AGRUP. CLAS. PROF.],$B45,DATOS_[Check Periodo Ref.],"Dentro",DATOS_[id],DATOS_[id]))))))</f>
        <v>0</v>
      </c>
      <c r="D47" s="47">
        <f>COUNTIFS(DATOS_[AGRUP. CLAS. PROF.],$B45,DATOS_[Sexo],$B47,DATOS_[Check Periodo Ref.],"Dentro")</f>
        <v>0</v>
      </c>
      <c r="E47" s="92">
        <f t="array" ref="E47">IFERROR(
AVERAGE(IF(DATOS_[Sexo]=$B47,IF(DATOS_[AGRUP. CLAS. PROF.]=$B45,IF(DATOS_[Check Periodo Ref.]="Dentro",DATOS_[SALARIO BASE Ef],FALSE)))),
0)</f>
        <v>0</v>
      </c>
      <c r="F47" s="93">
        <f t="array" ref="F47">IFERROR(
AVERAGE((IF(DATOS_[[Sexo]:[Sexo]]=$B47,IF(DATOS_[[AGRUP. CLAS. PROF.]:[AGRUP. CLAS. PROF.]]=$B45,IF(DATOS_[[Check Periodo Ref.]:[Check Periodo Ref.]]="Dentro",DATOS_[Conc.Sal.01]))))),
0)</f>
        <v>0</v>
      </c>
      <c r="G47" s="93">
        <f t="array" ref="G47">IFERROR(
AVERAGE((IF(DATOS_[[Sexo]:[Sexo]]=$B47,IF(DATOS_[[AGRUP. CLAS. PROF.]:[AGRUP. CLAS. PROF.]]=$B45,IF(DATOS_[[Check Periodo Ref.]:[Check Periodo Ref.]]="Dentro",DATOS_[Conc.Sal.02]))))),
0)</f>
        <v>0</v>
      </c>
      <c r="H47" s="93">
        <f t="array" ref="H47">IFERROR(
AVERAGE((IF(DATOS_[[Sexo]:[Sexo]]=$B47,IF(DATOS_[[AGRUP. CLAS. PROF.]:[AGRUP. CLAS. PROF.]]=$B45,IF(DATOS_[[Check Periodo Ref.]:[Check Periodo Ref.]]="Dentro",DATOS_[Conc.Sal.03]))))),
0)</f>
        <v>0</v>
      </c>
      <c r="I47" s="93">
        <f t="array" ref="I47">IFERROR(
AVERAGE((IF(DATOS_[[Sexo]:[Sexo]]=$B47,IF(DATOS_[[AGRUP. CLAS. PROF.]:[AGRUP. CLAS. PROF.]]=$B45,IF(DATOS_[[Check Periodo Ref.]:[Check Periodo Ref.]]="Dentro",DATOS_[Conc.Sal.04]))))),
0)</f>
        <v>0</v>
      </c>
      <c r="J47" s="93">
        <f t="array" ref="J47">IFERROR(
AVERAGE((IF(DATOS_[[Sexo]:[Sexo]]=$B47,IF(DATOS_[[AGRUP. CLAS. PROF.]:[AGRUP. CLAS. PROF.]]=$B45,IF(DATOS_[[Check Periodo Ref.]:[Check Periodo Ref.]]="Dentro",DATOS_[Conc.Sal.05]))))),
0)</f>
        <v>0</v>
      </c>
      <c r="K47" s="93">
        <f t="array" ref="K47">IFERROR(
AVERAGE((IF(DATOS_[[Sexo]:[Sexo]]=$B47,IF(DATOS_[[AGRUP. CLAS. PROF.]:[AGRUP. CLAS. PROF.]]=$B45,IF(DATOS_[[Check Periodo Ref.]:[Check Periodo Ref.]]="Dentro",DATOS_[Conc.Sal.06]))))),
0)</f>
        <v>0</v>
      </c>
      <c r="L47" s="93">
        <f t="array" ref="L47">IFERROR(
AVERAGE((IF(DATOS_[[Sexo]:[Sexo]]=$B47,IF(DATOS_[[AGRUP. CLAS. PROF.]:[AGRUP. CLAS. PROF.]]=$B45,IF(DATOS_[[Check Periodo Ref.]:[Check Periodo Ref.]]="Dentro",DATOS_[Conc.Sal.07]))))),
0)</f>
        <v>0</v>
      </c>
      <c r="M47" s="93">
        <f t="array" ref="M47">IFERROR(
AVERAGE((IF(DATOS_[[Sexo]:[Sexo]]=$B47,IF(DATOS_[[AGRUP. CLAS. PROF.]:[AGRUP. CLAS. PROF.]]=$B45,IF(DATOS_[[Check Periodo Ref.]:[Check Periodo Ref.]]="Dentro",DATOS_[Conc.Sal.08]))))),
0)</f>
        <v>0</v>
      </c>
      <c r="N47" s="93">
        <f t="array" ref="N47">IFERROR(
AVERAGE((IF(DATOS_[[Sexo]:[Sexo]]=$B47,IF(DATOS_[[AGRUP. CLAS. PROF.]:[AGRUP. CLAS. PROF.]]=$B45,IF(DATOS_[[Check Periodo Ref.]:[Check Periodo Ref.]]="Dentro",DATOS_[Conc.Sal.09]))))),
0)</f>
        <v>0</v>
      </c>
      <c r="O47" s="93">
        <f t="array" ref="O47">IFERROR(
AVERAGE((IF(DATOS_[[Sexo]:[Sexo]]=$B47,IF(DATOS_[[AGRUP. CLAS. PROF.]:[AGRUP. CLAS. PROF.]]=$B45,IF(DATOS_[[Check Periodo Ref.]:[Check Periodo Ref.]]="Dentro",DATOS_[Conc.Sal.10]))))),
0)</f>
        <v>0</v>
      </c>
      <c r="P47" s="93">
        <f t="array" ref="P47">IFERROR(
AVERAGE((IF(DATOS_[[Sexo]:[Sexo]]=$B47,IF(DATOS_[[AGRUP. CLAS. PROF.]:[AGRUP. CLAS. PROF.]]=$B45,IF(DATOS_[[Check Periodo Ref.]:[Check Periodo Ref.]]="Dentro",DATOS_[Conc.Sal.11]))))),
0)</f>
        <v>0</v>
      </c>
      <c r="Q47" s="93">
        <f t="array" ref="Q47">IFERROR(
AVERAGE((IF(DATOS_[[Sexo]:[Sexo]]=$B47,IF(DATOS_[[AGRUP. CLAS. PROF.]:[AGRUP. CLAS. PROF.]]=$B45,IF(DATOS_[[Check Periodo Ref.]:[Check Periodo Ref.]]="Dentro",DATOS_[Conc.Sal.12]))))),
0)</f>
        <v>0</v>
      </c>
      <c r="R47" s="93">
        <f t="array" ref="R47">IFERROR(
AVERAGE((IF(DATOS_[[Sexo]:[Sexo]]=$B47,IF(DATOS_[[AGRUP. CLAS. PROF.]:[AGRUP. CLAS. PROF.]]=$B45,IF(DATOS_[[Check Periodo Ref.]:[Check Periodo Ref.]]="Dentro",DATOS_[Conc.Sal.13]))))),
0)</f>
        <v>0</v>
      </c>
      <c r="S47" s="93">
        <f t="array" ref="S47">IFERROR(
AVERAGE((IF(DATOS_[[Sexo]:[Sexo]]=$B47,IF(DATOS_[[AGRUP. CLAS. PROF.]:[AGRUP. CLAS. PROF.]]=$B45,IF(DATOS_[[Check Periodo Ref.]:[Check Periodo Ref.]]="Dentro",DATOS_[Conc.Sal.14]))))),
0)</f>
        <v>0</v>
      </c>
      <c r="T47" s="93">
        <f t="array" ref="T47">IFERROR(
AVERAGE((IF(DATOS_[[Sexo]:[Sexo]]=$B47,IF(DATOS_[[AGRUP. CLAS. PROF.]:[AGRUP. CLAS. PROF.]]=$B45,IF(DATOS_[[Check Periodo Ref.]:[Check Periodo Ref.]]="Dentro",DATOS_[Conc.Sal.15]))))),
0)</f>
        <v>0</v>
      </c>
      <c r="U47" s="93">
        <f t="array" ref="U47">IFERROR(
AVERAGE((IF(DATOS_[[Sexo]:[Sexo]]=$B47,IF(DATOS_[[AGRUP. CLAS. PROF.]:[AGRUP. CLAS. PROF.]]=$B45,IF(DATOS_[[Check Periodo Ref.]:[Check Periodo Ref.]]="Dentro",DATOS_[Conc.Sal.16]))))),
0)</f>
        <v>0</v>
      </c>
      <c r="V47" s="93">
        <f t="array" ref="V47">IFERROR(
AVERAGE((IF(DATOS_[[Sexo]:[Sexo]]=$B47,IF(DATOS_[[AGRUP. CLAS. PROF.]:[AGRUP. CLAS. PROF.]]=$B45,IF(DATOS_[[Check Periodo Ref.]:[Check Periodo Ref.]]="Dentro",DATOS_[Conc.Sal.17]))))),
0)</f>
        <v>0</v>
      </c>
      <c r="W47" s="93">
        <f t="array" ref="W47">IFERROR(
AVERAGE((IF(DATOS_[[Sexo]:[Sexo]]=$B47,IF(DATOS_[[AGRUP. CLAS. PROF.]:[AGRUP. CLAS. PROF.]]=$B45,IF(DATOS_[[Check Periodo Ref.]:[Check Periodo Ref.]]="Dentro",DATOS_[Conc.Sal.18]))))),
0)</f>
        <v>0</v>
      </c>
      <c r="X47" s="93">
        <f t="array" ref="X47">IFERROR(
AVERAGE((IF(DATOS_[[Sexo]:[Sexo]]=$B47,IF(DATOS_[[AGRUP. CLAS. PROF.]:[AGRUP. CLAS. PROF.]]=$B45,IF(DATOS_[[Check Periodo Ref.]:[Check Periodo Ref.]]="Dentro",DATOS_[Conc.Sal.19]))))),
0)</f>
        <v>0</v>
      </c>
      <c r="Y47" s="93">
        <f t="array" ref="Y47">IFERROR(
AVERAGE((IF(DATOS_[[Sexo]:[Sexo]]=$B47,IF(DATOS_[[AGRUP. CLAS. PROF.]:[AGRUP. CLAS. PROF.]]=$B45,IF(DATOS_[[Check Periodo Ref.]:[Check Periodo Ref.]]="Dentro",DATOS_[Conc.Sal.20]))))),
0)</f>
        <v>0</v>
      </c>
      <c r="Z47" s="93">
        <f t="array" ref="Z47">IFERROR(
AVERAGE((IF(DATOS_[[Sexo]:[Sexo]]=$B47,IF(DATOS_[[AGRUP. CLAS. PROF.]:[AGRUP. CLAS. PROF.]]=$B45,IF(DATOS_[[Check Periodo Ref.]:[Check Periodo Ref.]]="Dentro",DATOS_[Conc.Sal.21]))))),
0)</f>
        <v>0</v>
      </c>
      <c r="AA47" s="93">
        <f t="array" ref="AA47">IFERROR(
AVERAGE((IF(DATOS_[[Sexo]:[Sexo]]=$B47,IF(DATOS_[[AGRUP. CLAS. PROF.]:[AGRUP. CLAS. PROF.]]=$B45,IF(DATOS_[[Check Periodo Ref.]:[Check Periodo Ref.]]="Dentro",DATOS_[Conc.Sal.22]))))),
0)</f>
        <v>0</v>
      </c>
      <c r="AB47" s="93">
        <f t="array" ref="AB47">IFERROR(
AVERAGE((IF(DATOS_[[Sexo]:[Sexo]]=$B47,IF(DATOS_[[AGRUP. CLAS. PROF.]:[AGRUP. CLAS. PROF.]]=$B45,IF(DATOS_[[Check Periodo Ref.]:[Check Periodo Ref.]]="Dentro",DATOS_[Conc.Sal.23]))))),
0)</f>
        <v>0</v>
      </c>
      <c r="AC47" s="93">
        <f t="array" ref="AC47">IFERROR(
AVERAGE((IF(DATOS_[[Sexo]:[Sexo]]=$B47,IF(DATOS_[[AGRUP. CLAS. PROF.]:[AGRUP. CLAS. PROF.]]=$B45,IF(DATOS_[[Check Periodo Ref.]:[Check Periodo Ref.]]="Dentro",DATOS_[Conc.Sal.24]))))),
0)</f>
        <v>0</v>
      </c>
      <c r="AD47" s="93">
        <f t="array" ref="AD47">IFERROR(
AVERAGE((IF(DATOS_[[Sexo]:[Sexo]]=$B47,IF(DATOS_[[AGRUP. CLAS. PROF.]:[AGRUP. CLAS. PROF.]]=$B45,IF(DATOS_[[Check Periodo Ref.]:[Check Periodo Ref.]]="Dentro",DATOS_[Conc.Sal.25]))))),
0)</f>
        <v>0</v>
      </c>
      <c r="AE47" s="93">
        <f t="array" ref="AE47">IFERROR(
AVERAGE((IF(DATOS_[[Sexo]:[Sexo]]=$B47,IF(DATOS_[[AGRUP. CLAS. PROF.]:[AGRUP. CLAS. PROF.]]=$B45,IF(DATOS_[[Check Periodo Ref.]:[Check Periodo Ref.]]="Dentro",DATOS_[Conc.Sal.26]))))),
0)</f>
        <v>0</v>
      </c>
      <c r="AF47" s="93">
        <f t="array" ref="AF47">IFERROR(
AVERAGE((IF(DATOS_[[Sexo]:[Sexo]]=$B47,IF(DATOS_[[AGRUP. CLAS. PROF.]:[AGRUP. CLAS. PROF.]]=$B45,IF(DATOS_[[Check Periodo Ref.]:[Check Periodo Ref.]]="Dentro",DATOS_[Conc.Sal.27]))))),
0)</f>
        <v>0</v>
      </c>
      <c r="AG47" s="93">
        <f t="array" ref="AG47">IFERROR(
AVERAGE((IF(DATOS_[[Sexo]:[Sexo]]=$B47,IF(DATOS_[[AGRUP. CLAS. PROF.]:[AGRUP. CLAS. PROF.]]=$B45,IF(DATOS_[[Check Periodo Ref.]:[Check Periodo Ref.]]="Dentro",DATOS_[Conc.Sal.28]))))),
0)</f>
        <v>0</v>
      </c>
      <c r="AH47" s="93">
        <f t="array" ref="AH47">IFERROR(
AVERAGE((IF(DATOS_[[Sexo]:[Sexo]]=$B47,IF(DATOS_[[AGRUP. CLAS. PROF.]:[AGRUP. CLAS. PROF.]]=$B45,IF(DATOS_[[Check Periodo Ref.]:[Check Periodo Ref.]]="Dentro",DATOS_[Conc.Sal.29]))))),
0)</f>
        <v>0</v>
      </c>
      <c r="AI47" s="93">
        <f t="array" ref="AI47">IFERROR(
AVERAGE((IF(DATOS_[[Sexo]:[Sexo]]=$B47,IF(DATOS_[[AGRUP. CLAS. PROF.]:[AGRUP. CLAS. PROF.]]=$B45,IF(DATOS_[[Check Periodo Ref.]:[Check Periodo Ref.]]="Dentro",DATOS_[Conc.Sal.30]))))),
0)</f>
        <v>0</v>
      </c>
      <c r="AJ47" s="94">
        <f t="array" ref="AJ47">IFERROR(
AVERAGE(IF(DATOS_[Sexo]=$B47,IF(DATOS_[AGRUP. CLAS. PROF.]=$B45,IF(DATOS_[Check Periodo Ref.]="Dentro",DATOS_[Tot COMPL.SAL Ef],FALSE)))),
0)</f>
        <v>0</v>
      </c>
      <c r="AK47" s="96">
        <f t="array" ref="AK47">IFERROR(
AVERAGE(IF(DATOS_[Sexo]=$B47,IF(DATOS_[AGRUP. CLAS. PROF.]=$B45,IF(DATOS_[Check Periodo Ref.]="Dentro",DATOS_[TOTAL SALARIO Ef],FALSE)))),
0)</f>
        <v>0</v>
      </c>
      <c r="AL47" s="95">
        <f t="array" ref="AL47">IFERROR(
AVERAGE((IF(DATOS_[[Sexo]:[Sexo]]=$B47,IF(DATOS_[[AGRUP. CLAS. PROF.]:[AGRUP. CLAS. PROF.]]=$B45,IF(DATOS_[[Check Periodo Ref.]:[Check Periodo Ref.]]="Dentro",DATOS_[C.Extra.01]))))),
0)</f>
        <v>0</v>
      </c>
      <c r="AM47" s="95">
        <f t="array" ref="AM47">IFERROR(
AVERAGE((IF(DATOS_[[Sexo]:[Sexo]]=$B47,IF(DATOS_[[AGRUP. CLAS. PROF.]:[AGRUP. CLAS. PROF.]]=$B45,IF(DATOS_[[Check Periodo Ref.]:[Check Periodo Ref.]]="Dentro",DATOS_[C.Extra.02]))))),
0)</f>
        <v>0</v>
      </c>
      <c r="AN47" s="95">
        <f t="array" ref="AN47">IFERROR(
AVERAGE((IF(DATOS_[[Sexo]:[Sexo]]=$B47,IF(DATOS_[[AGRUP. CLAS. PROF.]:[AGRUP. CLAS. PROF.]]=$B45,IF(DATOS_[[Check Periodo Ref.]:[Check Periodo Ref.]]="Dentro",DATOS_[C.Extra.03]))))),
0)</f>
        <v>0</v>
      </c>
      <c r="AO47" s="95">
        <f t="array" ref="AO47">IFERROR(
AVERAGE((IF(DATOS_[[Sexo]:[Sexo]]=$B47,IF(DATOS_[[AGRUP. CLAS. PROF.]:[AGRUP. CLAS. PROF.]]=$B45,IF(DATOS_[[Check Periodo Ref.]:[Check Periodo Ref.]]="Dentro",DATOS_[C.Extra.04]))))),
0)</f>
        <v>0</v>
      </c>
      <c r="AP47" s="95">
        <f t="array" ref="AP47">IFERROR(
AVERAGE((IF(DATOS_[[Sexo]:[Sexo]]=$B47,IF(DATOS_[[AGRUP. CLAS. PROF.]:[AGRUP. CLAS. PROF.]]=$B45,IF(DATOS_[[Check Periodo Ref.]:[Check Periodo Ref.]]="Dentro",DATOS_[C.Extra.05]))))),
0)</f>
        <v>0</v>
      </c>
      <c r="AQ47" s="97">
        <f t="array" ref="AQ47">IFERROR(
AVERAGE(IF(DATOS_[Sexo]=$B47,IF(DATOS_[AGRUP. CLAS. PROF.]=$B45,IF(DATOS_[Check Periodo Ref.]="Dentro",DATOS_[Tot Extrasalarial Ef],FALSE)))),
0)</f>
        <v>0</v>
      </c>
      <c r="AR47" s="98">
        <f t="array" ref="AR47">IFERROR(
AVERAGE(IF(DATOS_[Sexo]=$B47,IF(DATOS_[AGRUP. CLAS. PROF.]=$B45,IF(DATOS_[Check Periodo Ref.]="Dentro",DATOS_[TOTAL Retrib Ef],FALSE)))),
0)</f>
        <v>0</v>
      </c>
    </row>
    <row r="48" spans="1:44" ht="17.25" hidden="1" thickBot="1" x14ac:dyDescent="0.35">
      <c r="A48" s="309" t="str">
        <f t="shared" ref="A48" si="47">+A49</f>
        <v>[ocultar]</v>
      </c>
      <c r="B48" s="51" t="s">
        <v>228</v>
      </c>
      <c r="C48" s="91"/>
      <c r="D48" s="52"/>
      <c r="E48" s="139" t="str">
        <f t="shared" ref="E48:AR48" si="48">IFERROR((E49-E50)/E49,"")</f>
        <v/>
      </c>
      <c r="F48" s="310" t="str">
        <f t="shared" si="48"/>
        <v/>
      </c>
      <c r="G48" s="180" t="str">
        <f t="shared" si="48"/>
        <v/>
      </c>
      <c r="H48" s="180" t="str">
        <f t="shared" si="48"/>
        <v/>
      </c>
      <c r="I48" s="180" t="str">
        <f t="shared" si="48"/>
        <v/>
      </c>
      <c r="J48" s="181" t="str">
        <f t="shared" si="48"/>
        <v/>
      </c>
      <c r="K48" s="182" t="str">
        <f t="shared" si="48"/>
        <v/>
      </c>
      <c r="L48" s="182" t="str">
        <f t="shared" si="48"/>
        <v/>
      </c>
      <c r="M48" s="182" t="str">
        <f t="shared" si="48"/>
        <v/>
      </c>
      <c r="N48" s="182" t="str">
        <f t="shared" si="48"/>
        <v/>
      </c>
      <c r="O48" s="182" t="str">
        <f t="shared" si="48"/>
        <v/>
      </c>
      <c r="P48" s="182" t="str">
        <f t="shared" si="48"/>
        <v/>
      </c>
      <c r="Q48" s="182" t="str">
        <f t="shared" si="48"/>
        <v/>
      </c>
      <c r="R48" s="182" t="str">
        <f t="shared" si="48"/>
        <v/>
      </c>
      <c r="S48" s="182" t="str">
        <f t="shared" si="48"/>
        <v/>
      </c>
      <c r="T48" s="182" t="str">
        <f t="shared" si="48"/>
        <v/>
      </c>
      <c r="U48" s="182" t="str">
        <f t="shared" si="48"/>
        <v/>
      </c>
      <c r="V48" s="181" t="str">
        <f t="shared" si="48"/>
        <v/>
      </c>
      <c r="W48" s="181" t="str">
        <f t="shared" si="48"/>
        <v/>
      </c>
      <c r="X48" s="181" t="str">
        <f t="shared" si="48"/>
        <v/>
      </c>
      <c r="Y48" s="181" t="str">
        <f t="shared" si="48"/>
        <v/>
      </c>
      <c r="Z48" s="181" t="str">
        <f t="shared" si="48"/>
        <v/>
      </c>
      <c r="AA48" s="181" t="str">
        <f t="shared" si="48"/>
        <v/>
      </c>
      <c r="AB48" s="181" t="str">
        <f t="shared" si="48"/>
        <v/>
      </c>
      <c r="AC48" s="181" t="str">
        <f t="shared" si="48"/>
        <v/>
      </c>
      <c r="AD48" s="181" t="str">
        <f t="shared" si="48"/>
        <v/>
      </c>
      <c r="AE48" s="181" t="str">
        <f t="shared" si="48"/>
        <v/>
      </c>
      <c r="AF48" s="181" t="str">
        <f t="shared" si="48"/>
        <v/>
      </c>
      <c r="AG48" s="181" t="str">
        <f t="shared" si="48"/>
        <v/>
      </c>
      <c r="AH48" s="181" t="str">
        <f t="shared" si="48"/>
        <v/>
      </c>
      <c r="AI48" s="181" t="str">
        <f t="shared" si="48"/>
        <v/>
      </c>
      <c r="AJ48" s="140" t="str">
        <f t="shared" si="48"/>
        <v/>
      </c>
      <c r="AK48" s="143" t="str">
        <f t="shared" si="48"/>
        <v/>
      </c>
      <c r="AL48" s="184" t="str">
        <f t="shared" si="48"/>
        <v/>
      </c>
      <c r="AM48" s="184" t="str">
        <f t="shared" si="48"/>
        <v/>
      </c>
      <c r="AN48" s="184" t="str">
        <f t="shared" si="48"/>
        <v/>
      </c>
      <c r="AO48" s="184" t="str">
        <f t="shared" si="48"/>
        <v/>
      </c>
      <c r="AP48" s="184" t="str">
        <f t="shared" si="48"/>
        <v/>
      </c>
      <c r="AQ48" s="141" t="str">
        <f t="shared" si="48"/>
        <v/>
      </c>
      <c r="AR48" s="142" t="str">
        <f t="shared" si="48"/>
        <v/>
      </c>
    </row>
    <row r="49" spans="1:44" hidden="1" x14ac:dyDescent="0.3">
      <c r="A49" s="309" t="str">
        <f t="shared" ref="A49" si="49">+IF(C49+C50=0,"[ocultar]","")</f>
        <v>[ocultar]</v>
      </c>
      <c r="B49" s="46" t="s">
        <v>162</v>
      </c>
      <c r="C49" s="45">
        <f t="array" ref="C49">SUM(IF($B49=DATOS_[Sexo],
IF($B48=DATOS_[AGRUP. CLAS. PROF.],
IF("Dentro"=DATOS_[Check Periodo Ref.],
1/(COUNTIFS(DATOS_[Sexo],$B49,DATOS_[AGRUP. CLAS. PROF.],$B48,DATOS_[Check Periodo Ref.],"Dentro",DATOS_[id],DATOS_[id]))))))</f>
        <v>0</v>
      </c>
      <c r="D49" s="47">
        <f>COUNTIFS(DATOS_[AGRUP. CLAS. PROF.],$B48,DATOS_[Sexo],$B49,DATOS_[Check Periodo Ref.],"Dentro")</f>
        <v>0</v>
      </c>
      <c r="E49" s="92">
        <f t="array" ref="E49">IFERROR(
AVERAGE(IF(DATOS_[Sexo]=$B49,IF(DATOS_[AGRUP. CLAS. PROF.]=$B48,IF(DATOS_[Check Periodo Ref.]="Dentro",DATOS_[SALARIO BASE Ef],FALSE)))),
0)</f>
        <v>0</v>
      </c>
      <c r="F49" s="93">
        <f t="array" ref="F49">IFERROR(
AVERAGE((IF(DATOS_[[Sexo]:[Sexo]]=$B49,IF(DATOS_[[AGRUP. CLAS. PROF.]:[AGRUP. CLAS. PROF.]]=$B48,IF(DATOS_[[Check Periodo Ref.]:[Check Periodo Ref.]]="Dentro",DATOS_[Conc.Sal.01]))))),
0)</f>
        <v>0</v>
      </c>
      <c r="G49" s="93">
        <f t="array" ref="G49">IFERROR(
AVERAGE((IF(DATOS_[[Sexo]:[Sexo]]=$B49,IF(DATOS_[[AGRUP. CLAS. PROF.]:[AGRUP. CLAS. PROF.]]=$B48,IF(DATOS_[[Check Periodo Ref.]:[Check Periodo Ref.]]="Dentro",DATOS_[Conc.Sal.02]))))),
0)</f>
        <v>0</v>
      </c>
      <c r="H49" s="93">
        <f t="array" ref="H49">IFERROR(
AVERAGE((IF(DATOS_[[Sexo]:[Sexo]]=$B49,IF(DATOS_[[AGRUP. CLAS. PROF.]:[AGRUP. CLAS. PROF.]]=$B48,IF(DATOS_[[Check Periodo Ref.]:[Check Periodo Ref.]]="Dentro",DATOS_[Conc.Sal.03]))))),
0)</f>
        <v>0</v>
      </c>
      <c r="I49" s="93">
        <f t="array" ref="I49">IFERROR(
AVERAGE((IF(DATOS_[[Sexo]:[Sexo]]=$B49,IF(DATOS_[[AGRUP. CLAS. PROF.]:[AGRUP. CLAS. PROF.]]=$B48,IF(DATOS_[[Check Periodo Ref.]:[Check Periodo Ref.]]="Dentro",DATOS_[Conc.Sal.04]))))),
0)</f>
        <v>0</v>
      </c>
      <c r="J49" s="93">
        <f t="array" ref="J49">IFERROR(
AVERAGE((IF(DATOS_[[Sexo]:[Sexo]]=$B49,IF(DATOS_[[AGRUP. CLAS. PROF.]:[AGRUP. CLAS. PROF.]]=$B48,IF(DATOS_[[Check Periodo Ref.]:[Check Periodo Ref.]]="Dentro",DATOS_[Conc.Sal.05]))))),
0)</f>
        <v>0</v>
      </c>
      <c r="K49" s="93">
        <f t="array" ref="K49">IFERROR(
AVERAGE((IF(DATOS_[[Sexo]:[Sexo]]=$B49,IF(DATOS_[[AGRUP. CLAS. PROF.]:[AGRUP. CLAS. PROF.]]=$B48,IF(DATOS_[[Check Periodo Ref.]:[Check Periodo Ref.]]="Dentro",DATOS_[Conc.Sal.06]))))),
0)</f>
        <v>0</v>
      </c>
      <c r="L49" s="93">
        <f t="array" ref="L49">IFERROR(
AVERAGE((IF(DATOS_[[Sexo]:[Sexo]]=$B49,IF(DATOS_[[AGRUP. CLAS. PROF.]:[AGRUP. CLAS. PROF.]]=$B48,IF(DATOS_[[Check Periodo Ref.]:[Check Periodo Ref.]]="Dentro",DATOS_[Conc.Sal.07]))))),
0)</f>
        <v>0</v>
      </c>
      <c r="M49" s="93">
        <f t="array" ref="M49">IFERROR(
AVERAGE((IF(DATOS_[[Sexo]:[Sexo]]=$B49,IF(DATOS_[[AGRUP. CLAS. PROF.]:[AGRUP. CLAS. PROF.]]=$B48,IF(DATOS_[[Check Periodo Ref.]:[Check Periodo Ref.]]="Dentro",DATOS_[Conc.Sal.08]))))),
0)</f>
        <v>0</v>
      </c>
      <c r="N49" s="93">
        <f t="array" ref="N49">IFERROR(
AVERAGE((IF(DATOS_[[Sexo]:[Sexo]]=$B49,IF(DATOS_[[AGRUP. CLAS. PROF.]:[AGRUP. CLAS. PROF.]]=$B48,IF(DATOS_[[Check Periodo Ref.]:[Check Periodo Ref.]]="Dentro",DATOS_[Conc.Sal.09]))))),
0)</f>
        <v>0</v>
      </c>
      <c r="O49" s="93">
        <f t="array" ref="O49">IFERROR(
AVERAGE((IF(DATOS_[[Sexo]:[Sexo]]=$B49,IF(DATOS_[[AGRUP. CLAS. PROF.]:[AGRUP. CLAS. PROF.]]=$B48,IF(DATOS_[[Check Periodo Ref.]:[Check Periodo Ref.]]="Dentro",DATOS_[Conc.Sal.10]))))),
0)</f>
        <v>0</v>
      </c>
      <c r="P49" s="93">
        <f t="array" ref="P49">IFERROR(
AVERAGE((IF(DATOS_[[Sexo]:[Sexo]]=$B49,IF(DATOS_[[AGRUP. CLAS. PROF.]:[AGRUP. CLAS. PROF.]]=$B48,IF(DATOS_[[Check Periodo Ref.]:[Check Periodo Ref.]]="Dentro",DATOS_[Conc.Sal.11]))))),
0)</f>
        <v>0</v>
      </c>
      <c r="Q49" s="93">
        <f t="array" ref="Q49">IFERROR(
AVERAGE((IF(DATOS_[[Sexo]:[Sexo]]=$B49,IF(DATOS_[[AGRUP. CLAS. PROF.]:[AGRUP. CLAS. PROF.]]=$B48,IF(DATOS_[[Check Periodo Ref.]:[Check Periodo Ref.]]="Dentro",DATOS_[Conc.Sal.12]))))),
0)</f>
        <v>0</v>
      </c>
      <c r="R49" s="93">
        <f t="array" ref="R49">IFERROR(
AVERAGE((IF(DATOS_[[Sexo]:[Sexo]]=$B49,IF(DATOS_[[AGRUP. CLAS. PROF.]:[AGRUP. CLAS. PROF.]]=$B48,IF(DATOS_[[Check Periodo Ref.]:[Check Periodo Ref.]]="Dentro",DATOS_[Conc.Sal.13]))))),
0)</f>
        <v>0</v>
      </c>
      <c r="S49" s="93">
        <f t="array" ref="S49">IFERROR(
AVERAGE((IF(DATOS_[[Sexo]:[Sexo]]=$B49,IF(DATOS_[[AGRUP. CLAS. PROF.]:[AGRUP. CLAS. PROF.]]=$B48,IF(DATOS_[[Check Periodo Ref.]:[Check Periodo Ref.]]="Dentro",DATOS_[Conc.Sal.14]))))),
0)</f>
        <v>0</v>
      </c>
      <c r="T49" s="93">
        <f t="array" ref="T49">IFERROR(
AVERAGE((IF(DATOS_[[Sexo]:[Sexo]]=$B49,IF(DATOS_[[AGRUP. CLAS. PROF.]:[AGRUP. CLAS. PROF.]]=$B48,IF(DATOS_[[Check Periodo Ref.]:[Check Periodo Ref.]]="Dentro",DATOS_[Conc.Sal.15]))))),
0)</f>
        <v>0</v>
      </c>
      <c r="U49" s="93">
        <f t="array" ref="U49">IFERROR(
AVERAGE((IF(DATOS_[[Sexo]:[Sexo]]=$B49,IF(DATOS_[[AGRUP. CLAS. PROF.]:[AGRUP. CLAS. PROF.]]=$B48,IF(DATOS_[[Check Periodo Ref.]:[Check Periodo Ref.]]="Dentro",DATOS_[Conc.Sal.16]))))),
0)</f>
        <v>0</v>
      </c>
      <c r="V49" s="93">
        <f t="array" ref="V49">IFERROR(
AVERAGE((IF(DATOS_[[Sexo]:[Sexo]]=$B49,IF(DATOS_[[AGRUP. CLAS. PROF.]:[AGRUP. CLAS. PROF.]]=$B48,IF(DATOS_[[Check Periodo Ref.]:[Check Periodo Ref.]]="Dentro",DATOS_[Conc.Sal.17]))))),
0)</f>
        <v>0</v>
      </c>
      <c r="W49" s="93">
        <f t="array" ref="W49">IFERROR(
AVERAGE((IF(DATOS_[[Sexo]:[Sexo]]=$B49,IF(DATOS_[[AGRUP. CLAS. PROF.]:[AGRUP. CLAS. PROF.]]=$B48,IF(DATOS_[[Check Periodo Ref.]:[Check Periodo Ref.]]="Dentro",DATOS_[Conc.Sal.18]))))),
0)</f>
        <v>0</v>
      </c>
      <c r="X49" s="93">
        <f t="array" ref="X49">IFERROR(
AVERAGE((IF(DATOS_[[Sexo]:[Sexo]]=$B49,IF(DATOS_[[AGRUP. CLAS. PROF.]:[AGRUP. CLAS. PROF.]]=$B48,IF(DATOS_[[Check Periodo Ref.]:[Check Periodo Ref.]]="Dentro",DATOS_[Conc.Sal.19]))))),
0)</f>
        <v>0</v>
      </c>
      <c r="Y49" s="93">
        <f t="array" ref="Y49">IFERROR(
AVERAGE((IF(DATOS_[[Sexo]:[Sexo]]=$B49,IF(DATOS_[[AGRUP. CLAS. PROF.]:[AGRUP. CLAS. PROF.]]=$B48,IF(DATOS_[[Check Periodo Ref.]:[Check Periodo Ref.]]="Dentro",DATOS_[Conc.Sal.20]))))),
0)</f>
        <v>0</v>
      </c>
      <c r="Z49" s="93">
        <f t="array" ref="Z49">IFERROR(
AVERAGE((IF(DATOS_[[Sexo]:[Sexo]]=$B49,IF(DATOS_[[AGRUP. CLAS. PROF.]:[AGRUP. CLAS. PROF.]]=$B48,IF(DATOS_[[Check Periodo Ref.]:[Check Periodo Ref.]]="Dentro",DATOS_[Conc.Sal.21]))))),
0)</f>
        <v>0</v>
      </c>
      <c r="AA49" s="93">
        <f t="array" ref="AA49">IFERROR(
AVERAGE((IF(DATOS_[[Sexo]:[Sexo]]=$B49,IF(DATOS_[[AGRUP. CLAS. PROF.]:[AGRUP. CLAS. PROF.]]=$B48,IF(DATOS_[[Check Periodo Ref.]:[Check Periodo Ref.]]="Dentro",DATOS_[Conc.Sal.22]))))),
0)</f>
        <v>0</v>
      </c>
      <c r="AB49" s="93">
        <f t="array" ref="AB49">IFERROR(
AVERAGE((IF(DATOS_[[Sexo]:[Sexo]]=$B49,IF(DATOS_[[AGRUP. CLAS. PROF.]:[AGRUP. CLAS. PROF.]]=$B48,IF(DATOS_[[Check Periodo Ref.]:[Check Periodo Ref.]]="Dentro",DATOS_[Conc.Sal.23]))))),
0)</f>
        <v>0</v>
      </c>
      <c r="AC49" s="93">
        <f t="array" ref="AC49">IFERROR(
AVERAGE((IF(DATOS_[[Sexo]:[Sexo]]=$B49,IF(DATOS_[[AGRUP. CLAS. PROF.]:[AGRUP. CLAS. PROF.]]=$B48,IF(DATOS_[[Check Periodo Ref.]:[Check Periodo Ref.]]="Dentro",DATOS_[Conc.Sal.24]))))),
0)</f>
        <v>0</v>
      </c>
      <c r="AD49" s="93">
        <f t="array" ref="AD49">IFERROR(
AVERAGE((IF(DATOS_[[Sexo]:[Sexo]]=$B49,IF(DATOS_[[AGRUP. CLAS. PROF.]:[AGRUP. CLAS. PROF.]]=$B48,IF(DATOS_[[Check Periodo Ref.]:[Check Periodo Ref.]]="Dentro",DATOS_[Conc.Sal.25]))))),
0)</f>
        <v>0</v>
      </c>
      <c r="AE49" s="93">
        <f t="array" ref="AE49">IFERROR(
AVERAGE((IF(DATOS_[[Sexo]:[Sexo]]=$B49,IF(DATOS_[[AGRUP. CLAS. PROF.]:[AGRUP. CLAS. PROF.]]=$B48,IF(DATOS_[[Check Periodo Ref.]:[Check Periodo Ref.]]="Dentro",DATOS_[Conc.Sal.26]))))),
0)</f>
        <v>0</v>
      </c>
      <c r="AF49" s="93">
        <f t="array" ref="AF49">IFERROR(
AVERAGE((IF(DATOS_[[Sexo]:[Sexo]]=$B49,IF(DATOS_[[AGRUP. CLAS. PROF.]:[AGRUP. CLAS. PROF.]]=$B48,IF(DATOS_[[Check Periodo Ref.]:[Check Periodo Ref.]]="Dentro",DATOS_[Conc.Sal.27]))))),
0)</f>
        <v>0</v>
      </c>
      <c r="AG49" s="93">
        <f t="array" ref="AG49">IFERROR(
AVERAGE((IF(DATOS_[[Sexo]:[Sexo]]=$B49,IF(DATOS_[[AGRUP. CLAS. PROF.]:[AGRUP. CLAS. PROF.]]=$B48,IF(DATOS_[[Check Periodo Ref.]:[Check Periodo Ref.]]="Dentro",DATOS_[Conc.Sal.28]))))),
0)</f>
        <v>0</v>
      </c>
      <c r="AH49" s="93">
        <f t="array" ref="AH49">IFERROR(
AVERAGE((IF(DATOS_[[Sexo]:[Sexo]]=$B49,IF(DATOS_[[AGRUP. CLAS. PROF.]:[AGRUP. CLAS. PROF.]]=$B48,IF(DATOS_[[Check Periodo Ref.]:[Check Periodo Ref.]]="Dentro",DATOS_[Conc.Sal.29]))))),
0)</f>
        <v>0</v>
      </c>
      <c r="AI49" s="93">
        <f t="array" ref="AI49">IFERROR(
AVERAGE((IF(DATOS_[[Sexo]:[Sexo]]=$B49,IF(DATOS_[[AGRUP. CLAS. PROF.]:[AGRUP. CLAS. PROF.]]=$B48,IF(DATOS_[[Check Periodo Ref.]:[Check Periodo Ref.]]="Dentro",DATOS_[Conc.Sal.30]))))),
0)</f>
        <v>0</v>
      </c>
      <c r="AJ49" s="94">
        <f t="array" ref="AJ49">IFERROR(
AVERAGE(IF(DATOS_[Sexo]=$B49,IF(DATOS_[AGRUP. CLAS. PROF.]=$B48,IF(DATOS_[Check Periodo Ref.]="Dentro",DATOS_[Tot COMPL.SAL Ef],FALSE)))),
0)</f>
        <v>0</v>
      </c>
      <c r="AK49" s="96">
        <f t="array" ref="AK49">IFERROR(
AVERAGE(IF(DATOS_[Sexo]=$B49,IF(DATOS_[AGRUP. CLAS. PROF.]=$B48,IF(DATOS_[Check Periodo Ref.]="Dentro",DATOS_[TOTAL SALARIO Ef],FALSE)))),
0)</f>
        <v>0</v>
      </c>
      <c r="AL49" s="95">
        <f t="array" ref="AL49">IFERROR(
AVERAGE((IF(DATOS_[[Sexo]:[Sexo]]=$B49,IF(DATOS_[[AGRUP. CLAS. PROF.]:[AGRUP. CLAS. PROF.]]=$B48,IF(DATOS_[[Check Periodo Ref.]:[Check Periodo Ref.]]="Dentro",DATOS_[C.Extra.01]))))),
0)</f>
        <v>0</v>
      </c>
      <c r="AM49" s="95">
        <f t="array" ref="AM49">IFERROR(
AVERAGE((IF(DATOS_[[Sexo]:[Sexo]]=$B49,IF(DATOS_[[AGRUP. CLAS. PROF.]:[AGRUP. CLAS. PROF.]]=$B48,IF(DATOS_[[Check Periodo Ref.]:[Check Periodo Ref.]]="Dentro",DATOS_[C.Extra.02]))))),
0)</f>
        <v>0</v>
      </c>
      <c r="AN49" s="95">
        <f t="array" ref="AN49">IFERROR(
AVERAGE((IF(DATOS_[[Sexo]:[Sexo]]=$B49,IF(DATOS_[[AGRUP. CLAS. PROF.]:[AGRUP. CLAS. PROF.]]=$B48,IF(DATOS_[[Check Periodo Ref.]:[Check Periodo Ref.]]="Dentro",DATOS_[C.Extra.03]))))),
0)</f>
        <v>0</v>
      </c>
      <c r="AO49" s="95">
        <f t="array" ref="AO49">IFERROR(
AVERAGE((IF(DATOS_[[Sexo]:[Sexo]]=$B49,IF(DATOS_[[AGRUP. CLAS. PROF.]:[AGRUP. CLAS. PROF.]]=$B48,IF(DATOS_[[Check Periodo Ref.]:[Check Periodo Ref.]]="Dentro",DATOS_[C.Extra.04]))))),
0)</f>
        <v>0</v>
      </c>
      <c r="AP49" s="95">
        <f t="array" ref="AP49">IFERROR(
AVERAGE((IF(DATOS_[[Sexo]:[Sexo]]=$B49,IF(DATOS_[[AGRUP. CLAS. PROF.]:[AGRUP. CLAS. PROF.]]=$B48,IF(DATOS_[[Check Periodo Ref.]:[Check Periodo Ref.]]="Dentro",DATOS_[C.Extra.05]))))),
0)</f>
        <v>0</v>
      </c>
      <c r="AQ49" s="97">
        <f t="array" ref="AQ49">IFERROR(
AVERAGE(IF(DATOS_[Sexo]=$B49,IF(DATOS_[AGRUP. CLAS. PROF.]=$B48,IF(DATOS_[Check Periodo Ref.]="Dentro",DATOS_[Tot Extrasalarial Ef],FALSE)))),
0)</f>
        <v>0</v>
      </c>
      <c r="AR49" s="98">
        <f t="array" ref="AR49">IFERROR(
AVERAGE(IF(DATOS_[Sexo]=$B49,IF(DATOS_[AGRUP. CLAS. PROF.]=$B48,IF(DATOS_[Check Periodo Ref.]="Dentro",DATOS_[TOTAL Retrib Ef],FALSE)))),
0)</f>
        <v>0</v>
      </c>
    </row>
    <row r="50" spans="1:44" hidden="1" x14ac:dyDescent="0.3">
      <c r="A50" s="309" t="str">
        <f t="shared" ref="A50" si="50">+A49</f>
        <v>[ocultar]</v>
      </c>
      <c r="B50" s="46" t="s">
        <v>163</v>
      </c>
      <c r="C50" s="45">
        <f t="array" ref="C50">SUM(IF($B50=DATOS_[Sexo],
IF($B48=DATOS_[AGRUP. CLAS. PROF.],
IF("Dentro"=DATOS_[Check Periodo Ref.],
1/(COUNTIFS(DATOS_[Sexo],$B50,DATOS_[AGRUP. CLAS. PROF.],$B48,DATOS_[Check Periodo Ref.],"Dentro",DATOS_[id],DATOS_[id]))))))</f>
        <v>0</v>
      </c>
      <c r="D50" s="47">
        <f>COUNTIFS(DATOS_[AGRUP. CLAS. PROF.],$B48,DATOS_[Sexo],$B50,DATOS_[Check Periodo Ref.],"Dentro")</f>
        <v>0</v>
      </c>
      <c r="E50" s="92">
        <f t="array" ref="E50">IFERROR(
AVERAGE(IF(DATOS_[Sexo]=$B50,IF(DATOS_[AGRUP. CLAS. PROF.]=$B48,IF(DATOS_[Check Periodo Ref.]="Dentro",DATOS_[SALARIO BASE Ef],FALSE)))),
0)</f>
        <v>0</v>
      </c>
      <c r="F50" s="93">
        <f t="array" ref="F50">IFERROR(
AVERAGE((IF(DATOS_[[Sexo]:[Sexo]]=$B50,IF(DATOS_[[AGRUP. CLAS. PROF.]:[AGRUP. CLAS. PROF.]]=$B48,IF(DATOS_[[Check Periodo Ref.]:[Check Periodo Ref.]]="Dentro",DATOS_[Conc.Sal.01]))))),
0)</f>
        <v>0</v>
      </c>
      <c r="G50" s="93">
        <f t="array" ref="G50">IFERROR(
AVERAGE((IF(DATOS_[[Sexo]:[Sexo]]=$B50,IF(DATOS_[[AGRUP. CLAS. PROF.]:[AGRUP. CLAS. PROF.]]=$B48,IF(DATOS_[[Check Periodo Ref.]:[Check Periodo Ref.]]="Dentro",DATOS_[Conc.Sal.02]))))),
0)</f>
        <v>0</v>
      </c>
      <c r="H50" s="93">
        <f t="array" ref="H50">IFERROR(
AVERAGE((IF(DATOS_[[Sexo]:[Sexo]]=$B50,IF(DATOS_[[AGRUP. CLAS. PROF.]:[AGRUP. CLAS. PROF.]]=$B48,IF(DATOS_[[Check Periodo Ref.]:[Check Periodo Ref.]]="Dentro",DATOS_[Conc.Sal.03]))))),
0)</f>
        <v>0</v>
      </c>
      <c r="I50" s="93">
        <f t="array" ref="I50">IFERROR(
AVERAGE((IF(DATOS_[[Sexo]:[Sexo]]=$B50,IF(DATOS_[[AGRUP. CLAS. PROF.]:[AGRUP. CLAS. PROF.]]=$B48,IF(DATOS_[[Check Periodo Ref.]:[Check Periodo Ref.]]="Dentro",DATOS_[Conc.Sal.04]))))),
0)</f>
        <v>0</v>
      </c>
      <c r="J50" s="93">
        <f t="array" ref="J50">IFERROR(
AVERAGE((IF(DATOS_[[Sexo]:[Sexo]]=$B50,IF(DATOS_[[AGRUP. CLAS. PROF.]:[AGRUP. CLAS. PROF.]]=$B48,IF(DATOS_[[Check Periodo Ref.]:[Check Periodo Ref.]]="Dentro",DATOS_[Conc.Sal.05]))))),
0)</f>
        <v>0</v>
      </c>
      <c r="K50" s="93">
        <f t="array" ref="K50">IFERROR(
AVERAGE((IF(DATOS_[[Sexo]:[Sexo]]=$B50,IF(DATOS_[[AGRUP. CLAS. PROF.]:[AGRUP. CLAS. PROF.]]=$B48,IF(DATOS_[[Check Periodo Ref.]:[Check Periodo Ref.]]="Dentro",DATOS_[Conc.Sal.06]))))),
0)</f>
        <v>0</v>
      </c>
      <c r="L50" s="93">
        <f t="array" ref="L50">IFERROR(
AVERAGE((IF(DATOS_[[Sexo]:[Sexo]]=$B50,IF(DATOS_[[AGRUP. CLAS. PROF.]:[AGRUP. CLAS. PROF.]]=$B48,IF(DATOS_[[Check Periodo Ref.]:[Check Periodo Ref.]]="Dentro",DATOS_[Conc.Sal.07]))))),
0)</f>
        <v>0</v>
      </c>
      <c r="M50" s="93">
        <f t="array" ref="M50">IFERROR(
AVERAGE((IF(DATOS_[[Sexo]:[Sexo]]=$B50,IF(DATOS_[[AGRUP. CLAS. PROF.]:[AGRUP. CLAS. PROF.]]=$B48,IF(DATOS_[[Check Periodo Ref.]:[Check Periodo Ref.]]="Dentro",DATOS_[Conc.Sal.08]))))),
0)</f>
        <v>0</v>
      </c>
      <c r="N50" s="93">
        <f t="array" ref="N50">IFERROR(
AVERAGE((IF(DATOS_[[Sexo]:[Sexo]]=$B50,IF(DATOS_[[AGRUP. CLAS. PROF.]:[AGRUP. CLAS. PROF.]]=$B48,IF(DATOS_[[Check Periodo Ref.]:[Check Periodo Ref.]]="Dentro",DATOS_[Conc.Sal.09]))))),
0)</f>
        <v>0</v>
      </c>
      <c r="O50" s="93">
        <f t="array" ref="O50">IFERROR(
AVERAGE((IF(DATOS_[[Sexo]:[Sexo]]=$B50,IF(DATOS_[[AGRUP. CLAS. PROF.]:[AGRUP. CLAS. PROF.]]=$B48,IF(DATOS_[[Check Periodo Ref.]:[Check Periodo Ref.]]="Dentro",DATOS_[Conc.Sal.10]))))),
0)</f>
        <v>0</v>
      </c>
      <c r="P50" s="93">
        <f t="array" ref="P50">IFERROR(
AVERAGE((IF(DATOS_[[Sexo]:[Sexo]]=$B50,IF(DATOS_[[AGRUP. CLAS. PROF.]:[AGRUP. CLAS. PROF.]]=$B48,IF(DATOS_[[Check Periodo Ref.]:[Check Periodo Ref.]]="Dentro",DATOS_[Conc.Sal.11]))))),
0)</f>
        <v>0</v>
      </c>
      <c r="Q50" s="93">
        <f t="array" ref="Q50">IFERROR(
AVERAGE((IF(DATOS_[[Sexo]:[Sexo]]=$B50,IF(DATOS_[[AGRUP. CLAS. PROF.]:[AGRUP. CLAS. PROF.]]=$B48,IF(DATOS_[[Check Periodo Ref.]:[Check Periodo Ref.]]="Dentro",DATOS_[Conc.Sal.12]))))),
0)</f>
        <v>0</v>
      </c>
      <c r="R50" s="93">
        <f t="array" ref="R50">IFERROR(
AVERAGE((IF(DATOS_[[Sexo]:[Sexo]]=$B50,IF(DATOS_[[AGRUP. CLAS. PROF.]:[AGRUP. CLAS. PROF.]]=$B48,IF(DATOS_[[Check Periodo Ref.]:[Check Periodo Ref.]]="Dentro",DATOS_[Conc.Sal.13]))))),
0)</f>
        <v>0</v>
      </c>
      <c r="S50" s="93">
        <f t="array" ref="S50">IFERROR(
AVERAGE((IF(DATOS_[[Sexo]:[Sexo]]=$B50,IF(DATOS_[[AGRUP. CLAS. PROF.]:[AGRUP. CLAS. PROF.]]=$B48,IF(DATOS_[[Check Periodo Ref.]:[Check Periodo Ref.]]="Dentro",DATOS_[Conc.Sal.14]))))),
0)</f>
        <v>0</v>
      </c>
      <c r="T50" s="93">
        <f t="array" ref="T50">IFERROR(
AVERAGE((IF(DATOS_[[Sexo]:[Sexo]]=$B50,IF(DATOS_[[AGRUP. CLAS. PROF.]:[AGRUP. CLAS. PROF.]]=$B48,IF(DATOS_[[Check Periodo Ref.]:[Check Periodo Ref.]]="Dentro",DATOS_[Conc.Sal.15]))))),
0)</f>
        <v>0</v>
      </c>
      <c r="U50" s="93">
        <f t="array" ref="U50">IFERROR(
AVERAGE((IF(DATOS_[[Sexo]:[Sexo]]=$B50,IF(DATOS_[[AGRUP. CLAS. PROF.]:[AGRUP. CLAS. PROF.]]=$B48,IF(DATOS_[[Check Periodo Ref.]:[Check Periodo Ref.]]="Dentro",DATOS_[Conc.Sal.16]))))),
0)</f>
        <v>0</v>
      </c>
      <c r="V50" s="93">
        <f t="array" ref="V50">IFERROR(
AVERAGE((IF(DATOS_[[Sexo]:[Sexo]]=$B50,IF(DATOS_[[AGRUP. CLAS. PROF.]:[AGRUP. CLAS. PROF.]]=$B48,IF(DATOS_[[Check Periodo Ref.]:[Check Periodo Ref.]]="Dentro",DATOS_[Conc.Sal.17]))))),
0)</f>
        <v>0</v>
      </c>
      <c r="W50" s="93">
        <f t="array" ref="W50">IFERROR(
AVERAGE((IF(DATOS_[[Sexo]:[Sexo]]=$B50,IF(DATOS_[[AGRUP. CLAS. PROF.]:[AGRUP. CLAS. PROF.]]=$B48,IF(DATOS_[[Check Periodo Ref.]:[Check Periodo Ref.]]="Dentro",DATOS_[Conc.Sal.18]))))),
0)</f>
        <v>0</v>
      </c>
      <c r="X50" s="93">
        <f t="array" ref="X50">IFERROR(
AVERAGE((IF(DATOS_[[Sexo]:[Sexo]]=$B50,IF(DATOS_[[AGRUP. CLAS. PROF.]:[AGRUP. CLAS. PROF.]]=$B48,IF(DATOS_[[Check Periodo Ref.]:[Check Periodo Ref.]]="Dentro",DATOS_[Conc.Sal.19]))))),
0)</f>
        <v>0</v>
      </c>
      <c r="Y50" s="93">
        <f t="array" ref="Y50">IFERROR(
AVERAGE((IF(DATOS_[[Sexo]:[Sexo]]=$B50,IF(DATOS_[[AGRUP. CLAS. PROF.]:[AGRUP. CLAS. PROF.]]=$B48,IF(DATOS_[[Check Periodo Ref.]:[Check Periodo Ref.]]="Dentro",DATOS_[Conc.Sal.20]))))),
0)</f>
        <v>0</v>
      </c>
      <c r="Z50" s="93">
        <f t="array" ref="Z50">IFERROR(
AVERAGE((IF(DATOS_[[Sexo]:[Sexo]]=$B50,IF(DATOS_[[AGRUP. CLAS. PROF.]:[AGRUP. CLAS. PROF.]]=$B48,IF(DATOS_[[Check Periodo Ref.]:[Check Periodo Ref.]]="Dentro",DATOS_[Conc.Sal.21]))))),
0)</f>
        <v>0</v>
      </c>
      <c r="AA50" s="93">
        <f t="array" ref="AA50">IFERROR(
AVERAGE((IF(DATOS_[[Sexo]:[Sexo]]=$B50,IF(DATOS_[[AGRUP. CLAS. PROF.]:[AGRUP. CLAS. PROF.]]=$B48,IF(DATOS_[[Check Periodo Ref.]:[Check Periodo Ref.]]="Dentro",DATOS_[Conc.Sal.22]))))),
0)</f>
        <v>0</v>
      </c>
      <c r="AB50" s="93">
        <f t="array" ref="AB50">IFERROR(
AVERAGE((IF(DATOS_[[Sexo]:[Sexo]]=$B50,IF(DATOS_[[AGRUP. CLAS. PROF.]:[AGRUP. CLAS. PROF.]]=$B48,IF(DATOS_[[Check Periodo Ref.]:[Check Periodo Ref.]]="Dentro",DATOS_[Conc.Sal.23]))))),
0)</f>
        <v>0</v>
      </c>
      <c r="AC50" s="93">
        <f t="array" ref="AC50">IFERROR(
AVERAGE((IF(DATOS_[[Sexo]:[Sexo]]=$B50,IF(DATOS_[[AGRUP. CLAS. PROF.]:[AGRUP. CLAS. PROF.]]=$B48,IF(DATOS_[[Check Periodo Ref.]:[Check Periodo Ref.]]="Dentro",DATOS_[Conc.Sal.24]))))),
0)</f>
        <v>0</v>
      </c>
      <c r="AD50" s="93">
        <f t="array" ref="AD50">IFERROR(
AVERAGE((IF(DATOS_[[Sexo]:[Sexo]]=$B50,IF(DATOS_[[AGRUP. CLAS. PROF.]:[AGRUP. CLAS. PROF.]]=$B48,IF(DATOS_[[Check Periodo Ref.]:[Check Periodo Ref.]]="Dentro",DATOS_[Conc.Sal.25]))))),
0)</f>
        <v>0</v>
      </c>
      <c r="AE50" s="93">
        <f t="array" ref="AE50">IFERROR(
AVERAGE((IF(DATOS_[[Sexo]:[Sexo]]=$B50,IF(DATOS_[[AGRUP. CLAS. PROF.]:[AGRUP. CLAS. PROF.]]=$B48,IF(DATOS_[[Check Periodo Ref.]:[Check Periodo Ref.]]="Dentro",DATOS_[Conc.Sal.26]))))),
0)</f>
        <v>0</v>
      </c>
      <c r="AF50" s="93">
        <f t="array" ref="AF50">IFERROR(
AVERAGE((IF(DATOS_[[Sexo]:[Sexo]]=$B50,IF(DATOS_[[AGRUP. CLAS. PROF.]:[AGRUP. CLAS. PROF.]]=$B48,IF(DATOS_[[Check Periodo Ref.]:[Check Periodo Ref.]]="Dentro",DATOS_[Conc.Sal.27]))))),
0)</f>
        <v>0</v>
      </c>
      <c r="AG50" s="93">
        <f t="array" ref="AG50">IFERROR(
AVERAGE((IF(DATOS_[[Sexo]:[Sexo]]=$B50,IF(DATOS_[[AGRUP. CLAS. PROF.]:[AGRUP. CLAS. PROF.]]=$B48,IF(DATOS_[[Check Periodo Ref.]:[Check Periodo Ref.]]="Dentro",DATOS_[Conc.Sal.28]))))),
0)</f>
        <v>0</v>
      </c>
      <c r="AH50" s="93">
        <f t="array" ref="AH50">IFERROR(
AVERAGE((IF(DATOS_[[Sexo]:[Sexo]]=$B50,IF(DATOS_[[AGRUP. CLAS. PROF.]:[AGRUP. CLAS. PROF.]]=$B48,IF(DATOS_[[Check Periodo Ref.]:[Check Periodo Ref.]]="Dentro",DATOS_[Conc.Sal.29]))))),
0)</f>
        <v>0</v>
      </c>
      <c r="AI50" s="93">
        <f t="array" ref="AI50">IFERROR(
AVERAGE((IF(DATOS_[[Sexo]:[Sexo]]=$B50,IF(DATOS_[[AGRUP. CLAS. PROF.]:[AGRUP. CLAS. PROF.]]=$B48,IF(DATOS_[[Check Periodo Ref.]:[Check Periodo Ref.]]="Dentro",DATOS_[Conc.Sal.30]))))),
0)</f>
        <v>0</v>
      </c>
      <c r="AJ50" s="94">
        <f t="array" ref="AJ50">IFERROR(
AVERAGE(IF(DATOS_[Sexo]=$B50,IF(DATOS_[AGRUP. CLAS. PROF.]=$B48,IF(DATOS_[Check Periodo Ref.]="Dentro",DATOS_[Tot COMPL.SAL Ef],FALSE)))),
0)</f>
        <v>0</v>
      </c>
      <c r="AK50" s="96">
        <f t="array" ref="AK50">IFERROR(
AVERAGE(IF(DATOS_[Sexo]=$B50,IF(DATOS_[AGRUP. CLAS. PROF.]=$B48,IF(DATOS_[Check Periodo Ref.]="Dentro",DATOS_[TOTAL SALARIO Ef],FALSE)))),
0)</f>
        <v>0</v>
      </c>
      <c r="AL50" s="95">
        <f t="array" ref="AL50">IFERROR(
AVERAGE((IF(DATOS_[[Sexo]:[Sexo]]=$B50,IF(DATOS_[[AGRUP. CLAS. PROF.]:[AGRUP. CLAS. PROF.]]=$B48,IF(DATOS_[[Check Periodo Ref.]:[Check Periodo Ref.]]="Dentro",DATOS_[C.Extra.01]))))),
0)</f>
        <v>0</v>
      </c>
      <c r="AM50" s="95">
        <f t="array" ref="AM50">IFERROR(
AVERAGE((IF(DATOS_[[Sexo]:[Sexo]]=$B50,IF(DATOS_[[AGRUP. CLAS. PROF.]:[AGRUP. CLAS. PROF.]]=$B48,IF(DATOS_[[Check Periodo Ref.]:[Check Periodo Ref.]]="Dentro",DATOS_[C.Extra.02]))))),
0)</f>
        <v>0</v>
      </c>
      <c r="AN50" s="95">
        <f t="array" ref="AN50">IFERROR(
AVERAGE((IF(DATOS_[[Sexo]:[Sexo]]=$B50,IF(DATOS_[[AGRUP. CLAS. PROF.]:[AGRUP. CLAS. PROF.]]=$B48,IF(DATOS_[[Check Periodo Ref.]:[Check Periodo Ref.]]="Dentro",DATOS_[C.Extra.03]))))),
0)</f>
        <v>0</v>
      </c>
      <c r="AO50" s="95">
        <f t="array" ref="AO50">IFERROR(
AVERAGE((IF(DATOS_[[Sexo]:[Sexo]]=$B50,IF(DATOS_[[AGRUP. CLAS. PROF.]:[AGRUP. CLAS. PROF.]]=$B48,IF(DATOS_[[Check Periodo Ref.]:[Check Periodo Ref.]]="Dentro",DATOS_[C.Extra.04]))))),
0)</f>
        <v>0</v>
      </c>
      <c r="AP50" s="95">
        <f t="array" ref="AP50">IFERROR(
AVERAGE((IF(DATOS_[[Sexo]:[Sexo]]=$B50,IF(DATOS_[[AGRUP. CLAS. PROF.]:[AGRUP. CLAS. PROF.]]=$B48,IF(DATOS_[[Check Periodo Ref.]:[Check Periodo Ref.]]="Dentro",DATOS_[C.Extra.05]))))),
0)</f>
        <v>0</v>
      </c>
      <c r="AQ50" s="97">
        <f t="array" ref="AQ50">IFERROR(
AVERAGE(IF(DATOS_[Sexo]=$B50,IF(DATOS_[AGRUP. CLAS. PROF.]=$B48,IF(DATOS_[Check Periodo Ref.]="Dentro",DATOS_[Tot Extrasalarial Ef],FALSE)))),
0)</f>
        <v>0</v>
      </c>
      <c r="AR50" s="98">
        <f t="array" ref="AR50">IFERROR(
AVERAGE(IF(DATOS_[Sexo]=$B50,IF(DATOS_[AGRUP. CLAS. PROF.]=$B48,IF(DATOS_[Check Periodo Ref.]="Dentro",DATOS_[TOTAL Retrib Ef],FALSE)))),
0)</f>
        <v>0</v>
      </c>
    </row>
    <row r="51" spans="1:44" ht="17.25" hidden="1" thickBot="1" x14ac:dyDescent="0.35">
      <c r="A51" s="309" t="str">
        <f t="shared" ref="A51" si="51">+A52</f>
        <v>[ocultar]</v>
      </c>
      <c r="B51" s="51" t="s">
        <v>229</v>
      </c>
      <c r="C51" s="91"/>
      <c r="D51" s="52"/>
      <c r="E51" s="139" t="str">
        <f t="shared" ref="E51:AR51" si="52">IFERROR((E52-E53)/E52,"")</f>
        <v/>
      </c>
      <c r="F51" s="310" t="str">
        <f t="shared" si="52"/>
        <v/>
      </c>
      <c r="G51" s="180" t="str">
        <f t="shared" si="52"/>
        <v/>
      </c>
      <c r="H51" s="180" t="str">
        <f t="shared" si="52"/>
        <v/>
      </c>
      <c r="I51" s="180" t="str">
        <f t="shared" si="52"/>
        <v/>
      </c>
      <c r="J51" s="181" t="str">
        <f t="shared" si="52"/>
        <v/>
      </c>
      <c r="K51" s="182" t="str">
        <f t="shared" si="52"/>
        <v/>
      </c>
      <c r="L51" s="182" t="str">
        <f t="shared" si="52"/>
        <v/>
      </c>
      <c r="M51" s="182" t="str">
        <f t="shared" si="52"/>
        <v/>
      </c>
      <c r="N51" s="182" t="str">
        <f t="shared" si="52"/>
        <v/>
      </c>
      <c r="O51" s="182" t="str">
        <f t="shared" si="52"/>
        <v/>
      </c>
      <c r="P51" s="182" t="str">
        <f t="shared" si="52"/>
        <v/>
      </c>
      <c r="Q51" s="182" t="str">
        <f t="shared" si="52"/>
        <v/>
      </c>
      <c r="R51" s="182" t="str">
        <f t="shared" si="52"/>
        <v/>
      </c>
      <c r="S51" s="182" t="str">
        <f t="shared" si="52"/>
        <v/>
      </c>
      <c r="T51" s="182" t="str">
        <f t="shared" si="52"/>
        <v/>
      </c>
      <c r="U51" s="182" t="str">
        <f t="shared" si="52"/>
        <v/>
      </c>
      <c r="V51" s="181" t="str">
        <f t="shared" si="52"/>
        <v/>
      </c>
      <c r="W51" s="181" t="str">
        <f t="shared" si="52"/>
        <v/>
      </c>
      <c r="X51" s="181" t="str">
        <f t="shared" si="52"/>
        <v/>
      </c>
      <c r="Y51" s="181" t="str">
        <f t="shared" si="52"/>
        <v/>
      </c>
      <c r="Z51" s="181" t="str">
        <f t="shared" si="52"/>
        <v/>
      </c>
      <c r="AA51" s="181" t="str">
        <f t="shared" si="52"/>
        <v/>
      </c>
      <c r="AB51" s="181" t="str">
        <f t="shared" si="52"/>
        <v/>
      </c>
      <c r="AC51" s="181" t="str">
        <f t="shared" si="52"/>
        <v/>
      </c>
      <c r="AD51" s="181" t="str">
        <f t="shared" si="52"/>
        <v/>
      </c>
      <c r="AE51" s="181" t="str">
        <f t="shared" si="52"/>
        <v/>
      </c>
      <c r="AF51" s="181" t="str">
        <f t="shared" si="52"/>
        <v/>
      </c>
      <c r="AG51" s="181" t="str">
        <f t="shared" si="52"/>
        <v/>
      </c>
      <c r="AH51" s="181" t="str">
        <f t="shared" si="52"/>
        <v/>
      </c>
      <c r="AI51" s="181" t="str">
        <f t="shared" si="52"/>
        <v/>
      </c>
      <c r="AJ51" s="140" t="str">
        <f t="shared" si="52"/>
        <v/>
      </c>
      <c r="AK51" s="143" t="str">
        <f t="shared" si="52"/>
        <v/>
      </c>
      <c r="AL51" s="184" t="str">
        <f t="shared" si="52"/>
        <v/>
      </c>
      <c r="AM51" s="184" t="str">
        <f t="shared" si="52"/>
        <v/>
      </c>
      <c r="AN51" s="184" t="str">
        <f t="shared" si="52"/>
        <v/>
      </c>
      <c r="AO51" s="184" t="str">
        <f t="shared" si="52"/>
        <v/>
      </c>
      <c r="AP51" s="184" t="str">
        <f t="shared" si="52"/>
        <v/>
      </c>
      <c r="AQ51" s="141" t="str">
        <f t="shared" si="52"/>
        <v/>
      </c>
      <c r="AR51" s="142" t="str">
        <f t="shared" si="52"/>
        <v/>
      </c>
    </row>
    <row r="52" spans="1:44" hidden="1" x14ac:dyDescent="0.3">
      <c r="A52" s="309" t="str">
        <f t="shared" ref="A52" si="53">+IF(C52+C53=0,"[ocultar]","")</f>
        <v>[ocultar]</v>
      </c>
      <c r="B52" s="46" t="s">
        <v>162</v>
      </c>
      <c r="C52" s="45">
        <f t="array" ref="C52">SUM(IF($B52=DATOS_[Sexo],
IF($B51=DATOS_[AGRUP. CLAS. PROF.],
IF("Dentro"=DATOS_[Check Periodo Ref.],
1/(COUNTIFS(DATOS_[Sexo],$B52,DATOS_[AGRUP. CLAS. PROF.],$B51,DATOS_[Check Periodo Ref.],"Dentro",DATOS_[id],DATOS_[id]))))))</f>
        <v>0</v>
      </c>
      <c r="D52" s="47">
        <f>COUNTIFS(DATOS_[AGRUP. CLAS. PROF.],$B51,DATOS_[Sexo],$B52,DATOS_[Check Periodo Ref.],"Dentro")</f>
        <v>0</v>
      </c>
      <c r="E52" s="92">
        <f t="array" ref="E52">IFERROR(
AVERAGE(IF(DATOS_[Sexo]=$B52,IF(DATOS_[AGRUP. CLAS. PROF.]=$B51,IF(DATOS_[Check Periodo Ref.]="Dentro",DATOS_[SALARIO BASE Ef],FALSE)))),
0)</f>
        <v>0</v>
      </c>
      <c r="F52" s="93">
        <f t="array" ref="F52">IFERROR(
AVERAGE((IF(DATOS_[[Sexo]:[Sexo]]=$B52,IF(DATOS_[[AGRUP. CLAS. PROF.]:[AGRUP. CLAS. PROF.]]=$B51,IF(DATOS_[[Check Periodo Ref.]:[Check Periodo Ref.]]="Dentro",DATOS_[Conc.Sal.01]))))),
0)</f>
        <v>0</v>
      </c>
      <c r="G52" s="93">
        <f t="array" ref="G52">IFERROR(
AVERAGE((IF(DATOS_[[Sexo]:[Sexo]]=$B52,IF(DATOS_[[AGRUP. CLAS. PROF.]:[AGRUP. CLAS. PROF.]]=$B51,IF(DATOS_[[Check Periodo Ref.]:[Check Periodo Ref.]]="Dentro",DATOS_[Conc.Sal.02]))))),
0)</f>
        <v>0</v>
      </c>
      <c r="H52" s="93">
        <f t="array" ref="H52">IFERROR(
AVERAGE((IF(DATOS_[[Sexo]:[Sexo]]=$B52,IF(DATOS_[[AGRUP. CLAS. PROF.]:[AGRUP. CLAS. PROF.]]=$B51,IF(DATOS_[[Check Periodo Ref.]:[Check Periodo Ref.]]="Dentro",DATOS_[Conc.Sal.03]))))),
0)</f>
        <v>0</v>
      </c>
      <c r="I52" s="93">
        <f t="array" ref="I52">IFERROR(
AVERAGE((IF(DATOS_[[Sexo]:[Sexo]]=$B52,IF(DATOS_[[AGRUP. CLAS. PROF.]:[AGRUP. CLAS. PROF.]]=$B51,IF(DATOS_[[Check Periodo Ref.]:[Check Periodo Ref.]]="Dentro",DATOS_[Conc.Sal.04]))))),
0)</f>
        <v>0</v>
      </c>
      <c r="J52" s="93">
        <f t="array" ref="J52">IFERROR(
AVERAGE((IF(DATOS_[[Sexo]:[Sexo]]=$B52,IF(DATOS_[[AGRUP. CLAS. PROF.]:[AGRUP. CLAS. PROF.]]=$B51,IF(DATOS_[[Check Periodo Ref.]:[Check Periodo Ref.]]="Dentro",DATOS_[Conc.Sal.05]))))),
0)</f>
        <v>0</v>
      </c>
      <c r="K52" s="93">
        <f t="array" ref="K52">IFERROR(
AVERAGE((IF(DATOS_[[Sexo]:[Sexo]]=$B52,IF(DATOS_[[AGRUP. CLAS. PROF.]:[AGRUP. CLAS. PROF.]]=$B51,IF(DATOS_[[Check Periodo Ref.]:[Check Periodo Ref.]]="Dentro",DATOS_[Conc.Sal.06]))))),
0)</f>
        <v>0</v>
      </c>
      <c r="L52" s="93">
        <f t="array" ref="L52">IFERROR(
AVERAGE((IF(DATOS_[[Sexo]:[Sexo]]=$B52,IF(DATOS_[[AGRUP. CLAS. PROF.]:[AGRUP. CLAS. PROF.]]=$B51,IF(DATOS_[[Check Periodo Ref.]:[Check Periodo Ref.]]="Dentro",DATOS_[Conc.Sal.07]))))),
0)</f>
        <v>0</v>
      </c>
      <c r="M52" s="93">
        <f t="array" ref="M52">IFERROR(
AVERAGE((IF(DATOS_[[Sexo]:[Sexo]]=$B52,IF(DATOS_[[AGRUP. CLAS. PROF.]:[AGRUP. CLAS. PROF.]]=$B51,IF(DATOS_[[Check Periodo Ref.]:[Check Periodo Ref.]]="Dentro",DATOS_[Conc.Sal.08]))))),
0)</f>
        <v>0</v>
      </c>
      <c r="N52" s="93">
        <f t="array" ref="N52">IFERROR(
AVERAGE((IF(DATOS_[[Sexo]:[Sexo]]=$B52,IF(DATOS_[[AGRUP. CLAS. PROF.]:[AGRUP. CLAS. PROF.]]=$B51,IF(DATOS_[[Check Periodo Ref.]:[Check Periodo Ref.]]="Dentro",DATOS_[Conc.Sal.09]))))),
0)</f>
        <v>0</v>
      </c>
      <c r="O52" s="93">
        <f t="array" ref="O52">IFERROR(
AVERAGE((IF(DATOS_[[Sexo]:[Sexo]]=$B52,IF(DATOS_[[AGRUP. CLAS. PROF.]:[AGRUP. CLAS. PROF.]]=$B51,IF(DATOS_[[Check Periodo Ref.]:[Check Periodo Ref.]]="Dentro",DATOS_[Conc.Sal.10]))))),
0)</f>
        <v>0</v>
      </c>
      <c r="P52" s="93">
        <f t="array" ref="P52">IFERROR(
AVERAGE((IF(DATOS_[[Sexo]:[Sexo]]=$B52,IF(DATOS_[[AGRUP. CLAS. PROF.]:[AGRUP. CLAS. PROF.]]=$B51,IF(DATOS_[[Check Periodo Ref.]:[Check Periodo Ref.]]="Dentro",DATOS_[Conc.Sal.11]))))),
0)</f>
        <v>0</v>
      </c>
      <c r="Q52" s="93">
        <f t="array" ref="Q52">IFERROR(
AVERAGE((IF(DATOS_[[Sexo]:[Sexo]]=$B52,IF(DATOS_[[AGRUP. CLAS. PROF.]:[AGRUP. CLAS. PROF.]]=$B51,IF(DATOS_[[Check Periodo Ref.]:[Check Periodo Ref.]]="Dentro",DATOS_[Conc.Sal.12]))))),
0)</f>
        <v>0</v>
      </c>
      <c r="R52" s="93">
        <f t="array" ref="R52">IFERROR(
AVERAGE((IF(DATOS_[[Sexo]:[Sexo]]=$B52,IF(DATOS_[[AGRUP. CLAS. PROF.]:[AGRUP. CLAS. PROF.]]=$B51,IF(DATOS_[[Check Periodo Ref.]:[Check Periodo Ref.]]="Dentro",DATOS_[Conc.Sal.13]))))),
0)</f>
        <v>0</v>
      </c>
      <c r="S52" s="93">
        <f t="array" ref="S52">IFERROR(
AVERAGE((IF(DATOS_[[Sexo]:[Sexo]]=$B52,IF(DATOS_[[AGRUP. CLAS. PROF.]:[AGRUP. CLAS. PROF.]]=$B51,IF(DATOS_[[Check Periodo Ref.]:[Check Periodo Ref.]]="Dentro",DATOS_[Conc.Sal.14]))))),
0)</f>
        <v>0</v>
      </c>
      <c r="T52" s="93">
        <f t="array" ref="T52">IFERROR(
AVERAGE((IF(DATOS_[[Sexo]:[Sexo]]=$B52,IF(DATOS_[[AGRUP. CLAS. PROF.]:[AGRUP. CLAS. PROF.]]=$B51,IF(DATOS_[[Check Periodo Ref.]:[Check Periodo Ref.]]="Dentro",DATOS_[Conc.Sal.15]))))),
0)</f>
        <v>0</v>
      </c>
      <c r="U52" s="93">
        <f t="array" ref="U52">IFERROR(
AVERAGE((IF(DATOS_[[Sexo]:[Sexo]]=$B52,IF(DATOS_[[AGRUP. CLAS. PROF.]:[AGRUP. CLAS. PROF.]]=$B51,IF(DATOS_[[Check Periodo Ref.]:[Check Periodo Ref.]]="Dentro",DATOS_[Conc.Sal.16]))))),
0)</f>
        <v>0</v>
      </c>
      <c r="V52" s="93">
        <f t="array" ref="V52">IFERROR(
AVERAGE((IF(DATOS_[[Sexo]:[Sexo]]=$B52,IF(DATOS_[[AGRUP. CLAS. PROF.]:[AGRUP. CLAS. PROF.]]=$B51,IF(DATOS_[[Check Periodo Ref.]:[Check Periodo Ref.]]="Dentro",DATOS_[Conc.Sal.17]))))),
0)</f>
        <v>0</v>
      </c>
      <c r="W52" s="93">
        <f t="array" ref="W52">IFERROR(
AVERAGE((IF(DATOS_[[Sexo]:[Sexo]]=$B52,IF(DATOS_[[AGRUP. CLAS. PROF.]:[AGRUP. CLAS. PROF.]]=$B51,IF(DATOS_[[Check Periodo Ref.]:[Check Periodo Ref.]]="Dentro",DATOS_[Conc.Sal.18]))))),
0)</f>
        <v>0</v>
      </c>
      <c r="X52" s="93">
        <f t="array" ref="X52">IFERROR(
AVERAGE((IF(DATOS_[[Sexo]:[Sexo]]=$B52,IF(DATOS_[[AGRUP. CLAS. PROF.]:[AGRUP. CLAS. PROF.]]=$B51,IF(DATOS_[[Check Periodo Ref.]:[Check Periodo Ref.]]="Dentro",DATOS_[Conc.Sal.19]))))),
0)</f>
        <v>0</v>
      </c>
      <c r="Y52" s="93">
        <f t="array" ref="Y52">IFERROR(
AVERAGE((IF(DATOS_[[Sexo]:[Sexo]]=$B52,IF(DATOS_[[AGRUP. CLAS. PROF.]:[AGRUP. CLAS. PROF.]]=$B51,IF(DATOS_[[Check Periodo Ref.]:[Check Periodo Ref.]]="Dentro",DATOS_[Conc.Sal.20]))))),
0)</f>
        <v>0</v>
      </c>
      <c r="Z52" s="93">
        <f t="array" ref="Z52">IFERROR(
AVERAGE((IF(DATOS_[[Sexo]:[Sexo]]=$B52,IF(DATOS_[[AGRUP. CLAS. PROF.]:[AGRUP. CLAS. PROF.]]=$B51,IF(DATOS_[[Check Periodo Ref.]:[Check Periodo Ref.]]="Dentro",DATOS_[Conc.Sal.21]))))),
0)</f>
        <v>0</v>
      </c>
      <c r="AA52" s="93">
        <f t="array" ref="AA52">IFERROR(
AVERAGE((IF(DATOS_[[Sexo]:[Sexo]]=$B52,IF(DATOS_[[AGRUP. CLAS. PROF.]:[AGRUP. CLAS. PROF.]]=$B51,IF(DATOS_[[Check Periodo Ref.]:[Check Periodo Ref.]]="Dentro",DATOS_[Conc.Sal.22]))))),
0)</f>
        <v>0</v>
      </c>
      <c r="AB52" s="93">
        <f t="array" ref="AB52">IFERROR(
AVERAGE((IF(DATOS_[[Sexo]:[Sexo]]=$B52,IF(DATOS_[[AGRUP. CLAS. PROF.]:[AGRUP. CLAS. PROF.]]=$B51,IF(DATOS_[[Check Periodo Ref.]:[Check Periodo Ref.]]="Dentro",DATOS_[Conc.Sal.23]))))),
0)</f>
        <v>0</v>
      </c>
      <c r="AC52" s="93">
        <f t="array" ref="AC52">IFERROR(
AVERAGE((IF(DATOS_[[Sexo]:[Sexo]]=$B52,IF(DATOS_[[AGRUP. CLAS. PROF.]:[AGRUP. CLAS. PROF.]]=$B51,IF(DATOS_[[Check Periodo Ref.]:[Check Periodo Ref.]]="Dentro",DATOS_[Conc.Sal.24]))))),
0)</f>
        <v>0</v>
      </c>
      <c r="AD52" s="93">
        <f t="array" ref="AD52">IFERROR(
AVERAGE((IF(DATOS_[[Sexo]:[Sexo]]=$B52,IF(DATOS_[[AGRUP. CLAS. PROF.]:[AGRUP. CLAS. PROF.]]=$B51,IF(DATOS_[[Check Periodo Ref.]:[Check Periodo Ref.]]="Dentro",DATOS_[Conc.Sal.25]))))),
0)</f>
        <v>0</v>
      </c>
      <c r="AE52" s="93">
        <f t="array" ref="AE52">IFERROR(
AVERAGE((IF(DATOS_[[Sexo]:[Sexo]]=$B52,IF(DATOS_[[AGRUP. CLAS. PROF.]:[AGRUP. CLAS. PROF.]]=$B51,IF(DATOS_[[Check Periodo Ref.]:[Check Periodo Ref.]]="Dentro",DATOS_[Conc.Sal.26]))))),
0)</f>
        <v>0</v>
      </c>
      <c r="AF52" s="93">
        <f t="array" ref="AF52">IFERROR(
AVERAGE((IF(DATOS_[[Sexo]:[Sexo]]=$B52,IF(DATOS_[[AGRUP. CLAS. PROF.]:[AGRUP. CLAS. PROF.]]=$B51,IF(DATOS_[[Check Periodo Ref.]:[Check Periodo Ref.]]="Dentro",DATOS_[Conc.Sal.27]))))),
0)</f>
        <v>0</v>
      </c>
      <c r="AG52" s="93">
        <f t="array" ref="AG52">IFERROR(
AVERAGE((IF(DATOS_[[Sexo]:[Sexo]]=$B52,IF(DATOS_[[AGRUP. CLAS. PROF.]:[AGRUP. CLAS. PROF.]]=$B51,IF(DATOS_[[Check Periodo Ref.]:[Check Periodo Ref.]]="Dentro",DATOS_[Conc.Sal.28]))))),
0)</f>
        <v>0</v>
      </c>
      <c r="AH52" s="93">
        <f t="array" ref="AH52">IFERROR(
AVERAGE((IF(DATOS_[[Sexo]:[Sexo]]=$B52,IF(DATOS_[[AGRUP. CLAS. PROF.]:[AGRUP. CLAS. PROF.]]=$B51,IF(DATOS_[[Check Periodo Ref.]:[Check Periodo Ref.]]="Dentro",DATOS_[Conc.Sal.29]))))),
0)</f>
        <v>0</v>
      </c>
      <c r="AI52" s="93">
        <f t="array" ref="AI52">IFERROR(
AVERAGE((IF(DATOS_[[Sexo]:[Sexo]]=$B52,IF(DATOS_[[AGRUP. CLAS. PROF.]:[AGRUP. CLAS. PROF.]]=$B51,IF(DATOS_[[Check Periodo Ref.]:[Check Periodo Ref.]]="Dentro",DATOS_[Conc.Sal.30]))))),
0)</f>
        <v>0</v>
      </c>
      <c r="AJ52" s="94">
        <f t="array" ref="AJ52">IFERROR(
AVERAGE(IF(DATOS_[Sexo]=$B52,IF(DATOS_[AGRUP. CLAS. PROF.]=$B51,IF(DATOS_[Check Periodo Ref.]="Dentro",DATOS_[Tot COMPL.SAL Ef],FALSE)))),
0)</f>
        <v>0</v>
      </c>
      <c r="AK52" s="96">
        <f t="array" ref="AK52">IFERROR(
AVERAGE(IF(DATOS_[Sexo]=$B52,IF(DATOS_[AGRUP. CLAS. PROF.]=$B51,IF(DATOS_[Check Periodo Ref.]="Dentro",DATOS_[TOTAL SALARIO Ef],FALSE)))),
0)</f>
        <v>0</v>
      </c>
      <c r="AL52" s="95">
        <f t="array" ref="AL52">IFERROR(
AVERAGE((IF(DATOS_[[Sexo]:[Sexo]]=$B52,IF(DATOS_[[AGRUP. CLAS. PROF.]:[AGRUP. CLAS. PROF.]]=$B51,IF(DATOS_[[Check Periodo Ref.]:[Check Periodo Ref.]]="Dentro",DATOS_[C.Extra.01]))))),
0)</f>
        <v>0</v>
      </c>
      <c r="AM52" s="95">
        <f t="array" ref="AM52">IFERROR(
AVERAGE((IF(DATOS_[[Sexo]:[Sexo]]=$B52,IF(DATOS_[[AGRUP. CLAS. PROF.]:[AGRUP. CLAS. PROF.]]=$B51,IF(DATOS_[[Check Periodo Ref.]:[Check Periodo Ref.]]="Dentro",DATOS_[C.Extra.02]))))),
0)</f>
        <v>0</v>
      </c>
      <c r="AN52" s="95">
        <f t="array" ref="AN52">IFERROR(
AVERAGE((IF(DATOS_[[Sexo]:[Sexo]]=$B52,IF(DATOS_[[AGRUP. CLAS. PROF.]:[AGRUP. CLAS. PROF.]]=$B51,IF(DATOS_[[Check Periodo Ref.]:[Check Periodo Ref.]]="Dentro",DATOS_[C.Extra.03]))))),
0)</f>
        <v>0</v>
      </c>
      <c r="AO52" s="95">
        <f t="array" ref="AO52">IFERROR(
AVERAGE((IF(DATOS_[[Sexo]:[Sexo]]=$B52,IF(DATOS_[[AGRUP. CLAS. PROF.]:[AGRUP. CLAS. PROF.]]=$B51,IF(DATOS_[[Check Periodo Ref.]:[Check Periodo Ref.]]="Dentro",DATOS_[C.Extra.04]))))),
0)</f>
        <v>0</v>
      </c>
      <c r="AP52" s="95">
        <f t="array" ref="AP52">IFERROR(
AVERAGE((IF(DATOS_[[Sexo]:[Sexo]]=$B52,IF(DATOS_[[AGRUP. CLAS. PROF.]:[AGRUP. CLAS. PROF.]]=$B51,IF(DATOS_[[Check Periodo Ref.]:[Check Periodo Ref.]]="Dentro",DATOS_[C.Extra.05]))))),
0)</f>
        <v>0</v>
      </c>
      <c r="AQ52" s="97">
        <f t="array" ref="AQ52">IFERROR(
AVERAGE(IF(DATOS_[Sexo]=$B52,IF(DATOS_[AGRUP. CLAS. PROF.]=$B51,IF(DATOS_[Check Periodo Ref.]="Dentro",DATOS_[Tot Extrasalarial Ef],FALSE)))),
0)</f>
        <v>0</v>
      </c>
      <c r="AR52" s="98">
        <f t="array" ref="AR52">IFERROR(
AVERAGE(IF(DATOS_[Sexo]=$B52,IF(DATOS_[AGRUP. CLAS. PROF.]=$B51,IF(DATOS_[Check Periodo Ref.]="Dentro",DATOS_[TOTAL Retrib Ef],FALSE)))),
0)</f>
        <v>0</v>
      </c>
    </row>
    <row r="53" spans="1:44" hidden="1" x14ac:dyDescent="0.3">
      <c r="A53" s="309" t="str">
        <f t="shared" ref="A53" si="54">+A52</f>
        <v>[ocultar]</v>
      </c>
      <c r="B53" s="46" t="s">
        <v>163</v>
      </c>
      <c r="C53" s="45">
        <f t="array" ref="C53">SUM(IF($B53=DATOS_[Sexo],
IF($B51=DATOS_[AGRUP. CLAS. PROF.],
IF("Dentro"=DATOS_[Check Periodo Ref.],
1/(COUNTIFS(DATOS_[Sexo],$B53,DATOS_[AGRUP. CLAS. PROF.],$B51,DATOS_[Check Periodo Ref.],"Dentro",DATOS_[id],DATOS_[id]))))))</f>
        <v>0</v>
      </c>
      <c r="D53" s="47">
        <f>COUNTIFS(DATOS_[AGRUP. CLAS. PROF.],$B51,DATOS_[Sexo],$B53,DATOS_[Check Periodo Ref.],"Dentro")</f>
        <v>0</v>
      </c>
      <c r="E53" s="92">
        <f t="array" ref="E53">IFERROR(
AVERAGE(IF(DATOS_[Sexo]=$B53,IF(DATOS_[AGRUP. CLAS. PROF.]=$B51,IF(DATOS_[Check Periodo Ref.]="Dentro",DATOS_[SALARIO BASE Ef],FALSE)))),
0)</f>
        <v>0</v>
      </c>
      <c r="F53" s="93">
        <f t="array" ref="F53">IFERROR(
AVERAGE((IF(DATOS_[[Sexo]:[Sexo]]=$B53,IF(DATOS_[[AGRUP. CLAS. PROF.]:[AGRUP. CLAS. PROF.]]=$B51,IF(DATOS_[[Check Periodo Ref.]:[Check Periodo Ref.]]="Dentro",DATOS_[Conc.Sal.01]))))),
0)</f>
        <v>0</v>
      </c>
      <c r="G53" s="93">
        <f t="array" ref="G53">IFERROR(
AVERAGE((IF(DATOS_[[Sexo]:[Sexo]]=$B53,IF(DATOS_[[AGRUP. CLAS. PROF.]:[AGRUP. CLAS. PROF.]]=$B51,IF(DATOS_[[Check Periodo Ref.]:[Check Periodo Ref.]]="Dentro",DATOS_[Conc.Sal.02]))))),
0)</f>
        <v>0</v>
      </c>
      <c r="H53" s="93">
        <f t="array" ref="H53">IFERROR(
AVERAGE((IF(DATOS_[[Sexo]:[Sexo]]=$B53,IF(DATOS_[[AGRUP. CLAS. PROF.]:[AGRUP. CLAS. PROF.]]=$B51,IF(DATOS_[[Check Periodo Ref.]:[Check Periodo Ref.]]="Dentro",DATOS_[Conc.Sal.03]))))),
0)</f>
        <v>0</v>
      </c>
      <c r="I53" s="93">
        <f t="array" ref="I53">IFERROR(
AVERAGE((IF(DATOS_[[Sexo]:[Sexo]]=$B53,IF(DATOS_[[AGRUP. CLAS. PROF.]:[AGRUP. CLAS. PROF.]]=$B51,IF(DATOS_[[Check Periodo Ref.]:[Check Periodo Ref.]]="Dentro",DATOS_[Conc.Sal.04]))))),
0)</f>
        <v>0</v>
      </c>
      <c r="J53" s="93">
        <f t="array" ref="J53">IFERROR(
AVERAGE((IF(DATOS_[[Sexo]:[Sexo]]=$B53,IF(DATOS_[[AGRUP. CLAS. PROF.]:[AGRUP. CLAS. PROF.]]=$B51,IF(DATOS_[[Check Periodo Ref.]:[Check Periodo Ref.]]="Dentro",DATOS_[Conc.Sal.05]))))),
0)</f>
        <v>0</v>
      </c>
      <c r="K53" s="93">
        <f t="array" ref="K53">IFERROR(
AVERAGE((IF(DATOS_[[Sexo]:[Sexo]]=$B53,IF(DATOS_[[AGRUP. CLAS. PROF.]:[AGRUP. CLAS. PROF.]]=$B51,IF(DATOS_[[Check Periodo Ref.]:[Check Periodo Ref.]]="Dentro",DATOS_[Conc.Sal.06]))))),
0)</f>
        <v>0</v>
      </c>
      <c r="L53" s="93">
        <f t="array" ref="L53">IFERROR(
AVERAGE((IF(DATOS_[[Sexo]:[Sexo]]=$B53,IF(DATOS_[[AGRUP. CLAS. PROF.]:[AGRUP. CLAS. PROF.]]=$B51,IF(DATOS_[[Check Periodo Ref.]:[Check Periodo Ref.]]="Dentro",DATOS_[Conc.Sal.07]))))),
0)</f>
        <v>0</v>
      </c>
      <c r="M53" s="93">
        <f t="array" ref="M53">IFERROR(
AVERAGE((IF(DATOS_[[Sexo]:[Sexo]]=$B53,IF(DATOS_[[AGRUP. CLAS. PROF.]:[AGRUP. CLAS. PROF.]]=$B51,IF(DATOS_[[Check Periodo Ref.]:[Check Periodo Ref.]]="Dentro",DATOS_[Conc.Sal.08]))))),
0)</f>
        <v>0</v>
      </c>
      <c r="N53" s="93">
        <f t="array" ref="N53">IFERROR(
AVERAGE((IF(DATOS_[[Sexo]:[Sexo]]=$B53,IF(DATOS_[[AGRUP. CLAS. PROF.]:[AGRUP. CLAS. PROF.]]=$B51,IF(DATOS_[[Check Periodo Ref.]:[Check Periodo Ref.]]="Dentro",DATOS_[Conc.Sal.09]))))),
0)</f>
        <v>0</v>
      </c>
      <c r="O53" s="93">
        <f t="array" ref="O53">IFERROR(
AVERAGE((IF(DATOS_[[Sexo]:[Sexo]]=$B53,IF(DATOS_[[AGRUP. CLAS. PROF.]:[AGRUP. CLAS. PROF.]]=$B51,IF(DATOS_[[Check Periodo Ref.]:[Check Periodo Ref.]]="Dentro",DATOS_[Conc.Sal.10]))))),
0)</f>
        <v>0</v>
      </c>
      <c r="P53" s="93">
        <f t="array" ref="P53">IFERROR(
AVERAGE((IF(DATOS_[[Sexo]:[Sexo]]=$B53,IF(DATOS_[[AGRUP. CLAS. PROF.]:[AGRUP. CLAS. PROF.]]=$B51,IF(DATOS_[[Check Periodo Ref.]:[Check Periodo Ref.]]="Dentro",DATOS_[Conc.Sal.11]))))),
0)</f>
        <v>0</v>
      </c>
      <c r="Q53" s="93">
        <f t="array" ref="Q53">IFERROR(
AVERAGE((IF(DATOS_[[Sexo]:[Sexo]]=$B53,IF(DATOS_[[AGRUP. CLAS. PROF.]:[AGRUP. CLAS. PROF.]]=$B51,IF(DATOS_[[Check Periodo Ref.]:[Check Periodo Ref.]]="Dentro",DATOS_[Conc.Sal.12]))))),
0)</f>
        <v>0</v>
      </c>
      <c r="R53" s="93">
        <f t="array" ref="R53">IFERROR(
AVERAGE((IF(DATOS_[[Sexo]:[Sexo]]=$B53,IF(DATOS_[[AGRUP. CLAS. PROF.]:[AGRUP. CLAS. PROF.]]=$B51,IF(DATOS_[[Check Periodo Ref.]:[Check Periodo Ref.]]="Dentro",DATOS_[Conc.Sal.13]))))),
0)</f>
        <v>0</v>
      </c>
      <c r="S53" s="93">
        <f t="array" ref="S53">IFERROR(
AVERAGE((IF(DATOS_[[Sexo]:[Sexo]]=$B53,IF(DATOS_[[AGRUP. CLAS. PROF.]:[AGRUP. CLAS. PROF.]]=$B51,IF(DATOS_[[Check Periodo Ref.]:[Check Periodo Ref.]]="Dentro",DATOS_[Conc.Sal.14]))))),
0)</f>
        <v>0</v>
      </c>
      <c r="T53" s="93">
        <f t="array" ref="T53">IFERROR(
AVERAGE((IF(DATOS_[[Sexo]:[Sexo]]=$B53,IF(DATOS_[[AGRUP. CLAS. PROF.]:[AGRUP. CLAS. PROF.]]=$B51,IF(DATOS_[[Check Periodo Ref.]:[Check Periodo Ref.]]="Dentro",DATOS_[Conc.Sal.15]))))),
0)</f>
        <v>0</v>
      </c>
      <c r="U53" s="93">
        <f t="array" ref="U53">IFERROR(
AVERAGE((IF(DATOS_[[Sexo]:[Sexo]]=$B53,IF(DATOS_[[AGRUP. CLAS. PROF.]:[AGRUP. CLAS. PROF.]]=$B51,IF(DATOS_[[Check Periodo Ref.]:[Check Periodo Ref.]]="Dentro",DATOS_[Conc.Sal.16]))))),
0)</f>
        <v>0</v>
      </c>
      <c r="V53" s="93">
        <f t="array" ref="V53">IFERROR(
AVERAGE((IF(DATOS_[[Sexo]:[Sexo]]=$B53,IF(DATOS_[[AGRUP. CLAS. PROF.]:[AGRUP. CLAS. PROF.]]=$B51,IF(DATOS_[[Check Periodo Ref.]:[Check Periodo Ref.]]="Dentro",DATOS_[Conc.Sal.17]))))),
0)</f>
        <v>0</v>
      </c>
      <c r="W53" s="93">
        <f t="array" ref="W53">IFERROR(
AVERAGE((IF(DATOS_[[Sexo]:[Sexo]]=$B53,IF(DATOS_[[AGRUP. CLAS. PROF.]:[AGRUP. CLAS. PROF.]]=$B51,IF(DATOS_[[Check Periodo Ref.]:[Check Periodo Ref.]]="Dentro",DATOS_[Conc.Sal.18]))))),
0)</f>
        <v>0</v>
      </c>
      <c r="X53" s="93">
        <f t="array" ref="X53">IFERROR(
AVERAGE((IF(DATOS_[[Sexo]:[Sexo]]=$B53,IF(DATOS_[[AGRUP. CLAS. PROF.]:[AGRUP. CLAS. PROF.]]=$B51,IF(DATOS_[[Check Periodo Ref.]:[Check Periodo Ref.]]="Dentro",DATOS_[Conc.Sal.19]))))),
0)</f>
        <v>0</v>
      </c>
      <c r="Y53" s="93">
        <f t="array" ref="Y53">IFERROR(
AVERAGE((IF(DATOS_[[Sexo]:[Sexo]]=$B53,IF(DATOS_[[AGRUP. CLAS. PROF.]:[AGRUP. CLAS. PROF.]]=$B51,IF(DATOS_[[Check Periodo Ref.]:[Check Periodo Ref.]]="Dentro",DATOS_[Conc.Sal.20]))))),
0)</f>
        <v>0</v>
      </c>
      <c r="Z53" s="93">
        <f t="array" ref="Z53">IFERROR(
AVERAGE((IF(DATOS_[[Sexo]:[Sexo]]=$B53,IF(DATOS_[[AGRUP. CLAS. PROF.]:[AGRUP. CLAS. PROF.]]=$B51,IF(DATOS_[[Check Periodo Ref.]:[Check Periodo Ref.]]="Dentro",DATOS_[Conc.Sal.21]))))),
0)</f>
        <v>0</v>
      </c>
      <c r="AA53" s="93">
        <f t="array" ref="AA53">IFERROR(
AVERAGE((IF(DATOS_[[Sexo]:[Sexo]]=$B53,IF(DATOS_[[AGRUP. CLAS. PROF.]:[AGRUP. CLAS. PROF.]]=$B51,IF(DATOS_[[Check Periodo Ref.]:[Check Periodo Ref.]]="Dentro",DATOS_[Conc.Sal.22]))))),
0)</f>
        <v>0</v>
      </c>
      <c r="AB53" s="93">
        <f t="array" ref="AB53">IFERROR(
AVERAGE((IF(DATOS_[[Sexo]:[Sexo]]=$B53,IF(DATOS_[[AGRUP. CLAS. PROF.]:[AGRUP. CLAS. PROF.]]=$B51,IF(DATOS_[[Check Periodo Ref.]:[Check Periodo Ref.]]="Dentro",DATOS_[Conc.Sal.23]))))),
0)</f>
        <v>0</v>
      </c>
      <c r="AC53" s="93">
        <f t="array" ref="AC53">IFERROR(
AVERAGE((IF(DATOS_[[Sexo]:[Sexo]]=$B53,IF(DATOS_[[AGRUP. CLAS. PROF.]:[AGRUP. CLAS. PROF.]]=$B51,IF(DATOS_[[Check Periodo Ref.]:[Check Periodo Ref.]]="Dentro",DATOS_[Conc.Sal.24]))))),
0)</f>
        <v>0</v>
      </c>
      <c r="AD53" s="93">
        <f t="array" ref="AD53">IFERROR(
AVERAGE((IF(DATOS_[[Sexo]:[Sexo]]=$B53,IF(DATOS_[[AGRUP. CLAS. PROF.]:[AGRUP. CLAS. PROF.]]=$B51,IF(DATOS_[[Check Periodo Ref.]:[Check Periodo Ref.]]="Dentro",DATOS_[Conc.Sal.25]))))),
0)</f>
        <v>0</v>
      </c>
      <c r="AE53" s="93">
        <f t="array" ref="AE53">IFERROR(
AVERAGE((IF(DATOS_[[Sexo]:[Sexo]]=$B53,IF(DATOS_[[AGRUP. CLAS. PROF.]:[AGRUP. CLAS. PROF.]]=$B51,IF(DATOS_[[Check Periodo Ref.]:[Check Periodo Ref.]]="Dentro",DATOS_[Conc.Sal.26]))))),
0)</f>
        <v>0</v>
      </c>
      <c r="AF53" s="93">
        <f t="array" ref="AF53">IFERROR(
AVERAGE((IF(DATOS_[[Sexo]:[Sexo]]=$B53,IF(DATOS_[[AGRUP. CLAS. PROF.]:[AGRUP. CLAS. PROF.]]=$B51,IF(DATOS_[[Check Periodo Ref.]:[Check Periodo Ref.]]="Dentro",DATOS_[Conc.Sal.27]))))),
0)</f>
        <v>0</v>
      </c>
      <c r="AG53" s="93">
        <f t="array" ref="AG53">IFERROR(
AVERAGE((IF(DATOS_[[Sexo]:[Sexo]]=$B53,IF(DATOS_[[AGRUP. CLAS. PROF.]:[AGRUP. CLAS. PROF.]]=$B51,IF(DATOS_[[Check Periodo Ref.]:[Check Periodo Ref.]]="Dentro",DATOS_[Conc.Sal.28]))))),
0)</f>
        <v>0</v>
      </c>
      <c r="AH53" s="93">
        <f t="array" ref="AH53">IFERROR(
AVERAGE((IF(DATOS_[[Sexo]:[Sexo]]=$B53,IF(DATOS_[[AGRUP. CLAS. PROF.]:[AGRUP. CLAS. PROF.]]=$B51,IF(DATOS_[[Check Periodo Ref.]:[Check Periodo Ref.]]="Dentro",DATOS_[Conc.Sal.29]))))),
0)</f>
        <v>0</v>
      </c>
      <c r="AI53" s="93">
        <f t="array" ref="AI53">IFERROR(
AVERAGE((IF(DATOS_[[Sexo]:[Sexo]]=$B53,IF(DATOS_[[AGRUP. CLAS. PROF.]:[AGRUP. CLAS. PROF.]]=$B51,IF(DATOS_[[Check Periodo Ref.]:[Check Periodo Ref.]]="Dentro",DATOS_[Conc.Sal.30]))))),
0)</f>
        <v>0</v>
      </c>
      <c r="AJ53" s="94">
        <f t="array" ref="AJ53">IFERROR(
AVERAGE(IF(DATOS_[Sexo]=$B53,IF(DATOS_[AGRUP. CLAS. PROF.]=$B51,IF(DATOS_[Check Periodo Ref.]="Dentro",DATOS_[Tot COMPL.SAL Ef],FALSE)))),
0)</f>
        <v>0</v>
      </c>
      <c r="AK53" s="96">
        <f t="array" ref="AK53">IFERROR(
AVERAGE(IF(DATOS_[Sexo]=$B53,IF(DATOS_[AGRUP. CLAS. PROF.]=$B51,IF(DATOS_[Check Periodo Ref.]="Dentro",DATOS_[TOTAL SALARIO Ef],FALSE)))),
0)</f>
        <v>0</v>
      </c>
      <c r="AL53" s="95">
        <f t="array" ref="AL53">IFERROR(
AVERAGE((IF(DATOS_[[Sexo]:[Sexo]]=$B53,IF(DATOS_[[AGRUP. CLAS. PROF.]:[AGRUP. CLAS. PROF.]]=$B51,IF(DATOS_[[Check Periodo Ref.]:[Check Periodo Ref.]]="Dentro",DATOS_[C.Extra.01]))))),
0)</f>
        <v>0</v>
      </c>
      <c r="AM53" s="95">
        <f t="array" ref="AM53">IFERROR(
AVERAGE((IF(DATOS_[[Sexo]:[Sexo]]=$B53,IF(DATOS_[[AGRUP. CLAS. PROF.]:[AGRUP. CLAS. PROF.]]=$B51,IF(DATOS_[[Check Periodo Ref.]:[Check Periodo Ref.]]="Dentro",DATOS_[C.Extra.02]))))),
0)</f>
        <v>0</v>
      </c>
      <c r="AN53" s="95">
        <f t="array" ref="AN53">IFERROR(
AVERAGE((IF(DATOS_[[Sexo]:[Sexo]]=$B53,IF(DATOS_[[AGRUP. CLAS. PROF.]:[AGRUP. CLAS. PROF.]]=$B51,IF(DATOS_[[Check Periodo Ref.]:[Check Periodo Ref.]]="Dentro",DATOS_[C.Extra.03]))))),
0)</f>
        <v>0</v>
      </c>
      <c r="AO53" s="95">
        <f t="array" ref="AO53">IFERROR(
AVERAGE((IF(DATOS_[[Sexo]:[Sexo]]=$B53,IF(DATOS_[[AGRUP. CLAS. PROF.]:[AGRUP. CLAS. PROF.]]=$B51,IF(DATOS_[[Check Periodo Ref.]:[Check Periodo Ref.]]="Dentro",DATOS_[C.Extra.04]))))),
0)</f>
        <v>0</v>
      </c>
      <c r="AP53" s="95">
        <f t="array" ref="AP53">IFERROR(
AVERAGE((IF(DATOS_[[Sexo]:[Sexo]]=$B53,IF(DATOS_[[AGRUP. CLAS. PROF.]:[AGRUP. CLAS. PROF.]]=$B51,IF(DATOS_[[Check Periodo Ref.]:[Check Periodo Ref.]]="Dentro",DATOS_[C.Extra.05]))))),
0)</f>
        <v>0</v>
      </c>
      <c r="AQ53" s="97">
        <f t="array" ref="AQ53">IFERROR(
AVERAGE(IF(DATOS_[Sexo]=$B53,IF(DATOS_[AGRUP. CLAS. PROF.]=$B51,IF(DATOS_[Check Periodo Ref.]="Dentro",DATOS_[Tot Extrasalarial Ef],FALSE)))),
0)</f>
        <v>0</v>
      </c>
      <c r="AR53" s="98">
        <f t="array" ref="AR53">IFERROR(
AVERAGE(IF(DATOS_[Sexo]=$B53,IF(DATOS_[AGRUP. CLAS. PROF.]=$B51,IF(DATOS_[Check Periodo Ref.]="Dentro",DATOS_[TOTAL Retrib Ef],FALSE)))),
0)</f>
        <v>0</v>
      </c>
    </row>
    <row r="54" spans="1:44" ht="17.25" hidden="1" thickBot="1" x14ac:dyDescent="0.35">
      <c r="A54" s="309" t="str">
        <f t="shared" ref="A54" si="55">+A55</f>
        <v>[ocultar]</v>
      </c>
      <c r="B54" s="51" t="s">
        <v>230</v>
      </c>
      <c r="C54" s="91"/>
      <c r="D54" s="52"/>
      <c r="E54" s="139" t="str">
        <f t="shared" ref="E54:AR54" si="56">IFERROR((E55-E56)/E55,"")</f>
        <v/>
      </c>
      <c r="F54" s="310" t="str">
        <f t="shared" si="56"/>
        <v/>
      </c>
      <c r="G54" s="180" t="str">
        <f t="shared" si="56"/>
        <v/>
      </c>
      <c r="H54" s="180" t="str">
        <f t="shared" si="56"/>
        <v/>
      </c>
      <c r="I54" s="180" t="str">
        <f t="shared" si="56"/>
        <v/>
      </c>
      <c r="J54" s="181" t="str">
        <f t="shared" si="56"/>
        <v/>
      </c>
      <c r="K54" s="182" t="str">
        <f t="shared" si="56"/>
        <v/>
      </c>
      <c r="L54" s="182" t="str">
        <f t="shared" si="56"/>
        <v/>
      </c>
      <c r="M54" s="182" t="str">
        <f t="shared" si="56"/>
        <v/>
      </c>
      <c r="N54" s="182" t="str">
        <f t="shared" si="56"/>
        <v/>
      </c>
      <c r="O54" s="182" t="str">
        <f t="shared" si="56"/>
        <v/>
      </c>
      <c r="P54" s="182" t="str">
        <f t="shared" si="56"/>
        <v/>
      </c>
      <c r="Q54" s="182" t="str">
        <f t="shared" si="56"/>
        <v/>
      </c>
      <c r="R54" s="182" t="str">
        <f t="shared" si="56"/>
        <v/>
      </c>
      <c r="S54" s="182" t="str">
        <f t="shared" si="56"/>
        <v/>
      </c>
      <c r="T54" s="182" t="str">
        <f t="shared" si="56"/>
        <v/>
      </c>
      <c r="U54" s="182" t="str">
        <f t="shared" si="56"/>
        <v/>
      </c>
      <c r="V54" s="181" t="str">
        <f t="shared" si="56"/>
        <v/>
      </c>
      <c r="W54" s="181" t="str">
        <f t="shared" si="56"/>
        <v/>
      </c>
      <c r="X54" s="181" t="str">
        <f t="shared" si="56"/>
        <v/>
      </c>
      <c r="Y54" s="181" t="str">
        <f t="shared" si="56"/>
        <v/>
      </c>
      <c r="Z54" s="181" t="str">
        <f t="shared" si="56"/>
        <v/>
      </c>
      <c r="AA54" s="181" t="str">
        <f t="shared" si="56"/>
        <v/>
      </c>
      <c r="AB54" s="181" t="str">
        <f t="shared" si="56"/>
        <v/>
      </c>
      <c r="AC54" s="181" t="str">
        <f t="shared" si="56"/>
        <v/>
      </c>
      <c r="AD54" s="181" t="str">
        <f t="shared" si="56"/>
        <v/>
      </c>
      <c r="AE54" s="181" t="str">
        <f t="shared" si="56"/>
        <v/>
      </c>
      <c r="AF54" s="181" t="str">
        <f t="shared" si="56"/>
        <v/>
      </c>
      <c r="AG54" s="181" t="str">
        <f t="shared" si="56"/>
        <v/>
      </c>
      <c r="AH54" s="181" t="str">
        <f t="shared" si="56"/>
        <v/>
      </c>
      <c r="AI54" s="181" t="str">
        <f t="shared" si="56"/>
        <v/>
      </c>
      <c r="AJ54" s="140" t="str">
        <f t="shared" si="56"/>
        <v/>
      </c>
      <c r="AK54" s="143" t="str">
        <f t="shared" si="56"/>
        <v/>
      </c>
      <c r="AL54" s="184" t="str">
        <f t="shared" si="56"/>
        <v/>
      </c>
      <c r="AM54" s="184" t="str">
        <f t="shared" si="56"/>
        <v/>
      </c>
      <c r="AN54" s="184" t="str">
        <f t="shared" si="56"/>
        <v/>
      </c>
      <c r="AO54" s="184" t="str">
        <f t="shared" si="56"/>
        <v/>
      </c>
      <c r="AP54" s="184" t="str">
        <f t="shared" si="56"/>
        <v/>
      </c>
      <c r="AQ54" s="141" t="str">
        <f t="shared" si="56"/>
        <v/>
      </c>
      <c r="AR54" s="142" t="str">
        <f t="shared" si="56"/>
        <v/>
      </c>
    </row>
    <row r="55" spans="1:44" hidden="1" x14ac:dyDescent="0.3">
      <c r="A55" s="309" t="str">
        <f t="shared" ref="A55" si="57">+IF(C55+C56=0,"[ocultar]","")</f>
        <v>[ocultar]</v>
      </c>
      <c r="B55" s="46" t="s">
        <v>162</v>
      </c>
      <c r="C55" s="45">
        <f t="array" ref="C55">SUM(IF($B55=DATOS_[Sexo],
IF($B54=DATOS_[AGRUP. CLAS. PROF.],
IF("Dentro"=DATOS_[Check Periodo Ref.],
1/(COUNTIFS(DATOS_[Sexo],$B55,DATOS_[AGRUP. CLAS. PROF.],$B54,DATOS_[Check Periodo Ref.],"Dentro",DATOS_[id],DATOS_[id]))))))</f>
        <v>0</v>
      </c>
      <c r="D55" s="47">
        <f>COUNTIFS(DATOS_[AGRUP. CLAS. PROF.],$B54,DATOS_[Sexo],$B55,DATOS_[Check Periodo Ref.],"Dentro")</f>
        <v>0</v>
      </c>
      <c r="E55" s="92">
        <f t="array" ref="E55">IFERROR(
AVERAGE(IF(DATOS_[Sexo]=$B55,IF(DATOS_[AGRUP. CLAS. PROF.]=$B54,IF(DATOS_[Check Periodo Ref.]="Dentro",DATOS_[SALARIO BASE Ef],FALSE)))),
0)</f>
        <v>0</v>
      </c>
      <c r="F55" s="93">
        <f t="array" ref="F55">IFERROR(
AVERAGE((IF(DATOS_[[Sexo]:[Sexo]]=$B55,IF(DATOS_[[AGRUP. CLAS. PROF.]:[AGRUP. CLAS. PROF.]]=$B54,IF(DATOS_[[Check Periodo Ref.]:[Check Periodo Ref.]]="Dentro",DATOS_[Conc.Sal.01]))))),
0)</f>
        <v>0</v>
      </c>
      <c r="G55" s="93">
        <f t="array" ref="G55">IFERROR(
AVERAGE((IF(DATOS_[[Sexo]:[Sexo]]=$B55,IF(DATOS_[[AGRUP. CLAS. PROF.]:[AGRUP. CLAS. PROF.]]=$B54,IF(DATOS_[[Check Periodo Ref.]:[Check Periodo Ref.]]="Dentro",DATOS_[Conc.Sal.02]))))),
0)</f>
        <v>0</v>
      </c>
      <c r="H55" s="93">
        <f t="array" ref="H55">IFERROR(
AVERAGE((IF(DATOS_[[Sexo]:[Sexo]]=$B55,IF(DATOS_[[AGRUP. CLAS. PROF.]:[AGRUP. CLAS. PROF.]]=$B54,IF(DATOS_[[Check Periodo Ref.]:[Check Periodo Ref.]]="Dentro",DATOS_[Conc.Sal.03]))))),
0)</f>
        <v>0</v>
      </c>
      <c r="I55" s="93">
        <f t="array" ref="I55">IFERROR(
AVERAGE((IF(DATOS_[[Sexo]:[Sexo]]=$B55,IF(DATOS_[[AGRUP. CLAS. PROF.]:[AGRUP. CLAS. PROF.]]=$B54,IF(DATOS_[[Check Periodo Ref.]:[Check Periodo Ref.]]="Dentro",DATOS_[Conc.Sal.04]))))),
0)</f>
        <v>0</v>
      </c>
      <c r="J55" s="93">
        <f t="array" ref="J55">IFERROR(
AVERAGE((IF(DATOS_[[Sexo]:[Sexo]]=$B55,IF(DATOS_[[AGRUP. CLAS. PROF.]:[AGRUP. CLAS. PROF.]]=$B54,IF(DATOS_[[Check Periodo Ref.]:[Check Periodo Ref.]]="Dentro",DATOS_[Conc.Sal.05]))))),
0)</f>
        <v>0</v>
      </c>
      <c r="K55" s="93">
        <f t="array" ref="K55">IFERROR(
AVERAGE((IF(DATOS_[[Sexo]:[Sexo]]=$B55,IF(DATOS_[[AGRUP. CLAS. PROF.]:[AGRUP. CLAS. PROF.]]=$B54,IF(DATOS_[[Check Periodo Ref.]:[Check Periodo Ref.]]="Dentro",DATOS_[Conc.Sal.06]))))),
0)</f>
        <v>0</v>
      </c>
      <c r="L55" s="93">
        <f t="array" ref="L55">IFERROR(
AVERAGE((IF(DATOS_[[Sexo]:[Sexo]]=$B55,IF(DATOS_[[AGRUP. CLAS. PROF.]:[AGRUP. CLAS. PROF.]]=$B54,IF(DATOS_[[Check Periodo Ref.]:[Check Periodo Ref.]]="Dentro",DATOS_[Conc.Sal.07]))))),
0)</f>
        <v>0</v>
      </c>
      <c r="M55" s="93">
        <f t="array" ref="M55">IFERROR(
AVERAGE((IF(DATOS_[[Sexo]:[Sexo]]=$B55,IF(DATOS_[[AGRUP. CLAS. PROF.]:[AGRUP. CLAS. PROF.]]=$B54,IF(DATOS_[[Check Periodo Ref.]:[Check Periodo Ref.]]="Dentro",DATOS_[Conc.Sal.08]))))),
0)</f>
        <v>0</v>
      </c>
      <c r="N55" s="93">
        <f t="array" ref="N55">IFERROR(
AVERAGE((IF(DATOS_[[Sexo]:[Sexo]]=$B55,IF(DATOS_[[AGRUP. CLAS. PROF.]:[AGRUP. CLAS. PROF.]]=$B54,IF(DATOS_[[Check Periodo Ref.]:[Check Periodo Ref.]]="Dentro",DATOS_[Conc.Sal.09]))))),
0)</f>
        <v>0</v>
      </c>
      <c r="O55" s="93">
        <f t="array" ref="O55">IFERROR(
AVERAGE((IF(DATOS_[[Sexo]:[Sexo]]=$B55,IF(DATOS_[[AGRUP. CLAS. PROF.]:[AGRUP. CLAS. PROF.]]=$B54,IF(DATOS_[[Check Periodo Ref.]:[Check Periodo Ref.]]="Dentro",DATOS_[Conc.Sal.10]))))),
0)</f>
        <v>0</v>
      </c>
      <c r="P55" s="93">
        <f t="array" ref="P55">IFERROR(
AVERAGE((IF(DATOS_[[Sexo]:[Sexo]]=$B55,IF(DATOS_[[AGRUP. CLAS. PROF.]:[AGRUP. CLAS. PROF.]]=$B54,IF(DATOS_[[Check Periodo Ref.]:[Check Periodo Ref.]]="Dentro",DATOS_[Conc.Sal.11]))))),
0)</f>
        <v>0</v>
      </c>
      <c r="Q55" s="93">
        <f t="array" ref="Q55">IFERROR(
AVERAGE((IF(DATOS_[[Sexo]:[Sexo]]=$B55,IF(DATOS_[[AGRUP. CLAS. PROF.]:[AGRUP. CLAS. PROF.]]=$B54,IF(DATOS_[[Check Periodo Ref.]:[Check Periodo Ref.]]="Dentro",DATOS_[Conc.Sal.12]))))),
0)</f>
        <v>0</v>
      </c>
      <c r="R55" s="93">
        <f t="array" ref="R55">IFERROR(
AVERAGE((IF(DATOS_[[Sexo]:[Sexo]]=$B55,IF(DATOS_[[AGRUP. CLAS. PROF.]:[AGRUP. CLAS. PROF.]]=$B54,IF(DATOS_[[Check Periodo Ref.]:[Check Periodo Ref.]]="Dentro",DATOS_[Conc.Sal.13]))))),
0)</f>
        <v>0</v>
      </c>
      <c r="S55" s="93">
        <f t="array" ref="S55">IFERROR(
AVERAGE((IF(DATOS_[[Sexo]:[Sexo]]=$B55,IF(DATOS_[[AGRUP. CLAS. PROF.]:[AGRUP. CLAS. PROF.]]=$B54,IF(DATOS_[[Check Periodo Ref.]:[Check Periodo Ref.]]="Dentro",DATOS_[Conc.Sal.14]))))),
0)</f>
        <v>0</v>
      </c>
      <c r="T55" s="93">
        <f t="array" ref="T55">IFERROR(
AVERAGE((IF(DATOS_[[Sexo]:[Sexo]]=$B55,IF(DATOS_[[AGRUP. CLAS. PROF.]:[AGRUP. CLAS. PROF.]]=$B54,IF(DATOS_[[Check Periodo Ref.]:[Check Periodo Ref.]]="Dentro",DATOS_[Conc.Sal.15]))))),
0)</f>
        <v>0</v>
      </c>
      <c r="U55" s="93">
        <f t="array" ref="U55">IFERROR(
AVERAGE((IF(DATOS_[[Sexo]:[Sexo]]=$B55,IF(DATOS_[[AGRUP. CLAS. PROF.]:[AGRUP. CLAS. PROF.]]=$B54,IF(DATOS_[[Check Periodo Ref.]:[Check Periodo Ref.]]="Dentro",DATOS_[Conc.Sal.16]))))),
0)</f>
        <v>0</v>
      </c>
      <c r="V55" s="93">
        <f t="array" ref="V55">IFERROR(
AVERAGE((IF(DATOS_[[Sexo]:[Sexo]]=$B55,IF(DATOS_[[AGRUP. CLAS. PROF.]:[AGRUP. CLAS. PROF.]]=$B54,IF(DATOS_[[Check Periodo Ref.]:[Check Periodo Ref.]]="Dentro",DATOS_[Conc.Sal.17]))))),
0)</f>
        <v>0</v>
      </c>
      <c r="W55" s="93">
        <f t="array" ref="W55">IFERROR(
AVERAGE((IF(DATOS_[[Sexo]:[Sexo]]=$B55,IF(DATOS_[[AGRUP. CLAS. PROF.]:[AGRUP. CLAS. PROF.]]=$B54,IF(DATOS_[[Check Periodo Ref.]:[Check Periodo Ref.]]="Dentro",DATOS_[Conc.Sal.18]))))),
0)</f>
        <v>0</v>
      </c>
      <c r="X55" s="93">
        <f t="array" ref="X55">IFERROR(
AVERAGE((IF(DATOS_[[Sexo]:[Sexo]]=$B55,IF(DATOS_[[AGRUP. CLAS. PROF.]:[AGRUP. CLAS. PROF.]]=$B54,IF(DATOS_[[Check Periodo Ref.]:[Check Periodo Ref.]]="Dentro",DATOS_[Conc.Sal.19]))))),
0)</f>
        <v>0</v>
      </c>
      <c r="Y55" s="93">
        <f t="array" ref="Y55">IFERROR(
AVERAGE((IF(DATOS_[[Sexo]:[Sexo]]=$B55,IF(DATOS_[[AGRUP. CLAS. PROF.]:[AGRUP. CLAS. PROF.]]=$B54,IF(DATOS_[[Check Periodo Ref.]:[Check Periodo Ref.]]="Dentro",DATOS_[Conc.Sal.20]))))),
0)</f>
        <v>0</v>
      </c>
      <c r="Z55" s="93">
        <f t="array" ref="Z55">IFERROR(
AVERAGE((IF(DATOS_[[Sexo]:[Sexo]]=$B55,IF(DATOS_[[AGRUP. CLAS. PROF.]:[AGRUP. CLAS. PROF.]]=$B54,IF(DATOS_[[Check Periodo Ref.]:[Check Periodo Ref.]]="Dentro",DATOS_[Conc.Sal.21]))))),
0)</f>
        <v>0</v>
      </c>
      <c r="AA55" s="93">
        <f t="array" ref="AA55">IFERROR(
AVERAGE((IF(DATOS_[[Sexo]:[Sexo]]=$B55,IF(DATOS_[[AGRUP. CLAS. PROF.]:[AGRUP. CLAS. PROF.]]=$B54,IF(DATOS_[[Check Periodo Ref.]:[Check Periodo Ref.]]="Dentro",DATOS_[Conc.Sal.22]))))),
0)</f>
        <v>0</v>
      </c>
      <c r="AB55" s="93">
        <f t="array" ref="AB55">IFERROR(
AVERAGE((IF(DATOS_[[Sexo]:[Sexo]]=$B55,IF(DATOS_[[AGRUP. CLAS. PROF.]:[AGRUP. CLAS. PROF.]]=$B54,IF(DATOS_[[Check Periodo Ref.]:[Check Periodo Ref.]]="Dentro",DATOS_[Conc.Sal.23]))))),
0)</f>
        <v>0</v>
      </c>
      <c r="AC55" s="93">
        <f t="array" ref="AC55">IFERROR(
AVERAGE((IF(DATOS_[[Sexo]:[Sexo]]=$B55,IF(DATOS_[[AGRUP. CLAS. PROF.]:[AGRUP. CLAS. PROF.]]=$B54,IF(DATOS_[[Check Periodo Ref.]:[Check Periodo Ref.]]="Dentro",DATOS_[Conc.Sal.24]))))),
0)</f>
        <v>0</v>
      </c>
      <c r="AD55" s="93">
        <f t="array" ref="AD55">IFERROR(
AVERAGE((IF(DATOS_[[Sexo]:[Sexo]]=$B55,IF(DATOS_[[AGRUP. CLAS. PROF.]:[AGRUP. CLAS. PROF.]]=$B54,IF(DATOS_[[Check Periodo Ref.]:[Check Periodo Ref.]]="Dentro",DATOS_[Conc.Sal.25]))))),
0)</f>
        <v>0</v>
      </c>
      <c r="AE55" s="93">
        <f t="array" ref="AE55">IFERROR(
AVERAGE((IF(DATOS_[[Sexo]:[Sexo]]=$B55,IF(DATOS_[[AGRUP. CLAS. PROF.]:[AGRUP. CLAS. PROF.]]=$B54,IF(DATOS_[[Check Periodo Ref.]:[Check Periodo Ref.]]="Dentro",DATOS_[Conc.Sal.26]))))),
0)</f>
        <v>0</v>
      </c>
      <c r="AF55" s="93">
        <f t="array" ref="AF55">IFERROR(
AVERAGE((IF(DATOS_[[Sexo]:[Sexo]]=$B55,IF(DATOS_[[AGRUP. CLAS. PROF.]:[AGRUP. CLAS. PROF.]]=$B54,IF(DATOS_[[Check Periodo Ref.]:[Check Periodo Ref.]]="Dentro",DATOS_[Conc.Sal.27]))))),
0)</f>
        <v>0</v>
      </c>
      <c r="AG55" s="93">
        <f t="array" ref="AG55">IFERROR(
AVERAGE((IF(DATOS_[[Sexo]:[Sexo]]=$B55,IF(DATOS_[[AGRUP. CLAS. PROF.]:[AGRUP. CLAS. PROF.]]=$B54,IF(DATOS_[[Check Periodo Ref.]:[Check Periodo Ref.]]="Dentro",DATOS_[Conc.Sal.28]))))),
0)</f>
        <v>0</v>
      </c>
      <c r="AH55" s="93">
        <f t="array" ref="AH55">IFERROR(
AVERAGE((IF(DATOS_[[Sexo]:[Sexo]]=$B55,IF(DATOS_[[AGRUP. CLAS. PROF.]:[AGRUP. CLAS. PROF.]]=$B54,IF(DATOS_[[Check Periodo Ref.]:[Check Periodo Ref.]]="Dentro",DATOS_[Conc.Sal.29]))))),
0)</f>
        <v>0</v>
      </c>
      <c r="AI55" s="93">
        <f t="array" ref="AI55">IFERROR(
AVERAGE((IF(DATOS_[[Sexo]:[Sexo]]=$B55,IF(DATOS_[[AGRUP. CLAS. PROF.]:[AGRUP. CLAS. PROF.]]=$B54,IF(DATOS_[[Check Periodo Ref.]:[Check Periodo Ref.]]="Dentro",DATOS_[Conc.Sal.30]))))),
0)</f>
        <v>0</v>
      </c>
      <c r="AJ55" s="94">
        <f t="array" ref="AJ55">IFERROR(
AVERAGE(IF(DATOS_[Sexo]=$B55,IF(DATOS_[AGRUP. CLAS. PROF.]=$B54,IF(DATOS_[Check Periodo Ref.]="Dentro",DATOS_[Tot COMPL.SAL Ef],FALSE)))),
0)</f>
        <v>0</v>
      </c>
      <c r="AK55" s="96">
        <f t="array" ref="AK55">IFERROR(
AVERAGE(IF(DATOS_[Sexo]=$B55,IF(DATOS_[AGRUP. CLAS. PROF.]=$B54,IF(DATOS_[Check Periodo Ref.]="Dentro",DATOS_[TOTAL SALARIO Ef],FALSE)))),
0)</f>
        <v>0</v>
      </c>
      <c r="AL55" s="95">
        <f t="array" ref="AL55">IFERROR(
AVERAGE((IF(DATOS_[[Sexo]:[Sexo]]=$B55,IF(DATOS_[[AGRUP. CLAS. PROF.]:[AGRUP. CLAS. PROF.]]=$B54,IF(DATOS_[[Check Periodo Ref.]:[Check Periodo Ref.]]="Dentro",DATOS_[C.Extra.01]))))),
0)</f>
        <v>0</v>
      </c>
      <c r="AM55" s="95">
        <f t="array" ref="AM55">IFERROR(
AVERAGE((IF(DATOS_[[Sexo]:[Sexo]]=$B55,IF(DATOS_[[AGRUP. CLAS. PROF.]:[AGRUP. CLAS. PROF.]]=$B54,IF(DATOS_[[Check Periodo Ref.]:[Check Periodo Ref.]]="Dentro",DATOS_[C.Extra.02]))))),
0)</f>
        <v>0</v>
      </c>
      <c r="AN55" s="95">
        <f t="array" ref="AN55">IFERROR(
AVERAGE((IF(DATOS_[[Sexo]:[Sexo]]=$B55,IF(DATOS_[[AGRUP. CLAS. PROF.]:[AGRUP. CLAS. PROF.]]=$B54,IF(DATOS_[[Check Periodo Ref.]:[Check Periodo Ref.]]="Dentro",DATOS_[C.Extra.03]))))),
0)</f>
        <v>0</v>
      </c>
      <c r="AO55" s="95">
        <f t="array" ref="AO55">IFERROR(
AVERAGE((IF(DATOS_[[Sexo]:[Sexo]]=$B55,IF(DATOS_[[AGRUP. CLAS. PROF.]:[AGRUP. CLAS. PROF.]]=$B54,IF(DATOS_[[Check Periodo Ref.]:[Check Periodo Ref.]]="Dentro",DATOS_[C.Extra.04]))))),
0)</f>
        <v>0</v>
      </c>
      <c r="AP55" s="95">
        <f t="array" ref="AP55">IFERROR(
AVERAGE((IF(DATOS_[[Sexo]:[Sexo]]=$B55,IF(DATOS_[[AGRUP. CLAS. PROF.]:[AGRUP. CLAS. PROF.]]=$B54,IF(DATOS_[[Check Periodo Ref.]:[Check Periodo Ref.]]="Dentro",DATOS_[C.Extra.05]))))),
0)</f>
        <v>0</v>
      </c>
      <c r="AQ55" s="97">
        <f t="array" ref="AQ55">IFERROR(
AVERAGE(IF(DATOS_[Sexo]=$B55,IF(DATOS_[AGRUP. CLAS. PROF.]=$B54,IF(DATOS_[Check Periodo Ref.]="Dentro",DATOS_[Tot Extrasalarial Ef],FALSE)))),
0)</f>
        <v>0</v>
      </c>
      <c r="AR55" s="98">
        <f t="array" ref="AR55">IFERROR(
AVERAGE(IF(DATOS_[Sexo]=$B55,IF(DATOS_[AGRUP. CLAS. PROF.]=$B54,IF(DATOS_[Check Periodo Ref.]="Dentro",DATOS_[TOTAL Retrib Ef],FALSE)))),
0)</f>
        <v>0</v>
      </c>
    </row>
    <row r="56" spans="1:44" hidden="1" x14ac:dyDescent="0.3">
      <c r="A56" s="309" t="str">
        <f t="shared" ref="A56" si="58">+A55</f>
        <v>[ocultar]</v>
      </c>
      <c r="B56" s="46" t="s">
        <v>163</v>
      </c>
      <c r="C56" s="45">
        <f t="array" ref="C56">SUM(IF($B56=DATOS_[Sexo],
IF($B54=DATOS_[AGRUP. CLAS. PROF.],
IF("Dentro"=DATOS_[Check Periodo Ref.],
1/(COUNTIFS(DATOS_[Sexo],$B56,DATOS_[AGRUP. CLAS. PROF.],$B54,DATOS_[Check Periodo Ref.],"Dentro",DATOS_[id],DATOS_[id]))))))</f>
        <v>0</v>
      </c>
      <c r="D56" s="47">
        <f>COUNTIFS(DATOS_[AGRUP. CLAS. PROF.],$B54,DATOS_[Sexo],$B56,DATOS_[Check Periodo Ref.],"Dentro")</f>
        <v>0</v>
      </c>
      <c r="E56" s="92">
        <f t="array" ref="E56">IFERROR(
AVERAGE(IF(DATOS_[Sexo]=$B56,IF(DATOS_[AGRUP. CLAS. PROF.]=$B54,IF(DATOS_[Check Periodo Ref.]="Dentro",DATOS_[SALARIO BASE Ef],FALSE)))),
0)</f>
        <v>0</v>
      </c>
      <c r="F56" s="93">
        <f t="array" ref="F56">IFERROR(
AVERAGE((IF(DATOS_[[Sexo]:[Sexo]]=$B56,IF(DATOS_[[AGRUP. CLAS. PROF.]:[AGRUP. CLAS. PROF.]]=$B54,IF(DATOS_[[Check Periodo Ref.]:[Check Periodo Ref.]]="Dentro",DATOS_[Conc.Sal.01]))))),
0)</f>
        <v>0</v>
      </c>
      <c r="G56" s="93">
        <f t="array" ref="G56">IFERROR(
AVERAGE((IF(DATOS_[[Sexo]:[Sexo]]=$B56,IF(DATOS_[[AGRUP. CLAS. PROF.]:[AGRUP. CLAS. PROF.]]=$B54,IF(DATOS_[[Check Periodo Ref.]:[Check Periodo Ref.]]="Dentro",DATOS_[Conc.Sal.02]))))),
0)</f>
        <v>0</v>
      </c>
      <c r="H56" s="93">
        <f t="array" ref="H56">IFERROR(
AVERAGE((IF(DATOS_[[Sexo]:[Sexo]]=$B56,IF(DATOS_[[AGRUP. CLAS. PROF.]:[AGRUP. CLAS. PROF.]]=$B54,IF(DATOS_[[Check Periodo Ref.]:[Check Periodo Ref.]]="Dentro",DATOS_[Conc.Sal.03]))))),
0)</f>
        <v>0</v>
      </c>
      <c r="I56" s="93">
        <f t="array" ref="I56">IFERROR(
AVERAGE((IF(DATOS_[[Sexo]:[Sexo]]=$B56,IF(DATOS_[[AGRUP. CLAS. PROF.]:[AGRUP. CLAS. PROF.]]=$B54,IF(DATOS_[[Check Periodo Ref.]:[Check Periodo Ref.]]="Dentro",DATOS_[Conc.Sal.04]))))),
0)</f>
        <v>0</v>
      </c>
      <c r="J56" s="93">
        <f t="array" ref="J56">IFERROR(
AVERAGE((IF(DATOS_[[Sexo]:[Sexo]]=$B56,IF(DATOS_[[AGRUP. CLAS. PROF.]:[AGRUP. CLAS. PROF.]]=$B54,IF(DATOS_[[Check Periodo Ref.]:[Check Periodo Ref.]]="Dentro",DATOS_[Conc.Sal.05]))))),
0)</f>
        <v>0</v>
      </c>
      <c r="K56" s="93">
        <f t="array" ref="K56">IFERROR(
AVERAGE((IF(DATOS_[[Sexo]:[Sexo]]=$B56,IF(DATOS_[[AGRUP. CLAS. PROF.]:[AGRUP. CLAS. PROF.]]=$B54,IF(DATOS_[[Check Periodo Ref.]:[Check Periodo Ref.]]="Dentro",DATOS_[Conc.Sal.06]))))),
0)</f>
        <v>0</v>
      </c>
      <c r="L56" s="93">
        <f t="array" ref="L56">IFERROR(
AVERAGE((IF(DATOS_[[Sexo]:[Sexo]]=$B56,IF(DATOS_[[AGRUP. CLAS. PROF.]:[AGRUP. CLAS. PROF.]]=$B54,IF(DATOS_[[Check Periodo Ref.]:[Check Periodo Ref.]]="Dentro",DATOS_[Conc.Sal.07]))))),
0)</f>
        <v>0</v>
      </c>
      <c r="M56" s="93">
        <f t="array" ref="M56">IFERROR(
AVERAGE((IF(DATOS_[[Sexo]:[Sexo]]=$B56,IF(DATOS_[[AGRUP. CLAS. PROF.]:[AGRUP. CLAS. PROF.]]=$B54,IF(DATOS_[[Check Periodo Ref.]:[Check Periodo Ref.]]="Dentro",DATOS_[Conc.Sal.08]))))),
0)</f>
        <v>0</v>
      </c>
      <c r="N56" s="93">
        <f t="array" ref="N56">IFERROR(
AVERAGE((IF(DATOS_[[Sexo]:[Sexo]]=$B56,IF(DATOS_[[AGRUP. CLAS. PROF.]:[AGRUP. CLAS. PROF.]]=$B54,IF(DATOS_[[Check Periodo Ref.]:[Check Periodo Ref.]]="Dentro",DATOS_[Conc.Sal.09]))))),
0)</f>
        <v>0</v>
      </c>
      <c r="O56" s="93">
        <f t="array" ref="O56">IFERROR(
AVERAGE((IF(DATOS_[[Sexo]:[Sexo]]=$B56,IF(DATOS_[[AGRUP. CLAS. PROF.]:[AGRUP. CLAS. PROF.]]=$B54,IF(DATOS_[[Check Periodo Ref.]:[Check Periodo Ref.]]="Dentro",DATOS_[Conc.Sal.10]))))),
0)</f>
        <v>0</v>
      </c>
      <c r="P56" s="93">
        <f t="array" ref="P56">IFERROR(
AVERAGE((IF(DATOS_[[Sexo]:[Sexo]]=$B56,IF(DATOS_[[AGRUP. CLAS. PROF.]:[AGRUP. CLAS. PROF.]]=$B54,IF(DATOS_[[Check Periodo Ref.]:[Check Periodo Ref.]]="Dentro",DATOS_[Conc.Sal.11]))))),
0)</f>
        <v>0</v>
      </c>
      <c r="Q56" s="93">
        <f t="array" ref="Q56">IFERROR(
AVERAGE((IF(DATOS_[[Sexo]:[Sexo]]=$B56,IF(DATOS_[[AGRUP. CLAS. PROF.]:[AGRUP. CLAS. PROF.]]=$B54,IF(DATOS_[[Check Periodo Ref.]:[Check Periodo Ref.]]="Dentro",DATOS_[Conc.Sal.12]))))),
0)</f>
        <v>0</v>
      </c>
      <c r="R56" s="93">
        <f t="array" ref="R56">IFERROR(
AVERAGE((IF(DATOS_[[Sexo]:[Sexo]]=$B56,IF(DATOS_[[AGRUP. CLAS. PROF.]:[AGRUP. CLAS. PROF.]]=$B54,IF(DATOS_[[Check Periodo Ref.]:[Check Periodo Ref.]]="Dentro",DATOS_[Conc.Sal.13]))))),
0)</f>
        <v>0</v>
      </c>
      <c r="S56" s="93">
        <f t="array" ref="S56">IFERROR(
AVERAGE((IF(DATOS_[[Sexo]:[Sexo]]=$B56,IF(DATOS_[[AGRUP. CLAS. PROF.]:[AGRUP. CLAS. PROF.]]=$B54,IF(DATOS_[[Check Periodo Ref.]:[Check Periodo Ref.]]="Dentro",DATOS_[Conc.Sal.14]))))),
0)</f>
        <v>0</v>
      </c>
      <c r="T56" s="93">
        <f t="array" ref="T56">IFERROR(
AVERAGE((IF(DATOS_[[Sexo]:[Sexo]]=$B56,IF(DATOS_[[AGRUP. CLAS. PROF.]:[AGRUP. CLAS. PROF.]]=$B54,IF(DATOS_[[Check Periodo Ref.]:[Check Periodo Ref.]]="Dentro",DATOS_[Conc.Sal.15]))))),
0)</f>
        <v>0</v>
      </c>
      <c r="U56" s="93">
        <f t="array" ref="U56">IFERROR(
AVERAGE((IF(DATOS_[[Sexo]:[Sexo]]=$B56,IF(DATOS_[[AGRUP. CLAS. PROF.]:[AGRUP. CLAS. PROF.]]=$B54,IF(DATOS_[[Check Periodo Ref.]:[Check Periodo Ref.]]="Dentro",DATOS_[Conc.Sal.16]))))),
0)</f>
        <v>0</v>
      </c>
      <c r="V56" s="93">
        <f t="array" ref="V56">IFERROR(
AVERAGE((IF(DATOS_[[Sexo]:[Sexo]]=$B56,IF(DATOS_[[AGRUP. CLAS. PROF.]:[AGRUP. CLAS. PROF.]]=$B54,IF(DATOS_[[Check Periodo Ref.]:[Check Periodo Ref.]]="Dentro",DATOS_[Conc.Sal.17]))))),
0)</f>
        <v>0</v>
      </c>
      <c r="W56" s="93">
        <f t="array" ref="W56">IFERROR(
AVERAGE((IF(DATOS_[[Sexo]:[Sexo]]=$B56,IF(DATOS_[[AGRUP. CLAS. PROF.]:[AGRUP. CLAS. PROF.]]=$B54,IF(DATOS_[[Check Periodo Ref.]:[Check Periodo Ref.]]="Dentro",DATOS_[Conc.Sal.18]))))),
0)</f>
        <v>0</v>
      </c>
      <c r="X56" s="93">
        <f t="array" ref="X56">IFERROR(
AVERAGE((IF(DATOS_[[Sexo]:[Sexo]]=$B56,IF(DATOS_[[AGRUP. CLAS. PROF.]:[AGRUP. CLAS. PROF.]]=$B54,IF(DATOS_[[Check Periodo Ref.]:[Check Periodo Ref.]]="Dentro",DATOS_[Conc.Sal.19]))))),
0)</f>
        <v>0</v>
      </c>
      <c r="Y56" s="93">
        <f t="array" ref="Y56">IFERROR(
AVERAGE((IF(DATOS_[[Sexo]:[Sexo]]=$B56,IF(DATOS_[[AGRUP. CLAS. PROF.]:[AGRUP. CLAS. PROF.]]=$B54,IF(DATOS_[[Check Periodo Ref.]:[Check Periodo Ref.]]="Dentro",DATOS_[Conc.Sal.20]))))),
0)</f>
        <v>0</v>
      </c>
      <c r="Z56" s="93">
        <f t="array" ref="Z56">IFERROR(
AVERAGE((IF(DATOS_[[Sexo]:[Sexo]]=$B56,IF(DATOS_[[AGRUP. CLAS. PROF.]:[AGRUP. CLAS. PROF.]]=$B54,IF(DATOS_[[Check Periodo Ref.]:[Check Periodo Ref.]]="Dentro",DATOS_[Conc.Sal.21]))))),
0)</f>
        <v>0</v>
      </c>
      <c r="AA56" s="93">
        <f t="array" ref="AA56">IFERROR(
AVERAGE((IF(DATOS_[[Sexo]:[Sexo]]=$B56,IF(DATOS_[[AGRUP. CLAS. PROF.]:[AGRUP. CLAS. PROF.]]=$B54,IF(DATOS_[[Check Periodo Ref.]:[Check Periodo Ref.]]="Dentro",DATOS_[Conc.Sal.22]))))),
0)</f>
        <v>0</v>
      </c>
      <c r="AB56" s="93">
        <f t="array" ref="AB56">IFERROR(
AVERAGE((IF(DATOS_[[Sexo]:[Sexo]]=$B56,IF(DATOS_[[AGRUP. CLAS. PROF.]:[AGRUP. CLAS. PROF.]]=$B54,IF(DATOS_[[Check Periodo Ref.]:[Check Periodo Ref.]]="Dentro",DATOS_[Conc.Sal.23]))))),
0)</f>
        <v>0</v>
      </c>
      <c r="AC56" s="93">
        <f t="array" ref="AC56">IFERROR(
AVERAGE((IF(DATOS_[[Sexo]:[Sexo]]=$B56,IF(DATOS_[[AGRUP. CLAS. PROF.]:[AGRUP. CLAS. PROF.]]=$B54,IF(DATOS_[[Check Periodo Ref.]:[Check Periodo Ref.]]="Dentro",DATOS_[Conc.Sal.24]))))),
0)</f>
        <v>0</v>
      </c>
      <c r="AD56" s="93">
        <f t="array" ref="AD56">IFERROR(
AVERAGE((IF(DATOS_[[Sexo]:[Sexo]]=$B56,IF(DATOS_[[AGRUP. CLAS. PROF.]:[AGRUP. CLAS. PROF.]]=$B54,IF(DATOS_[[Check Periodo Ref.]:[Check Periodo Ref.]]="Dentro",DATOS_[Conc.Sal.25]))))),
0)</f>
        <v>0</v>
      </c>
      <c r="AE56" s="93">
        <f t="array" ref="AE56">IFERROR(
AVERAGE((IF(DATOS_[[Sexo]:[Sexo]]=$B56,IF(DATOS_[[AGRUP. CLAS. PROF.]:[AGRUP. CLAS. PROF.]]=$B54,IF(DATOS_[[Check Periodo Ref.]:[Check Periodo Ref.]]="Dentro",DATOS_[Conc.Sal.26]))))),
0)</f>
        <v>0</v>
      </c>
      <c r="AF56" s="93">
        <f t="array" ref="AF56">IFERROR(
AVERAGE((IF(DATOS_[[Sexo]:[Sexo]]=$B56,IF(DATOS_[[AGRUP. CLAS. PROF.]:[AGRUP. CLAS. PROF.]]=$B54,IF(DATOS_[[Check Periodo Ref.]:[Check Periodo Ref.]]="Dentro",DATOS_[Conc.Sal.27]))))),
0)</f>
        <v>0</v>
      </c>
      <c r="AG56" s="93">
        <f t="array" ref="AG56">IFERROR(
AVERAGE((IF(DATOS_[[Sexo]:[Sexo]]=$B56,IF(DATOS_[[AGRUP. CLAS. PROF.]:[AGRUP. CLAS. PROF.]]=$B54,IF(DATOS_[[Check Periodo Ref.]:[Check Periodo Ref.]]="Dentro",DATOS_[Conc.Sal.28]))))),
0)</f>
        <v>0</v>
      </c>
      <c r="AH56" s="93">
        <f t="array" ref="AH56">IFERROR(
AVERAGE((IF(DATOS_[[Sexo]:[Sexo]]=$B56,IF(DATOS_[[AGRUP. CLAS. PROF.]:[AGRUP. CLAS. PROF.]]=$B54,IF(DATOS_[[Check Periodo Ref.]:[Check Periodo Ref.]]="Dentro",DATOS_[Conc.Sal.29]))))),
0)</f>
        <v>0</v>
      </c>
      <c r="AI56" s="93">
        <f t="array" ref="AI56">IFERROR(
AVERAGE((IF(DATOS_[[Sexo]:[Sexo]]=$B56,IF(DATOS_[[AGRUP. CLAS. PROF.]:[AGRUP. CLAS. PROF.]]=$B54,IF(DATOS_[[Check Periodo Ref.]:[Check Periodo Ref.]]="Dentro",DATOS_[Conc.Sal.30]))))),
0)</f>
        <v>0</v>
      </c>
      <c r="AJ56" s="94">
        <f t="array" ref="AJ56">IFERROR(
AVERAGE(IF(DATOS_[Sexo]=$B56,IF(DATOS_[AGRUP. CLAS. PROF.]=$B54,IF(DATOS_[Check Periodo Ref.]="Dentro",DATOS_[Tot COMPL.SAL Ef],FALSE)))),
0)</f>
        <v>0</v>
      </c>
      <c r="AK56" s="96">
        <f t="array" ref="AK56">IFERROR(
AVERAGE(IF(DATOS_[Sexo]=$B56,IF(DATOS_[AGRUP. CLAS. PROF.]=$B54,IF(DATOS_[Check Periodo Ref.]="Dentro",DATOS_[TOTAL SALARIO Ef],FALSE)))),
0)</f>
        <v>0</v>
      </c>
      <c r="AL56" s="95">
        <f t="array" ref="AL56">IFERROR(
AVERAGE((IF(DATOS_[[Sexo]:[Sexo]]=$B56,IF(DATOS_[[AGRUP. CLAS. PROF.]:[AGRUP. CLAS. PROF.]]=$B54,IF(DATOS_[[Check Periodo Ref.]:[Check Periodo Ref.]]="Dentro",DATOS_[C.Extra.01]))))),
0)</f>
        <v>0</v>
      </c>
      <c r="AM56" s="95">
        <f t="array" ref="AM56">IFERROR(
AVERAGE((IF(DATOS_[[Sexo]:[Sexo]]=$B56,IF(DATOS_[[AGRUP. CLAS. PROF.]:[AGRUP. CLAS. PROF.]]=$B54,IF(DATOS_[[Check Periodo Ref.]:[Check Periodo Ref.]]="Dentro",DATOS_[C.Extra.02]))))),
0)</f>
        <v>0</v>
      </c>
      <c r="AN56" s="95">
        <f t="array" ref="AN56">IFERROR(
AVERAGE((IF(DATOS_[[Sexo]:[Sexo]]=$B56,IF(DATOS_[[AGRUP. CLAS. PROF.]:[AGRUP. CLAS. PROF.]]=$B54,IF(DATOS_[[Check Periodo Ref.]:[Check Periodo Ref.]]="Dentro",DATOS_[C.Extra.03]))))),
0)</f>
        <v>0</v>
      </c>
      <c r="AO56" s="95">
        <f t="array" ref="AO56">IFERROR(
AVERAGE((IF(DATOS_[[Sexo]:[Sexo]]=$B56,IF(DATOS_[[AGRUP. CLAS. PROF.]:[AGRUP. CLAS. PROF.]]=$B54,IF(DATOS_[[Check Periodo Ref.]:[Check Periodo Ref.]]="Dentro",DATOS_[C.Extra.04]))))),
0)</f>
        <v>0</v>
      </c>
      <c r="AP56" s="95">
        <f t="array" ref="AP56">IFERROR(
AVERAGE((IF(DATOS_[[Sexo]:[Sexo]]=$B56,IF(DATOS_[[AGRUP. CLAS. PROF.]:[AGRUP. CLAS. PROF.]]=$B54,IF(DATOS_[[Check Periodo Ref.]:[Check Periodo Ref.]]="Dentro",DATOS_[C.Extra.05]))))),
0)</f>
        <v>0</v>
      </c>
      <c r="AQ56" s="97">
        <f t="array" ref="AQ56">IFERROR(
AVERAGE(IF(DATOS_[Sexo]=$B56,IF(DATOS_[AGRUP. CLAS. PROF.]=$B54,IF(DATOS_[Check Periodo Ref.]="Dentro",DATOS_[Tot Extrasalarial Ef],FALSE)))),
0)</f>
        <v>0</v>
      </c>
      <c r="AR56" s="98">
        <f t="array" ref="AR56">IFERROR(
AVERAGE(IF(DATOS_[Sexo]=$B56,IF(DATOS_[AGRUP. CLAS. PROF.]=$B54,IF(DATOS_[Check Periodo Ref.]="Dentro",DATOS_[TOTAL Retrib Ef],FALSE)))),
0)</f>
        <v>0</v>
      </c>
    </row>
    <row r="57" spans="1:44" ht="17.25" hidden="1" thickBot="1" x14ac:dyDescent="0.35">
      <c r="A57" s="309" t="str">
        <f t="shared" ref="A57" si="59">+A58</f>
        <v>[ocultar]</v>
      </c>
      <c r="B57" s="51" t="s">
        <v>231</v>
      </c>
      <c r="C57" s="91"/>
      <c r="D57" s="52"/>
      <c r="E57" s="139" t="str">
        <f t="shared" ref="E57:AR57" si="60">IFERROR((E58-E59)/E58,"")</f>
        <v/>
      </c>
      <c r="F57" s="310" t="str">
        <f t="shared" si="60"/>
        <v/>
      </c>
      <c r="G57" s="180" t="str">
        <f t="shared" si="60"/>
        <v/>
      </c>
      <c r="H57" s="180" t="str">
        <f t="shared" si="60"/>
        <v/>
      </c>
      <c r="I57" s="180" t="str">
        <f t="shared" si="60"/>
        <v/>
      </c>
      <c r="J57" s="181" t="str">
        <f t="shared" si="60"/>
        <v/>
      </c>
      <c r="K57" s="182" t="str">
        <f t="shared" si="60"/>
        <v/>
      </c>
      <c r="L57" s="182" t="str">
        <f t="shared" si="60"/>
        <v/>
      </c>
      <c r="M57" s="182" t="str">
        <f t="shared" si="60"/>
        <v/>
      </c>
      <c r="N57" s="182" t="str">
        <f t="shared" si="60"/>
        <v/>
      </c>
      <c r="O57" s="182" t="str">
        <f t="shared" si="60"/>
        <v/>
      </c>
      <c r="P57" s="182" t="str">
        <f t="shared" si="60"/>
        <v/>
      </c>
      <c r="Q57" s="182" t="str">
        <f t="shared" si="60"/>
        <v/>
      </c>
      <c r="R57" s="182" t="str">
        <f t="shared" si="60"/>
        <v/>
      </c>
      <c r="S57" s="182" t="str">
        <f t="shared" si="60"/>
        <v/>
      </c>
      <c r="T57" s="182" t="str">
        <f t="shared" si="60"/>
        <v/>
      </c>
      <c r="U57" s="182" t="str">
        <f t="shared" si="60"/>
        <v/>
      </c>
      <c r="V57" s="181" t="str">
        <f t="shared" si="60"/>
        <v/>
      </c>
      <c r="W57" s="181" t="str">
        <f t="shared" si="60"/>
        <v/>
      </c>
      <c r="X57" s="181" t="str">
        <f t="shared" si="60"/>
        <v/>
      </c>
      <c r="Y57" s="181" t="str">
        <f t="shared" si="60"/>
        <v/>
      </c>
      <c r="Z57" s="181" t="str">
        <f t="shared" si="60"/>
        <v/>
      </c>
      <c r="AA57" s="181" t="str">
        <f t="shared" si="60"/>
        <v/>
      </c>
      <c r="AB57" s="181" t="str">
        <f t="shared" si="60"/>
        <v/>
      </c>
      <c r="AC57" s="181" t="str">
        <f t="shared" si="60"/>
        <v/>
      </c>
      <c r="AD57" s="181" t="str">
        <f t="shared" si="60"/>
        <v/>
      </c>
      <c r="AE57" s="181" t="str">
        <f t="shared" si="60"/>
        <v/>
      </c>
      <c r="AF57" s="181" t="str">
        <f t="shared" si="60"/>
        <v/>
      </c>
      <c r="AG57" s="181" t="str">
        <f t="shared" si="60"/>
        <v/>
      </c>
      <c r="AH57" s="181" t="str">
        <f t="shared" si="60"/>
        <v/>
      </c>
      <c r="AI57" s="181" t="str">
        <f t="shared" si="60"/>
        <v/>
      </c>
      <c r="AJ57" s="140" t="str">
        <f t="shared" si="60"/>
        <v/>
      </c>
      <c r="AK57" s="143" t="str">
        <f t="shared" si="60"/>
        <v/>
      </c>
      <c r="AL57" s="184" t="str">
        <f t="shared" si="60"/>
        <v/>
      </c>
      <c r="AM57" s="184" t="str">
        <f t="shared" si="60"/>
        <v/>
      </c>
      <c r="AN57" s="184" t="str">
        <f t="shared" si="60"/>
        <v/>
      </c>
      <c r="AO57" s="184" t="str">
        <f t="shared" si="60"/>
        <v/>
      </c>
      <c r="AP57" s="184" t="str">
        <f t="shared" si="60"/>
        <v/>
      </c>
      <c r="AQ57" s="141" t="str">
        <f t="shared" si="60"/>
        <v/>
      </c>
      <c r="AR57" s="142" t="str">
        <f t="shared" si="60"/>
        <v/>
      </c>
    </row>
    <row r="58" spans="1:44" hidden="1" x14ac:dyDescent="0.3">
      <c r="A58" s="309" t="str">
        <f t="shared" ref="A58" si="61">+IF(C58+C59=0,"[ocultar]","")</f>
        <v>[ocultar]</v>
      </c>
      <c r="B58" s="46" t="s">
        <v>162</v>
      </c>
      <c r="C58" s="45">
        <f t="array" ref="C58">SUM(IF($B58=DATOS_[Sexo],
IF($B57=DATOS_[AGRUP. CLAS. PROF.],
IF("Dentro"=DATOS_[Check Periodo Ref.],
1/(COUNTIFS(DATOS_[Sexo],$B58,DATOS_[AGRUP. CLAS. PROF.],$B57,DATOS_[Check Periodo Ref.],"Dentro",DATOS_[id],DATOS_[id]))))))</f>
        <v>0</v>
      </c>
      <c r="D58" s="47">
        <f>COUNTIFS(DATOS_[AGRUP. CLAS. PROF.],$B57,DATOS_[Sexo],$B58,DATOS_[Check Periodo Ref.],"Dentro")</f>
        <v>0</v>
      </c>
      <c r="E58" s="92">
        <f t="array" ref="E58">IFERROR(
AVERAGE(IF(DATOS_[Sexo]=$B58,IF(DATOS_[AGRUP. CLAS. PROF.]=$B57,IF(DATOS_[Check Periodo Ref.]="Dentro",DATOS_[SALARIO BASE Ef],FALSE)))),
0)</f>
        <v>0</v>
      </c>
      <c r="F58" s="93">
        <f t="array" ref="F58">IFERROR(
AVERAGE((IF(DATOS_[[Sexo]:[Sexo]]=$B58,IF(DATOS_[[AGRUP. CLAS. PROF.]:[AGRUP. CLAS. PROF.]]=$B57,IF(DATOS_[[Check Periodo Ref.]:[Check Periodo Ref.]]="Dentro",DATOS_[Conc.Sal.01]))))),
0)</f>
        <v>0</v>
      </c>
      <c r="G58" s="93">
        <f t="array" ref="G58">IFERROR(
AVERAGE((IF(DATOS_[[Sexo]:[Sexo]]=$B58,IF(DATOS_[[AGRUP. CLAS. PROF.]:[AGRUP. CLAS. PROF.]]=$B57,IF(DATOS_[[Check Periodo Ref.]:[Check Periodo Ref.]]="Dentro",DATOS_[Conc.Sal.02]))))),
0)</f>
        <v>0</v>
      </c>
      <c r="H58" s="93">
        <f t="array" ref="H58">IFERROR(
AVERAGE((IF(DATOS_[[Sexo]:[Sexo]]=$B58,IF(DATOS_[[AGRUP. CLAS. PROF.]:[AGRUP. CLAS. PROF.]]=$B57,IF(DATOS_[[Check Periodo Ref.]:[Check Periodo Ref.]]="Dentro",DATOS_[Conc.Sal.03]))))),
0)</f>
        <v>0</v>
      </c>
      <c r="I58" s="93">
        <f t="array" ref="I58">IFERROR(
AVERAGE((IF(DATOS_[[Sexo]:[Sexo]]=$B58,IF(DATOS_[[AGRUP. CLAS. PROF.]:[AGRUP. CLAS. PROF.]]=$B57,IF(DATOS_[[Check Periodo Ref.]:[Check Periodo Ref.]]="Dentro",DATOS_[Conc.Sal.04]))))),
0)</f>
        <v>0</v>
      </c>
      <c r="J58" s="93">
        <f t="array" ref="J58">IFERROR(
AVERAGE((IF(DATOS_[[Sexo]:[Sexo]]=$B58,IF(DATOS_[[AGRUP. CLAS. PROF.]:[AGRUP. CLAS. PROF.]]=$B57,IF(DATOS_[[Check Periodo Ref.]:[Check Periodo Ref.]]="Dentro",DATOS_[Conc.Sal.05]))))),
0)</f>
        <v>0</v>
      </c>
      <c r="K58" s="93">
        <f t="array" ref="K58">IFERROR(
AVERAGE((IF(DATOS_[[Sexo]:[Sexo]]=$B58,IF(DATOS_[[AGRUP. CLAS. PROF.]:[AGRUP. CLAS. PROF.]]=$B57,IF(DATOS_[[Check Periodo Ref.]:[Check Periodo Ref.]]="Dentro",DATOS_[Conc.Sal.06]))))),
0)</f>
        <v>0</v>
      </c>
      <c r="L58" s="93">
        <f t="array" ref="L58">IFERROR(
AVERAGE((IF(DATOS_[[Sexo]:[Sexo]]=$B58,IF(DATOS_[[AGRUP. CLAS. PROF.]:[AGRUP. CLAS. PROF.]]=$B57,IF(DATOS_[[Check Periodo Ref.]:[Check Periodo Ref.]]="Dentro",DATOS_[Conc.Sal.07]))))),
0)</f>
        <v>0</v>
      </c>
      <c r="M58" s="93">
        <f t="array" ref="M58">IFERROR(
AVERAGE((IF(DATOS_[[Sexo]:[Sexo]]=$B58,IF(DATOS_[[AGRUP. CLAS. PROF.]:[AGRUP. CLAS. PROF.]]=$B57,IF(DATOS_[[Check Periodo Ref.]:[Check Periodo Ref.]]="Dentro",DATOS_[Conc.Sal.08]))))),
0)</f>
        <v>0</v>
      </c>
      <c r="N58" s="93">
        <f t="array" ref="N58">IFERROR(
AVERAGE((IF(DATOS_[[Sexo]:[Sexo]]=$B58,IF(DATOS_[[AGRUP. CLAS. PROF.]:[AGRUP. CLAS. PROF.]]=$B57,IF(DATOS_[[Check Periodo Ref.]:[Check Periodo Ref.]]="Dentro",DATOS_[Conc.Sal.09]))))),
0)</f>
        <v>0</v>
      </c>
      <c r="O58" s="93">
        <f t="array" ref="O58">IFERROR(
AVERAGE((IF(DATOS_[[Sexo]:[Sexo]]=$B58,IF(DATOS_[[AGRUP. CLAS. PROF.]:[AGRUP. CLAS. PROF.]]=$B57,IF(DATOS_[[Check Periodo Ref.]:[Check Periodo Ref.]]="Dentro",DATOS_[Conc.Sal.10]))))),
0)</f>
        <v>0</v>
      </c>
      <c r="P58" s="93">
        <f t="array" ref="P58">IFERROR(
AVERAGE((IF(DATOS_[[Sexo]:[Sexo]]=$B58,IF(DATOS_[[AGRUP. CLAS. PROF.]:[AGRUP. CLAS. PROF.]]=$B57,IF(DATOS_[[Check Periodo Ref.]:[Check Periodo Ref.]]="Dentro",DATOS_[Conc.Sal.11]))))),
0)</f>
        <v>0</v>
      </c>
      <c r="Q58" s="93">
        <f t="array" ref="Q58">IFERROR(
AVERAGE((IF(DATOS_[[Sexo]:[Sexo]]=$B58,IF(DATOS_[[AGRUP. CLAS. PROF.]:[AGRUP. CLAS. PROF.]]=$B57,IF(DATOS_[[Check Periodo Ref.]:[Check Periodo Ref.]]="Dentro",DATOS_[Conc.Sal.12]))))),
0)</f>
        <v>0</v>
      </c>
      <c r="R58" s="93">
        <f t="array" ref="R58">IFERROR(
AVERAGE((IF(DATOS_[[Sexo]:[Sexo]]=$B58,IF(DATOS_[[AGRUP. CLAS. PROF.]:[AGRUP. CLAS. PROF.]]=$B57,IF(DATOS_[[Check Periodo Ref.]:[Check Periodo Ref.]]="Dentro",DATOS_[Conc.Sal.13]))))),
0)</f>
        <v>0</v>
      </c>
      <c r="S58" s="93">
        <f t="array" ref="S58">IFERROR(
AVERAGE((IF(DATOS_[[Sexo]:[Sexo]]=$B58,IF(DATOS_[[AGRUP. CLAS. PROF.]:[AGRUP. CLAS. PROF.]]=$B57,IF(DATOS_[[Check Periodo Ref.]:[Check Periodo Ref.]]="Dentro",DATOS_[Conc.Sal.14]))))),
0)</f>
        <v>0</v>
      </c>
      <c r="T58" s="93">
        <f t="array" ref="T58">IFERROR(
AVERAGE((IF(DATOS_[[Sexo]:[Sexo]]=$B58,IF(DATOS_[[AGRUP. CLAS. PROF.]:[AGRUP. CLAS. PROF.]]=$B57,IF(DATOS_[[Check Periodo Ref.]:[Check Periodo Ref.]]="Dentro",DATOS_[Conc.Sal.15]))))),
0)</f>
        <v>0</v>
      </c>
      <c r="U58" s="93">
        <f t="array" ref="U58">IFERROR(
AVERAGE((IF(DATOS_[[Sexo]:[Sexo]]=$B58,IF(DATOS_[[AGRUP. CLAS. PROF.]:[AGRUP. CLAS. PROF.]]=$B57,IF(DATOS_[[Check Periodo Ref.]:[Check Periodo Ref.]]="Dentro",DATOS_[Conc.Sal.16]))))),
0)</f>
        <v>0</v>
      </c>
      <c r="V58" s="93">
        <f t="array" ref="V58">IFERROR(
AVERAGE((IF(DATOS_[[Sexo]:[Sexo]]=$B58,IF(DATOS_[[AGRUP. CLAS. PROF.]:[AGRUP. CLAS. PROF.]]=$B57,IF(DATOS_[[Check Periodo Ref.]:[Check Periodo Ref.]]="Dentro",DATOS_[Conc.Sal.17]))))),
0)</f>
        <v>0</v>
      </c>
      <c r="W58" s="93">
        <f t="array" ref="W58">IFERROR(
AVERAGE((IF(DATOS_[[Sexo]:[Sexo]]=$B58,IF(DATOS_[[AGRUP. CLAS. PROF.]:[AGRUP. CLAS. PROF.]]=$B57,IF(DATOS_[[Check Periodo Ref.]:[Check Periodo Ref.]]="Dentro",DATOS_[Conc.Sal.18]))))),
0)</f>
        <v>0</v>
      </c>
      <c r="X58" s="93">
        <f t="array" ref="X58">IFERROR(
AVERAGE((IF(DATOS_[[Sexo]:[Sexo]]=$B58,IF(DATOS_[[AGRUP. CLAS. PROF.]:[AGRUP. CLAS. PROF.]]=$B57,IF(DATOS_[[Check Periodo Ref.]:[Check Periodo Ref.]]="Dentro",DATOS_[Conc.Sal.19]))))),
0)</f>
        <v>0</v>
      </c>
      <c r="Y58" s="93">
        <f t="array" ref="Y58">IFERROR(
AVERAGE((IF(DATOS_[[Sexo]:[Sexo]]=$B58,IF(DATOS_[[AGRUP. CLAS. PROF.]:[AGRUP. CLAS. PROF.]]=$B57,IF(DATOS_[[Check Periodo Ref.]:[Check Periodo Ref.]]="Dentro",DATOS_[Conc.Sal.20]))))),
0)</f>
        <v>0</v>
      </c>
      <c r="Z58" s="93">
        <f t="array" ref="Z58">IFERROR(
AVERAGE((IF(DATOS_[[Sexo]:[Sexo]]=$B58,IF(DATOS_[[AGRUP. CLAS. PROF.]:[AGRUP. CLAS. PROF.]]=$B57,IF(DATOS_[[Check Periodo Ref.]:[Check Periodo Ref.]]="Dentro",DATOS_[Conc.Sal.21]))))),
0)</f>
        <v>0</v>
      </c>
      <c r="AA58" s="93">
        <f t="array" ref="AA58">IFERROR(
AVERAGE((IF(DATOS_[[Sexo]:[Sexo]]=$B58,IF(DATOS_[[AGRUP. CLAS. PROF.]:[AGRUP. CLAS. PROF.]]=$B57,IF(DATOS_[[Check Periodo Ref.]:[Check Periodo Ref.]]="Dentro",DATOS_[Conc.Sal.22]))))),
0)</f>
        <v>0</v>
      </c>
      <c r="AB58" s="93">
        <f t="array" ref="AB58">IFERROR(
AVERAGE((IF(DATOS_[[Sexo]:[Sexo]]=$B58,IF(DATOS_[[AGRUP. CLAS. PROF.]:[AGRUP. CLAS. PROF.]]=$B57,IF(DATOS_[[Check Periodo Ref.]:[Check Periodo Ref.]]="Dentro",DATOS_[Conc.Sal.23]))))),
0)</f>
        <v>0</v>
      </c>
      <c r="AC58" s="93">
        <f t="array" ref="AC58">IFERROR(
AVERAGE((IF(DATOS_[[Sexo]:[Sexo]]=$B58,IF(DATOS_[[AGRUP. CLAS. PROF.]:[AGRUP. CLAS. PROF.]]=$B57,IF(DATOS_[[Check Periodo Ref.]:[Check Periodo Ref.]]="Dentro",DATOS_[Conc.Sal.24]))))),
0)</f>
        <v>0</v>
      </c>
      <c r="AD58" s="93">
        <f t="array" ref="AD58">IFERROR(
AVERAGE((IF(DATOS_[[Sexo]:[Sexo]]=$B58,IF(DATOS_[[AGRUP. CLAS. PROF.]:[AGRUP. CLAS. PROF.]]=$B57,IF(DATOS_[[Check Periodo Ref.]:[Check Periodo Ref.]]="Dentro",DATOS_[Conc.Sal.25]))))),
0)</f>
        <v>0</v>
      </c>
      <c r="AE58" s="93">
        <f t="array" ref="AE58">IFERROR(
AVERAGE((IF(DATOS_[[Sexo]:[Sexo]]=$B58,IF(DATOS_[[AGRUP. CLAS. PROF.]:[AGRUP. CLAS. PROF.]]=$B57,IF(DATOS_[[Check Periodo Ref.]:[Check Periodo Ref.]]="Dentro",DATOS_[Conc.Sal.26]))))),
0)</f>
        <v>0</v>
      </c>
      <c r="AF58" s="93">
        <f t="array" ref="AF58">IFERROR(
AVERAGE((IF(DATOS_[[Sexo]:[Sexo]]=$B58,IF(DATOS_[[AGRUP. CLAS. PROF.]:[AGRUP. CLAS. PROF.]]=$B57,IF(DATOS_[[Check Periodo Ref.]:[Check Periodo Ref.]]="Dentro",DATOS_[Conc.Sal.27]))))),
0)</f>
        <v>0</v>
      </c>
      <c r="AG58" s="93">
        <f t="array" ref="AG58">IFERROR(
AVERAGE((IF(DATOS_[[Sexo]:[Sexo]]=$B58,IF(DATOS_[[AGRUP. CLAS. PROF.]:[AGRUP. CLAS. PROF.]]=$B57,IF(DATOS_[[Check Periodo Ref.]:[Check Periodo Ref.]]="Dentro",DATOS_[Conc.Sal.28]))))),
0)</f>
        <v>0</v>
      </c>
      <c r="AH58" s="93">
        <f t="array" ref="AH58">IFERROR(
AVERAGE((IF(DATOS_[[Sexo]:[Sexo]]=$B58,IF(DATOS_[[AGRUP. CLAS. PROF.]:[AGRUP. CLAS. PROF.]]=$B57,IF(DATOS_[[Check Periodo Ref.]:[Check Periodo Ref.]]="Dentro",DATOS_[Conc.Sal.29]))))),
0)</f>
        <v>0</v>
      </c>
      <c r="AI58" s="93">
        <f t="array" ref="AI58">IFERROR(
AVERAGE((IF(DATOS_[[Sexo]:[Sexo]]=$B58,IF(DATOS_[[AGRUP. CLAS. PROF.]:[AGRUP. CLAS. PROF.]]=$B57,IF(DATOS_[[Check Periodo Ref.]:[Check Periodo Ref.]]="Dentro",DATOS_[Conc.Sal.30]))))),
0)</f>
        <v>0</v>
      </c>
      <c r="AJ58" s="94">
        <f t="array" ref="AJ58">IFERROR(
AVERAGE(IF(DATOS_[Sexo]=$B58,IF(DATOS_[AGRUP. CLAS. PROF.]=$B57,IF(DATOS_[Check Periodo Ref.]="Dentro",DATOS_[Tot COMPL.SAL Ef],FALSE)))),
0)</f>
        <v>0</v>
      </c>
      <c r="AK58" s="96">
        <f t="array" ref="AK58">IFERROR(
AVERAGE(IF(DATOS_[Sexo]=$B58,IF(DATOS_[AGRUP. CLAS. PROF.]=$B57,IF(DATOS_[Check Periodo Ref.]="Dentro",DATOS_[TOTAL SALARIO Ef],FALSE)))),
0)</f>
        <v>0</v>
      </c>
      <c r="AL58" s="95">
        <f t="array" ref="AL58">IFERROR(
AVERAGE((IF(DATOS_[[Sexo]:[Sexo]]=$B58,IF(DATOS_[[AGRUP. CLAS. PROF.]:[AGRUP. CLAS. PROF.]]=$B57,IF(DATOS_[[Check Periodo Ref.]:[Check Periodo Ref.]]="Dentro",DATOS_[C.Extra.01]))))),
0)</f>
        <v>0</v>
      </c>
      <c r="AM58" s="95">
        <f t="array" ref="AM58">IFERROR(
AVERAGE((IF(DATOS_[[Sexo]:[Sexo]]=$B58,IF(DATOS_[[AGRUP. CLAS. PROF.]:[AGRUP. CLAS. PROF.]]=$B57,IF(DATOS_[[Check Periodo Ref.]:[Check Periodo Ref.]]="Dentro",DATOS_[C.Extra.02]))))),
0)</f>
        <v>0</v>
      </c>
      <c r="AN58" s="95">
        <f t="array" ref="AN58">IFERROR(
AVERAGE((IF(DATOS_[[Sexo]:[Sexo]]=$B58,IF(DATOS_[[AGRUP. CLAS. PROF.]:[AGRUP. CLAS. PROF.]]=$B57,IF(DATOS_[[Check Periodo Ref.]:[Check Periodo Ref.]]="Dentro",DATOS_[C.Extra.03]))))),
0)</f>
        <v>0</v>
      </c>
      <c r="AO58" s="95">
        <f t="array" ref="AO58">IFERROR(
AVERAGE((IF(DATOS_[[Sexo]:[Sexo]]=$B58,IF(DATOS_[[AGRUP. CLAS. PROF.]:[AGRUP. CLAS. PROF.]]=$B57,IF(DATOS_[[Check Periodo Ref.]:[Check Periodo Ref.]]="Dentro",DATOS_[C.Extra.04]))))),
0)</f>
        <v>0</v>
      </c>
      <c r="AP58" s="95">
        <f t="array" ref="AP58">IFERROR(
AVERAGE((IF(DATOS_[[Sexo]:[Sexo]]=$B58,IF(DATOS_[[AGRUP. CLAS. PROF.]:[AGRUP. CLAS. PROF.]]=$B57,IF(DATOS_[[Check Periodo Ref.]:[Check Periodo Ref.]]="Dentro",DATOS_[C.Extra.05]))))),
0)</f>
        <v>0</v>
      </c>
      <c r="AQ58" s="97">
        <f t="array" ref="AQ58">IFERROR(
AVERAGE(IF(DATOS_[Sexo]=$B58,IF(DATOS_[AGRUP. CLAS. PROF.]=$B57,IF(DATOS_[Check Periodo Ref.]="Dentro",DATOS_[Tot Extrasalarial Ef],FALSE)))),
0)</f>
        <v>0</v>
      </c>
      <c r="AR58" s="98">
        <f t="array" ref="AR58">IFERROR(
AVERAGE(IF(DATOS_[Sexo]=$B58,IF(DATOS_[AGRUP. CLAS. PROF.]=$B57,IF(DATOS_[Check Periodo Ref.]="Dentro",DATOS_[TOTAL Retrib Ef],FALSE)))),
0)</f>
        <v>0</v>
      </c>
    </row>
    <row r="59" spans="1:44" hidden="1" x14ac:dyDescent="0.3">
      <c r="A59" s="309" t="str">
        <f t="shared" ref="A59" si="62">+A58</f>
        <v>[ocultar]</v>
      </c>
      <c r="B59" s="46" t="s">
        <v>163</v>
      </c>
      <c r="C59" s="45">
        <f t="array" ref="C59">SUM(IF($B59=DATOS_[Sexo],
IF($B57=DATOS_[AGRUP. CLAS. PROF.],
IF("Dentro"=DATOS_[Check Periodo Ref.],
1/(COUNTIFS(DATOS_[Sexo],$B59,DATOS_[AGRUP. CLAS. PROF.],$B57,DATOS_[Check Periodo Ref.],"Dentro",DATOS_[id],DATOS_[id]))))))</f>
        <v>0</v>
      </c>
      <c r="D59" s="47">
        <f>COUNTIFS(DATOS_[AGRUP. CLAS. PROF.],$B57,DATOS_[Sexo],$B59,DATOS_[Check Periodo Ref.],"Dentro")</f>
        <v>0</v>
      </c>
      <c r="E59" s="92">
        <f t="array" ref="E59">IFERROR(
AVERAGE(IF(DATOS_[Sexo]=$B59,IF(DATOS_[AGRUP. CLAS. PROF.]=$B57,IF(DATOS_[Check Periodo Ref.]="Dentro",DATOS_[SALARIO BASE Ef],FALSE)))),
0)</f>
        <v>0</v>
      </c>
      <c r="F59" s="93">
        <f t="array" ref="F59">IFERROR(
AVERAGE((IF(DATOS_[[Sexo]:[Sexo]]=$B59,IF(DATOS_[[AGRUP. CLAS. PROF.]:[AGRUP. CLAS. PROF.]]=$B57,IF(DATOS_[[Check Periodo Ref.]:[Check Periodo Ref.]]="Dentro",DATOS_[Conc.Sal.01]))))),
0)</f>
        <v>0</v>
      </c>
      <c r="G59" s="93">
        <f t="array" ref="G59">IFERROR(
AVERAGE((IF(DATOS_[[Sexo]:[Sexo]]=$B59,IF(DATOS_[[AGRUP. CLAS. PROF.]:[AGRUP. CLAS. PROF.]]=$B57,IF(DATOS_[[Check Periodo Ref.]:[Check Periodo Ref.]]="Dentro",DATOS_[Conc.Sal.02]))))),
0)</f>
        <v>0</v>
      </c>
      <c r="H59" s="93">
        <f t="array" ref="H59">IFERROR(
AVERAGE((IF(DATOS_[[Sexo]:[Sexo]]=$B59,IF(DATOS_[[AGRUP. CLAS. PROF.]:[AGRUP. CLAS. PROF.]]=$B57,IF(DATOS_[[Check Periodo Ref.]:[Check Periodo Ref.]]="Dentro",DATOS_[Conc.Sal.03]))))),
0)</f>
        <v>0</v>
      </c>
      <c r="I59" s="93">
        <f t="array" ref="I59">IFERROR(
AVERAGE((IF(DATOS_[[Sexo]:[Sexo]]=$B59,IF(DATOS_[[AGRUP. CLAS. PROF.]:[AGRUP. CLAS. PROF.]]=$B57,IF(DATOS_[[Check Periodo Ref.]:[Check Periodo Ref.]]="Dentro",DATOS_[Conc.Sal.04]))))),
0)</f>
        <v>0</v>
      </c>
      <c r="J59" s="93">
        <f t="array" ref="J59">IFERROR(
AVERAGE((IF(DATOS_[[Sexo]:[Sexo]]=$B59,IF(DATOS_[[AGRUP. CLAS. PROF.]:[AGRUP. CLAS. PROF.]]=$B57,IF(DATOS_[[Check Periodo Ref.]:[Check Periodo Ref.]]="Dentro",DATOS_[Conc.Sal.05]))))),
0)</f>
        <v>0</v>
      </c>
      <c r="K59" s="93">
        <f t="array" ref="K59">IFERROR(
AVERAGE((IF(DATOS_[[Sexo]:[Sexo]]=$B59,IF(DATOS_[[AGRUP. CLAS. PROF.]:[AGRUP. CLAS. PROF.]]=$B57,IF(DATOS_[[Check Periodo Ref.]:[Check Periodo Ref.]]="Dentro",DATOS_[Conc.Sal.06]))))),
0)</f>
        <v>0</v>
      </c>
      <c r="L59" s="93">
        <f t="array" ref="L59">IFERROR(
AVERAGE((IF(DATOS_[[Sexo]:[Sexo]]=$B59,IF(DATOS_[[AGRUP. CLAS. PROF.]:[AGRUP. CLAS. PROF.]]=$B57,IF(DATOS_[[Check Periodo Ref.]:[Check Periodo Ref.]]="Dentro",DATOS_[Conc.Sal.07]))))),
0)</f>
        <v>0</v>
      </c>
      <c r="M59" s="93">
        <f t="array" ref="M59">IFERROR(
AVERAGE((IF(DATOS_[[Sexo]:[Sexo]]=$B59,IF(DATOS_[[AGRUP. CLAS. PROF.]:[AGRUP. CLAS. PROF.]]=$B57,IF(DATOS_[[Check Periodo Ref.]:[Check Periodo Ref.]]="Dentro",DATOS_[Conc.Sal.08]))))),
0)</f>
        <v>0</v>
      </c>
      <c r="N59" s="93">
        <f t="array" ref="N59">IFERROR(
AVERAGE((IF(DATOS_[[Sexo]:[Sexo]]=$B59,IF(DATOS_[[AGRUP. CLAS. PROF.]:[AGRUP. CLAS. PROF.]]=$B57,IF(DATOS_[[Check Periodo Ref.]:[Check Periodo Ref.]]="Dentro",DATOS_[Conc.Sal.09]))))),
0)</f>
        <v>0</v>
      </c>
      <c r="O59" s="93">
        <f t="array" ref="O59">IFERROR(
AVERAGE((IF(DATOS_[[Sexo]:[Sexo]]=$B59,IF(DATOS_[[AGRUP. CLAS. PROF.]:[AGRUP. CLAS. PROF.]]=$B57,IF(DATOS_[[Check Periodo Ref.]:[Check Periodo Ref.]]="Dentro",DATOS_[Conc.Sal.10]))))),
0)</f>
        <v>0</v>
      </c>
      <c r="P59" s="93">
        <f t="array" ref="P59">IFERROR(
AVERAGE((IF(DATOS_[[Sexo]:[Sexo]]=$B59,IF(DATOS_[[AGRUP. CLAS. PROF.]:[AGRUP. CLAS. PROF.]]=$B57,IF(DATOS_[[Check Periodo Ref.]:[Check Periodo Ref.]]="Dentro",DATOS_[Conc.Sal.11]))))),
0)</f>
        <v>0</v>
      </c>
      <c r="Q59" s="93">
        <f t="array" ref="Q59">IFERROR(
AVERAGE((IF(DATOS_[[Sexo]:[Sexo]]=$B59,IF(DATOS_[[AGRUP. CLAS. PROF.]:[AGRUP. CLAS. PROF.]]=$B57,IF(DATOS_[[Check Periodo Ref.]:[Check Periodo Ref.]]="Dentro",DATOS_[Conc.Sal.12]))))),
0)</f>
        <v>0</v>
      </c>
      <c r="R59" s="93">
        <f t="array" ref="R59">IFERROR(
AVERAGE((IF(DATOS_[[Sexo]:[Sexo]]=$B59,IF(DATOS_[[AGRUP. CLAS. PROF.]:[AGRUP. CLAS. PROF.]]=$B57,IF(DATOS_[[Check Periodo Ref.]:[Check Periodo Ref.]]="Dentro",DATOS_[Conc.Sal.13]))))),
0)</f>
        <v>0</v>
      </c>
      <c r="S59" s="93">
        <f t="array" ref="S59">IFERROR(
AVERAGE((IF(DATOS_[[Sexo]:[Sexo]]=$B59,IF(DATOS_[[AGRUP. CLAS. PROF.]:[AGRUP. CLAS. PROF.]]=$B57,IF(DATOS_[[Check Periodo Ref.]:[Check Periodo Ref.]]="Dentro",DATOS_[Conc.Sal.14]))))),
0)</f>
        <v>0</v>
      </c>
      <c r="T59" s="93">
        <f t="array" ref="T59">IFERROR(
AVERAGE((IF(DATOS_[[Sexo]:[Sexo]]=$B59,IF(DATOS_[[AGRUP. CLAS. PROF.]:[AGRUP. CLAS. PROF.]]=$B57,IF(DATOS_[[Check Periodo Ref.]:[Check Periodo Ref.]]="Dentro",DATOS_[Conc.Sal.15]))))),
0)</f>
        <v>0</v>
      </c>
      <c r="U59" s="93">
        <f t="array" ref="U59">IFERROR(
AVERAGE((IF(DATOS_[[Sexo]:[Sexo]]=$B59,IF(DATOS_[[AGRUP. CLAS. PROF.]:[AGRUP. CLAS. PROF.]]=$B57,IF(DATOS_[[Check Periodo Ref.]:[Check Periodo Ref.]]="Dentro",DATOS_[Conc.Sal.16]))))),
0)</f>
        <v>0</v>
      </c>
      <c r="V59" s="93">
        <f t="array" ref="V59">IFERROR(
AVERAGE((IF(DATOS_[[Sexo]:[Sexo]]=$B59,IF(DATOS_[[AGRUP. CLAS. PROF.]:[AGRUP. CLAS. PROF.]]=$B57,IF(DATOS_[[Check Periodo Ref.]:[Check Periodo Ref.]]="Dentro",DATOS_[Conc.Sal.17]))))),
0)</f>
        <v>0</v>
      </c>
      <c r="W59" s="93">
        <f t="array" ref="W59">IFERROR(
AVERAGE((IF(DATOS_[[Sexo]:[Sexo]]=$B59,IF(DATOS_[[AGRUP. CLAS. PROF.]:[AGRUP. CLAS. PROF.]]=$B57,IF(DATOS_[[Check Periodo Ref.]:[Check Periodo Ref.]]="Dentro",DATOS_[Conc.Sal.18]))))),
0)</f>
        <v>0</v>
      </c>
      <c r="X59" s="93">
        <f t="array" ref="X59">IFERROR(
AVERAGE((IF(DATOS_[[Sexo]:[Sexo]]=$B59,IF(DATOS_[[AGRUP. CLAS. PROF.]:[AGRUP. CLAS. PROF.]]=$B57,IF(DATOS_[[Check Periodo Ref.]:[Check Periodo Ref.]]="Dentro",DATOS_[Conc.Sal.19]))))),
0)</f>
        <v>0</v>
      </c>
      <c r="Y59" s="93">
        <f t="array" ref="Y59">IFERROR(
AVERAGE((IF(DATOS_[[Sexo]:[Sexo]]=$B59,IF(DATOS_[[AGRUP. CLAS. PROF.]:[AGRUP. CLAS. PROF.]]=$B57,IF(DATOS_[[Check Periodo Ref.]:[Check Periodo Ref.]]="Dentro",DATOS_[Conc.Sal.20]))))),
0)</f>
        <v>0</v>
      </c>
      <c r="Z59" s="93">
        <f t="array" ref="Z59">IFERROR(
AVERAGE((IF(DATOS_[[Sexo]:[Sexo]]=$B59,IF(DATOS_[[AGRUP. CLAS. PROF.]:[AGRUP. CLAS. PROF.]]=$B57,IF(DATOS_[[Check Periodo Ref.]:[Check Periodo Ref.]]="Dentro",DATOS_[Conc.Sal.21]))))),
0)</f>
        <v>0</v>
      </c>
      <c r="AA59" s="93">
        <f t="array" ref="AA59">IFERROR(
AVERAGE((IF(DATOS_[[Sexo]:[Sexo]]=$B59,IF(DATOS_[[AGRUP. CLAS. PROF.]:[AGRUP. CLAS. PROF.]]=$B57,IF(DATOS_[[Check Periodo Ref.]:[Check Periodo Ref.]]="Dentro",DATOS_[Conc.Sal.22]))))),
0)</f>
        <v>0</v>
      </c>
      <c r="AB59" s="93">
        <f t="array" ref="AB59">IFERROR(
AVERAGE((IF(DATOS_[[Sexo]:[Sexo]]=$B59,IF(DATOS_[[AGRUP. CLAS. PROF.]:[AGRUP. CLAS. PROF.]]=$B57,IF(DATOS_[[Check Periodo Ref.]:[Check Periodo Ref.]]="Dentro",DATOS_[Conc.Sal.23]))))),
0)</f>
        <v>0</v>
      </c>
      <c r="AC59" s="93">
        <f t="array" ref="AC59">IFERROR(
AVERAGE((IF(DATOS_[[Sexo]:[Sexo]]=$B59,IF(DATOS_[[AGRUP. CLAS. PROF.]:[AGRUP. CLAS. PROF.]]=$B57,IF(DATOS_[[Check Periodo Ref.]:[Check Periodo Ref.]]="Dentro",DATOS_[Conc.Sal.24]))))),
0)</f>
        <v>0</v>
      </c>
      <c r="AD59" s="93">
        <f t="array" ref="AD59">IFERROR(
AVERAGE((IF(DATOS_[[Sexo]:[Sexo]]=$B59,IF(DATOS_[[AGRUP. CLAS. PROF.]:[AGRUP. CLAS. PROF.]]=$B57,IF(DATOS_[[Check Periodo Ref.]:[Check Periodo Ref.]]="Dentro",DATOS_[Conc.Sal.25]))))),
0)</f>
        <v>0</v>
      </c>
      <c r="AE59" s="93">
        <f t="array" ref="AE59">IFERROR(
AVERAGE((IF(DATOS_[[Sexo]:[Sexo]]=$B59,IF(DATOS_[[AGRUP. CLAS. PROF.]:[AGRUP. CLAS. PROF.]]=$B57,IF(DATOS_[[Check Periodo Ref.]:[Check Periodo Ref.]]="Dentro",DATOS_[Conc.Sal.26]))))),
0)</f>
        <v>0</v>
      </c>
      <c r="AF59" s="93">
        <f t="array" ref="AF59">IFERROR(
AVERAGE((IF(DATOS_[[Sexo]:[Sexo]]=$B59,IF(DATOS_[[AGRUP. CLAS. PROF.]:[AGRUP. CLAS. PROF.]]=$B57,IF(DATOS_[[Check Periodo Ref.]:[Check Periodo Ref.]]="Dentro",DATOS_[Conc.Sal.27]))))),
0)</f>
        <v>0</v>
      </c>
      <c r="AG59" s="93">
        <f t="array" ref="AG59">IFERROR(
AVERAGE((IF(DATOS_[[Sexo]:[Sexo]]=$B59,IF(DATOS_[[AGRUP. CLAS. PROF.]:[AGRUP. CLAS. PROF.]]=$B57,IF(DATOS_[[Check Periodo Ref.]:[Check Periodo Ref.]]="Dentro",DATOS_[Conc.Sal.28]))))),
0)</f>
        <v>0</v>
      </c>
      <c r="AH59" s="93">
        <f t="array" ref="AH59">IFERROR(
AVERAGE((IF(DATOS_[[Sexo]:[Sexo]]=$B59,IF(DATOS_[[AGRUP. CLAS. PROF.]:[AGRUP. CLAS. PROF.]]=$B57,IF(DATOS_[[Check Periodo Ref.]:[Check Periodo Ref.]]="Dentro",DATOS_[Conc.Sal.29]))))),
0)</f>
        <v>0</v>
      </c>
      <c r="AI59" s="93">
        <f t="array" ref="AI59">IFERROR(
AVERAGE((IF(DATOS_[[Sexo]:[Sexo]]=$B59,IF(DATOS_[[AGRUP. CLAS. PROF.]:[AGRUP. CLAS. PROF.]]=$B57,IF(DATOS_[[Check Periodo Ref.]:[Check Periodo Ref.]]="Dentro",DATOS_[Conc.Sal.30]))))),
0)</f>
        <v>0</v>
      </c>
      <c r="AJ59" s="94">
        <f t="array" ref="AJ59">IFERROR(
AVERAGE(IF(DATOS_[Sexo]=$B59,IF(DATOS_[AGRUP. CLAS. PROF.]=$B57,IF(DATOS_[Check Periodo Ref.]="Dentro",DATOS_[Tot COMPL.SAL Ef],FALSE)))),
0)</f>
        <v>0</v>
      </c>
      <c r="AK59" s="96">
        <f t="array" ref="AK59">IFERROR(
AVERAGE(IF(DATOS_[Sexo]=$B59,IF(DATOS_[AGRUP. CLAS. PROF.]=$B57,IF(DATOS_[Check Periodo Ref.]="Dentro",DATOS_[TOTAL SALARIO Ef],FALSE)))),
0)</f>
        <v>0</v>
      </c>
      <c r="AL59" s="95">
        <f t="array" ref="AL59">IFERROR(
AVERAGE((IF(DATOS_[[Sexo]:[Sexo]]=$B59,IF(DATOS_[[AGRUP. CLAS. PROF.]:[AGRUP. CLAS. PROF.]]=$B57,IF(DATOS_[[Check Periodo Ref.]:[Check Periodo Ref.]]="Dentro",DATOS_[C.Extra.01]))))),
0)</f>
        <v>0</v>
      </c>
      <c r="AM59" s="95">
        <f t="array" ref="AM59">IFERROR(
AVERAGE((IF(DATOS_[[Sexo]:[Sexo]]=$B59,IF(DATOS_[[AGRUP. CLAS. PROF.]:[AGRUP. CLAS. PROF.]]=$B57,IF(DATOS_[[Check Periodo Ref.]:[Check Periodo Ref.]]="Dentro",DATOS_[C.Extra.02]))))),
0)</f>
        <v>0</v>
      </c>
      <c r="AN59" s="95">
        <f t="array" ref="AN59">IFERROR(
AVERAGE((IF(DATOS_[[Sexo]:[Sexo]]=$B59,IF(DATOS_[[AGRUP. CLAS. PROF.]:[AGRUP. CLAS. PROF.]]=$B57,IF(DATOS_[[Check Periodo Ref.]:[Check Periodo Ref.]]="Dentro",DATOS_[C.Extra.03]))))),
0)</f>
        <v>0</v>
      </c>
      <c r="AO59" s="95">
        <f t="array" ref="AO59">IFERROR(
AVERAGE((IF(DATOS_[[Sexo]:[Sexo]]=$B59,IF(DATOS_[[AGRUP. CLAS. PROF.]:[AGRUP. CLAS. PROF.]]=$B57,IF(DATOS_[[Check Periodo Ref.]:[Check Periodo Ref.]]="Dentro",DATOS_[C.Extra.04]))))),
0)</f>
        <v>0</v>
      </c>
      <c r="AP59" s="95">
        <f t="array" ref="AP59">IFERROR(
AVERAGE((IF(DATOS_[[Sexo]:[Sexo]]=$B59,IF(DATOS_[[AGRUP. CLAS. PROF.]:[AGRUP. CLAS. PROF.]]=$B57,IF(DATOS_[[Check Periodo Ref.]:[Check Periodo Ref.]]="Dentro",DATOS_[C.Extra.05]))))),
0)</f>
        <v>0</v>
      </c>
      <c r="AQ59" s="97">
        <f t="array" ref="AQ59">IFERROR(
AVERAGE(IF(DATOS_[Sexo]=$B59,IF(DATOS_[AGRUP. CLAS. PROF.]=$B57,IF(DATOS_[Check Periodo Ref.]="Dentro",DATOS_[Tot Extrasalarial Ef],FALSE)))),
0)</f>
        <v>0</v>
      </c>
      <c r="AR59" s="98">
        <f t="array" ref="AR59">IFERROR(
AVERAGE(IF(DATOS_[Sexo]=$B59,IF(DATOS_[AGRUP. CLAS. PROF.]=$B57,IF(DATOS_[Check Periodo Ref.]="Dentro",DATOS_[TOTAL Retrib Ef],FALSE)))),
0)</f>
        <v>0</v>
      </c>
    </row>
    <row r="60" spans="1:44" ht="17.25" hidden="1" thickBot="1" x14ac:dyDescent="0.35">
      <c r="A60" s="309" t="str">
        <f t="shared" ref="A60" si="63">+A61</f>
        <v>[ocultar]</v>
      </c>
      <c r="B60" s="51" t="s">
        <v>232</v>
      </c>
      <c r="C60" s="91"/>
      <c r="D60" s="52"/>
      <c r="E60" s="139" t="str">
        <f t="shared" ref="E60:AR60" si="64">IFERROR((E61-E62)/E61,"")</f>
        <v/>
      </c>
      <c r="F60" s="310" t="str">
        <f t="shared" si="64"/>
        <v/>
      </c>
      <c r="G60" s="180" t="str">
        <f t="shared" si="64"/>
        <v/>
      </c>
      <c r="H60" s="180" t="str">
        <f t="shared" si="64"/>
        <v/>
      </c>
      <c r="I60" s="180" t="str">
        <f t="shared" si="64"/>
        <v/>
      </c>
      <c r="J60" s="181" t="str">
        <f t="shared" si="64"/>
        <v/>
      </c>
      <c r="K60" s="182" t="str">
        <f t="shared" si="64"/>
        <v/>
      </c>
      <c r="L60" s="182" t="str">
        <f t="shared" si="64"/>
        <v/>
      </c>
      <c r="M60" s="182" t="str">
        <f t="shared" si="64"/>
        <v/>
      </c>
      <c r="N60" s="182" t="str">
        <f t="shared" si="64"/>
        <v/>
      </c>
      <c r="O60" s="182" t="str">
        <f t="shared" si="64"/>
        <v/>
      </c>
      <c r="P60" s="182" t="str">
        <f t="shared" si="64"/>
        <v/>
      </c>
      <c r="Q60" s="182" t="str">
        <f t="shared" si="64"/>
        <v/>
      </c>
      <c r="R60" s="182" t="str">
        <f t="shared" si="64"/>
        <v/>
      </c>
      <c r="S60" s="182" t="str">
        <f t="shared" si="64"/>
        <v/>
      </c>
      <c r="T60" s="182" t="str">
        <f t="shared" si="64"/>
        <v/>
      </c>
      <c r="U60" s="182" t="str">
        <f t="shared" si="64"/>
        <v/>
      </c>
      <c r="V60" s="181" t="str">
        <f t="shared" si="64"/>
        <v/>
      </c>
      <c r="W60" s="181" t="str">
        <f t="shared" si="64"/>
        <v/>
      </c>
      <c r="X60" s="181" t="str">
        <f t="shared" si="64"/>
        <v/>
      </c>
      <c r="Y60" s="181" t="str">
        <f t="shared" si="64"/>
        <v/>
      </c>
      <c r="Z60" s="181" t="str">
        <f t="shared" si="64"/>
        <v/>
      </c>
      <c r="AA60" s="181" t="str">
        <f t="shared" si="64"/>
        <v/>
      </c>
      <c r="AB60" s="181" t="str">
        <f t="shared" si="64"/>
        <v/>
      </c>
      <c r="AC60" s="181" t="str">
        <f t="shared" si="64"/>
        <v/>
      </c>
      <c r="AD60" s="181" t="str">
        <f t="shared" si="64"/>
        <v/>
      </c>
      <c r="AE60" s="181" t="str">
        <f t="shared" si="64"/>
        <v/>
      </c>
      <c r="AF60" s="181" t="str">
        <f t="shared" si="64"/>
        <v/>
      </c>
      <c r="AG60" s="181" t="str">
        <f t="shared" si="64"/>
        <v/>
      </c>
      <c r="AH60" s="181" t="str">
        <f t="shared" si="64"/>
        <v/>
      </c>
      <c r="AI60" s="181" t="str">
        <f t="shared" si="64"/>
        <v/>
      </c>
      <c r="AJ60" s="140" t="str">
        <f t="shared" si="64"/>
        <v/>
      </c>
      <c r="AK60" s="143" t="str">
        <f t="shared" si="64"/>
        <v/>
      </c>
      <c r="AL60" s="184" t="str">
        <f t="shared" si="64"/>
        <v/>
      </c>
      <c r="AM60" s="184" t="str">
        <f t="shared" si="64"/>
        <v/>
      </c>
      <c r="AN60" s="184" t="str">
        <f t="shared" si="64"/>
        <v/>
      </c>
      <c r="AO60" s="184" t="str">
        <f t="shared" si="64"/>
        <v/>
      </c>
      <c r="AP60" s="184" t="str">
        <f t="shared" si="64"/>
        <v/>
      </c>
      <c r="AQ60" s="141" t="str">
        <f t="shared" si="64"/>
        <v/>
      </c>
      <c r="AR60" s="142" t="str">
        <f t="shared" si="64"/>
        <v/>
      </c>
    </row>
    <row r="61" spans="1:44" hidden="1" x14ac:dyDescent="0.3">
      <c r="A61" s="309" t="str">
        <f t="shared" ref="A61" si="65">+IF(C61+C62=0,"[ocultar]","")</f>
        <v>[ocultar]</v>
      </c>
      <c r="B61" s="46" t="s">
        <v>162</v>
      </c>
      <c r="C61" s="45">
        <f t="array" ref="C61">SUM(IF($B61=DATOS_[Sexo],
IF($B60=DATOS_[AGRUP. CLAS. PROF.],
IF("Dentro"=DATOS_[Check Periodo Ref.],
1/(COUNTIFS(DATOS_[Sexo],$B61,DATOS_[AGRUP. CLAS. PROF.],$B60,DATOS_[Check Periodo Ref.],"Dentro",DATOS_[id],DATOS_[id]))))))</f>
        <v>0</v>
      </c>
      <c r="D61" s="47">
        <f>COUNTIFS(DATOS_[AGRUP. CLAS. PROF.],$B60,DATOS_[Sexo],$B61,DATOS_[Check Periodo Ref.],"Dentro")</f>
        <v>0</v>
      </c>
      <c r="E61" s="92">
        <f t="array" ref="E61">IFERROR(
AVERAGE(IF(DATOS_[Sexo]=$B61,IF(DATOS_[AGRUP. CLAS. PROF.]=$B60,IF(DATOS_[Check Periodo Ref.]="Dentro",DATOS_[SALARIO BASE Ef],FALSE)))),
0)</f>
        <v>0</v>
      </c>
      <c r="F61" s="93">
        <f t="array" ref="F61">IFERROR(
AVERAGE((IF(DATOS_[[Sexo]:[Sexo]]=$B61,IF(DATOS_[[AGRUP. CLAS. PROF.]:[AGRUP. CLAS. PROF.]]=$B60,IF(DATOS_[[Check Periodo Ref.]:[Check Periodo Ref.]]="Dentro",DATOS_[Conc.Sal.01]))))),
0)</f>
        <v>0</v>
      </c>
      <c r="G61" s="93">
        <f t="array" ref="G61">IFERROR(
AVERAGE((IF(DATOS_[[Sexo]:[Sexo]]=$B61,IF(DATOS_[[AGRUP. CLAS. PROF.]:[AGRUP. CLAS. PROF.]]=$B60,IF(DATOS_[[Check Periodo Ref.]:[Check Periodo Ref.]]="Dentro",DATOS_[Conc.Sal.02]))))),
0)</f>
        <v>0</v>
      </c>
      <c r="H61" s="93">
        <f t="array" ref="H61">IFERROR(
AVERAGE((IF(DATOS_[[Sexo]:[Sexo]]=$B61,IF(DATOS_[[AGRUP. CLAS. PROF.]:[AGRUP. CLAS. PROF.]]=$B60,IF(DATOS_[[Check Periodo Ref.]:[Check Periodo Ref.]]="Dentro",DATOS_[Conc.Sal.03]))))),
0)</f>
        <v>0</v>
      </c>
      <c r="I61" s="93">
        <f t="array" ref="I61">IFERROR(
AVERAGE((IF(DATOS_[[Sexo]:[Sexo]]=$B61,IF(DATOS_[[AGRUP. CLAS. PROF.]:[AGRUP. CLAS. PROF.]]=$B60,IF(DATOS_[[Check Periodo Ref.]:[Check Periodo Ref.]]="Dentro",DATOS_[Conc.Sal.04]))))),
0)</f>
        <v>0</v>
      </c>
      <c r="J61" s="93">
        <f t="array" ref="J61">IFERROR(
AVERAGE((IF(DATOS_[[Sexo]:[Sexo]]=$B61,IF(DATOS_[[AGRUP. CLAS. PROF.]:[AGRUP. CLAS. PROF.]]=$B60,IF(DATOS_[[Check Periodo Ref.]:[Check Periodo Ref.]]="Dentro",DATOS_[Conc.Sal.05]))))),
0)</f>
        <v>0</v>
      </c>
      <c r="K61" s="93">
        <f t="array" ref="K61">IFERROR(
AVERAGE((IF(DATOS_[[Sexo]:[Sexo]]=$B61,IF(DATOS_[[AGRUP. CLAS. PROF.]:[AGRUP. CLAS. PROF.]]=$B60,IF(DATOS_[[Check Periodo Ref.]:[Check Periodo Ref.]]="Dentro",DATOS_[Conc.Sal.06]))))),
0)</f>
        <v>0</v>
      </c>
      <c r="L61" s="93">
        <f t="array" ref="L61">IFERROR(
AVERAGE((IF(DATOS_[[Sexo]:[Sexo]]=$B61,IF(DATOS_[[AGRUP. CLAS. PROF.]:[AGRUP. CLAS. PROF.]]=$B60,IF(DATOS_[[Check Periodo Ref.]:[Check Periodo Ref.]]="Dentro",DATOS_[Conc.Sal.07]))))),
0)</f>
        <v>0</v>
      </c>
      <c r="M61" s="93">
        <f t="array" ref="M61">IFERROR(
AVERAGE((IF(DATOS_[[Sexo]:[Sexo]]=$B61,IF(DATOS_[[AGRUP. CLAS. PROF.]:[AGRUP. CLAS. PROF.]]=$B60,IF(DATOS_[[Check Periodo Ref.]:[Check Periodo Ref.]]="Dentro",DATOS_[Conc.Sal.08]))))),
0)</f>
        <v>0</v>
      </c>
      <c r="N61" s="93">
        <f t="array" ref="N61">IFERROR(
AVERAGE((IF(DATOS_[[Sexo]:[Sexo]]=$B61,IF(DATOS_[[AGRUP. CLAS. PROF.]:[AGRUP. CLAS. PROF.]]=$B60,IF(DATOS_[[Check Periodo Ref.]:[Check Periodo Ref.]]="Dentro",DATOS_[Conc.Sal.09]))))),
0)</f>
        <v>0</v>
      </c>
      <c r="O61" s="93">
        <f t="array" ref="O61">IFERROR(
AVERAGE((IF(DATOS_[[Sexo]:[Sexo]]=$B61,IF(DATOS_[[AGRUP. CLAS. PROF.]:[AGRUP. CLAS. PROF.]]=$B60,IF(DATOS_[[Check Periodo Ref.]:[Check Periodo Ref.]]="Dentro",DATOS_[Conc.Sal.10]))))),
0)</f>
        <v>0</v>
      </c>
      <c r="P61" s="93">
        <f t="array" ref="P61">IFERROR(
AVERAGE((IF(DATOS_[[Sexo]:[Sexo]]=$B61,IF(DATOS_[[AGRUP. CLAS. PROF.]:[AGRUP. CLAS. PROF.]]=$B60,IF(DATOS_[[Check Periodo Ref.]:[Check Periodo Ref.]]="Dentro",DATOS_[Conc.Sal.11]))))),
0)</f>
        <v>0</v>
      </c>
      <c r="Q61" s="93">
        <f t="array" ref="Q61">IFERROR(
AVERAGE((IF(DATOS_[[Sexo]:[Sexo]]=$B61,IF(DATOS_[[AGRUP. CLAS. PROF.]:[AGRUP. CLAS. PROF.]]=$B60,IF(DATOS_[[Check Periodo Ref.]:[Check Periodo Ref.]]="Dentro",DATOS_[Conc.Sal.12]))))),
0)</f>
        <v>0</v>
      </c>
      <c r="R61" s="93">
        <f t="array" ref="R61">IFERROR(
AVERAGE((IF(DATOS_[[Sexo]:[Sexo]]=$B61,IF(DATOS_[[AGRUP. CLAS. PROF.]:[AGRUP. CLAS. PROF.]]=$B60,IF(DATOS_[[Check Periodo Ref.]:[Check Periodo Ref.]]="Dentro",DATOS_[Conc.Sal.13]))))),
0)</f>
        <v>0</v>
      </c>
      <c r="S61" s="93">
        <f t="array" ref="S61">IFERROR(
AVERAGE((IF(DATOS_[[Sexo]:[Sexo]]=$B61,IF(DATOS_[[AGRUP. CLAS. PROF.]:[AGRUP. CLAS. PROF.]]=$B60,IF(DATOS_[[Check Periodo Ref.]:[Check Periodo Ref.]]="Dentro",DATOS_[Conc.Sal.14]))))),
0)</f>
        <v>0</v>
      </c>
      <c r="T61" s="93">
        <f t="array" ref="T61">IFERROR(
AVERAGE((IF(DATOS_[[Sexo]:[Sexo]]=$B61,IF(DATOS_[[AGRUP. CLAS. PROF.]:[AGRUP. CLAS. PROF.]]=$B60,IF(DATOS_[[Check Periodo Ref.]:[Check Periodo Ref.]]="Dentro",DATOS_[Conc.Sal.15]))))),
0)</f>
        <v>0</v>
      </c>
      <c r="U61" s="93">
        <f t="array" ref="U61">IFERROR(
AVERAGE((IF(DATOS_[[Sexo]:[Sexo]]=$B61,IF(DATOS_[[AGRUP. CLAS. PROF.]:[AGRUP. CLAS. PROF.]]=$B60,IF(DATOS_[[Check Periodo Ref.]:[Check Periodo Ref.]]="Dentro",DATOS_[Conc.Sal.16]))))),
0)</f>
        <v>0</v>
      </c>
      <c r="V61" s="93">
        <f t="array" ref="V61">IFERROR(
AVERAGE((IF(DATOS_[[Sexo]:[Sexo]]=$B61,IF(DATOS_[[AGRUP. CLAS. PROF.]:[AGRUP. CLAS. PROF.]]=$B60,IF(DATOS_[[Check Periodo Ref.]:[Check Periodo Ref.]]="Dentro",DATOS_[Conc.Sal.17]))))),
0)</f>
        <v>0</v>
      </c>
      <c r="W61" s="93">
        <f t="array" ref="W61">IFERROR(
AVERAGE((IF(DATOS_[[Sexo]:[Sexo]]=$B61,IF(DATOS_[[AGRUP. CLAS. PROF.]:[AGRUP. CLAS. PROF.]]=$B60,IF(DATOS_[[Check Periodo Ref.]:[Check Periodo Ref.]]="Dentro",DATOS_[Conc.Sal.18]))))),
0)</f>
        <v>0</v>
      </c>
      <c r="X61" s="93">
        <f t="array" ref="X61">IFERROR(
AVERAGE((IF(DATOS_[[Sexo]:[Sexo]]=$B61,IF(DATOS_[[AGRUP. CLAS. PROF.]:[AGRUP. CLAS. PROF.]]=$B60,IF(DATOS_[[Check Periodo Ref.]:[Check Periodo Ref.]]="Dentro",DATOS_[Conc.Sal.19]))))),
0)</f>
        <v>0</v>
      </c>
      <c r="Y61" s="93">
        <f t="array" ref="Y61">IFERROR(
AVERAGE((IF(DATOS_[[Sexo]:[Sexo]]=$B61,IF(DATOS_[[AGRUP. CLAS. PROF.]:[AGRUP. CLAS. PROF.]]=$B60,IF(DATOS_[[Check Periodo Ref.]:[Check Periodo Ref.]]="Dentro",DATOS_[Conc.Sal.20]))))),
0)</f>
        <v>0</v>
      </c>
      <c r="Z61" s="93">
        <f t="array" ref="Z61">IFERROR(
AVERAGE((IF(DATOS_[[Sexo]:[Sexo]]=$B61,IF(DATOS_[[AGRUP. CLAS. PROF.]:[AGRUP. CLAS. PROF.]]=$B60,IF(DATOS_[[Check Periodo Ref.]:[Check Periodo Ref.]]="Dentro",DATOS_[Conc.Sal.21]))))),
0)</f>
        <v>0</v>
      </c>
      <c r="AA61" s="93">
        <f t="array" ref="AA61">IFERROR(
AVERAGE((IF(DATOS_[[Sexo]:[Sexo]]=$B61,IF(DATOS_[[AGRUP. CLAS. PROF.]:[AGRUP. CLAS. PROF.]]=$B60,IF(DATOS_[[Check Periodo Ref.]:[Check Periodo Ref.]]="Dentro",DATOS_[Conc.Sal.22]))))),
0)</f>
        <v>0</v>
      </c>
      <c r="AB61" s="93">
        <f t="array" ref="AB61">IFERROR(
AVERAGE((IF(DATOS_[[Sexo]:[Sexo]]=$B61,IF(DATOS_[[AGRUP. CLAS. PROF.]:[AGRUP. CLAS. PROF.]]=$B60,IF(DATOS_[[Check Periodo Ref.]:[Check Periodo Ref.]]="Dentro",DATOS_[Conc.Sal.23]))))),
0)</f>
        <v>0</v>
      </c>
      <c r="AC61" s="93">
        <f t="array" ref="AC61">IFERROR(
AVERAGE((IF(DATOS_[[Sexo]:[Sexo]]=$B61,IF(DATOS_[[AGRUP. CLAS. PROF.]:[AGRUP. CLAS. PROF.]]=$B60,IF(DATOS_[[Check Periodo Ref.]:[Check Periodo Ref.]]="Dentro",DATOS_[Conc.Sal.24]))))),
0)</f>
        <v>0</v>
      </c>
      <c r="AD61" s="93">
        <f t="array" ref="AD61">IFERROR(
AVERAGE((IF(DATOS_[[Sexo]:[Sexo]]=$B61,IF(DATOS_[[AGRUP. CLAS. PROF.]:[AGRUP. CLAS. PROF.]]=$B60,IF(DATOS_[[Check Periodo Ref.]:[Check Periodo Ref.]]="Dentro",DATOS_[Conc.Sal.25]))))),
0)</f>
        <v>0</v>
      </c>
      <c r="AE61" s="93">
        <f t="array" ref="AE61">IFERROR(
AVERAGE((IF(DATOS_[[Sexo]:[Sexo]]=$B61,IF(DATOS_[[AGRUP. CLAS. PROF.]:[AGRUP. CLAS. PROF.]]=$B60,IF(DATOS_[[Check Periodo Ref.]:[Check Periodo Ref.]]="Dentro",DATOS_[Conc.Sal.26]))))),
0)</f>
        <v>0</v>
      </c>
      <c r="AF61" s="93">
        <f t="array" ref="AF61">IFERROR(
AVERAGE((IF(DATOS_[[Sexo]:[Sexo]]=$B61,IF(DATOS_[[AGRUP. CLAS. PROF.]:[AGRUP. CLAS. PROF.]]=$B60,IF(DATOS_[[Check Periodo Ref.]:[Check Periodo Ref.]]="Dentro",DATOS_[Conc.Sal.27]))))),
0)</f>
        <v>0</v>
      </c>
      <c r="AG61" s="93">
        <f t="array" ref="AG61">IFERROR(
AVERAGE((IF(DATOS_[[Sexo]:[Sexo]]=$B61,IF(DATOS_[[AGRUP. CLAS. PROF.]:[AGRUP. CLAS. PROF.]]=$B60,IF(DATOS_[[Check Periodo Ref.]:[Check Periodo Ref.]]="Dentro",DATOS_[Conc.Sal.28]))))),
0)</f>
        <v>0</v>
      </c>
      <c r="AH61" s="93">
        <f t="array" ref="AH61">IFERROR(
AVERAGE((IF(DATOS_[[Sexo]:[Sexo]]=$B61,IF(DATOS_[[AGRUP. CLAS. PROF.]:[AGRUP. CLAS. PROF.]]=$B60,IF(DATOS_[[Check Periodo Ref.]:[Check Periodo Ref.]]="Dentro",DATOS_[Conc.Sal.29]))))),
0)</f>
        <v>0</v>
      </c>
      <c r="AI61" s="93">
        <f t="array" ref="AI61">IFERROR(
AVERAGE((IF(DATOS_[[Sexo]:[Sexo]]=$B61,IF(DATOS_[[AGRUP. CLAS. PROF.]:[AGRUP. CLAS. PROF.]]=$B60,IF(DATOS_[[Check Periodo Ref.]:[Check Periodo Ref.]]="Dentro",DATOS_[Conc.Sal.30]))))),
0)</f>
        <v>0</v>
      </c>
      <c r="AJ61" s="94">
        <f t="array" ref="AJ61">IFERROR(
AVERAGE(IF(DATOS_[Sexo]=$B61,IF(DATOS_[AGRUP. CLAS. PROF.]=$B60,IF(DATOS_[Check Periodo Ref.]="Dentro",DATOS_[Tot COMPL.SAL Ef],FALSE)))),
0)</f>
        <v>0</v>
      </c>
      <c r="AK61" s="96">
        <f t="array" ref="AK61">IFERROR(
AVERAGE(IF(DATOS_[Sexo]=$B61,IF(DATOS_[AGRUP. CLAS. PROF.]=$B60,IF(DATOS_[Check Periodo Ref.]="Dentro",DATOS_[TOTAL SALARIO Ef],FALSE)))),
0)</f>
        <v>0</v>
      </c>
      <c r="AL61" s="95">
        <f t="array" ref="AL61">IFERROR(
AVERAGE((IF(DATOS_[[Sexo]:[Sexo]]=$B61,IF(DATOS_[[AGRUP. CLAS. PROF.]:[AGRUP. CLAS. PROF.]]=$B60,IF(DATOS_[[Check Periodo Ref.]:[Check Periodo Ref.]]="Dentro",DATOS_[C.Extra.01]))))),
0)</f>
        <v>0</v>
      </c>
      <c r="AM61" s="95">
        <f t="array" ref="AM61">IFERROR(
AVERAGE((IF(DATOS_[[Sexo]:[Sexo]]=$B61,IF(DATOS_[[AGRUP. CLAS. PROF.]:[AGRUP. CLAS. PROF.]]=$B60,IF(DATOS_[[Check Periodo Ref.]:[Check Periodo Ref.]]="Dentro",DATOS_[C.Extra.02]))))),
0)</f>
        <v>0</v>
      </c>
      <c r="AN61" s="95">
        <f t="array" ref="AN61">IFERROR(
AVERAGE((IF(DATOS_[[Sexo]:[Sexo]]=$B61,IF(DATOS_[[AGRUP. CLAS. PROF.]:[AGRUP. CLAS. PROF.]]=$B60,IF(DATOS_[[Check Periodo Ref.]:[Check Periodo Ref.]]="Dentro",DATOS_[C.Extra.03]))))),
0)</f>
        <v>0</v>
      </c>
      <c r="AO61" s="95">
        <f t="array" ref="AO61">IFERROR(
AVERAGE((IF(DATOS_[[Sexo]:[Sexo]]=$B61,IF(DATOS_[[AGRUP. CLAS. PROF.]:[AGRUP. CLAS. PROF.]]=$B60,IF(DATOS_[[Check Periodo Ref.]:[Check Periodo Ref.]]="Dentro",DATOS_[C.Extra.04]))))),
0)</f>
        <v>0</v>
      </c>
      <c r="AP61" s="95">
        <f t="array" ref="AP61">IFERROR(
AVERAGE((IF(DATOS_[[Sexo]:[Sexo]]=$B61,IF(DATOS_[[AGRUP. CLAS. PROF.]:[AGRUP. CLAS. PROF.]]=$B60,IF(DATOS_[[Check Periodo Ref.]:[Check Periodo Ref.]]="Dentro",DATOS_[C.Extra.05]))))),
0)</f>
        <v>0</v>
      </c>
      <c r="AQ61" s="97">
        <f t="array" ref="AQ61">IFERROR(
AVERAGE(IF(DATOS_[Sexo]=$B61,IF(DATOS_[AGRUP. CLAS. PROF.]=$B60,IF(DATOS_[Check Periodo Ref.]="Dentro",DATOS_[Tot Extrasalarial Ef],FALSE)))),
0)</f>
        <v>0</v>
      </c>
      <c r="AR61" s="98">
        <f t="array" ref="AR61">IFERROR(
AVERAGE(IF(DATOS_[Sexo]=$B61,IF(DATOS_[AGRUP. CLAS. PROF.]=$B60,IF(DATOS_[Check Periodo Ref.]="Dentro",DATOS_[TOTAL Retrib Ef],FALSE)))),
0)</f>
        <v>0</v>
      </c>
    </row>
    <row r="62" spans="1:44" hidden="1" x14ac:dyDescent="0.3">
      <c r="A62" s="309" t="str">
        <f t="shared" ref="A62" si="66">+A61</f>
        <v>[ocultar]</v>
      </c>
      <c r="B62" s="46" t="s">
        <v>163</v>
      </c>
      <c r="C62" s="45">
        <f t="array" ref="C62">SUM(IF($B62=DATOS_[Sexo],
IF($B60=DATOS_[AGRUP. CLAS. PROF.],
IF("Dentro"=DATOS_[Check Periodo Ref.],
1/(COUNTIFS(DATOS_[Sexo],$B62,DATOS_[AGRUP. CLAS. PROF.],$B60,DATOS_[Check Periodo Ref.],"Dentro",DATOS_[id],DATOS_[id]))))))</f>
        <v>0</v>
      </c>
      <c r="D62" s="47">
        <f>COUNTIFS(DATOS_[AGRUP. CLAS. PROF.],$B60,DATOS_[Sexo],$B62,DATOS_[Check Periodo Ref.],"Dentro")</f>
        <v>0</v>
      </c>
      <c r="E62" s="92">
        <f t="array" ref="E62">IFERROR(
AVERAGE(IF(DATOS_[Sexo]=$B62,IF(DATOS_[AGRUP. CLAS. PROF.]=$B60,IF(DATOS_[Check Periodo Ref.]="Dentro",DATOS_[SALARIO BASE Ef],FALSE)))),
0)</f>
        <v>0</v>
      </c>
      <c r="F62" s="93">
        <f t="array" ref="F62">IFERROR(
AVERAGE((IF(DATOS_[[Sexo]:[Sexo]]=$B62,IF(DATOS_[[AGRUP. CLAS. PROF.]:[AGRUP. CLAS. PROF.]]=$B60,IF(DATOS_[[Check Periodo Ref.]:[Check Periodo Ref.]]="Dentro",DATOS_[Conc.Sal.01]))))),
0)</f>
        <v>0</v>
      </c>
      <c r="G62" s="93">
        <f t="array" ref="G62">IFERROR(
AVERAGE((IF(DATOS_[[Sexo]:[Sexo]]=$B62,IF(DATOS_[[AGRUP. CLAS. PROF.]:[AGRUP. CLAS. PROF.]]=$B60,IF(DATOS_[[Check Periodo Ref.]:[Check Periodo Ref.]]="Dentro",DATOS_[Conc.Sal.02]))))),
0)</f>
        <v>0</v>
      </c>
      <c r="H62" s="93">
        <f t="array" ref="H62">IFERROR(
AVERAGE((IF(DATOS_[[Sexo]:[Sexo]]=$B62,IF(DATOS_[[AGRUP. CLAS. PROF.]:[AGRUP. CLAS. PROF.]]=$B60,IF(DATOS_[[Check Periodo Ref.]:[Check Periodo Ref.]]="Dentro",DATOS_[Conc.Sal.03]))))),
0)</f>
        <v>0</v>
      </c>
      <c r="I62" s="93">
        <f t="array" ref="I62">IFERROR(
AVERAGE((IF(DATOS_[[Sexo]:[Sexo]]=$B62,IF(DATOS_[[AGRUP. CLAS. PROF.]:[AGRUP. CLAS. PROF.]]=$B60,IF(DATOS_[[Check Periodo Ref.]:[Check Periodo Ref.]]="Dentro",DATOS_[Conc.Sal.04]))))),
0)</f>
        <v>0</v>
      </c>
      <c r="J62" s="93">
        <f t="array" ref="J62">IFERROR(
AVERAGE((IF(DATOS_[[Sexo]:[Sexo]]=$B62,IF(DATOS_[[AGRUP. CLAS. PROF.]:[AGRUP. CLAS. PROF.]]=$B60,IF(DATOS_[[Check Periodo Ref.]:[Check Periodo Ref.]]="Dentro",DATOS_[Conc.Sal.05]))))),
0)</f>
        <v>0</v>
      </c>
      <c r="K62" s="93">
        <f t="array" ref="K62">IFERROR(
AVERAGE((IF(DATOS_[[Sexo]:[Sexo]]=$B62,IF(DATOS_[[AGRUP. CLAS. PROF.]:[AGRUP. CLAS. PROF.]]=$B60,IF(DATOS_[[Check Periodo Ref.]:[Check Periodo Ref.]]="Dentro",DATOS_[Conc.Sal.06]))))),
0)</f>
        <v>0</v>
      </c>
      <c r="L62" s="93">
        <f t="array" ref="L62">IFERROR(
AVERAGE((IF(DATOS_[[Sexo]:[Sexo]]=$B62,IF(DATOS_[[AGRUP. CLAS. PROF.]:[AGRUP. CLAS. PROF.]]=$B60,IF(DATOS_[[Check Periodo Ref.]:[Check Periodo Ref.]]="Dentro",DATOS_[Conc.Sal.07]))))),
0)</f>
        <v>0</v>
      </c>
      <c r="M62" s="93">
        <f t="array" ref="M62">IFERROR(
AVERAGE((IF(DATOS_[[Sexo]:[Sexo]]=$B62,IF(DATOS_[[AGRUP. CLAS. PROF.]:[AGRUP. CLAS. PROF.]]=$B60,IF(DATOS_[[Check Periodo Ref.]:[Check Periodo Ref.]]="Dentro",DATOS_[Conc.Sal.08]))))),
0)</f>
        <v>0</v>
      </c>
      <c r="N62" s="93">
        <f t="array" ref="N62">IFERROR(
AVERAGE((IF(DATOS_[[Sexo]:[Sexo]]=$B62,IF(DATOS_[[AGRUP. CLAS. PROF.]:[AGRUP. CLAS. PROF.]]=$B60,IF(DATOS_[[Check Periodo Ref.]:[Check Periodo Ref.]]="Dentro",DATOS_[Conc.Sal.09]))))),
0)</f>
        <v>0</v>
      </c>
      <c r="O62" s="93">
        <f t="array" ref="O62">IFERROR(
AVERAGE((IF(DATOS_[[Sexo]:[Sexo]]=$B62,IF(DATOS_[[AGRUP. CLAS. PROF.]:[AGRUP. CLAS. PROF.]]=$B60,IF(DATOS_[[Check Periodo Ref.]:[Check Periodo Ref.]]="Dentro",DATOS_[Conc.Sal.10]))))),
0)</f>
        <v>0</v>
      </c>
      <c r="P62" s="93">
        <f t="array" ref="P62">IFERROR(
AVERAGE((IF(DATOS_[[Sexo]:[Sexo]]=$B62,IF(DATOS_[[AGRUP. CLAS. PROF.]:[AGRUP. CLAS. PROF.]]=$B60,IF(DATOS_[[Check Periodo Ref.]:[Check Periodo Ref.]]="Dentro",DATOS_[Conc.Sal.11]))))),
0)</f>
        <v>0</v>
      </c>
      <c r="Q62" s="93">
        <f t="array" ref="Q62">IFERROR(
AVERAGE((IF(DATOS_[[Sexo]:[Sexo]]=$B62,IF(DATOS_[[AGRUP. CLAS. PROF.]:[AGRUP. CLAS. PROF.]]=$B60,IF(DATOS_[[Check Periodo Ref.]:[Check Periodo Ref.]]="Dentro",DATOS_[Conc.Sal.12]))))),
0)</f>
        <v>0</v>
      </c>
      <c r="R62" s="93">
        <f t="array" ref="R62">IFERROR(
AVERAGE((IF(DATOS_[[Sexo]:[Sexo]]=$B62,IF(DATOS_[[AGRUP. CLAS. PROF.]:[AGRUP. CLAS. PROF.]]=$B60,IF(DATOS_[[Check Periodo Ref.]:[Check Periodo Ref.]]="Dentro",DATOS_[Conc.Sal.13]))))),
0)</f>
        <v>0</v>
      </c>
      <c r="S62" s="93">
        <f t="array" ref="S62">IFERROR(
AVERAGE((IF(DATOS_[[Sexo]:[Sexo]]=$B62,IF(DATOS_[[AGRUP. CLAS. PROF.]:[AGRUP. CLAS. PROF.]]=$B60,IF(DATOS_[[Check Periodo Ref.]:[Check Periodo Ref.]]="Dentro",DATOS_[Conc.Sal.14]))))),
0)</f>
        <v>0</v>
      </c>
      <c r="T62" s="93">
        <f t="array" ref="T62">IFERROR(
AVERAGE((IF(DATOS_[[Sexo]:[Sexo]]=$B62,IF(DATOS_[[AGRUP. CLAS. PROF.]:[AGRUP. CLAS. PROF.]]=$B60,IF(DATOS_[[Check Periodo Ref.]:[Check Periodo Ref.]]="Dentro",DATOS_[Conc.Sal.15]))))),
0)</f>
        <v>0</v>
      </c>
      <c r="U62" s="93">
        <f t="array" ref="U62">IFERROR(
AVERAGE((IF(DATOS_[[Sexo]:[Sexo]]=$B62,IF(DATOS_[[AGRUP. CLAS. PROF.]:[AGRUP. CLAS. PROF.]]=$B60,IF(DATOS_[[Check Periodo Ref.]:[Check Periodo Ref.]]="Dentro",DATOS_[Conc.Sal.16]))))),
0)</f>
        <v>0</v>
      </c>
      <c r="V62" s="93">
        <f t="array" ref="V62">IFERROR(
AVERAGE((IF(DATOS_[[Sexo]:[Sexo]]=$B62,IF(DATOS_[[AGRUP. CLAS. PROF.]:[AGRUP. CLAS. PROF.]]=$B60,IF(DATOS_[[Check Periodo Ref.]:[Check Periodo Ref.]]="Dentro",DATOS_[Conc.Sal.17]))))),
0)</f>
        <v>0</v>
      </c>
      <c r="W62" s="93">
        <f t="array" ref="W62">IFERROR(
AVERAGE((IF(DATOS_[[Sexo]:[Sexo]]=$B62,IF(DATOS_[[AGRUP. CLAS. PROF.]:[AGRUP. CLAS. PROF.]]=$B60,IF(DATOS_[[Check Periodo Ref.]:[Check Periodo Ref.]]="Dentro",DATOS_[Conc.Sal.18]))))),
0)</f>
        <v>0</v>
      </c>
      <c r="X62" s="93">
        <f t="array" ref="X62">IFERROR(
AVERAGE((IF(DATOS_[[Sexo]:[Sexo]]=$B62,IF(DATOS_[[AGRUP. CLAS. PROF.]:[AGRUP. CLAS. PROF.]]=$B60,IF(DATOS_[[Check Periodo Ref.]:[Check Periodo Ref.]]="Dentro",DATOS_[Conc.Sal.19]))))),
0)</f>
        <v>0</v>
      </c>
      <c r="Y62" s="93">
        <f t="array" ref="Y62">IFERROR(
AVERAGE((IF(DATOS_[[Sexo]:[Sexo]]=$B62,IF(DATOS_[[AGRUP. CLAS. PROF.]:[AGRUP. CLAS. PROF.]]=$B60,IF(DATOS_[[Check Periodo Ref.]:[Check Periodo Ref.]]="Dentro",DATOS_[Conc.Sal.20]))))),
0)</f>
        <v>0</v>
      </c>
      <c r="Z62" s="93">
        <f t="array" ref="Z62">IFERROR(
AVERAGE((IF(DATOS_[[Sexo]:[Sexo]]=$B62,IF(DATOS_[[AGRUP. CLAS. PROF.]:[AGRUP. CLAS. PROF.]]=$B60,IF(DATOS_[[Check Periodo Ref.]:[Check Periodo Ref.]]="Dentro",DATOS_[Conc.Sal.21]))))),
0)</f>
        <v>0</v>
      </c>
      <c r="AA62" s="93">
        <f t="array" ref="AA62">IFERROR(
AVERAGE((IF(DATOS_[[Sexo]:[Sexo]]=$B62,IF(DATOS_[[AGRUP. CLAS. PROF.]:[AGRUP. CLAS. PROF.]]=$B60,IF(DATOS_[[Check Periodo Ref.]:[Check Periodo Ref.]]="Dentro",DATOS_[Conc.Sal.22]))))),
0)</f>
        <v>0</v>
      </c>
      <c r="AB62" s="93">
        <f t="array" ref="AB62">IFERROR(
AVERAGE((IF(DATOS_[[Sexo]:[Sexo]]=$B62,IF(DATOS_[[AGRUP. CLAS. PROF.]:[AGRUP. CLAS. PROF.]]=$B60,IF(DATOS_[[Check Periodo Ref.]:[Check Periodo Ref.]]="Dentro",DATOS_[Conc.Sal.23]))))),
0)</f>
        <v>0</v>
      </c>
      <c r="AC62" s="93">
        <f t="array" ref="AC62">IFERROR(
AVERAGE((IF(DATOS_[[Sexo]:[Sexo]]=$B62,IF(DATOS_[[AGRUP. CLAS. PROF.]:[AGRUP. CLAS. PROF.]]=$B60,IF(DATOS_[[Check Periodo Ref.]:[Check Periodo Ref.]]="Dentro",DATOS_[Conc.Sal.24]))))),
0)</f>
        <v>0</v>
      </c>
      <c r="AD62" s="93">
        <f t="array" ref="AD62">IFERROR(
AVERAGE((IF(DATOS_[[Sexo]:[Sexo]]=$B62,IF(DATOS_[[AGRUP. CLAS. PROF.]:[AGRUP. CLAS. PROF.]]=$B60,IF(DATOS_[[Check Periodo Ref.]:[Check Periodo Ref.]]="Dentro",DATOS_[Conc.Sal.25]))))),
0)</f>
        <v>0</v>
      </c>
      <c r="AE62" s="93">
        <f t="array" ref="AE62">IFERROR(
AVERAGE((IF(DATOS_[[Sexo]:[Sexo]]=$B62,IF(DATOS_[[AGRUP. CLAS. PROF.]:[AGRUP. CLAS. PROF.]]=$B60,IF(DATOS_[[Check Periodo Ref.]:[Check Periodo Ref.]]="Dentro",DATOS_[Conc.Sal.26]))))),
0)</f>
        <v>0</v>
      </c>
      <c r="AF62" s="93">
        <f t="array" ref="AF62">IFERROR(
AVERAGE((IF(DATOS_[[Sexo]:[Sexo]]=$B62,IF(DATOS_[[AGRUP. CLAS. PROF.]:[AGRUP. CLAS. PROF.]]=$B60,IF(DATOS_[[Check Periodo Ref.]:[Check Periodo Ref.]]="Dentro",DATOS_[Conc.Sal.27]))))),
0)</f>
        <v>0</v>
      </c>
      <c r="AG62" s="93">
        <f t="array" ref="AG62">IFERROR(
AVERAGE((IF(DATOS_[[Sexo]:[Sexo]]=$B62,IF(DATOS_[[AGRUP. CLAS. PROF.]:[AGRUP. CLAS. PROF.]]=$B60,IF(DATOS_[[Check Periodo Ref.]:[Check Periodo Ref.]]="Dentro",DATOS_[Conc.Sal.28]))))),
0)</f>
        <v>0</v>
      </c>
      <c r="AH62" s="93">
        <f t="array" ref="AH62">IFERROR(
AVERAGE((IF(DATOS_[[Sexo]:[Sexo]]=$B62,IF(DATOS_[[AGRUP. CLAS. PROF.]:[AGRUP. CLAS. PROF.]]=$B60,IF(DATOS_[[Check Periodo Ref.]:[Check Periodo Ref.]]="Dentro",DATOS_[Conc.Sal.29]))))),
0)</f>
        <v>0</v>
      </c>
      <c r="AI62" s="93">
        <f t="array" ref="AI62">IFERROR(
AVERAGE((IF(DATOS_[[Sexo]:[Sexo]]=$B62,IF(DATOS_[[AGRUP. CLAS. PROF.]:[AGRUP. CLAS. PROF.]]=$B60,IF(DATOS_[[Check Periodo Ref.]:[Check Periodo Ref.]]="Dentro",DATOS_[Conc.Sal.30]))))),
0)</f>
        <v>0</v>
      </c>
      <c r="AJ62" s="94">
        <f t="array" ref="AJ62">IFERROR(
AVERAGE(IF(DATOS_[Sexo]=$B62,IF(DATOS_[AGRUP. CLAS. PROF.]=$B60,IF(DATOS_[Check Periodo Ref.]="Dentro",DATOS_[Tot COMPL.SAL Ef],FALSE)))),
0)</f>
        <v>0</v>
      </c>
      <c r="AK62" s="96">
        <f t="array" ref="AK62">IFERROR(
AVERAGE(IF(DATOS_[Sexo]=$B62,IF(DATOS_[AGRUP. CLAS. PROF.]=$B60,IF(DATOS_[Check Periodo Ref.]="Dentro",DATOS_[TOTAL SALARIO Ef],FALSE)))),
0)</f>
        <v>0</v>
      </c>
      <c r="AL62" s="95">
        <f t="array" ref="AL62">IFERROR(
AVERAGE((IF(DATOS_[[Sexo]:[Sexo]]=$B62,IF(DATOS_[[AGRUP. CLAS. PROF.]:[AGRUP. CLAS. PROF.]]=$B60,IF(DATOS_[[Check Periodo Ref.]:[Check Periodo Ref.]]="Dentro",DATOS_[C.Extra.01]))))),
0)</f>
        <v>0</v>
      </c>
      <c r="AM62" s="95">
        <f t="array" ref="AM62">IFERROR(
AVERAGE((IF(DATOS_[[Sexo]:[Sexo]]=$B62,IF(DATOS_[[AGRUP. CLAS. PROF.]:[AGRUP. CLAS. PROF.]]=$B60,IF(DATOS_[[Check Periodo Ref.]:[Check Periodo Ref.]]="Dentro",DATOS_[C.Extra.02]))))),
0)</f>
        <v>0</v>
      </c>
      <c r="AN62" s="95">
        <f t="array" ref="AN62">IFERROR(
AVERAGE((IF(DATOS_[[Sexo]:[Sexo]]=$B62,IF(DATOS_[[AGRUP. CLAS. PROF.]:[AGRUP. CLAS. PROF.]]=$B60,IF(DATOS_[[Check Periodo Ref.]:[Check Periodo Ref.]]="Dentro",DATOS_[C.Extra.03]))))),
0)</f>
        <v>0</v>
      </c>
      <c r="AO62" s="95">
        <f t="array" ref="AO62">IFERROR(
AVERAGE((IF(DATOS_[[Sexo]:[Sexo]]=$B62,IF(DATOS_[[AGRUP. CLAS. PROF.]:[AGRUP. CLAS. PROF.]]=$B60,IF(DATOS_[[Check Periodo Ref.]:[Check Periodo Ref.]]="Dentro",DATOS_[C.Extra.04]))))),
0)</f>
        <v>0</v>
      </c>
      <c r="AP62" s="95">
        <f t="array" ref="AP62">IFERROR(
AVERAGE((IF(DATOS_[[Sexo]:[Sexo]]=$B62,IF(DATOS_[[AGRUP. CLAS. PROF.]:[AGRUP. CLAS. PROF.]]=$B60,IF(DATOS_[[Check Periodo Ref.]:[Check Periodo Ref.]]="Dentro",DATOS_[C.Extra.05]))))),
0)</f>
        <v>0</v>
      </c>
      <c r="AQ62" s="97">
        <f t="array" ref="AQ62">IFERROR(
AVERAGE(IF(DATOS_[Sexo]=$B62,IF(DATOS_[AGRUP. CLAS. PROF.]=$B60,IF(DATOS_[Check Periodo Ref.]="Dentro",DATOS_[Tot Extrasalarial Ef],FALSE)))),
0)</f>
        <v>0</v>
      </c>
      <c r="AR62" s="98">
        <f t="array" ref="AR62">IFERROR(
AVERAGE(IF(DATOS_[Sexo]=$B62,IF(DATOS_[AGRUP. CLAS. PROF.]=$B60,IF(DATOS_[Check Periodo Ref.]="Dentro",DATOS_[TOTAL Retrib Ef],FALSE)))),
0)</f>
        <v>0</v>
      </c>
    </row>
    <row r="63" spans="1:44" ht="17.25" hidden="1" thickBot="1" x14ac:dyDescent="0.35">
      <c r="A63" s="309" t="str">
        <f t="shared" ref="A63" si="67">+A64</f>
        <v>[ocultar]</v>
      </c>
      <c r="B63" s="51" t="s">
        <v>233</v>
      </c>
      <c r="C63" s="91"/>
      <c r="D63" s="52"/>
      <c r="E63" s="139" t="str">
        <f t="shared" ref="E63:AR63" si="68">IFERROR((E64-E65)/E64,"")</f>
        <v/>
      </c>
      <c r="F63" s="310" t="str">
        <f t="shared" si="68"/>
        <v/>
      </c>
      <c r="G63" s="180" t="str">
        <f t="shared" si="68"/>
        <v/>
      </c>
      <c r="H63" s="180" t="str">
        <f t="shared" si="68"/>
        <v/>
      </c>
      <c r="I63" s="180" t="str">
        <f t="shared" si="68"/>
        <v/>
      </c>
      <c r="J63" s="181" t="str">
        <f t="shared" si="68"/>
        <v/>
      </c>
      <c r="K63" s="182" t="str">
        <f t="shared" si="68"/>
        <v/>
      </c>
      <c r="L63" s="182" t="str">
        <f t="shared" si="68"/>
        <v/>
      </c>
      <c r="M63" s="182" t="str">
        <f t="shared" si="68"/>
        <v/>
      </c>
      <c r="N63" s="182" t="str">
        <f t="shared" si="68"/>
        <v/>
      </c>
      <c r="O63" s="182" t="str">
        <f t="shared" si="68"/>
        <v/>
      </c>
      <c r="P63" s="182" t="str">
        <f t="shared" si="68"/>
        <v/>
      </c>
      <c r="Q63" s="182" t="str">
        <f t="shared" si="68"/>
        <v/>
      </c>
      <c r="R63" s="182" t="str">
        <f t="shared" si="68"/>
        <v/>
      </c>
      <c r="S63" s="182" t="str">
        <f t="shared" si="68"/>
        <v/>
      </c>
      <c r="T63" s="182" t="str">
        <f t="shared" si="68"/>
        <v/>
      </c>
      <c r="U63" s="182" t="str">
        <f t="shared" si="68"/>
        <v/>
      </c>
      <c r="V63" s="181" t="str">
        <f t="shared" si="68"/>
        <v/>
      </c>
      <c r="W63" s="181" t="str">
        <f t="shared" si="68"/>
        <v/>
      </c>
      <c r="X63" s="181" t="str">
        <f t="shared" si="68"/>
        <v/>
      </c>
      <c r="Y63" s="181" t="str">
        <f t="shared" si="68"/>
        <v/>
      </c>
      <c r="Z63" s="181" t="str">
        <f t="shared" si="68"/>
        <v/>
      </c>
      <c r="AA63" s="181" t="str">
        <f t="shared" si="68"/>
        <v/>
      </c>
      <c r="AB63" s="181" t="str">
        <f t="shared" si="68"/>
        <v/>
      </c>
      <c r="AC63" s="181" t="str">
        <f t="shared" si="68"/>
        <v/>
      </c>
      <c r="AD63" s="181" t="str">
        <f t="shared" si="68"/>
        <v/>
      </c>
      <c r="AE63" s="181" t="str">
        <f t="shared" si="68"/>
        <v/>
      </c>
      <c r="AF63" s="181" t="str">
        <f t="shared" si="68"/>
        <v/>
      </c>
      <c r="AG63" s="181" t="str">
        <f t="shared" si="68"/>
        <v/>
      </c>
      <c r="AH63" s="181" t="str">
        <f t="shared" si="68"/>
        <v/>
      </c>
      <c r="AI63" s="181" t="str">
        <f t="shared" si="68"/>
        <v/>
      </c>
      <c r="AJ63" s="140" t="str">
        <f t="shared" si="68"/>
        <v/>
      </c>
      <c r="AK63" s="143" t="str">
        <f t="shared" si="68"/>
        <v/>
      </c>
      <c r="AL63" s="184" t="str">
        <f t="shared" si="68"/>
        <v/>
      </c>
      <c r="AM63" s="184" t="str">
        <f t="shared" si="68"/>
        <v/>
      </c>
      <c r="AN63" s="184" t="str">
        <f t="shared" si="68"/>
        <v/>
      </c>
      <c r="AO63" s="184" t="str">
        <f t="shared" si="68"/>
        <v/>
      </c>
      <c r="AP63" s="184" t="str">
        <f t="shared" si="68"/>
        <v/>
      </c>
      <c r="AQ63" s="141" t="str">
        <f t="shared" si="68"/>
        <v/>
      </c>
      <c r="AR63" s="142" t="str">
        <f t="shared" si="68"/>
        <v/>
      </c>
    </row>
    <row r="64" spans="1:44" hidden="1" x14ac:dyDescent="0.3">
      <c r="A64" s="309" t="str">
        <f t="shared" ref="A64" si="69">+IF(C64+C65=0,"[ocultar]","")</f>
        <v>[ocultar]</v>
      </c>
      <c r="B64" s="46" t="s">
        <v>162</v>
      </c>
      <c r="C64" s="45">
        <f t="array" ref="C64">SUM(IF($B64=DATOS_[Sexo],
IF($B63=DATOS_[AGRUP. CLAS. PROF.],
IF("Dentro"=DATOS_[Check Periodo Ref.],
1/(COUNTIFS(DATOS_[Sexo],$B64,DATOS_[AGRUP. CLAS. PROF.],$B63,DATOS_[Check Periodo Ref.],"Dentro",DATOS_[id],DATOS_[id]))))))</f>
        <v>0</v>
      </c>
      <c r="D64" s="47">
        <f>COUNTIFS(DATOS_[AGRUP. CLAS. PROF.],$B63,DATOS_[Sexo],$B64,DATOS_[Check Periodo Ref.],"Dentro")</f>
        <v>0</v>
      </c>
      <c r="E64" s="92">
        <f t="array" ref="E64">IFERROR(
AVERAGE(IF(DATOS_[Sexo]=$B64,IF(DATOS_[AGRUP. CLAS. PROF.]=$B63,IF(DATOS_[Check Periodo Ref.]="Dentro",DATOS_[SALARIO BASE Ef],FALSE)))),
0)</f>
        <v>0</v>
      </c>
      <c r="F64" s="93">
        <f t="array" ref="F64">IFERROR(
AVERAGE((IF(DATOS_[[Sexo]:[Sexo]]=$B64,IF(DATOS_[[AGRUP. CLAS. PROF.]:[AGRUP. CLAS. PROF.]]=$B63,IF(DATOS_[[Check Periodo Ref.]:[Check Periodo Ref.]]="Dentro",DATOS_[Conc.Sal.01]))))),
0)</f>
        <v>0</v>
      </c>
      <c r="G64" s="93">
        <f t="array" ref="G64">IFERROR(
AVERAGE((IF(DATOS_[[Sexo]:[Sexo]]=$B64,IF(DATOS_[[AGRUP. CLAS. PROF.]:[AGRUP. CLAS. PROF.]]=$B63,IF(DATOS_[[Check Periodo Ref.]:[Check Periodo Ref.]]="Dentro",DATOS_[Conc.Sal.02]))))),
0)</f>
        <v>0</v>
      </c>
      <c r="H64" s="93">
        <f t="array" ref="H64">IFERROR(
AVERAGE((IF(DATOS_[[Sexo]:[Sexo]]=$B64,IF(DATOS_[[AGRUP. CLAS. PROF.]:[AGRUP. CLAS. PROF.]]=$B63,IF(DATOS_[[Check Periodo Ref.]:[Check Periodo Ref.]]="Dentro",DATOS_[Conc.Sal.03]))))),
0)</f>
        <v>0</v>
      </c>
      <c r="I64" s="93">
        <f t="array" ref="I64">IFERROR(
AVERAGE((IF(DATOS_[[Sexo]:[Sexo]]=$B64,IF(DATOS_[[AGRUP. CLAS. PROF.]:[AGRUP. CLAS. PROF.]]=$B63,IF(DATOS_[[Check Periodo Ref.]:[Check Periodo Ref.]]="Dentro",DATOS_[Conc.Sal.04]))))),
0)</f>
        <v>0</v>
      </c>
      <c r="J64" s="93">
        <f t="array" ref="J64">IFERROR(
AVERAGE((IF(DATOS_[[Sexo]:[Sexo]]=$B64,IF(DATOS_[[AGRUP. CLAS. PROF.]:[AGRUP. CLAS. PROF.]]=$B63,IF(DATOS_[[Check Periodo Ref.]:[Check Periodo Ref.]]="Dentro",DATOS_[Conc.Sal.05]))))),
0)</f>
        <v>0</v>
      </c>
      <c r="K64" s="93">
        <f t="array" ref="K64">IFERROR(
AVERAGE((IF(DATOS_[[Sexo]:[Sexo]]=$B64,IF(DATOS_[[AGRUP. CLAS. PROF.]:[AGRUP. CLAS. PROF.]]=$B63,IF(DATOS_[[Check Periodo Ref.]:[Check Periodo Ref.]]="Dentro",DATOS_[Conc.Sal.06]))))),
0)</f>
        <v>0</v>
      </c>
      <c r="L64" s="93">
        <f t="array" ref="L64">IFERROR(
AVERAGE((IF(DATOS_[[Sexo]:[Sexo]]=$B64,IF(DATOS_[[AGRUP. CLAS. PROF.]:[AGRUP. CLAS. PROF.]]=$B63,IF(DATOS_[[Check Periodo Ref.]:[Check Periodo Ref.]]="Dentro",DATOS_[Conc.Sal.07]))))),
0)</f>
        <v>0</v>
      </c>
      <c r="M64" s="93">
        <f t="array" ref="M64">IFERROR(
AVERAGE((IF(DATOS_[[Sexo]:[Sexo]]=$B64,IF(DATOS_[[AGRUP. CLAS. PROF.]:[AGRUP. CLAS. PROF.]]=$B63,IF(DATOS_[[Check Periodo Ref.]:[Check Periodo Ref.]]="Dentro",DATOS_[Conc.Sal.08]))))),
0)</f>
        <v>0</v>
      </c>
      <c r="N64" s="93">
        <f t="array" ref="N64">IFERROR(
AVERAGE((IF(DATOS_[[Sexo]:[Sexo]]=$B64,IF(DATOS_[[AGRUP. CLAS. PROF.]:[AGRUP. CLAS. PROF.]]=$B63,IF(DATOS_[[Check Periodo Ref.]:[Check Periodo Ref.]]="Dentro",DATOS_[Conc.Sal.09]))))),
0)</f>
        <v>0</v>
      </c>
      <c r="O64" s="93">
        <f t="array" ref="O64">IFERROR(
AVERAGE((IF(DATOS_[[Sexo]:[Sexo]]=$B64,IF(DATOS_[[AGRUP. CLAS. PROF.]:[AGRUP. CLAS. PROF.]]=$B63,IF(DATOS_[[Check Periodo Ref.]:[Check Periodo Ref.]]="Dentro",DATOS_[Conc.Sal.10]))))),
0)</f>
        <v>0</v>
      </c>
      <c r="P64" s="93">
        <f t="array" ref="P64">IFERROR(
AVERAGE((IF(DATOS_[[Sexo]:[Sexo]]=$B64,IF(DATOS_[[AGRUP. CLAS. PROF.]:[AGRUP. CLAS. PROF.]]=$B63,IF(DATOS_[[Check Periodo Ref.]:[Check Periodo Ref.]]="Dentro",DATOS_[Conc.Sal.11]))))),
0)</f>
        <v>0</v>
      </c>
      <c r="Q64" s="93">
        <f t="array" ref="Q64">IFERROR(
AVERAGE((IF(DATOS_[[Sexo]:[Sexo]]=$B64,IF(DATOS_[[AGRUP. CLAS. PROF.]:[AGRUP. CLAS. PROF.]]=$B63,IF(DATOS_[[Check Periodo Ref.]:[Check Periodo Ref.]]="Dentro",DATOS_[Conc.Sal.12]))))),
0)</f>
        <v>0</v>
      </c>
      <c r="R64" s="93">
        <f t="array" ref="R64">IFERROR(
AVERAGE((IF(DATOS_[[Sexo]:[Sexo]]=$B64,IF(DATOS_[[AGRUP. CLAS. PROF.]:[AGRUP. CLAS. PROF.]]=$B63,IF(DATOS_[[Check Periodo Ref.]:[Check Periodo Ref.]]="Dentro",DATOS_[Conc.Sal.13]))))),
0)</f>
        <v>0</v>
      </c>
      <c r="S64" s="93">
        <f t="array" ref="S64">IFERROR(
AVERAGE((IF(DATOS_[[Sexo]:[Sexo]]=$B64,IF(DATOS_[[AGRUP. CLAS. PROF.]:[AGRUP. CLAS. PROF.]]=$B63,IF(DATOS_[[Check Periodo Ref.]:[Check Periodo Ref.]]="Dentro",DATOS_[Conc.Sal.14]))))),
0)</f>
        <v>0</v>
      </c>
      <c r="T64" s="93">
        <f t="array" ref="T64">IFERROR(
AVERAGE((IF(DATOS_[[Sexo]:[Sexo]]=$B64,IF(DATOS_[[AGRUP. CLAS. PROF.]:[AGRUP. CLAS. PROF.]]=$B63,IF(DATOS_[[Check Periodo Ref.]:[Check Periodo Ref.]]="Dentro",DATOS_[Conc.Sal.15]))))),
0)</f>
        <v>0</v>
      </c>
      <c r="U64" s="93">
        <f t="array" ref="U64">IFERROR(
AVERAGE((IF(DATOS_[[Sexo]:[Sexo]]=$B64,IF(DATOS_[[AGRUP. CLAS. PROF.]:[AGRUP. CLAS. PROF.]]=$B63,IF(DATOS_[[Check Periodo Ref.]:[Check Periodo Ref.]]="Dentro",DATOS_[Conc.Sal.16]))))),
0)</f>
        <v>0</v>
      </c>
      <c r="V64" s="93">
        <f t="array" ref="V64">IFERROR(
AVERAGE((IF(DATOS_[[Sexo]:[Sexo]]=$B64,IF(DATOS_[[AGRUP. CLAS. PROF.]:[AGRUP. CLAS. PROF.]]=$B63,IF(DATOS_[[Check Periodo Ref.]:[Check Periodo Ref.]]="Dentro",DATOS_[Conc.Sal.17]))))),
0)</f>
        <v>0</v>
      </c>
      <c r="W64" s="93">
        <f t="array" ref="W64">IFERROR(
AVERAGE((IF(DATOS_[[Sexo]:[Sexo]]=$B64,IF(DATOS_[[AGRUP. CLAS. PROF.]:[AGRUP. CLAS. PROF.]]=$B63,IF(DATOS_[[Check Periodo Ref.]:[Check Periodo Ref.]]="Dentro",DATOS_[Conc.Sal.18]))))),
0)</f>
        <v>0</v>
      </c>
      <c r="X64" s="93">
        <f t="array" ref="X64">IFERROR(
AVERAGE((IF(DATOS_[[Sexo]:[Sexo]]=$B64,IF(DATOS_[[AGRUP. CLAS. PROF.]:[AGRUP. CLAS. PROF.]]=$B63,IF(DATOS_[[Check Periodo Ref.]:[Check Periodo Ref.]]="Dentro",DATOS_[Conc.Sal.19]))))),
0)</f>
        <v>0</v>
      </c>
      <c r="Y64" s="93">
        <f t="array" ref="Y64">IFERROR(
AVERAGE((IF(DATOS_[[Sexo]:[Sexo]]=$B64,IF(DATOS_[[AGRUP. CLAS. PROF.]:[AGRUP. CLAS. PROF.]]=$B63,IF(DATOS_[[Check Periodo Ref.]:[Check Periodo Ref.]]="Dentro",DATOS_[Conc.Sal.20]))))),
0)</f>
        <v>0</v>
      </c>
      <c r="Z64" s="93">
        <f t="array" ref="Z64">IFERROR(
AVERAGE((IF(DATOS_[[Sexo]:[Sexo]]=$B64,IF(DATOS_[[AGRUP. CLAS. PROF.]:[AGRUP. CLAS. PROF.]]=$B63,IF(DATOS_[[Check Periodo Ref.]:[Check Periodo Ref.]]="Dentro",DATOS_[Conc.Sal.21]))))),
0)</f>
        <v>0</v>
      </c>
      <c r="AA64" s="93">
        <f t="array" ref="AA64">IFERROR(
AVERAGE((IF(DATOS_[[Sexo]:[Sexo]]=$B64,IF(DATOS_[[AGRUP. CLAS. PROF.]:[AGRUP. CLAS. PROF.]]=$B63,IF(DATOS_[[Check Periodo Ref.]:[Check Periodo Ref.]]="Dentro",DATOS_[Conc.Sal.22]))))),
0)</f>
        <v>0</v>
      </c>
      <c r="AB64" s="93">
        <f t="array" ref="AB64">IFERROR(
AVERAGE((IF(DATOS_[[Sexo]:[Sexo]]=$B64,IF(DATOS_[[AGRUP. CLAS. PROF.]:[AGRUP. CLAS. PROF.]]=$B63,IF(DATOS_[[Check Periodo Ref.]:[Check Periodo Ref.]]="Dentro",DATOS_[Conc.Sal.23]))))),
0)</f>
        <v>0</v>
      </c>
      <c r="AC64" s="93">
        <f t="array" ref="AC64">IFERROR(
AVERAGE((IF(DATOS_[[Sexo]:[Sexo]]=$B64,IF(DATOS_[[AGRUP. CLAS. PROF.]:[AGRUP. CLAS. PROF.]]=$B63,IF(DATOS_[[Check Periodo Ref.]:[Check Periodo Ref.]]="Dentro",DATOS_[Conc.Sal.24]))))),
0)</f>
        <v>0</v>
      </c>
      <c r="AD64" s="93">
        <f t="array" ref="AD64">IFERROR(
AVERAGE((IF(DATOS_[[Sexo]:[Sexo]]=$B64,IF(DATOS_[[AGRUP. CLAS. PROF.]:[AGRUP. CLAS. PROF.]]=$B63,IF(DATOS_[[Check Periodo Ref.]:[Check Periodo Ref.]]="Dentro",DATOS_[Conc.Sal.25]))))),
0)</f>
        <v>0</v>
      </c>
      <c r="AE64" s="93">
        <f t="array" ref="AE64">IFERROR(
AVERAGE((IF(DATOS_[[Sexo]:[Sexo]]=$B64,IF(DATOS_[[AGRUP. CLAS. PROF.]:[AGRUP. CLAS. PROF.]]=$B63,IF(DATOS_[[Check Periodo Ref.]:[Check Periodo Ref.]]="Dentro",DATOS_[Conc.Sal.26]))))),
0)</f>
        <v>0</v>
      </c>
      <c r="AF64" s="93">
        <f t="array" ref="AF64">IFERROR(
AVERAGE((IF(DATOS_[[Sexo]:[Sexo]]=$B64,IF(DATOS_[[AGRUP. CLAS. PROF.]:[AGRUP. CLAS. PROF.]]=$B63,IF(DATOS_[[Check Periodo Ref.]:[Check Periodo Ref.]]="Dentro",DATOS_[Conc.Sal.27]))))),
0)</f>
        <v>0</v>
      </c>
      <c r="AG64" s="93">
        <f t="array" ref="AG64">IFERROR(
AVERAGE((IF(DATOS_[[Sexo]:[Sexo]]=$B64,IF(DATOS_[[AGRUP. CLAS. PROF.]:[AGRUP. CLAS. PROF.]]=$B63,IF(DATOS_[[Check Periodo Ref.]:[Check Periodo Ref.]]="Dentro",DATOS_[Conc.Sal.28]))))),
0)</f>
        <v>0</v>
      </c>
      <c r="AH64" s="93">
        <f t="array" ref="AH64">IFERROR(
AVERAGE((IF(DATOS_[[Sexo]:[Sexo]]=$B64,IF(DATOS_[[AGRUP. CLAS. PROF.]:[AGRUP. CLAS. PROF.]]=$B63,IF(DATOS_[[Check Periodo Ref.]:[Check Periodo Ref.]]="Dentro",DATOS_[Conc.Sal.29]))))),
0)</f>
        <v>0</v>
      </c>
      <c r="AI64" s="93">
        <f t="array" ref="AI64">IFERROR(
AVERAGE((IF(DATOS_[[Sexo]:[Sexo]]=$B64,IF(DATOS_[[AGRUP. CLAS. PROF.]:[AGRUP. CLAS. PROF.]]=$B63,IF(DATOS_[[Check Periodo Ref.]:[Check Periodo Ref.]]="Dentro",DATOS_[Conc.Sal.30]))))),
0)</f>
        <v>0</v>
      </c>
      <c r="AJ64" s="94">
        <f t="array" ref="AJ64">IFERROR(
AVERAGE(IF(DATOS_[Sexo]=$B64,IF(DATOS_[AGRUP. CLAS. PROF.]=$B63,IF(DATOS_[Check Periodo Ref.]="Dentro",DATOS_[Tot COMPL.SAL Ef],FALSE)))),
0)</f>
        <v>0</v>
      </c>
      <c r="AK64" s="96">
        <f t="array" ref="AK64">IFERROR(
AVERAGE(IF(DATOS_[Sexo]=$B64,IF(DATOS_[AGRUP. CLAS. PROF.]=$B63,IF(DATOS_[Check Periodo Ref.]="Dentro",DATOS_[TOTAL SALARIO Ef],FALSE)))),
0)</f>
        <v>0</v>
      </c>
      <c r="AL64" s="95">
        <f t="array" ref="AL64">IFERROR(
AVERAGE((IF(DATOS_[[Sexo]:[Sexo]]=$B64,IF(DATOS_[[AGRUP. CLAS. PROF.]:[AGRUP. CLAS. PROF.]]=$B63,IF(DATOS_[[Check Periodo Ref.]:[Check Periodo Ref.]]="Dentro",DATOS_[C.Extra.01]))))),
0)</f>
        <v>0</v>
      </c>
      <c r="AM64" s="95">
        <f t="array" ref="AM64">IFERROR(
AVERAGE((IF(DATOS_[[Sexo]:[Sexo]]=$B64,IF(DATOS_[[AGRUP. CLAS. PROF.]:[AGRUP. CLAS. PROF.]]=$B63,IF(DATOS_[[Check Periodo Ref.]:[Check Periodo Ref.]]="Dentro",DATOS_[C.Extra.02]))))),
0)</f>
        <v>0</v>
      </c>
      <c r="AN64" s="95">
        <f t="array" ref="AN64">IFERROR(
AVERAGE((IF(DATOS_[[Sexo]:[Sexo]]=$B64,IF(DATOS_[[AGRUP. CLAS. PROF.]:[AGRUP. CLAS. PROF.]]=$B63,IF(DATOS_[[Check Periodo Ref.]:[Check Periodo Ref.]]="Dentro",DATOS_[C.Extra.03]))))),
0)</f>
        <v>0</v>
      </c>
      <c r="AO64" s="95">
        <f t="array" ref="AO64">IFERROR(
AVERAGE((IF(DATOS_[[Sexo]:[Sexo]]=$B64,IF(DATOS_[[AGRUP. CLAS. PROF.]:[AGRUP. CLAS. PROF.]]=$B63,IF(DATOS_[[Check Periodo Ref.]:[Check Periodo Ref.]]="Dentro",DATOS_[C.Extra.04]))))),
0)</f>
        <v>0</v>
      </c>
      <c r="AP64" s="95">
        <f t="array" ref="AP64">IFERROR(
AVERAGE((IF(DATOS_[[Sexo]:[Sexo]]=$B64,IF(DATOS_[[AGRUP. CLAS. PROF.]:[AGRUP. CLAS. PROF.]]=$B63,IF(DATOS_[[Check Periodo Ref.]:[Check Periodo Ref.]]="Dentro",DATOS_[C.Extra.05]))))),
0)</f>
        <v>0</v>
      </c>
      <c r="AQ64" s="97">
        <f t="array" ref="AQ64">IFERROR(
AVERAGE(IF(DATOS_[Sexo]=$B64,IF(DATOS_[AGRUP. CLAS. PROF.]=$B63,IF(DATOS_[Check Periodo Ref.]="Dentro",DATOS_[Tot Extrasalarial Ef],FALSE)))),
0)</f>
        <v>0</v>
      </c>
      <c r="AR64" s="98">
        <f t="array" ref="AR64">IFERROR(
AVERAGE(IF(DATOS_[Sexo]=$B64,IF(DATOS_[AGRUP. CLAS. PROF.]=$B63,IF(DATOS_[Check Periodo Ref.]="Dentro",DATOS_[TOTAL Retrib Ef],FALSE)))),
0)</f>
        <v>0</v>
      </c>
    </row>
    <row r="65" spans="1:44" hidden="1" x14ac:dyDescent="0.3">
      <c r="A65" s="309" t="str">
        <f t="shared" ref="A65" si="70">+A64</f>
        <v>[ocultar]</v>
      </c>
      <c r="B65" s="46" t="s">
        <v>163</v>
      </c>
      <c r="C65" s="45">
        <f t="array" ref="C65">SUM(IF($B65=DATOS_[Sexo],
IF($B63=DATOS_[AGRUP. CLAS. PROF.],
IF("Dentro"=DATOS_[Check Periodo Ref.],
1/(COUNTIFS(DATOS_[Sexo],$B65,DATOS_[AGRUP. CLAS. PROF.],$B63,DATOS_[Check Periodo Ref.],"Dentro",DATOS_[id],DATOS_[id]))))))</f>
        <v>0</v>
      </c>
      <c r="D65" s="47">
        <f>COUNTIFS(DATOS_[AGRUP. CLAS. PROF.],$B63,DATOS_[Sexo],$B65,DATOS_[Check Periodo Ref.],"Dentro")</f>
        <v>0</v>
      </c>
      <c r="E65" s="92">
        <f t="array" ref="E65">IFERROR(
AVERAGE(IF(DATOS_[Sexo]=$B65,IF(DATOS_[AGRUP. CLAS. PROF.]=$B63,IF(DATOS_[Check Periodo Ref.]="Dentro",DATOS_[SALARIO BASE Ef],FALSE)))),
0)</f>
        <v>0</v>
      </c>
      <c r="F65" s="93">
        <f t="array" ref="F65">IFERROR(
AVERAGE((IF(DATOS_[[Sexo]:[Sexo]]=$B65,IF(DATOS_[[AGRUP. CLAS. PROF.]:[AGRUP. CLAS. PROF.]]=$B63,IF(DATOS_[[Check Periodo Ref.]:[Check Periodo Ref.]]="Dentro",DATOS_[Conc.Sal.01]))))),
0)</f>
        <v>0</v>
      </c>
      <c r="G65" s="93">
        <f t="array" ref="G65">IFERROR(
AVERAGE((IF(DATOS_[[Sexo]:[Sexo]]=$B65,IF(DATOS_[[AGRUP. CLAS. PROF.]:[AGRUP. CLAS. PROF.]]=$B63,IF(DATOS_[[Check Periodo Ref.]:[Check Periodo Ref.]]="Dentro",DATOS_[Conc.Sal.02]))))),
0)</f>
        <v>0</v>
      </c>
      <c r="H65" s="93">
        <f t="array" ref="H65">IFERROR(
AVERAGE((IF(DATOS_[[Sexo]:[Sexo]]=$B65,IF(DATOS_[[AGRUP. CLAS. PROF.]:[AGRUP. CLAS. PROF.]]=$B63,IF(DATOS_[[Check Periodo Ref.]:[Check Periodo Ref.]]="Dentro",DATOS_[Conc.Sal.03]))))),
0)</f>
        <v>0</v>
      </c>
      <c r="I65" s="93">
        <f t="array" ref="I65">IFERROR(
AVERAGE((IF(DATOS_[[Sexo]:[Sexo]]=$B65,IF(DATOS_[[AGRUP. CLAS. PROF.]:[AGRUP. CLAS. PROF.]]=$B63,IF(DATOS_[[Check Periodo Ref.]:[Check Periodo Ref.]]="Dentro",DATOS_[Conc.Sal.04]))))),
0)</f>
        <v>0</v>
      </c>
      <c r="J65" s="93">
        <f t="array" ref="J65">IFERROR(
AVERAGE((IF(DATOS_[[Sexo]:[Sexo]]=$B65,IF(DATOS_[[AGRUP. CLAS. PROF.]:[AGRUP. CLAS. PROF.]]=$B63,IF(DATOS_[[Check Periodo Ref.]:[Check Periodo Ref.]]="Dentro",DATOS_[Conc.Sal.05]))))),
0)</f>
        <v>0</v>
      </c>
      <c r="K65" s="93">
        <f t="array" ref="K65">IFERROR(
AVERAGE((IF(DATOS_[[Sexo]:[Sexo]]=$B65,IF(DATOS_[[AGRUP. CLAS. PROF.]:[AGRUP. CLAS. PROF.]]=$B63,IF(DATOS_[[Check Periodo Ref.]:[Check Periodo Ref.]]="Dentro",DATOS_[Conc.Sal.06]))))),
0)</f>
        <v>0</v>
      </c>
      <c r="L65" s="93">
        <f t="array" ref="L65">IFERROR(
AVERAGE((IF(DATOS_[[Sexo]:[Sexo]]=$B65,IF(DATOS_[[AGRUP. CLAS. PROF.]:[AGRUP. CLAS. PROF.]]=$B63,IF(DATOS_[[Check Periodo Ref.]:[Check Periodo Ref.]]="Dentro",DATOS_[Conc.Sal.07]))))),
0)</f>
        <v>0</v>
      </c>
      <c r="M65" s="93">
        <f t="array" ref="M65">IFERROR(
AVERAGE((IF(DATOS_[[Sexo]:[Sexo]]=$B65,IF(DATOS_[[AGRUP. CLAS. PROF.]:[AGRUP. CLAS. PROF.]]=$B63,IF(DATOS_[[Check Periodo Ref.]:[Check Periodo Ref.]]="Dentro",DATOS_[Conc.Sal.08]))))),
0)</f>
        <v>0</v>
      </c>
      <c r="N65" s="93">
        <f t="array" ref="N65">IFERROR(
AVERAGE((IF(DATOS_[[Sexo]:[Sexo]]=$B65,IF(DATOS_[[AGRUP. CLAS. PROF.]:[AGRUP. CLAS. PROF.]]=$B63,IF(DATOS_[[Check Periodo Ref.]:[Check Periodo Ref.]]="Dentro",DATOS_[Conc.Sal.09]))))),
0)</f>
        <v>0</v>
      </c>
      <c r="O65" s="93">
        <f t="array" ref="O65">IFERROR(
AVERAGE((IF(DATOS_[[Sexo]:[Sexo]]=$B65,IF(DATOS_[[AGRUP. CLAS. PROF.]:[AGRUP. CLAS. PROF.]]=$B63,IF(DATOS_[[Check Periodo Ref.]:[Check Periodo Ref.]]="Dentro",DATOS_[Conc.Sal.10]))))),
0)</f>
        <v>0</v>
      </c>
      <c r="P65" s="93">
        <f t="array" ref="P65">IFERROR(
AVERAGE((IF(DATOS_[[Sexo]:[Sexo]]=$B65,IF(DATOS_[[AGRUP. CLAS. PROF.]:[AGRUP. CLAS. PROF.]]=$B63,IF(DATOS_[[Check Periodo Ref.]:[Check Periodo Ref.]]="Dentro",DATOS_[Conc.Sal.11]))))),
0)</f>
        <v>0</v>
      </c>
      <c r="Q65" s="93">
        <f t="array" ref="Q65">IFERROR(
AVERAGE((IF(DATOS_[[Sexo]:[Sexo]]=$B65,IF(DATOS_[[AGRUP. CLAS. PROF.]:[AGRUP. CLAS. PROF.]]=$B63,IF(DATOS_[[Check Periodo Ref.]:[Check Periodo Ref.]]="Dentro",DATOS_[Conc.Sal.12]))))),
0)</f>
        <v>0</v>
      </c>
      <c r="R65" s="93">
        <f t="array" ref="R65">IFERROR(
AVERAGE((IF(DATOS_[[Sexo]:[Sexo]]=$B65,IF(DATOS_[[AGRUP. CLAS. PROF.]:[AGRUP. CLAS. PROF.]]=$B63,IF(DATOS_[[Check Periodo Ref.]:[Check Periodo Ref.]]="Dentro",DATOS_[Conc.Sal.13]))))),
0)</f>
        <v>0</v>
      </c>
      <c r="S65" s="93">
        <f t="array" ref="S65">IFERROR(
AVERAGE((IF(DATOS_[[Sexo]:[Sexo]]=$B65,IF(DATOS_[[AGRUP. CLAS. PROF.]:[AGRUP. CLAS. PROF.]]=$B63,IF(DATOS_[[Check Periodo Ref.]:[Check Periodo Ref.]]="Dentro",DATOS_[Conc.Sal.14]))))),
0)</f>
        <v>0</v>
      </c>
      <c r="T65" s="93">
        <f t="array" ref="T65">IFERROR(
AVERAGE((IF(DATOS_[[Sexo]:[Sexo]]=$B65,IF(DATOS_[[AGRUP. CLAS. PROF.]:[AGRUP. CLAS. PROF.]]=$B63,IF(DATOS_[[Check Periodo Ref.]:[Check Periodo Ref.]]="Dentro",DATOS_[Conc.Sal.15]))))),
0)</f>
        <v>0</v>
      </c>
      <c r="U65" s="93">
        <f t="array" ref="U65">IFERROR(
AVERAGE((IF(DATOS_[[Sexo]:[Sexo]]=$B65,IF(DATOS_[[AGRUP. CLAS. PROF.]:[AGRUP. CLAS. PROF.]]=$B63,IF(DATOS_[[Check Periodo Ref.]:[Check Periodo Ref.]]="Dentro",DATOS_[Conc.Sal.16]))))),
0)</f>
        <v>0</v>
      </c>
      <c r="V65" s="93">
        <f t="array" ref="V65">IFERROR(
AVERAGE((IF(DATOS_[[Sexo]:[Sexo]]=$B65,IF(DATOS_[[AGRUP. CLAS. PROF.]:[AGRUP. CLAS. PROF.]]=$B63,IF(DATOS_[[Check Periodo Ref.]:[Check Periodo Ref.]]="Dentro",DATOS_[Conc.Sal.17]))))),
0)</f>
        <v>0</v>
      </c>
      <c r="W65" s="93">
        <f t="array" ref="W65">IFERROR(
AVERAGE((IF(DATOS_[[Sexo]:[Sexo]]=$B65,IF(DATOS_[[AGRUP. CLAS. PROF.]:[AGRUP. CLAS. PROF.]]=$B63,IF(DATOS_[[Check Periodo Ref.]:[Check Periodo Ref.]]="Dentro",DATOS_[Conc.Sal.18]))))),
0)</f>
        <v>0</v>
      </c>
      <c r="X65" s="93">
        <f t="array" ref="X65">IFERROR(
AVERAGE((IF(DATOS_[[Sexo]:[Sexo]]=$B65,IF(DATOS_[[AGRUP. CLAS. PROF.]:[AGRUP. CLAS. PROF.]]=$B63,IF(DATOS_[[Check Periodo Ref.]:[Check Periodo Ref.]]="Dentro",DATOS_[Conc.Sal.19]))))),
0)</f>
        <v>0</v>
      </c>
      <c r="Y65" s="93">
        <f t="array" ref="Y65">IFERROR(
AVERAGE((IF(DATOS_[[Sexo]:[Sexo]]=$B65,IF(DATOS_[[AGRUP. CLAS. PROF.]:[AGRUP. CLAS. PROF.]]=$B63,IF(DATOS_[[Check Periodo Ref.]:[Check Periodo Ref.]]="Dentro",DATOS_[Conc.Sal.20]))))),
0)</f>
        <v>0</v>
      </c>
      <c r="Z65" s="93">
        <f t="array" ref="Z65">IFERROR(
AVERAGE((IF(DATOS_[[Sexo]:[Sexo]]=$B65,IF(DATOS_[[AGRUP. CLAS. PROF.]:[AGRUP. CLAS. PROF.]]=$B63,IF(DATOS_[[Check Periodo Ref.]:[Check Periodo Ref.]]="Dentro",DATOS_[Conc.Sal.21]))))),
0)</f>
        <v>0</v>
      </c>
      <c r="AA65" s="93">
        <f t="array" ref="AA65">IFERROR(
AVERAGE((IF(DATOS_[[Sexo]:[Sexo]]=$B65,IF(DATOS_[[AGRUP. CLAS. PROF.]:[AGRUP. CLAS. PROF.]]=$B63,IF(DATOS_[[Check Periodo Ref.]:[Check Periodo Ref.]]="Dentro",DATOS_[Conc.Sal.22]))))),
0)</f>
        <v>0</v>
      </c>
      <c r="AB65" s="93">
        <f t="array" ref="AB65">IFERROR(
AVERAGE((IF(DATOS_[[Sexo]:[Sexo]]=$B65,IF(DATOS_[[AGRUP. CLAS. PROF.]:[AGRUP. CLAS. PROF.]]=$B63,IF(DATOS_[[Check Periodo Ref.]:[Check Periodo Ref.]]="Dentro",DATOS_[Conc.Sal.23]))))),
0)</f>
        <v>0</v>
      </c>
      <c r="AC65" s="93">
        <f t="array" ref="AC65">IFERROR(
AVERAGE((IF(DATOS_[[Sexo]:[Sexo]]=$B65,IF(DATOS_[[AGRUP. CLAS. PROF.]:[AGRUP. CLAS. PROF.]]=$B63,IF(DATOS_[[Check Periodo Ref.]:[Check Periodo Ref.]]="Dentro",DATOS_[Conc.Sal.24]))))),
0)</f>
        <v>0</v>
      </c>
      <c r="AD65" s="93">
        <f t="array" ref="AD65">IFERROR(
AVERAGE((IF(DATOS_[[Sexo]:[Sexo]]=$B65,IF(DATOS_[[AGRUP. CLAS. PROF.]:[AGRUP. CLAS. PROF.]]=$B63,IF(DATOS_[[Check Periodo Ref.]:[Check Periodo Ref.]]="Dentro",DATOS_[Conc.Sal.25]))))),
0)</f>
        <v>0</v>
      </c>
      <c r="AE65" s="93">
        <f t="array" ref="AE65">IFERROR(
AVERAGE((IF(DATOS_[[Sexo]:[Sexo]]=$B65,IF(DATOS_[[AGRUP. CLAS. PROF.]:[AGRUP. CLAS. PROF.]]=$B63,IF(DATOS_[[Check Periodo Ref.]:[Check Periodo Ref.]]="Dentro",DATOS_[Conc.Sal.26]))))),
0)</f>
        <v>0</v>
      </c>
      <c r="AF65" s="93">
        <f t="array" ref="AF65">IFERROR(
AVERAGE((IF(DATOS_[[Sexo]:[Sexo]]=$B65,IF(DATOS_[[AGRUP. CLAS. PROF.]:[AGRUP. CLAS. PROF.]]=$B63,IF(DATOS_[[Check Periodo Ref.]:[Check Periodo Ref.]]="Dentro",DATOS_[Conc.Sal.27]))))),
0)</f>
        <v>0</v>
      </c>
      <c r="AG65" s="93">
        <f t="array" ref="AG65">IFERROR(
AVERAGE((IF(DATOS_[[Sexo]:[Sexo]]=$B65,IF(DATOS_[[AGRUP. CLAS. PROF.]:[AGRUP. CLAS. PROF.]]=$B63,IF(DATOS_[[Check Periodo Ref.]:[Check Periodo Ref.]]="Dentro",DATOS_[Conc.Sal.28]))))),
0)</f>
        <v>0</v>
      </c>
      <c r="AH65" s="93">
        <f t="array" ref="AH65">IFERROR(
AVERAGE((IF(DATOS_[[Sexo]:[Sexo]]=$B65,IF(DATOS_[[AGRUP. CLAS. PROF.]:[AGRUP. CLAS. PROF.]]=$B63,IF(DATOS_[[Check Periodo Ref.]:[Check Periodo Ref.]]="Dentro",DATOS_[Conc.Sal.29]))))),
0)</f>
        <v>0</v>
      </c>
      <c r="AI65" s="93">
        <f t="array" ref="AI65">IFERROR(
AVERAGE((IF(DATOS_[[Sexo]:[Sexo]]=$B65,IF(DATOS_[[AGRUP. CLAS. PROF.]:[AGRUP. CLAS. PROF.]]=$B63,IF(DATOS_[[Check Periodo Ref.]:[Check Periodo Ref.]]="Dentro",DATOS_[Conc.Sal.30]))))),
0)</f>
        <v>0</v>
      </c>
      <c r="AJ65" s="94">
        <f t="array" ref="AJ65">IFERROR(
AVERAGE(IF(DATOS_[Sexo]=$B65,IF(DATOS_[AGRUP. CLAS. PROF.]=$B63,IF(DATOS_[Check Periodo Ref.]="Dentro",DATOS_[Tot COMPL.SAL Ef],FALSE)))),
0)</f>
        <v>0</v>
      </c>
      <c r="AK65" s="96">
        <f t="array" ref="AK65">IFERROR(
AVERAGE(IF(DATOS_[Sexo]=$B65,IF(DATOS_[AGRUP. CLAS. PROF.]=$B63,IF(DATOS_[Check Periodo Ref.]="Dentro",DATOS_[TOTAL SALARIO Ef],FALSE)))),
0)</f>
        <v>0</v>
      </c>
      <c r="AL65" s="95">
        <f t="array" ref="AL65">IFERROR(
AVERAGE((IF(DATOS_[[Sexo]:[Sexo]]=$B65,IF(DATOS_[[AGRUP. CLAS. PROF.]:[AGRUP. CLAS. PROF.]]=$B63,IF(DATOS_[[Check Periodo Ref.]:[Check Periodo Ref.]]="Dentro",DATOS_[C.Extra.01]))))),
0)</f>
        <v>0</v>
      </c>
      <c r="AM65" s="95">
        <f t="array" ref="AM65">IFERROR(
AVERAGE((IF(DATOS_[[Sexo]:[Sexo]]=$B65,IF(DATOS_[[AGRUP. CLAS. PROF.]:[AGRUP. CLAS. PROF.]]=$B63,IF(DATOS_[[Check Periodo Ref.]:[Check Periodo Ref.]]="Dentro",DATOS_[C.Extra.02]))))),
0)</f>
        <v>0</v>
      </c>
      <c r="AN65" s="95">
        <f t="array" ref="AN65">IFERROR(
AVERAGE((IF(DATOS_[[Sexo]:[Sexo]]=$B65,IF(DATOS_[[AGRUP. CLAS. PROF.]:[AGRUP. CLAS. PROF.]]=$B63,IF(DATOS_[[Check Periodo Ref.]:[Check Periodo Ref.]]="Dentro",DATOS_[C.Extra.03]))))),
0)</f>
        <v>0</v>
      </c>
      <c r="AO65" s="95">
        <f t="array" ref="AO65">IFERROR(
AVERAGE((IF(DATOS_[[Sexo]:[Sexo]]=$B65,IF(DATOS_[[AGRUP. CLAS. PROF.]:[AGRUP. CLAS. PROF.]]=$B63,IF(DATOS_[[Check Periodo Ref.]:[Check Periodo Ref.]]="Dentro",DATOS_[C.Extra.04]))))),
0)</f>
        <v>0</v>
      </c>
      <c r="AP65" s="95">
        <f t="array" ref="AP65">IFERROR(
AVERAGE((IF(DATOS_[[Sexo]:[Sexo]]=$B65,IF(DATOS_[[AGRUP. CLAS. PROF.]:[AGRUP. CLAS. PROF.]]=$B63,IF(DATOS_[[Check Periodo Ref.]:[Check Periodo Ref.]]="Dentro",DATOS_[C.Extra.05]))))),
0)</f>
        <v>0</v>
      </c>
      <c r="AQ65" s="97">
        <f t="array" ref="AQ65">IFERROR(
AVERAGE(IF(DATOS_[Sexo]=$B65,IF(DATOS_[AGRUP. CLAS. PROF.]=$B63,IF(DATOS_[Check Periodo Ref.]="Dentro",DATOS_[Tot Extrasalarial Ef],FALSE)))),
0)</f>
        <v>0</v>
      </c>
      <c r="AR65" s="98">
        <f t="array" ref="AR65">IFERROR(
AVERAGE(IF(DATOS_[Sexo]=$B65,IF(DATOS_[AGRUP. CLAS. PROF.]=$B63,IF(DATOS_[Check Periodo Ref.]="Dentro",DATOS_[TOTAL Retrib Ef],FALSE)))),
0)</f>
        <v>0</v>
      </c>
    </row>
    <row r="66" spans="1:44" ht="17.25" hidden="1" thickBot="1" x14ac:dyDescent="0.35">
      <c r="A66" s="309" t="str">
        <f t="shared" ref="A66" si="71">+A67</f>
        <v>[ocultar]</v>
      </c>
      <c r="B66" s="51" t="s">
        <v>234</v>
      </c>
      <c r="C66" s="91"/>
      <c r="D66" s="52"/>
      <c r="E66" s="139" t="str">
        <f t="shared" ref="E66:AR66" si="72">IFERROR((E67-E68)/E67,"")</f>
        <v/>
      </c>
      <c r="F66" s="310" t="str">
        <f t="shared" si="72"/>
        <v/>
      </c>
      <c r="G66" s="180" t="str">
        <f t="shared" si="72"/>
        <v/>
      </c>
      <c r="H66" s="180" t="str">
        <f t="shared" si="72"/>
        <v/>
      </c>
      <c r="I66" s="180" t="str">
        <f t="shared" si="72"/>
        <v/>
      </c>
      <c r="J66" s="181" t="str">
        <f t="shared" si="72"/>
        <v/>
      </c>
      <c r="K66" s="182" t="str">
        <f t="shared" si="72"/>
        <v/>
      </c>
      <c r="L66" s="182" t="str">
        <f t="shared" si="72"/>
        <v/>
      </c>
      <c r="M66" s="182" t="str">
        <f t="shared" si="72"/>
        <v/>
      </c>
      <c r="N66" s="182" t="str">
        <f t="shared" si="72"/>
        <v/>
      </c>
      <c r="O66" s="182" t="str">
        <f t="shared" si="72"/>
        <v/>
      </c>
      <c r="P66" s="182" t="str">
        <f t="shared" si="72"/>
        <v/>
      </c>
      <c r="Q66" s="182" t="str">
        <f t="shared" si="72"/>
        <v/>
      </c>
      <c r="R66" s="182" t="str">
        <f t="shared" si="72"/>
        <v/>
      </c>
      <c r="S66" s="182" t="str">
        <f t="shared" si="72"/>
        <v/>
      </c>
      <c r="T66" s="182" t="str">
        <f t="shared" si="72"/>
        <v/>
      </c>
      <c r="U66" s="182" t="str">
        <f t="shared" si="72"/>
        <v/>
      </c>
      <c r="V66" s="181" t="str">
        <f t="shared" si="72"/>
        <v/>
      </c>
      <c r="W66" s="181" t="str">
        <f t="shared" si="72"/>
        <v/>
      </c>
      <c r="X66" s="181" t="str">
        <f t="shared" si="72"/>
        <v/>
      </c>
      <c r="Y66" s="181" t="str">
        <f t="shared" si="72"/>
        <v/>
      </c>
      <c r="Z66" s="181" t="str">
        <f t="shared" si="72"/>
        <v/>
      </c>
      <c r="AA66" s="181" t="str">
        <f t="shared" si="72"/>
        <v/>
      </c>
      <c r="AB66" s="181" t="str">
        <f t="shared" si="72"/>
        <v/>
      </c>
      <c r="AC66" s="181" t="str">
        <f t="shared" si="72"/>
        <v/>
      </c>
      <c r="AD66" s="181" t="str">
        <f t="shared" si="72"/>
        <v/>
      </c>
      <c r="AE66" s="181" t="str">
        <f t="shared" si="72"/>
        <v/>
      </c>
      <c r="AF66" s="181" t="str">
        <f t="shared" si="72"/>
        <v/>
      </c>
      <c r="AG66" s="181" t="str">
        <f t="shared" si="72"/>
        <v/>
      </c>
      <c r="AH66" s="181" t="str">
        <f t="shared" si="72"/>
        <v/>
      </c>
      <c r="AI66" s="181" t="str">
        <f t="shared" si="72"/>
        <v/>
      </c>
      <c r="AJ66" s="140" t="str">
        <f t="shared" si="72"/>
        <v/>
      </c>
      <c r="AK66" s="143" t="str">
        <f t="shared" si="72"/>
        <v/>
      </c>
      <c r="AL66" s="184" t="str">
        <f t="shared" si="72"/>
        <v/>
      </c>
      <c r="AM66" s="184" t="str">
        <f t="shared" si="72"/>
        <v/>
      </c>
      <c r="AN66" s="184" t="str">
        <f t="shared" si="72"/>
        <v/>
      </c>
      <c r="AO66" s="184" t="str">
        <f t="shared" si="72"/>
        <v/>
      </c>
      <c r="AP66" s="184" t="str">
        <f t="shared" si="72"/>
        <v/>
      </c>
      <c r="AQ66" s="141" t="str">
        <f t="shared" si="72"/>
        <v/>
      </c>
      <c r="AR66" s="142" t="str">
        <f t="shared" si="72"/>
        <v/>
      </c>
    </row>
    <row r="67" spans="1:44" hidden="1" x14ac:dyDescent="0.3">
      <c r="A67" s="309" t="str">
        <f t="shared" ref="A67" si="73">+IF(C67+C68=0,"[ocultar]","")</f>
        <v>[ocultar]</v>
      </c>
      <c r="B67" s="46" t="s">
        <v>162</v>
      </c>
      <c r="C67" s="45">
        <f t="array" ref="C67">SUM(IF($B67=DATOS_[Sexo],
IF($B66=DATOS_[AGRUP. CLAS. PROF.],
IF("Dentro"=DATOS_[Check Periodo Ref.],
1/(COUNTIFS(DATOS_[Sexo],$B67,DATOS_[AGRUP. CLAS. PROF.],$B66,DATOS_[Check Periodo Ref.],"Dentro",DATOS_[id],DATOS_[id]))))))</f>
        <v>0</v>
      </c>
      <c r="D67" s="47">
        <f>COUNTIFS(DATOS_[AGRUP. CLAS. PROF.],$B66,DATOS_[Sexo],$B67,DATOS_[Check Periodo Ref.],"Dentro")</f>
        <v>0</v>
      </c>
      <c r="E67" s="92">
        <f t="array" ref="E67">IFERROR(
AVERAGE(IF(DATOS_[Sexo]=$B67,IF(DATOS_[AGRUP. CLAS. PROF.]=$B66,IF(DATOS_[Check Periodo Ref.]="Dentro",DATOS_[SALARIO BASE Ef],FALSE)))),
0)</f>
        <v>0</v>
      </c>
      <c r="F67" s="93">
        <f t="array" ref="F67">IFERROR(
AVERAGE((IF(DATOS_[[Sexo]:[Sexo]]=$B67,IF(DATOS_[[AGRUP. CLAS. PROF.]:[AGRUP. CLAS. PROF.]]=$B66,IF(DATOS_[[Check Periodo Ref.]:[Check Periodo Ref.]]="Dentro",DATOS_[Conc.Sal.01]))))),
0)</f>
        <v>0</v>
      </c>
      <c r="G67" s="93">
        <f t="array" ref="G67">IFERROR(
AVERAGE((IF(DATOS_[[Sexo]:[Sexo]]=$B67,IF(DATOS_[[AGRUP. CLAS. PROF.]:[AGRUP. CLAS. PROF.]]=$B66,IF(DATOS_[[Check Periodo Ref.]:[Check Periodo Ref.]]="Dentro",DATOS_[Conc.Sal.02]))))),
0)</f>
        <v>0</v>
      </c>
      <c r="H67" s="93">
        <f t="array" ref="H67">IFERROR(
AVERAGE((IF(DATOS_[[Sexo]:[Sexo]]=$B67,IF(DATOS_[[AGRUP. CLAS. PROF.]:[AGRUP. CLAS. PROF.]]=$B66,IF(DATOS_[[Check Periodo Ref.]:[Check Periodo Ref.]]="Dentro",DATOS_[Conc.Sal.03]))))),
0)</f>
        <v>0</v>
      </c>
      <c r="I67" s="93">
        <f t="array" ref="I67">IFERROR(
AVERAGE((IF(DATOS_[[Sexo]:[Sexo]]=$B67,IF(DATOS_[[AGRUP. CLAS. PROF.]:[AGRUP. CLAS. PROF.]]=$B66,IF(DATOS_[[Check Periodo Ref.]:[Check Periodo Ref.]]="Dentro",DATOS_[Conc.Sal.04]))))),
0)</f>
        <v>0</v>
      </c>
      <c r="J67" s="93">
        <f t="array" ref="J67">IFERROR(
AVERAGE((IF(DATOS_[[Sexo]:[Sexo]]=$B67,IF(DATOS_[[AGRUP. CLAS. PROF.]:[AGRUP. CLAS. PROF.]]=$B66,IF(DATOS_[[Check Periodo Ref.]:[Check Periodo Ref.]]="Dentro",DATOS_[Conc.Sal.05]))))),
0)</f>
        <v>0</v>
      </c>
      <c r="K67" s="93">
        <f t="array" ref="K67">IFERROR(
AVERAGE((IF(DATOS_[[Sexo]:[Sexo]]=$B67,IF(DATOS_[[AGRUP. CLAS. PROF.]:[AGRUP. CLAS. PROF.]]=$B66,IF(DATOS_[[Check Periodo Ref.]:[Check Periodo Ref.]]="Dentro",DATOS_[Conc.Sal.06]))))),
0)</f>
        <v>0</v>
      </c>
      <c r="L67" s="93">
        <f t="array" ref="L67">IFERROR(
AVERAGE((IF(DATOS_[[Sexo]:[Sexo]]=$B67,IF(DATOS_[[AGRUP. CLAS. PROF.]:[AGRUP. CLAS. PROF.]]=$B66,IF(DATOS_[[Check Periodo Ref.]:[Check Periodo Ref.]]="Dentro",DATOS_[Conc.Sal.07]))))),
0)</f>
        <v>0</v>
      </c>
      <c r="M67" s="93">
        <f t="array" ref="M67">IFERROR(
AVERAGE((IF(DATOS_[[Sexo]:[Sexo]]=$B67,IF(DATOS_[[AGRUP. CLAS. PROF.]:[AGRUP. CLAS. PROF.]]=$B66,IF(DATOS_[[Check Periodo Ref.]:[Check Periodo Ref.]]="Dentro",DATOS_[Conc.Sal.08]))))),
0)</f>
        <v>0</v>
      </c>
      <c r="N67" s="93">
        <f t="array" ref="N67">IFERROR(
AVERAGE((IF(DATOS_[[Sexo]:[Sexo]]=$B67,IF(DATOS_[[AGRUP. CLAS. PROF.]:[AGRUP. CLAS. PROF.]]=$B66,IF(DATOS_[[Check Periodo Ref.]:[Check Periodo Ref.]]="Dentro",DATOS_[Conc.Sal.09]))))),
0)</f>
        <v>0</v>
      </c>
      <c r="O67" s="93">
        <f t="array" ref="O67">IFERROR(
AVERAGE((IF(DATOS_[[Sexo]:[Sexo]]=$B67,IF(DATOS_[[AGRUP. CLAS. PROF.]:[AGRUP. CLAS. PROF.]]=$B66,IF(DATOS_[[Check Periodo Ref.]:[Check Periodo Ref.]]="Dentro",DATOS_[Conc.Sal.10]))))),
0)</f>
        <v>0</v>
      </c>
      <c r="P67" s="93">
        <f t="array" ref="P67">IFERROR(
AVERAGE((IF(DATOS_[[Sexo]:[Sexo]]=$B67,IF(DATOS_[[AGRUP. CLAS. PROF.]:[AGRUP. CLAS. PROF.]]=$B66,IF(DATOS_[[Check Periodo Ref.]:[Check Periodo Ref.]]="Dentro",DATOS_[Conc.Sal.11]))))),
0)</f>
        <v>0</v>
      </c>
      <c r="Q67" s="93">
        <f t="array" ref="Q67">IFERROR(
AVERAGE((IF(DATOS_[[Sexo]:[Sexo]]=$B67,IF(DATOS_[[AGRUP. CLAS. PROF.]:[AGRUP. CLAS. PROF.]]=$B66,IF(DATOS_[[Check Periodo Ref.]:[Check Periodo Ref.]]="Dentro",DATOS_[Conc.Sal.12]))))),
0)</f>
        <v>0</v>
      </c>
      <c r="R67" s="93">
        <f t="array" ref="R67">IFERROR(
AVERAGE((IF(DATOS_[[Sexo]:[Sexo]]=$B67,IF(DATOS_[[AGRUP. CLAS. PROF.]:[AGRUP. CLAS. PROF.]]=$B66,IF(DATOS_[[Check Periodo Ref.]:[Check Periodo Ref.]]="Dentro",DATOS_[Conc.Sal.13]))))),
0)</f>
        <v>0</v>
      </c>
      <c r="S67" s="93">
        <f t="array" ref="S67">IFERROR(
AVERAGE((IF(DATOS_[[Sexo]:[Sexo]]=$B67,IF(DATOS_[[AGRUP. CLAS. PROF.]:[AGRUP. CLAS. PROF.]]=$B66,IF(DATOS_[[Check Periodo Ref.]:[Check Periodo Ref.]]="Dentro",DATOS_[Conc.Sal.14]))))),
0)</f>
        <v>0</v>
      </c>
      <c r="T67" s="93">
        <f t="array" ref="T67">IFERROR(
AVERAGE((IF(DATOS_[[Sexo]:[Sexo]]=$B67,IF(DATOS_[[AGRUP. CLAS. PROF.]:[AGRUP. CLAS. PROF.]]=$B66,IF(DATOS_[[Check Periodo Ref.]:[Check Periodo Ref.]]="Dentro",DATOS_[Conc.Sal.15]))))),
0)</f>
        <v>0</v>
      </c>
      <c r="U67" s="93">
        <f t="array" ref="U67">IFERROR(
AVERAGE((IF(DATOS_[[Sexo]:[Sexo]]=$B67,IF(DATOS_[[AGRUP. CLAS. PROF.]:[AGRUP. CLAS. PROF.]]=$B66,IF(DATOS_[[Check Periodo Ref.]:[Check Periodo Ref.]]="Dentro",DATOS_[Conc.Sal.16]))))),
0)</f>
        <v>0</v>
      </c>
      <c r="V67" s="93">
        <f t="array" ref="V67">IFERROR(
AVERAGE((IF(DATOS_[[Sexo]:[Sexo]]=$B67,IF(DATOS_[[AGRUP. CLAS. PROF.]:[AGRUP. CLAS. PROF.]]=$B66,IF(DATOS_[[Check Periodo Ref.]:[Check Periodo Ref.]]="Dentro",DATOS_[Conc.Sal.17]))))),
0)</f>
        <v>0</v>
      </c>
      <c r="W67" s="93">
        <f t="array" ref="W67">IFERROR(
AVERAGE((IF(DATOS_[[Sexo]:[Sexo]]=$B67,IF(DATOS_[[AGRUP. CLAS. PROF.]:[AGRUP. CLAS. PROF.]]=$B66,IF(DATOS_[[Check Periodo Ref.]:[Check Periodo Ref.]]="Dentro",DATOS_[Conc.Sal.18]))))),
0)</f>
        <v>0</v>
      </c>
      <c r="X67" s="93">
        <f t="array" ref="X67">IFERROR(
AVERAGE((IF(DATOS_[[Sexo]:[Sexo]]=$B67,IF(DATOS_[[AGRUP. CLAS. PROF.]:[AGRUP. CLAS. PROF.]]=$B66,IF(DATOS_[[Check Periodo Ref.]:[Check Periodo Ref.]]="Dentro",DATOS_[Conc.Sal.19]))))),
0)</f>
        <v>0</v>
      </c>
      <c r="Y67" s="93">
        <f t="array" ref="Y67">IFERROR(
AVERAGE((IF(DATOS_[[Sexo]:[Sexo]]=$B67,IF(DATOS_[[AGRUP. CLAS. PROF.]:[AGRUP. CLAS. PROF.]]=$B66,IF(DATOS_[[Check Periodo Ref.]:[Check Periodo Ref.]]="Dentro",DATOS_[Conc.Sal.20]))))),
0)</f>
        <v>0</v>
      </c>
      <c r="Z67" s="93">
        <f t="array" ref="Z67">IFERROR(
AVERAGE((IF(DATOS_[[Sexo]:[Sexo]]=$B67,IF(DATOS_[[AGRUP. CLAS. PROF.]:[AGRUP. CLAS. PROF.]]=$B66,IF(DATOS_[[Check Periodo Ref.]:[Check Periodo Ref.]]="Dentro",DATOS_[Conc.Sal.21]))))),
0)</f>
        <v>0</v>
      </c>
      <c r="AA67" s="93">
        <f t="array" ref="AA67">IFERROR(
AVERAGE((IF(DATOS_[[Sexo]:[Sexo]]=$B67,IF(DATOS_[[AGRUP. CLAS. PROF.]:[AGRUP. CLAS. PROF.]]=$B66,IF(DATOS_[[Check Periodo Ref.]:[Check Periodo Ref.]]="Dentro",DATOS_[Conc.Sal.22]))))),
0)</f>
        <v>0</v>
      </c>
      <c r="AB67" s="93">
        <f t="array" ref="AB67">IFERROR(
AVERAGE((IF(DATOS_[[Sexo]:[Sexo]]=$B67,IF(DATOS_[[AGRUP. CLAS. PROF.]:[AGRUP. CLAS. PROF.]]=$B66,IF(DATOS_[[Check Periodo Ref.]:[Check Periodo Ref.]]="Dentro",DATOS_[Conc.Sal.23]))))),
0)</f>
        <v>0</v>
      </c>
      <c r="AC67" s="93">
        <f t="array" ref="AC67">IFERROR(
AVERAGE((IF(DATOS_[[Sexo]:[Sexo]]=$B67,IF(DATOS_[[AGRUP. CLAS. PROF.]:[AGRUP. CLAS. PROF.]]=$B66,IF(DATOS_[[Check Periodo Ref.]:[Check Periodo Ref.]]="Dentro",DATOS_[Conc.Sal.24]))))),
0)</f>
        <v>0</v>
      </c>
      <c r="AD67" s="93">
        <f t="array" ref="AD67">IFERROR(
AVERAGE((IF(DATOS_[[Sexo]:[Sexo]]=$B67,IF(DATOS_[[AGRUP. CLAS. PROF.]:[AGRUP. CLAS. PROF.]]=$B66,IF(DATOS_[[Check Periodo Ref.]:[Check Periodo Ref.]]="Dentro",DATOS_[Conc.Sal.25]))))),
0)</f>
        <v>0</v>
      </c>
      <c r="AE67" s="93">
        <f t="array" ref="AE67">IFERROR(
AVERAGE((IF(DATOS_[[Sexo]:[Sexo]]=$B67,IF(DATOS_[[AGRUP. CLAS. PROF.]:[AGRUP. CLAS. PROF.]]=$B66,IF(DATOS_[[Check Periodo Ref.]:[Check Periodo Ref.]]="Dentro",DATOS_[Conc.Sal.26]))))),
0)</f>
        <v>0</v>
      </c>
      <c r="AF67" s="93">
        <f t="array" ref="AF67">IFERROR(
AVERAGE((IF(DATOS_[[Sexo]:[Sexo]]=$B67,IF(DATOS_[[AGRUP. CLAS. PROF.]:[AGRUP. CLAS. PROF.]]=$B66,IF(DATOS_[[Check Periodo Ref.]:[Check Periodo Ref.]]="Dentro",DATOS_[Conc.Sal.27]))))),
0)</f>
        <v>0</v>
      </c>
      <c r="AG67" s="93">
        <f t="array" ref="AG67">IFERROR(
AVERAGE((IF(DATOS_[[Sexo]:[Sexo]]=$B67,IF(DATOS_[[AGRUP. CLAS. PROF.]:[AGRUP. CLAS. PROF.]]=$B66,IF(DATOS_[[Check Periodo Ref.]:[Check Periodo Ref.]]="Dentro",DATOS_[Conc.Sal.28]))))),
0)</f>
        <v>0</v>
      </c>
      <c r="AH67" s="93">
        <f t="array" ref="AH67">IFERROR(
AVERAGE((IF(DATOS_[[Sexo]:[Sexo]]=$B67,IF(DATOS_[[AGRUP. CLAS. PROF.]:[AGRUP. CLAS. PROF.]]=$B66,IF(DATOS_[[Check Periodo Ref.]:[Check Periodo Ref.]]="Dentro",DATOS_[Conc.Sal.29]))))),
0)</f>
        <v>0</v>
      </c>
      <c r="AI67" s="93">
        <f t="array" ref="AI67">IFERROR(
AVERAGE((IF(DATOS_[[Sexo]:[Sexo]]=$B67,IF(DATOS_[[AGRUP. CLAS. PROF.]:[AGRUP. CLAS. PROF.]]=$B66,IF(DATOS_[[Check Periodo Ref.]:[Check Periodo Ref.]]="Dentro",DATOS_[Conc.Sal.30]))))),
0)</f>
        <v>0</v>
      </c>
      <c r="AJ67" s="94">
        <f t="array" ref="AJ67">IFERROR(
AVERAGE(IF(DATOS_[Sexo]=$B67,IF(DATOS_[AGRUP. CLAS. PROF.]=$B66,IF(DATOS_[Check Periodo Ref.]="Dentro",DATOS_[Tot COMPL.SAL Ef],FALSE)))),
0)</f>
        <v>0</v>
      </c>
      <c r="AK67" s="96">
        <f t="array" ref="AK67">IFERROR(
AVERAGE(IF(DATOS_[Sexo]=$B67,IF(DATOS_[AGRUP. CLAS. PROF.]=$B66,IF(DATOS_[Check Periodo Ref.]="Dentro",DATOS_[TOTAL SALARIO Ef],FALSE)))),
0)</f>
        <v>0</v>
      </c>
      <c r="AL67" s="95">
        <f t="array" ref="AL67">IFERROR(
AVERAGE((IF(DATOS_[[Sexo]:[Sexo]]=$B67,IF(DATOS_[[AGRUP. CLAS. PROF.]:[AGRUP. CLAS. PROF.]]=$B66,IF(DATOS_[[Check Periodo Ref.]:[Check Periodo Ref.]]="Dentro",DATOS_[C.Extra.01]))))),
0)</f>
        <v>0</v>
      </c>
      <c r="AM67" s="95">
        <f t="array" ref="AM67">IFERROR(
AVERAGE((IF(DATOS_[[Sexo]:[Sexo]]=$B67,IF(DATOS_[[AGRUP. CLAS. PROF.]:[AGRUP. CLAS. PROF.]]=$B66,IF(DATOS_[[Check Periodo Ref.]:[Check Periodo Ref.]]="Dentro",DATOS_[C.Extra.02]))))),
0)</f>
        <v>0</v>
      </c>
      <c r="AN67" s="95">
        <f t="array" ref="AN67">IFERROR(
AVERAGE((IF(DATOS_[[Sexo]:[Sexo]]=$B67,IF(DATOS_[[AGRUP. CLAS. PROF.]:[AGRUP. CLAS. PROF.]]=$B66,IF(DATOS_[[Check Periodo Ref.]:[Check Periodo Ref.]]="Dentro",DATOS_[C.Extra.03]))))),
0)</f>
        <v>0</v>
      </c>
      <c r="AO67" s="95">
        <f t="array" ref="AO67">IFERROR(
AVERAGE((IF(DATOS_[[Sexo]:[Sexo]]=$B67,IF(DATOS_[[AGRUP. CLAS. PROF.]:[AGRUP. CLAS. PROF.]]=$B66,IF(DATOS_[[Check Periodo Ref.]:[Check Periodo Ref.]]="Dentro",DATOS_[C.Extra.04]))))),
0)</f>
        <v>0</v>
      </c>
      <c r="AP67" s="95">
        <f t="array" ref="AP67">IFERROR(
AVERAGE((IF(DATOS_[[Sexo]:[Sexo]]=$B67,IF(DATOS_[[AGRUP. CLAS. PROF.]:[AGRUP. CLAS. PROF.]]=$B66,IF(DATOS_[[Check Periodo Ref.]:[Check Periodo Ref.]]="Dentro",DATOS_[C.Extra.05]))))),
0)</f>
        <v>0</v>
      </c>
      <c r="AQ67" s="97">
        <f t="array" ref="AQ67">IFERROR(
AVERAGE(IF(DATOS_[Sexo]=$B67,IF(DATOS_[AGRUP. CLAS. PROF.]=$B66,IF(DATOS_[Check Periodo Ref.]="Dentro",DATOS_[Tot Extrasalarial Ef],FALSE)))),
0)</f>
        <v>0</v>
      </c>
      <c r="AR67" s="98">
        <f t="array" ref="AR67">IFERROR(
AVERAGE(IF(DATOS_[Sexo]=$B67,IF(DATOS_[AGRUP. CLAS. PROF.]=$B66,IF(DATOS_[Check Periodo Ref.]="Dentro",DATOS_[TOTAL Retrib Ef],FALSE)))),
0)</f>
        <v>0</v>
      </c>
    </row>
    <row r="68" spans="1:44" hidden="1" x14ac:dyDescent="0.3">
      <c r="A68" s="309" t="str">
        <f t="shared" ref="A68" si="74">+A67</f>
        <v>[ocultar]</v>
      </c>
      <c r="B68" s="46" t="s">
        <v>163</v>
      </c>
      <c r="C68" s="45">
        <f t="array" ref="C68">SUM(IF($B68=DATOS_[Sexo],
IF($B66=DATOS_[AGRUP. CLAS. PROF.],
IF("Dentro"=DATOS_[Check Periodo Ref.],
1/(COUNTIFS(DATOS_[Sexo],$B68,DATOS_[AGRUP. CLAS. PROF.],$B66,DATOS_[Check Periodo Ref.],"Dentro",DATOS_[id],DATOS_[id]))))))</f>
        <v>0</v>
      </c>
      <c r="D68" s="47">
        <f>COUNTIFS(DATOS_[AGRUP. CLAS. PROF.],$B66,DATOS_[Sexo],$B68,DATOS_[Check Periodo Ref.],"Dentro")</f>
        <v>0</v>
      </c>
      <c r="E68" s="92">
        <f t="array" ref="E68">IFERROR(
AVERAGE(IF(DATOS_[Sexo]=$B68,IF(DATOS_[AGRUP. CLAS. PROF.]=$B66,IF(DATOS_[Check Periodo Ref.]="Dentro",DATOS_[SALARIO BASE Ef],FALSE)))),
0)</f>
        <v>0</v>
      </c>
      <c r="F68" s="93">
        <f t="array" ref="F68">IFERROR(
AVERAGE((IF(DATOS_[[Sexo]:[Sexo]]=$B68,IF(DATOS_[[AGRUP. CLAS. PROF.]:[AGRUP. CLAS. PROF.]]=$B66,IF(DATOS_[[Check Periodo Ref.]:[Check Periodo Ref.]]="Dentro",DATOS_[Conc.Sal.01]))))),
0)</f>
        <v>0</v>
      </c>
      <c r="G68" s="93">
        <f t="array" ref="G68">IFERROR(
AVERAGE((IF(DATOS_[[Sexo]:[Sexo]]=$B68,IF(DATOS_[[AGRUP. CLAS. PROF.]:[AGRUP. CLAS. PROF.]]=$B66,IF(DATOS_[[Check Periodo Ref.]:[Check Periodo Ref.]]="Dentro",DATOS_[Conc.Sal.02]))))),
0)</f>
        <v>0</v>
      </c>
      <c r="H68" s="93">
        <f t="array" ref="H68">IFERROR(
AVERAGE((IF(DATOS_[[Sexo]:[Sexo]]=$B68,IF(DATOS_[[AGRUP. CLAS. PROF.]:[AGRUP. CLAS. PROF.]]=$B66,IF(DATOS_[[Check Periodo Ref.]:[Check Periodo Ref.]]="Dentro",DATOS_[Conc.Sal.03]))))),
0)</f>
        <v>0</v>
      </c>
      <c r="I68" s="93">
        <f t="array" ref="I68">IFERROR(
AVERAGE((IF(DATOS_[[Sexo]:[Sexo]]=$B68,IF(DATOS_[[AGRUP. CLAS. PROF.]:[AGRUP. CLAS. PROF.]]=$B66,IF(DATOS_[[Check Periodo Ref.]:[Check Periodo Ref.]]="Dentro",DATOS_[Conc.Sal.04]))))),
0)</f>
        <v>0</v>
      </c>
      <c r="J68" s="93">
        <f t="array" ref="J68">IFERROR(
AVERAGE((IF(DATOS_[[Sexo]:[Sexo]]=$B68,IF(DATOS_[[AGRUP. CLAS. PROF.]:[AGRUP. CLAS. PROF.]]=$B66,IF(DATOS_[[Check Periodo Ref.]:[Check Periodo Ref.]]="Dentro",DATOS_[Conc.Sal.05]))))),
0)</f>
        <v>0</v>
      </c>
      <c r="K68" s="93">
        <f t="array" ref="K68">IFERROR(
AVERAGE((IF(DATOS_[[Sexo]:[Sexo]]=$B68,IF(DATOS_[[AGRUP. CLAS. PROF.]:[AGRUP. CLAS. PROF.]]=$B66,IF(DATOS_[[Check Periodo Ref.]:[Check Periodo Ref.]]="Dentro",DATOS_[Conc.Sal.06]))))),
0)</f>
        <v>0</v>
      </c>
      <c r="L68" s="93">
        <f t="array" ref="L68">IFERROR(
AVERAGE((IF(DATOS_[[Sexo]:[Sexo]]=$B68,IF(DATOS_[[AGRUP. CLAS. PROF.]:[AGRUP. CLAS. PROF.]]=$B66,IF(DATOS_[[Check Periodo Ref.]:[Check Periodo Ref.]]="Dentro",DATOS_[Conc.Sal.07]))))),
0)</f>
        <v>0</v>
      </c>
      <c r="M68" s="93">
        <f t="array" ref="M68">IFERROR(
AVERAGE((IF(DATOS_[[Sexo]:[Sexo]]=$B68,IF(DATOS_[[AGRUP. CLAS. PROF.]:[AGRUP. CLAS. PROF.]]=$B66,IF(DATOS_[[Check Periodo Ref.]:[Check Periodo Ref.]]="Dentro",DATOS_[Conc.Sal.08]))))),
0)</f>
        <v>0</v>
      </c>
      <c r="N68" s="93">
        <f t="array" ref="N68">IFERROR(
AVERAGE((IF(DATOS_[[Sexo]:[Sexo]]=$B68,IF(DATOS_[[AGRUP. CLAS. PROF.]:[AGRUP. CLAS. PROF.]]=$B66,IF(DATOS_[[Check Periodo Ref.]:[Check Periodo Ref.]]="Dentro",DATOS_[Conc.Sal.09]))))),
0)</f>
        <v>0</v>
      </c>
      <c r="O68" s="93">
        <f t="array" ref="O68">IFERROR(
AVERAGE((IF(DATOS_[[Sexo]:[Sexo]]=$B68,IF(DATOS_[[AGRUP. CLAS. PROF.]:[AGRUP. CLAS. PROF.]]=$B66,IF(DATOS_[[Check Periodo Ref.]:[Check Periodo Ref.]]="Dentro",DATOS_[Conc.Sal.10]))))),
0)</f>
        <v>0</v>
      </c>
      <c r="P68" s="93">
        <f t="array" ref="P68">IFERROR(
AVERAGE((IF(DATOS_[[Sexo]:[Sexo]]=$B68,IF(DATOS_[[AGRUP. CLAS. PROF.]:[AGRUP. CLAS. PROF.]]=$B66,IF(DATOS_[[Check Periodo Ref.]:[Check Periodo Ref.]]="Dentro",DATOS_[Conc.Sal.11]))))),
0)</f>
        <v>0</v>
      </c>
      <c r="Q68" s="93">
        <f t="array" ref="Q68">IFERROR(
AVERAGE((IF(DATOS_[[Sexo]:[Sexo]]=$B68,IF(DATOS_[[AGRUP. CLAS. PROF.]:[AGRUP. CLAS. PROF.]]=$B66,IF(DATOS_[[Check Periodo Ref.]:[Check Periodo Ref.]]="Dentro",DATOS_[Conc.Sal.12]))))),
0)</f>
        <v>0</v>
      </c>
      <c r="R68" s="93">
        <f t="array" ref="R68">IFERROR(
AVERAGE((IF(DATOS_[[Sexo]:[Sexo]]=$B68,IF(DATOS_[[AGRUP. CLAS. PROF.]:[AGRUP. CLAS. PROF.]]=$B66,IF(DATOS_[[Check Periodo Ref.]:[Check Periodo Ref.]]="Dentro",DATOS_[Conc.Sal.13]))))),
0)</f>
        <v>0</v>
      </c>
      <c r="S68" s="93">
        <f t="array" ref="S68">IFERROR(
AVERAGE((IF(DATOS_[[Sexo]:[Sexo]]=$B68,IF(DATOS_[[AGRUP. CLAS. PROF.]:[AGRUP. CLAS. PROF.]]=$B66,IF(DATOS_[[Check Periodo Ref.]:[Check Periodo Ref.]]="Dentro",DATOS_[Conc.Sal.14]))))),
0)</f>
        <v>0</v>
      </c>
      <c r="T68" s="93">
        <f t="array" ref="T68">IFERROR(
AVERAGE((IF(DATOS_[[Sexo]:[Sexo]]=$B68,IF(DATOS_[[AGRUP. CLAS. PROF.]:[AGRUP. CLAS. PROF.]]=$B66,IF(DATOS_[[Check Periodo Ref.]:[Check Periodo Ref.]]="Dentro",DATOS_[Conc.Sal.15]))))),
0)</f>
        <v>0</v>
      </c>
      <c r="U68" s="93">
        <f t="array" ref="U68">IFERROR(
AVERAGE((IF(DATOS_[[Sexo]:[Sexo]]=$B68,IF(DATOS_[[AGRUP. CLAS. PROF.]:[AGRUP. CLAS. PROF.]]=$B66,IF(DATOS_[[Check Periodo Ref.]:[Check Periodo Ref.]]="Dentro",DATOS_[Conc.Sal.16]))))),
0)</f>
        <v>0</v>
      </c>
      <c r="V68" s="93">
        <f t="array" ref="V68">IFERROR(
AVERAGE((IF(DATOS_[[Sexo]:[Sexo]]=$B68,IF(DATOS_[[AGRUP. CLAS. PROF.]:[AGRUP. CLAS. PROF.]]=$B66,IF(DATOS_[[Check Periodo Ref.]:[Check Periodo Ref.]]="Dentro",DATOS_[Conc.Sal.17]))))),
0)</f>
        <v>0</v>
      </c>
      <c r="W68" s="93">
        <f t="array" ref="W68">IFERROR(
AVERAGE((IF(DATOS_[[Sexo]:[Sexo]]=$B68,IF(DATOS_[[AGRUP. CLAS. PROF.]:[AGRUP. CLAS. PROF.]]=$B66,IF(DATOS_[[Check Periodo Ref.]:[Check Periodo Ref.]]="Dentro",DATOS_[Conc.Sal.18]))))),
0)</f>
        <v>0</v>
      </c>
      <c r="X68" s="93">
        <f t="array" ref="X68">IFERROR(
AVERAGE((IF(DATOS_[[Sexo]:[Sexo]]=$B68,IF(DATOS_[[AGRUP. CLAS. PROF.]:[AGRUP. CLAS. PROF.]]=$B66,IF(DATOS_[[Check Periodo Ref.]:[Check Periodo Ref.]]="Dentro",DATOS_[Conc.Sal.19]))))),
0)</f>
        <v>0</v>
      </c>
      <c r="Y68" s="93">
        <f t="array" ref="Y68">IFERROR(
AVERAGE((IF(DATOS_[[Sexo]:[Sexo]]=$B68,IF(DATOS_[[AGRUP. CLAS. PROF.]:[AGRUP. CLAS. PROF.]]=$B66,IF(DATOS_[[Check Periodo Ref.]:[Check Periodo Ref.]]="Dentro",DATOS_[Conc.Sal.20]))))),
0)</f>
        <v>0</v>
      </c>
      <c r="Z68" s="93">
        <f t="array" ref="Z68">IFERROR(
AVERAGE((IF(DATOS_[[Sexo]:[Sexo]]=$B68,IF(DATOS_[[AGRUP. CLAS. PROF.]:[AGRUP. CLAS. PROF.]]=$B66,IF(DATOS_[[Check Periodo Ref.]:[Check Periodo Ref.]]="Dentro",DATOS_[Conc.Sal.21]))))),
0)</f>
        <v>0</v>
      </c>
      <c r="AA68" s="93">
        <f t="array" ref="AA68">IFERROR(
AVERAGE((IF(DATOS_[[Sexo]:[Sexo]]=$B68,IF(DATOS_[[AGRUP. CLAS. PROF.]:[AGRUP. CLAS. PROF.]]=$B66,IF(DATOS_[[Check Periodo Ref.]:[Check Periodo Ref.]]="Dentro",DATOS_[Conc.Sal.22]))))),
0)</f>
        <v>0</v>
      </c>
      <c r="AB68" s="93">
        <f t="array" ref="AB68">IFERROR(
AVERAGE((IF(DATOS_[[Sexo]:[Sexo]]=$B68,IF(DATOS_[[AGRUP. CLAS. PROF.]:[AGRUP. CLAS. PROF.]]=$B66,IF(DATOS_[[Check Periodo Ref.]:[Check Periodo Ref.]]="Dentro",DATOS_[Conc.Sal.23]))))),
0)</f>
        <v>0</v>
      </c>
      <c r="AC68" s="93">
        <f t="array" ref="AC68">IFERROR(
AVERAGE((IF(DATOS_[[Sexo]:[Sexo]]=$B68,IF(DATOS_[[AGRUP. CLAS. PROF.]:[AGRUP. CLAS. PROF.]]=$B66,IF(DATOS_[[Check Periodo Ref.]:[Check Periodo Ref.]]="Dentro",DATOS_[Conc.Sal.24]))))),
0)</f>
        <v>0</v>
      </c>
      <c r="AD68" s="93">
        <f t="array" ref="AD68">IFERROR(
AVERAGE((IF(DATOS_[[Sexo]:[Sexo]]=$B68,IF(DATOS_[[AGRUP. CLAS. PROF.]:[AGRUP. CLAS. PROF.]]=$B66,IF(DATOS_[[Check Periodo Ref.]:[Check Periodo Ref.]]="Dentro",DATOS_[Conc.Sal.25]))))),
0)</f>
        <v>0</v>
      </c>
      <c r="AE68" s="93">
        <f t="array" ref="AE68">IFERROR(
AVERAGE((IF(DATOS_[[Sexo]:[Sexo]]=$B68,IF(DATOS_[[AGRUP. CLAS. PROF.]:[AGRUP. CLAS. PROF.]]=$B66,IF(DATOS_[[Check Periodo Ref.]:[Check Periodo Ref.]]="Dentro",DATOS_[Conc.Sal.26]))))),
0)</f>
        <v>0</v>
      </c>
      <c r="AF68" s="93">
        <f t="array" ref="AF68">IFERROR(
AVERAGE((IF(DATOS_[[Sexo]:[Sexo]]=$B68,IF(DATOS_[[AGRUP. CLAS. PROF.]:[AGRUP. CLAS. PROF.]]=$B66,IF(DATOS_[[Check Periodo Ref.]:[Check Periodo Ref.]]="Dentro",DATOS_[Conc.Sal.27]))))),
0)</f>
        <v>0</v>
      </c>
      <c r="AG68" s="93">
        <f t="array" ref="AG68">IFERROR(
AVERAGE((IF(DATOS_[[Sexo]:[Sexo]]=$B68,IF(DATOS_[[AGRUP. CLAS. PROF.]:[AGRUP. CLAS. PROF.]]=$B66,IF(DATOS_[[Check Periodo Ref.]:[Check Periodo Ref.]]="Dentro",DATOS_[Conc.Sal.28]))))),
0)</f>
        <v>0</v>
      </c>
      <c r="AH68" s="93">
        <f t="array" ref="AH68">IFERROR(
AVERAGE((IF(DATOS_[[Sexo]:[Sexo]]=$B68,IF(DATOS_[[AGRUP. CLAS. PROF.]:[AGRUP. CLAS. PROF.]]=$B66,IF(DATOS_[[Check Periodo Ref.]:[Check Periodo Ref.]]="Dentro",DATOS_[Conc.Sal.29]))))),
0)</f>
        <v>0</v>
      </c>
      <c r="AI68" s="93">
        <f t="array" ref="AI68">IFERROR(
AVERAGE((IF(DATOS_[[Sexo]:[Sexo]]=$B68,IF(DATOS_[[AGRUP. CLAS. PROF.]:[AGRUP. CLAS. PROF.]]=$B66,IF(DATOS_[[Check Periodo Ref.]:[Check Periodo Ref.]]="Dentro",DATOS_[Conc.Sal.30]))))),
0)</f>
        <v>0</v>
      </c>
      <c r="AJ68" s="94">
        <f t="array" ref="AJ68">IFERROR(
AVERAGE(IF(DATOS_[Sexo]=$B68,IF(DATOS_[AGRUP. CLAS. PROF.]=$B66,IF(DATOS_[Check Periodo Ref.]="Dentro",DATOS_[Tot COMPL.SAL Ef],FALSE)))),
0)</f>
        <v>0</v>
      </c>
      <c r="AK68" s="96">
        <f t="array" ref="AK68">IFERROR(
AVERAGE(IF(DATOS_[Sexo]=$B68,IF(DATOS_[AGRUP. CLAS. PROF.]=$B66,IF(DATOS_[Check Periodo Ref.]="Dentro",DATOS_[TOTAL SALARIO Ef],FALSE)))),
0)</f>
        <v>0</v>
      </c>
      <c r="AL68" s="95">
        <f t="array" ref="AL68">IFERROR(
AVERAGE((IF(DATOS_[[Sexo]:[Sexo]]=$B68,IF(DATOS_[[AGRUP. CLAS. PROF.]:[AGRUP. CLAS. PROF.]]=$B66,IF(DATOS_[[Check Periodo Ref.]:[Check Periodo Ref.]]="Dentro",DATOS_[C.Extra.01]))))),
0)</f>
        <v>0</v>
      </c>
      <c r="AM68" s="95">
        <f t="array" ref="AM68">IFERROR(
AVERAGE((IF(DATOS_[[Sexo]:[Sexo]]=$B68,IF(DATOS_[[AGRUP. CLAS. PROF.]:[AGRUP. CLAS. PROF.]]=$B66,IF(DATOS_[[Check Periodo Ref.]:[Check Periodo Ref.]]="Dentro",DATOS_[C.Extra.02]))))),
0)</f>
        <v>0</v>
      </c>
      <c r="AN68" s="95">
        <f t="array" ref="AN68">IFERROR(
AVERAGE((IF(DATOS_[[Sexo]:[Sexo]]=$B68,IF(DATOS_[[AGRUP. CLAS. PROF.]:[AGRUP. CLAS. PROF.]]=$B66,IF(DATOS_[[Check Periodo Ref.]:[Check Periodo Ref.]]="Dentro",DATOS_[C.Extra.03]))))),
0)</f>
        <v>0</v>
      </c>
      <c r="AO68" s="95">
        <f t="array" ref="AO68">IFERROR(
AVERAGE((IF(DATOS_[[Sexo]:[Sexo]]=$B68,IF(DATOS_[[AGRUP. CLAS. PROF.]:[AGRUP. CLAS. PROF.]]=$B66,IF(DATOS_[[Check Periodo Ref.]:[Check Periodo Ref.]]="Dentro",DATOS_[C.Extra.04]))))),
0)</f>
        <v>0</v>
      </c>
      <c r="AP68" s="95">
        <f t="array" ref="AP68">IFERROR(
AVERAGE((IF(DATOS_[[Sexo]:[Sexo]]=$B68,IF(DATOS_[[AGRUP. CLAS. PROF.]:[AGRUP. CLAS. PROF.]]=$B66,IF(DATOS_[[Check Periodo Ref.]:[Check Periodo Ref.]]="Dentro",DATOS_[C.Extra.05]))))),
0)</f>
        <v>0</v>
      </c>
      <c r="AQ68" s="97">
        <f t="array" ref="AQ68">IFERROR(
AVERAGE(IF(DATOS_[Sexo]=$B68,IF(DATOS_[AGRUP. CLAS. PROF.]=$B66,IF(DATOS_[Check Periodo Ref.]="Dentro",DATOS_[Tot Extrasalarial Ef],FALSE)))),
0)</f>
        <v>0</v>
      </c>
      <c r="AR68" s="98">
        <f t="array" ref="AR68">IFERROR(
AVERAGE(IF(DATOS_[Sexo]=$B68,IF(DATOS_[AGRUP. CLAS. PROF.]=$B66,IF(DATOS_[Check Periodo Ref.]="Dentro",DATOS_[TOTAL Retrib Ef],FALSE)))),
0)</f>
        <v>0</v>
      </c>
    </row>
    <row r="69" spans="1:44" ht="17.25" hidden="1" thickBot="1" x14ac:dyDescent="0.35">
      <c r="A69" s="309" t="str">
        <f t="shared" ref="A69" si="75">+A70</f>
        <v>[ocultar]</v>
      </c>
      <c r="B69" s="51" t="s">
        <v>235</v>
      </c>
      <c r="C69" s="91"/>
      <c r="D69" s="52"/>
      <c r="E69" s="139" t="str">
        <f t="shared" ref="E69:AR69" si="76">IFERROR((E70-E71)/E70,"")</f>
        <v/>
      </c>
      <c r="F69" s="310" t="str">
        <f t="shared" si="76"/>
        <v/>
      </c>
      <c r="G69" s="180" t="str">
        <f t="shared" si="76"/>
        <v/>
      </c>
      <c r="H69" s="180" t="str">
        <f t="shared" si="76"/>
        <v/>
      </c>
      <c r="I69" s="180" t="str">
        <f t="shared" si="76"/>
        <v/>
      </c>
      <c r="J69" s="181" t="str">
        <f t="shared" si="76"/>
        <v/>
      </c>
      <c r="K69" s="182" t="str">
        <f t="shared" si="76"/>
        <v/>
      </c>
      <c r="L69" s="182" t="str">
        <f t="shared" si="76"/>
        <v/>
      </c>
      <c r="M69" s="182" t="str">
        <f t="shared" si="76"/>
        <v/>
      </c>
      <c r="N69" s="182" t="str">
        <f t="shared" si="76"/>
        <v/>
      </c>
      <c r="O69" s="182" t="str">
        <f t="shared" si="76"/>
        <v/>
      </c>
      <c r="P69" s="182" t="str">
        <f t="shared" si="76"/>
        <v/>
      </c>
      <c r="Q69" s="182" t="str">
        <f t="shared" si="76"/>
        <v/>
      </c>
      <c r="R69" s="182" t="str">
        <f t="shared" si="76"/>
        <v/>
      </c>
      <c r="S69" s="182" t="str">
        <f t="shared" si="76"/>
        <v/>
      </c>
      <c r="T69" s="182" t="str">
        <f t="shared" si="76"/>
        <v/>
      </c>
      <c r="U69" s="182" t="str">
        <f t="shared" si="76"/>
        <v/>
      </c>
      <c r="V69" s="181" t="str">
        <f t="shared" si="76"/>
        <v/>
      </c>
      <c r="W69" s="181" t="str">
        <f t="shared" si="76"/>
        <v/>
      </c>
      <c r="X69" s="181" t="str">
        <f t="shared" si="76"/>
        <v/>
      </c>
      <c r="Y69" s="181" t="str">
        <f t="shared" si="76"/>
        <v/>
      </c>
      <c r="Z69" s="181" t="str">
        <f t="shared" si="76"/>
        <v/>
      </c>
      <c r="AA69" s="181" t="str">
        <f t="shared" si="76"/>
        <v/>
      </c>
      <c r="AB69" s="181" t="str">
        <f t="shared" si="76"/>
        <v/>
      </c>
      <c r="AC69" s="181" t="str">
        <f t="shared" si="76"/>
        <v/>
      </c>
      <c r="AD69" s="181" t="str">
        <f t="shared" si="76"/>
        <v/>
      </c>
      <c r="AE69" s="181" t="str">
        <f t="shared" si="76"/>
        <v/>
      </c>
      <c r="AF69" s="181" t="str">
        <f t="shared" si="76"/>
        <v/>
      </c>
      <c r="AG69" s="181" t="str">
        <f t="shared" si="76"/>
        <v/>
      </c>
      <c r="AH69" s="181" t="str">
        <f t="shared" si="76"/>
        <v/>
      </c>
      <c r="AI69" s="181" t="str">
        <f t="shared" si="76"/>
        <v/>
      </c>
      <c r="AJ69" s="140" t="str">
        <f t="shared" si="76"/>
        <v/>
      </c>
      <c r="AK69" s="143" t="str">
        <f t="shared" si="76"/>
        <v/>
      </c>
      <c r="AL69" s="184" t="str">
        <f t="shared" si="76"/>
        <v/>
      </c>
      <c r="AM69" s="184" t="str">
        <f t="shared" si="76"/>
        <v/>
      </c>
      <c r="AN69" s="184" t="str">
        <f t="shared" si="76"/>
        <v/>
      </c>
      <c r="AO69" s="184" t="str">
        <f t="shared" si="76"/>
        <v/>
      </c>
      <c r="AP69" s="184" t="str">
        <f t="shared" si="76"/>
        <v/>
      </c>
      <c r="AQ69" s="141" t="str">
        <f t="shared" si="76"/>
        <v/>
      </c>
      <c r="AR69" s="142" t="str">
        <f t="shared" si="76"/>
        <v/>
      </c>
    </row>
    <row r="70" spans="1:44" hidden="1" x14ac:dyDescent="0.3">
      <c r="A70" s="309" t="str">
        <f t="shared" ref="A70" si="77">+IF(C70+C71=0,"[ocultar]","")</f>
        <v>[ocultar]</v>
      </c>
      <c r="B70" s="46" t="s">
        <v>162</v>
      </c>
      <c r="C70" s="45">
        <f t="array" ref="C70">SUM(IF($B70=DATOS_[Sexo],
IF($B69=DATOS_[AGRUP. CLAS. PROF.],
IF("Dentro"=DATOS_[Check Periodo Ref.],
1/(COUNTIFS(DATOS_[Sexo],$B70,DATOS_[AGRUP. CLAS. PROF.],$B69,DATOS_[Check Periodo Ref.],"Dentro",DATOS_[id],DATOS_[id]))))))</f>
        <v>0</v>
      </c>
      <c r="D70" s="47">
        <f>COUNTIFS(DATOS_[AGRUP. CLAS. PROF.],$B69,DATOS_[Sexo],$B70,DATOS_[Check Periodo Ref.],"Dentro")</f>
        <v>0</v>
      </c>
      <c r="E70" s="92">
        <f t="array" ref="E70">IFERROR(
AVERAGE(IF(DATOS_[Sexo]=$B70,IF(DATOS_[AGRUP. CLAS. PROF.]=$B69,IF(DATOS_[Check Periodo Ref.]="Dentro",DATOS_[SALARIO BASE Ef],FALSE)))),
0)</f>
        <v>0</v>
      </c>
      <c r="F70" s="93">
        <f t="array" ref="F70">IFERROR(
AVERAGE((IF(DATOS_[[Sexo]:[Sexo]]=$B70,IF(DATOS_[[AGRUP. CLAS. PROF.]:[AGRUP. CLAS. PROF.]]=$B69,IF(DATOS_[[Check Periodo Ref.]:[Check Periodo Ref.]]="Dentro",DATOS_[Conc.Sal.01]))))),
0)</f>
        <v>0</v>
      </c>
      <c r="G70" s="93">
        <f t="array" ref="G70">IFERROR(
AVERAGE((IF(DATOS_[[Sexo]:[Sexo]]=$B70,IF(DATOS_[[AGRUP. CLAS. PROF.]:[AGRUP. CLAS. PROF.]]=$B69,IF(DATOS_[[Check Periodo Ref.]:[Check Periodo Ref.]]="Dentro",DATOS_[Conc.Sal.02]))))),
0)</f>
        <v>0</v>
      </c>
      <c r="H70" s="93">
        <f t="array" ref="H70">IFERROR(
AVERAGE((IF(DATOS_[[Sexo]:[Sexo]]=$B70,IF(DATOS_[[AGRUP. CLAS. PROF.]:[AGRUP. CLAS. PROF.]]=$B69,IF(DATOS_[[Check Periodo Ref.]:[Check Periodo Ref.]]="Dentro",DATOS_[Conc.Sal.03]))))),
0)</f>
        <v>0</v>
      </c>
      <c r="I70" s="93">
        <f t="array" ref="I70">IFERROR(
AVERAGE((IF(DATOS_[[Sexo]:[Sexo]]=$B70,IF(DATOS_[[AGRUP. CLAS. PROF.]:[AGRUP. CLAS. PROF.]]=$B69,IF(DATOS_[[Check Periodo Ref.]:[Check Periodo Ref.]]="Dentro",DATOS_[Conc.Sal.04]))))),
0)</f>
        <v>0</v>
      </c>
      <c r="J70" s="93">
        <f t="array" ref="J70">IFERROR(
AVERAGE((IF(DATOS_[[Sexo]:[Sexo]]=$B70,IF(DATOS_[[AGRUP. CLAS. PROF.]:[AGRUP. CLAS. PROF.]]=$B69,IF(DATOS_[[Check Periodo Ref.]:[Check Periodo Ref.]]="Dentro",DATOS_[Conc.Sal.05]))))),
0)</f>
        <v>0</v>
      </c>
      <c r="K70" s="93">
        <f t="array" ref="K70">IFERROR(
AVERAGE((IF(DATOS_[[Sexo]:[Sexo]]=$B70,IF(DATOS_[[AGRUP. CLAS. PROF.]:[AGRUP. CLAS. PROF.]]=$B69,IF(DATOS_[[Check Periodo Ref.]:[Check Periodo Ref.]]="Dentro",DATOS_[Conc.Sal.06]))))),
0)</f>
        <v>0</v>
      </c>
      <c r="L70" s="93">
        <f t="array" ref="L70">IFERROR(
AVERAGE((IF(DATOS_[[Sexo]:[Sexo]]=$B70,IF(DATOS_[[AGRUP. CLAS. PROF.]:[AGRUP. CLAS. PROF.]]=$B69,IF(DATOS_[[Check Periodo Ref.]:[Check Periodo Ref.]]="Dentro",DATOS_[Conc.Sal.07]))))),
0)</f>
        <v>0</v>
      </c>
      <c r="M70" s="93">
        <f t="array" ref="M70">IFERROR(
AVERAGE((IF(DATOS_[[Sexo]:[Sexo]]=$B70,IF(DATOS_[[AGRUP. CLAS. PROF.]:[AGRUP. CLAS. PROF.]]=$B69,IF(DATOS_[[Check Periodo Ref.]:[Check Periodo Ref.]]="Dentro",DATOS_[Conc.Sal.08]))))),
0)</f>
        <v>0</v>
      </c>
      <c r="N70" s="93">
        <f t="array" ref="N70">IFERROR(
AVERAGE((IF(DATOS_[[Sexo]:[Sexo]]=$B70,IF(DATOS_[[AGRUP. CLAS. PROF.]:[AGRUP. CLAS. PROF.]]=$B69,IF(DATOS_[[Check Periodo Ref.]:[Check Periodo Ref.]]="Dentro",DATOS_[Conc.Sal.09]))))),
0)</f>
        <v>0</v>
      </c>
      <c r="O70" s="93">
        <f t="array" ref="O70">IFERROR(
AVERAGE((IF(DATOS_[[Sexo]:[Sexo]]=$B70,IF(DATOS_[[AGRUP. CLAS. PROF.]:[AGRUP. CLAS. PROF.]]=$B69,IF(DATOS_[[Check Periodo Ref.]:[Check Periodo Ref.]]="Dentro",DATOS_[Conc.Sal.10]))))),
0)</f>
        <v>0</v>
      </c>
      <c r="P70" s="93">
        <f t="array" ref="P70">IFERROR(
AVERAGE((IF(DATOS_[[Sexo]:[Sexo]]=$B70,IF(DATOS_[[AGRUP. CLAS. PROF.]:[AGRUP. CLAS. PROF.]]=$B69,IF(DATOS_[[Check Periodo Ref.]:[Check Periodo Ref.]]="Dentro",DATOS_[Conc.Sal.11]))))),
0)</f>
        <v>0</v>
      </c>
      <c r="Q70" s="93">
        <f t="array" ref="Q70">IFERROR(
AVERAGE((IF(DATOS_[[Sexo]:[Sexo]]=$B70,IF(DATOS_[[AGRUP. CLAS. PROF.]:[AGRUP. CLAS. PROF.]]=$B69,IF(DATOS_[[Check Periodo Ref.]:[Check Periodo Ref.]]="Dentro",DATOS_[Conc.Sal.12]))))),
0)</f>
        <v>0</v>
      </c>
      <c r="R70" s="93">
        <f t="array" ref="R70">IFERROR(
AVERAGE((IF(DATOS_[[Sexo]:[Sexo]]=$B70,IF(DATOS_[[AGRUP. CLAS. PROF.]:[AGRUP. CLAS. PROF.]]=$B69,IF(DATOS_[[Check Periodo Ref.]:[Check Periodo Ref.]]="Dentro",DATOS_[Conc.Sal.13]))))),
0)</f>
        <v>0</v>
      </c>
      <c r="S70" s="93">
        <f t="array" ref="S70">IFERROR(
AVERAGE((IF(DATOS_[[Sexo]:[Sexo]]=$B70,IF(DATOS_[[AGRUP. CLAS. PROF.]:[AGRUP. CLAS. PROF.]]=$B69,IF(DATOS_[[Check Periodo Ref.]:[Check Periodo Ref.]]="Dentro",DATOS_[Conc.Sal.14]))))),
0)</f>
        <v>0</v>
      </c>
      <c r="T70" s="93">
        <f t="array" ref="T70">IFERROR(
AVERAGE((IF(DATOS_[[Sexo]:[Sexo]]=$B70,IF(DATOS_[[AGRUP. CLAS. PROF.]:[AGRUP. CLAS. PROF.]]=$B69,IF(DATOS_[[Check Periodo Ref.]:[Check Periodo Ref.]]="Dentro",DATOS_[Conc.Sal.15]))))),
0)</f>
        <v>0</v>
      </c>
      <c r="U70" s="93">
        <f t="array" ref="U70">IFERROR(
AVERAGE((IF(DATOS_[[Sexo]:[Sexo]]=$B70,IF(DATOS_[[AGRUP. CLAS. PROF.]:[AGRUP. CLAS. PROF.]]=$B69,IF(DATOS_[[Check Periodo Ref.]:[Check Periodo Ref.]]="Dentro",DATOS_[Conc.Sal.16]))))),
0)</f>
        <v>0</v>
      </c>
      <c r="V70" s="93">
        <f t="array" ref="V70">IFERROR(
AVERAGE((IF(DATOS_[[Sexo]:[Sexo]]=$B70,IF(DATOS_[[AGRUP. CLAS. PROF.]:[AGRUP. CLAS. PROF.]]=$B69,IF(DATOS_[[Check Periodo Ref.]:[Check Periodo Ref.]]="Dentro",DATOS_[Conc.Sal.17]))))),
0)</f>
        <v>0</v>
      </c>
      <c r="W70" s="93">
        <f t="array" ref="W70">IFERROR(
AVERAGE((IF(DATOS_[[Sexo]:[Sexo]]=$B70,IF(DATOS_[[AGRUP. CLAS. PROF.]:[AGRUP. CLAS. PROF.]]=$B69,IF(DATOS_[[Check Periodo Ref.]:[Check Periodo Ref.]]="Dentro",DATOS_[Conc.Sal.18]))))),
0)</f>
        <v>0</v>
      </c>
      <c r="X70" s="93">
        <f t="array" ref="X70">IFERROR(
AVERAGE((IF(DATOS_[[Sexo]:[Sexo]]=$B70,IF(DATOS_[[AGRUP. CLAS. PROF.]:[AGRUP. CLAS. PROF.]]=$B69,IF(DATOS_[[Check Periodo Ref.]:[Check Periodo Ref.]]="Dentro",DATOS_[Conc.Sal.19]))))),
0)</f>
        <v>0</v>
      </c>
      <c r="Y70" s="93">
        <f t="array" ref="Y70">IFERROR(
AVERAGE((IF(DATOS_[[Sexo]:[Sexo]]=$B70,IF(DATOS_[[AGRUP. CLAS. PROF.]:[AGRUP. CLAS. PROF.]]=$B69,IF(DATOS_[[Check Periodo Ref.]:[Check Periodo Ref.]]="Dentro",DATOS_[Conc.Sal.20]))))),
0)</f>
        <v>0</v>
      </c>
      <c r="Z70" s="93">
        <f t="array" ref="Z70">IFERROR(
AVERAGE((IF(DATOS_[[Sexo]:[Sexo]]=$B70,IF(DATOS_[[AGRUP. CLAS. PROF.]:[AGRUP. CLAS. PROF.]]=$B69,IF(DATOS_[[Check Periodo Ref.]:[Check Periodo Ref.]]="Dentro",DATOS_[Conc.Sal.21]))))),
0)</f>
        <v>0</v>
      </c>
      <c r="AA70" s="93">
        <f t="array" ref="AA70">IFERROR(
AVERAGE((IF(DATOS_[[Sexo]:[Sexo]]=$B70,IF(DATOS_[[AGRUP. CLAS. PROF.]:[AGRUP. CLAS. PROF.]]=$B69,IF(DATOS_[[Check Periodo Ref.]:[Check Periodo Ref.]]="Dentro",DATOS_[Conc.Sal.22]))))),
0)</f>
        <v>0</v>
      </c>
      <c r="AB70" s="93">
        <f t="array" ref="AB70">IFERROR(
AVERAGE((IF(DATOS_[[Sexo]:[Sexo]]=$B70,IF(DATOS_[[AGRUP. CLAS. PROF.]:[AGRUP. CLAS. PROF.]]=$B69,IF(DATOS_[[Check Periodo Ref.]:[Check Periodo Ref.]]="Dentro",DATOS_[Conc.Sal.23]))))),
0)</f>
        <v>0</v>
      </c>
      <c r="AC70" s="93">
        <f t="array" ref="AC70">IFERROR(
AVERAGE((IF(DATOS_[[Sexo]:[Sexo]]=$B70,IF(DATOS_[[AGRUP. CLAS. PROF.]:[AGRUP. CLAS. PROF.]]=$B69,IF(DATOS_[[Check Periodo Ref.]:[Check Periodo Ref.]]="Dentro",DATOS_[Conc.Sal.24]))))),
0)</f>
        <v>0</v>
      </c>
      <c r="AD70" s="93">
        <f t="array" ref="AD70">IFERROR(
AVERAGE((IF(DATOS_[[Sexo]:[Sexo]]=$B70,IF(DATOS_[[AGRUP. CLAS. PROF.]:[AGRUP. CLAS. PROF.]]=$B69,IF(DATOS_[[Check Periodo Ref.]:[Check Periodo Ref.]]="Dentro",DATOS_[Conc.Sal.25]))))),
0)</f>
        <v>0</v>
      </c>
      <c r="AE70" s="93">
        <f t="array" ref="AE70">IFERROR(
AVERAGE((IF(DATOS_[[Sexo]:[Sexo]]=$B70,IF(DATOS_[[AGRUP. CLAS. PROF.]:[AGRUP. CLAS. PROF.]]=$B69,IF(DATOS_[[Check Periodo Ref.]:[Check Periodo Ref.]]="Dentro",DATOS_[Conc.Sal.26]))))),
0)</f>
        <v>0</v>
      </c>
      <c r="AF70" s="93">
        <f t="array" ref="AF70">IFERROR(
AVERAGE((IF(DATOS_[[Sexo]:[Sexo]]=$B70,IF(DATOS_[[AGRUP. CLAS. PROF.]:[AGRUP. CLAS. PROF.]]=$B69,IF(DATOS_[[Check Periodo Ref.]:[Check Periodo Ref.]]="Dentro",DATOS_[Conc.Sal.27]))))),
0)</f>
        <v>0</v>
      </c>
      <c r="AG70" s="93">
        <f t="array" ref="AG70">IFERROR(
AVERAGE((IF(DATOS_[[Sexo]:[Sexo]]=$B70,IF(DATOS_[[AGRUP. CLAS. PROF.]:[AGRUP. CLAS. PROF.]]=$B69,IF(DATOS_[[Check Periodo Ref.]:[Check Periodo Ref.]]="Dentro",DATOS_[Conc.Sal.28]))))),
0)</f>
        <v>0</v>
      </c>
      <c r="AH70" s="93">
        <f t="array" ref="AH70">IFERROR(
AVERAGE((IF(DATOS_[[Sexo]:[Sexo]]=$B70,IF(DATOS_[[AGRUP. CLAS. PROF.]:[AGRUP. CLAS. PROF.]]=$B69,IF(DATOS_[[Check Periodo Ref.]:[Check Periodo Ref.]]="Dentro",DATOS_[Conc.Sal.29]))))),
0)</f>
        <v>0</v>
      </c>
      <c r="AI70" s="93">
        <f t="array" ref="AI70">IFERROR(
AVERAGE((IF(DATOS_[[Sexo]:[Sexo]]=$B70,IF(DATOS_[[AGRUP. CLAS. PROF.]:[AGRUP. CLAS. PROF.]]=$B69,IF(DATOS_[[Check Periodo Ref.]:[Check Periodo Ref.]]="Dentro",DATOS_[Conc.Sal.30]))))),
0)</f>
        <v>0</v>
      </c>
      <c r="AJ70" s="94">
        <f t="array" ref="AJ70">IFERROR(
AVERAGE(IF(DATOS_[Sexo]=$B70,IF(DATOS_[AGRUP. CLAS. PROF.]=$B69,IF(DATOS_[Check Periodo Ref.]="Dentro",DATOS_[Tot COMPL.SAL Ef],FALSE)))),
0)</f>
        <v>0</v>
      </c>
      <c r="AK70" s="96">
        <f t="array" ref="AK70">IFERROR(
AVERAGE(IF(DATOS_[Sexo]=$B70,IF(DATOS_[AGRUP. CLAS. PROF.]=$B69,IF(DATOS_[Check Periodo Ref.]="Dentro",DATOS_[TOTAL SALARIO Ef],FALSE)))),
0)</f>
        <v>0</v>
      </c>
      <c r="AL70" s="95">
        <f t="array" ref="AL70">IFERROR(
AVERAGE((IF(DATOS_[[Sexo]:[Sexo]]=$B70,IF(DATOS_[[AGRUP. CLAS. PROF.]:[AGRUP. CLAS. PROF.]]=$B69,IF(DATOS_[[Check Periodo Ref.]:[Check Periodo Ref.]]="Dentro",DATOS_[C.Extra.01]))))),
0)</f>
        <v>0</v>
      </c>
      <c r="AM70" s="95">
        <f t="array" ref="AM70">IFERROR(
AVERAGE((IF(DATOS_[[Sexo]:[Sexo]]=$B70,IF(DATOS_[[AGRUP. CLAS. PROF.]:[AGRUP. CLAS. PROF.]]=$B69,IF(DATOS_[[Check Periodo Ref.]:[Check Periodo Ref.]]="Dentro",DATOS_[C.Extra.02]))))),
0)</f>
        <v>0</v>
      </c>
      <c r="AN70" s="95">
        <f t="array" ref="AN70">IFERROR(
AVERAGE((IF(DATOS_[[Sexo]:[Sexo]]=$B70,IF(DATOS_[[AGRUP. CLAS. PROF.]:[AGRUP. CLAS. PROF.]]=$B69,IF(DATOS_[[Check Periodo Ref.]:[Check Periodo Ref.]]="Dentro",DATOS_[C.Extra.03]))))),
0)</f>
        <v>0</v>
      </c>
      <c r="AO70" s="95">
        <f t="array" ref="AO70">IFERROR(
AVERAGE((IF(DATOS_[[Sexo]:[Sexo]]=$B70,IF(DATOS_[[AGRUP. CLAS. PROF.]:[AGRUP. CLAS. PROF.]]=$B69,IF(DATOS_[[Check Periodo Ref.]:[Check Periodo Ref.]]="Dentro",DATOS_[C.Extra.04]))))),
0)</f>
        <v>0</v>
      </c>
      <c r="AP70" s="95">
        <f t="array" ref="AP70">IFERROR(
AVERAGE((IF(DATOS_[[Sexo]:[Sexo]]=$B70,IF(DATOS_[[AGRUP. CLAS. PROF.]:[AGRUP. CLAS. PROF.]]=$B69,IF(DATOS_[[Check Periodo Ref.]:[Check Periodo Ref.]]="Dentro",DATOS_[C.Extra.05]))))),
0)</f>
        <v>0</v>
      </c>
      <c r="AQ70" s="97">
        <f t="array" ref="AQ70">IFERROR(
AVERAGE(IF(DATOS_[Sexo]=$B70,IF(DATOS_[AGRUP. CLAS. PROF.]=$B69,IF(DATOS_[Check Periodo Ref.]="Dentro",DATOS_[Tot Extrasalarial Ef],FALSE)))),
0)</f>
        <v>0</v>
      </c>
      <c r="AR70" s="98">
        <f t="array" ref="AR70">IFERROR(
AVERAGE(IF(DATOS_[Sexo]=$B70,IF(DATOS_[AGRUP. CLAS. PROF.]=$B69,IF(DATOS_[Check Periodo Ref.]="Dentro",DATOS_[TOTAL Retrib Ef],FALSE)))),
0)</f>
        <v>0</v>
      </c>
    </row>
    <row r="71" spans="1:44" hidden="1" x14ac:dyDescent="0.3">
      <c r="A71" s="309" t="str">
        <f t="shared" ref="A71" si="78">+A70</f>
        <v>[ocultar]</v>
      </c>
      <c r="B71" s="46" t="s">
        <v>163</v>
      </c>
      <c r="C71" s="45">
        <f t="array" ref="C71">SUM(IF($B71=DATOS_[Sexo],
IF($B69=DATOS_[AGRUP. CLAS. PROF.],
IF("Dentro"=DATOS_[Check Periodo Ref.],
1/(COUNTIFS(DATOS_[Sexo],$B71,DATOS_[AGRUP. CLAS. PROF.],$B69,DATOS_[Check Periodo Ref.],"Dentro",DATOS_[id],DATOS_[id]))))))</f>
        <v>0</v>
      </c>
      <c r="D71" s="47">
        <f>COUNTIFS(DATOS_[AGRUP. CLAS. PROF.],$B69,DATOS_[Sexo],$B71,DATOS_[Check Periodo Ref.],"Dentro")</f>
        <v>0</v>
      </c>
      <c r="E71" s="92">
        <f t="array" ref="E71">IFERROR(
AVERAGE(IF(DATOS_[Sexo]=$B71,IF(DATOS_[AGRUP. CLAS. PROF.]=$B69,IF(DATOS_[Check Periodo Ref.]="Dentro",DATOS_[SALARIO BASE Ef],FALSE)))),
0)</f>
        <v>0</v>
      </c>
      <c r="F71" s="93">
        <f t="array" ref="F71">IFERROR(
AVERAGE((IF(DATOS_[[Sexo]:[Sexo]]=$B71,IF(DATOS_[[AGRUP. CLAS. PROF.]:[AGRUP. CLAS. PROF.]]=$B69,IF(DATOS_[[Check Periodo Ref.]:[Check Periodo Ref.]]="Dentro",DATOS_[Conc.Sal.01]))))),
0)</f>
        <v>0</v>
      </c>
      <c r="G71" s="93">
        <f t="array" ref="G71">IFERROR(
AVERAGE((IF(DATOS_[[Sexo]:[Sexo]]=$B71,IF(DATOS_[[AGRUP. CLAS. PROF.]:[AGRUP. CLAS. PROF.]]=$B69,IF(DATOS_[[Check Periodo Ref.]:[Check Periodo Ref.]]="Dentro",DATOS_[Conc.Sal.02]))))),
0)</f>
        <v>0</v>
      </c>
      <c r="H71" s="93">
        <f t="array" ref="H71">IFERROR(
AVERAGE((IF(DATOS_[[Sexo]:[Sexo]]=$B71,IF(DATOS_[[AGRUP. CLAS. PROF.]:[AGRUP. CLAS. PROF.]]=$B69,IF(DATOS_[[Check Periodo Ref.]:[Check Periodo Ref.]]="Dentro",DATOS_[Conc.Sal.03]))))),
0)</f>
        <v>0</v>
      </c>
      <c r="I71" s="93">
        <f t="array" ref="I71">IFERROR(
AVERAGE((IF(DATOS_[[Sexo]:[Sexo]]=$B71,IF(DATOS_[[AGRUP. CLAS. PROF.]:[AGRUP. CLAS. PROF.]]=$B69,IF(DATOS_[[Check Periodo Ref.]:[Check Periodo Ref.]]="Dentro",DATOS_[Conc.Sal.04]))))),
0)</f>
        <v>0</v>
      </c>
      <c r="J71" s="93">
        <f t="array" ref="J71">IFERROR(
AVERAGE((IF(DATOS_[[Sexo]:[Sexo]]=$B71,IF(DATOS_[[AGRUP. CLAS. PROF.]:[AGRUP. CLAS. PROF.]]=$B69,IF(DATOS_[[Check Periodo Ref.]:[Check Periodo Ref.]]="Dentro",DATOS_[Conc.Sal.05]))))),
0)</f>
        <v>0</v>
      </c>
      <c r="K71" s="93">
        <f t="array" ref="K71">IFERROR(
AVERAGE((IF(DATOS_[[Sexo]:[Sexo]]=$B71,IF(DATOS_[[AGRUP. CLAS. PROF.]:[AGRUP. CLAS. PROF.]]=$B69,IF(DATOS_[[Check Periodo Ref.]:[Check Periodo Ref.]]="Dentro",DATOS_[Conc.Sal.06]))))),
0)</f>
        <v>0</v>
      </c>
      <c r="L71" s="93">
        <f t="array" ref="L71">IFERROR(
AVERAGE((IF(DATOS_[[Sexo]:[Sexo]]=$B71,IF(DATOS_[[AGRUP. CLAS. PROF.]:[AGRUP. CLAS. PROF.]]=$B69,IF(DATOS_[[Check Periodo Ref.]:[Check Periodo Ref.]]="Dentro",DATOS_[Conc.Sal.07]))))),
0)</f>
        <v>0</v>
      </c>
      <c r="M71" s="93">
        <f t="array" ref="M71">IFERROR(
AVERAGE((IF(DATOS_[[Sexo]:[Sexo]]=$B71,IF(DATOS_[[AGRUP. CLAS. PROF.]:[AGRUP. CLAS. PROF.]]=$B69,IF(DATOS_[[Check Periodo Ref.]:[Check Periodo Ref.]]="Dentro",DATOS_[Conc.Sal.08]))))),
0)</f>
        <v>0</v>
      </c>
      <c r="N71" s="93">
        <f t="array" ref="N71">IFERROR(
AVERAGE((IF(DATOS_[[Sexo]:[Sexo]]=$B71,IF(DATOS_[[AGRUP. CLAS. PROF.]:[AGRUP. CLAS. PROF.]]=$B69,IF(DATOS_[[Check Periodo Ref.]:[Check Periodo Ref.]]="Dentro",DATOS_[Conc.Sal.09]))))),
0)</f>
        <v>0</v>
      </c>
      <c r="O71" s="93">
        <f t="array" ref="O71">IFERROR(
AVERAGE((IF(DATOS_[[Sexo]:[Sexo]]=$B71,IF(DATOS_[[AGRUP. CLAS. PROF.]:[AGRUP. CLAS. PROF.]]=$B69,IF(DATOS_[[Check Periodo Ref.]:[Check Periodo Ref.]]="Dentro",DATOS_[Conc.Sal.10]))))),
0)</f>
        <v>0</v>
      </c>
      <c r="P71" s="93">
        <f t="array" ref="P71">IFERROR(
AVERAGE((IF(DATOS_[[Sexo]:[Sexo]]=$B71,IF(DATOS_[[AGRUP. CLAS. PROF.]:[AGRUP. CLAS. PROF.]]=$B69,IF(DATOS_[[Check Periodo Ref.]:[Check Periodo Ref.]]="Dentro",DATOS_[Conc.Sal.11]))))),
0)</f>
        <v>0</v>
      </c>
      <c r="Q71" s="93">
        <f t="array" ref="Q71">IFERROR(
AVERAGE((IF(DATOS_[[Sexo]:[Sexo]]=$B71,IF(DATOS_[[AGRUP. CLAS. PROF.]:[AGRUP. CLAS. PROF.]]=$B69,IF(DATOS_[[Check Periodo Ref.]:[Check Periodo Ref.]]="Dentro",DATOS_[Conc.Sal.12]))))),
0)</f>
        <v>0</v>
      </c>
      <c r="R71" s="93">
        <f t="array" ref="R71">IFERROR(
AVERAGE((IF(DATOS_[[Sexo]:[Sexo]]=$B71,IF(DATOS_[[AGRUP. CLAS. PROF.]:[AGRUP. CLAS. PROF.]]=$B69,IF(DATOS_[[Check Periodo Ref.]:[Check Periodo Ref.]]="Dentro",DATOS_[Conc.Sal.13]))))),
0)</f>
        <v>0</v>
      </c>
      <c r="S71" s="93">
        <f t="array" ref="S71">IFERROR(
AVERAGE((IF(DATOS_[[Sexo]:[Sexo]]=$B71,IF(DATOS_[[AGRUP. CLAS. PROF.]:[AGRUP. CLAS. PROF.]]=$B69,IF(DATOS_[[Check Periodo Ref.]:[Check Periodo Ref.]]="Dentro",DATOS_[Conc.Sal.14]))))),
0)</f>
        <v>0</v>
      </c>
      <c r="T71" s="93">
        <f t="array" ref="T71">IFERROR(
AVERAGE((IF(DATOS_[[Sexo]:[Sexo]]=$B71,IF(DATOS_[[AGRUP. CLAS. PROF.]:[AGRUP. CLAS. PROF.]]=$B69,IF(DATOS_[[Check Periodo Ref.]:[Check Periodo Ref.]]="Dentro",DATOS_[Conc.Sal.15]))))),
0)</f>
        <v>0</v>
      </c>
      <c r="U71" s="93">
        <f t="array" ref="U71">IFERROR(
AVERAGE((IF(DATOS_[[Sexo]:[Sexo]]=$B71,IF(DATOS_[[AGRUP. CLAS. PROF.]:[AGRUP. CLAS. PROF.]]=$B69,IF(DATOS_[[Check Periodo Ref.]:[Check Periodo Ref.]]="Dentro",DATOS_[Conc.Sal.16]))))),
0)</f>
        <v>0</v>
      </c>
      <c r="V71" s="93">
        <f t="array" ref="V71">IFERROR(
AVERAGE((IF(DATOS_[[Sexo]:[Sexo]]=$B71,IF(DATOS_[[AGRUP. CLAS. PROF.]:[AGRUP. CLAS. PROF.]]=$B69,IF(DATOS_[[Check Periodo Ref.]:[Check Periodo Ref.]]="Dentro",DATOS_[Conc.Sal.17]))))),
0)</f>
        <v>0</v>
      </c>
      <c r="W71" s="93">
        <f t="array" ref="W71">IFERROR(
AVERAGE((IF(DATOS_[[Sexo]:[Sexo]]=$B71,IF(DATOS_[[AGRUP. CLAS. PROF.]:[AGRUP. CLAS. PROF.]]=$B69,IF(DATOS_[[Check Periodo Ref.]:[Check Periodo Ref.]]="Dentro",DATOS_[Conc.Sal.18]))))),
0)</f>
        <v>0</v>
      </c>
      <c r="X71" s="93">
        <f t="array" ref="X71">IFERROR(
AVERAGE((IF(DATOS_[[Sexo]:[Sexo]]=$B71,IF(DATOS_[[AGRUP. CLAS. PROF.]:[AGRUP. CLAS. PROF.]]=$B69,IF(DATOS_[[Check Periodo Ref.]:[Check Periodo Ref.]]="Dentro",DATOS_[Conc.Sal.19]))))),
0)</f>
        <v>0</v>
      </c>
      <c r="Y71" s="93">
        <f t="array" ref="Y71">IFERROR(
AVERAGE((IF(DATOS_[[Sexo]:[Sexo]]=$B71,IF(DATOS_[[AGRUP. CLAS. PROF.]:[AGRUP. CLAS. PROF.]]=$B69,IF(DATOS_[[Check Periodo Ref.]:[Check Periodo Ref.]]="Dentro",DATOS_[Conc.Sal.20]))))),
0)</f>
        <v>0</v>
      </c>
      <c r="Z71" s="93">
        <f t="array" ref="Z71">IFERROR(
AVERAGE((IF(DATOS_[[Sexo]:[Sexo]]=$B71,IF(DATOS_[[AGRUP. CLAS. PROF.]:[AGRUP. CLAS. PROF.]]=$B69,IF(DATOS_[[Check Periodo Ref.]:[Check Periodo Ref.]]="Dentro",DATOS_[Conc.Sal.21]))))),
0)</f>
        <v>0</v>
      </c>
      <c r="AA71" s="93">
        <f t="array" ref="AA71">IFERROR(
AVERAGE((IF(DATOS_[[Sexo]:[Sexo]]=$B71,IF(DATOS_[[AGRUP. CLAS. PROF.]:[AGRUP. CLAS. PROF.]]=$B69,IF(DATOS_[[Check Periodo Ref.]:[Check Periodo Ref.]]="Dentro",DATOS_[Conc.Sal.22]))))),
0)</f>
        <v>0</v>
      </c>
      <c r="AB71" s="93">
        <f t="array" ref="AB71">IFERROR(
AVERAGE((IF(DATOS_[[Sexo]:[Sexo]]=$B71,IF(DATOS_[[AGRUP. CLAS. PROF.]:[AGRUP. CLAS. PROF.]]=$B69,IF(DATOS_[[Check Periodo Ref.]:[Check Periodo Ref.]]="Dentro",DATOS_[Conc.Sal.23]))))),
0)</f>
        <v>0</v>
      </c>
      <c r="AC71" s="93">
        <f t="array" ref="AC71">IFERROR(
AVERAGE((IF(DATOS_[[Sexo]:[Sexo]]=$B71,IF(DATOS_[[AGRUP. CLAS. PROF.]:[AGRUP. CLAS. PROF.]]=$B69,IF(DATOS_[[Check Periodo Ref.]:[Check Periodo Ref.]]="Dentro",DATOS_[Conc.Sal.24]))))),
0)</f>
        <v>0</v>
      </c>
      <c r="AD71" s="93">
        <f t="array" ref="AD71">IFERROR(
AVERAGE((IF(DATOS_[[Sexo]:[Sexo]]=$B71,IF(DATOS_[[AGRUP. CLAS. PROF.]:[AGRUP. CLAS. PROF.]]=$B69,IF(DATOS_[[Check Periodo Ref.]:[Check Periodo Ref.]]="Dentro",DATOS_[Conc.Sal.25]))))),
0)</f>
        <v>0</v>
      </c>
      <c r="AE71" s="93">
        <f t="array" ref="AE71">IFERROR(
AVERAGE((IF(DATOS_[[Sexo]:[Sexo]]=$B71,IF(DATOS_[[AGRUP. CLAS. PROF.]:[AGRUP. CLAS. PROF.]]=$B69,IF(DATOS_[[Check Periodo Ref.]:[Check Periodo Ref.]]="Dentro",DATOS_[Conc.Sal.26]))))),
0)</f>
        <v>0</v>
      </c>
      <c r="AF71" s="93">
        <f t="array" ref="AF71">IFERROR(
AVERAGE((IF(DATOS_[[Sexo]:[Sexo]]=$B71,IF(DATOS_[[AGRUP. CLAS. PROF.]:[AGRUP. CLAS. PROF.]]=$B69,IF(DATOS_[[Check Periodo Ref.]:[Check Periodo Ref.]]="Dentro",DATOS_[Conc.Sal.27]))))),
0)</f>
        <v>0</v>
      </c>
      <c r="AG71" s="93">
        <f t="array" ref="AG71">IFERROR(
AVERAGE((IF(DATOS_[[Sexo]:[Sexo]]=$B71,IF(DATOS_[[AGRUP. CLAS. PROF.]:[AGRUP. CLAS. PROF.]]=$B69,IF(DATOS_[[Check Periodo Ref.]:[Check Periodo Ref.]]="Dentro",DATOS_[Conc.Sal.28]))))),
0)</f>
        <v>0</v>
      </c>
      <c r="AH71" s="93">
        <f t="array" ref="AH71">IFERROR(
AVERAGE((IF(DATOS_[[Sexo]:[Sexo]]=$B71,IF(DATOS_[[AGRUP. CLAS. PROF.]:[AGRUP. CLAS. PROF.]]=$B69,IF(DATOS_[[Check Periodo Ref.]:[Check Periodo Ref.]]="Dentro",DATOS_[Conc.Sal.29]))))),
0)</f>
        <v>0</v>
      </c>
      <c r="AI71" s="93">
        <f t="array" ref="AI71">IFERROR(
AVERAGE((IF(DATOS_[[Sexo]:[Sexo]]=$B71,IF(DATOS_[[AGRUP. CLAS. PROF.]:[AGRUP. CLAS. PROF.]]=$B69,IF(DATOS_[[Check Periodo Ref.]:[Check Periodo Ref.]]="Dentro",DATOS_[Conc.Sal.30]))))),
0)</f>
        <v>0</v>
      </c>
      <c r="AJ71" s="94">
        <f t="array" ref="AJ71">IFERROR(
AVERAGE(IF(DATOS_[Sexo]=$B71,IF(DATOS_[AGRUP. CLAS. PROF.]=$B69,IF(DATOS_[Check Periodo Ref.]="Dentro",DATOS_[Tot COMPL.SAL Ef],FALSE)))),
0)</f>
        <v>0</v>
      </c>
      <c r="AK71" s="96">
        <f t="array" ref="AK71">IFERROR(
AVERAGE(IF(DATOS_[Sexo]=$B71,IF(DATOS_[AGRUP. CLAS. PROF.]=$B69,IF(DATOS_[Check Periodo Ref.]="Dentro",DATOS_[TOTAL SALARIO Ef],FALSE)))),
0)</f>
        <v>0</v>
      </c>
      <c r="AL71" s="95">
        <f t="array" ref="AL71">IFERROR(
AVERAGE((IF(DATOS_[[Sexo]:[Sexo]]=$B71,IF(DATOS_[[AGRUP. CLAS. PROF.]:[AGRUP. CLAS. PROF.]]=$B69,IF(DATOS_[[Check Periodo Ref.]:[Check Periodo Ref.]]="Dentro",DATOS_[C.Extra.01]))))),
0)</f>
        <v>0</v>
      </c>
      <c r="AM71" s="95">
        <f t="array" ref="AM71">IFERROR(
AVERAGE((IF(DATOS_[[Sexo]:[Sexo]]=$B71,IF(DATOS_[[AGRUP. CLAS. PROF.]:[AGRUP. CLAS. PROF.]]=$B69,IF(DATOS_[[Check Periodo Ref.]:[Check Periodo Ref.]]="Dentro",DATOS_[C.Extra.02]))))),
0)</f>
        <v>0</v>
      </c>
      <c r="AN71" s="95">
        <f t="array" ref="AN71">IFERROR(
AVERAGE((IF(DATOS_[[Sexo]:[Sexo]]=$B71,IF(DATOS_[[AGRUP. CLAS. PROF.]:[AGRUP. CLAS. PROF.]]=$B69,IF(DATOS_[[Check Periodo Ref.]:[Check Periodo Ref.]]="Dentro",DATOS_[C.Extra.03]))))),
0)</f>
        <v>0</v>
      </c>
      <c r="AO71" s="95">
        <f t="array" ref="AO71">IFERROR(
AVERAGE((IF(DATOS_[[Sexo]:[Sexo]]=$B71,IF(DATOS_[[AGRUP. CLAS. PROF.]:[AGRUP. CLAS. PROF.]]=$B69,IF(DATOS_[[Check Periodo Ref.]:[Check Periodo Ref.]]="Dentro",DATOS_[C.Extra.04]))))),
0)</f>
        <v>0</v>
      </c>
      <c r="AP71" s="95">
        <f t="array" ref="AP71">IFERROR(
AVERAGE((IF(DATOS_[[Sexo]:[Sexo]]=$B71,IF(DATOS_[[AGRUP. CLAS. PROF.]:[AGRUP. CLAS. PROF.]]=$B69,IF(DATOS_[[Check Periodo Ref.]:[Check Periodo Ref.]]="Dentro",DATOS_[C.Extra.05]))))),
0)</f>
        <v>0</v>
      </c>
      <c r="AQ71" s="97">
        <f t="array" ref="AQ71">IFERROR(
AVERAGE(IF(DATOS_[Sexo]=$B71,IF(DATOS_[AGRUP. CLAS. PROF.]=$B69,IF(DATOS_[Check Periodo Ref.]="Dentro",DATOS_[Tot Extrasalarial Ef],FALSE)))),
0)</f>
        <v>0</v>
      </c>
      <c r="AR71" s="98">
        <f t="array" ref="AR71">IFERROR(
AVERAGE(IF(DATOS_[Sexo]=$B71,IF(DATOS_[AGRUP. CLAS. PROF.]=$B69,IF(DATOS_[Check Periodo Ref.]="Dentro",DATOS_[TOTAL Retrib Ef],FALSE)))),
0)</f>
        <v>0</v>
      </c>
    </row>
    <row r="72" spans="1:44" ht="17.25" hidden="1" thickBot="1" x14ac:dyDescent="0.35">
      <c r="A72" s="309" t="str">
        <f t="shared" ref="A72" si="79">+A73</f>
        <v>[ocultar]</v>
      </c>
      <c r="B72" s="51" t="s">
        <v>236</v>
      </c>
      <c r="C72" s="91"/>
      <c r="D72" s="52"/>
      <c r="E72" s="139" t="str">
        <f t="shared" ref="E72:AR72" si="80">IFERROR((E73-E74)/E73,"")</f>
        <v/>
      </c>
      <c r="F72" s="310" t="str">
        <f t="shared" si="80"/>
        <v/>
      </c>
      <c r="G72" s="180" t="str">
        <f t="shared" si="80"/>
        <v/>
      </c>
      <c r="H72" s="180" t="str">
        <f t="shared" si="80"/>
        <v/>
      </c>
      <c r="I72" s="180" t="str">
        <f t="shared" si="80"/>
        <v/>
      </c>
      <c r="J72" s="181" t="str">
        <f t="shared" si="80"/>
        <v/>
      </c>
      <c r="K72" s="182" t="str">
        <f t="shared" si="80"/>
        <v/>
      </c>
      <c r="L72" s="182" t="str">
        <f t="shared" si="80"/>
        <v/>
      </c>
      <c r="M72" s="182" t="str">
        <f t="shared" si="80"/>
        <v/>
      </c>
      <c r="N72" s="182" t="str">
        <f t="shared" si="80"/>
        <v/>
      </c>
      <c r="O72" s="182" t="str">
        <f t="shared" si="80"/>
        <v/>
      </c>
      <c r="P72" s="182" t="str">
        <f t="shared" si="80"/>
        <v/>
      </c>
      <c r="Q72" s="182" t="str">
        <f t="shared" si="80"/>
        <v/>
      </c>
      <c r="R72" s="182" t="str">
        <f t="shared" si="80"/>
        <v/>
      </c>
      <c r="S72" s="182" t="str">
        <f t="shared" si="80"/>
        <v/>
      </c>
      <c r="T72" s="182" t="str">
        <f t="shared" si="80"/>
        <v/>
      </c>
      <c r="U72" s="182" t="str">
        <f t="shared" si="80"/>
        <v/>
      </c>
      <c r="V72" s="181" t="str">
        <f t="shared" si="80"/>
        <v/>
      </c>
      <c r="W72" s="181" t="str">
        <f t="shared" si="80"/>
        <v/>
      </c>
      <c r="X72" s="181" t="str">
        <f t="shared" si="80"/>
        <v/>
      </c>
      <c r="Y72" s="181" t="str">
        <f t="shared" si="80"/>
        <v/>
      </c>
      <c r="Z72" s="181" t="str">
        <f t="shared" si="80"/>
        <v/>
      </c>
      <c r="AA72" s="181" t="str">
        <f t="shared" si="80"/>
        <v/>
      </c>
      <c r="AB72" s="181" t="str">
        <f t="shared" si="80"/>
        <v/>
      </c>
      <c r="AC72" s="181" t="str">
        <f t="shared" si="80"/>
        <v/>
      </c>
      <c r="AD72" s="181" t="str">
        <f t="shared" si="80"/>
        <v/>
      </c>
      <c r="AE72" s="181" t="str">
        <f t="shared" si="80"/>
        <v/>
      </c>
      <c r="AF72" s="181" t="str">
        <f t="shared" si="80"/>
        <v/>
      </c>
      <c r="AG72" s="181" t="str">
        <f t="shared" si="80"/>
        <v/>
      </c>
      <c r="AH72" s="181" t="str">
        <f t="shared" si="80"/>
        <v/>
      </c>
      <c r="AI72" s="181" t="str">
        <f t="shared" si="80"/>
        <v/>
      </c>
      <c r="AJ72" s="140" t="str">
        <f t="shared" si="80"/>
        <v/>
      </c>
      <c r="AK72" s="143" t="str">
        <f t="shared" si="80"/>
        <v/>
      </c>
      <c r="AL72" s="184" t="str">
        <f t="shared" si="80"/>
        <v/>
      </c>
      <c r="AM72" s="184" t="str">
        <f t="shared" si="80"/>
        <v/>
      </c>
      <c r="AN72" s="184" t="str">
        <f t="shared" si="80"/>
        <v/>
      </c>
      <c r="AO72" s="184" t="str">
        <f t="shared" si="80"/>
        <v/>
      </c>
      <c r="AP72" s="184" t="str">
        <f t="shared" si="80"/>
        <v/>
      </c>
      <c r="AQ72" s="141" t="str">
        <f t="shared" si="80"/>
        <v/>
      </c>
      <c r="AR72" s="142" t="str">
        <f t="shared" si="80"/>
        <v/>
      </c>
    </row>
    <row r="73" spans="1:44" hidden="1" x14ac:dyDescent="0.3">
      <c r="A73" s="309" t="str">
        <f t="shared" ref="A73" si="81">+IF(C73+C74=0,"[ocultar]","")</f>
        <v>[ocultar]</v>
      </c>
      <c r="B73" s="46" t="s">
        <v>162</v>
      </c>
      <c r="C73" s="45">
        <f t="array" ref="C73">SUM(IF($B73=DATOS_[Sexo],
IF($B72=DATOS_[AGRUP. CLAS. PROF.],
IF("Dentro"=DATOS_[Check Periodo Ref.],
1/(COUNTIFS(DATOS_[Sexo],$B73,DATOS_[AGRUP. CLAS. PROF.],$B72,DATOS_[Check Periodo Ref.],"Dentro",DATOS_[id],DATOS_[id]))))))</f>
        <v>0</v>
      </c>
      <c r="D73" s="47">
        <f>COUNTIFS(DATOS_[AGRUP. CLAS. PROF.],$B72,DATOS_[Sexo],$B73,DATOS_[Check Periodo Ref.],"Dentro")</f>
        <v>0</v>
      </c>
      <c r="E73" s="92">
        <f t="array" ref="E73">IFERROR(
AVERAGE(IF(DATOS_[Sexo]=$B73,IF(DATOS_[AGRUP. CLAS. PROF.]=$B72,IF(DATOS_[Check Periodo Ref.]="Dentro",DATOS_[SALARIO BASE Ef],FALSE)))),
0)</f>
        <v>0</v>
      </c>
      <c r="F73" s="93">
        <f t="array" ref="F73">IFERROR(
AVERAGE((IF(DATOS_[[Sexo]:[Sexo]]=$B73,IF(DATOS_[[AGRUP. CLAS. PROF.]:[AGRUP. CLAS. PROF.]]=$B72,IF(DATOS_[[Check Periodo Ref.]:[Check Periodo Ref.]]="Dentro",DATOS_[Conc.Sal.01]))))),
0)</f>
        <v>0</v>
      </c>
      <c r="G73" s="93">
        <f t="array" ref="G73">IFERROR(
AVERAGE((IF(DATOS_[[Sexo]:[Sexo]]=$B73,IF(DATOS_[[AGRUP. CLAS. PROF.]:[AGRUP. CLAS. PROF.]]=$B72,IF(DATOS_[[Check Periodo Ref.]:[Check Periodo Ref.]]="Dentro",DATOS_[Conc.Sal.02]))))),
0)</f>
        <v>0</v>
      </c>
      <c r="H73" s="93">
        <f t="array" ref="H73">IFERROR(
AVERAGE((IF(DATOS_[[Sexo]:[Sexo]]=$B73,IF(DATOS_[[AGRUP. CLAS. PROF.]:[AGRUP. CLAS. PROF.]]=$B72,IF(DATOS_[[Check Periodo Ref.]:[Check Periodo Ref.]]="Dentro",DATOS_[Conc.Sal.03]))))),
0)</f>
        <v>0</v>
      </c>
      <c r="I73" s="93">
        <f t="array" ref="I73">IFERROR(
AVERAGE((IF(DATOS_[[Sexo]:[Sexo]]=$B73,IF(DATOS_[[AGRUP. CLAS. PROF.]:[AGRUP. CLAS. PROF.]]=$B72,IF(DATOS_[[Check Periodo Ref.]:[Check Periodo Ref.]]="Dentro",DATOS_[Conc.Sal.04]))))),
0)</f>
        <v>0</v>
      </c>
      <c r="J73" s="93">
        <f t="array" ref="J73">IFERROR(
AVERAGE((IF(DATOS_[[Sexo]:[Sexo]]=$B73,IF(DATOS_[[AGRUP. CLAS. PROF.]:[AGRUP. CLAS. PROF.]]=$B72,IF(DATOS_[[Check Periodo Ref.]:[Check Periodo Ref.]]="Dentro",DATOS_[Conc.Sal.05]))))),
0)</f>
        <v>0</v>
      </c>
      <c r="K73" s="93">
        <f t="array" ref="K73">IFERROR(
AVERAGE((IF(DATOS_[[Sexo]:[Sexo]]=$B73,IF(DATOS_[[AGRUP. CLAS. PROF.]:[AGRUP. CLAS. PROF.]]=$B72,IF(DATOS_[[Check Periodo Ref.]:[Check Periodo Ref.]]="Dentro",DATOS_[Conc.Sal.06]))))),
0)</f>
        <v>0</v>
      </c>
      <c r="L73" s="93">
        <f t="array" ref="L73">IFERROR(
AVERAGE((IF(DATOS_[[Sexo]:[Sexo]]=$B73,IF(DATOS_[[AGRUP. CLAS. PROF.]:[AGRUP. CLAS. PROF.]]=$B72,IF(DATOS_[[Check Periodo Ref.]:[Check Periodo Ref.]]="Dentro",DATOS_[Conc.Sal.07]))))),
0)</f>
        <v>0</v>
      </c>
      <c r="M73" s="93">
        <f t="array" ref="M73">IFERROR(
AVERAGE((IF(DATOS_[[Sexo]:[Sexo]]=$B73,IF(DATOS_[[AGRUP. CLAS. PROF.]:[AGRUP. CLAS. PROF.]]=$B72,IF(DATOS_[[Check Periodo Ref.]:[Check Periodo Ref.]]="Dentro",DATOS_[Conc.Sal.08]))))),
0)</f>
        <v>0</v>
      </c>
      <c r="N73" s="93">
        <f t="array" ref="N73">IFERROR(
AVERAGE((IF(DATOS_[[Sexo]:[Sexo]]=$B73,IF(DATOS_[[AGRUP. CLAS. PROF.]:[AGRUP. CLAS. PROF.]]=$B72,IF(DATOS_[[Check Periodo Ref.]:[Check Periodo Ref.]]="Dentro",DATOS_[Conc.Sal.09]))))),
0)</f>
        <v>0</v>
      </c>
      <c r="O73" s="93">
        <f t="array" ref="O73">IFERROR(
AVERAGE((IF(DATOS_[[Sexo]:[Sexo]]=$B73,IF(DATOS_[[AGRUP. CLAS. PROF.]:[AGRUP. CLAS. PROF.]]=$B72,IF(DATOS_[[Check Periodo Ref.]:[Check Periodo Ref.]]="Dentro",DATOS_[Conc.Sal.10]))))),
0)</f>
        <v>0</v>
      </c>
      <c r="P73" s="93">
        <f t="array" ref="P73">IFERROR(
AVERAGE((IF(DATOS_[[Sexo]:[Sexo]]=$B73,IF(DATOS_[[AGRUP. CLAS. PROF.]:[AGRUP. CLAS. PROF.]]=$B72,IF(DATOS_[[Check Periodo Ref.]:[Check Periodo Ref.]]="Dentro",DATOS_[Conc.Sal.11]))))),
0)</f>
        <v>0</v>
      </c>
      <c r="Q73" s="93">
        <f t="array" ref="Q73">IFERROR(
AVERAGE((IF(DATOS_[[Sexo]:[Sexo]]=$B73,IF(DATOS_[[AGRUP. CLAS. PROF.]:[AGRUP. CLAS. PROF.]]=$B72,IF(DATOS_[[Check Periodo Ref.]:[Check Periodo Ref.]]="Dentro",DATOS_[Conc.Sal.12]))))),
0)</f>
        <v>0</v>
      </c>
      <c r="R73" s="93">
        <f t="array" ref="R73">IFERROR(
AVERAGE((IF(DATOS_[[Sexo]:[Sexo]]=$B73,IF(DATOS_[[AGRUP. CLAS. PROF.]:[AGRUP. CLAS. PROF.]]=$B72,IF(DATOS_[[Check Periodo Ref.]:[Check Periodo Ref.]]="Dentro",DATOS_[Conc.Sal.13]))))),
0)</f>
        <v>0</v>
      </c>
      <c r="S73" s="93">
        <f t="array" ref="S73">IFERROR(
AVERAGE((IF(DATOS_[[Sexo]:[Sexo]]=$B73,IF(DATOS_[[AGRUP. CLAS. PROF.]:[AGRUP. CLAS. PROF.]]=$B72,IF(DATOS_[[Check Periodo Ref.]:[Check Periodo Ref.]]="Dentro",DATOS_[Conc.Sal.14]))))),
0)</f>
        <v>0</v>
      </c>
      <c r="T73" s="93">
        <f t="array" ref="T73">IFERROR(
AVERAGE((IF(DATOS_[[Sexo]:[Sexo]]=$B73,IF(DATOS_[[AGRUP. CLAS. PROF.]:[AGRUP. CLAS. PROF.]]=$B72,IF(DATOS_[[Check Periodo Ref.]:[Check Periodo Ref.]]="Dentro",DATOS_[Conc.Sal.15]))))),
0)</f>
        <v>0</v>
      </c>
      <c r="U73" s="93">
        <f t="array" ref="U73">IFERROR(
AVERAGE((IF(DATOS_[[Sexo]:[Sexo]]=$B73,IF(DATOS_[[AGRUP. CLAS. PROF.]:[AGRUP. CLAS. PROF.]]=$B72,IF(DATOS_[[Check Periodo Ref.]:[Check Periodo Ref.]]="Dentro",DATOS_[Conc.Sal.16]))))),
0)</f>
        <v>0</v>
      </c>
      <c r="V73" s="93">
        <f t="array" ref="V73">IFERROR(
AVERAGE((IF(DATOS_[[Sexo]:[Sexo]]=$B73,IF(DATOS_[[AGRUP. CLAS. PROF.]:[AGRUP. CLAS. PROF.]]=$B72,IF(DATOS_[[Check Periodo Ref.]:[Check Periodo Ref.]]="Dentro",DATOS_[Conc.Sal.17]))))),
0)</f>
        <v>0</v>
      </c>
      <c r="W73" s="93">
        <f t="array" ref="W73">IFERROR(
AVERAGE((IF(DATOS_[[Sexo]:[Sexo]]=$B73,IF(DATOS_[[AGRUP. CLAS. PROF.]:[AGRUP. CLAS. PROF.]]=$B72,IF(DATOS_[[Check Periodo Ref.]:[Check Periodo Ref.]]="Dentro",DATOS_[Conc.Sal.18]))))),
0)</f>
        <v>0</v>
      </c>
      <c r="X73" s="93">
        <f t="array" ref="X73">IFERROR(
AVERAGE((IF(DATOS_[[Sexo]:[Sexo]]=$B73,IF(DATOS_[[AGRUP. CLAS. PROF.]:[AGRUP. CLAS. PROF.]]=$B72,IF(DATOS_[[Check Periodo Ref.]:[Check Periodo Ref.]]="Dentro",DATOS_[Conc.Sal.19]))))),
0)</f>
        <v>0</v>
      </c>
      <c r="Y73" s="93">
        <f t="array" ref="Y73">IFERROR(
AVERAGE((IF(DATOS_[[Sexo]:[Sexo]]=$B73,IF(DATOS_[[AGRUP. CLAS. PROF.]:[AGRUP. CLAS. PROF.]]=$B72,IF(DATOS_[[Check Periodo Ref.]:[Check Periodo Ref.]]="Dentro",DATOS_[Conc.Sal.20]))))),
0)</f>
        <v>0</v>
      </c>
      <c r="Z73" s="93">
        <f t="array" ref="Z73">IFERROR(
AVERAGE((IF(DATOS_[[Sexo]:[Sexo]]=$B73,IF(DATOS_[[AGRUP. CLAS. PROF.]:[AGRUP. CLAS. PROF.]]=$B72,IF(DATOS_[[Check Periodo Ref.]:[Check Periodo Ref.]]="Dentro",DATOS_[Conc.Sal.21]))))),
0)</f>
        <v>0</v>
      </c>
      <c r="AA73" s="93">
        <f t="array" ref="AA73">IFERROR(
AVERAGE((IF(DATOS_[[Sexo]:[Sexo]]=$B73,IF(DATOS_[[AGRUP. CLAS. PROF.]:[AGRUP. CLAS. PROF.]]=$B72,IF(DATOS_[[Check Periodo Ref.]:[Check Periodo Ref.]]="Dentro",DATOS_[Conc.Sal.22]))))),
0)</f>
        <v>0</v>
      </c>
      <c r="AB73" s="93">
        <f t="array" ref="AB73">IFERROR(
AVERAGE((IF(DATOS_[[Sexo]:[Sexo]]=$B73,IF(DATOS_[[AGRUP. CLAS. PROF.]:[AGRUP. CLAS. PROF.]]=$B72,IF(DATOS_[[Check Periodo Ref.]:[Check Periodo Ref.]]="Dentro",DATOS_[Conc.Sal.23]))))),
0)</f>
        <v>0</v>
      </c>
      <c r="AC73" s="93">
        <f t="array" ref="AC73">IFERROR(
AVERAGE((IF(DATOS_[[Sexo]:[Sexo]]=$B73,IF(DATOS_[[AGRUP. CLAS. PROF.]:[AGRUP. CLAS. PROF.]]=$B72,IF(DATOS_[[Check Periodo Ref.]:[Check Periodo Ref.]]="Dentro",DATOS_[Conc.Sal.24]))))),
0)</f>
        <v>0</v>
      </c>
      <c r="AD73" s="93">
        <f t="array" ref="AD73">IFERROR(
AVERAGE((IF(DATOS_[[Sexo]:[Sexo]]=$B73,IF(DATOS_[[AGRUP. CLAS. PROF.]:[AGRUP. CLAS. PROF.]]=$B72,IF(DATOS_[[Check Periodo Ref.]:[Check Periodo Ref.]]="Dentro",DATOS_[Conc.Sal.25]))))),
0)</f>
        <v>0</v>
      </c>
      <c r="AE73" s="93">
        <f t="array" ref="AE73">IFERROR(
AVERAGE((IF(DATOS_[[Sexo]:[Sexo]]=$B73,IF(DATOS_[[AGRUP. CLAS. PROF.]:[AGRUP. CLAS. PROF.]]=$B72,IF(DATOS_[[Check Periodo Ref.]:[Check Periodo Ref.]]="Dentro",DATOS_[Conc.Sal.26]))))),
0)</f>
        <v>0</v>
      </c>
      <c r="AF73" s="93">
        <f t="array" ref="AF73">IFERROR(
AVERAGE((IF(DATOS_[[Sexo]:[Sexo]]=$B73,IF(DATOS_[[AGRUP. CLAS. PROF.]:[AGRUP. CLAS. PROF.]]=$B72,IF(DATOS_[[Check Periodo Ref.]:[Check Periodo Ref.]]="Dentro",DATOS_[Conc.Sal.27]))))),
0)</f>
        <v>0</v>
      </c>
      <c r="AG73" s="93">
        <f t="array" ref="AG73">IFERROR(
AVERAGE((IF(DATOS_[[Sexo]:[Sexo]]=$B73,IF(DATOS_[[AGRUP. CLAS. PROF.]:[AGRUP. CLAS. PROF.]]=$B72,IF(DATOS_[[Check Periodo Ref.]:[Check Periodo Ref.]]="Dentro",DATOS_[Conc.Sal.28]))))),
0)</f>
        <v>0</v>
      </c>
      <c r="AH73" s="93">
        <f t="array" ref="AH73">IFERROR(
AVERAGE((IF(DATOS_[[Sexo]:[Sexo]]=$B73,IF(DATOS_[[AGRUP. CLAS. PROF.]:[AGRUP. CLAS. PROF.]]=$B72,IF(DATOS_[[Check Periodo Ref.]:[Check Periodo Ref.]]="Dentro",DATOS_[Conc.Sal.29]))))),
0)</f>
        <v>0</v>
      </c>
      <c r="AI73" s="93">
        <f t="array" ref="AI73">IFERROR(
AVERAGE((IF(DATOS_[[Sexo]:[Sexo]]=$B73,IF(DATOS_[[AGRUP. CLAS. PROF.]:[AGRUP. CLAS. PROF.]]=$B72,IF(DATOS_[[Check Periodo Ref.]:[Check Periodo Ref.]]="Dentro",DATOS_[Conc.Sal.30]))))),
0)</f>
        <v>0</v>
      </c>
      <c r="AJ73" s="94">
        <f t="array" ref="AJ73">IFERROR(
AVERAGE(IF(DATOS_[Sexo]=$B73,IF(DATOS_[AGRUP. CLAS. PROF.]=$B72,IF(DATOS_[Check Periodo Ref.]="Dentro",DATOS_[Tot COMPL.SAL Ef],FALSE)))),
0)</f>
        <v>0</v>
      </c>
      <c r="AK73" s="96">
        <f t="array" ref="AK73">IFERROR(
AVERAGE(IF(DATOS_[Sexo]=$B73,IF(DATOS_[AGRUP. CLAS. PROF.]=$B72,IF(DATOS_[Check Periodo Ref.]="Dentro",DATOS_[TOTAL SALARIO Ef],FALSE)))),
0)</f>
        <v>0</v>
      </c>
      <c r="AL73" s="95">
        <f t="array" ref="AL73">IFERROR(
AVERAGE((IF(DATOS_[[Sexo]:[Sexo]]=$B73,IF(DATOS_[[AGRUP. CLAS. PROF.]:[AGRUP. CLAS. PROF.]]=$B72,IF(DATOS_[[Check Periodo Ref.]:[Check Periodo Ref.]]="Dentro",DATOS_[C.Extra.01]))))),
0)</f>
        <v>0</v>
      </c>
      <c r="AM73" s="95">
        <f t="array" ref="AM73">IFERROR(
AVERAGE((IF(DATOS_[[Sexo]:[Sexo]]=$B73,IF(DATOS_[[AGRUP. CLAS. PROF.]:[AGRUP. CLAS. PROF.]]=$B72,IF(DATOS_[[Check Periodo Ref.]:[Check Periodo Ref.]]="Dentro",DATOS_[C.Extra.02]))))),
0)</f>
        <v>0</v>
      </c>
      <c r="AN73" s="95">
        <f t="array" ref="AN73">IFERROR(
AVERAGE((IF(DATOS_[[Sexo]:[Sexo]]=$B73,IF(DATOS_[[AGRUP. CLAS. PROF.]:[AGRUP. CLAS. PROF.]]=$B72,IF(DATOS_[[Check Periodo Ref.]:[Check Periodo Ref.]]="Dentro",DATOS_[C.Extra.03]))))),
0)</f>
        <v>0</v>
      </c>
      <c r="AO73" s="95">
        <f t="array" ref="AO73">IFERROR(
AVERAGE((IF(DATOS_[[Sexo]:[Sexo]]=$B73,IF(DATOS_[[AGRUP. CLAS. PROF.]:[AGRUP. CLAS. PROF.]]=$B72,IF(DATOS_[[Check Periodo Ref.]:[Check Periodo Ref.]]="Dentro",DATOS_[C.Extra.04]))))),
0)</f>
        <v>0</v>
      </c>
      <c r="AP73" s="95">
        <f t="array" ref="AP73">IFERROR(
AVERAGE((IF(DATOS_[[Sexo]:[Sexo]]=$B73,IF(DATOS_[[AGRUP. CLAS. PROF.]:[AGRUP. CLAS. PROF.]]=$B72,IF(DATOS_[[Check Periodo Ref.]:[Check Periodo Ref.]]="Dentro",DATOS_[C.Extra.05]))))),
0)</f>
        <v>0</v>
      </c>
      <c r="AQ73" s="97">
        <f t="array" ref="AQ73">IFERROR(
AVERAGE(IF(DATOS_[Sexo]=$B73,IF(DATOS_[AGRUP. CLAS. PROF.]=$B72,IF(DATOS_[Check Periodo Ref.]="Dentro",DATOS_[Tot Extrasalarial Ef],FALSE)))),
0)</f>
        <v>0</v>
      </c>
      <c r="AR73" s="98">
        <f t="array" ref="AR73">IFERROR(
AVERAGE(IF(DATOS_[Sexo]=$B73,IF(DATOS_[AGRUP. CLAS. PROF.]=$B72,IF(DATOS_[Check Periodo Ref.]="Dentro",DATOS_[TOTAL Retrib Ef],FALSE)))),
0)</f>
        <v>0</v>
      </c>
    </row>
    <row r="74" spans="1:44" hidden="1" x14ac:dyDescent="0.3">
      <c r="A74" s="309" t="str">
        <f t="shared" ref="A74" si="82">+A73</f>
        <v>[ocultar]</v>
      </c>
      <c r="B74" s="46" t="s">
        <v>163</v>
      </c>
      <c r="C74" s="45">
        <f t="array" ref="C74">SUM(IF($B74=DATOS_[Sexo],
IF($B72=DATOS_[AGRUP. CLAS. PROF.],
IF("Dentro"=DATOS_[Check Periodo Ref.],
1/(COUNTIFS(DATOS_[Sexo],$B74,DATOS_[AGRUP. CLAS. PROF.],$B72,DATOS_[Check Periodo Ref.],"Dentro",DATOS_[id],DATOS_[id]))))))</f>
        <v>0</v>
      </c>
      <c r="D74" s="47">
        <f>COUNTIFS(DATOS_[AGRUP. CLAS. PROF.],$B72,DATOS_[Sexo],$B74,DATOS_[Check Periodo Ref.],"Dentro")</f>
        <v>0</v>
      </c>
      <c r="E74" s="92">
        <f t="array" ref="E74">IFERROR(
AVERAGE(IF(DATOS_[Sexo]=$B74,IF(DATOS_[AGRUP. CLAS. PROF.]=$B72,IF(DATOS_[Check Periodo Ref.]="Dentro",DATOS_[SALARIO BASE Ef],FALSE)))),
0)</f>
        <v>0</v>
      </c>
      <c r="F74" s="93">
        <f t="array" ref="F74">IFERROR(
AVERAGE((IF(DATOS_[[Sexo]:[Sexo]]=$B74,IF(DATOS_[[AGRUP. CLAS. PROF.]:[AGRUP. CLAS. PROF.]]=$B72,IF(DATOS_[[Check Periodo Ref.]:[Check Periodo Ref.]]="Dentro",DATOS_[Conc.Sal.01]))))),
0)</f>
        <v>0</v>
      </c>
      <c r="G74" s="93">
        <f t="array" ref="G74">IFERROR(
AVERAGE((IF(DATOS_[[Sexo]:[Sexo]]=$B74,IF(DATOS_[[AGRUP. CLAS. PROF.]:[AGRUP. CLAS. PROF.]]=$B72,IF(DATOS_[[Check Periodo Ref.]:[Check Periodo Ref.]]="Dentro",DATOS_[Conc.Sal.02]))))),
0)</f>
        <v>0</v>
      </c>
      <c r="H74" s="93">
        <f t="array" ref="H74">IFERROR(
AVERAGE((IF(DATOS_[[Sexo]:[Sexo]]=$B74,IF(DATOS_[[AGRUP. CLAS. PROF.]:[AGRUP. CLAS. PROF.]]=$B72,IF(DATOS_[[Check Periodo Ref.]:[Check Periodo Ref.]]="Dentro",DATOS_[Conc.Sal.03]))))),
0)</f>
        <v>0</v>
      </c>
      <c r="I74" s="93">
        <f t="array" ref="I74">IFERROR(
AVERAGE((IF(DATOS_[[Sexo]:[Sexo]]=$B74,IF(DATOS_[[AGRUP. CLAS. PROF.]:[AGRUP. CLAS. PROF.]]=$B72,IF(DATOS_[[Check Periodo Ref.]:[Check Periodo Ref.]]="Dentro",DATOS_[Conc.Sal.04]))))),
0)</f>
        <v>0</v>
      </c>
      <c r="J74" s="93">
        <f t="array" ref="J74">IFERROR(
AVERAGE((IF(DATOS_[[Sexo]:[Sexo]]=$B74,IF(DATOS_[[AGRUP. CLAS. PROF.]:[AGRUP. CLAS. PROF.]]=$B72,IF(DATOS_[[Check Periodo Ref.]:[Check Periodo Ref.]]="Dentro",DATOS_[Conc.Sal.05]))))),
0)</f>
        <v>0</v>
      </c>
      <c r="K74" s="93">
        <f t="array" ref="K74">IFERROR(
AVERAGE((IF(DATOS_[[Sexo]:[Sexo]]=$B74,IF(DATOS_[[AGRUP. CLAS. PROF.]:[AGRUP. CLAS. PROF.]]=$B72,IF(DATOS_[[Check Periodo Ref.]:[Check Periodo Ref.]]="Dentro",DATOS_[Conc.Sal.06]))))),
0)</f>
        <v>0</v>
      </c>
      <c r="L74" s="93">
        <f t="array" ref="L74">IFERROR(
AVERAGE((IF(DATOS_[[Sexo]:[Sexo]]=$B74,IF(DATOS_[[AGRUP. CLAS. PROF.]:[AGRUP. CLAS. PROF.]]=$B72,IF(DATOS_[[Check Periodo Ref.]:[Check Periodo Ref.]]="Dentro",DATOS_[Conc.Sal.07]))))),
0)</f>
        <v>0</v>
      </c>
      <c r="M74" s="93">
        <f t="array" ref="M74">IFERROR(
AVERAGE((IF(DATOS_[[Sexo]:[Sexo]]=$B74,IF(DATOS_[[AGRUP. CLAS. PROF.]:[AGRUP. CLAS. PROF.]]=$B72,IF(DATOS_[[Check Periodo Ref.]:[Check Periodo Ref.]]="Dentro",DATOS_[Conc.Sal.08]))))),
0)</f>
        <v>0</v>
      </c>
      <c r="N74" s="93">
        <f t="array" ref="N74">IFERROR(
AVERAGE((IF(DATOS_[[Sexo]:[Sexo]]=$B74,IF(DATOS_[[AGRUP. CLAS. PROF.]:[AGRUP. CLAS. PROF.]]=$B72,IF(DATOS_[[Check Periodo Ref.]:[Check Periodo Ref.]]="Dentro",DATOS_[Conc.Sal.09]))))),
0)</f>
        <v>0</v>
      </c>
      <c r="O74" s="93">
        <f t="array" ref="O74">IFERROR(
AVERAGE((IF(DATOS_[[Sexo]:[Sexo]]=$B74,IF(DATOS_[[AGRUP. CLAS. PROF.]:[AGRUP. CLAS. PROF.]]=$B72,IF(DATOS_[[Check Periodo Ref.]:[Check Periodo Ref.]]="Dentro",DATOS_[Conc.Sal.10]))))),
0)</f>
        <v>0</v>
      </c>
      <c r="P74" s="93">
        <f t="array" ref="P74">IFERROR(
AVERAGE((IF(DATOS_[[Sexo]:[Sexo]]=$B74,IF(DATOS_[[AGRUP. CLAS. PROF.]:[AGRUP. CLAS. PROF.]]=$B72,IF(DATOS_[[Check Periodo Ref.]:[Check Periodo Ref.]]="Dentro",DATOS_[Conc.Sal.11]))))),
0)</f>
        <v>0</v>
      </c>
      <c r="Q74" s="93">
        <f t="array" ref="Q74">IFERROR(
AVERAGE((IF(DATOS_[[Sexo]:[Sexo]]=$B74,IF(DATOS_[[AGRUP. CLAS. PROF.]:[AGRUP. CLAS. PROF.]]=$B72,IF(DATOS_[[Check Periodo Ref.]:[Check Periodo Ref.]]="Dentro",DATOS_[Conc.Sal.12]))))),
0)</f>
        <v>0</v>
      </c>
      <c r="R74" s="93">
        <f t="array" ref="R74">IFERROR(
AVERAGE((IF(DATOS_[[Sexo]:[Sexo]]=$B74,IF(DATOS_[[AGRUP. CLAS. PROF.]:[AGRUP. CLAS. PROF.]]=$B72,IF(DATOS_[[Check Periodo Ref.]:[Check Periodo Ref.]]="Dentro",DATOS_[Conc.Sal.13]))))),
0)</f>
        <v>0</v>
      </c>
      <c r="S74" s="93">
        <f t="array" ref="S74">IFERROR(
AVERAGE((IF(DATOS_[[Sexo]:[Sexo]]=$B74,IF(DATOS_[[AGRUP. CLAS. PROF.]:[AGRUP. CLAS. PROF.]]=$B72,IF(DATOS_[[Check Periodo Ref.]:[Check Periodo Ref.]]="Dentro",DATOS_[Conc.Sal.14]))))),
0)</f>
        <v>0</v>
      </c>
      <c r="T74" s="93">
        <f t="array" ref="T74">IFERROR(
AVERAGE((IF(DATOS_[[Sexo]:[Sexo]]=$B74,IF(DATOS_[[AGRUP. CLAS. PROF.]:[AGRUP. CLAS. PROF.]]=$B72,IF(DATOS_[[Check Periodo Ref.]:[Check Periodo Ref.]]="Dentro",DATOS_[Conc.Sal.15]))))),
0)</f>
        <v>0</v>
      </c>
      <c r="U74" s="93">
        <f t="array" ref="U74">IFERROR(
AVERAGE((IF(DATOS_[[Sexo]:[Sexo]]=$B74,IF(DATOS_[[AGRUP. CLAS. PROF.]:[AGRUP. CLAS. PROF.]]=$B72,IF(DATOS_[[Check Periodo Ref.]:[Check Periodo Ref.]]="Dentro",DATOS_[Conc.Sal.16]))))),
0)</f>
        <v>0</v>
      </c>
      <c r="V74" s="93">
        <f t="array" ref="V74">IFERROR(
AVERAGE((IF(DATOS_[[Sexo]:[Sexo]]=$B74,IF(DATOS_[[AGRUP. CLAS. PROF.]:[AGRUP. CLAS. PROF.]]=$B72,IF(DATOS_[[Check Periodo Ref.]:[Check Periodo Ref.]]="Dentro",DATOS_[Conc.Sal.17]))))),
0)</f>
        <v>0</v>
      </c>
      <c r="W74" s="93">
        <f t="array" ref="W74">IFERROR(
AVERAGE((IF(DATOS_[[Sexo]:[Sexo]]=$B74,IF(DATOS_[[AGRUP. CLAS. PROF.]:[AGRUP. CLAS. PROF.]]=$B72,IF(DATOS_[[Check Periodo Ref.]:[Check Periodo Ref.]]="Dentro",DATOS_[Conc.Sal.18]))))),
0)</f>
        <v>0</v>
      </c>
      <c r="X74" s="93">
        <f t="array" ref="X74">IFERROR(
AVERAGE((IF(DATOS_[[Sexo]:[Sexo]]=$B74,IF(DATOS_[[AGRUP. CLAS. PROF.]:[AGRUP. CLAS. PROF.]]=$B72,IF(DATOS_[[Check Periodo Ref.]:[Check Periodo Ref.]]="Dentro",DATOS_[Conc.Sal.19]))))),
0)</f>
        <v>0</v>
      </c>
      <c r="Y74" s="93">
        <f t="array" ref="Y74">IFERROR(
AVERAGE((IF(DATOS_[[Sexo]:[Sexo]]=$B74,IF(DATOS_[[AGRUP. CLAS. PROF.]:[AGRUP. CLAS. PROF.]]=$B72,IF(DATOS_[[Check Periodo Ref.]:[Check Periodo Ref.]]="Dentro",DATOS_[Conc.Sal.20]))))),
0)</f>
        <v>0</v>
      </c>
      <c r="Z74" s="93">
        <f t="array" ref="Z74">IFERROR(
AVERAGE((IF(DATOS_[[Sexo]:[Sexo]]=$B74,IF(DATOS_[[AGRUP. CLAS. PROF.]:[AGRUP. CLAS. PROF.]]=$B72,IF(DATOS_[[Check Periodo Ref.]:[Check Periodo Ref.]]="Dentro",DATOS_[Conc.Sal.21]))))),
0)</f>
        <v>0</v>
      </c>
      <c r="AA74" s="93">
        <f t="array" ref="AA74">IFERROR(
AVERAGE((IF(DATOS_[[Sexo]:[Sexo]]=$B74,IF(DATOS_[[AGRUP. CLAS. PROF.]:[AGRUP. CLAS. PROF.]]=$B72,IF(DATOS_[[Check Periodo Ref.]:[Check Periodo Ref.]]="Dentro",DATOS_[Conc.Sal.22]))))),
0)</f>
        <v>0</v>
      </c>
      <c r="AB74" s="93">
        <f t="array" ref="AB74">IFERROR(
AVERAGE((IF(DATOS_[[Sexo]:[Sexo]]=$B74,IF(DATOS_[[AGRUP. CLAS. PROF.]:[AGRUP. CLAS. PROF.]]=$B72,IF(DATOS_[[Check Periodo Ref.]:[Check Periodo Ref.]]="Dentro",DATOS_[Conc.Sal.23]))))),
0)</f>
        <v>0</v>
      </c>
      <c r="AC74" s="93">
        <f t="array" ref="AC74">IFERROR(
AVERAGE((IF(DATOS_[[Sexo]:[Sexo]]=$B74,IF(DATOS_[[AGRUP. CLAS. PROF.]:[AGRUP. CLAS. PROF.]]=$B72,IF(DATOS_[[Check Periodo Ref.]:[Check Periodo Ref.]]="Dentro",DATOS_[Conc.Sal.24]))))),
0)</f>
        <v>0</v>
      </c>
      <c r="AD74" s="93">
        <f t="array" ref="AD74">IFERROR(
AVERAGE((IF(DATOS_[[Sexo]:[Sexo]]=$B74,IF(DATOS_[[AGRUP. CLAS. PROF.]:[AGRUP. CLAS. PROF.]]=$B72,IF(DATOS_[[Check Periodo Ref.]:[Check Periodo Ref.]]="Dentro",DATOS_[Conc.Sal.25]))))),
0)</f>
        <v>0</v>
      </c>
      <c r="AE74" s="93">
        <f t="array" ref="AE74">IFERROR(
AVERAGE((IF(DATOS_[[Sexo]:[Sexo]]=$B74,IF(DATOS_[[AGRUP. CLAS. PROF.]:[AGRUP. CLAS. PROF.]]=$B72,IF(DATOS_[[Check Periodo Ref.]:[Check Periodo Ref.]]="Dentro",DATOS_[Conc.Sal.26]))))),
0)</f>
        <v>0</v>
      </c>
      <c r="AF74" s="93">
        <f t="array" ref="AF74">IFERROR(
AVERAGE((IF(DATOS_[[Sexo]:[Sexo]]=$B74,IF(DATOS_[[AGRUP. CLAS. PROF.]:[AGRUP. CLAS. PROF.]]=$B72,IF(DATOS_[[Check Periodo Ref.]:[Check Periodo Ref.]]="Dentro",DATOS_[Conc.Sal.27]))))),
0)</f>
        <v>0</v>
      </c>
      <c r="AG74" s="93">
        <f t="array" ref="AG74">IFERROR(
AVERAGE((IF(DATOS_[[Sexo]:[Sexo]]=$B74,IF(DATOS_[[AGRUP. CLAS. PROF.]:[AGRUP. CLAS. PROF.]]=$B72,IF(DATOS_[[Check Periodo Ref.]:[Check Periodo Ref.]]="Dentro",DATOS_[Conc.Sal.28]))))),
0)</f>
        <v>0</v>
      </c>
      <c r="AH74" s="93">
        <f t="array" ref="AH74">IFERROR(
AVERAGE((IF(DATOS_[[Sexo]:[Sexo]]=$B74,IF(DATOS_[[AGRUP. CLAS. PROF.]:[AGRUP. CLAS. PROF.]]=$B72,IF(DATOS_[[Check Periodo Ref.]:[Check Periodo Ref.]]="Dentro",DATOS_[Conc.Sal.29]))))),
0)</f>
        <v>0</v>
      </c>
      <c r="AI74" s="93">
        <f t="array" ref="AI74">IFERROR(
AVERAGE((IF(DATOS_[[Sexo]:[Sexo]]=$B74,IF(DATOS_[[AGRUP. CLAS. PROF.]:[AGRUP. CLAS. PROF.]]=$B72,IF(DATOS_[[Check Periodo Ref.]:[Check Periodo Ref.]]="Dentro",DATOS_[Conc.Sal.30]))))),
0)</f>
        <v>0</v>
      </c>
      <c r="AJ74" s="94">
        <f t="array" ref="AJ74">IFERROR(
AVERAGE(IF(DATOS_[Sexo]=$B74,IF(DATOS_[AGRUP. CLAS. PROF.]=$B72,IF(DATOS_[Check Periodo Ref.]="Dentro",DATOS_[Tot COMPL.SAL Ef],FALSE)))),
0)</f>
        <v>0</v>
      </c>
      <c r="AK74" s="96">
        <f t="array" ref="AK74">IFERROR(
AVERAGE(IF(DATOS_[Sexo]=$B74,IF(DATOS_[AGRUP. CLAS. PROF.]=$B72,IF(DATOS_[Check Periodo Ref.]="Dentro",DATOS_[TOTAL SALARIO Ef],FALSE)))),
0)</f>
        <v>0</v>
      </c>
      <c r="AL74" s="95">
        <f t="array" ref="AL74">IFERROR(
AVERAGE((IF(DATOS_[[Sexo]:[Sexo]]=$B74,IF(DATOS_[[AGRUP. CLAS. PROF.]:[AGRUP. CLAS. PROF.]]=$B72,IF(DATOS_[[Check Periodo Ref.]:[Check Periodo Ref.]]="Dentro",DATOS_[C.Extra.01]))))),
0)</f>
        <v>0</v>
      </c>
      <c r="AM74" s="95">
        <f t="array" ref="AM74">IFERROR(
AVERAGE((IF(DATOS_[[Sexo]:[Sexo]]=$B74,IF(DATOS_[[AGRUP. CLAS. PROF.]:[AGRUP. CLAS. PROF.]]=$B72,IF(DATOS_[[Check Periodo Ref.]:[Check Periodo Ref.]]="Dentro",DATOS_[C.Extra.02]))))),
0)</f>
        <v>0</v>
      </c>
      <c r="AN74" s="95">
        <f t="array" ref="AN74">IFERROR(
AVERAGE((IF(DATOS_[[Sexo]:[Sexo]]=$B74,IF(DATOS_[[AGRUP. CLAS. PROF.]:[AGRUP. CLAS. PROF.]]=$B72,IF(DATOS_[[Check Periodo Ref.]:[Check Periodo Ref.]]="Dentro",DATOS_[C.Extra.03]))))),
0)</f>
        <v>0</v>
      </c>
      <c r="AO74" s="95">
        <f t="array" ref="AO74">IFERROR(
AVERAGE((IF(DATOS_[[Sexo]:[Sexo]]=$B74,IF(DATOS_[[AGRUP. CLAS. PROF.]:[AGRUP. CLAS. PROF.]]=$B72,IF(DATOS_[[Check Periodo Ref.]:[Check Periodo Ref.]]="Dentro",DATOS_[C.Extra.04]))))),
0)</f>
        <v>0</v>
      </c>
      <c r="AP74" s="95">
        <f t="array" ref="AP74">IFERROR(
AVERAGE((IF(DATOS_[[Sexo]:[Sexo]]=$B74,IF(DATOS_[[AGRUP. CLAS. PROF.]:[AGRUP. CLAS. PROF.]]=$B72,IF(DATOS_[[Check Periodo Ref.]:[Check Periodo Ref.]]="Dentro",DATOS_[C.Extra.05]))))),
0)</f>
        <v>0</v>
      </c>
      <c r="AQ74" s="97">
        <f t="array" ref="AQ74">IFERROR(
AVERAGE(IF(DATOS_[Sexo]=$B74,IF(DATOS_[AGRUP. CLAS. PROF.]=$B72,IF(DATOS_[Check Periodo Ref.]="Dentro",DATOS_[Tot Extrasalarial Ef],FALSE)))),
0)</f>
        <v>0</v>
      </c>
      <c r="AR74" s="98">
        <f t="array" ref="AR74">IFERROR(
AVERAGE(IF(DATOS_[Sexo]=$B74,IF(DATOS_[AGRUP. CLAS. PROF.]=$B72,IF(DATOS_[Check Periodo Ref.]="Dentro",DATOS_[TOTAL Retrib Ef],FALSE)))),
0)</f>
        <v>0</v>
      </c>
    </row>
    <row r="75" spans="1:44" ht="17.25" hidden="1" thickBot="1" x14ac:dyDescent="0.35">
      <c r="A75" s="309" t="str">
        <f t="shared" ref="A75" si="83">+A76</f>
        <v>[ocultar]</v>
      </c>
      <c r="B75" s="51" t="s">
        <v>237</v>
      </c>
      <c r="C75" s="91"/>
      <c r="D75" s="52"/>
      <c r="E75" s="139" t="str">
        <f t="shared" ref="E75:AR75" si="84">IFERROR((E76-E77)/E76,"")</f>
        <v/>
      </c>
      <c r="F75" s="310" t="str">
        <f t="shared" si="84"/>
        <v/>
      </c>
      <c r="G75" s="180" t="str">
        <f t="shared" si="84"/>
        <v/>
      </c>
      <c r="H75" s="180" t="str">
        <f t="shared" si="84"/>
        <v/>
      </c>
      <c r="I75" s="180" t="str">
        <f t="shared" si="84"/>
        <v/>
      </c>
      <c r="J75" s="181" t="str">
        <f t="shared" si="84"/>
        <v/>
      </c>
      <c r="K75" s="182" t="str">
        <f t="shared" si="84"/>
        <v/>
      </c>
      <c r="L75" s="182" t="str">
        <f t="shared" si="84"/>
        <v/>
      </c>
      <c r="M75" s="182" t="str">
        <f t="shared" si="84"/>
        <v/>
      </c>
      <c r="N75" s="182" t="str">
        <f t="shared" si="84"/>
        <v/>
      </c>
      <c r="O75" s="182" t="str">
        <f t="shared" si="84"/>
        <v/>
      </c>
      <c r="P75" s="182" t="str">
        <f t="shared" si="84"/>
        <v/>
      </c>
      <c r="Q75" s="182" t="str">
        <f t="shared" si="84"/>
        <v/>
      </c>
      <c r="R75" s="182" t="str">
        <f t="shared" si="84"/>
        <v/>
      </c>
      <c r="S75" s="182" t="str">
        <f t="shared" si="84"/>
        <v/>
      </c>
      <c r="T75" s="182" t="str">
        <f t="shared" si="84"/>
        <v/>
      </c>
      <c r="U75" s="182" t="str">
        <f t="shared" si="84"/>
        <v/>
      </c>
      <c r="V75" s="181" t="str">
        <f t="shared" si="84"/>
        <v/>
      </c>
      <c r="W75" s="181" t="str">
        <f t="shared" si="84"/>
        <v/>
      </c>
      <c r="X75" s="181" t="str">
        <f t="shared" si="84"/>
        <v/>
      </c>
      <c r="Y75" s="181" t="str">
        <f t="shared" si="84"/>
        <v/>
      </c>
      <c r="Z75" s="181" t="str">
        <f t="shared" si="84"/>
        <v/>
      </c>
      <c r="AA75" s="181" t="str">
        <f t="shared" si="84"/>
        <v/>
      </c>
      <c r="AB75" s="181" t="str">
        <f t="shared" si="84"/>
        <v/>
      </c>
      <c r="AC75" s="181" t="str">
        <f t="shared" si="84"/>
        <v/>
      </c>
      <c r="AD75" s="181" t="str">
        <f t="shared" si="84"/>
        <v/>
      </c>
      <c r="AE75" s="181" t="str">
        <f t="shared" si="84"/>
        <v/>
      </c>
      <c r="AF75" s="181" t="str">
        <f t="shared" si="84"/>
        <v/>
      </c>
      <c r="AG75" s="181" t="str">
        <f t="shared" si="84"/>
        <v/>
      </c>
      <c r="AH75" s="181" t="str">
        <f t="shared" si="84"/>
        <v/>
      </c>
      <c r="AI75" s="181" t="str">
        <f t="shared" si="84"/>
        <v/>
      </c>
      <c r="AJ75" s="140" t="str">
        <f t="shared" si="84"/>
        <v/>
      </c>
      <c r="AK75" s="143" t="str">
        <f t="shared" si="84"/>
        <v/>
      </c>
      <c r="AL75" s="184" t="str">
        <f t="shared" si="84"/>
        <v/>
      </c>
      <c r="AM75" s="184" t="str">
        <f t="shared" si="84"/>
        <v/>
      </c>
      <c r="AN75" s="184" t="str">
        <f t="shared" si="84"/>
        <v/>
      </c>
      <c r="AO75" s="184" t="str">
        <f t="shared" si="84"/>
        <v/>
      </c>
      <c r="AP75" s="184" t="str">
        <f t="shared" si="84"/>
        <v/>
      </c>
      <c r="AQ75" s="141" t="str">
        <f t="shared" si="84"/>
        <v/>
      </c>
      <c r="AR75" s="142" t="str">
        <f t="shared" si="84"/>
        <v/>
      </c>
    </row>
    <row r="76" spans="1:44" hidden="1" x14ac:dyDescent="0.3">
      <c r="A76" s="309" t="str">
        <f t="shared" ref="A76" si="85">+IF(C76+C77=0,"[ocultar]","")</f>
        <v>[ocultar]</v>
      </c>
      <c r="B76" s="46" t="s">
        <v>162</v>
      </c>
      <c r="C76" s="45">
        <f t="array" ref="C76">SUM(IF($B76=DATOS_[Sexo],
IF($B75=DATOS_[AGRUP. CLAS. PROF.],
IF("Dentro"=DATOS_[Check Periodo Ref.],
1/(COUNTIFS(DATOS_[Sexo],$B76,DATOS_[AGRUP. CLAS. PROF.],$B75,DATOS_[Check Periodo Ref.],"Dentro",DATOS_[id],DATOS_[id]))))))</f>
        <v>0</v>
      </c>
      <c r="D76" s="47">
        <f>COUNTIFS(DATOS_[AGRUP. CLAS. PROF.],$B75,DATOS_[Sexo],$B76,DATOS_[Check Periodo Ref.],"Dentro")</f>
        <v>0</v>
      </c>
      <c r="E76" s="92">
        <f t="array" ref="E76">IFERROR(
AVERAGE(IF(DATOS_[Sexo]=$B76,IF(DATOS_[AGRUP. CLAS. PROF.]=$B75,IF(DATOS_[Check Periodo Ref.]="Dentro",DATOS_[SALARIO BASE Ef],FALSE)))),
0)</f>
        <v>0</v>
      </c>
      <c r="F76" s="93">
        <f t="array" ref="F76">IFERROR(
AVERAGE((IF(DATOS_[[Sexo]:[Sexo]]=$B76,IF(DATOS_[[AGRUP. CLAS. PROF.]:[AGRUP. CLAS. PROF.]]=$B75,IF(DATOS_[[Check Periodo Ref.]:[Check Periodo Ref.]]="Dentro",DATOS_[Conc.Sal.01]))))),
0)</f>
        <v>0</v>
      </c>
      <c r="G76" s="93">
        <f t="array" ref="G76">IFERROR(
AVERAGE((IF(DATOS_[[Sexo]:[Sexo]]=$B76,IF(DATOS_[[AGRUP. CLAS. PROF.]:[AGRUP. CLAS. PROF.]]=$B75,IF(DATOS_[[Check Periodo Ref.]:[Check Periodo Ref.]]="Dentro",DATOS_[Conc.Sal.02]))))),
0)</f>
        <v>0</v>
      </c>
      <c r="H76" s="93">
        <f t="array" ref="H76">IFERROR(
AVERAGE((IF(DATOS_[[Sexo]:[Sexo]]=$B76,IF(DATOS_[[AGRUP. CLAS. PROF.]:[AGRUP. CLAS. PROF.]]=$B75,IF(DATOS_[[Check Periodo Ref.]:[Check Periodo Ref.]]="Dentro",DATOS_[Conc.Sal.03]))))),
0)</f>
        <v>0</v>
      </c>
      <c r="I76" s="93">
        <f t="array" ref="I76">IFERROR(
AVERAGE((IF(DATOS_[[Sexo]:[Sexo]]=$B76,IF(DATOS_[[AGRUP. CLAS. PROF.]:[AGRUP. CLAS. PROF.]]=$B75,IF(DATOS_[[Check Periodo Ref.]:[Check Periodo Ref.]]="Dentro",DATOS_[Conc.Sal.04]))))),
0)</f>
        <v>0</v>
      </c>
      <c r="J76" s="93">
        <f t="array" ref="J76">IFERROR(
AVERAGE((IF(DATOS_[[Sexo]:[Sexo]]=$B76,IF(DATOS_[[AGRUP. CLAS. PROF.]:[AGRUP. CLAS. PROF.]]=$B75,IF(DATOS_[[Check Periodo Ref.]:[Check Periodo Ref.]]="Dentro",DATOS_[Conc.Sal.05]))))),
0)</f>
        <v>0</v>
      </c>
      <c r="K76" s="93">
        <f t="array" ref="K76">IFERROR(
AVERAGE((IF(DATOS_[[Sexo]:[Sexo]]=$B76,IF(DATOS_[[AGRUP. CLAS. PROF.]:[AGRUP. CLAS. PROF.]]=$B75,IF(DATOS_[[Check Periodo Ref.]:[Check Periodo Ref.]]="Dentro",DATOS_[Conc.Sal.06]))))),
0)</f>
        <v>0</v>
      </c>
      <c r="L76" s="93">
        <f t="array" ref="L76">IFERROR(
AVERAGE((IF(DATOS_[[Sexo]:[Sexo]]=$B76,IF(DATOS_[[AGRUP. CLAS. PROF.]:[AGRUP. CLAS. PROF.]]=$B75,IF(DATOS_[[Check Periodo Ref.]:[Check Periodo Ref.]]="Dentro",DATOS_[Conc.Sal.07]))))),
0)</f>
        <v>0</v>
      </c>
      <c r="M76" s="93">
        <f t="array" ref="M76">IFERROR(
AVERAGE((IF(DATOS_[[Sexo]:[Sexo]]=$B76,IF(DATOS_[[AGRUP. CLAS. PROF.]:[AGRUP. CLAS. PROF.]]=$B75,IF(DATOS_[[Check Periodo Ref.]:[Check Periodo Ref.]]="Dentro",DATOS_[Conc.Sal.08]))))),
0)</f>
        <v>0</v>
      </c>
      <c r="N76" s="93">
        <f t="array" ref="N76">IFERROR(
AVERAGE((IF(DATOS_[[Sexo]:[Sexo]]=$B76,IF(DATOS_[[AGRUP. CLAS. PROF.]:[AGRUP. CLAS. PROF.]]=$B75,IF(DATOS_[[Check Periodo Ref.]:[Check Periodo Ref.]]="Dentro",DATOS_[Conc.Sal.09]))))),
0)</f>
        <v>0</v>
      </c>
      <c r="O76" s="93">
        <f t="array" ref="O76">IFERROR(
AVERAGE((IF(DATOS_[[Sexo]:[Sexo]]=$B76,IF(DATOS_[[AGRUP. CLAS. PROF.]:[AGRUP. CLAS. PROF.]]=$B75,IF(DATOS_[[Check Periodo Ref.]:[Check Periodo Ref.]]="Dentro",DATOS_[Conc.Sal.10]))))),
0)</f>
        <v>0</v>
      </c>
      <c r="P76" s="93">
        <f t="array" ref="P76">IFERROR(
AVERAGE((IF(DATOS_[[Sexo]:[Sexo]]=$B76,IF(DATOS_[[AGRUP. CLAS. PROF.]:[AGRUP. CLAS. PROF.]]=$B75,IF(DATOS_[[Check Periodo Ref.]:[Check Periodo Ref.]]="Dentro",DATOS_[Conc.Sal.11]))))),
0)</f>
        <v>0</v>
      </c>
      <c r="Q76" s="93">
        <f t="array" ref="Q76">IFERROR(
AVERAGE((IF(DATOS_[[Sexo]:[Sexo]]=$B76,IF(DATOS_[[AGRUP. CLAS. PROF.]:[AGRUP. CLAS. PROF.]]=$B75,IF(DATOS_[[Check Periodo Ref.]:[Check Periodo Ref.]]="Dentro",DATOS_[Conc.Sal.12]))))),
0)</f>
        <v>0</v>
      </c>
      <c r="R76" s="93">
        <f t="array" ref="R76">IFERROR(
AVERAGE((IF(DATOS_[[Sexo]:[Sexo]]=$B76,IF(DATOS_[[AGRUP. CLAS. PROF.]:[AGRUP. CLAS. PROF.]]=$B75,IF(DATOS_[[Check Periodo Ref.]:[Check Periodo Ref.]]="Dentro",DATOS_[Conc.Sal.13]))))),
0)</f>
        <v>0</v>
      </c>
      <c r="S76" s="93">
        <f t="array" ref="S76">IFERROR(
AVERAGE((IF(DATOS_[[Sexo]:[Sexo]]=$B76,IF(DATOS_[[AGRUP. CLAS. PROF.]:[AGRUP. CLAS. PROF.]]=$B75,IF(DATOS_[[Check Periodo Ref.]:[Check Periodo Ref.]]="Dentro",DATOS_[Conc.Sal.14]))))),
0)</f>
        <v>0</v>
      </c>
      <c r="T76" s="93">
        <f t="array" ref="T76">IFERROR(
AVERAGE((IF(DATOS_[[Sexo]:[Sexo]]=$B76,IF(DATOS_[[AGRUP. CLAS. PROF.]:[AGRUP. CLAS. PROF.]]=$B75,IF(DATOS_[[Check Periodo Ref.]:[Check Periodo Ref.]]="Dentro",DATOS_[Conc.Sal.15]))))),
0)</f>
        <v>0</v>
      </c>
      <c r="U76" s="93">
        <f t="array" ref="U76">IFERROR(
AVERAGE((IF(DATOS_[[Sexo]:[Sexo]]=$B76,IF(DATOS_[[AGRUP. CLAS. PROF.]:[AGRUP. CLAS. PROF.]]=$B75,IF(DATOS_[[Check Periodo Ref.]:[Check Periodo Ref.]]="Dentro",DATOS_[Conc.Sal.16]))))),
0)</f>
        <v>0</v>
      </c>
      <c r="V76" s="93">
        <f t="array" ref="V76">IFERROR(
AVERAGE((IF(DATOS_[[Sexo]:[Sexo]]=$B76,IF(DATOS_[[AGRUP. CLAS. PROF.]:[AGRUP. CLAS. PROF.]]=$B75,IF(DATOS_[[Check Periodo Ref.]:[Check Periodo Ref.]]="Dentro",DATOS_[Conc.Sal.17]))))),
0)</f>
        <v>0</v>
      </c>
      <c r="W76" s="93">
        <f t="array" ref="W76">IFERROR(
AVERAGE((IF(DATOS_[[Sexo]:[Sexo]]=$B76,IF(DATOS_[[AGRUP. CLAS. PROF.]:[AGRUP. CLAS. PROF.]]=$B75,IF(DATOS_[[Check Periodo Ref.]:[Check Periodo Ref.]]="Dentro",DATOS_[Conc.Sal.18]))))),
0)</f>
        <v>0</v>
      </c>
      <c r="X76" s="93">
        <f t="array" ref="X76">IFERROR(
AVERAGE((IF(DATOS_[[Sexo]:[Sexo]]=$B76,IF(DATOS_[[AGRUP. CLAS. PROF.]:[AGRUP. CLAS. PROF.]]=$B75,IF(DATOS_[[Check Periodo Ref.]:[Check Periodo Ref.]]="Dentro",DATOS_[Conc.Sal.19]))))),
0)</f>
        <v>0</v>
      </c>
      <c r="Y76" s="93">
        <f t="array" ref="Y76">IFERROR(
AVERAGE((IF(DATOS_[[Sexo]:[Sexo]]=$B76,IF(DATOS_[[AGRUP. CLAS. PROF.]:[AGRUP. CLAS. PROF.]]=$B75,IF(DATOS_[[Check Periodo Ref.]:[Check Periodo Ref.]]="Dentro",DATOS_[Conc.Sal.20]))))),
0)</f>
        <v>0</v>
      </c>
      <c r="Z76" s="93">
        <f t="array" ref="Z76">IFERROR(
AVERAGE((IF(DATOS_[[Sexo]:[Sexo]]=$B76,IF(DATOS_[[AGRUP. CLAS. PROF.]:[AGRUP. CLAS. PROF.]]=$B75,IF(DATOS_[[Check Periodo Ref.]:[Check Periodo Ref.]]="Dentro",DATOS_[Conc.Sal.21]))))),
0)</f>
        <v>0</v>
      </c>
      <c r="AA76" s="93">
        <f t="array" ref="AA76">IFERROR(
AVERAGE((IF(DATOS_[[Sexo]:[Sexo]]=$B76,IF(DATOS_[[AGRUP. CLAS. PROF.]:[AGRUP. CLAS. PROF.]]=$B75,IF(DATOS_[[Check Periodo Ref.]:[Check Periodo Ref.]]="Dentro",DATOS_[Conc.Sal.22]))))),
0)</f>
        <v>0</v>
      </c>
      <c r="AB76" s="93">
        <f t="array" ref="AB76">IFERROR(
AVERAGE((IF(DATOS_[[Sexo]:[Sexo]]=$B76,IF(DATOS_[[AGRUP. CLAS. PROF.]:[AGRUP. CLAS. PROF.]]=$B75,IF(DATOS_[[Check Periodo Ref.]:[Check Periodo Ref.]]="Dentro",DATOS_[Conc.Sal.23]))))),
0)</f>
        <v>0</v>
      </c>
      <c r="AC76" s="93">
        <f t="array" ref="AC76">IFERROR(
AVERAGE((IF(DATOS_[[Sexo]:[Sexo]]=$B76,IF(DATOS_[[AGRUP. CLAS. PROF.]:[AGRUP. CLAS. PROF.]]=$B75,IF(DATOS_[[Check Periodo Ref.]:[Check Periodo Ref.]]="Dentro",DATOS_[Conc.Sal.24]))))),
0)</f>
        <v>0</v>
      </c>
      <c r="AD76" s="93">
        <f t="array" ref="AD76">IFERROR(
AVERAGE((IF(DATOS_[[Sexo]:[Sexo]]=$B76,IF(DATOS_[[AGRUP. CLAS. PROF.]:[AGRUP. CLAS. PROF.]]=$B75,IF(DATOS_[[Check Periodo Ref.]:[Check Periodo Ref.]]="Dentro",DATOS_[Conc.Sal.25]))))),
0)</f>
        <v>0</v>
      </c>
      <c r="AE76" s="93">
        <f t="array" ref="AE76">IFERROR(
AVERAGE((IF(DATOS_[[Sexo]:[Sexo]]=$B76,IF(DATOS_[[AGRUP. CLAS. PROF.]:[AGRUP. CLAS. PROF.]]=$B75,IF(DATOS_[[Check Periodo Ref.]:[Check Periodo Ref.]]="Dentro",DATOS_[Conc.Sal.26]))))),
0)</f>
        <v>0</v>
      </c>
      <c r="AF76" s="93">
        <f t="array" ref="AF76">IFERROR(
AVERAGE((IF(DATOS_[[Sexo]:[Sexo]]=$B76,IF(DATOS_[[AGRUP. CLAS. PROF.]:[AGRUP. CLAS. PROF.]]=$B75,IF(DATOS_[[Check Periodo Ref.]:[Check Periodo Ref.]]="Dentro",DATOS_[Conc.Sal.27]))))),
0)</f>
        <v>0</v>
      </c>
      <c r="AG76" s="93">
        <f t="array" ref="AG76">IFERROR(
AVERAGE((IF(DATOS_[[Sexo]:[Sexo]]=$B76,IF(DATOS_[[AGRUP. CLAS. PROF.]:[AGRUP. CLAS. PROF.]]=$B75,IF(DATOS_[[Check Periodo Ref.]:[Check Periodo Ref.]]="Dentro",DATOS_[Conc.Sal.28]))))),
0)</f>
        <v>0</v>
      </c>
      <c r="AH76" s="93">
        <f t="array" ref="AH76">IFERROR(
AVERAGE((IF(DATOS_[[Sexo]:[Sexo]]=$B76,IF(DATOS_[[AGRUP. CLAS. PROF.]:[AGRUP. CLAS. PROF.]]=$B75,IF(DATOS_[[Check Periodo Ref.]:[Check Periodo Ref.]]="Dentro",DATOS_[Conc.Sal.29]))))),
0)</f>
        <v>0</v>
      </c>
      <c r="AI76" s="93">
        <f t="array" ref="AI76">IFERROR(
AVERAGE((IF(DATOS_[[Sexo]:[Sexo]]=$B76,IF(DATOS_[[AGRUP. CLAS. PROF.]:[AGRUP. CLAS. PROF.]]=$B75,IF(DATOS_[[Check Periodo Ref.]:[Check Periodo Ref.]]="Dentro",DATOS_[Conc.Sal.30]))))),
0)</f>
        <v>0</v>
      </c>
      <c r="AJ76" s="94">
        <f t="array" ref="AJ76">IFERROR(
AVERAGE(IF(DATOS_[Sexo]=$B76,IF(DATOS_[AGRUP. CLAS. PROF.]=$B75,IF(DATOS_[Check Periodo Ref.]="Dentro",DATOS_[Tot COMPL.SAL Ef],FALSE)))),
0)</f>
        <v>0</v>
      </c>
      <c r="AK76" s="96">
        <f t="array" ref="AK76">IFERROR(
AVERAGE(IF(DATOS_[Sexo]=$B76,IF(DATOS_[AGRUP. CLAS. PROF.]=$B75,IF(DATOS_[Check Periodo Ref.]="Dentro",DATOS_[TOTAL SALARIO Ef],FALSE)))),
0)</f>
        <v>0</v>
      </c>
      <c r="AL76" s="95">
        <f t="array" ref="AL76">IFERROR(
AVERAGE((IF(DATOS_[[Sexo]:[Sexo]]=$B76,IF(DATOS_[[AGRUP. CLAS. PROF.]:[AGRUP. CLAS. PROF.]]=$B75,IF(DATOS_[[Check Periodo Ref.]:[Check Periodo Ref.]]="Dentro",DATOS_[C.Extra.01]))))),
0)</f>
        <v>0</v>
      </c>
      <c r="AM76" s="95">
        <f t="array" ref="AM76">IFERROR(
AVERAGE((IF(DATOS_[[Sexo]:[Sexo]]=$B76,IF(DATOS_[[AGRUP. CLAS. PROF.]:[AGRUP. CLAS. PROF.]]=$B75,IF(DATOS_[[Check Periodo Ref.]:[Check Periodo Ref.]]="Dentro",DATOS_[C.Extra.02]))))),
0)</f>
        <v>0</v>
      </c>
      <c r="AN76" s="95">
        <f t="array" ref="AN76">IFERROR(
AVERAGE((IF(DATOS_[[Sexo]:[Sexo]]=$B76,IF(DATOS_[[AGRUP. CLAS. PROF.]:[AGRUP. CLAS. PROF.]]=$B75,IF(DATOS_[[Check Periodo Ref.]:[Check Periodo Ref.]]="Dentro",DATOS_[C.Extra.03]))))),
0)</f>
        <v>0</v>
      </c>
      <c r="AO76" s="95">
        <f t="array" ref="AO76">IFERROR(
AVERAGE((IF(DATOS_[[Sexo]:[Sexo]]=$B76,IF(DATOS_[[AGRUP. CLAS. PROF.]:[AGRUP. CLAS. PROF.]]=$B75,IF(DATOS_[[Check Periodo Ref.]:[Check Periodo Ref.]]="Dentro",DATOS_[C.Extra.04]))))),
0)</f>
        <v>0</v>
      </c>
      <c r="AP76" s="95">
        <f t="array" ref="AP76">IFERROR(
AVERAGE((IF(DATOS_[[Sexo]:[Sexo]]=$B76,IF(DATOS_[[AGRUP. CLAS. PROF.]:[AGRUP. CLAS. PROF.]]=$B75,IF(DATOS_[[Check Periodo Ref.]:[Check Periodo Ref.]]="Dentro",DATOS_[C.Extra.05]))))),
0)</f>
        <v>0</v>
      </c>
      <c r="AQ76" s="97">
        <f t="array" ref="AQ76">IFERROR(
AVERAGE(IF(DATOS_[Sexo]=$B76,IF(DATOS_[AGRUP. CLAS. PROF.]=$B75,IF(DATOS_[Check Periodo Ref.]="Dentro",DATOS_[Tot Extrasalarial Ef],FALSE)))),
0)</f>
        <v>0</v>
      </c>
      <c r="AR76" s="98">
        <f t="array" ref="AR76">IFERROR(
AVERAGE(IF(DATOS_[Sexo]=$B76,IF(DATOS_[AGRUP. CLAS. PROF.]=$B75,IF(DATOS_[Check Periodo Ref.]="Dentro",DATOS_[TOTAL Retrib Ef],FALSE)))),
0)</f>
        <v>0</v>
      </c>
    </row>
    <row r="77" spans="1:44" hidden="1" x14ac:dyDescent="0.3">
      <c r="A77" s="309" t="str">
        <f t="shared" ref="A77" si="86">+A76</f>
        <v>[ocultar]</v>
      </c>
      <c r="B77" s="46" t="s">
        <v>163</v>
      </c>
      <c r="C77" s="45">
        <f t="array" ref="C77">SUM(IF($B77=DATOS_[Sexo],
IF($B75=DATOS_[AGRUP. CLAS. PROF.],
IF("Dentro"=DATOS_[Check Periodo Ref.],
1/(COUNTIFS(DATOS_[Sexo],$B77,DATOS_[AGRUP. CLAS. PROF.],$B75,DATOS_[Check Periodo Ref.],"Dentro",DATOS_[id],DATOS_[id]))))))</f>
        <v>0</v>
      </c>
      <c r="D77" s="47">
        <f>COUNTIFS(DATOS_[AGRUP. CLAS. PROF.],$B75,DATOS_[Sexo],$B77,DATOS_[Check Periodo Ref.],"Dentro")</f>
        <v>0</v>
      </c>
      <c r="E77" s="92">
        <f t="array" ref="E77">IFERROR(
AVERAGE(IF(DATOS_[Sexo]=$B77,IF(DATOS_[AGRUP. CLAS. PROF.]=$B75,IF(DATOS_[Check Periodo Ref.]="Dentro",DATOS_[SALARIO BASE Ef],FALSE)))),
0)</f>
        <v>0</v>
      </c>
      <c r="F77" s="93">
        <f t="array" ref="F77">IFERROR(
AVERAGE((IF(DATOS_[[Sexo]:[Sexo]]=$B77,IF(DATOS_[[AGRUP. CLAS. PROF.]:[AGRUP. CLAS. PROF.]]=$B75,IF(DATOS_[[Check Periodo Ref.]:[Check Periodo Ref.]]="Dentro",DATOS_[Conc.Sal.01]))))),
0)</f>
        <v>0</v>
      </c>
      <c r="G77" s="93">
        <f t="array" ref="G77">IFERROR(
AVERAGE((IF(DATOS_[[Sexo]:[Sexo]]=$B77,IF(DATOS_[[AGRUP. CLAS. PROF.]:[AGRUP. CLAS. PROF.]]=$B75,IF(DATOS_[[Check Periodo Ref.]:[Check Periodo Ref.]]="Dentro",DATOS_[Conc.Sal.02]))))),
0)</f>
        <v>0</v>
      </c>
      <c r="H77" s="93">
        <f t="array" ref="H77">IFERROR(
AVERAGE((IF(DATOS_[[Sexo]:[Sexo]]=$B77,IF(DATOS_[[AGRUP. CLAS. PROF.]:[AGRUP. CLAS. PROF.]]=$B75,IF(DATOS_[[Check Periodo Ref.]:[Check Periodo Ref.]]="Dentro",DATOS_[Conc.Sal.03]))))),
0)</f>
        <v>0</v>
      </c>
      <c r="I77" s="93">
        <f t="array" ref="I77">IFERROR(
AVERAGE((IF(DATOS_[[Sexo]:[Sexo]]=$B77,IF(DATOS_[[AGRUP. CLAS. PROF.]:[AGRUP. CLAS. PROF.]]=$B75,IF(DATOS_[[Check Periodo Ref.]:[Check Periodo Ref.]]="Dentro",DATOS_[Conc.Sal.04]))))),
0)</f>
        <v>0</v>
      </c>
      <c r="J77" s="93">
        <f t="array" ref="J77">IFERROR(
AVERAGE((IF(DATOS_[[Sexo]:[Sexo]]=$B77,IF(DATOS_[[AGRUP. CLAS. PROF.]:[AGRUP. CLAS. PROF.]]=$B75,IF(DATOS_[[Check Periodo Ref.]:[Check Periodo Ref.]]="Dentro",DATOS_[Conc.Sal.05]))))),
0)</f>
        <v>0</v>
      </c>
      <c r="K77" s="93">
        <f t="array" ref="K77">IFERROR(
AVERAGE((IF(DATOS_[[Sexo]:[Sexo]]=$B77,IF(DATOS_[[AGRUP. CLAS. PROF.]:[AGRUP. CLAS. PROF.]]=$B75,IF(DATOS_[[Check Periodo Ref.]:[Check Periodo Ref.]]="Dentro",DATOS_[Conc.Sal.06]))))),
0)</f>
        <v>0</v>
      </c>
      <c r="L77" s="93">
        <f t="array" ref="L77">IFERROR(
AVERAGE((IF(DATOS_[[Sexo]:[Sexo]]=$B77,IF(DATOS_[[AGRUP. CLAS. PROF.]:[AGRUP. CLAS. PROF.]]=$B75,IF(DATOS_[[Check Periodo Ref.]:[Check Periodo Ref.]]="Dentro",DATOS_[Conc.Sal.07]))))),
0)</f>
        <v>0</v>
      </c>
      <c r="M77" s="93">
        <f t="array" ref="M77">IFERROR(
AVERAGE((IF(DATOS_[[Sexo]:[Sexo]]=$B77,IF(DATOS_[[AGRUP. CLAS. PROF.]:[AGRUP. CLAS. PROF.]]=$B75,IF(DATOS_[[Check Periodo Ref.]:[Check Periodo Ref.]]="Dentro",DATOS_[Conc.Sal.08]))))),
0)</f>
        <v>0</v>
      </c>
      <c r="N77" s="93">
        <f t="array" ref="N77">IFERROR(
AVERAGE((IF(DATOS_[[Sexo]:[Sexo]]=$B77,IF(DATOS_[[AGRUP. CLAS. PROF.]:[AGRUP. CLAS. PROF.]]=$B75,IF(DATOS_[[Check Periodo Ref.]:[Check Periodo Ref.]]="Dentro",DATOS_[Conc.Sal.09]))))),
0)</f>
        <v>0</v>
      </c>
      <c r="O77" s="93">
        <f t="array" ref="O77">IFERROR(
AVERAGE((IF(DATOS_[[Sexo]:[Sexo]]=$B77,IF(DATOS_[[AGRUP. CLAS. PROF.]:[AGRUP. CLAS. PROF.]]=$B75,IF(DATOS_[[Check Periodo Ref.]:[Check Periodo Ref.]]="Dentro",DATOS_[Conc.Sal.10]))))),
0)</f>
        <v>0</v>
      </c>
      <c r="P77" s="93">
        <f t="array" ref="P77">IFERROR(
AVERAGE((IF(DATOS_[[Sexo]:[Sexo]]=$B77,IF(DATOS_[[AGRUP. CLAS. PROF.]:[AGRUP. CLAS. PROF.]]=$B75,IF(DATOS_[[Check Periodo Ref.]:[Check Periodo Ref.]]="Dentro",DATOS_[Conc.Sal.11]))))),
0)</f>
        <v>0</v>
      </c>
      <c r="Q77" s="93">
        <f t="array" ref="Q77">IFERROR(
AVERAGE((IF(DATOS_[[Sexo]:[Sexo]]=$B77,IF(DATOS_[[AGRUP. CLAS. PROF.]:[AGRUP. CLAS. PROF.]]=$B75,IF(DATOS_[[Check Periodo Ref.]:[Check Periodo Ref.]]="Dentro",DATOS_[Conc.Sal.12]))))),
0)</f>
        <v>0</v>
      </c>
      <c r="R77" s="93">
        <f t="array" ref="R77">IFERROR(
AVERAGE((IF(DATOS_[[Sexo]:[Sexo]]=$B77,IF(DATOS_[[AGRUP. CLAS. PROF.]:[AGRUP. CLAS. PROF.]]=$B75,IF(DATOS_[[Check Periodo Ref.]:[Check Periodo Ref.]]="Dentro",DATOS_[Conc.Sal.13]))))),
0)</f>
        <v>0</v>
      </c>
      <c r="S77" s="93">
        <f t="array" ref="S77">IFERROR(
AVERAGE((IF(DATOS_[[Sexo]:[Sexo]]=$B77,IF(DATOS_[[AGRUP. CLAS. PROF.]:[AGRUP. CLAS. PROF.]]=$B75,IF(DATOS_[[Check Periodo Ref.]:[Check Periodo Ref.]]="Dentro",DATOS_[Conc.Sal.14]))))),
0)</f>
        <v>0</v>
      </c>
      <c r="T77" s="93">
        <f t="array" ref="T77">IFERROR(
AVERAGE((IF(DATOS_[[Sexo]:[Sexo]]=$B77,IF(DATOS_[[AGRUP. CLAS. PROF.]:[AGRUP. CLAS. PROF.]]=$B75,IF(DATOS_[[Check Periodo Ref.]:[Check Periodo Ref.]]="Dentro",DATOS_[Conc.Sal.15]))))),
0)</f>
        <v>0</v>
      </c>
      <c r="U77" s="93">
        <f t="array" ref="U77">IFERROR(
AVERAGE((IF(DATOS_[[Sexo]:[Sexo]]=$B77,IF(DATOS_[[AGRUP. CLAS. PROF.]:[AGRUP. CLAS. PROF.]]=$B75,IF(DATOS_[[Check Periodo Ref.]:[Check Periodo Ref.]]="Dentro",DATOS_[Conc.Sal.16]))))),
0)</f>
        <v>0</v>
      </c>
      <c r="V77" s="93">
        <f t="array" ref="V77">IFERROR(
AVERAGE((IF(DATOS_[[Sexo]:[Sexo]]=$B77,IF(DATOS_[[AGRUP. CLAS. PROF.]:[AGRUP. CLAS. PROF.]]=$B75,IF(DATOS_[[Check Periodo Ref.]:[Check Periodo Ref.]]="Dentro",DATOS_[Conc.Sal.17]))))),
0)</f>
        <v>0</v>
      </c>
      <c r="W77" s="93">
        <f t="array" ref="W77">IFERROR(
AVERAGE((IF(DATOS_[[Sexo]:[Sexo]]=$B77,IF(DATOS_[[AGRUP. CLAS. PROF.]:[AGRUP. CLAS. PROF.]]=$B75,IF(DATOS_[[Check Periodo Ref.]:[Check Periodo Ref.]]="Dentro",DATOS_[Conc.Sal.18]))))),
0)</f>
        <v>0</v>
      </c>
      <c r="X77" s="93">
        <f t="array" ref="X77">IFERROR(
AVERAGE((IF(DATOS_[[Sexo]:[Sexo]]=$B77,IF(DATOS_[[AGRUP. CLAS. PROF.]:[AGRUP. CLAS. PROF.]]=$B75,IF(DATOS_[[Check Periodo Ref.]:[Check Periodo Ref.]]="Dentro",DATOS_[Conc.Sal.19]))))),
0)</f>
        <v>0</v>
      </c>
      <c r="Y77" s="93">
        <f t="array" ref="Y77">IFERROR(
AVERAGE((IF(DATOS_[[Sexo]:[Sexo]]=$B77,IF(DATOS_[[AGRUP. CLAS. PROF.]:[AGRUP. CLAS. PROF.]]=$B75,IF(DATOS_[[Check Periodo Ref.]:[Check Periodo Ref.]]="Dentro",DATOS_[Conc.Sal.20]))))),
0)</f>
        <v>0</v>
      </c>
      <c r="Z77" s="93">
        <f t="array" ref="Z77">IFERROR(
AVERAGE((IF(DATOS_[[Sexo]:[Sexo]]=$B77,IF(DATOS_[[AGRUP. CLAS. PROF.]:[AGRUP. CLAS. PROF.]]=$B75,IF(DATOS_[[Check Periodo Ref.]:[Check Periodo Ref.]]="Dentro",DATOS_[Conc.Sal.21]))))),
0)</f>
        <v>0</v>
      </c>
      <c r="AA77" s="93">
        <f t="array" ref="AA77">IFERROR(
AVERAGE((IF(DATOS_[[Sexo]:[Sexo]]=$B77,IF(DATOS_[[AGRUP. CLAS. PROF.]:[AGRUP. CLAS. PROF.]]=$B75,IF(DATOS_[[Check Periodo Ref.]:[Check Periodo Ref.]]="Dentro",DATOS_[Conc.Sal.22]))))),
0)</f>
        <v>0</v>
      </c>
      <c r="AB77" s="93">
        <f t="array" ref="AB77">IFERROR(
AVERAGE((IF(DATOS_[[Sexo]:[Sexo]]=$B77,IF(DATOS_[[AGRUP. CLAS. PROF.]:[AGRUP. CLAS. PROF.]]=$B75,IF(DATOS_[[Check Periodo Ref.]:[Check Periodo Ref.]]="Dentro",DATOS_[Conc.Sal.23]))))),
0)</f>
        <v>0</v>
      </c>
      <c r="AC77" s="93">
        <f t="array" ref="AC77">IFERROR(
AVERAGE((IF(DATOS_[[Sexo]:[Sexo]]=$B77,IF(DATOS_[[AGRUP. CLAS. PROF.]:[AGRUP. CLAS. PROF.]]=$B75,IF(DATOS_[[Check Periodo Ref.]:[Check Periodo Ref.]]="Dentro",DATOS_[Conc.Sal.24]))))),
0)</f>
        <v>0</v>
      </c>
      <c r="AD77" s="93">
        <f t="array" ref="AD77">IFERROR(
AVERAGE((IF(DATOS_[[Sexo]:[Sexo]]=$B77,IF(DATOS_[[AGRUP. CLAS. PROF.]:[AGRUP. CLAS. PROF.]]=$B75,IF(DATOS_[[Check Periodo Ref.]:[Check Periodo Ref.]]="Dentro",DATOS_[Conc.Sal.25]))))),
0)</f>
        <v>0</v>
      </c>
      <c r="AE77" s="93">
        <f t="array" ref="AE77">IFERROR(
AVERAGE((IF(DATOS_[[Sexo]:[Sexo]]=$B77,IF(DATOS_[[AGRUP. CLAS. PROF.]:[AGRUP. CLAS. PROF.]]=$B75,IF(DATOS_[[Check Periodo Ref.]:[Check Periodo Ref.]]="Dentro",DATOS_[Conc.Sal.26]))))),
0)</f>
        <v>0</v>
      </c>
      <c r="AF77" s="93">
        <f t="array" ref="AF77">IFERROR(
AVERAGE((IF(DATOS_[[Sexo]:[Sexo]]=$B77,IF(DATOS_[[AGRUP. CLAS. PROF.]:[AGRUP. CLAS. PROF.]]=$B75,IF(DATOS_[[Check Periodo Ref.]:[Check Periodo Ref.]]="Dentro",DATOS_[Conc.Sal.27]))))),
0)</f>
        <v>0</v>
      </c>
      <c r="AG77" s="93">
        <f t="array" ref="AG77">IFERROR(
AVERAGE((IF(DATOS_[[Sexo]:[Sexo]]=$B77,IF(DATOS_[[AGRUP. CLAS. PROF.]:[AGRUP. CLAS. PROF.]]=$B75,IF(DATOS_[[Check Periodo Ref.]:[Check Periodo Ref.]]="Dentro",DATOS_[Conc.Sal.28]))))),
0)</f>
        <v>0</v>
      </c>
      <c r="AH77" s="93">
        <f t="array" ref="AH77">IFERROR(
AVERAGE((IF(DATOS_[[Sexo]:[Sexo]]=$B77,IF(DATOS_[[AGRUP. CLAS. PROF.]:[AGRUP. CLAS. PROF.]]=$B75,IF(DATOS_[[Check Periodo Ref.]:[Check Periodo Ref.]]="Dentro",DATOS_[Conc.Sal.29]))))),
0)</f>
        <v>0</v>
      </c>
      <c r="AI77" s="93">
        <f t="array" ref="AI77">IFERROR(
AVERAGE((IF(DATOS_[[Sexo]:[Sexo]]=$B77,IF(DATOS_[[AGRUP. CLAS. PROF.]:[AGRUP. CLAS. PROF.]]=$B75,IF(DATOS_[[Check Periodo Ref.]:[Check Periodo Ref.]]="Dentro",DATOS_[Conc.Sal.30]))))),
0)</f>
        <v>0</v>
      </c>
      <c r="AJ77" s="94">
        <f t="array" ref="AJ77">IFERROR(
AVERAGE(IF(DATOS_[Sexo]=$B77,IF(DATOS_[AGRUP. CLAS. PROF.]=$B75,IF(DATOS_[Check Periodo Ref.]="Dentro",DATOS_[Tot COMPL.SAL Ef],FALSE)))),
0)</f>
        <v>0</v>
      </c>
      <c r="AK77" s="96">
        <f t="array" ref="AK77">IFERROR(
AVERAGE(IF(DATOS_[Sexo]=$B77,IF(DATOS_[AGRUP. CLAS. PROF.]=$B75,IF(DATOS_[Check Periodo Ref.]="Dentro",DATOS_[TOTAL SALARIO Ef],FALSE)))),
0)</f>
        <v>0</v>
      </c>
      <c r="AL77" s="95">
        <f t="array" ref="AL77">IFERROR(
AVERAGE((IF(DATOS_[[Sexo]:[Sexo]]=$B77,IF(DATOS_[[AGRUP. CLAS. PROF.]:[AGRUP. CLAS. PROF.]]=$B75,IF(DATOS_[[Check Periodo Ref.]:[Check Periodo Ref.]]="Dentro",DATOS_[C.Extra.01]))))),
0)</f>
        <v>0</v>
      </c>
      <c r="AM77" s="95">
        <f t="array" ref="AM77">IFERROR(
AVERAGE((IF(DATOS_[[Sexo]:[Sexo]]=$B77,IF(DATOS_[[AGRUP. CLAS. PROF.]:[AGRUP. CLAS. PROF.]]=$B75,IF(DATOS_[[Check Periodo Ref.]:[Check Periodo Ref.]]="Dentro",DATOS_[C.Extra.02]))))),
0)</f>
        <v>0</v>
      </c>
      <c r="AN77" s="95">
        <f t="array" ref="AN77">IFERROR(
AVERAGE((IF(DATOS_[[Sexo]:[Sexo]]=$B77,IF(DATOS_[[AGRUP. CLAS. PROF.]:[AGRUP. CLAS. PROF.]]=$B75,IF(DATOS_[[Check Periodo Ref.]:[Check Periodo Ref.]]="Dentro",DATOS_[C.Extra.03]))))),
0)</f>
        <v>0</v>
      </c>
      <c r="AO77" s="95">
        <f t="array" ref="AO77">IFERROR(
AVERAGE((IF(DATOS_[[Sexo]:[Sexo]]=$B77,IF(DATOS_[[AGRUP. CLAS. PROF.]:[AGRUP. CLAS. PROF.]]=$B75,IF(DATOS_[[Check Periodo Ref.]:[Check Periodo Ref.]]="Dentro",DATOS_[C.Extra.04]))))),
0)</f>
        <v>0</v>
      </c>
      <c r="AP77" s="95">
        <f t="array" ref="AP77">IFERROR(
AVERAGE((IF(DATOS_[[Sexo]:[Sexo]]=$B77,IF(DATOS_[[AGRUP. CLAS. PROF.]:[AGRUP. CLAS. PROF.]]=$B75,IF(DATOS_[[Check Periodo Ref.]:[Check Periodo Ref.]]="Dentro",DATOS_[C.Extra.05]))))),
0)</f>
        <v>0</v>
      </c>
      <c r="AQ77" s="97">
        <f t="array" ref="AQ77">IFERROR(
AVERAGE(IF(DATOS_[Sexo]=$B77,IF(DATOS_[AGRUP. CLAS. PROF.]=$B75,IF(DATOS_[Check Periodo Ref.]="Dentro",DATOS_[Tot Extrasalarial Ef],FALSE)))),
0)</f>
        <v>0</v>
      </c>
      <c r="AR77" s="98">
        <f t="array" ref="AR77">IFERROR(
AVERAGE(IF(DATOS_[Sexo]=$B77,IF(DATOS_[AGRUP. CLAS. PROF.]=$B75,IF(DATOS_[Check Periodo Ref.]="Dentro",DATOS_[TOTAL Retrib Ef],FALSE)))),
0)</f>
        <v>0</v>
      </c>
    </row>
    <row r="78" spans="1:44" ht="17.25" hidden="1" thickBot="1" x14ac:dyDescent="0.35">
      <c r="A78" s="309" t="str">
        <f t="shared" ref="A78" si="87">+A79</f>
        <v>[ocultar]</v>
      </c>
      <c r="B78" s="51" t="s">
        <v>238</v>
      </c>
      <c r="C78" s="91"/>
      <c r="D78" s="52"/>
      <c r="E78" s="139" t="str">
        <f t="shared" ref="E78:AR78" si="88">IFERROR((E79-E80)/E79,"")</f>
        <v/>
      </c>
      <c r="F78" s="310" t="str">
        <f t="shared" si="88"/>
        <v/>
      </c>
      <c r="G78" s="180" t="str">
        <f t="shared" si="88"/>
        <v/>
      </c>
      <c r="H78" s="180" t="str">
        <f t="shared" si="88"/>
        <v/>
      </c>
      <c r="I78" s="180" t="str">
        <f t="shared" si="88"/>
        <v/>
      </c>
      <c r="J78" s="181" t="str">
        <f t="shared" si="88"/>
        <v/>
      </c>
      <c r="K78" s="182" t="str">
        <f t="shared" si="88"/>
        <v/>
      </c>
      <c r="L78" s="182" t="str">
        <f t="shared" si="88"/>
        <v/>
      </c>
      <c r="M78" s="182" t="str">
        <f t="shared" si="88"/>
        <v/>
      </c>
      <c r="N78" s="182" t="str">
        <f t="shared" si="88"/>
        <v/>
      </c>
      <c r="O78" s="182" t="str">
        <f t="shared" si="88"/>
        <v/>
      </c>
      <c r="P78" s="182" t="str">
        <f t="shared" si="88"/>
        <v/>
      </c>
      <c r="Q78" s="182" t="str">
        <f t="shared" si="88"/>
        <v/>
      </c>
      <c r="R78" s="182" t="str">
        <f t="shared" si="88"/>
        <v/>
      </c>
      <c r="S78" s="182" t="str">
        <f t="shared" si="88"/>
        <v/>
      </c>
      <c r="T78" s="182" t="str">
        <f t="shared" si="88"/>
        <v/>
      </c>
      <c r="U78" s="182" t="str">
        <f t="shared" si="88"/>
        <v/>
      </c>
      <c r="V78" s="181" t="str">
        <f t="shared" si="88"/>
        <v/>
      </c>
      <c r="W78" s="181" t="str">
        <f t="shared" si="88"/>
        <v/>
      </c>
      <c r="X78" s="181" t="str">
        <f t="shared" si="88"/>
        <v/>
      </c>
      <c r="Y78" s="181" t="str">
        <f t="shared" si="88"/>
        <v/>
      </c>
      <c r="Z78" s="181" t="str">
        <f t="shared" si="88"/>
        <v/>
      </c>
      <c r="AA78" s="181" t="str">
        <f t="shared" si="88"/>
        <v/>
      </c>
      <c r="AB78" s="181" t="str">
        <f t="shared" si="88"/>
        <v/>
      </c>
      <c r="AC78" s="181" t="str">
        <f t="shared" si="88"/>
        <v/>
      </c>
      <c r="AD78" s="181" t="str">
        <f t="shared" si="88"/>
        <v/>
      </c>
      <c r="AE78" s="181" t="str">
        <f t="shared" si="88"/>
        <v/>
      </c>
      <c r="AF78" s="181" t="str">
        <f t="shared" si="88"/>
        <v/>
      </c>
      <c r="AG78" s="181" t="str">
        <f t="shared" si="88"/>
        <v/>
      </c>
      <c r="AH78" s="181" t="str">
        <f t="shared" si="88"/>
        <v/>
      </c>
      <c r="AI78" s="181" t="str">
        <f t="shared" si="88"/>
        <v/>
      </c>
      <c r="AJ78" s="140" t="str">
        <f t="shared" si="88"/>
        <v/>
      </c>
      <c r="AK78" s="143" t="str">
        <f t="shared" si="88"/>
        <v/>
      </c>
      <c r="AL78" s="184" t="str">
        <f t="shared" si="88"/>
        <v/>
      </c>
      <c r="AM78" s="184" t="str">
        <f t="shared" si="88"/>
        <v/>
      </c>
      <c r="AN78" s="184" t="str">
        <f t="shared" si="88"/>
        <v/>
      </c>
      <c r="AO78" s="184" t="str">
        <f t="shared" si="88"/>
        <v/>
      </c>
      <c r="AP78" s="184" t="str">
        <f t="shared" si="88"/>
        <v/>
      </c>
      <c r="AQ78" s="141" t="str">
        <f t="shared" si="88"/>
        <v/>
      </c>
      <c r="AR78" s="142" t="str">
        <f t="shared" si="88"/>
        <v/>
      </c>
    </row>
    <row r="79" spans="1:44" hidden="1" x14ac:dyDescent="0.3">
      <c r="A79" s="309" t="str">
        <f t="shared" ref="A79" si="89">+IF(C79+C80=0,"[ocultar]","")</f>
        <v>[ocultar]</v>
      </c>
      <c r="B79" s="46" t="s">
        <v>162</v>
      </c>
      <c r="C79" s="45">
        <f t="array" ref="C79">SUM(IF($B79=DATOS_[Sexo],
IF($B78=DATOS_[AGRUP. CLAS. PROF.],
IF("Dentro"=DATOS_[Check Periodo Ref.],
1/(COUNTIFS(DATOS_[Sexo],$B79,DATOS_[AGRUP. CLAS. PROF.],$B78,DATOS_[Check Periodo Ref.],"Dentro",DATOS_[id],DATOS_[id]))))))</f>
        <v>0</v>
      </c>
      <c r="D79" s="47">
        <f>COUNTIFS(DATOS_[AGRUP. CLAS. PROF.],$B78,DATOS_[Sexo],$B79,DATOS_[Check Periodo Ref.],"Dentro")</f>
        <v>0</v>
      </c>
      <c r="E79" s="92">
        <f t="array" ref="E79">IFERROR(
AVERAGE(IF(DATOS_[Sexo]=$B79,IF(DATOS_[AGRUP. CLAS. PROF.]=$B78,IF(DATOS_[Check Periodo Ref.]="Dentro",DATOS_[SALARIO BASE Ef],FALSE)))),
0)</f>
        <v>0</v>
      </c>
      <c r="F79" s="93">
        <f t="array" ref="F79">IFERROR(
AVERAGE((IF(DATOS_[[Sexo]:[Sexo]]=$B79,IF(DATOS_[[AGRUP. CLAS. PROF.]:[AGRUP. CLAS. PROF.]]=$B78,IF(DATOS_[[Check Periodo Ref.]:[Check Periodo Ref.]]="Dentro",DATOS_[Conc.Sal.01]))))),
0)</f>
        <v>0</v>
      </c>
      <c r="G79" s="93">
        <f t="array" ref="G79">IFERROR(
AVERAGE((IF(DATOS_[[Sexo]:[Sexo]]=$B79,IF(DATOS_[[AGRUP. CLAS. PROF.]:[AGRUP. CLAS. PROF.]]=$B78,IF(DATOS_[[Check Periodo Ref.]:[Check Periodo Ref.]]="Dentro",DATOS_[Conc.Sal.02]))))),
0)</f>
        <v>0</v>
      </c>
      <c r="H79" s="93">
        <f t="array" ref="H79">IFERROR(
AVERAGE((IF(DATOS_[[Sexo]:[Sexo]]=$B79,IF(DATOS_[[AGRUP. CLAS. PROF.]:[AGRUP. CLAS. PROF.]]=$B78,IF(DATOS_[[Check Periodo Ref.]:[Check Periodo Ref.]]="Dentro",DATOS_[Conc.Sal.03]))))),
0)</f>
        <v>0</v>
      </c>
      <c r="I79" s="93">
        <f t="array" ref="I79">IFERROR(
AVERAGE((IF(DATOS_[[Sexo]:[Sexo]]=$B79,IF(DATOS_[[AGRUP. CLAS. PROF.]:[AGRUP. CLAS. PROF.]]=$B78,IF(DATOS_[[Check Periodo Ref.]:[Check Periodo Ref.]]="Dentro",DATOS_[Conc.Sal.04]))))),
0)</f>
        <v>0</v>
      </c>
      <c r="J79" s="93">
        <f t="array" ref="J79">IFERROR(
AVERAGE((IF(DATOS_[[Sexo]:[Sexo]]=$B79,IF(DATOS_[[AGRUP. CLAS. PROF.]:[AGRUP. CLAS. PROF.]]=$B78,IF(DATOS_[[Check Periodo Ref.]:[Check Periodo Ref.]]="Dentro",DATOS_[Conc.Sal.05]))))),
0)</f>
        <v>0</v>
      </c>
      <c r="K79" s="93">
        <f t="array" ref="K79">IFERROR(
AVERAGE((IF(DATOS_[[Sexo]:[Sexo]]=$B79,IF(DATOS_[[AGRUP. CLAS. PROF.]:[AGRUP. CLAS. PROF.]]=$B78,IF(DATOS_[[Check Periodo Ref.]:[Check Periodo Ref.]]="Dentro",DATOS_[Conc.Sal.06]))))),
0)</f>
        <v>0</v>
      </c>
      <c r="L79" s="93">
        <f t="array" ref="L79">IFERROR(
AVERAGE((IF(DATOS_[[Sexo]:[Sexo]]=$B79,IF(DATOS_[[AGRUP. CLAS. PROF.]:[AGRUP. CLAS. PROF.]]=$B78,IF(DATOS_[[Check Periodo Ref.]:[Check Periodo Ref.]]="Dentro",DATOS_[Conc.Sal.07]))))),
0)</f>
        <v>0</v>
      </c>
      <c r="M79" s="93">
        <f t="array" ref="M79">IFERROR(
AVERAGE((IF(DATOS_[[Sexo]:[Sexo]]=$B79,IF(DATOS_[[AGRUP. CLAS. PROF.]:[AGRUP. CLAS. PROF.]]=$B78,IF(DATOS_[[Check Periodo Ref.]:[Check Periodo Ref.]]="Dentro",DATOS_[Conc.Sal.08]))))),
0)</f>
        <v>0</v>
      </c>
      <c r="N79" s="93">
        <f t="array" ref="N79">IFERROR(
AVERAGE((IF(DATOS_[[Sexo]:[Sexo]]=$B79,IF(DATOS_[[AGRUP. CLAS. PROF.]:[AGRUP. CLAS. PROF.]]=$B78,IF(DATOS_[[Check Periodo Ref.]:[Check Periodo Ref.]]="Dentro",DATOS_[Conc.Sal.09]))))),
0)</f>
        <v>0</v>
      </c>
      <c r="O79" s="93">
        <f t="array" ref="O79">IFERROR(
AVERAGE((IF(DATOS_[[Sexo]:[Sexo]]=$B79,IF(DATOS_[[AGRUP. CLAS. PROF.]:[AGRUP. CLAS. PROF.]]=$B78,IF(DATOS_[[Check Periodo Ref.]:[Check Periodo Ref.]]="Dentro",DATOS_[Conc.Sal.10]))))),
0)</f>
        <v>0</v>
      </c>
      <c r="P79" s="93">
        <f t="array" ref="P79">IFERROR(
AVERAGE((IF(DATOS_[[Sexo]:[Sexo]]=$B79,IF(DATOS_[[AGRUP. CLAS. PROF.]:[AGRUP. CLAS. PROF.]]=$B78,IF(DATOS_[[Check Periodo Ref.]:[Check Periodo Ref.]]="Dentro",DATOS_[Conc.Sal.11]))))),
0)</f>
        <v>0</v>
      </c>
      <c r="Q79" s="93">
        <f t="array" ref="Q79">IFERROR(
AVERAGE((IF(DATOS_[[Sexo]:[Sexo]]=$B79,IF(DATOS_[[AGRUP. CLAS. PROF.]:[AGRUP. CLAS. PROF.]]=$B78,IF(DATOS_[[Check Periodo Ref.]:[Check Periodo Ref.]]="Dentro",DATOS_[Conc.Sal.12]))))),
0)</f>
        <v>0</v>
      </c>
      <c r="R79" s="93">
        <f t="array" ref="R79">IFERROR(
AVERAGE((IF(DATOS_[[Sexo]:[Sexo]]=$B79,IF(DATOS_[[AGRUP. CLAS. PROF.]:[AGRUP. CLAS. PROF.]]=$B78,IF(DATOS_[[Check Periodo Ref.]:[Check Periodo Ref.]]="Dentro",DATOS_[Conc.Sal.13]))))),
0)</f>
        <v>0</v>
      </c>
      <c r="S79" s="93">
        <f t="array" ref="S79">IFERROR(
AVERAGE((IF(DATOS_[[Sexo]:[Sexo]]=$B79,IF(DATOS_[[AGRUP. CLAS. PROF.]:[AGRUP. CLAS. PROF.]]=$B78,IF(DATOS_[[Check Periodo Ref.]:[Check Periodo Ref.]]="Dentro",DATOS_[Conc.Sal.14]))))),
0)</f>
        <v>0</v>
      </c>
      <c r="T79" s="93">
        <f t="array" ref="T79">IFERROR(
AVERAGE((IF(DATOS_[[Sexo]:[Sexo]]=$B79,IF(DATOS_[[AGRUP. CLAS. PROF.]:[AGRUP. CLAS. PROF.]]=$B78,IF(DATOS_[[Check Periodo Ref.]:[Check Periodo Ref.]]="Dentro",DATOS_[Conc.Sal.15]))))),
0)</f>
        <v>0</v>
      </c>
      <c r="U79" s="93">
        <f t="array" ref="U79">IFERROR(
AVERAGE((IF(DATOS_[[Sexo]:[Sexo]]=$B79,IF(DATOS_[[AGRUP. CLAS. PROF.]:[AGRUP. CLAS. PROF.]]=$B78,IF(DATOS_[[Check Periodo Ref.]:[Check Periodo Ref.]]="Dentro",DATOS_[Conc.Sal.16]))))),
0)</f>
        <v>0</v>
      </c>
      <c r="V79" s="93">
        <f t="array" ref="V79">IFERROR(
AVERAGE((IF(DATOS_[[Sexo]:[Sexo]]=$B79,IF(DATOS_[[AGRUP. CLAS. PROF.]:[AGRUP. CLAS. PROF.]]=$B78,IF(DATOS_[[Check Periodo Ref.]:[Check Periodo Ref.]]="Dentro",DATOS_[Conc.Sal.17]))))),
0)</f>
        <v>0</v>
      </c>
      <c r="W79" s="93">
        <f t="array" ref="W79">IFERROR(
AVERAGE((IF(DATOS_[[Sexo]:[Sexo]]=$B79,IF(DATOS_[[AGRUP. CLAS. PROF.]:[AGRUP. CLAS. PROF.]]=$B78,IF(DATOS_[[Check Periodo Ref.]:[Check Periodo Ref.]]="Dentro",DATOS_[Conc.Sal.18]))))),
0)</f>
        <v>0</v>
      </c>
      <c r="X79" s="93">
        <f t="array" ref="X79">IFERROR(
AVERAGE((IF(DATOS_[[Sexo]:[Sexo]]=$B79,IF(DATOS_[[AGRUP. CLAS. PROF.]:[AGRUP. CLAS. PROF.]]=$B78,IF(DATOS_[[Check Periodo Ref.]:[Check Periodo Ref.]]="Dentro",DATOS_[Conc.Sal.19]))))),
0)</f>
        <v>0</v>
      </c>
      <c r="Y79" s="93">
        <f t="array" ref="Y79">IFERROR(
AVERAGE((IF(DATOS_[[Sexo]:[Sexo]]=$B79,IF(DATOS_[[AGRUP. CLAS. PROF.]:[AGRUP. CLAS. PROF.]]=$B78,IF(DATOS_[[Check Periodo Ref.]:[Check Periodo Ref.]]="Dentro",DATOS_[Conc.Sal.20]))))),
0)</f>
        <v>0</v>
      </c>
      <c r="Z79" s="93">
        <f t="array" ref="Z79">IFERROR(
AVERAGE((IF(DATOS_[[Sexo]:[Sexo]]=$B79,IF(DATOS_[[AGRUP. CLAS. PROF.]:[AGRUP. CLAS. PROF.]]=$B78,IF(DATOS_[[Check Periodo Ref.]:[Check Periodo Ref.]]="Dentro",DATOS_[Conc.Sal.21]))))),
0)</f>
        <v>0</v>
      </c>
      <c r="AA79" s="93">
        <f t="array" ref="AA79">IFERROR(
AVERAGE((IF(DATOS_[[Sexo]:[Sexo]]=$B79,IF(DATOS_[[AGRUP. CLAS. PROF.]:[AGRUP. CLAS. PROF.]]=$B78,IF(DATOS_[[Check Periodo Ref.]:[Check Periodo Ref.]]="Dentro",DATOS_[Conc.Sal.22]))))),
0)</f>
        <v>0</v>
      </c>
      <c r="AB79" s="93">
        <f t="array" ref="AB79">IFERROR(
AVERAGE((IF(DATOS_[[Sexo]:[Sexo]]=$B79,IF(DATOS_[[AGRUP. CLAS. PROF.]:[AGRUP. CLAS. PROF.]]=$B78,IF(DATOS_[[Check Periodo Ref.]:[Check Periodo Ref.]]="Dentro",DATOS_[Conc.Sal.23]))))),
0)</f>
        <v>0</v>
      </c>
      <c r="AC79" s="93">
        <f t="array" ref="AC79">IFERROR(
AVERAGE((IF(DATOS_[[Sexo]:[Sexo]]=$B79,IF(DATOS_[[AGRUP. CLAS. PROF.]:[AGRUP. CLAS. PROF.]]=$B78,IF(DATOS_[[Check Periodo Ref.]:[Check Periodo Ref.]]="Dentro",DATOS_[Conc.Sal.24]))))),
0)</f>
        <v>0</v>
      </c>
      <c r="AD79" s="93">
        <f t="array" ref="AD79">IFERROR(
AVERAGE((IF(DATOS_[[Sexo]:[Sexo]]=$B79,IF(DATOS_[[AGRUP. CLAS. PROF.]:[AGRUP. CLAS. PROF.]]=$B78,IF(DATOS_[[Check Periodo Ref.]:[Check Periodo Ref.]]="Dentro",DATOS_[Conc.Sal.25]))))),
0)</f>
        <v>0</v>
      </c>
      <c r="AE79" s="93">
        <f t="array" ref="AE79">IFERROR(
AVERAGE((IF(DATOS_[[Sexo]:[Sexo]]=$B79,IF(DATOS_[[AGRUP. CLAS. PROF.]:[AGRUP. CLAS. PROF.]]=$B78,IF(DATOS_[[Check Periodo Ref.]:[Check Periodo Ref.]]="Dentro",DATOS_[Conc.Sal.26]))))),
0)</f>
        <v>0</v>
      </c>
      <c r="AF79" s="93">
        <f t="array" ref="AF79">IFERROR(
AVERAGE((IF(DATOS_[[Sexo]:[Sexo]]=$B79,IF(DATOS_[[AGRUP. CLAS. PROF.]:[AGRUP. CLAS. PROF.]]=$B78,IF(DATOS_[[Check Periodo Ref.]:[Check Periodo Ref.]]="Dentro",DATOS_[Conc.Sal.27]))))),
0)</f>
        <v>0</v>
      </c>
      <c r="AG79" s="93">
        <f t="array" ref="AG79">IFERROR(
AVERAGE((IF(DATOS_[[Sexo]:[Sexo]]=$B79,IF(DATOS_[[AGRUP. CLAS. PROF.]:[AGRUP. CLAS. PROF.]]=$B78,IF(DATOS_[[Check Periodo Ref.]:[Check Periodo Ref.]]="Dentro",DATOS_[Conc.Sal.28]))))),
0)</f>
        <v>0</v>
      </c>
      <c r="AH79" s="93">
        <f t="array" ref="AH79">IFERROR(
AVERAGE((IF(DATOS_[[Sexo]:[Sexo]]=$B79,IF(DATOS_[[AGRUP. CLAS. PROF.]:[AGRUP. CLAS. PROF.]]=$B78,IF(DATOS_[[Check Periodo Ref.]:[Check Periodo Ref.]]="Dentro",DATOS_[Conc.Sal.29]))))),
0)</f>
        <v>0</v>
      </c>
      <c r="AI79" s="93">
        <f t="array" ref="AI79">IFERROR(
AVERAGE((IF(DATOS_[[Sexo]:[Sexo]]=$B79,IF(DATOS_[[AGRUP. CLAS. PROF.]:[AGRUP. CLAS. PROF.]]=$B78,IF(DATOS_[[Check Periodo Ref.]:[Check Periodo Ref.]]="Dentro",DATOS_[Conc.Sal.30]))))),
0)</f>
        <v>0</v>
      </c>
      <c r="AJ79" s="94">
        <f t="array" ref="AJ79">IFERROR(
AVERAGE(IF(DATOS_[Sexo]=$B79,IF(DATOS_[AGRUP. CLAS. PROF.]=$B78,IF(DATOS_[Check Periodo Ref.]="Dentro",DATOS_[Tot COMPL.SAL Ef],FALSE)))),
0)</f>
        <v>0</v>
      </c>
      <c r="AK79" s="96">
        <f t="array" ref="AK79">IFERROR(
AVERAGE(IF(DATOS_[Sexo]=$B79,IF(DATOS_[AGRUP. CLAS. PROF.]=$B78,IF(DATOS_[Check Periodo Ref.]="Dentro",DATOS_[TOTAL SALARIO Ef],FALSE)))),
0)</f>
        <v>0</v>
      </c>
      <c r="AL79" s="95">
        <f t="array" ref="AL79">IFERROR(
AVERAGE((IF(DATOS_[[Sexo]:[Sexo]]=$B79,IF(DATOS_[[AGRUP. CLAS. PROF.]:[AGRUP. CLAS. PROF.]]=$B78,IF(DATOS_[[Check Periodo Ref.]:[Check Periodo Ref.]]="Dentro",DATOS_[C.Extra.01]))))),
0)</f>
        <v>0</v>
      </c>
      <c r="AM79" s="95">
        <f t="array" ref="AM79">IFERROR(
AVERAGE((IF(DATOS_[[Sexo]:[Sexo]]=$B79,IF(DATOS_[[AGRUP. CLAS. PROF.]:[AGRUP. CLAS. PROF.]]=$B78,IF(DATOS_[[Check Periodo Ref.]:[Check Periodo Ref.]]="Dentro",DATOS_[C.Extra.02]))))),
0)</f>
        <v>0</v>
      </c>
      <c r="AN79" s="95">
        <f t="array" ref="AN79">IFERROR(
AVERAGE((IF(DATOS_[[Sexo]:[Sexo]]=$B79,IF(DATOS_[[AGRUP. CLAS. PROF.]:[AGRUP. CLAS. PROF.]]=$B78,IF(DATOS_[[Check Periodo Ref.]:[Check Periodo Ref.]]="Dentro",DATOS_[C.Extra.03]))))),
0)</f>
        <v>0</v>
      </c>
      <c r="AO79" s="95">
        <f t="array" ref="AO79">IFERROR(
AVERAGE((IF(DATOS_[[Sexo]:[Sexo]]=$B79,IF(DATOS_[[AGRUP. CLAS. PROF.]:[AGRUP. CLAS. PROF.]]=$B78,IF(DATOS_[[Check Periodo Ref.]:[Check Periodo Ref.]]="Dentro",DATOS_[C.Extra.04]))))),
0)</f>
        <v>0</v>
      </c>
      <c r="AP79" s="95">
        <f t="array" ref="AP79">IFERROR(
AVERAGE((IF(DATOS_[[Sexo]:[Sexo]]=$B79,IF(DATOS_[[AGRUP. CLAS. PROF.]:[AGRUP. CLAS. PROF.]]=$B78,IF(DATOS_[[Check Periodo Ref.]:[Check Periodo Ref.]]="Dentro",DATOS_[C.Extra.05]))))),
0)</f>
        <v>0</v>
      </c>
      <c r="AQ79" s="97">
        <f t="array" ref="AQ79">IFERROR(
AVERAGE(IF(DATOS_[Sexo]=$B79,IF(DATOS_[AGRUP. CLAS. PROF.]=$B78,IF(DATOS_[Check Periodo Ref.]="Dentro",DATOS_[Tot Extrasalarial Ef],FALSE)))),
0)</f>
        <v>0</v>
      </c>
      <c r="AR79" s="98">
        <f t="array" ref="AR79">IFERROR(
AVERAGE(IF(DATOS_[Sexo]=$B79,IF(DATOS_[AGRUP. CLAS. PROF.]=$B78,IF(DATOS_[Check Periodo Ref.]="Dentro",DATOS_[TOTAL Retrib Ef],FALSE)))),
0)</f>
        <v>0</v>
      </c>
    </row>
    <row r="80" spans="1:44" hidden="1" x14ac:dyDescent="0.3">
      <c r="A80" s="309" t="str">
        <f t="shared" ref="A80" si="90">+A79</f>
        <v>[ocultar]</v>
      </c>
      <c r="B80" s="46" t="s">
        <v>163</v>
      </c>
      <c r="C80" s="45">
        <f t="array" ref="C80">SUM(IF($B80=DATOS_[Sexo],
IF($B78=DATOS_[AGRUP. CLAS. PROF.],
IF("Dentro"=DATOS_[Check Periodo Ref.],
1/(COUNTIFS(DATOS_[Sexo],$B80,DATOS_[AGRUP. CLAS. PROF.],$B78,DATOS_[Check Periodo Ref.],"Dentro",DATOS_[id],DATOS_[id]))))))</f>
        <v>0</v>
      </c>
      <c r="D80" s="47">
        <f>COUNTIFS(DATOS_[AGRUP. CLAS. PROF.],$B78,DATOS_[Sexo],$B80,DATOS_[Check Periodo Ref.],"Dentro")</f>
        <v>0</v>
      </c>
      <c r="E80" s="92">
        <f t="array" ref="E80">IFERROR(
AVERAGE(IF(DATOS_[Sexo]=$B80,IF(DATOS_[AGRUP. CLAS. PROF.]=$B78,IF(DATOS_[Check Periodo Ref.]="Dentro",DATOS_[SALARIO BASE Ef],FALSE)))),
0)</f>
        <v>0</v>
      </c>
      <c r="F80" s="93">
        <f t="array" ref="F80">IFERROR(
AVERAGE((IF(DATOS_[[Sexo]:[Sexo]]=$B80,IF(DATOS_[[AGRUP. CLAS. PROF.]:[AGRUP. CLAS. PROF.]]=$B78,IF(DATOS_[[Check Periodo Ref.]:[Check Periodo Ref.]]="Dentro",DATOS_[Conc.Sal.01]))))),
0)</f>
        <v>0</v>
      </c>
      <c r="G80" s="93">
        <f t="array" ref="G80">IFERROR(
AVERAGE((IF(DATOS_[[Sexo]:[Sexo]]=$B80,IF(DATOS_[[AGRUP. CLAS. PROF.]:[AGRUP. CLAS. PROF.]]=$B78,IF(DATOS_[[Check Periodo Ref.]:[Check Periodo Ref.]]="Dentro",DATOS_[Conc.Sal.02]))))),
0)</f>
        <v>0</v>
      </c>
      <c r="H80" s="93">
        <f t="array" ref="H80">IFERROR(
AVERAGE((IF(DATOS_[[Sexo]:[Sexo]]=$B80,IF(DATOS_[[AGRUP. CLAS. PROF.]:[AGRUP. CLAS. PROF.]]=$B78,IF(DATOS_[[Check Periodo Ref.]:[Check Periodo Ref.]]="Dentro",DATOS_[Conc.Sal.03]))))),
0)</f>
        <v>0</v>
      </c>
      <c r="I80" s="93">
        <f t="array" ref="I80">IFERROR(
AVERAGE((IF(DATOS_[[Sexo]:[Sexo]]=$B80,IF(DATOS_[[AGRUP. CLAS. PROF.]:[AGRUP. CLAS. PROF.]]=$B78,IF(DATOS_[[Check Periodo Ref.]:[Check Periodo Ref.]]="Dentro",DATOS_[Conc.Sal.04]))))),
0)</f>
        <v>0</v>
      </c>
      <c r="J80" s="93">
        <f t="array" ref="J80">IFERROR(
AVERAGE((IF(DATOS_[[Sexo]:[Sexo]]=$B80,IF(DATOS_[[AGRUP. CLAS. PROF.]:[AGRUP. CLAS. PROF.]]=$B78,IF(DATOS_[[Check Periodo Ref.]:[Check Periodo Ref.]]="Dentro",DATOS_[Conc.Sal.05]))))),
0)</f>
        <v>0</v>
      </c>
      <c r="K80" s="93">
        <f t="array" ref="K80">IFERROR(
AVERAGE((IF(DATOS_[[Sexo]:[Sexo]]=$B80,IF(DATOS_[[AGRUP. CLAS. PROF.]:[AGRUP. CLAS. PROF.]]=$B78,IF(DATOS_[[Check Periodo Ref.]:[Check Periodo Ref.]]="Dentro",DATOS_[Conc.Sal.06]))))),
0)</f>
        <v>0</v>
      </c>
      <c r="L80" s="93">
        <f t="array" ref="L80">IFERROR(
AVERAGE((IF(DATOS_[[Sexo]:[Sexo]]=$B80,IF(DATOS_[[AGRUP. CLAS. PROF.]:[AGRUP. CLAS. PROF.]]=$B78,IF(DATOS_[[Check Periodo Ref.]:[Check Periodo Ref.]]="Dentro",DATOS_[Conc.Sal.07]))))),
0)</f>
        <v>0</v>
      </c>
      <c r="M80" s="93">
        <f t="array" ref="M80">IFERROR(
AVERAGE((IF(DATOS_[[Sexo]:[Sexo]]=$B80,IF(DATOS_[[AGRUP. CLAS. PROF.]:[AGRUP. CLAS. PROF.]]=$B78,IF(DATOS_[[Check Periodo Ref.]:[Check Periodo Ref.]]="Dentro",DATOS_[Conc.Sal.08]))))),
0)</f>
        <v>0</v>
      </c>
      <c r="N80" s="93">
        <f t="array" ref="N80">IFERROR(
AVERAGE((IF(DATOS_[[Sexo]:[Sexo]]=$B80,IF(DATOS_[[AGRUP. CLAS. PROF.]:[AGRUP. CLAS. PROF.]]=$B78,IF(DATOS_[[Check Periodo Ref.]:[Check Periodo Ref.]]="Dentro",DATOS_[Conc.Sal.09]))))),
0)</f>
        <v>0</v>
      </c>
      <c r="O80" s="93">
        <f t="array" ref="O80">IFERROR(
AVERAGE((IF(DATOS_[[Sexo]:[Sexo]]=$B80,IF(DATOS_[[AGRUP. CLAS. PROF.]:[AGRUP. CLAS. PROF.]]=$B78,IF(DATOS_[[Check Periodo Ref.]:[Check Periodo Ref.]]="Dentro",DATOS_[Conc.Sal.10]))))),
0)</f>
        <v>0</v>
      </c>
      <c r="P80" s="93">
        <f t="array" ref="P80">IFERROR(
AVERAGE((IF(DATOS_[[Sexo]:[Sexo]]=$B80,IF(DATOS_[[AGRUP. CLAS. PROF.]:[AGRUP. CLAS. PROF.]]=$B78,IF(DATOS_[[Check Periodo Ref.]:[Check Periodo Ref.]]="Dentro",DATOS_[Conc.Sal.11]))))),
0)</f>
        <v>0</v>
      </c>
      <c r="Q80" s="93">
        <f t="array" ref="Q80">IFERROR(
AVERAGE((IF(DATOS_[[Sexo]:[Sexo]]=$B80,IF(DATOS_[[AGRUP. CLAS. PROF.]:[AGRUP. CLAS. PROF.]]=$B78,IF(DATOS_[[Check Periodo Ref.]:[Check Periodo Ref.]]="Dentro",DATOS_[Conc.Sal.12]))))),
0)</f>
        <v>0</v>
      </c>
      <c r="R80" s="93">
        <f t="array" ref="R80">IFERROR(
AVERAGE((IF(DATOS_[[Sexo]:[Sexo]]=$B80,IF(DATOS_[[AGRUP. CLAS. PROF.]:[AGRUP. CLAS. PROF.]]=$B78,IF(DATOS_[[Check Periodo Ref.]:[Check Periodo Ref.]]="Dentro",DATOS_[Conc.Sal.13]))))),
0)</f>
        <v>0</v>
      </c>
      <c r="S80" s="93">
        <f t="array" ref="S80">IFERROR(
AVERAGE((IF(DATOS_[[Sexo]:[Sexo]]=$B80,IF(DATOS_[[AGRUP. CLAS. PROF.]:[AGRUP. CLAS. PROF.]]=$B78,IF(DATOS_[[Check Periodo Ref.]:[Check Periodo Ref.]]="Dentro",DATOS_[Conc.Sal.14]))))),
0)</f>
        <v>0</v>
      </c>
      <c r="T80" s="93">
        <f t="array" ref="T80">IFERROR(
AVERAGE((IF(DATOS_[[Sexo]:[Sexo]]=$B80,IF(DATOS_[[AGRUP. CLAS. PROF.]:[AGRUP. CLAS. PROF.]]=$B78,IF(DATOS_[[Check Periodo Ref.]:[Check Periodo Ref.]]="Dentro",DATOS_[Conc.Sal.15]))))),
0)</f>
        <v>0</v>
      </c>
      <c r="U80" s="93">
        <f t="array" ref="U80">IFERROR(
AVERAGE((IF(DATOS_[[Sexo]:[Sexo]]=$B80,IF(DATOS_[[AGRUP. CLAS. PROF.]:[AGRUP. CLAS. PROF.]]=$B78,IF(DATOS_[[Check Periodo Ref.]:[Check Periodo Ref.]]="Dentro",DATOS_[Conc.Sal.16]))))),
0)</f>
        <v>0</v>
      </c>
      <c r="V80" s="93">
        <f t="array" ref="V80">IFERROR(
AVERAGE((IF(DATOS_[[Sexo]:[Sexo]]=$B80,IF(DATOS_[[AGRUP. CLAS. PROF.]:[AGRUP. CLAS. PROF.]]=$B78,IF(DATOS_[[Check Periodo Ref.]:[Check Periodo Ref.]]="Dentro",DATOS_[Conc.Sal.17]))))),
0)</f>
        <v>0</v>
      </c>
      <c r="W80" s="93">
        <f t="array" ref="W80">IFERROR(
AVERAGE((IF(DATOS_[[Sexo]:[Sexo]]=$B80,IF(DATOS_[[AGRUP. CLAS. PROF.]:[AGRUP. CLAS. PROF.]]=$B78,IF(DATOS_[[Check Periodo Ref.]:[Check Periodo Ref.]]="Dentro",DATOS_[Conc.Sal.18]))))),
0)</f>
        <v>0</v>
      </c>
      <c r="X80" s="93">
        <f t="array" ref="X80">IFERROR(
AVERAGE((IF(DATOS_[[Sexo]:[Sexo]]=$B80,IF(DATOS_[[AGRUP. CLAS. PROF.]:[AGRUP. CLAS. PROF.]]=$B78,IF(DATOS_[[Check Periodo Ref.]:[Check Periodo Ref.]]="Dentro",DATOS_[Conc.Sal.19]))))),
0)</f>
        <v>0</v>
      </c>
      <c r="Y80" s="93">
        <f t="array" ref="Y80">IFERROR(
AVERAGE((IF(DATOS_[[Sexo]:[Sexo]]=$B80,IF(DATOS_[[AGRUP. CLAS. PROF.]:[AGRUP. CLAS. PROF.]]=$B78,IF(DATOS_[[Check Periodo Ref.]:[Check Periodo Ref.]]="Dentro",DATOS_[Conc.Sal.20]))))),
0)</f>
        <v>0</v>
      </c>
      <c r="Z80" s="93">
        <f t="array" ref="Z80">IFERROR(
AVERAGE((IF(DATOS_[[Sexo]:[Sexo]]=$B80,IF(DATOS_[[AGRUP. CLAS. PROF.]:[AGRUP. CLAS. PROF.]]=$B78,IF(DATOS_[[Check Periodo Ref.]:[Check Periodo Ref.]]="Dentro",DATOS_[Conc.Sal.21]))))),
0)</f>
        <v>0</v>
      </c>
      <c r="AA80" s="93">
        <f t="array" ref="AA80">IFERROR(
AVERAGE((IF(DATOS_[[Sexo]:[Sexo]]=$B80,IF(DATOS_[[AGRUP. CLAS. PROF.]:[AGRUP. CLAS. PROF.]]=$B78,IF(DATOS_[[Check Periodo Ref.]:[Check Periodo Ref.]]="Dentro",DATOS_[Conc.Sal.22]))))),
0)</f>
        <v>0</v>
      </c>
      <c r="AB80" s="93">
        <f t="array" ref="AB80">IFERROR(
AVERAGE((IF(DATOS_[[Sexo]:[Sexo]]=$B80,IF(DATOS_[[AGRUP. CLAS. PROF.]:[AGRUP. CLAS. PROF.]]=$B78,IF(DATOS_[[Check Periodo Ref.]:[Check Periodo Ref.]]="Dentro",DATOS_[Conc.Sal.23]))))),
0)</f>
        <v>0</v>
      </c>
      <c r="AC80" s="93">
        <f t="array" ref="AC80">IFERROR(
AVERAGE((IF(DATOS_[[Sexo]:[Sexo]]=$B80,IF(DATOS_[[AGRUP. CLAS. PROF.]:[AGRUP. CLAS. PROF.]]=$B78,IF(DATOS_[[Check Periodo Ref.]:[Check Periodo Ref.]]="Dentro",DATOS_[Conc.Sal.24]))))),
0)</f>
        <v>0</v>
      </c>
      <c r="AD80" s="93">
        <f t="array" ref="AD80">IFERROR(
AVERAGE((IF(DATOS_[[Sexo]:[Sexo]]=$B80,IF(DATOS_[[AGRUP. CLAS. PROF.]:[AGRUP. CLAS. PROF.]]=$B78,IF(DATOS_[[Check Periodo Ref.]:[Check Periodo Ref.]]="Dentro",DATOS_[Conc.Sal.25]))))),
0)</f>
        <v>0</v>
      </c>
      <c r="AE80" s="93">
        <f t="array" ref="AE80">IFERROR(
AVERAGE((IF(DATOS_[[Sexo]:[Sexo]]=$B80,IF(DATOS_[[AGRUP. CLAS. PROF.]:[AGRUP. CLAS. PROF.]]=$B78,IF(DATOS_[[Check Periodo Ref.]:[Check Periodo Ref.]]="Dentro",DATOS_[Conc.Sal.26]))))),
0)</f>
        <v>0</v>
      </c>
      <c r="AF80" s="93">
        <f t="array" ref="AF80">IFERROR(
AVERAGE((IF(DATOS_[[Sexo]:[Sexo]]=$B80,IF(DATOS_[[AGRUP. CLAS. PROF.]:[AGRUP. CLAS. PROF.]]=$B78,IF(DATOS_[[Check Periodo Ref.]:[Check Periodo Ref.]]="Dentro",DATOS_[Conc.Sal.27]))))),
0)</f>
        <v>0</v>
      </c>
      <c r="AG80" s="93">
        <f t="array" ref="AG80">IFERROR(
AVERAGE((IF(DATOS_[[Sexo]:[Sexo]]=$B80,IF(DATOS_[[AGRUP. CLAS. PROF.]:[AGRUP. CLAS. PROF.]]=$B78,IF(DATOS_[[Check Periodo Ref.]:[Check Periodo Ref.]]="Dentro",DATOS_[Conc.Sal.28]))))),
0)</f>
        <v>0</v>
      </c>
      <c r="AH80" s="93">
        <f t="array" ref="AH80">IFERROR(
AVERAGE((IF(DATOS_[[Sexo]:[Sexo]]=$B80,IF(DATOS_[[AGRUP. CLAS. PROF.]:[AGRUP. CLAS. PROF.]]=$B78,IF(DATOS_[[Check Periodo Ref.]:[Check Periodo Ref.]]="Dentro",DATOS_[Conc.Sal.29]))))),
0)</f>
        <v>0</v>
      </c>
      <c r="AI80" s="93">
        <f t="array" ref="AI80">IFERROR(
AVERAGE((IF(DATOS_[[Sexo]:[Sexo]]=$B80,IF(DATOS_[[AGRUP. CLAS. PROF.]:[AGRUP. CLAS. PROF.]]=$B78,IF(DATOS_[[Check Periodo Ref.]:[Check Periodo Ref.]]="Dentro",DATOS_[Conc.Sal.30]))))),
0)</f>
        <v>0</v>
      </c>
      <c r="AJ80" s="94">
        <f t="array" ref="AJ80">IFERROR(
AVERAGE(IF(DATOS_[Sexo]=$B80,IF(DATOS_[AGRUP. CLAS. PROF.]=$B78,IF(DATOS_[Check Periodo Ref.]="Dentro",DATOS_[Tot COMPL.SAL Ef],FALSE)))),
0)</f>
        <v>0</v>
      </c>
      <c r="AK80" s="96">
        <f t="array" ref="AK80">IFERROR(
AVERAGE(IF(DATOS_[Sexo]=$B80,IF(DATOS_[AGRUP. CLAS. PROF.]=$B78,IF(DATOS_[Check Periodo Ref.]="Dentro",DATOS_[TOTAL SALARIO Ef],FALSE)))),
0)</f>
        <v>0</v>
      </c>
      <c r="AL80" s="95">
        <f t="array" ref="AL80">IFERROR(
AVERAGE((IF(DATOS_[[Sexo]:[Sexo]]=$B80,IF(DATOS_[[AGRUP. CLAS. PROF.]:[AGRUP. CLAS. PROF.]]=$B78,IF(DATOS_[[Check Periodo Ref.]:[Check Periodo Ref.]]="Dentro",DATOS_[C.Extra.01]))))),
0)</f>
        <v>0</v>
      </c>
      <c r="AM80" s="95">
        <f t="array" ref="AM80">IFERROR(
AVERAGE((IF(DATOS_[[Sexo]:[Sexo]]=$B80,IF(DATOS_[[AGRUP. CLAS. PROF.]:[AGRUP. CLAS. PROF.]]=$B78,IF(DATOS_[[Check Periodo Ref.]:[Check Periodo Ref.]]="Dentro",DATOS_[C.Extra.02]))))),
0)</f>
        <v>0</v>
      </c>
      <c r="AN80" s="95">
        <f t="array" ref="AN80">IFERROR(
AVERAGE((IF(DATOS_[[Sexo]:[Sexo]]=$B80,IF(DATOS_[[AGRUP. CLAS. PROF.]:[AGRUP. CLAS. PROF.]]=$B78,IF(DATOS_[[Check Periodo Ref.]:[Check Periodo Ref.]]="Dentro",DATOS_[C.Extra.03]))))),
0)</f>
        <v>0</v>
      </c>
      <c r="AO80" s="95">
        <f t="array" ref="AO80">IFERROR(
AVERAGE((IF(DATOS_[[Sexo]:[Sexo]]=$B80,IF(DATOS_[[AGRUP. CLAS. PROF.]:[AGRUP. CLAS. PROF.]]=$B78,IF(DATOS_[[Check Periodo Ref.]:[Check Periodo Ref.]]="Dentro",DATOS_[C.Extra.04]))))),
0)</f>
        <v>0</v>
      </c>
      <c r="AP80" s="95">
        <f t="array" ref="AP80">IFERROR(
AVERAGE((IF(DATOS_[[Sexo]:[Sexo]]=$B80,IF(DATOS_[[AGRUP. CLAS. PROF.]:[AGRUP. CLAS. PROF.]]=$B78,IF(DATOS_[[Check Periodo Ref.]:[Check Periodo Ref.]]="Dentro",DATOS_[C.Extra.05]))))),
0)</f>
        <v>0</v>
      </c>
      <c r="AQ80" s="97">
        <f t="array" ref="AQ80">IFERROR(
AVERAGE(IF(DATOS_[Sexo]=$B80,IF(DATOS_[AGRUP. CLAS. PROF.]=$B78,IF(DATOS_[Check Periodo Ref.]="Dentro",DATOS_[Tot Extrasalarial Ef],FALSE)))),
0)</f>
        <v>0</v>
      </c>
      <c r="AR80" s="98">
        <f t="array" ref="AR80">IFERROR(
AVERAGE(IF(DATOS_[Sexo]=$B80,IF(DATOS_[AGRUP. CLAS. PROF.]=$B78,IF(DATOS_[Check Periodo Ref.]="Dentro",DATOS_[TOTAL Retrib Ef],FALSE)))),
0)</f>
        <v>0</v>
      </c>
    </row>
    <row r="81" spans="1:44" ht="17.25" hidden="1" thickBot="1" x14ac:dyDescent="0.35">
      <c r="A81" s="309" t="str">
        <f t="shared" ref="A81" si="91">+A82</f>
        <v>[ocultar]</v>
      </c>
      <c r="B81" s="51" t="s">
        <v>239</v>
      </c>
      <c r="C81" s="91"/>
      <c r="D81" s="52"/>
      <c r="E81" s="139" t="str">
        <f t="shared" ref="E81:AR81" si="92">IFERROR((E82-E83)/E82,"")</f>
        <v/>
      </c>
      <c r="F81" s="310" t="str">
        <f t="shared" si="92"/>
        <v/>
      </c>
      <c r="G81" s="180" t="str">
        <f t="shared" si="92"/>
        <v/>
      </c>
      <c r="H81" s="180" t="str">
        <f t="shared" si="92"/>
        <v/>
      </c>
      <c r="I81" s="180" t="str">
        <f t="shared" si="92"/>
        <v/>
      </c>
      <c r="J81" s="181" t="str">
        <f t="shared" si="92"/>
        <v/>
      </c>
      <c r="K81" s="182" t="str">
        <f t="shared" si="92"/>
        <v/>
      </c>
      <c r="L81" s="182" t="str">
        <f t="shared" si="92"/>
        <v/>
      </c>
      <c r="M81" s="182" t="str">
        <f t="shared" si="92"/>
        <v/>
      </c>
      <c r="N81" s="182" t="str">
        <f t="shared" si="92"/>
        <v/>
      </c>
      <c r="O81" s="182" t="str">
        <f t="shared" si="92"/>
        <v/>
      </c>
      <c r="P81" s="182" t="str">
        <f t="shared" si="92"/>
        <v/>
      </c>
      <c r="Q81" s="182" t="str">
        <f t="shared" si="92"/>
        <v/>
      </c>
      <c r="R81" s="182" t="str">
        <f t="shared" si="92"/>
        <v/>
      </c>
      <c r="S81" s="182" t="str">
        <f t="shared" si="92"/>
        <v/>
      </c>
      <c r="T81" s="182" t="str">
        <f t="shared" si="92"/>
        <v/>
      </c>
      <c r="U81" s="182" t="str">
        <f t="shared" si="92"/>
        <v/>
      </c>
      <c r="V81" s="181" t="str">
        <f t="shared" si="92"/>
        <v/>
      </c>
      <c r="W81" s="181" t="str">
        <f t="shared" si="92"/>
        <v/>
      </c>
      <c r="X81" s="181" t="str">
        <f t="shared" si="92"/>
        <v/>
      </c>
      <c r="Y81" s="181" t="str">
        <f t="shared" si="92"/>
        <v/>
      </c>
      <c r="Z81" s="181" t="str">
        <f t="shared" si="92"/>
        <v/>
      </c>
      <c r="AA81" s="181" t="str">
        <f t="shared" si="92"/>
        <v/>
      </c>
      <c r="AB81" s="181" t="str">
        <f t="shared" si="92"/>
        <v/>
      </c>
      <c r="AC81" s="181" t="str">
        <f t="shared" si="92"/>
        <v/>
      </c>
      <c r="AD81" s="181" t="str">
        <f t="shared" si="92"/>
        <v/>
      </c>
      <c r="AE81" s="181" t="str">
        <f t="shared" si="92"/>
        <v/>
      </c>
      <c r="AF81" s="181" t="str">
        <f t="shared" si="92"/>
        <v/>
      </c>
      <c r="AG81" s="181" t="str">
        <f t="shared" si="92"/>
        <v/>
      </c>
      <c r="AH81" s="181" t="str">
        <f t="shared" si="92"/>
        <v/>
      </c>
      <c r="AI81" s="181" t="str">
        <f t="shared" si="92"/>
        <v/>
      </c>
      <c r="AJ81" s="140" t="str">
        <f t="shared" si="92"/>
        <v/>
      </c>
      <c r="AK81" s="143" t="str">
        <f t="shared" si="92"/>
        <v/>
      </c>
      <c r="AL81" s="184" t="str">
        <f t="shared" si="92"/>
        <v/>
      </c>
      <c r="AM81" s="184" t="str">
        <f t="shared" si="92"/>
        <v/>
      </c>
      <c r="AN81" s="184" t="str">
        <f t="shared" si="92"/>
        <v/>
      </c>
      <c r="AO81" s="184" t="str">
        <f t="shared" si="92"/>
        <v/>
      </c>
      <c r="AP81" s="184" t="str">
        <f t="shared" si="92"/>
        <v/>
      </c>
      <c r="AQ81" s="141" t="str">
        <f t="shared" si="92"/>
        <v/>
      </c>
      <c r="AR81" s="142" t="str">
        <f t="shared" si="92"/>
        <v/>
      </c>
    </row>
    <row r="82" spans="1:44" hidden="1" x14ac:dyDescent="0.3">
      <c r="A82" s="309" t="str">
        <f t="shared" ref="A82" si="93">+IF(C82+C83=0,"[ocultar]","")</f>
        <v>[ocultar]</v>
      </c>
      <c r="B82" s="46" t="s">
        <v>162</v>
      </c>
      <c r="C82" s="45">
        <f t="array" ref="C82">SUM(IF($B82=DATOS_[Sexo],
IF($B81=DATOS_[AGRUP. CLAS. PROF.],
IF("Dentro"=DATOS_[Check Periodo Ref.],
1/(COUNTIFS(DATOS_[Sexo],$B82,DATOS_[AGRUP. CLAS. PROF.],$B81,DATOS_[Check Periodo Ref.],"Dentro",DATOS_[id],DATOS_[id]))))))</f>
        <v>0</v>
      </c>
      <c r="D82" s="47">
        <f>COUNTIFS(DATOS_[AGRUP. CLAS. PROF.],$B81,DATOS_[Sexo],$B82,DATOS_[Check Periodo Ref.],"Dentro")</f>
        <v>0</v>
      </c>
      <c r="E82" s="92">
        <f t="array" ref="E82">IFERROR(
AVERAGE(IF(DATOS_[Sexo]=$B82,IF(DATOS_[AGRUP. CLAS. PROF.]=$B81,IF(DATOS_[Check Periodo Ref.]="Dentro",DATOS_[SALARIO BASE Ef],FALSE)))),
0)</f>
        <v>0</v>
      </c>
      <c r="F82" s="93">
        <f t="array" ref="F82">IFERROR(
AVERAGE((IF(DATOS_[[Sexo]:[Sexo]]=$B82,IF(DATOS_[[AGRUP. CLAS. PROF.]:[AGRUP. CLAS. PROF.]]=$B81,IF(DATOS_[[Check Periodo Ref.]:[Check Periodo Ref.]]="Dentro",DATOS_[Conc.Sal.01]))))),
0)</f>
        <v>0</v>
      </c>
      <c r="G82" s="93">
        <f t="array" ref="G82">IFERROR(
AVERAGE((IF(DATOS_[[Sexo]:[Sexo]]=$B82,IF(DATOS_[[AGRUP. CLAS. PROF.]:[AGRUP. CLAS. PROF.]]=$B81,IF(DATOS_[[Check Periodo Ref.]:[Check Periodo Ref.]]="Dentro",DATOS_[Conc.Sal.02]))))),
0)</f>
        <v>0</v>
      </c>
      <c r="H82" s="93">
        <f t="array" ref="H82">IFERROR(
AVERAGE((IF(DATOS_[[Sexo]:[Sexo]]=$B82,IF(DATOS_[[AGRUP. CLAS. PROF.]:[AGRUP. CLAS. PROF.]]=$B81,IF(DATOS_[[Check Periodo Ref.]:[Check Periodo Ref.]]="Dentro",DATOS_[Conc.Sal.03]))))),
0)</f>
        <v>0</v>
      </c>
      <c r="I82" s="93">
        <f t="array" ref="I82">IFERROR(
AVERAGE((IF(DATOS_[[Sexo]:[Sexo]]=$B82,IF(DATOS_[[AGRUP. CLAS. PROF.]:[AGRUP. CLAS. PROF.]]=$B81,IF(DATOS_[[Check Periodo Ref.]:[Check Periodo Ref.]]="Dentro",DATOS_[Conc.Sal.04]))))),
0)</f>
        <v>0</v>
      </c>
      <c r="J82" s="93">
        <f t="array" ref="J82">IFERROR(
AVERAGE((IF(DATOS_[[Sexo]:[Sexo]]=$B82,IF(DATOS_[[AGRUP. CLAS. PROF.]:[AGRUP. CLAS. PROF.]]=$B81,IF(DATOS_[[Check Periodo Ref.]:[Check Periodo Ref.]]="Dentro",DATOS_[Conc.Sal.05]))))),
0)</f>
        <v>0</v>
      </c>
      <c r="K82" s="93">
        <f t="array" ref="K82">IFERROR(
AVERAGE((IF(DATOS_[[Sexo]:[Sexo]]=$B82,IF(DATOS_[[AGRUP. CLAS. PROF.]:[AGRUP. CLAS. PROF.]]=$B81,IF(DATOS_[[Check Periodo Ref.]:[Check Periodo Ref.]]="Dentro",DATOS_[Conc.Sal.06]))))),
0)</f>
        <v>0</v>
      </c>
      <c r="L82" s="93">
        <f t="array" ref="L82">IFERROR(
AVERAGE((IF(DATOS_[[Sexo]:[Sexo]]=$B82,IF(DATOS_[[AGRUP. CLAS. PROF.]:[AGRUP. CLAS. PROF.]]=$B81,IF(DATOS_[[Check Periodo Ref.]:[Check Periodo Ref.]]="Dentro",DATOS_[Conc.Sal.07]))))),
0)</f>
        <v>0</v>
      </c>
      <c r="M82" s="93">
        <f t="array" ref="M82">IFERROR(
AVERAGE((IF(DATOS_[[Sexo]:[Sexo]]=$B82,IF(DATOS_[[AGRUP. CLAS. PROF.]:[AGRUP. CLAS. PROF.]]=$B81,IF(DATOS_[[Check Periodo Ref.]:[Check Periodo Ref.]]="Dentro",DATOS_[Conc.Sal.08]))))),
0)</f>
        <v>0</v>
      </c>
      <c r="N82" s="93">
        <f t="array" ref="N82">IFERROR(
AVERAGE((IF(DATOS_[[Sexo]:[Sexo]]=$B82,IF(DATOS_[[AGRUP. CLAS. PROF.]:[AGRUP. CLAS. PROF.]]=$B81,IF(DATOS_[[Check Periodo Ref.]:[Check Periodo Ref.]]="Dentro",DATOS_[Conc.Sal.09]))))),
0)</f>
        <v>0</v>
      </c>
      <c r="O82" s="93">
        <f t="array" ref="O82">IFERROR(
AVERAGE((IF(DATOS_[[Sexo]:[Sexo]]=$B82,IF(DATOS_[[AGRUP. CLAS. PROF.]:[AGRUP. CLAS. PROF.]]=$B81,IF(DATOS_[[Check Periodo Ref.]:[Check Periodo Ref.]]="Dentro",DATOS_[Conc.Sal.10]))))),
0)</f>
        <v>0</v>
      </c>
      <c r="P82" s="93">
        <f t="array" ref="P82">IFERROR(
AVERAGE((IF(DATOS_[[Sexo]:[Sexo]]=$B82,IF(DATOS_[[AGRUP. CLAS. PROF.]:[AGRUP. CLAS. PROF.]]=$B81,IF(DATOS_[[Check Periodo Ref.]:[Check Periodo Ref.]]="Dentro",DATOS_[Conc.Sal.11]))))),
0)</f>
        <v>0</v>
      </c>
      <c r="Q82" s="93">
        <f t="array" ref="Q82">IFERROR(
AVERAGE((IF(DATOS_[[Sexo]:[Sexo]]=$B82,IF(DATOS_[[AGRUP. CLAS. PROF.]:[AGRUP. CLAS. PROF.]]=$B81,IF(DATOS_[[Check Periodo Ref.]:[Check Periodo Ref.]]="Dentro",DATOS_[Conc.Sal.12]))))),
0)</f>
        <v>0</v>
      </c>
      <c r="R82" s="93">
        <f t="array" ref="R82">IFERROR(
AVERAGE((IF(DATOS_[[Sexo]:[Sexo]]=$B82,IF(DATOS_[[AGRUP. CLAS. PROF.]:[AGRUP. CLAS. PROF.]]=$B81,IF(DATOS_[[Check Periodo Ref.]:[Check Periodo Ref.]]="Dentro",DATOS_[Conc.Sal.13]))))),
0)</f>
        <v>0</v>
      </c>
      <c r="S82" s="93">
        <f t="array" ref="S82">IFERROR(
AVERAGE((IF(DATOS_[[Sexo]:[Sexo]]=$B82,IF(DATOS_[[AGRUP. CLAS. PROF.]:[AGRUP. CLAS. PROF.]]=$B81,IF(DATOS_[[Check Periodo Ref.]:[Check Periodo Ref.]]="Dentro",DATOS_[Conc.Sal.14]))))),
0)</f>
        <v>0</v>
      </c>
      <c r="T82" s="93">
        <f t="array" ref="T82">IFERROR(
AVERAGE((IF(DATOS_[[Sexo]:[Sexo]]=$B82,IF(DATOS_[[AGRUP. CLAS. PROF.]:[AGRUP. CLAS. PROF.]]=$B81,IF(DATOS_[[Check Periodo Ref.]:[Check Periodo Ref.]]="Dentro",DATOS_[Conc.Sal.15]))))),
0)</f>
        <v>0</v>
      </c>
      <c r="U82" s="93">
        <f t="array" ref="U82">IFERROR(
AVERAGE((IF(DATOS_[[Sexo]:[Sexo]]=$B82,IF(DATOS_[[AGRUP. CLAS. PROF.]:[AGRUP. CLAS. PROF.]]=$B81,IF(DATOS_[[Check Periodo Ref.]:[Check Periodo Ref.]]="Dentro",DATOS_[Conc.Sal.16]))))),
0)</f>
        <v>0</v>
      </c>
      <c r="V82" s="93">
        <f t="array" ref="V82">IFERROR(
AVERAGE((IF(DATOS_[[Sexo]:[Sexo]]=$B82,IF(DATOS_[[AGRUP. CLAS. PROF.]:[AGRUP. CLAS. PROF.]]=$B81,IF(DATOS_[[Check Periodo Ref.]:[Check Periodo Ref.]]="Dentro",DATOS_[Conc.Sal.17]))))),
0)</f>
        <v>0</v>
      </c>
      <c r="W82" s="93">
        <f t="array" ref="W82">IFERROR(
AVERAGE((IF(DATOS_[[Sexo]:[Sexo]]=$B82,IF(DATOS_[[AGRUP. CLAS. PROF.]:[AGRUP. CLAS. PROF.]]=$B81,IF(DATOS_[[Check Periodo Ref.]:[Check Periodo Ref.]]="Dentro",DATOS_[Conc.Sal.18]))))),
0)</f>
        <v>0</v>
      </c>
      <c r="X82" s="93">
        <f t="array" ref="X82">IFERROR(
AVERAGE((IF(DATOS_[[Sexo]:[Sexo]]=$B82,IF(DATOS_[[AGRUP. CLAS. PROF.]:[AGRUP. CLAS. PROF.]]=$B81,IF(DATOS_[[Check Periodo Ref.]:[Check Periodo Ref.]]="Dentro",DATOS_[Conc.Sal.19]))))),
0)</f>
        <v>0</v>
      </c>
      <c r="Y82" s="93">
        <f t="array" ref="Y82">IFERROR(
AVERAGE((IF(DATOS_[[Sexo]:[Sexo]]=$B82,IF(DATOS_[[AGRUP. CLAS. PROF.]:[AGRUP. CLAS. PROF.]]=$B81,IF(DATOS_[[Check Periodo Ref.]:[Check Periodo Ref.]]="Dentro",DATOS_[Conc.Sal.20]))))),
0)</f>
        <v>0</v>
      </c>
      <c r="Z82" s="93">
        <f t="array" ref="Z82">IFERROR(
AVERAGE((IF(DATOS_[[Sexo]:[Sexo]]=$B82,IF(DATOS_[[AGRUP. CLAS. PROF.]:[AGRUP. CLAS. PROF.]]=$B81,IF(DATOS_[[Check Periodo Ref.]:[Check Periodo Ref.]]="Dentro",DATOS_[Conc.Sal.21]))))),
0)</f>
        <v>0</v>
      </c>
      <c r="AA82" s="93">
        <f t="array" ref="AA82">IFERROR(
AVERAGE((IF(DATOS_[[Sexo]:[Sexo]]=$B82,IF(DATOS_[[AGRUP. CLAS. PROF.]:[AGRUP. CLAS. PROF.]]=$B81,IF(DATOS_[[Check Periodo Ref.]:[Check Periodo Ref.]]="Dentro",DATOS_[Conc.Sal.22]))))),
0)</f>
        <v>0</v>
      </c>
      <c r="AB82" s="93">
        <f t="array" ref="AB82">IFERROR(
AVERAGE((IF(DATOS_[[Sexo]:[Sexo]]=$B82,IF(DATOS_[[AGRUP. CLAS. PROF.]:[AGRUP. CLAS. PROF.]]=$B81,IF(DATOS_[[Check Periodo Ref.]:[Check Periodo Ref.]]="Dentro",DATOS_[Conc.Sal.23]))))),
0)</f>
        <v>0</v>
      </c>
      <c r="AC82" s="93">
        <f t="array" ref="AC82">IFERROR(
AVERAGE((IF(DATOS_[[Sexo]:[Sexo]]=$B82,IF(DATOS_[[AGRUP. CLAS. PROF.]:[AGRUP. CLAS. PROF.]]=$B81,IF(DATOS_[[Check Periodo Ref.]:[Check Periodo Ref.]]="Dentro",DATOS_[Conc.Sal.24]))))),
0)</f>
        <v>0</v>
      </c>
      <c r="AD82" s="93">
        <f t="array" ref="AD82">IFERROR(
AVERAGE((IF(DATOS_[[Sexo]:[Sexo]]=$B82,IF(DATOS_[[AGRUP. CLAS. PROF.]:[AGRUP. CLAS. PROF.]]=$B81,IF(DATOS_[[Check Periodo Ref.]:[Check Periodo Ref.]]="Dentro",DATOS_[Conc.Sal.25]))))),
0)</f>
        <v>0</v>
      </c>
      <c r="AE82" s="93">
        <f t="array" ref="AE82">IFERROR(
AVERAGE((IF(DATOS_[[Sexo]:[Sexo]]=$B82,IF(DATOS_[[AGRUP. CLAS. PROF.]:[AGRUP. CLAS. PROF.]]=$B81,IF(DATOS_[[Check Periodo Ref.]:[Check Periodo Ref.]]="Dentro",DATOS_[Conc.Sal.26]))))),
0)</f>
        <v>0</v>
      </c>
      <c r="AF82" s="93">
        <f t="array" ref="AF82">IFERROR(
AVERAGE((IF(DATOS_[[Sexo]:[Sexo]]=$B82,IF(DATOS_[[AGRUP. CLAS. PROF.]:[AGRUP. CLAS. PROF.]]=$B81,IF(DATOS_[[Check Periodo Ref.]:[Check Periodo Ref.]]="Dentro",DATOS_[Conc.Sal.27]))))),
0)</f>
        <v>0</v>
      </c>
      <c r="AG82" s="93">
        <f t="array" ref="AG82">IFERROR(
AVERAGE((IF(DATOS_[[Sexo]:[Sexo]]=$B82,IF(DATOS_[[AGRUP. CLAS. PROF.]:[AGRUP. CLAS. PROF.]]=$B81,IF(DATOS_[[Check Periodo Ref.]:[Check Periodo Ref.]]="Dentro",DATOS_[Conc.Sal.28]))))),
0)</f>
        <v>0</v>
      </c>
      <c r="AH82" s="93">
        <f t="array" ref="AH82">IFERROR(
AVERAGE((IF(DATOS_[[Sexo]:[Sexo]]=$B82,IF(DATOS_[[AGRUP. CLAS. PROF.]:[AGRUP. CLAS. PROF.]]=$B81,IF(DATOS_[[Check Periodo Ref.]:[Check Periodo Ref.]]="Dentro",DATOS_[Conc.Sal.29]))))),
0)</f>
        <v>0</v>
      </c>
      <c r="AI82" s="93">
        <f t="array" ref="AI82">IFERROR(
AVERAGE((IF(DATOS_[[Sexo]:[Sexo]]=$B82,IF(DATOS_[[AGRUP. CLAS. PROF.]:[AGRUP. CLAS. PROF.]]=$B81,IF(DATOS_[[Check Periodo Ref.]:[Check Periodo Ref.]]="Dentro",DATOS_[Conc.Sal.30]))))),
0)</f>
        <v>0</v>
      </c>
      <c r="AJ82" s="94">
        <f t="array" ref="AJ82">IFERROR(
AVERAGE(IF(DATOS_[Sexo]=$B82,IF(DATOS_[AGRUP. CLAS. PROF.]=$B81,IF(DATOS_[Check Periodo Ref.]="Dentro",DATOS_[Tot COMPL.SAL Ef],FALSE)))),
0)</f>
        <v>0</v>
      </c>
      <c r="AK82" s="96">
        <f t="array" ref="AK82">IFERROR(
AVERAGE(IF(DATOS_[Sexo]=$B82,IF(DATOS_[AGRUP. CLAS. PROF.]=$B81,IF(DATOS_[Check Periodo Ref.]="Dentro",DATOS_[TOTAL SALARIO Ef],FALSE)))),
0)</f>
        <v>0</v>
      </c>
      <c r="AL82" s="95">
        <f t="array" ref="AL82">IFERROR(
AVERAGE((IF(DATOS_[[Sexo]:[Sexo]]=$B82,IF(DATOS_[[AGRUP. CLAS. PROF.]:[AGRUP. CLAS. PROF.]]=$B81,IF(DATOS_[[Check Periodo Ref.]:[Check Periodo Ref.]]="Dentro",DATOS_[C.Extra.01]))))),
0)</f>
        <v>0</v>
      </c>
      <c r="AM82" s="95">
        <f t="array" ref="AM82">IFERROR(
AVERAGE((IF(DATOS_[[Sexo]:[Sexo]]=$B82,IF(DATOS_[[AGRUP. CLAS. PROF.]:[AGRUP. CLAS. PROF.]]=$B81,IF(DATOS_[[Check Periodo Ref.]:[Check Periodo Ref.]]="Dentro",DATOS_[C.Extra.02]))))),
0)</f>
        <v>0</v>
      </c>
      <c r="AN82" s="95">
        <f t="array" ref="AN82">IFERROR(
AVERAGE((IF(DATOS_[[Sexo]:[Sexo]]=$B82,IF(DATOS_[[AGRUP. CLAS. PROF.]:[AGRUP. CLAS. PROF.]]=$B81,IF(DATOS_[[Check Periodo Ref.]:[Check Periodo Ref.]]="Dentro",DATOS_[C.Extra.03]))))),
0)</f>
        <v>0</v>
      </c>
      <c r="AO82" s="95">
        <f t="array" ref="AO82">IFERROR(
AVERAGE((IF(DATOS_[[Sexo]:[Sexo]]=$B82,IF(DATOS_[[AGRUP. CLAS. PROF.]:[AGRUP. CLAS. PROF.]]=$B81,IF(DATOS_[[Check Periodo Ref.]:[Check Periodo Ref.]]="Dentro",DATOS_[C.Extra.04]))))),
0)</f>
        <v>0</v>
      </c>
      <c r="AP82" s="95">
        <f t="array" ref="AP82">IFERROR(
AVERAGE((IF(DATOS_[[Sexo]:[Sexo]]=$B82,IF(DATOS_[[AGRUP. CLAS. PROF.]:[AGRUP. CLAS. PROF.]]=$B81,IF(DATOS_[[Check Periodo Ref.]:[Check Periodo Ref.]]="Dentro",DATOS_[C.Extra.05]))))),
0)</f>
        <v>0</v>
      </c>
      <c r="AQ82" s="97">
        <f t="array" ref="AQ82">IFERROR(
AVERAGE(IF(DATOS_[Sexo]=$B82,IF(DATOS_[AGRUP. CLAS. PROF.]=$B81,IF(DATOS_[Check Periodo Ref.]="Dentro",DATOS_[Tot Extrasalarial Ef],FALSE)))),
0)</f>
        <v>0</v>
      </c>
      <c r="AR82" s="98">
        <f t="array" ref="AR82">IFERROR(
AVERAGE(IF(DATOS_[Sexo]=$B82,IF(DATOS_[AGRUP. CLAS. PROF.]=$B81,IF(DATOS_[Check Periodo Ref.]="Dentro",DATOS_[TOTAL Retrib Ef],FALSE)))),
0)</f>
        <v>0</v>
      </c>
    </row>
    <row r="83" spans="1:44" hidden="1" x14ac:dyDescent="0.3">
      <c r="A83" s="309" t="str">
        <f t="shared" ref="A83" si="94">+A82</f>
        <v>[ocultar]</v>
      </c>
      <c r="B83" s="46" t="s">
        <v>163</v>
      </c>
      <c r="C83" s="45">
        <f t="array" ref="C83">SUM(IF($B83=DATOS_[Sexo],
IF($B81=DATOS_[AGRUP. CLAS. PROF.],
IF("Dentro"=DATOS_[Check Periodo Ref.],
1/(COUNTIFS(DATOS_[Sexo],$B83,DATOS_[AGRUP. CLAS. PROF.],$B81,DATOS_[Check Periodo Ref.],"Dentro",DATOS_[id],DATOS_[id]))))))</f>
        <v>0</v>
      </c>
      <c r="D83" s="47">
        <f>COUNTIFS(DATOS_[AGRUP. CLAS. PROF.],$B81,DATOS_[Sexo],$B83,DATOS_[Check Periodo Ref.],"Dentro")</f>
        <v>0</v>
      </c>
      <c r="E83" s="92">
        <f t="array" ref="E83">IFERROR(
AVERAGE(IF(DATOS_[Sexo]=$B83,IF(DATOS_[AGRUP. CLAS. PROF.]=$B81,IF(DATOS_[Check Periodo Ref.]="Dentro",DATOS_[SALARIO BASE Ef],FALSE)))),
0)</f>
        <v>0</v>
      </c>
      <c r="F83" s="93">
        <f t="array" ref="F83">IFERROR(
AVERAGE((IF(DATOS_[[Sexo]:[Sexo]]=$B83,IF(DATOS_[[AGRUP. CLAS. PROF.]:[AGRUP. CLAS. PROF.]]=$B81,IF(DATOS_[[Check Periodo Ref.]:[Check Periodo Ref.]]="Dentro",DATOS_[Conc.Sal.01]))))),
0)</f>
        <v>0</v>
      </c>
      <c r="G83" s="93">
        <f t="array" ref="G83">IFERROR(
AVERAGE((IF(DATOS_[[Sexo]:[Sexo]]=$B83,IF(DATOS_[[AGRUP. CLAS. PROF.]:[AGRUP. CLAS. PROF.]]=$B81,IF(DATOS_[[Check Periodo Ref.]:[Check Periodo Ref.]]="Dentro",DATOS_[Conc.Sal.02]))))),
0)</f>
        <v>0</v>
      </c>
      <c r="H83" s="93">
        <f t="array" ref="H83">IFERROR(
AVERAGE((IF(DATOS_[[Sexo]:[Sexo]]=$B83,IF(DATOS_[[AGRUP. CLAS. PROF.]:[AGRUP. CLAS. PROF.]]=$B81,IF(DATOS_[[Check Periodo Ref.]:[Check Periodo Ref.]]="Dentro",DATOS_[Conc.Sal.03]))))),
0)</f>
        <v>0</v>
      </c>
      <c r="I83" s="93">
        <f t="array" ref="I83">IFERROR(
AVERAGE((IF(DATOS_[[Sexo]:[Sexo]]=$B83,IF(DATOS_[[AGRUP. CLAS. PROF.]:[AGRUP. CLAS. PROF.]]=$B81,IF(DATOS_[[Check Periodo Ref.]:[Check Periodo Ref.]]="Dentro",DATOS_[Conc.Sal.04]))))),
0)</f>
        <v>0</v>
      </c>
      <c r="J83" s="93">
        <f t="array" ref="J83">IFERROR(
AVERAGE((IF(DATOS_[[Sexo]:[Sexo]]=$B83,IF(DATOS_[[AGRUP. CLAS. PROF.]:[AGRUP. CLAS. PROF.]]=$B81,IF(DATOS_[[Check Periodo Ref.]:[Check Periodo Ref.]]="Dentro",DATOS_[Conc.Sal.05]))))),
0)</f>
        <v>0</v>
      </c>
      <c r="K83" s="93">
        <f t="array" ref="K83">IFERROR(
AVERAGE((IF(DATOS_[[Sexo]:[Sexo]]=$B83,IF(DATOS_[[AGRUP. CLAS. PROF.]:[AGRUP. CLAS. PROF.]]=$B81,IF(DATOS_[[Check Periodo Ref.]:[Check Periodo Ref.]]="Dentro",DATOS_[Conc.Sal.06]))))),
0)</f>
        <v>0</v>
      </c>
      <c r="L83" s="93">
        <f t="array" ref="L83">IFERROR(
AVERAGE((IF(DATOS_[[Sexo]:[Sexo]]=$B83,IF(DATOS_[[AGRUP. CLAS. PROF.]:[AGRUP. CLAS. PROF.]]=$B81,IF(DATOS_[[Check Periodo Ref.]:[Check Periodo Ref.]]="Dentro",DATOS_[Conc.Sal.07]))))),
0)</f>
        <v>0</v>
      </c>
      <c r="M83" s="93">
        <f t="array" ref="M83">IFERROR(
AVERAGE((IF(DATOS_[[Sexo]:[Sexo]]=$B83,IF(DATOS_[[AGRUP. CLAS. PROF.]:[AGRUP. CLAS. PROF.]]=$B81,IF(DATOS_[[Check Periodo Ref.]:[Check Periodo Ref.]]="Dentro",DATOS_[Conc.Sal.08]))))),
0)</f>
        <v>0</v>
      </c>
      <c r="N83" s="93">
        <f t="array" ref="N83">IFERROR(
AVERAGE((IF(DATOS_[[Sexo]:[Sexo]]=$B83,IF(DATOS_[[AGRUP. CLAS. PROF.]:[AGRUP. CLAS. PROF.]]=$B81,IF(DATOS_[[Check Periodo Ref.]:[Check Periodo Ref.]]="Dentro",DATOS_[Conc.Sal.09]))))),
0)</f>
        <v>0</v>
      </c>
      <c r="O83" s="93">
        <f t="array" ref="O83">IFERROR(
AVERAGE((IF(DATOS_[[Sexo]:[Sexo]]=$B83,IF(DATOS_[[AGRUP. CLAS. PROF.]:[AGRUP. CLAS. PROF.]]=$B81,IF(DATOS_[[Check Periodo Ref.]:[Check Periodo Ref.]]="Dentro",DATOS_[Conc.Sal.10]))))),
0)</f>
        <v>0</v>
      </c>
      <c r="P83" s="93">
        <f t="array" ref="P83">IFERROR(
AVERAGE((IF(DATOS_[[Sexo]:[Sexo]]=$B83,IF(DATOS_[[AGRUP. CLAS. PROF.]:[AGRUP. CLAS. PROF.]]=$B81,IF(DATOS_[[Check Periodo Ref.]:[Check Periodo Ref.]]="Dentro",DATOS_[Conc.Sal.11]))))),
0)</f>
        <v>0</v>
      </c>
      <c r="Q83" s="93">
        <f t="array" ref="Q83">IFERROR(
AVERAGE((IF(DATOS_[[Sexo]:[Sexo]]=$B83,IF(DATOS_[[AGRUP. CLAS. PROF.]:[AGRUP. CLAS. PROF.]]=$B81,IF(DATOS_[[Check Periodo Ref.]:[Check Periodo Ref.]]="Dentro",DATOS_[Conc.Sal.12]))))),
0)</f>
        <v>0</v>
      </c>
      <c r="R83" s="93">
        <f t="array" ref="R83">IFERROR(
AVERAGE((IF(DATOS_[[Sexo]:[Sexo]]=$B83,IF(DATOS_[[AGRUP. CLAS. PROF.]:[AGRUP. CLAS. PROF.]]=$B81,IF(DATOS_[[Check Periodo Ref.]:[Check Periodo Ref.]]="Dentro",DATOS_[Conc.Sal.13]))))),
0)</f>
        <v>0</v>
      </c>
      <c r="S83" s="93">
        <f t="array" ref="S83">IFERROR(
AVERAGE((IF(DATOS_[[Sexo]:[Sexo]]=$B83,IF(DATOS_[[AGRUP. CLAS. PROF.]:[AGRUP. CLAS. PROF.]]=$B81,IF(DATOS_[[Check Periodo Ref.]:[Check Periodo Ref.]]="Dentro",DATOS_[Conc.Sal.14]))))),
0)</f>
        <v>0</v>
      </c>
      <c r="T83" s="93">
        <f t="array" ref="T83">IFERROR(
AVERAGE((IF(DATOS_[[Sexo]:[Sexo]]=$B83,IF(DATOS_[[AGRUP. CLAS. PROF.]:[AGRUP. CLAS. PROF.]]=$B81,IF(DATOS_[[Check Periodo Ref.]:[Check Periodo Ref.]]="Dentro",DATOS_[Conc.Sal.15]))))),
0)</f>
        <v>0</v>
      </c>
      <c r="U83" s="93">
        <f t="array" ref="U83">IFERROR(
AVERAGE((IF(DATOS_[[Sexo]:[Sexo]]=$B83,IF(DATOS_[[AGRUP. CLAS. PROF.]:[AGRUP. CLAS. PROF.]]=$B81,IF(DATOS_[[Check Periodo Ref.]:[Check Periodo Ref.]]="Dentro",DATOS_[Conc.Sal.16]))))),
0)</f>
        <v>0</v>
      </c>
      <c r="V83" s="93">
        <f t="array" ref="V83">IFERROR(
AVERAGE((IF(DATOS_[[Sexo]:[Sexo]]=$B83,IF(DATOS_[[AGRUP. CLAS. PROF.]:[AGRUP. CLAS. PROF.]]=$B81,IF(DATOS_[[Check Periodo Ref.]:[Check Periodo Ref.]]="Dentro",DATOS_[Conc.Sal.17]))))),
0)</f>
        <v>0</v>
      </c>
      <c r="W83" s="93">
        <f t="array" ref="W83">IFERROR(
AVERAGE((IF(DATOS_[[Sexo]:[Sexo]]=$B83,IF(DATOS_[[AGRUP. CLAS. PROF.]:[AGRUP. CLAS. PROF.]]=$B81,IF(DATOS_[[Check Periodo Ref.]:[Check Periodo Ref.]]="Dentro",DATOS_[Conc.Sal.18]))))),
0)</f>
        <v>0</v>
      </c>
      <c r="X83" s="93">
        <f t="array" ref="X83">IFERROR(
AVERAGE((IF(DATOS_[[Sexo]:[Sexo]]=$B83,IF(DATOS_[[AGRUP. CLAS. PROF.]:[AGRUP. CLAS. PROF.]]=$B81,IF(DATOS_[[Check Periodo Ref.]:[Check Periodo Ref.]]="Dentro",DATOS_[Conc.Sal.19]))))),
0)</f>
        <v>0</v>
      </c>
      <c r="Y83" s="93">
        <f t="array" ref="Y83">IFERROR(
AVERAGE((IF(DATOS_[[Sexo]:[Sexo]]=$B83,IF(DATOS_[[AGRUP. CLAS. PROF.]:[AGRUP. CLAS. PROF.]]=$B81,IF(DATOS_[[Check Periodo Ref.]:[Check Periodo Ref.]]="Dentro",DATOS_[Conc.Sal.20]))))),
0)</f>
        <v>0</v>
      </c>
      <c r="Z83" s="93">
        <f t="array" ref="Z83">IFERROR(
AVERAGE((IF(DATOS_[[Sexo]:[Sexo]]=$B83,IF(DATOS_[[AGRUP. CLAS. PROF.]:[AGRUP. CLAS. PROF.]]=$B81,IF(DATOS_[[Check Periodo Ref.]:[Check Periodo Ref.]]="Dentro",DATOS_[Conc.Sal.21]))))),
0)</f>
        <v>0</v>
      </c>
      <c r="AA83" s="93">
        <f t="array" ref="AA83">IFERROR(
AVERAGE((IF(DATOS_[[Sexo]:[Sexo]]=$B83,IF(DATOS_[[AGRUP. CLAS. PROF.]:[AGRUP. CLAS. PROF.]]=$B81,IF(DATOS_[[Check Periodo Ref.]:[Check Periodo Ref.]]="Dentro",DATOS_[Conc.Sal.22]))))),
0)</f>
        <v>0</v>
      </c>
      <c r="AB83" s="93">
        <f t="array" ref="AB83">IFERROR(
AVERAGE((IF(DATOS_[[Sexo]:[Sexo]]=$B83,IF(DATOS_[[AGRUP. CLAS. PROF.]:[AGRUP. CLAS. PROF.]]=$B81,IF(DATOS_[[Check Periodo Ref.]:[Check Periodo Ref.]]="Dentro",DATOS_[Conc.Sal.23]))))),
0)</f>
        <v>0</v>
      </c>
      <c r="AC83" s="93">
        <f t="array" ref="AC83">IFERROR(
AVERAGE((IF(DATOS_[[Sexo]:[Sexo]]=$B83,IF(DATOS_[[AGRUP. CLAS. PROF.]:[AGRUP. CLAS. PROF.]]=$B81,IF(DATOS_[[Check Periodo Ref.]:[Check Periodo Ref.]]="Dentro",DATOS_[Conc.Sal.24]))))),
0)</f>
        <v>0</v>
      </c>
      <c r="AD83" s="93">
        <f t="array" ref="AD83">IFERROR(
AVERAGE((IF(DATOS_[[Sexo]:[Sexo]]=$B83,IF(DATOS_[[AGRUP. CLAS. PROF.]:[AGRUP. CLAS. PROF.]]=$B81,IF(DATOS_[[Check Periodo Ref.]:[Check Periodo Ref.]]="Dentro",DATOS_[Conc.Sal.25]))))),
0)</f>
        <v>0</v>
      </c>
      <c r="AE83" s="93">
        <f t="array" ref="AE83">IFERROR(
AVERAGE((IF(DATOS_[[Sexo]:[Sexo]]=$B83,IF(DATOS_[[AGRUP. CLAS. PROF.]:[AGRUP. CLAS. PROF.]]=$B81,IF(DATOS_[[Check Periodo Ref.]:[Check Periodo Ref.]]="Dentro",DATOS_[Conc.Sal.26]))))),
0)</f>
        <v>0</v>
      </c>
      <c r="AF83" s="93">
        <f t="array" ref="AF83">IFERROR(
AVERAGE((IF(DATOS_[[Sexo]:[Sexo]]=$B83,IF(DATOS_[[AGRUP. CLAS. PROF.]:[AGRUP. CLAS. PROF.]]=$B81,IF(DATOS_[[Check Periodo Ref.]:[Check Periodo Ref.]]="Dentro",DATOS_[Conc.Sal.27]))))),
0)</f>
        <v>0</v>
      </c>
      <c r="AG83" s="93">
        <f t="array" ref="AG83">IFERROR(
AVERAGE((IF(DATOS_[[Sexo]:[Sexo]]=$B83,IF(DATOS_[[AGRUP. CLAS. PROF.]:[AGRUP. CLAS. PROF.]]=$B81,IF(DATOS_[[Check Periodo Ref.]:[Check Periodo Ref.]]="Dentro",DATOS_[Conc.Sal.28]))))),
0)</f>
        <v>0</v>
      </c>
      <c r="AH83" s="93">
        <f t="array" ref="AH83">IFERROR(
AVERAGE((IF(DATOS_[[Sexo]:[Sexo]]=$B83,IF(DATOS_[[AGRUP. CLAS. PROF.]:[AGRUP. CLAS. PROF.]]=$B81,IF(DATOS_[[Check Periodo Ref.]:[Check Periodo Ref.]]="Dentro",DATOS_[Conc.Sal.29]))))),
0)</f>
        <v>0</v>
      </c>
      <c r="AI83" s="93">
        <f t="array" ref="AI83">IFERROR(
AVERAGE((IF(DATOS_[[Sexo]:[Sexo]]=$B83,IF(DATOS_[[AGRUP. CLAS. PROF.]:[AGRUP. CLAS. PROF.]]=$B81,IF(DATOS_[[Check Periodo Ref.]:[Check Periodo Ref.]]="Dentro",DATOS_[Conc.Sal.30]))))),
0)</f>
        <v>0</v>
      </c>
      <c r="AJ83" s="94">
        <f t="array" ref="AJ83">IFERROR(
AVERAGE(IF(DATOS_[Sexo]=$B83,IF(DATOS_[AGRUP. CLAS. PROF.]=$B81,IF(DATOS_[Check Periodo Ref.]="Dentro",DATOS_[Tot COMPL.SAL Ef],FALSE)))),
0)</f>
        <v>0</v>
      </c>
      <c r="AK83" s="96">
        <f t="array" ref="AK83">IFERROR(
AVERAGE(IF(DATOS_[Sexo]=$B83,IF(DATOS_[AGRUP. CLAS. PROF.]=$B81,IF(DATOS_[Check Periodo Ref.]="Dentro",DATOS_[TOTAL SALARIO Ef],FALSE)))),
0)</f>
        <v>0</v>
      </c>
      <c r="AL83" s="95">
        <f t="array" ref="AL83">IFERROR(
AVERAGE((IF(DATOS_[[Sexo]:[Sexo]]=$B83,IF(DATOS_[[AGRUP. CLAS. PROF.]:[AGRUP. CLAS. PROF.]]=$B81,IF(DATOS_[[Check Periodo Ref.]:[Check Periodo Ref.]]="Dentro",DATOS_[C.Extra.01]))))),
0)</f>
        <v>0</v>
      </c>
      <c r="AM83" s="95">
        <f t="array" ref="AM83">IFERROR(
AVERAGE((IF(DATOS_[[Sexo]:[Sexo]]=$B83,IF(DATOS_[[AGRUP. CLAS. PROF.]:[AGRUP. CLAS. PROF.]]=$B81,IF(DATOS_[[Check Periodo Ref.]:[Check Periodo Ref.]]="Dentro",DATOS_[C.Extra.02]))))),
0)</f>
        <v>0</v>
      </c>
      <c r="AN83" s="95">
        <f t="array" ref="AN83">IFERROR(
AVERAGE((IF(DATOS_[[Sexo]:[Sexo]]=$B83,IF(DATOS_[[AGRUP. CLAS. PROF.]:[AGRUP. CLAS. PROF.]]=$B81,IF(DATOS_[[Check Periodo Ref.]:[Check Periodo Ref.]]="Dentro",DATOS_[C.Extra.03]))))),
0)</f>
        <v>0</v>
      </c>
      <c r="AO83" s="95">
        <f t="array" ref="AO83">IFERROR(
AVERAGE((IF(DATOS_[[Sexo]:[Sexo]]=$B83,IF(DATOS_[[AGRUP. CLAS. PROF.]:[AGRUP. CLAS. PROF.]]=$B81,IF(DATOS_[[Check Periodo Ref.]:[Check Periodo Ref.]]="Dentro",DATOS_[C.Extra.04]))))),
0)</f>
        <v>0</v>
      </c>
      <c r="AP83" s="95">
        <f t="array" ref="AP83">IFERROR(
AVERAGE((IF(DATOS_[[Sexo]:[Sexo]]=$B83,IF(DATOS_[[AGRUP. CLAS. PROF.]:[AGRUP. CLAS. PROF.]]=$B81,IF(DATOS_[[Check Periodo Ref.]:[Check Periodo Ref.]]="Dentro",DATOS_[C.Extra.05]))))),
0)</f>
        <v>0</v>
      </c>
      <c r="AQ83" s="97">
        <f t="array" ref="AQ83">IFERROR(
AVERAGE(IF(DATOS_[Sexo]=$B83,IF(DATOS_[AGRUP. CLAS. PROF.]=$B81,IF(DATOS_[Check Periodo Ref.]="Dentro",DATOS_[Tot Extrasalarial Ef],FALSE)))),
0)</f>
        <v>0</v>
      </c>
      <c r="AR83" s="98">
        <f t="array" ref="AR83">IFERROR(
AVERAGE(IF(DATOS_[Sexo]=$B83,IF(DATOS_[AGRUP. CLAS. PROF.]=$B81,IF(DATOS_[Check Periodo Ref.]="Dentro",DATOS_[TOTAL Retrib Ef],FALSE)))),
0)</f>
        <v>0</v>
      </c>
    </row>
    <row r="84" spans="1:44" ht="17.25" hidden="1" thickBot="1" x14ac:dyDescent="0.35">
      <c r="A84" s="309" t="str">
        <f t="shared" ref="A84" si="95">+A85</f>
        <v>[ocultar]</v>
      </c>
      <c r="B84" s="51" t="s">
        <v>240</v>
      </c>
      <c r="C84" s="91"/>
      <c r="D84" s="52"/>
      <c r="E84" s="139" t="str">
        <f t="shared" ref="E84:AR84" si="96">IFERROR((E85-E86)/E85,"")</f>
        <v/>
      </c>
      <c r="F84" s="310" t="str">
        <f t="shared" si="96"/>
        <v/>
      </c>
      <c r="G84" s="180" t="str">
        <f t="shared" si="96"/>
        <v/>
      </c>
      <c r="H84" s="180" t="str">
        <f t="shared" si="96"/>
        <v/>
      </c>
      <c r="I84" s="180" t="str">
        <f t="shared" si="96"/>
        <v/>
      </c>
      <c r="J84" s="181" t="str">
        <f t="shared" si="96"/>
        <v/>
      </c>
      <c r="K84" s="182" t="str">
        <f t="shared" si="96"/>
        <v/>
      </c>
      <c r="L84" s="182" t="str">
        <f t="shared" si="96"/>
        <v/>
      </c>
      <c r="M84" s="182" t="str">
        <f t="shared" si="96"/>
        <v/>
      </c>
      <c r="N84" s="182" t="str">
        <f t="shared" si="96"/>
        <v/>
      </c>
      <c r="O84" s="182" t="str">
        <f t="shared" si="96"/>
        <v/>
      </c>
      <c r="P84" s="182" t="str">
        <f t="shared" si="96"/>
        <v/>
      </c>
      <c r="Q84" s="182" t="str">
        <f t="shared" si="96"/>
        <v/>
      </c>
      <c r="R84" s="182" t="str">
        <f t="shared" si="96"/>
        <v/>
      </c>
      <c r="S84" s="182" t="str">
        <f t="shared" si="96"/>
        <v/>
      </c>
      <c r="T84" s="182" t="str">
        <f t="shared" si="96"/>
        <v/>
      </c>
      <c r="U84" s="182" t="str">
        <f t="shared" si="96"/>
        <v/>
      </c>
      <c r="V84" s="181" t="str">
        <f t="shared" si="96"/>
        <v/>
      </c>
      <c r="W84" s="181" t="str">
        <f t="shared" si="96"/>
        <v/>
      </c>
      <c r="X84" s="181" t="str">
        <f t="shared" si="96"/>
        <v/>
      </c>
      <c r="Y84" s="181" t="str">
        <f t="shared" si="96"/>
        <v/>
      </c>
      <c r="Z84" s="181" t="str">
        <f t="shared" si="96"/>
        <v/>
      </c>
      <c r="AA84" s="181" t="str">
        <f t="shared" si="96"/>
        <v/>
      </c>
      <c r="AB84" s="181" t="str">
        <f t="shared" si="96"/>
        <v/>
      </c>
      <c r="AC84" s="181" t="str">
        <f t="shared" si="96"/>
        <v/>
      </c>
      <c r="AD84" s="181" t="str">
        <f t="shared" si="96"/>
        <v/>
      </c>
      <c r="AE84" s="181" t="str">
        <f t="shared" si="96"/>
        <v/>
      </c>
      <c r="AF84" s="181" t="str">
        <f t="shared" si="96"/>
        <v/>
      </c>
      <c r="AG84" s="181" t="str">
        <f t="shared" si="96"/>
        <v/>
      </c>
      <c r="AH84" s="181" t="str">
        <f t="shared" si="96"/>
        <v/>
      </c>
      <c r="AI84" s="181" t="str">
        <f t="shared" si="96"/>
        <v/>
      </c>
      <c r="AJ84" s="140" t="str">
        <f t="shared" si="96"/>
        <v/>
      </c>
      <c r="AK84" s="143" t="str">
        <f t="shared" si="96"/>
        <v/>
      </c>
      <c r="AL84" s="184" t="str">
        <f t="shared" si="96"/>
        <v/>
      </c>
      <c r="AM84" s="184" t="str">
        <f t="shared" si="96"/>
        <v/>
      </c>
      <c r="AN84" s="184" t="str">
        <f t="shared" si="96"/>
        <v/>
      </c>
      <c r="AO84" s="184" t="str">
        <f t="shared" si="96"/>
        <v/>
      </c>
      <c r="AP84" s="184" t="str">
        <f t="shared" si="96"/>
        <v/>
      </c>
      <c r="AQ84" s="141" t="str">
        <f t="shared" si="96"/>
        <v/>
      </c>
      <c r="AR84" s="142" t="str">
        <f t="shared" si="96"/>
        <v/>
      </c>
    </row>
    <row r="85" spans="1:44" hidden="1" x14ac:dyDescent="0.3">
      <c r="A85" s="309" t="str">
        <f t="shared" ref="A85" si="97">+IF(C85+C86=0,"[ocultar]","")</f>
        <v>[ocultar]</v>
      </c>
      <c r="B85" s="46" t="s">
        <v>162</v>
      </c>
      <c r="C85" s="45">
        <f t="array" ref="C85">SUM(IF($B85=DATOS_[Sexo],
IF($B84=DATOS_[AGRUP. CLAS. PROF.],
IF("Dentro"=DATOS_[Check Periodo Ref.],
1/(COUNTIFS(DATOS_[Sexo],$B85,DATOS_[AGRUP. CLAS. PROF.],$B84,DATOS_[Check Periodo Ref.],"Dentro",DATOS_[id],DATOS_[id]))))))</f>
        <v>0</v>
      </c>
      <c r="D85" s="47">
        <f>COUNTIFS(DATOS_[AGRUP. CLAS. PROF.],$B84,DATOS_[Sexo],$B85,DATOS_[Check Periodo Ref.],"Dentro")</f>
        <v>0</v>
      </c>
      <c r="E85" s="92">
        <f t="array" ref="E85">IFERROR(
AVERAGE(IF(DATOS_[Sexo]=$B85,IF(DATOS_[AGRUP. CLAS. PROF.]=$B84,IF(DATOS_[Check Periodo Ref.]="Dentro",DATOS_[SALARIO BASE Ef],FALSE)))),
0)</f>
        <v>0</v>
      </c>
      <c r="F85" s="93">
        <f t="array" ref="F85">IFERROR(
AVERAGE((IF(DATOS_[[Sexo]:[Sexo]]=$B85,IF(DATOS_[[AGRUP. CLAS. PROF.]:[AGRUP. CLAS. PROF.]]=$B84,IF(DATOS_[[Check Periodo Ref.]:[Check Periodo Ref.]]="Dentro",DATOS_[Conc.Sal.01]))))),
0)</f>
        <v>0</v>
      </c>
      <c r="G85" s="93">
        <f t="array" ref="G85">IFERROR(
AVERAGE((IF(DATOS_[[Sexo]:[Sexo]]=$B85,IF(DATOS_[[AGRUP. CLAS. PROF.]:[AGRUP. CLAS. PROF.]]=$B84,IF(DATOS_[[Check Periodo Ref.]:[Check Periodo Ref.]]="Dentro",DATOS_[Conc.Sal.02]))))),
0)</f>
        <v>0</v>
      </c>
      <c r="H85" s="93">
        <f t="array" ref="H85">IFERROR(
AVERAGE((IF(DATOS_[[Sexo]:[Sexo]]=$B85,IF(DATOS_[[AGRUP. CLAS. PROF.]:[AGRUP. CLAS. PROF.]]=$B84,IF(DATOS_[[Check Periodo Ref.]:[Check Periodo Ref.]]="Dentro",DATOS_[Conc.Sal.03]))))),
0)</f>
        <v>0</v>
      </c>
      <c r="I85" s="93">
        <f t="array" ref="I85">IFERROR(
AVERAGE((IF(DATOS_[[Sexo]:[Sexo]]=$B85,IF(DATOS_[[AGRUP. CLAS. PROF.]:[AGRUP. CLAS. PROF.]]=$B84,IF(DATOS_[[Check Periodo Ref.]:[Check Periodo Ref.]]="Dentro",DATOS_[Conc.Sal.04]))))),
0)</f>
        <v>0</v>
      </c>
      <c r="J85" s="93">
        <f t="array" ref="J85">IFERROR(
AVERAGE((IF(DATOS_[[Sexo]:[Sexo]]=$B85,IF(DATOS_[[AGRUP. CLAS. PROF.]:[AGRUP. CLAS. PROF.]]=$B84,IF(DATOS_[[Check Periodo Ref.]:[Check Periodo Ref.]]="Dentro",DATOS_[Conc.Sal.05]))))),
0)</f>
        <v>0</v>
      </c>
      <c r="K85" s="93">
        <f t="array" ref="K85">IFERROR(
AVERAGE((IF(DATOS_[[Sexo]:[Sexo]]=$B85,IF(DATOS_[[AGRUP. CLAS. PROF.]:[AGRUP. CLAS. PROF.]]=$B84,IF(DATOS_[[Check Periodo Ref.]:[Check Periodo Ref.]]="Dentro",DATOS_[Conc.Sal.06]))))),
0)</f>
        <v>0</v>
      </c>
      <c r="L85" s="93">
        <f t="array" ref="L85">IFERROR(
AVERAGE((IF(DATOS_[[Sexo]:[Sexo]]=$B85,IF(DATOS_[[AGRUP. CLAS. PROF.]:[AGRUP. CLAS. PROF.]]=$B84,IF(DATOS_[[Check Periodo Ref.]:[Check Periodo Ref.]]="Dentro",DATOS_[Conc.Sal.07]))))),
0)</f>
        <v>0</v>
      </c>
      <c r="M85" s="93">
        <f t="array" ref="M85">IFERROR(
AVERAGE((IF(DATOS_[[Sexo]:[Sexo]]=$B85,IF(DATOS_[[AGRUP. CLAS. PROF.]:[AGRUP. CLAS. PROF.]]=$B84,IF(DATOS_[[Check Periodo Ref.]:[Check Periodo Ref.]]="Dentro",DATOS_[Conc.Sal.08]))))),
0)</f>
        <v>0</v>
      </c>
      <c r="N85" s="93">
        <f t="array" ref="N85">IFERROR(
AVERAGE((IF(DATOS_[[Sexo]:[Sexo]]=$B85,IF(DATOS_[[AGRUP. CLAS. PROF.]:[AGRUP. CLAS. PROF.]]=$B84,IF(DATOS_[[Check Periodo Ref.]:[Check Periodo Ref.]]="Dentro",DATOS_[Conc.Sal.09]))))),
0)</f>
        <v>0</v>
      </c>
      <c r="O85" s="93">
        <f t="array" ref="O85">IFERROR(
AVERAGE((IF(DATOS_[[Sexo]:[Sexo]]=$B85,IF(DATOS_[[AGRUP. CLAS. PROF.]:[AGRUP. CLAS. PROF.]]=$B84,IF(DATOS_[[Check Periodo Ref.]:[Check Periodo Ref.]]="Dentro",DATOS_[Conc.Sal.10]))))),
0)</f>
        <v>0</v>
      </c>
      <c r="P85" s="93">
        <f t="array" ref="P85">IFERROR(
AVERAGE((IF(DATOS_[[Sexo]:[Sexo]]=$B85,IF(DATOS_[[AGRUP. CLAS. PROF.]:[AGRUP. CLAS. PROF.]]=$B84,IF(DATOS_[[Check Periodo Ref.]:[Check Periodo Ref.]]="Dentro",DATOS_[Conc.Sal.11]))))),
0)</f>
        <v>0</v>
      </c>
      <c r="Q85" s="93">
        <f t="array" ref="Q85">IFERROR(
AVERAGE((IF(DATOS_[[Sexo]:[Sexo]]=$B85,IF(DATOS_[[AGRUP. CLAS. PROF.]:[AGRUP. CLAS. PROF.]]=$B84,IF(DATOS_[[Check Periodo Ref.]:[Check Periodo Ref.]]="Dentro",DATOS_[Conc.Sal.12]))))),
0)</f>
        <v>0</v>
      </c>
      <c r="R85" s="93">
        <f t="array" ref="R85">IFERROR(
AVERAGE((IF(DATOS_[[Sexo]:[Sexo]]=$B85,IF(DATOS_[[AGRUP. CLAS. PROF.]:[AGRUP. CLAS. PROF.]]=$B84,IF(DATOS_[[Check Periodo Ref.]:[Check Periodo Ref.]]="Dentro",DATOS_[Conc.Sal.13]))))),
0)</f>
        <v>0</v>
      </c>
      <c r="S85" s="93">
        <f t="array" ref="S85">IFERROR(
AVERAGE((IF(DATOS_[[Sexo]:[Sexo]]=$B85,IF(DATOS_[[AGRUP. CLAS. PROF.]:[AGRUP. CLAS. PROF.]]=$B84,IF(DATOS_[[Check Periodo Ref.]:[Check Periodo Ref.]]="Dentro",DATOS_[Conc.Sal.14]))))),
0)</f>
        <v>0</v>
      </c>
      <c r="T85" s="93">
        <f t="array" ref="T85">IFERROR(
AVERAGE((IF(DATOS_[[Sexo]:[Sexo]]=$B85,IF(DATOS_[[AGRUP. CLAS. PROF.]:[AGRUP. CLAS. PROF.]]=$B84,IF(DATOS_[[Check Periodo Ref.]:[Check Periodo Ref.]]="Dentro",DATOS_[Conc.Sal.15]))))),
0)</f>
        <v>0</v>
      </c>
      <c r="U85" s="93">
        <f t="array" ref="U85">IFERROR(
AVERAGE((IF(DATOS_[[Sexo]:[Sexo]]=$B85,IF(DATOS_[[AGRUP. CLAS. PROF.]:[AGRUP. CLAS. PROF.]]=$B84,IF(DATOS_[[Check Periodo Ref.]:[Check Periodo Ref.]]="Dentro",DATOS_[Conc.Sal.16]))))),
0)</f>
        <v>0</v>
      </c>
      <c r="V85" s="93">
        <f t="array" ref="V85">IFERROR(
AVERAGE((IF(DATOS_[[Sexo]:[Sexo]]=$B85,IF(DATOS_[[AGRUP. CLAS. PROF.]:[AGRUP. CLAS. PROF.]]=$B84,IF(DATOS_[[Check Periodo Ref.]:[Check Periodo Ref.]]="Dentro",DATOS_[Conc.Sal.17]))))),
0)</f>
        <v>0</v>
      </c>
      <c r="W85" s="93">
        <f t="array" ref="W85">IFERROR(
AVERAGE((IF(DATOS_[[Sexo]:[Sexo]]=$B85,IF(DATOS_[[AGRUP. CLAS. PROF.]:[AGRUP. CLAS. PROF.]]=$B84,IF(DATOS_[[Check Periodo Ref.]:[Check Periodo Ref.]]="Dentro",DATOS_[Conc.Sal.18]))))),
0)</f>
        <v>0</v>
      </c>
      <c r="X85" s="93">
        <f t="array" ref="X85">IFERROR(
AVERAGE((IF(DATOS_[[Sexo]:[Sexo]]=$B85,IF(DATOS_[[AGRUP. CLAS. PROF.]:[AGRUP. CLAS. PROF.]]=$B84,IF(DATOS_[[Check Periodo Ref.]:[Check Periodo Ref.]]="Dentro",DATOS_[Conc.Sal.19]))))),
0)</f>
        <v>0</v>
      </c>
      <c r="Y85" s="93">
        <f t="array" ref="Y85">IFERROR(
AVERAGE((IF(DATOS_[[Sexo]:[Sexo]]=$B85,IF(DATOS_[[AGRUP. CLAS. PROF.]:[AGRUP. CLAS. PROF.]]=$B84,IF(DATOS_[[Check Periodo Ref.]:[Check Periodo Ref.]]="Dentro",DATOS_[Conc.Sal.20]))))),
0)</f>
        <v>0</v>
      </c>
      <c r="Z85" s="93">
        <f t="array" ref="Z85">IFERROR(
AVERAGE((IF(DATOS_[[Sexo]:[Sexo]]=$B85,IF(DATOS_[[AGRUP. CLAS. PROF.]:[AGRUP. CLAS. PROF.]]=$B84,IF(DATOS_[[Check Periodo Ref.]:[Check Periodo Ref.]]="Dentro",DATOS_[Conc.Sal.21]))))),
0)</f>
        <v>0</v>
      </c>
      <c r="AA85" s="93">
        <f t="array" ref="AA85">IFERROR(
AVERAGE((IF(DATOS_[[Sexo]:[Sexo]]=$B85,IF(DATOS_[[AGRUP. CLAS. PROF.]:[AGRUP. CLAS. PROF.]]=$B84,IF(DATOS_[[Check Periodo Ref.]:[Check Periodo Ref.]]="Dentro",DATOS_[Conc.Sal.22]))))),
0)</f>
        <v>0</v>
      </c>
      <c r="AB85" s="93">
        <f t="array" ref="AB85">IFERROR(
AVERAGE((IF(DATOS_[[Sexo]:[Sexo]]=$B85,IF(DATOS_[[AGRUP. CLAS. PROF.]:[AGRUP. CLAS. PROF.]]=$B84,IF(DATOS_[[Check Periodo Ref.]:[Check Periodo Ref.]]="Dentro",DATOS_[Conc.Sal.23]))))),
0)</f>
        <v>0</v>
      </c>
      <c r="AC85" s="93">
        <f t="array" ref="AC85">IFERROR(
AVERAGE((IF(DATOS_[[Sexo]:[Sexo]]=$B85,IF(DATOS_[[AGRUP. CLAS. PROF.]:[AGRUP. CLAS. PROF.]]=$B84,IF(DATOS_[[Check Periodo Ref.]:[Check Periodo Ref.]]="Dentro",DATOS_[Conc.Sal.24]))))),
0)</f>
        <v>0</v>
      </c>
      <c r="AD85" s="93">
        <f t="array" ref="AD85">IFERROR(
AVERAGE((IF(DATOS_[[Sexo]:[Sexo]]=$B85,IF(DATOS_[[AGRUP. CLAS. PROF.]:[AGRUP. CLAS. PROF.]]=$B84,IF(DATOS_[[Check Periodo Ref.]:[Check Periodo Ref.]]="Dentro",DATOS_[Conc.Sal.25]))))),
0)</f>
        <v>0</v>
      </c>
      <c r="AE85" s="93">
        <f t="array" ref="AE85">IFERROR(
AVERAGE((IF(DATOS_[[Sexo]:[Sexo]]=$B85,IF(DATOS_[[AGRUP. CLAS. PROF.]:[AGRUP. CLAS. PROF.]]=$B84,IF(DATOS_[[Check Periodo Ref.]:[Check Periodo Ref.]]="Dentro",DATOS_[Conc.Sal.26]))))),
0)</f>
        <v>0</v>
      </c>
      <c r="AF85" s="93">
        <f t="array" ref="AF85">IFERROR(
AVERAGE((IF(DATOS_[[Sexo]:[Sexo]]=$B85,IF(DATOS_[[AGRUP. CLAS. PROF.]:[AGRUP. CLAS. PROF.]]=$B84,IF(DATOS_[[Check Periodo Ref.]:[Check Periodo Ref.]]="Dentro",DATOS_[Conc.Sal.27]))))),
0)</f>
        <v>0</v>
      </c>
      <c r="AG85" s="93">
        <f t="array" ref="AG85">IFERROR(
AVERAGE((IF(DATOS_[[Sexo]:[Sexo]]=$B85,IF(DATOS_[[AGRUP. CLAS. PROF.]:[AGRUP. CLAS. PROF.]]=$B84,IF(DATOS_[[Check Periodo Ref.]:[Check Periodo Ref.]]="Dentro",DATOS_[Conc.Sal.28]))))),
0)</f>
        <v>0</v>
      </c>
      <c r="AH85" s="93">
        <f t="array" ref="AH85">IFERROR(
AVERAGE((IF(DATOS_[[Sexo]:[Sexo]]=$B85,IF(DATOS_[[AGRUP. CLAS. PROF.]:[AGRUP. CLAS. PROF.]]=$B84,IF(DATOS_[[Check Periodo Ref.]:[Check Periodo Ref.]]="Dentro",DATOS_[Conc.Sal.29]))))),
0)</f>
        <v>0</v>
      </c>
      <c r="AI85" s="93">
        <f t="array" ref="AI85">IFERROR(
AVERAGE((IF(DATOS_[[Sexo]:[Sexo]]=$B85,IF(DATOS_[[AGRUP. CLAS. PROF.]:[AGRUP. CLAS. PROF.]]=$B84,IF(DATOS_[[Check Periodo Ref.]:[Check Periodo Ref.]]="Dentro",DATOS_[Conc.Sal.30]))))),
0)</f>
        <v>0</v>
      </c>
      <c r="AJ85" s="94">
        <f t="array" ref="AJ85">IFERROR(
AVERAGE(IF(DATOS_[Sexo]=$B85,IF(DATOS_[AGRUP. CLAS. PROF.]=$B84,IF(DATOS_[Check Periodo Ref.]="Dentro",DATOS_[Tot COMPL.SAL Ef],FALSE)))),
0)</f>
        <v>0</v>
      </c>
      <c r="AK85" s="96">
        <f t="array" ref="AK85">IFERROR(
AVERAGE(IF(DATOS_[Sexo]=$B85,IF(DATOS_[AGRUP. CLAS. PROF.]=$B84,IF(DATOS_[Check Periodo Ref.]="Dentro",DATOS_[TOTAL SALARIO Ef],FALSE)))),
0)</f>
        <v>0</v>
      </c>
      <c r="AL85" s="95">
        <f t="array" ref="AL85">IFERROR(
AVERAGE((IF(DATOS_[[Sexo]:[Sexo]]=$B85,IF(DATOS_[[AGRUP. CLAS. PROF.]:[AGRUP. CLAS. PROF.]]=$B84,IF(DATOS_[[Check Periodo Ref.]:[Check Periodo Ref.]]="Dentro",DATOS_[C.Extra.01]))))),
0)</f>
        <v>0</v>
      </c>
      <c r="AM85" s="95">
        <f t="array" ref="AM85">IFERROR(
AVERAGE((IF(DATOS_[[Sexo]:[Sexo]]=$B85,IF(DATOS_[[AGRUP. CLAS. PROF.]:[AGRUP. CLAS. PROF.]]=$B84,IF(DATOS_[[Check Periodo Ref.]:[Check Periodo Ref.]]="Dentro",DATOS_[C.Extra.02]))))),
0)</f>
        <v>0</v>
      </c>
      <c r="AN85" s="95">
        <f t="array" ref="AN85">IFERROR(
AVERAGE((IF(DATOS_[[Sexo]:[Sexo]]=$B85,IF(DATOS_[[AGRUP. CLAS. PROF.]:[AGRUP. CLAS. PROF.]]=$B84,IF(DATOS_[[Check Periodo Ref.]:[Check Periodo Ref.]]="Dentro",DATOS_[C.Extra.03]))))),
0)</f>
        <v>0</v>
      </c>
      <c r="AO85" s="95">
        <f t="array" ref="AO85">IFERROR(
AVERAGE((IF(DATOS_[[Sexo]:[Sexo]]=$B85,IF(DATOS_[[AGRUP. CLAS. PROF.]:[AGRUP. CLAS. PROF.]]=$B84,IF(DATOS_[[Check Periodo Ref.]:[Check Periodo Ref.]]="Dentro",DATOS_[C.Extra.04]))))),
0)</f>
        <v>0</v>
      </c>
      <c r="AP85" s="95">
        <f t="array" ref="AP85">IFERROR(
AVERAGE((IF(DATOS_[[Sexo]:[Sexo]]=$B85,IF(DATOS_[[AGRUP. CLAS. PROF.]:[AGRUP. CLAS. PROF.]]=$B84,IF(DATOS_[[Check Periodo Ref.]:[Check Periodo Ref.]]="Dentro",DATOS_[C.Extra.05]))))),
0)</f>
        <v>0</v>
      </c>
      <c r="AQ85" s="97">
        <f t="array" ref="AQ85">IFERROR(
AVERAGE(IF(DATOS_[Sexo]=$B85,IF(DATOS_[AGRUP. CLAS. PROF.]=$B84,IF(DATOS_[Check Periodo Ref.]="Dentro",DATOS_[Tot Extrasalarial Ef],FALSE)))),
0)</f>
        <v>0</v>
      </c>
      <c r="AR85" s="98">
        <f t="array" ref="AR85">IFERROR(
AVERAGE(IF(DATOS_[Sexo]=$B85,IF(DATOS_[AGRUP. CLAS. PROF.]=$B84,IF(DATOS_[Check Periodo Ref.]="Dentro",DATOS_[TOTAL Retrib Ef],FALSE)))),
0)</f>
        <v>0</v>
      </c>
    </row>
    <row r="86" spans="1:44" hidden="1" x14ac:dyDescent="0.3">
      <c r="A86" s="309" t="str">
        <f t="shared" ref="A86" si="98">+A85</f>
        <v>[ocultar]</v>
      </c>
      <c r="B86" s="46" t="s">
        <v>163</v>
      </c>
      <c r="C86" s="45">
        <f t="array" ref="C86">SUM(IF($B86=DATOS_[Sexo],
IF($B84=DATOS_[AGRUP. CLAS. PROF.],
IF("Dentro"=DATOS_[Check Periodo Ref.],
1/(COUNTIFS(DATOS_[Sexo],$B86,DATOS_[AGRUP. CLAS. PROF.],$B84,DATOS_[Check Periodo Ref.],"Dentro",DATOS_[id],DATOS_[id]))))))</f>
        <v>0</v>
      </c>
      <c r="D86" s="47">
        <f>COUNTIFS(DATOS_[AGRUP. CLAS. PROF.],$B84,DATOS_[Sexo],$B86,DATOS_[Check Periodo Ref.],"Dentro")</f>
        <v>0</v>
      </c>
      <c r="E86" s="92">
        <f t="array" ref="E86">IFERROR(
AVERAGE(IF(DATOS_[Sexo]=$B86,IF(DATOS_[AGRUP. CLAS. PROF.]=$B84,IF(DATOS_[Check Periodo Ref.]="Dentro",DATOS_[SALARIO BASE Ef],FALSE)))),
0)</f>
        <v>0</v>
      </c>
      <c r="F86" s="93">
        <f t="array" ref="F86">IFERROR(
AVERAGE((IF(DATOS_[[Sexo]:[Sexo]]=$B86,IF(DATOS_[[AGRUP. CLAS. PROF.]:[AGRUP. CLAS. PROF.]]=$B84,IF(DATOS_[[Check Periodo Ref.]:[Check Periodo Ref.]]="Dentro",DATOS_[Conc.Sal.01]))))),
0)</f>
        <v>0</v>
      </c>
      <c r="G86" s="93">
        <f t="array" ref="G86">IFERROR(
AVERAGE((IF(DATOS_[[Sexo]:[Sexo]]=$B86,IF(DATOS_[[AGRUP. CLAS. PROF.]:[AGRUP. CLAS. PROF.]]=$B84,IF(DATOS_[[Check Periodo Ref.]:[Check Periodo Ref.]]="Dentro",DATOS_[Conc.Sal.02]))))),
0)</f>
        <v>0</v>
      </c>
      <c r="H86" s="93">
        <f t="array" ref="H86">IFERROR(
AVERAGE((IF(DATOS_[[Sexo]:[Sexo]]=$B86,IF(DATOS_[[AGRUP. CLAS. PROF.]:[AGRUP. CLAS. PROF.]]=$B84,IF(DATOS_[[Check Periodo Ref.]:[Check Periodo Ref.]]="Dentro",DATOS_[Conc.Sal.03]))))),
0)</f>
        <v>0</v>
      </c>
      <c r="I86" s="93">
        <f t="array" ref="I86">IFERROR(
AVERAGE((IF(DATOS_[[Sexo]:[Sexo]]=$B86,IF(DATOS_[[AGRUP. CLAS. PROF.]:[AGRUP. CLAS. PROF.]]=$B84,IF(DATOS_[[Check Periodo Ref.]:[Check Periodo Ref.]]="Dentro",DATOS_[Conc.Sal.04]))))),
0)</f>
        <v>0</v>
      </c>
      <c r="J86" s="93">
        <f t="array" ref="J86">IFERROR(
AVERAGE((IF(DATOS_[[Sexo]:[Sexo]]=$B86,IF(DATOS_[[AGRUP. CLAS. PROF.]:[AGRUP. CLAS. PROF.]]=$B84,IF(DATOS_[[Check Periodo Ref.]:[Check Periodo Ref.]]="Dentro",DATOS_[Conc.Sal.05]))))),
0)</f>
        <v>0</v>
      </c>
      <c r="K86" s="93">
        <f t="array" ref="K86">IFERROR(
AVERAGE((IF(DATOS_[[Sexo]:[Sexo]]=$B86,IF(DATOS_[[AGRUP. CLAS. PROF.]:[AGRUP. CLAS. PROF.]]=$B84,IF(DATOS_[[Check Periodo Ref.]:[Check Periodo Ref.]]="Dentro",DATOS_[Conc.Sal.06]))))),
0)</f>
        <v>0</v>
      </c>
      <c r="L86" s="93">
        <f t="array" ref="L86">IFERROR(
AVERAGE((IF(DATOS_[[Sexo]:[Sexo]]=$B86,IF(DATOS_[[AGRUP. CLAS. PROF.]:[AGRUP. CLAS. PROF.]]=$B84,IF(DATOS_[[Check Periodo Ref.]:[Check Periodo Ref.]]="Dentro",DATOS_[Conc.Sal.07]))))),
0)</f>
        <v>0</v>
      </c>
      <c r="M86" s="93">
        <f t="array" ref="M86">IFERROR(
AVERAGE((IF(DATOS_[[Sexo]:[Sexo]]=$B86,IF(DATOS_[[AGRUP. CLAS. PROF.]:[AGRUP. CLAS. PROF.]]=$B84,IF(DATOS_[[Check Periodo Ref.]:[Check Periodo Ref.]]="Dentro",DATOS_[Conc.Sal.08]))))),
0)</f>
        <v>0</v>
      </c>
      <c r="N86" s="93">
        <f t="array" ref="N86">IFERROR(
AVERAGE((IF(DATOS_[[Sexo]:[Sexo]]=$B86,IF(DATOS_[[AGRUP. CLAS. PROF.]:[AGRUP. CLAS. PROF.]]=$B84,IF(DATOS_[[Check Periodo Ref.]:[Check Periodo Ref.]]="Dentro",DATOS_[Conc.Sal.09]))))),
0)</f>
        <v>0</v>
      </c>
      <c r="O86" s="93">
        <f t="array" ref="O86">IFERROR(
AVERAGE((IF(DATOS_[[Sexo]:[Sexo]]=$B86,IF(DATOS_[[AGRUP. CLAS. PROF.]:[AGRUP. CLAS. PROF.]]=$B84,IF(DATOS_[[Check Periodo Ref.]:[Check Periodo Ref.]]="Dentro",DATOS_[Conc.Sal.10]))))),
0)</f>
        <v>0</v>
      </c>
      <c r="P86" s="93">
        <f t="array" ref="P86">IFERROR(
AVERAGE((IF(DATOS_[[Sexo]:[Sexo]]=$B86,IF(DATOS_[[AGRUP. CLAS. PROF.]:[AGRUP. CLAS. PROF.]]=$B84,IF(DATOS_[[Check Periodo Ref.]:[Check Periodo Ref.]]="Dentro",DATOS_[Conc.Sal.11]))))),
0)</f>
        <v>0</v>
      </c>
      <c r="Q86" s="93">
        <f t="array" ref="Q86">IFERROR(
AVERAGE((IF(DATOS_[[Sexo]:[Sexo]]=$B86,IF(DATOS_[[AGRUP. CLAS. PROF.]:[AGRUP. CLAS. PROF.]]=$B84,IF(DATOS_[[Check Periodo Ref.]:[Check Periodo Ref.]]="Dentro",DATOS_[Conc.Sal.12]))))),
0)</f>
        <v>0</v>
      </c>
      <c r="R86" s="93">
        <f t="array" ref="R86">IFERROR(
AVERAGE((IF(DATOS_[[Sexo]:[Sexo]]=$B86,IF(DATOS_[[AGRUP. CLAS. PROF.]:[AGRUP. CLAS. PROF.]]=$B84,IF(DATOS_[[Check Periodo Ref.]:[Check Periodo Ref.]]="Dentro",DATOS_[Conc.Sal.13]))))),
0)</f>
        <v>0</v>
      </c>
      <c r="S86" s="93">
        <f t="array" ref="S86">IFERROR(
AVERAGE((IF(DATOS_[[Sexo]:[Sexo]]=$B86,IF(DATOS_[[AGRUP. CLAS. PROF.]:[AGRUP. CLAS. PROF.]]=$B84,IF(DATOS_[[Check Periodo Ref.]:[Check Periodo Ref.]]="Dentro",DATOS_[Conc.Sal.14]))))),
0)</f>
        <v>0</v>
      </c>
      <c r="T86" s="93">
        <f t="array" ref="T86">IFERROR(
AVERAGE((IF(DATOS_[[Sexo]:[Sexo]]=$B86,IF(DATOS_[[AGRUP. CLAS. PROF.]:[AGRUP. CLAS. PROF.]]=$B84,IF(DATOS_[[Check Periodo Ref.]:[Check Periodo Ref.]]="Dentro",DATOS_[Conc.Sal.15]))))),
0)</f>
        <v>0</v>
      </c>
      <c r="U86" s="93">
        <f t="array" ref="U86">IFERROR(
AVERAGE((IF(DATOS_[[Sexo]:[Sexo]]=$B86,IF(DATOS_[[AGRUP. CLAS. PROF.]:[AGRUP. CLAS. PROF.]]=$B84,IF(DATOS_[[Check Periodo Ref.]:[Check Periodo Ref.]]="Dentro",DATOS_[Conc.Sal.16]))))),
0)</f>
        <v>0</v>
      </c>
      <c r="V86" s="93">
        <f t="array" ref="V86">IFERROR(
AVERAGE((IF(DATOS_[[Sexo]:[Sexo]]=$B86,IF(DATOS_[[AGRUP. CLAS. PROF.]:[AGRUP. CLAS. PROF.]]=$B84,IF(DATOS_[[Check Periodo Ref.]:[Check Periodo Ref.]]="Dentro",DATOS_[Conc.Sal.17]))))),
0)</f>
        <v>0</v>
      </c>
      <c r="W86" s="93">
        <f t="array" ref="W86">IFERROR(
AVERAGE((IF(DATOS_[[Sexo]:[Sexo]]=$B86,IF(DATOS_[[AGRUP. CLAS. PROF.]:[AGRUP. CLAS. PROF.]]=$B84,IF(DATOS_[[Check Periodo Ref.]:[Check Periodo Ref.]]="Dentro",DATOS_[Conc.Sal.18]))))),
0)</f>
        <v>0</v>
      </c>
      <c r="X86" s="93">
        <f t="array" ref="X86">IFERROR(
AVERAGE((IF(DATOS_[[Sexo]:[Sexo]]=$B86,IF(DATOS_[[AGRUP. CLAS. PROF.]:[AGRUP. CLAS. PROF.]]=$B84,IF(DATOS_[[Check Periodo Ref.]:[Check Periodo Ref.]]="Dentro",DATOS_[Conc.Sal.19]))))),
0)</f>
        <v>0</v>
      </c>
      <c r="Y86" s="93">
        <f t="array" ref="Y86">IFERROR(
AVERAGE((IF(DATOS_[[Sexo]:[Sexo]]=$B86,IF(DATOS_[[AGRUP. CLAS. PROF.]:[AGRUP. CLAS. PROF.]]=$B84,IF(DATOS_[[Check Periodo Ref.]:[Check Periodo Ref.]]="Dentro",DATOS_[Conc.Sal.20]))))),
0)</f>
        <v>0</v>
      </c>
      <c r="Z86" s="93">
        <f t="array" ref="Z86">IFERROR(
AVERAGE((IF(DATOS_[[Sexo]:[Sexo]]=$B86,IF(DATOS_[[AGRUP. CLAS. PROF.]:[AGRUP. CLAS. PROF.]]=$B84,IF(DATOS_[[Check Periodo Ref.]:[Check Periodo Ref.]]="Dentro",DATOS_[Conc.Sal.21]))))),
0)</f>
        <v>0</v>
      </c>
      <c r="AA86" s="93">
        <f t="array" ref="AA86">IFERROR(
AVERAGE((IF(DATOS_[[Sexo]:[Sexo]]=$B86,IF(DATOS_[[AGRUP. CLAS. PROF.]:[AGRUP. CLAS. PROF.]]=$B84,IF(DATOS_[[Check Periodo Ref.]:[Check Periodo Ref.]]="Dentro",DATOS_[Conc.Sal.22]))))),
0)</f>
        <v>0</v>
      </c>
      <c r="AB86" s="93">
        <f t="array" ref="AB86">IFERROR(
AVERAGE((IF(DATOS_[[Sexo]:[Sexo]]=$B86,IF(DATOS_[[AGRUP. CLAS. PROF.]:[AGRUP. CLAS. PROF.]]=$B84,IF(DATOS_[[Check Periodo Ref.]:[Check Periodo Ref.]]="Dentro",DATOS_[Conc.Sal.23]))))),
0)</f>
        <v>0</v>
      </c>
      <c r="AC86" s="93">
        <f t="array" ref="AC86">IFERROR(
AVERAGE((IF(DATOS_[[Sexo]:[Sexo]]=$B86,IF(DATOS_[[AGRUP. CLAS. PROF.]:[AGRUP. CLAS. PROF.]]=$B84,IF(DATOS_[[Check Periodo Ref.]:[Check Periodo Ref.]]="Dentro",DATOS_[Conc.Sal.24]))))),
0)</f>
        <v>0</v>
      </c>
      <c r="AD86" s="93">
        <f t="array" ref="AD86">IFERROR(
AVERAGE((IF(DATOS_[[Sexo]:[Sexo]]=$B86,IF(DATOS_[[AGRUP. CLAS. PROF.]:[AGRUP. CLAS. PROF.]]=$B84,IF(DATOS_[[Check Periodo Ref.]:[Check Periodo Ref.]]="Dentro",DATOS_[Conc.Sal.25]))))),
0)</f>
        <v>0</v>
      </c>
      <c r="AE86" s="93">
        <f t="array" ref="AE86">IFERROR(
AVERAGE((IF(DATOS_[[Sexo]:[Sexo]]=$B86,IF(DATOS_[[AGRUP. CLAS. PROF.]:[AGRUP. CLAS. PROF.]]=$B84,IF(DATOS_[[Check Periodo Ref.]:[Check Periodo Ref.]]="Dentro",DATOS_[Conc.Sal.26]))))),
0)</f>
        <v>0</v>
      </c>
      <c r="AF86" s="93">
        <f t="array" ref="AF86">IFERROR(
AVERAGE((IF(DATOS_[[Sexo]:[Sexo]]=$B86,IF(DATOS_[[AGRUP. CLAS. PROF.]:[AGRUP. CLAS. PROF.]]=$B84,IF(DATOS_[[Check Periodo Ref.]:[Check Periodo Ref.]]="Dentro",DATOS_[Conc.Sal.27]))))),
0)</f>
        <v>0</v>
      </c>
      <c r="AG86" s="93">
        <f t="array" ref="AG86">IFERROR(
AVERAGE((IF(DATOS_[[Sexo]:[Sexo]]=$B86,IF(DATOS_[[AGRUP. CLAS. PROF.]:[AGRUP. CLAS. PROF.]]=$B84,IF(DATOS_[[Check Periodo Ref.]:[Check Periodo Ref.]]="Dentro",DATOS_[Conc.Sal.28]))))),
0)</f>
        <v>0</v>
      </c>
      <c r="AH86" s="93">
        <f t="array" ref="AH86">IFERROR(
AVERAGE((IF(DATOS_[[Sexo]:[Sexo]]=$B86,IF(DATOS_[[AGRUP. CLAS. PROF.]:[AGRUP. CLAS. PROF.]]=$B84,IF(DATOS_[[Check Periodo Ref.]:[Check Periodo Ref.]]="Dentro",DATOS_[Conc.Sal.29]))))),
0)</f>
        <v>0</v>
      </c>
      <c r="AI86" s="93">
        <f t="array" ref="AI86">IFERROR(
AVERAGE((IF(DATOS_[[Sexo]:[Sexo]]=$B86,IF(DATOS_[[AGRUP. CLAS. PROF.]:[AGRUP. CLAS. PROF.]]=$B84,IF(DATOS_[[Check Periodo Ref.]:[Check Periodo Ref.]]="Dentro",DATOS_[Conc.Sal.30]))))),
0)</f>
        <v>0</v>
      </c>
      <c r="AJ86" s="94">
        <f t="array" ref="AJ86">IFERROR(
AVERAGE(IF(DATOS_[Sexo]=$B86,IF(DATOS_[AGRUP. CLAS. PROF.]=$B84,IF(DATOS_[Check Periodo Ref.]="Dentro",DATOS_[Tot COMPL.SAL Ef],FALSE)))),
0)</f>
        <v>0</v>
      </c>
      <c r="AK86" s="96">
        <f t="array" ref="AK86">IFERROR(
AVERAGE(IF(DATOS_[Sexo]=$B86,IF(DATOS_[AGRUP. CLAS. PROF.]=$B84,IF(DATOS_[Check Periodo Ref.]="Dentro",DATOS_[TOTAL SALARIO Ef],FALSE)))),
0)</f>
        <v>0</v>
      </c>
      <c r="AL86" s="95">
        <f t="array" ref="AL86">IFERROR(
AVERAGE((IF(DATOS_[[Sexo]:[Sexo]]=$B86,IF(DATOS_[[AGRUP. CLAS. PROF.]:[AGRUP. CLAS. PROF.]]=$B84,IF(DATOS_[[Check Periodo Ref.]:[Check Periodo Ref.]]="Dentro",DATOS_[C.Extra.01]))))),
0)</f>
        <v>0</v>
      </c>
      <c r="AM86" s="95">
        <f t="array" ref="AM86">IFERROR(
AVERAGE((IF(DATOS_[[Sexo]:[Sexo]]=$B86,IF(DATOS_[[AGRUP. CLAS. PROF.]:[AGRUP. CLAS. PROF.]]=$B84,IF(DATOS_[[Check Periodo Ref.]:[Check Periodo Ref.]]="Dentro",DATOS_[C.Extra.02]))))),
0)</f>
        <v>0</v>
      </c>
      <c r="AN86" s="95">
        <f t="array" ref="AN86">IFERROR(
AVERAGE((IF(DATOS_[[Sexo]:[Sexo]]=$B86,IF(DATOS_[[AGRUP. CLAS. PROF.]:[AGRUP. CLAS. PROF.]]=$B84,IF(DATOS_[[Check Periodo Ref.]:[Check Periodo Ref.]]="Dentro",DATOS_[C.Extra.03]))))),
0)</f>
        <v>0</v>
      </c>
      <c r="AO86" s="95">
        <f t="array" ref="AO86">IFERROR(
AVERAGE((IF(DATOS_[[Sexo]:[Sexo]]=$B86,IF(DATOS_[[AGRUP. CLAS. PROF.]:[AGRUP. CLAS. PROF.]]=$B84,IF(DATOS_[[Check Periodo Ref.]:[Check Periodo Ref.]]="Dentro",DATOS_[C.Extra.04]))))),
0)</f>
        <v>0</v>
      </c>
      <c r="AP86" s="95">
        <f t="array" ref="AP86">IFERROR(
AVERAGE((IF(DATOS_[[Sexo]:[Sexo]]=$B86,IF(DATOS_[[AGRUP. CLAS. PROF.]:[AGRUP. CLAS. PROF.]]=$B84,IF(DATOS_[[Check Periodo Ref.]:[Check Periodo Ref.]]="Dentro",DATOS_[C.Extra.05]))))),
0)</f>
        <v>0</v>
      </c>
      <c r="AQ86" s="97">
        <f t="array" ref="AQ86">IFERROR(
AVERAGE(IF(DATOS_[Sexo]=$B86,IF(DATOS_[AGRUP. CLAS. PROF.]=$B84,IF(DATOS_[Check Periodo Ref.]="Dentro",DATOS_[Tot Extrasalarial Ef],FALSE)))),
0)</f>
        <v>0</v>
      </c>
      <c r="AR86" s="98">
        <f t="array" ref="AR86">IFERROR(
AVERAGE(IF(DATOS_[Sexo]=$B86,IF(DATOS_[AGRUP. CLAS. PROF.]=$B84,IF(DATOS_[Check Periodo Ref.]="Dentro",DATOS_[TOTAL Retrib Ef],FALSE)))),
0)</f>
        <v>0</v>
      </c>
    </row>
    <row r="87" spans="1:44" ht="17.25" hidden="1" thickBot="1" x14ac:dyDescent="0.35">
      <c r="A87" s="309" t="str">
        <f t="shared" ref="A87" si="99">+A88</f>
        <v>[ocultar]</v>
      </c>
      <c r="B87" s="51" t="s">
        <v>241</v>
      </c>
      <c r="C87" s="91"/>
      <c r="D87" s="52"/>
      <c r="E87" s="139" t="str">
        <f t="shared" ref="E87:AR87" si="100">IFERROR((E88-E89)/E88,"")</f>
        <v/>
      </c>
      <c r="F87" s="310" t="str">
        <f t="shared" si="100"/>
        <v/>
      </c>
      <c r="G87" s="180" t="str">
        <f t="shared" si="100"/>
        <v/>
      </c>
      <c r="H87" s="180" t="str">
        <f t="shared" si="100"/>
        <v/>
      </c>
      <c r="I87" s="180" t="str">
        <f t="shared" si="100"/>
        <v/>
      </c>
      <c r="J87" s="181" t="str">
        <f t="shared" si="100"/>
        <v/>
      </c>
      <c r="K87" s="182" t="str">
        <f t="shared" si="100"/>
        <v/>
      </c>
      <c r="L87" s="182" t="str">
        <f t="shared" si="100"/>
        <v/>
      </c>
      <c r="M87" s="182" t="str">
        <f t="shared" si="100"/>
        <v/>
      </c>
      <c r="N87" s="182" t="str">
        <f t="shared" si="100"/>
        <v/>
      </c>
      <c r="O87" s="182" t="str">
        <f t="shared" si="100"/>
        <v/>
      </c>
      <c r="P87" s="182" t="str">
        <f t="shared" si="100"/>
        <v/>
      </c>
      <c r="Q87" s="182" t="str">
        <f t="shared" si="100"/>
        <v/>
      </c>
      <c r="R87" s="182" t="str">
        <f t="shared" si="100"/>
        <v/>
      </c>
      <c r="S87" s="182" t="str">
        <f t="shared" si="100"/>
        <v/>
      </c>
      <c r="T87" s="182" t="str">
        <f t="shared" si="100"/>
        <v/>
      </c>
      <c r="U87" s="182" t="str">
        <f t="shared" si="100"/>
        <v/>
      </c>
      <c r="V87" s="181" t="str">
        <f t="shared" si="100"/>
        <v/>
      </c>
      <c r="W87" s="181" t="str">
        <f t="shared" si="100"/>
        <v/>
      </c>
      <c r="X87" s="181" t="str">
        <f t="shared" si="100"/>
        <v/>
      </c>
      <c r="Y87" s="181" t="str">
        <f t="shared" si="100"/>
        <v/>
      </c>
      <c r="Z87" s="181" t="str">
        <f t="shared" si="100"/>
        <v/>
      </c>
      <c r="AA87" s="181" t="str">
        <f t="shared" si="100"/>
        <v/>
      </c>
      <c r="AB87" s="181" t="str">
        <f t="shared" si="100"/>
        <v/>
      </c>
      <c r="AC87" s="181" t="str">
        <f t="shared" si="100"/>
        <v/>
      </c>
      <c r="AD87" s="181" t="str">
        <f t="shared" si="100"/>
        <v/>
      </c>
      <c r="AE87" s="181" t="str">
        <f t="shared" si="100"/>
        <v/>
      </c>
      <c r="AF87" s="181" t="str">
        <f t="shared" si="100"/>
        <v/>
      </c>
      <c r="AG87" s="181" t="str">
        <f t="shared" si="100"/>
        <v/>
      </c>
      <c r="AH87" s="181" t="str">
        <f t="shared" si="100"/>
        <v/>
      </c>
      <c r="AI87" s="181" t="str">
        <f t="shared" si="100"/>
        <v/>
      </c>
      <c r="AJ87" s="140" t="str">
        <f t="shared" si="100"/>
        <v/>
      </c>
      <c r="AK87" s="143" t="str">
        <f t="shared" si="100"/>
        <v/>
      </c>
      <c r="AL87" s="184" t="str">
        <f t="shared" si="100"/>
        <v/>
      </c>
      <c r="AM87" s="184" t="str">
        <f t="shared" si="100"/>
        <v/>
      </c>
      <c r="AN87" s="184" t="str">
        <f t="shared" si="100"/>
        <v/>
      </c>
      <c r="AO87" s="184" t="str">
        <f t="shared" si="100"/>
        <v/>
      </c>
      <c r="AP87" s="184" t="str">
        <f t="shared" si="100"/>
        <v/>
      </c>
      <c r="AQ87" s="141" t="str">
        <f t="shared" si="100"/>
        <v/>
      </c>
      <c r="AR87" s="142" t="str">
        <f t="shared" si="100"/>
        <v/>
      </c>
    </row>
    <row r="88" spans="1:44" hidden="1" x14ac:dyDescent="0.3">
      <c r="A88" s="309" t="str">
        <f t="shared" ref="A88" si="101">+IF(C88+C89=0,"[ocultar]","")</f>
        <v>[ocultar]</v>
      </c>
      <c r="B88" s="46" t="s">
        <v>162</v>
      </c>
      <c r="C88" s="45">
        <f t="array" ref="C88">SUM(IF($B88=DATOS_[Sexo],
IF($B87=DATOS_[AGRUP. CLAS. PROF.],
IF("Dentro"=DATOS_[Check Periodo Ref.],
1/(COUNTIFS(DATOS_[Sexo],$B88,DATOS_[AGRUP. CLAS. PROF.],$B87,DATOS_[Check Periodo Ref.],"Dentro",DATOS_[id],DATOS_[id]))))))</f>
        <v>0</v>
      </c>
      <c r="D88" s="47">
        <f>COUNTIFS(DATOS_[AGRUP. CLAS. PROF.],$B87,DATOS_[Sexo],$B88,DATOS_[Check Periodo Ref.],"Dentro")</f>
        <v>0</v>
      </c>
      <c r="E88" s="92">
        <f t="array" ref="E88">IFERROR(
AVERAGE(IF(DATOS_[Sexo]=$B88,IF(DATOS_[AGRUP. CLAS. PROF.]=$B87,IF(DATOS_[Check Periodo Ref.]="Dentro",DATOS_[SALARIO BASE Ef],FALSE)))),
0)</f>
        <v>0</v>
      </c>
      <c r="F88" s="93">
        <f t="array" ref="F88">IFERROR(
AVERAGE((IF(DATOS_[[Sexo]:[Sexo]]=$B88,IF(DATOS_[[AGRUP. CLAS. PROF.]:[AGRUP. CLAS. PROF.]]=$B87,IF(DATOS_[[Check Periodo Ref.]:[Check Periodo Ref.]]="Dentro",DATOS_[Conc.Sal.01]))))),
0)</f>
        <v>0</v>
      </c>
      <c r="G88" s="93">
        <f t="array" ref="G88">IFERROR(
AVERAGE((IF(DATOS_[[Sexo]:[Sexo]]=$B88,IF(DATOS_[[AGRUP. CLAS. PROF.]:[AGRUP. CLAS. PROF.]]=$B87,IF(DATOS_[[Check Periodo Ref.]:[Check Periodo Ref.]]="Dentro",DATOS_[Conc.Sal.02]))))),
0)</f>
        <v>0</v>
      </c>
      <c r="H88" s="93">
        <f t="array" ref="H88">IFERROR(
AVERAGE((IF(DATOS_[[Sexo]:[Sexo]]=$B88,IF(DATOS_[[AGRUP. CLAS. PROF.]:[AGRUP. CLAS. PROF.]]=$B87,IF(DATOS_[[Check Periodo Ref.]:[Check Periodo Ref.]]="Dentro",DATOS_[Conc.Sal.03]))))),
0)</f>
        <v>0</v>
      </c>
      <c r="I88" s="93">
        <f t="array" ref="I88">IFERROR(
AVERAGE((IF(DATOS_[[Sexo]:[Sexo]]=$B88,IF(DATOS_[[AGRUP. CLAS. PROF.]:[AGRUP. CLAS. PROF.]]=$B87,IF(DATOS_[[Check Periodo Ref.]:[Check Periodo Ref.]]="Dentro",DATOS_[Conc.Sal.04]))))),
0)</f>
        <v>0</v>
      </c>
      <c r="J88" s="93">
        <f t="array" ref="J88">IFERROR(
AVERAGE((IF(DATOS_[[Sexo]:[Sexo]]=$B88,IF(DATOS_[[AGRUP. CLAS. PROF.]:[AGRUP. CLAS. PROF.]]=$B87,IF(DATOS_[[Check Periodo Ref.]:[Check Periodo Ref.]]="Dentro",DATOS_[Conc.Sal.05]))))),
0)</f>
        <v>0</v>
      </c>
      <c r="K88" s="93">
        <f t="array" ref="K88">IFERROR(
AVERAGE((IF(DATOS_[[Sexo]:[Sexo]]=$B88,IF(DATOS_[[AGRUP. CLAS. PROF.]:[AGRUP. CLAS. PROF.]]=$B87,IF(DATOS_[[Check Periodo Ref.]:[Check Periodo Ref.]]="Dentro",DATOS_[Conc.Sal.06]))))),
0)</f>
        <v>0</v>
      </c>
      <c r="L88" s="93">
        <f t="array" ref="L88">IFERROR(
AVERAGE((IF(DATOS_[[Sexo]:[Sexo]]=$B88,IF(DATOS_[[AGRUP. CLAS. PROF.]:[AGRUP. CLAS. PROF.]]=$B87,IF(DATOS_[[Check Periodo Ref.]:[Check Periodo Ref.]]="Dentro",DATOS_[Conc.Sal.07]))))),
0)</f>
        <v>0</v>
      </c>
      <c r="M88" s="93">
        <f t="array" ref="M88">IFERROR(
AVERAGE((IF(DATOS_[[Sexo]:[Sexo]]=$B88,IF(DATOS_[[AGRUP. CLAS. PROF.]:[AGRUP. CLAS. PROF.]]=$B87,IF(DATOS_[[Check Periodo Ref.]:[Check Periodo Ref.]]="Dentro",DATOS_[Conc.Sal.08]))))),
0)</f>
        <v>0</v>
      </c>
      <c r="N88" s="93">
        <f t="array" ref="N88">IFERROR(
AVERAGE((IF(DATOS_[[Sexo]:[Sexo]]=$B88,IF(DATOS_[[AGRUP. CLAS. PROF.]:[AGRUP. CLAS. PROF.]]=$B87,IF(DATOS_[[Check Periodo Ref.]:[Check Periodo Ref.]]="Dentro",DATOS_[Conc.Sal.09]))))),
0)</f>
        <v>0</v>
      </c>
      <c r="O88" s="93">
        <f t="array" ref="O88">IFERROR(
AVERAGE((IF(DATOS_[[Sexo]:[Sexo]]=$B88,IF(DATOS_[[AGRUP. CLAS. PROF.]:[AGRUP. CLAS. PROF.]]=$B87,IF(DATOS_[[Check Periodo Ref.]:[Check Periodo Ref.]]="Dentro",DATOS_[Conc.Sal.10]))))),
0)</f>
        <v>0</v>
      </c>
      <c r="P88" s="93">
        <f t="array" ref="P88">IFERROR(
AVERAGE((IF(DATOS_[[Sexo]:[Sexo]]=$B88,IF(DATOS_[[AGRUP. CLAS. PROF.]:[AGRUP. CLAS. PROF.]]=$B87,IF(DATOS_[[Check Periodo Ref.]:[Check Periodo Ref.]]="Dentro",DATOS_[Conc.Sal.11]))))),
0)</f>
        <v>0</v>
      </c>
      <c r="Q88" s="93">
        <f t="array" ref="Q88">IFERROR(
AVERAGE((IF(DATOS_[[Sexo]:[Sexo]]=$B88,IF(DATOS_[[AGRUP. CLAS. PROF.]:[AGRUP. CLAS. PROF.]]=$B87,IF(DATOS_[[Check Periodo Ref.]:[Check Periodo Ref.]]="Dentro",DATOS_[Conc.Sal.12]))))),
0)</f>
        <v>0</v>
      </c>
      <c r="R88" s="93">
        <f t="array" ref="R88">IFERROR(
AVERAGE((IF(DATOS_[[Sexo]:[Sexo]]=$B88,IF(DATOS_[[AGRUP. CLAS. PROF.]:[AGRUP. CLAS. PROF.]]=$B87,IF(DATOS_[[Check Periodo Ref.]:[Check Periodo Ref.]]="Dentro",DATOS_[Conc.Sal.13]))))),
0)</f>
        <v>0</v>
      </c>
      <c r="S88" s="93">
        <f t="array" ref="S88">IFERROR(
AVERAGE((IF(DATOS_[[Sexo]:[Sexo]]=$B88,IF(DATOS_[[AGRUP. CLAS. PROF.]:[AGRUP. CLAS. PROF.]]=$B87,IF(DATOS_[[Check Periodo Ref.]:[Check Periodo Ref.]]="Dentro",DATOS_[Conc.Sal.14]))))),
0)</f>
        <v>0</v>
      </c>
      <c r="T88" s="93">
        <f t="array" ref="T88">IFERROR(
AVERAGE((IF(DATOS_[[Sexo]:[Sexo]]=$B88,IF(DATOS_[[AGRUP. CLAS. PROF.]:[AGRUP. CLAS. PROF.]]=$B87,IF(DATOS_[[Check Periodo Ref.]:[Check Periodo Ref.]]="Dentro",DATOS_[Conc.Sal.15]))))),
0)</f>
        <v>0</v>
      </c>
      <c r="U88" s="93">
        <f t="array" ref="U88">IFERROR(
AVERAGE((IF(DATOS_[[Sexo]:[Sexo]]=$B88,IF(DATOS_[[AGRUP. CLAS. PROF.]:[AGRUP. CLAS. PROF.]]=$B87,IF(DATOS_[[Check Periodo Ref.]:[Check Periodo Ref.]]="Dentro",DATOS_[Conc.Sal.16]))))),
0)</f>
        <v>0</v>
      </c>
      <c r="V88" s="93">
        <f t="array" ref="V88">IFERROR(
AVERAGE((IF(DATOS_[[Sexo]:[Sexo]]=$B88,IF(DATOS_[[AGRUP. CLAS. PROF.]:[AGRUP. CLAS. PROF.]]=$B87,IF(DATOS_[[Check Periodo Ref.]:[Check Periodo Ref.]]="Dentro",DATOS_[Conc.Sal.17]))))),
0)</f>
        <v>0</v>
      </c>
      <c r="W88" s="93">
        <f t="array" ref="W88">IFERROR(
AVERAGE((IF(DATOS_[[Sexo]:[Sexo]]=$B88,IF(DATOS_[[AGRUP. CLAS. PROF.]:[AGRUP. CLAS. PROF.]]=$B87,IF(DATOS_[[Check Periodo Ref.]:[Check Periodo Ref.]]="Dentro",DATOS_[Conc.Sal.18]))))),
0)</f>
        <v>0</v>
      </c>
      <c r="X88" s="93">
        <f t="array" ref="X88">IFERROR(
AVERAGE((IF(DATOS_[[Sexo]:[Sexo]]=$B88,IF(DATOS_[[AGRUP. CLAS. PROF.]:[AGRUP. CLAS. PROF.]]=$B87,IF(DATOS_[[Check Periodo Ref.]:[Check Periodo Ref.]]="Dentro",DATOS_[Conc.Sal.19]))))),
0)</f>
        <v>0</v>
      </c>
      <c r="Y88" s="93">
        <f t="array" ref="Y88">IFERROR(
AVERAGE((IF(DATOS_[[Sexo]:[Sexo]]=$B88,IF(DATOS_[[AGRUP. CLAS. PROF.]:[AGRUP. CLAS. PROF.]]=$B87,IF(DATOS_[[Check Periodo Ref.]:[Check Periodo Ref.]]="Dentro",DATOS_[Conc.Sal.20]))))),
0)</f>
        <v>0</v>
      </c>
      <c r="Z88" s="93">
        <f t="array" ref="Z88">IFERROR(
AVERAGE((IF(DATOS_[[Sexo]:[Sexo]]=$B88,IF(DATOS_[[AGRUP. CLAS. PROF.]:[AGRUP. CLAS. PROF.]]=$B87,IF(DATOS_[[Check Periodo Ref.]:[Check Periodo Ref.]]="Dentro",DATOS_[Conc.Sal.21]))))),
0)</f>
        <v>0</v>
      </c>
      <c r="AA88" s="93">
        <f t="array" ref="AA88">IFERROR(
AVERAGE((IF(DATOS_[[Sexo]:[Sexo]]=$B88,IF(DATOS_[[AGRUP. CLAS. PROF.]:[AGRUP. CLAS. PROF.]]=$B87,IF(DATOS_[[Check Periodo Ref.]:[Check Periodo Ref.]]="Dentro",DATOS_[Conc.Sal.22]))))),
0)</f>
        <v>0</v>
      </c>
      <c r="AB88" s="93">
        <f t="array" ref="AB88">IFERROR(
AVERAGE((IF(DATOS_[[Sexo]:[Sexo]]=$B88,IF(DATOS_[[AGRUP. CLAS. PROF.]:[AGRUP. CLAS. PROF.]]=$B87,IF(DATOS_[[Check Periodo Ref.]:[Check Periodo Ref.]]="Dentro",DATOS_[Conc.Sal.23]))))),
0)</f>
        <v>0</v>
      </c>
      <c r="AC88" s="93">
        <f t="array" ref="AC88">IFERROR(
AVERAGE((IF(DATOS_[[Sexo]:[Sexo]]=$B88,IF(DATOS_[[AGRUP. CLAS. PROF.]:[AGRUP. CLAS. PROF.]]=$B87,IF(DATOS_[[Check Periodo Ref.]:[Check Periodo Ref.]]="Dentro",DATOS_[Conc.Sal.24]))))),
0)</f>
        <v>0</v>
      </c>
      <c r="AD88" s="93">
        <f t="array" ref="AD88">IFERROR(
AVERAGE((IF(DATOS_[[Sexo]:[Sexo]]=$B88,IF(DATOS_[[AGRUP. CLAS. PROF.]:[AGRUP. CLAS. PROF.]]=$B87,IF(DATOS_[[Check Periodo Ref.]:[Check Periodo Ref.]]="Dentro",DATOS_[Conc.Sal.25]))))),
0)</f>
        <v>0</v>
      </c>
      <c r="AE88" s="93">
        <f t="array" ref="AE88">IFERROR(
AVERAGE((IF(DATOS_[[Sexo]:[Sexo]]=$B88,IF(DATOS_[[AGRUP. CLAS. PROF.]:[AGRUP. CLAS. PROF.]]=$B87,IF(DATOS_[[Check Periodo Ref.]:[Check Periodo Ref.]]="Dentro",DATOS_[Conc.Sal.26]))))),
0)</f>
        <v>0</v>
      </c>
      <c r="AF88" s="93">
        <f t="array" ref="AF88">IFERROR(
AVERAGE((IF(DATOS_[[Sexo]:[Sexo]]=$B88,IF(DATOS_[[AGRUP. CLAS. PROF.]:[AGRUP. CLAS. PROF.]]=$B87,IF(DATOS_[[Check Periodo Ref.]:[Check Periodo Ref.]]="Dentro",DATOS_[Conc.Sal.27]))))),
0)</f>
        <v>0</v>
      </c>
      <c r="AG88" s="93">
        <f t="array" ref="AG88">IFERROR(
AVERAGE((IF(DATOS_[[Sexo]:[Sexo]]=$B88,IF(DATOS_[[AGRUP. CLAS. PROF.]:[AGRUP. CLAS. PROF.]]=$B87,IF(DATOS_[[Check Periodo Ref.]:[Check Periodo Ref.]]="Dentro",DATOS_[Conc.Sal.28]))))),
0)</f>
        <v>0</v>
      </c>
      <c r="AH88" s="93">
        <f t="array" ref="AH88">IFERROR(
AVERAGE((IF(DATOS_[[Sexo]:[Sexo]]=$B88,IF(DATOS_[[AGRUP. CLAS. PROF.]:[AGRUP. CLAS. PROF.]]=$B87,IF(DATOS_[[Check Periodo Ref.]:[Check Periodo Ref.]]="Dentro",DATOS_[Conc.Sal.29]))))),
0)</f>
        <v>0</v>
      </c>
      <c r="AI88" s="93">
        <f t="array" ref="AI88">IFERROR(
AVERAGE((IF(DATOS_[[Sexo]:[Sexo]]=$B88,IF(DATOS_[[AGRUP. CLAS. PROF.]:[AGRUP. CLAS. PROF.]]=$B87,IF(DATOS_[[Check Periodo Ref.]:[Check Periodo Ref.]]="Dentro",DATOS_[Conc.Sal.30]))))),
0)</f>
        <v>0</v>
      </c>
      <c r="AJ88" s="94">
        <f t="array" ref="AJ88">IFERROR(
AVERAGE(IF(DATOS_[Sexo]=$B88,IF(DATOS_[AGRUP. CLAS. PROF.]=$B87,IF(DATOS_[Check Periodo Ref.]="Dentro",DATOS_[Tot COMPL.SAL Ef],FALSE)))),
0)</f>
        <v>0</v>
      </c>
      <c r="AK88" s="96">
        <f t="array" ref="AK88">IFERROR(
AVERAGE(IF(DATOS_[Sexo]=$B88,IF(DATOS_[AGRUP. CLAS. PROF.]=$B87,IF(DATOS_[Check Periodo Ref.]="Dentro",DATOS_[TOTAL SALARIO Ef],FALSE)))),
0)</f>
        <v>0</v>
      </c>
      <c r="AL88" s="95">
        <f t="array" ref="AL88">IFERROR(
AVERAGE((IF(DATOS_[[Sexo]:[Sexo]]=$B88,IF(DATOS_[[AGRUP. CLAS. PROF.]:[AGRUP. CLAS. PROF.]]=$B87,IF(DATOS_[[Check Periodo Ref.]:[Check Periodo Ref.]]="Dentro",DATOS_[C.Extra.01]))))),
0)</f>
        <v>0</v>
      </c>
      <c r="AM88" s="95">
        <f t="array" ref="AM88">IFERROR(
AVERAGE((IF(DATOS_[[Sexo]:[Sexo]]=$B88,IF(DATOS_[[AGRUP. CLAS. PROF.]:[AGRUP. CLAS. PROF.]]=$B87,IF(DATOS_[[Check Periodo Ref.]:[Check Periodo Ref.]]="Dentro",DATOS_[C.Extra.02]))))),
0)</f>
        <v>0</v>
      </c>
      <c r="AN88" s="95">
        <f t="array" ref="AN88">IFERROR(
AVERAGE((IF(DATOS_[[Sexo]:[Sexo]]=$B88,IF(DATOS_[[AGRUP. CLAS. PROF.]:[AGRUP. CLAS. PROF.]]=$B87,IF(DATOS_[[Check Periodo Ref.]:[Check Periodo Ref.]]="Dentro",DATOS_[C.Extra.03]))))),
0)</f>
        <v>0</v>
      </c>
      <c r="AO88" s="95">
        <f t="array" ref="AO88">IFERROR(
AVERAGE((IF(DATOS_[[Sexo]:[Sexo]]=$B88,IF(DATOS_[[AGRUP. CLAS. PROF.]:[AGRUP. CLAS. PROF.]]=$B87,IF(DATOS_[[Check Periodo Ref.]:[Check Periodo Ref.]]="Dentro",DATOS_[C.Extra.04]))))),
0)</f>
        <v>0</v>
      </c>
      <c r="AP88" s="95">
        <f t="array" ref="AP88">IFERROR(
AVERAGE((IF(DATOS_[[Sexo]:[Sexo]]=$B88,IF(DATOS_[[AGRUP. CLAS. PROF.]:[AGRUP. CLAS. PROF.]]=$B87,IF(DATOS_[[Check Periodo Ref.]:[Check Periodo Ref.]]="Dentro",DATOS_[C.Extra.05]))))),
0)</f>
        <v>0</v>
      </c>
      <c r="AQ88" s="97">
        <f t="array" ref="AQ88">IFERROR(
AVERAGE(IF(DATOS_[Sexo]=$B88,IF(DATOS_[AGRUP. CLAS. PROF.]=$B87,IF(DATOS_[Check Periodo Ref.]="Dentro",DATOS_[Tot Extrasalarial Ef],FALSE)))),
0)</f>
        <v>0</v>
      </c>
      <c r="AR88" s="98">
        <f t="array" ref="AR88">IFERROR(
AVERAGE(IF(DATOS_[Sexo]=$B88,IF(DATOS_[AGRUP. CLAS. PROF.]=$B87,IF(DATOS_[Check Periodo Ref.]="Dentro",DATOS_[TOTAL Retrib Ef],FALSE)))),
0)</f>
        <v>0</v>
      </c>
    </row>
    <row r="89" spans="1:44" hidden="1" x14ac:dyDescent="0.3">
      <c r="A89" s="309" t="str">
        <f t="shared" ref="A89" si="102">+A88</f>
        <v>[ocultar]</v>
      </c>
      <c r="B89" s="46" t="s">
        <v>163</v>
      </c>
      <c r="C89" s="45">
        <f t="array" ref="C89">SUM(IF($B89=DATOS_[Sexo],
IF($B87=DATOS_[AGRUP. CLAS. PROF.],
IF("Dentro"=DATOS_[Check Periodo Ref.],
1/(COUNTIFS(DATOS_[Sexo],$B89,DATOS_[AGRUP. CLAS. PROF.],$B87,DATOS_[Check Periodo Ref.],"Dentro",DATOS_[id],DATOS_[id]))))))</f>
        <v>0</v>
      </c>
      <c r="D89" s="47">
        <f>COUNTIFS(DATOS_[AGRUP. CLAS. PROF.],$B87,DATOS_[Sexo],$B89,DATOS_[Check Periodo Ref.],"Dentro")</f>
        <v>0</v>
      </c>
      <c r="E89" s="92">
        <f t="array" ref="E89">IFERROR(
AVERAGE(IF(DATOS_[Sexo]=$B89,IF(DATOS_[AGRUP. CLAS. PROF.]=$B87,IF(DATOS_[Check Periodo Ref.]="Dentro",DATOS_[SALARIO BASE Ef],FALSE)))),
0)</f>
        <v>0</v>
      </c>
      <c r="F89" s="93">
        <f t="array" ref="F89">IFERROR(
AVERAGE((IF(DATOS_[[Sexo]:[Sexo]]=$B89,IF(DATOS_[[AGRUP. CLAS. PROF.]:[AGRUP. CLAS. PROF.]]=$B87,IF(DATOS_[[Check Periodo Ref.]:[Check Periodo Ref.]]="Dentro",DATOS_[Conc.Sal.01]))))),
0)</f>
        <v>0</v>
      </c>
      <c r="G89" s="93">
        <f t="array" ref="G89">IFERROR(
AVERAGE((IF(DATOS_[[Sexo]:[Sexo]]=$B89,IF(DATOS_[[AGRUP. CLAS. PROF.]:[AGRUP. CLAS. PROF.]]=$B87,IF(DATOS_[[Check Periodo Ref.]:[Check Periodo Ref.]]="Dentro",DATOS_[Conc.Sal.02]))))),
0)</f>
        <v>0</v>
      </c>
      <c r="H89" s="93">
        <f t="array" ref="H89">IFERROR(
AVERAGE((IF(DATOS_[[Sexo]:[Sexo]]=$B89,IF(DATOS_[[AGRUP. CLAS. PROF.]:[AGRUP. CLAS. PROF.]]=$B87,IF(DATOS_[[Check Periodo Ref.]:[Check Periodo Ref.]]="Dentro",DATOS_[Conc.Sal.03]))))),
0)</f>
        <v>0</v>
      </c>
      <c r="I89" s="93">
        <f t="array" ref="I89">IFERROR(
AVERAGE((IF(DATOS_[[Sexo]:[Sexo]]=$B89,IF(DATOS_[[AGRUP. CLAS. PROF.]:[AGRUP. CLAS. PROF.]]=$B87,IF(DATOS_[[Check Periodo Ref.]:[Check Periodo Ref.]]="Dentro",DATOS_[Conc.Sal.04]))))),
0)</f>
        <v>0</v>
      </c>
      <c r="J89" s="93">
        <f t="array" ref="J89">IFERROR(
AVERAGE((IF(DATOS_[[Sexo]:[Sexo]]=$B89,IF(DATOS_[[AGRUP. CLAS. PROF.]:[AGRUP. CLAS. PROF.]]=$B87,IF(DATOS_[[Check Periodo Ref.]:[Check Periodo Ref.]]="Dentro",DATOS_[Conc.Sal.05]))))),
0)</f>
        <v>0</v>
      </c>
      <c r="K89" s="93">
        <f t="array" ref="K89">IFERROR(
AVERAGE((IF(DATOS_[[Sexo]:[Sexo]]=$B89,IF(DATOS_[[AGRUP. CLAS. PROF.]:[AGRUP. CLAS. PROF.]]=$B87,IF(DATOS_[[Check Periodo Ref.]:[Check Periodo Ref.]]="Dentro",DATOS_[Conc.Sal.06]))))),
0)</f>
        <v>0</v>
      </c>
      <c r="L89" s="93">
        <f t="array" ref="L89">IFERROR(
AVERAGE((IF(DATOS_[[Sexo]:[Sexo]]=$B89,IF(DATOS_[[AGRUP. CLAS. PROF.]:[AGRUP. CLAS. PROF.]]=$B87,IF(DATOS_[[Check Periodo Ref.]:[Check Periodo Ref.]]="Dentro",DATOS_[Conc.Sal.07]))))),
0)</f>
        <v>0</v>
      </c>
      <c r="M89" s="93">
        <f t="array" ref="M89">IFERROR(
AVERAGE((IF(DATOS_[[Sexo]:[Sexo]]=$B89,IF(DATOS_[[AGRUP. CLAS. PROF.]:[AGRUP. CLAS. PROF.]]=$B87,IF(DATOS_[[Check Periodo Ref.]:[Check Periodo Ref.]]="Dentro",DATOS_[Conc.Sal.08]))))),
0)</f>
        <v>0</v>
      </c>
      <c r="N89" s="93">
        <f t="array" ref="N89">IFERROR(
AVERAGE((IF(DATOS_[[Sexo]:[Sexo]]=$B89,IF(DATOS_[[AGRUP. CLAS. PROF.]:[AGRUP. CLAS. PROF.]]=$B87,IF(DATOS_[[Check Periodo Ref.]:[Check Periodo Ref.]]="Dentro",DATOS_[Conc.Sal.09]))))),
0)</f>
        <v>0</v>
      </c>
      <c r="O89" s="93">
        <f t="array" ref="O89">IFERROR(
AVERAGE((IF(DATOS_[[Sexo]:[Sexo]]=$B89,IF(DATOS_[[AGRUP. CLAS. PROF.]:[AGRUP. CLAS. PROF.]]=$B87,IF(DATOS_[[Check Periodo Ref.]:[Check Periodo Ref.]]="Dentro",DATOS_[Conc.Sal.10]))))),
0)</f>
        <v>0</v>
      </c>
      <c r="P89" s="93">
        <f t="array" ref="P89">IFERROR(
AVERAGE((IF(DATOS_[[Sexo]:[Sexo]]=$B89,IF(DATOS_[[AGRUP. CLAS. PROF.]:[AGRUP. CLAS. PROF.]]=$B87,IF(DATOS_[[Check Periodo Ref.]:[Check Periodo Ref.]]="Dentro",DATOS_[Conc.Sal.11]))))),
0)</f>
        <v>0</v>
      </c>
      <c r="Q89" s="93">
        <f t="array" ref="Q89">IFERROR(
AVERAGE((IF(DATOS_[[Sexo]:[Sexo]]=$B89,IF(DATOS_[[AGRUP. CLAS. PROF.]:[AGRUP. CLAS. PROF.]]=$B87,IF(DATOS_[[Check Periodo Ref.]:[Check Periodo Ref.]]="Dentro",DATOS_[Conc.Sal.12]))))),
0)</f>
        <v>0</v>
      </c>
      <c r="R89" s="93">
        <f t="array" ref="R89">IFERROR(
AVERAGE((IF(DATOS_[[Sexo]:[Sexo]]=$B89,IF(DATOS_[[AGRUP. CLAS. PROF.]:[AGRUP. CLAS. PROF.]]=$B87,IF(DATOS_[[Check Periodo Ref.]:[Check Periodo Ref.]]="Dentro",DATOS_[Conc.Sal.13]))))),
0)</f>
        <v>0</v>
      </c>
      <c r="S89" s="93">
        <f t="array" ref="S89">IFERROR(
AVERAGE((IF(DATOS_[[Sexo]:[Sexo]]=$B89,IF(DATOS_[[AGRUP. CLAS. PROF.]:[AGRUP. CLAS. PROF.]]=$B87,IF(DATOS_[[Check Periodo Ref.]:[Check Periodo Ref.]]="Dentro",DATOS_[Conc.Sal.14]))))),
0)</f>
        <v>0</v>
      </c>
      <c r="T89" s="93">
        <f t="array" ref="T89">IFERROR(
AVERAGE((IF(DATOS_[[Sexo]:[Sexo]]=$B89,IF(DATOS_[[AGRUP. CLAS. PROF.]:[AGRUP. CLAS. PROF.]]=$B87,IF(DATOS_[[Check Periodo Ref.]:[Check Periodo Ref.]]="Dentro",DATOS_[Conc.Sal.15]))))),
0)</f>
        <v>0</v>
      </c>
      <c r="U89" s="93">
        <f t="array" ref="U89">IFERROR(
AVERAGE((IF(DATOS_[[Sexo]:[Sexo]]=$B89,IF(DATOS_[[AGRUP. CLAS. PROF.]:[AGRUP. CLAS. PROF.]]=$B87,IF(DATOS_[[Check Periodo Ref.]:[Check Periodo Ref.]]="Dentro",DATOS_[Conc.Sal.16]))))),
0)</f>
        <v>0</v>
      </c>
      <c r="V89" s="93">
        <f t="array" ref="V89">IFERROR(
AVERAGE((IF(DATOS_[[Sexo]:[Sexo]]=$B89,IF(DATOS_[[AGRUP. CLAS. PROF.]:[AGRUP. CLAS. PROF.]]=$B87,IF(DATOS_[[Check Periodo Ref.]:[Check Periodo Ref.]]="Dentro",DATOS_[Conc.Sal.17]))))),
0)</f>
        <v>0</v>
      </c>
      <c r="W89" s="93">
        <f t="array" ref="W89">IFERROR(
AVERAGE((IF(DATOS_[[Sexo]:[Sexo]]=$B89,IF(DATOS_[[AGRUP. CLAS. PROF.]:[AGRUP. CLAS. PROF.]]=$B87,IF(DATOS_[[Check Periodo Ref.]:[Check Periodo Ref.]]="Dentro",DATOS_[Conc.Sal.18]))))),
0)</f>
        <v>0</v>
      </c>
      <c r="X89" s="93">
        <f t="array" ref="X89">IFERROR(
AVERAGE((IF(DATOS_[[Sexo]:[Sexo]]=$B89,IF(DATOS_[[AGRUP. CLAS. PROF.]:[AGRUP. CLAS. PROF.]]=$B87,IF(DATOS_[[Check Periodo Ref.]:[Check Periodo Ref.]]="Dentro",DATOS_[Conc.Sal.19]))))),
0)</f>
        <v>0</v>
      </c>
      <c r="Y89" s="93">
        <f t="array" ref="Y89">IFERROR(
AVERAGE((IF(DATOS_[[Sexo]:[Sexo]]=$B89,IF(DATOS_[[AGRUP. CLAS. PROF.]:[AGRUP. CLAS. PROF.]]=$B87,IF(DATOS_[[Check Periodo Ref.]:[Check Periodo Ref.]]="Dentro",DATOS_[Conc.Sal.20]))))),
0)</f>
        <v>0</v>
      </c>
      <c r="Z89" s="93">
        <f t="array" ref="Z89">IFERROR(
AVERAGE((IF(DATOS_[[Sexo]:[Sexo]]=$B89,IF(DATOS_[[AGRUP. CLAS. PROF.]:[AGRUP. CLAS. PROF.]]=$B87,IF(DATOS_[[Check Periodo Ref.]:[Check Periodo Ref.]]="Dentro",DATOS_[Conc.Sal.21]))))),
0)</f>
        <v>0</v>
      </c>
      <c r="AA89" s="93">
        <f t="array" ref="AA89">IFERROR(
AVERAGE((IF(DATOS_[[Sexo]:[Sexo]]=$B89,IF(DATOS_[[AGRUP. CLAS. PROF.]:[AGRUP. CLAS. PROF.]]=$B87,IF(DATOS_[[Check Periodo Ref.]:[Check Periodo Ref.]]="Dentro",DATOS_[Conc.Sal.22]))))),
0)</f>
        <v>0</v>
      </c>
      <c r="AB89" s="93">
        <f t="array" ref="AB89">IFERROR(
AVERAGE((IF(DATOS_[[Sexo]:[Sexo]]=$B89,IF(DATOS_[[AGRUP. CLAS. PROF.]:[AGRUP. CLAS. PROF.]]=$B87,IF(DATOS_[[Check Periodo Ref.]:[Check Periodo Ref.]]="Dentro",DATOS_[Conc.Sal.23]))))),
0)</f>
        <v>0</v>
      </c>
      <c r="AC89" s="93">
        <f t="array" ref="AC89">IFERROR(
AVERAGE((IF(DATOS_[[Sexo]:[Sexo]]=$B89,IF(DATOS_[[AGRUP. CLAS. PROF.]:[AGRUP. CLAS. PROF.]]=$B87,IF(DATOS_[[Check Periodo Ref.]:[Check Periodo Ref.]]="Dentro",DATOS_[Conc.Sal.24]))))),
0)</f>
        <v>0</v>
      </c>
      <c r="AD89" s="93">
        <f t="array" ref="AD89">IFERROR(
AVERAGE((IF(DATOS_[[Sexo]:[Sexo]]=$B89,IF(DATOS_[[AGRUP. CLAS. PROF.]:[AGRUP. CLAS. PROF.]]=$B87,IF(DATOS_[[Check Periodo Ref.]:[Check Periodo Ref.]]="Dentro",DATOS_[Conc.Sal.25]))))),
0)</f>
        <v>0</v>
      </c>
      <c r="AE89" s="93">
        <f t="array" ref="AE89">IFERROR(
AVERAGE((IF(DATOS_[[Sexo]:[Sexo]]=$B89,IF(DATOS_[[AGRUP. CLAS. PROF.]:[AGRUP. CLAS. PROF.]]=$B87,IF(DATOS_[[Check Periodo Ref.]:[Check Periodo Ref.]]="Dentro",DATOS_[Conc.Sal.26]))))),
0)</f>
        <v>0</v>
      </c>
      <c r="AF89" s="93">
        <f t="array" ref="AF89">IFERROR(
AVERAGE((IF(DATOS_[[Sexo]:[Sexo]]=$B89,IF(DATOS_[[AGRUP. CLAS. PROF.]:[AGRUP. CLAS. PROF.]]=$B87,IF(DATOS_[[Check Periodo Ref.]:[Check Periodo Ref.]]="Dentro",DATOS_[Conc.Sal.27]))))),
0)</f>
        <v>0</v>
      </c>
      <c r="AG89" s="93">
        <f t="array" ref="AG89">IFERROR(
AVERAGE((IF(DATOS_[[Sexo]:[Sexo]]=$B89,IF(DATOS_[[AGRUP. CLAS. PROF.]:[AGRUP. CLAS. PROF.]]=$B87,IF(DATOS_[[Check Periodo Ref.]:[Check Periodo Ref.]]="Dentro",DATOS_[Conc.Sal.28]))))),
0)</f>
        <v>0</v>
      </c>
      <c r="AH89" s="93">
        <f t="array" ref="AH89">IFERROR(
AVERAGE((IF(DATOS_[[Sexo]:[Sexo]]=$B89,IF(DATOS_[[AGRUP. CLAS. PROF.]:[AGRUP. CLAS. PROF.]]=$B87,IF(DATOS_[[Check Periodo Ref.]:[Check Periodo Ref.]]="Dentro",DATOS_[Conc.Sal.29]))))),
0)</f>
        <v>0</v>
      </c>
      <c r="AI89" s="93">
        <f t="array" ref="AI89">IFERROR(
AVERAGE((IF(DATOS_[[Sexo]:[Sexo]]=$B89,IF(DATOS_[[AGRUP. CLAS. PROF.]:[AGRUP. CLAS. PROF.]]=$B87,IF(DATOS_[[Check Periodo Ref.]:[Check Periodo Ref.]]="Dentro",DATOS_[Conc.Sal.30]))))),
0)</f>
        <v>0</v>
      </c>
      <c r="AJ89" s="94">
        <f t="array" ref="AJ89">IFERROR(
AVERAGE(IF(DATOS_[Sexo]=$B89,IF(DATOS_[AGRUP. CLAS. PROF.]=$B87,IF(DATOS_[Check Periodo Ref.]="Dentro",DATOS_[Tot COMPL.SAL Ef],FALSE)))),
0)</f>
        <v>0</v>
      </c>
      <c r="AK89" s="96">
        <f t="array" ref="AK89">IFERROR(
AVERAGE(IF(DATOS_[Sexo]=$B89,IF(DATOS_[AGRUP. CLAS. PROF.]=$B87,IF(DATOS_[Check Periodo Ref.]="Dentro",DATOS_[TOTAL SALARIO Ef],FALSE)))),
0)</f>
        <v>0</v>
      </c>
      <c r="AL89" s="95">
        <f t="array" ref="AL89">IFERROR(
AVERAGE((IF(DATOS_[[Sexo]:[Sexo]]=$B89,IF(DATOS_[[AGRUP. CLAS. PROF.]:[AGRUP. CLAS. PROF.]]=$B87,IF(DATOS_[[Check Periodo Ref.]:[Check Periodo Ref.]]="Dentro",DATOS_[C.Extra.01]))))),
0)</f>
        <v>0</v>
      </c>
      <c r="AM89" s="95">
        <f t="array" ref="AM89">IFERROR(
AVERAGE((IF(DATOS_[[Sexo]:[Sexo]]=$B89,IF(DATOS_[[AGRUP. CLAS. PROF.]:[AGRUP. CLAS. PROF.]]=$B87,IF(DATOS_[[Check Periodo Ref.]:[Check Periodo Ref.]]="Dentro",DATOS_[C.Extra.02]))))),
0)</f>
        <v>0</v>
      </c>
      <c r="AN89" s="95">
        <f t="array" ref="AN89">IFERROR(
AVERAGE((IF(DATOS_[[Sexo]:[Sexo]]=$B89,IF(DATOS_[[AGRUP. CLAS. PROF.]:[AGRUP. CLAS. PROF.]]=$B87,IF(DATOS_[[Check Periodo Ref.]:[Check Periodo Ref.]]="Dentro",DATOS_[C.Extra.03]))))),
0)</f>
        <v>0</v>
      </c>
      <c r="AO89" s="95">
        <f t="array" ref="AO89">IFERROR(
AVERAGE((IF(DATOS_[[Sexo]:[Sexo]]=$B89,IF(DATOS_[[AGRUP. CLAS. PROF.]:[AGRUP. CLAS. PROF.]]=$B87,IF(DATOS_[[Check Periodo Ref.]:[Check Periodo Ref.]]="Dentro",DATOS_[C.Extra.04]))))),
0)</f>
        <v>0</v>
      </c>
      <c r="AP89" s="95">
        <f t="array" ref="AP89">IFERROR(
AVERAGE((IF(DATOS_[[Sexo]:[Sexo]]=$B89,IF(DATOS_[[AGRUP. CLAS. PROF.]:[AGRUP. CLAS. PROF.]]=$B87,IF(DATOS_[[Check Periodo Ref.]:[Check Periodo Ref.]]="Dentro",DATOS_[C.Extra.05]))))),
0)</f>
        <v>0</v>
      </c>
      <c r="AQ89" s="97">
        <f t="array" ref="AQ89">IFERROR(
AVERAGE(IF(DATOS_[Sexo]=$B89,IF(DATOS_[AGRUP. CLAS. PROF.]=$B87,IF(DATOS_[Check Periodo Ref.]="Dentro",DATOS_[Tot Extrasalarial Ef],FALSE)))),
0)</f>
        <v>0</v>
      </c>
      <c r="AR89" s="98">
        <f t="array" ref="AR89">IFERROR(
AVERAGE(IF(DATOS_[Sexo]=$B89,IF(DATOS_[AGRUP. CLAS. PROF.]=$B87,IF(DATOS_[Check Periodo Ref.]="Dentro",DATOS_[TOTAL Retrib Ef],FALSE)))),
0)</f>
        <v>0</v>
      </c>
    </row>
    <row r="90" spans="1:44" ht="17.25" hidden="1" thickBot="1" x14ac:dyDescent="0.35">
      <c r="A90" s="309" t="str">
        <f t="shared" ref="A90" si="103">+A91</f>
        <v>[ocultar]</v>
      </c>
      <c r="B90" s="51" t="s">
        <v>242</v>
      </c>
      <c r="C90" s="91"/>
      <c r="D90" s="52"/>
      <c r="E90" s="139" t="str">
        <f t="shared" ref="E90:AR90" si="104">IFERROR((E91-E92)/E91,"")</f>
        <v/>
      </c>
      <c r="F90" s="310" t="str">
        <f t="shared" si="104"/>
        <v/>
      </c>
      <c r="G90" s="180" t="str">
        <f t="shared" si="104"/>
        <v/>
      </c>
      <c r="H90" s="180" t="str">
        <f t="shared" si="104"/>
        <v/>
      </c>
      <c r="I90" s="180" t="str">
        <f t="shared" si="104"/>
        <v/>
      </c>
      <c r="J90" s="181" t="str">
        <f t="shared" si="104"/>
        <v/>
      </c>
      <c r="K90" s="182" t="str">
        <f t="shared" si="104"/>
        <v/>
      </c>
      <c r="L90" s="182" t="str">
        <f t="shared" si="104"/>
        <v/>
      </c>
      <c r="M90" s="182" t="str">
        <f t="shared" si="104"/>
        <v/>
      </c>
      <c r="N90" s="182" t="str">
        <f t="shared" si="104"/>
        <v/>
      </c>
      <c r="O90" s="182" t="str">
        <f t="shared" si="104"/>
        <v/>
      </c>
      <c r="P90" s="182" t="str">
        <f t="shared" si="104"/>
        <v/>
      </c>
      <c r="Q90" s="182" t="str">
        <f t="shared" si="104"/>
        <v/>
      </c>
      <c r="R90" s="182" t="str">
        <f t="shared" si="104"/>
        <v/>
      </c>
      <c r="S90" s="182" t="str">
        <f t="shared" si="104"/>
        <v/>
      </c>
      <c r="T90" s="182" t="str">
        <f t="shared" si="104"/>
        <v/>
      </c>
      <c r="U90" s="182" t="str">
        <f t="shared" si="104"/>
        <v/>
      </c>
      <c r="V90" s="181" t="str">
        <f t="shared" si="104"/>
        <v/>
      </c>
      <c r="W90" s="181" t="str">
        <f t="shared" si="104"/>
        <v/>
      </c>
      <c r="X90" s="181" t="str">
        <f t="shared" si="104"/>
        <v/>
      </c>
      <c r="Y90" s="181" t="str">
        <f t="shared" si="104"/>
        <v/>
      </c>
      <c r="Z90" s="181" t="str">
        <f t="shared" si="104"/>
        <v/>
      </c>
      <c r="AA90" s="181" t="str">
        <f t="shared" si="104"/>
        <v/>
      </c>
      <c r="AB90" s="181" t="str">
        <f t="shared" si="104"/>
        <v/>
      </c>
      <c r="AC90" s="181" t="str">
        <f t="shared" si="104"/>
        <v/>
      </c>
      <c r="AD90" s="181" t="str">
        <f t="shared" si="104"/>
        <v/>
      </c>
      <c r="AE90" s="181" t="str">
        <f t="shared" si="104"/>
        <v/>
      </c>
      <c r="AF90" s="181" t="str">
        <f t="shared" si="104"/>
        <v/>
      </c>
      <c r="AG90" s="181" t="str">
        <f t="shared" si="104"/>
        <v/>
      </c>
      <c r="AH90" s="181" t="str">
        <f t="shared" si="104"/>
        <v/>
      </c>
      <c r="AI90" s="181" t="str">
        <f t="shared" si="104"/>
        <v/>
      </c>
      <c r="AJ90" s="140" t="str">
        <f t="shared" si="104"/>
        <v/>
      </c>
      <c r="AK90" s="143" t="str">
        <f t="shared" si="104"/>
        <v/>
      </c>
      <c r="AL90" s="184" t="str">
        <f t="shared" si="104"/>
        <v/>
      </c>
      <c r="AM90" s="184" t="str">
        <f t="shared" si="104"/>
        <v/>
      </c>
      <c r="AN90" s="184" t="str">
        <f t="shared" si="104"/>
        <v/>
      </c>
      <c r="AO90" s="184" t="str">
        <f t="shared" si="104"/>
        <v/>
      </c>
      <c r="AP90" s="184" t="str">
        <f t="shared" si="104"/>
        <v/>
      </c>
      <c r="AQ90" s="141" t="str">
        <f t="shared" si="104"/>
        <v/>
      </c>
      <c r="AR90" s="142" t="str">
        <f t="shared" si="104"/>
        <v/>
      </c>
    </row>
    <row r="91" spans="1:44" hidden="1" x14ac:dyDescent="0.3">
      <c r="A91" s="309" t="str">
        <f t="shared" ref="A91" si="105">+IF(C91+C92=0,"[ocultar]","")</f>
        <v>[ocultar]</v>
      </c>
      <c r="B91" s="46" t="s">
        <v>162</v>
      </c>
      <c r="C91" s="45">
        <f t="array" ref="C91">SUM(IF($B91=DATOS_[Sexo],
IF($B90=DATOS_[AGRUP. CLAS. PROF.],
IF("Dentro"=DATOS_[Check Periodo Ref.],
1/(COUNTIFS(DATOS_[Sexo],$B91,DATOS_[AGRUP. CLAS. PROF.],$B90,DATOS_[Check Periodo Ref.],"Dentro",DATOS_[id],DATOS_[id]))))))</f>
        <v>0</v>
      </c>
      <c r="D91" s="47">
        <f>COUNTIFS(DATOS_[AGRUP. CLAS. PROF.],$B90,DATOS_[Sexo],$B91,DATOS_[Check Periodo Ref.],"Dentro")</f>
        <v>0</v>
      </c>
      <c r="E91" s="92">
        <f t="array" ref="E91">IFERROR(
AVERAGE(IF(DATOS_[Sexo]=$B91,IF(DATOS_[AGRUP. CLAS. PROF.]=$B90,IF(DATOS_[Check Periodo Ref.]="Dentro",DATOS_[SALARIO BASE Ef],FALSE)))),
0)</f>
        <v>0</v>
      </c>
      <c r="F91" s="93">
        <f t="array" ref="F91">IFERROR(
AVERAGE((IF(DATOS_[[Sexo]:[Sexo]]=$B91,IF(DATOS_[[AGRUP. CLAS. PROF.]:[AGRUP. CLAS. PROF.]]=$B90,IF(DATOS_[[Check Periodo Ref.]:[Check Periodo Ref.]]="Dentro",DATOS_[Conc.Sal.01]))))),
0)</f>
        <v>0</v>
      </c>
      <c r="G91" s="93">
        <f t="array" ref="G91">IFERROR(
AVERAGE((IF(DATOS_[[Sexo]:[Sexo]]=$B91,IF(DATOS_[[AGRUP. CLAS. PROF.]:[AGRUP. CLAS. PROF.]]=$B90,IF(DATOS_[[Check Periodo Ref.]:[Check Periodo Ref.]]="Dentro",DATOS_[Conc.Sal.02]))))),
0)</f>
        <v>0</v>
      </c>
      <c r="H91" s="93">
        <f t="array" ref="H91">IFERROR(
AVERAGE((IF(DATOS_[[Sexo]:[Sexo]]=$B91,IF(DATOS_[[AGRUP. CLAS. PROF.]:[AGRUP. CLAS. PROF.]]=$B90,IF(DATOS_[[Check Periodo Ref.]:[Check Periodo Ref.]]="Dentro",DATOS_[Conc.Sal.03]))))),
0)</f>
        <v>0</v>
      </c>
      <c r="I91" s="93">
        <f t="array" ref="I91">IFERROR(
AVERAGE((IF(DATOS_[[Sexo]:[Sexo]]=$B91,IF(DATOS_[[AGRUP. CLAS. PROF.]:[AGRUP. CLAS. PROF.]]=$B90,IF(DATOS_[[Check Periodo Ref.]:[Check Periodo Ref.]]="Dentro",DATOS_[Conc.Sal.04]))))),
0)</f>
        <v>0</v>
      </c>
      <c r="J91" s="93">
        <f t="array" ref="J91">IFERROR(
AVERAGE((IF(DATOS_[[Sexo]:[Sexo]]=$B91,IF(DATOS_[[AGRUP. CLAS. PROF.]:[AGRUP. CLAS. PROF.]]=$B90,IF(DATOS_[[Check Periodo Ref.]:[Check Periodo Ref.]]="Dentro",DATOS_[Conc.Sal.05]))))),
0)</f>
        <v>0</v>
      </c>
      <c r="K91" s="93">
        <f t="array" ref="K91">IFERROR(
AVERAGE((IF(DATOS_[[Sexo]:[Sexo]]=$B91,IF(DATOS_[[AGRUP. CLAS. PROF.]:[AGRUP. CLAS. PROF.]]=$B90,IF(DATOS_[[Check Periodo Ref.]:[Check Periodo Ref.]]="Dentro",DATOS_[Conc.Sal.06]))))),
0)</f>
        <v>0</v>
      </c>
      <c r="L91" s="93">
        <f t="array" ref="L91">IFERROR(
AVERAGE((IF(DATOS_[[Sexo]:[Sexo]]=$B91,IF(DATOS_[[AGRUP. CLAS. PROF.]:[AGRUP. CLAS. PROF.]]=$B90,IF(DATOS_[[Check Periodo Ref.]:[Check Periodo Ref.]]="Dentro",DATOS_[Conc.Sal.07]))))),
0)</f>
        <v>0</v>
      </c>
      <c r="M91" s="93">
        <f t="array" ref="M91">IFERROR(
AVERAGE((IF(DATOS_[[Sexo]:[Sexo]]=$B91,IF(DATOS_[[AGRUP. CLAS. PROF.]:[AGRUP. CLAS. PROF.]]=$B90,IF(DATOS_[[Check Periodo Ref.]:[Check Periodo Ref.]]="Dentro",DATOS_[Conc.Sal.08]))))),
0)</f>
        <v>0</v>
      </c>
      <c r="N91" s="93">
        <f t="array" ref="N91">IFERROR(
AVERAGE((IF(DATOS_[[Sexo]:[Sexo]]=$B91,IF(DATOS_[[AGRUP. CLAS. PROF.]:[AGRUP. CLAS. PROF.]]=$B90,IF(DATOS_[[Check Periodo Ref.]:[Check Periodo Ref.]]="Dentro",DATOS_[Conc.Sal.09]))))),
0)</f>
        <v>0</v>
      </c>
      <c r="O91" s="93">
        <f t="array" ref="O91">IFERROR(
AVERAGE((IF(DATOS_[[Sexo]:[Sexo]]=$B91,IF(DATOS_[[AGRUP. CLAS. PROF.]:[AGRUP. CLAS. PROF.]]=$B90,IF(DATOS_[[Check Periodo Ref.]:[Check Periodo Ref.]]="Dentro",DATOS_[Conc.Sal.10]))))),
0)</f>
        <v>0</v>
      </c>
      <c r="P91" s="93">
        <f t="array" ref="P91">IFERROR(
AVERAGE((IF(DATOS_[[Sexo]:[Sexo]]=$B91,IF(DATOS_[[AGRUP. CLAS. PROF.]:[AGRUP. CLAS. PROF.]]=$B90,IF(DATOS_[[Check Periodo Ref.]:[Check Periodo Ref.]]="Dentro",DATOS_[Conc.Sal.11]))))),
0)</f>
        <v>0</v>
      </c>
      <c r="Q91" s="93">
        <f t="array" ref="Q91">IFERROR(
AVERAGE((IF(DATOS_[[Sexo]:[Sexo]]=$B91,IF(DATOS_[[AGRUP. CLAS. PROF.]:[AGRUP. CLAS. PROF.]]=$B90,IF(DATOS_[[Check Periodo Ref.]:[Check Periodo Ref.]]="Dentro",DATOS_[Conc.Sal.12]))))),
0)</f>
        <v>0</v>
      </c>
      <c r="R91" s="93">
        <f t="array" ref="R91">IFERROR(
AVERAGE((IF(DATOS_[[Sexo]:[Sexo]]=$B91,IF(DATOS_[[AGRUP. CLAS. PROF.]:[AGRUP. CLAS. PROF.]]=$B90,IF(DATOS_[[Check Periodo Ref.]:[Check Periodo Ref.]]="Dentro",DATOS_[Conc.Sal.13]))))),
0)</f>
        <v>0</v>
      </c>
      <c r="S91" s="93">
        <f t="array" ref="S91">IFERROR(
AVERAGE((IF(DATOS_[[Sexo]:[Sexo]]=$B91,IF(DATOS_[[AGRUP. CLAS. PROF.]:[AGRUP. CLAS. PROF.]]=$B90,IF(DATOS_[[Check Periodo Ref.]:[Check Periodo Ref.]]="Dentro",DATOS_[Conc.Sal.14]))))),
0)</f>
        <v>0</v>
      </c>
      <c r="T91" s="93">
        <f t="array" ref="T91">IFERROR(
AVERAGE((IF(DATOS_[[Sexo]:[Sexo]]=$B91,IF(DATOS_[[AGRUP. CLAS. PROF.]:[AGRUP. CLAS. PROF.]]=$B90,IF(DATOS_[[Check Periodo Ref.]:[Check Periodo Ref.]]="Dentro",DATOS_[Conc.Sal.15]))))),
0)</f>
        <v>0</v>
      </c>
      <c r="U91" s="93">
        <f t="array" ref="U91">IFERROR(
AVERAGE((IF(DATOS_[[Sexo]:[Sexo]]=$B91,IF(DATOS_[[AGRUP. CLAS. PROF.]:[AGRUP. CLAS. PROF.]]=$B90,IF(DATOS_[[Check Periodo Ref.]:[Check Periodo Ref.]]="Dentro",DATOS_[Conc.Sal.16]))))),
0)</f>
        <v>0</v>
      </c>
      <c r="V91" s="93">
        <f t="array" ref="V91">IFERROR(
AVERAGE((IF(DATOS_[[Sexo]:[Sexo]]=$B91,IF(DATOS_[[AGRUP. CLAS. PROF.]:[AGRUP. CLAS. PROF.]]=$B90,IF(DATOS_[[Check Periodo Ref.]:[Check Periodo Ref.]]="Dentro",DATOS_[Conc.Sal.17]))))),
0)</f>
        <v>0</v>
      </c>
      <c r="W91" s="93">
        <f t="array" ref="W91">IFERROR(
AVERAGE((IF(DATOS_[[Sexo]:[Sexo]]=$B91,IF(DATOS_[[AGRUP. CLAS. PROF.]:[AGRUP. CLAS. PROF.]]=$B90,IF(DATOS_[[Check Periodo Ref.]:[Check Periodo Ref.]]="Dentro",DATOS_[Conc.Sal.18]))))),
0)</f>
        <v>0</v>
      </c>
      <c r="X91" s="93">
        <f t="array" ref="X91">IFERROR(
AVERAGE((IF(DATOS_[[Sexo]:[Sexo]]=$B91,IF(DATOS_[[AGRUP. CLAS. PROF.]:[AGRUP. CLAS. PROF.]]=$B90,IF(DATOS_[[Check Periodo Ref.]:[Check Periodo Ref.]]="Dentro",DATOS_[Conc.Sal.19]))))),
0)</f>
        <v>0</v>
      </c>
      <c r="Y91" s="93">
        <f t="array" ref="Y91">IFERROR(
AVERAGE((IF(DATOS_[[Sexo]:[Sexo]]=$B91,IF(DATOS_[[AGRUP. CLAS. PROF.]:[AGRUP. CLAS. PROF.]]=$B90,IF(DATOS_[[Check Periodo Ref.]:[Check Periodo Ref.]]="Dentro",DATOS_[Conc.Sal.20]))))),
0)</f>
        <v>0</v>
      </c>
      <c r="Z91" s="93">
        <f t="array" ref="Z91">IFERROR(
AVERAGE((IF(DATOS_[[Sexo]:[Sexo]]=$B91,IF(DATOS_[[AGRUP. CLAS. PROF.]:[AGRUP. CLAS. PROF.]]=$B90,IF(DATOS_[[Check Periodo Ref.]:[Check Periodo Ref.]]="Dentro",DATOS_[Conc.Sal.21]))))),
0)</f>
        <v>0</v>
      </c>
      <c r="AA91" s="93">
        <f t="array" ref="AA91">IFERROR(
AVERAGE((IF(DATOS_[[Sexo]:[Sexo]]=$B91,IF(DATOS_[[AGRUP. CLAS. PROF.]:[AGRUP. CLAS. PROF.]]=$B90,IF(DATOS_[[Check Periodo Ref.]:[Check Periodo Ref.]]="Dentro",DATOS_[Conc.Sal.22]))))),
0)</f>
        <v>0</v>
      </c>
      <c r="AB91" s="93">
        <f t="array" ref="AB91">IFERROR(
AVERAGE((IF(DATOS_[[Sexo]:[Sexo]]=$B91,IF(DATOS_[[AGRUP. CLAS. PROF.]:[AGRUP. CLAS. PROF.]]=$B90,IF(DATOS_[[Check Periodo Ref.]:[Check Periodo Ref.]]="Dentro",DATOS_[Conc.Sal.23]))))),
0)</f>
        <v>0</v>
      </c>
      <c r="AC91" s="93">
        <f t="array" ref="AC91">IFERROR(
AVERAGE((IF(DATOS_[[Sexo]:[Sexo]]=$B91,IF(DATOS_[[AGRUP. CLAS. PROF.]:[AGRUP. CLAS. PROF.]]=$B90,IF(DATOS_[[Check Periodo Ref.]:[Check Periodo Ref.]]="Dentro",DATOS_[Conc.Sal.24]))))),
0)</f>
        <v>0</v>
      </c>
      <c r="AD91" s="93">
        <f t="array" ref="AD91">IFERROR(
AVERAGE((IF(DATOS_[[Sexo]:[Sexo]]=$B91,IF(DATOS_[[AGRUP. CLAS. PROF.]:[AGRUP. CLAS. PROF.]]=$B90,IF(DATOS_[[Check Periodo Ref.]:[Check Periodo Ref.]]="Dentro",DATOS_[Conc.Sal.25]))))),
0)</f>
        <v>0</v>
      </c>
      <c r="AE91" s="93">
        <f t="array" ref="AE91">IFERROR(
AVERAGE((IF(DATOS_[[Sexo]:[Sexo]]=$B91,IF(DATOS_[[AGRUP. CLAS. PROF.]:[AGRUP. CLAS. PROF.]]=$B90,IF(DATOS_[[Check Periodo Ref.]:[Check Periodo Ref.]]="Dentro",DATOS_[Conc.Sal.26]))))),
0)</f>
        <v>0</v>
      </c>
      <c r="AF91" s="93">
        <f t="array" ref="AF91">IFERROR(
AVERAGE((IF(DATOS_[[Sexo]:[Sexo]]=$B91,IF(DATOS_[[AGRUP. CLAS. PROF.]:[AGRUP. CLAS. PROF.]]=$B90,IF(DATOS_[[Check Periodo Ref.]:[Check Periodo Ref.]]="Dentro",DATOS_[Conc.Sal.27]))))),
0)</f>
        <v>0</v>
      </c>
      <c r="AG91" s="93">
        <f t="array" ref="AG91">IFERROR(
AVERAGE((IF(DATOS_[[Sexo]:[Sexo]]=$B91,IF(DATOS_[[AGRUP. CLAS. PROF.]:[AGRUP. CLAS. PROF.]]=$B90,IF(DATOS_[[Check Periodo Ref.]:[Check Periodo Ref.]]="Dentro",DATOS_[Conc.Sal.28]))))),
0)</f>
        <v>0</v>
      </c>
      <c r="AH91" s="93">
        <f t="array" ref="AH91">IFERROR(
AVERAGE((IF(DATOS_[[Sexo]:[Sexo]]=$B91,IF(DATOS_[[AGRUP. CLAS. PROF.]:[AGRUP. CLAS. PROF.]]=$B90,IF(DATOS_[[Check Periodo Ref.]:[Check Periodo Ref.]]="Dentro",DATOS_[Conc.Sal.29]))))),
0)</f>
        <v>0</v>
      </c>
      <c r="AI91" s="93">
        <f t="array" ref="AI91">IFERROR(
AVERAGE((IF(DATOS_[[Sexo]:[Sexo]]=$B91,IF(DATOS_[[AGRUP. CLAS. PROF.]:[AGRUP. CLAS. PROF.]]=$B90,IF(DATOS_[[Check Periodo Ref.]:[Check Periodo Ref.]]="Dentro",DATOS_[Conc.Sal.30]))))),
0)</f>
        <v>0</v>
      </c>
      <c r="AJ91" s="94">
        <f t="array" ref="AJ91">IFERROR(
AVERAGE(IF(DATOS_[Sexo]=$B91,IF(DATOS_[AGRUP. CLAS. PROF.]=$B90,IF(DATOS_[Check Periodo Ref.]="Dentro",DATOS_[Tot COMPL.SAL Ef],FALSE)))),
0)</f>
        <v>0</v>
      </c>
      <c r="AK91" s="96">
        <f t="array" ref="AK91">IFERROR(
AVERAGE(IF(DATOS_[Sexo]=$B91,IF(DATOS_[AGRUP. CLAS. PROF.]=$B90,IF(DATOS_[Check Periodo Ref.]="Dentro",DATOS_[TOTAL SALARIO Ef],FALSE)))),
0)</f>
        <v>0</v>
      </c>
      <c r="AL91" s="95">
        <f t="array" ref="AL91">IFERROR(
AVERAGE((IF(DATOS_[[Sexo]:[Sexo]]=$B91,IF(DATOS_[[AGRUP. CLAS. PROF.]:[AGRUP. CLAS. PROF.]]=$B90,IF(DATOS_[[Check Periodo Ref.]:[Check Periodo Ref.]]="Dentro",DATOS_[C.Extra.01]))))),
0)</f>
        <v>0</v>
      </c>
      <c r="AM91" s="95">
        <f t="array" ref="AM91">IFERROR(
AVERAGE((IF(DATOS_[[Sexo]:[Sexo]]=$B91,IF(DATOS_[[AGRUP. CLAS. PROF.]:[AGRUP. CLAS. PROF.]]=$B90,IF(DATOS_[[Check Periodo Ref.]:[Check Periodo Ref.]]="Dentro",DATOS_[C.Extra.02]))))),
0)</f>
        <v>0</v>
      </c>
      <c r="AN91" s="95">
        <f t="array" ref="AN91">IFERROR(
AVERAGE((IF(DATOS_[[Sexo]:[Sexo]]=$B91,IF(DATOS_[[AGRUP. CLAS. PROF.]:[AGRUP. CLAS. PROF.]]=$B90,IF(DATOS_[[Check Periodo Ref.]:[Check Periodo Ref.]]="Dentro",DATOS_[C.Extra.03]))))),
0)</f>
        <v>0</v>
      </c>
      <c r="AO91" s="95">
        <f t="array" ref="AO91">IFERROR(
AVERAGE((IF(DATOS_[[Sexo]:[Sexo]]=$B91,IF(DATOS_[[AGRUP. CLAS. PROF.]:[AGRUP. CLAS. PROF.]]=$B90,IF(DATOS_[[Check Periodo Ref.]:[Check Periodo Ref.]]="Dentro",DATOS_[C.Extra.04]))))),
0)</f>
        <v>0</v>
      </c>
      <c r="AP91" s="95">
        <f t="array" ref="AP91">IFERROR(
AVERAGE((IF(DATOS_[[Sexo]:[Sexo]]=$B91,IF(DATOS_[[AGRUP. CLAS. PROF.]:[AGRUP. CLAS. PROF.]]=$B90,IF(DATOS_[[Check Periodo Ref.]:[Check Periodo Ref.]]="Dentro",DATOS_[C.Extra.05]))))),
0)</f>
        <v>0</v>
      </c>
      <c r="AQ91" s="97">
        <f t="array" ref="AQ91">IFERROR(
AVERAGE(IF(DATOS_[Sexo]=$B91,IF(DATOS_[AGRUP. CLAS. PROF.]=$B90,IF(DATOS_[Check Periodo Ref.]="Dentro",DATOS_[Tot Extrasalarial Ef],FALSE)))),
0)</f>
        <v>0</v>
      </c>
      <c r="AR91" s="98">
        <f t="array" ref="AR91">IFERROR(
AVERAGE(IF(DATOS_[Sexo]=$B91,IF(DATOS_[AGRUP. CLAS. PROF.]=$B90,IF(DATOS_[Check Periodo Ref.]="Dentro",DATOS_[TOTAL Retrib Ef],FALSE)))),
0)</f>
        <v>0</v>
      </c>
    </row>
    <row r="92" spans="1:44" hidden="1" x14ac:dyDescent="0.3">
      <c r="A92" s="309" t="str">
        <f t="shared" ref="A92" si="106">+A91</f>
        <v>[ocultar]</v>
      </c>
      <c r="B92" s="46" t="s">
        <v>163</v>
      </c>
      <c r="C92" s="45">
        <f t="array" ref="C92">SUM(IF($B92=DATOS_[Sexo],
IF($B90=DATOS_[AGRUP. CLAS. PROF.],
IF("Dentro"=DATOS_[Check Periodo Ref.],
1/(COUNTIFS(DATOS_[Sexo],$B92,DATOS_[AGRUP. CLAS. PROF.],$B90,DATOS_[Check Periodo Ref.],"Dentro",DATOS_[id],DATOS_[id]))))))</f>
        <v>0</v>
      </c>
      <c r="D92" s="47">
        <f>COUNTIFS(DATOS_[AGRUP. CLAS. PROF.],$B90,DATOS_[Sexo],$B92,DATOS_[Check Periodo Ref.],"Dentro")</f>
        <v>0</v>
      </c>
      <c r="E92" s="92">
        <f t="array" ref="E92">IFERROR(
AVERAGE(IF(DATOS_[Sexo]=$B92,IF(DATOS_[AGRUP. CLAS. PROF.]=$B90,IF(DATOS_[Check Periodo Ref.]="Dentro",DATOS_[SALARIO BASE Ef],FALSE)))),
0)</f>
        <v>0</v>
      </c>
      <c r="F92" s="93">
        <f t="array" ref="F92">IFERROR(
AVERAGE((IF(DATOS_[[Sexo]:[Sexo]]=$B92,IF(DATOS_[[AGRUP. CLAS. PROF.]:[AGRUP. CLAS. PROF.]]=$B90,IF(DATOS_[[Check Periodo Ref.]:[Check Periodo Ref.]]="Dentro",DATOS_[Conc.Sal.01]))))),
0)</f>
        <v>0</v>
      </c>
      <c r="G92" s="93">
        <f t="array" ref="G92">IFERROR(
AVERAGE((IF(DATOS_[[Sexo]:[Sexo]]=$B92,IF(DATOS_[[AGRUP. CLAS. PROF.]:[AGRUP. CLAS. PROF.]]=$B90,IF(DATOS_[[Check Periodo Ref.]:[Check Periodo Ref.]]="Dentro",DATOS_[Conc.Sal.02]))))),
0)</f>
        <v>0</v>
      </c>
      <c r="H92" s="93">
        <f t="array" ref="H92">IFERROR(
AVERAGE((IF(DATOS_[[Sexo]:[Sexo]]=$B92,IF(DATOS_[[AGRUP. CLAS. PROF.]:[AGRUP. CLAS. PROF.]]=$B90,IF(DATOS_[[Check Periodo Ref.]:[Check Periodo Ref.]]="Dentro",DATOS_[Conc.Sal.03]))))),
0)</f>
        <v>0</v>
      </c>
      <c r="I92" s="93">
        <f t="array" ref="I92">IFERROR(
AVERAGE((IF(DATOS_[[Sexo]:[Sexo]]=$B92,IF(DATOS_[[AGRUP. CLAS. PROF.]:[AGRUP. CLAS. PROF.]]=$B90,IF(DATOS_[[Check Periodo Ref.]:[Check Periodo Ref.]]="Dentro",DATOS_[Conc.Sal.04]))))),
0)</f>
        <v>0</v>
      </c>
      <c r="J92" s="93">
        <f t="array" ref="J92">IFERROR(
AVERAGE((IF(DATOS_[[Sexo]:[Sexo]]=$B92,IF(DATOS_[[AGRUP. CLAS. PROF.]:[AGRUP. CLAS. PROF.]]=$B90,IF(DATOS_[[Check Periodo Ref.]:[Check Periodo Ref.]]="Dentro",DATOS_[Conc.Sal.05]))))),
0)</f>
        <v>0</v>
      </c>
      <c r="K92" s="93">
        <f t="array" ref="K92">IFERROR(
AVERAGE((IF(DATOS_[[Sexo]:[Sexo]]=$B92,IF(DATOS_[[AGRUP. CLAS. PROF.]:[AGRUP. CLAS. PROF.]]=$B90,IF(DATOS_[[Check Periodo Ref.]:[Check Periodo Ref.]]="Dentro",DATOS_[Conc.Sal.06]))))),
0)</f>
        <v>0</v>
      </c>
      <c r="L92" s="93">
        <f t="array" ref="L92">IFERROR(
AVERAGE((IF(DATOS_[[Sexo]:[Sexo]]=$B92,IF(DATOS_[[AGRUP. CLAS. PROF.]:[AGRUP. CLAS. PROF.]]=$B90,IF(DATOS_[[Check Periodo Ref.]:[Check Periodo Ref.]]="Dentro",DATOS_[Conc.Sal.07]))))),
0)</f>
        <v>0</v>
      </c>
      <c r="M92" s="93">
        <f t="array" ref="M92">IFERROR(
AVERAGE((IF(DATOS_[[Sexo]:[Sexo]]=$B92,IF(DATOS_[[AGRUP. CLAS. PROF.]:[AGRUP. CLAS. PROF.]]=$B90,IF(DATOS_[[Check Periodo Ref.]:[Check Periodo Ref.]]="Dentro",DATOS_[Conc.Sal.08]))))),
0)</f>
        <v>0</v>
      </c>
      <c r="N92" s="93">
        <f t="array" ref="N92">IFERROR(
AVERAGE((IF(DATOS_[[Sexo]:[Sexo]]=$B92,IF(DATOS_[[AGRUP. CLAS. PROF.]:[AGRUP. CLAS. PROF.]]=$B90,IF(DATOS_[[Check Periodo Ref.]:[Check Periodo Ref.]]="Dentro",DATOS_[Conc.Sal.09]))))),
0)</f>
        <v>0</v>
      </c>
      <c r="O92" s="93">
        <f t="array" ref="O92">IFERROR(
AVERAGE((IF(DATOS_[[Sexo]:[Sexo]]=$B92,IF(DATOS_[[AGRUP. CLAS. PROF.]:[AGRUP. CLAS. PROF.]]=$B90,IF(DATOS_[[Check Periodo Ref.]:[Check Periodo Ref.]]="Dentro",DATOS_[Conc.Sal.10]))))),
0)</f>
        <v>0</v>
      </c>
      <c r="P92" s="93">
        <f t="array" ref="P92">IFERROR(
AVERAGE((IF(DATOS_[[Sexo]:[Sexo]]=$B92,IF(DATOS_[[AGRUP. CLAS. PROF.]:[AGRUP. CLAS. PROF.]]=$B90,IF(DATOS_[[Check Periodo Ref.]:[Check Periodo Ref.]]="Dentro",DATOS_[Conc.Sal.11]))))),
0)</f>
        <v>0</v>
      </c>
      <c r="Q92" s="93">
        <f t="array" ref="Q92">IFERROR(
AVERAGE((IF(DATOS_[[Sexo]:[Sexo]]=$B92,IF(DATOS_[[AGRUP. CLAS. PROF.]:[AGRUP. CLAS. PROF.]]=$B90,IF(DATOS_[[Check Periodo Ref.]:[Check Periodo Ref.]]="Dentro",DATOS_[Conc.Sal.12]))))),
0)</f>
        <v>0</v>
      </c>
      <c r="R92" s="93">
        <f t="array" ref="R92">IFERROR(
AVERAGE((IF(DATOS_[[Sexo]:[Sexo]]=$B92,IF(DATOS_[[AGRUP. CLAS. PROF.]:[AGRUP. CLAS. PROF.]]=$B90,IF(DATOS_[[Check Periodo Ref.]:[Check Periodo Ref.]]="Dentro",DATOS_[Conc.Sal.13]))))),
0)</f>
        <v>0</v>
      </c>
      <c r="S92" s="93">
        <f t="array" ref="S92">IFERROR(
AVERAGE((IF(DATOS_[[Sexo]:[Sexo]]=$B92,IF(DATOS_[[AGRUP. CLAS. PROF.]:[AGRUP. CLAS. PROF.]]=$B90,IF(DATOS_[[Check Periodo Ref.]:[Check Periodo Ref.]]="Dentro",DATOS_[Conc.Sal.14]))))),
0)</f>
        <v>0</v>
      </c>
      <c r="T92" s="93">
        <f t="array" ref="T92">IFERROR(
AVERAGE((IF(DATOS_[[Sexo]:[Sexo]]=$B92,IF(DATOS_[[AGRUP. CLAS. PROF.]:[AGRUP. CLAS. PROF.]]=$B90,IF(DATOS_[[Check Periodo Ref.]:[Check Periodo Ref.]]="Dentro",DATOS_[Conc.Sal.15]))))),
0)</f>
        <v>0</v>
      </c>
      <c r="U92" s="93">
        <f t="array" ref="U92">IFERROR(
AVERAGE((IF(DATOS_[[Sexo]:[Sexo]]=$B92,IF(DATOS_[[AGRUP. CLAS. PROF.]:[AGRUP. CLAS. PROF.]]=$B90,IF(DATOS_[[Check Periodo Ref.]:[Check Periodo Ref.]]="Dentro",DATOS_[Conc.Sal.16]))))),
0)</f>
        <v>0</v>
      </c>
      <c r="V92" s="93">
        <f t="array" ref="V92">IFERROR(
AVERAGE((IF(DATOS_[[Sexo]:[Sexo]]=$B92,IF(DATOS_[[AGRUP. CLAS. PROF.]:[AGRUP. CLAS. PROF.]]=$B90,IF(DATOS_[[Check Periodo Ref.]:[Check Periodo Ref.]]="Dentro",DATOS_[Conc.Sal.17]))))),
0)</f>
        <v>0</v>
      </c>
      <c r="W92" s="93">
        <f t="array" ref="W92">IFERROR(
AVERAGE((IF(DATOS_[[Sexo]:[Sexo]]=$B92,IF(DATOS_[[AGRUP. CLAS. PROF.]:[AGRUP. CLAS. PROF.]]=$B90,IF(DATOS_[[Check Periodo Ref.]:[Check Periodo Ref.]]="Dentro",DATOS_[Conc.Sal.18]))))),
0)</f>
        <v>0</v>
      </c>
      <c r="X92" s="93">
        <f t="array" ref="X92">IFERROR(
AVERAGE((IF(DATOS_[[Sexo]:[Sexo]]=$B92,IF(DATOS_[[AGRUP. CLAS. PROF.]:[AGRUP. CLAS. PROF.]]=$B90,IF(DATOS_[[Check Periodo Ref.]:[Check Periodo Ref.]]="Dentro",DATOS_[Conc.Sal.19]))))),
0)</f>
        <v>0</v>
      </c>
      <c r="Y92" s="93">
        <f t="array" ref="Y92">IFERROR(
AVERAGE((IF(DATOS_[[Sexo]:[Sexo]]=$B92,IF(DATOS_[[AGRUP. CLAS. PROF.]:[AGRUP. CLAS. PROF.]]=$B90,IF(DATOS_[[Check Periodo Ref.]:[Check Periodo Ref.]]="Dentro",DATOS_[Conc.Sal.20]))))),
0)</f>
        <v>0</v>
      </c>
      <c r="Z92" s="93">
        <f t="array" ref="Z92">IFERROR(
AVERAGE((IF(DATOS_[[Sexo]:[Sexo]]=$B92,IF(DATOS_[[AGRUP. CLAS. PROF.]:[AGRUP. CLAS. PROF.]]=$B90,IF(DATOS_[[Check Periodo Ref.]:[Check Periodo Ref.]]="Dentro",DATOS_[Conc.Sal.21]))))),
0)</f>
        <v>0</v>
      </c>
      <c r="AA92" s="93">
        <f t="array" ref="AA92">IFERROR(
AVERAGE((IF(DATOS_[[Sexo]:[Sexo]]=$B92,IF(DATOS_[[AGRUP. CLAS. PROF.]:[AGRUP. CLAS. PROF.]]=$B90,IF(DATOS_[[Check Periodo Ref.]:[Check Periodo Ref.]]="Dentro",DATOS_[Conc.Sal.22]))))),
0)</f>
        <v>0</v>
      </c>
      <c r="AB92" s="93">
        <f t="array" ref="AB92">IFERROR(
AVERAGE((IF(DATOS_[[Sexo]:[Sexo]]=$B92,IF(DATOS_[[AGRUP. CLAS. PROF.]:[AGRUP. CLAS. PROF.]]=$B90,IF(DATOS_[[Check Periodo Ref.]:[Check Periodo Ref.]]="Dentro",DATOS_[Conc.Sal.23]))))),
0)</f>
        <v>0</v>
      </c>
      <c r="AC92" s="93">
        <f t="array" ref="AC92">IFERROR(
AVERAGE((IF(DATOS_[[Sexo]:[Sexo]]=$B92,IF(DATOS_[[AGRUP. CLAS. PROF.]:[AGRUP. CLAS. PROF.]]=$B90,IF(DATOS_[[Check Periodo Ref.]:[Check Periodo Ref.]]="Dentro",DATOS_[Conc.Sal.24]))))),
0)</f>
        <v>0</v>
      </c>
      <c r="AD92" s="93">
        <f t="array" ref="AD92">IFERROR(
AVERAGE((IF(DATOS_[[Sexo]:[Sexo]]=$B92,IF(DATOS_[[AGRUP. CLAS. PROF.]:[AGRUP. CLAS. PROF.]]=$B90,IF(DATOS_[[Check Periodo Ref.]:[Check Periodo Ref.]]="Dentro",DATOS_[Conc.Sal.25]))))),
0)</f>
        <v>0</v>
      </c>
      <c r="AE92" s="93">
        <f t="array" ref="AE92">IFERROR(
AVERAGE((IF(DATOS_[[Sexo]:[Sexo]]=$B92,IF(DATOS_[[AGRUP. CLAS. PROF.]:[AGRUP. CLAS. PROF.]]=$B90,IF(DATOS_[[Check Periodo Ref.]:[Check Periodo Ref.]]="Dentro",DATOS_[Conc.Sal.26]))))),
0)</f>
        <v>0</v>
      </c>
      <c r="AF92" s="93">
        <f t="array" ref="AF92">IFERROR(
AVERAGE((IF(DATOS_[[Sexo]:[Sexo]]=$B92,IF(DATOS_[[AGRUP. CLAS. PROF.]:[AGRUP. CLAS. PROF.]]=$B90,IF(DATOS_[[Check Periodo Ref.]:[Check Periodo Ref.]]="Dentro",DATOS_[Conc.Sal.27]))))),
0)</f>
        <v>0</v>
      </c>
      <c r="AG92" s="93">
        <f t="array" ref="AG92">IFERROR(
AVERAGE((IF(DATOS_[[Sexo]:[Sexo]]=$B92,IF(DATOS_[[AGRUP. CLAS. PROF.]:[AGRUP. CLAS. PROF.]]=$B90,IF(DATOS_[[Check Periodo Ref.]:[Check Periodo Ref.]]="Dentro",DATOS_[Conc.Sal.28]))))),
0)</f>
        <v>0</v>
      </c>
      <c r="AH92" s="93">
        <f t="array" ref="AH92">IFERROR(
AVERAGE((IF(DATOS_[[Sexo]:[Sexo]]=$B92,IF(DATOS_[[AGRUP. CLAS. PROF.]:[AGRUP. CLAS. PROF.]]=$B90,IF(DATOS_[[Check Periodo Ref.]:[Check Periodo Ref.]]="Dentro",DATOS_[Conc.Sal.29]))))),
0)</f>
        <v>0</v>
      </c>
      <c r="AI92" s="93">
        <f t="array" ref="AI92">IFERROR(
AVERAGE((IF(DATOS_[[Sexo]:[Sexo]]=$B92,IF(DATOS_[[AGRUP. CLAS. PROF.]:[AGRUP. CLAS. PROF.]]=$B90,IF(DATOS_[[Check Periodo Ref.]:[Check Periodo Ref.]]="Dentro",DATOS_[Conc.Sal.30]))))),
0)</f>
        <v>0</v>
      </c>
      <c r="AJ92" s="94">
        <f t="array" ref="AJ92">IFERROR(
AVERAGE(IF(DATOS_[Sexo]=$B92,IF(DATOS_[AGRUP. CLAS. PROF.]=$B90,IF(DATOS_[Check Periodo Ref.]="Dentro",DATOS_[Tot COMPL.SAL Ef],FALSE)))),
0)</f>
        <v>0</v>
      </c>
      <c r="AK92" s="96">
        <f t="array" ref="AK92">IFERROR(
AVERAGE(IF(DATOS_[Sexo]=$B92,IF(DATOS_[AGRUP. CLAS. PROF.]=$B90,IF(DATOS_[Check Periodo Ref.]="Dentro",DATOS_[TOTAL SALARIO Ef],FALSE)))),
0)</f>
        <v>0</v>
      </c>
      <c r="AL92" s="95">
        <f t="array" ref="AL92">IFERROR(
AVERAGE((IF(DATOS_[[Sexo]:[Sexo]]=$B92,IF(DATOS_[[AGRUP. CLAS. PROF.]:[AGRUP. CLAS. PROF.]]=$B90,IF(DATOS_[[Check Periodo Ref.]:[Check Periodo Ref.]]="Dentro",DATOS_[C.Extra.01]))))),
0)</f>
        <v>0</v>
      </c>
      <c r="AM92" s="95">
        <f t="array" ref="AM92">IFERROR(
AVERAGE((IF(DATOS_[[Sexo]:[Sexo]]=$B92,IF(DATOS_[[AGRUP. CLAS. PROF.]:[AGRUP. CLAS. PROF.]]=$B90,IF(DATOS_[[Check Periodo Ref.]:[Check Periodo Ref.]]="Dentro",DATOS_[C.Extra.02]))))),
0)</f>
        <v>0</v>
      </c>
      <c r="AN92" s="95">
        <f t="array" ref="AN92">IFERROR(
AVERAGE((IF(DATOS_[[Sexo]:[Sexo]]=$B92,IF(DATOS_[[AGRUP. CLAS. PROF.]:[AGRUP. CLAS. PROF.]]=$B90,IF(DATOS_[[Check Periodo Ref.]:[Check Periodo Ref.]]="Dentro",DATOS_[C.Extra.03]))))),
0)</f>
        <v>0</v>
      </c>
      <c r="AO92" s="95">
        <f t="array" ref="AO92">IFERROR(
AVERAGE((IF(DATOS_[[Sexo]:[Sexo]]=$B92,IF(DATOS_[[AGRUP. CLAS. PROF.]:[AGRUP. CLAS. PROF.]]=$B90,IF(DATOS_[[Check Periodo Ref.]:[Check Periodo Ref.]]="Dentro",DATOS_[C.Extra.04]))))),
0)</f>
        <v>0</v>
      </c>
      <c r="AP92" s="95">
        <f t="array" ref="AP92">IFERROR(
AVERAGE((IF(DATOS_[[Sexo]:[Sexo]]=$B92,IF(DATOS_[[AGRUP. CLAS. PROF.]:[AGRUP. CLAS. PROF.]]=$B90,IF(DATOS_[[Check Periodo Ref.]:[Check Periodo Ref.]]="Dentro",DATOS_[C.Extra.05]))))),
0)</f>
        <v>0</v>
      </c>
      <c r="AQ92" s="97">
        <f t="array" ref="AQ92">IFERROR(
AVERAGE(IF(DATOS_[Sexo]=$B92,IF(DATOS_[AGRUP. CLAS. PROF.]=$B90,IF(DATOS_[Check Periodo Ref.]="Dentro",DATOS_[Tot Extrasalarial Ef],FALSE)))),
0)</f>
        <v>0</v>
      </c>
      <c r="AR92" s="98">
        <f t="array" ref="AR92">IFERROR(
AVERAGE(IF(DATOS_[Sexo]=$B92,IF(DATOS_[AGRUP. CLAS. PROF.]=$B90,IF(DATOS_[Check Periodo Ref.]="Dentro",DATOS_[TOTAL Retrib Ef],FALSE)))),
0)</f>
        <v>0</v>
      </c>
    </row>
    <row r="93" spans="1:44" ht="17.25" hidden="1" thickBot="1" x14ac:dyDescent="0.35">
      <c r="A93" s="309" t="str">
        <f t="shared" ref="A93" si="107">+A94</f>
        <v>[ocultar]</v>
      </c>
      <c r="B93" s="51" t="s">
        <v>243</v>
      </c>
      <c r="C93" s="91"/>
      <c r="D93" s="52"/>
      <c r="E93" s="139" t="str">
        <f t="shared" ref="E93:AR93" si="108">IFERROR((E94-E95)/E94,"")</f>
        <v/>
      </c>
      <c r="F93" s="310" t="str">
        <f t="shared" si="108"/>
        <v/>
      </c>
      <c r="G93" s="180" t="str">
        <f t="shared" si="108"/>
        <v/>
      </c>
      <c r="H93" s="180" t="str">
        <f t="shared" si="108"/>
        <v/>
      </c>
      <c r="I93" s="180" t="str">
        <f t="shared" si="108"/>
        <v/>
      </c>
      <c r="J93" s="181" t="str">
        <f t="shared" si="108"/>
        <v/>
      </c>
      <c r="K93" s="182" t="str">
        <f t="shared" si="108"/>
        <v/>
      </c>
      <c r="L93" s="182" t="str">
        <f t="shared" si="108"/>
        <v/>
      </c>
      <c r="M93" s="182" t="str">
        <f t="shared" si="108"/>
        <v/>
      </c>
      <c r="N93" s="182" t="str">
        <f t="shared" si="108"/>
        <v/>
      </c>
      <c r="O93" s="182" t="str">
        <f t="shared" si="108"/>
        <v/>
      </c>
      <c r="P93" s="182" t="str">
        <f t="shared" si="108"/>
        <v/>
      </c>
      <c r="Q93" s="182" t="str">
        <f t="shared" si="108"/>
        <v/>
      </c>
      <c r="R93" s="182" t="str">
        <f t="shared" si="108"/>
        <v/>
      </c>
      <c r="S93" s="182" t="str">
        <f t="shared" si="108"/>
        <v/>
      </c>
      <c r="T93" s="182" t="str">
        <f t="shared" si="108"/>
        <v/>
      </c>
      <c r="U93" s="182" t="str">
        <f t="shared" si="108"/>
        <v/>
      </c>
      <c r="V93" s="181" t="str">
        <f t="shared" si="108"/>
        <v/>
      </c>
      <c r="W93" s="181" t="str">
        <f t="shared" si="108"/>
        <v/>
      </c>
      <c r="X93" s="181" t="str">
        <f t="shared" si="108"/>
        <v/>
      </c>
      <c r="Y93" s="181" t="str">
        <f t="shared" si="108"/>
        <v/>
      </c>
      <c r="Z93" s="181" t="str">
        <f t="shared" si="108"/>
        <v/>
      </c>
      <c r="AA93" s="181" t="str">
        <f t="shared" si="108"/>
        <v/>
      </c>
      <c r="AB93" s="181" t="str">
        <f t="shared" si="108"/>
        <v/>
      </c>
      <c r="AC93" s="181" t="str">
        <f t="shared" si="108"/>
        <v/>
      </c>
      <c r="AD93" s="181" t="str">
        <f t="shared" si="108"/>
        <v/>
      </c>
      <c r="AE93" s="181" t="str">
        <f t="shared" si="108"/>
        <v/>
      </c>
      <c r="AF93" s="181" t="str">
        <f t="shared" si="108"/>
        <v/>
      </c>
      <c r="AG93" s="181" t="str">
        <f t="shared" si="108"/>
        <v/>
      </c>
      <c r="AH93" s="181" t="str">
        <f t="shared" si="108"/>
        <v/>
      </c>
      <c r="AI93" s="181" t="str">
        <f t="shared" si="108"/>
        <v/>
      </c>
      <c r="AJ93" s="140" t="str">
        <f t="shared" si="108"/>
        <v/>
      </c>
      <c r="AK93" s="143" t="str">
        <f t="shared" si="108"/>
        <v/>
      </c>
      <c r="AL93" s="184" t="str">
        <f t="shared" si="108"/>
        <v/>
      </c>
      <c r="AM93" s="184" t="str">
        <f t="shared" si="108"/>
        <v/>
      </c>
      <c r="AN93" s="184" t="str">
        <f t="shared" si="108"/>
        <v/>
      </c>
      <c r="AO93" s="184" t="str">
        <f t="shared" si="108"/>
        <v/>
      </c>
      <c r="AP93" s="184" t="str">
        <f t="shared" si="108"/>
        <v/>
      </c>
      <c r="AQ93" s="141" t="str">
        <f t="shared" si="108"/>
        <v/>
      </c>
      <c r="AR93" s="142" t="str">
        <f t="shared" si="108"/>
        <v/>
      </c>
    </row>
    <row r="94" spans="1:44" hidden="1" x14ac:dyDescent="0.3">
      <c r="A94" s="309" t="str">
        <f t="shared" ref="A94" si="109">+IF(C94+C95=0,"[ocultar]","")</f>
        <v>[ocultar]</v>
      </c>
      <c r="B94" s="46" t="s">
        <v>162</v>
      </c>
      <c r="C94" s="45">
        <f t="array" ref="C94">SUM(IF($B94=DATOS_[Sexo],
IF($B93=DATOS_[AGRUP. CLAS. PROF.],
IF("Dentro"=DATOS_[Check Periodo Ref.],
1/(COUNTIFS(DATOS_[Sexo],$B94,DATOS_[AGRUP. CLAS. PROF.],$B93,DATOS_[Check Periodo Ref.],"Dentro",DATOS_[id],DATOS_[id]))))))</f>
        <v>0</v>
      </c>
      <c r="D94" s="47">
        <f>COUNTIFS(DATOS_[AGRUP. CLAS. PROF.],$B93,DATOS_[Sexo],$B94,DATOS_[Check Periodo Ref.],"Dentro")</f>
        <v>0</v>
      </c>
      <c r="E94" s="92">
        <f t="array" ref="E94">IFERROR(
AVERAGE(IF(DATOS_[Sexo]=$B94,IF(DATOS_[AGRUP. CLAS. PROF.]=$B93,IF(DATOS_[Check Periodo Ref.]="Dentro",DATOS_[SALARIO BASE Ef],FALSE)))),
0)</f>
        <v>0</v>
      </c>
      <c r="F94" s="93">
        <f t="array" ref="F94">IFERROR(
AVERAGE((IF(DATOS_[[Sexo]:[Sexo]]=$B94,IF(DATOS_[[AGRUP. CLAS. PROF.]:[AGRUP. CLAS. PROF.]]=$B93,IF(DATOS_[[Check Periodo Ref.]:[Check Periodo Ref.]]="Dentro",DATOS_[Conc.Sal.01]))))),
0)</f>
        <v>0</v>
      </c>
      <c r="G94" s="93">
        <f t="array" ref="G94">IFERROR(
AVERAGE((IF(DATOS_[[Sexo]:[Sexo]]=$B94,IF(DATOS_[[AGRUP. CLAS. PROF.]:[AGRUP. CLAS. PROF.]]=$B93,IF(DATOS_[[Check Periodo Ref.]:[Check Periodo Ref.]]="Dentro",DATOS_[Conc.Sal.02]))))),
0)</f>
        <v>0</v>
      </c>
      <c r="H94" s="93">
        <f t="array" ref="H94">IFERROR(
AVERAGE((IF(DATOS_[[Sexo]:[Sexo]]=$B94,IF(DATOS_[[AGRUP. CLAS. PROF.]:[AGRUP. CLAS. PROF.]]=$B93,IF(DATOS_[[Check Periodo Ref.]:[Check Periodo Ref.]]="Dentro",DATOS_[Conc.Sal.03]))))),
0)</f>
        <v>0</v>
      </c>
      <c r="I94" s="93">
        <f t="array" ref="I94">IFERROR(
AVERAGE((IF(DATOS_[[Sexo]:[Sexo]]=$B94,IF(DATOS_[[AGRUP. CLAS. PROF.]:[AGRUP. CLAS. PROF.]]=$B93,IF(DATOS_[[Check Periodo Ref.]:[Check Periodo Ref.]]="Dentro",DATOS_[Conc.Sal.04]))))),
0)</f>
        <v>0</v>
      </c>
      <c r="J94" s="93">
        <f t="array" ref="J94">IFERROR(
AVERAGE((IF(DATOS_[[Sexo]:[Sexo]]=$B94,IF(DATOS_[[AGRUP. CLAS. PROF.]:[AGRUP. CLAS. PROF.]]=$B93,IF(DATOS_[[Check Periodo Ref.]:[Check Periodo Ref.]]="Dentro",DATOS_[Conc.Sal.05]))))),
0)</f>
        <v>0</v>
      </c>
      <c r="K94" s="93">
        <f t="array" ref="K94">IFERROR(
AVERAGE((IF(DATOS_[[Sexo]:[Sexo]]=$B94,IF(DATOS_[[AGRUP. CLAS. PROF.]:[AGRUP. CLAS. PROF.]]=$B93,IF(DATOS_[[Check Periodo Ref.]:[Check Periodo Ref.]]="Dentro",DATOS_[Conc.Sal.06]))))),
0)</f>
        <v>0</v>
      </c>
      <c r="L94" s="93">
        <f t="array" ref="L94">IFERROR(
AVERAGE((IF(DATOS_[[Sexo]:[Sexo]]=$B94,IF(DATOS_[[AGRUP. CLAS. PROF.]:[AGRUP. CLAS. PROF.]]=$B93,IF(DATOS_[[Check Periodo Ref.]:[Check Periodo Ref.]]="Dentro",DATOS_[Conc.Sal.07]))))),
0)</f>
        <v>0</v>
      </c>
      <c r="M94" s="93">
        <f t="array" ref="M94">IFERROR(
AVERAGE((IF(DATOS_[[Sexo]:[Sexo]]=$B94,IF(DATOS_[[AGRUP. CLAS. PROF.]:[AGRUP. CLAS. PROF.]]=$B93,IF(DATOS_[[Check Periodo Ref.]:[Check Periodo Ref.]]="Dentro",DATOS_[Conc.Sal.08]))))),
0)</f>
        <v>0</v>
      </c>
      <c r="N94" s="93">
        <f t="array" ref="N94">IFERROR(
AVERAGE((IF(DATOS_[[Sexo]:[Sexo]]=$B94,IF(DATOS_[[AGRUP. CLAS. PROF.]:[AGRUP. CLAS. PROF.]]=$B93,IF(DATOS_[[Check Periodo Ref.]:[Check Periodo Ref.]]="Dentro",DATOS_[Conc.Sal.09]))))),
0)</f>
        <v>0</v>
      </c>
      <c r="O94" s="93">
        <f t="array" ref="O94">IFERROR(
AVERAGE((IF(DATOS_[[Sexo]:[Sexo]]=$B94,IF(DATOS_[[AGRUP. CLAS. PROF.]:[AGRUP. CLAS. PROF.]]=$B93,IF(DATOS_[[Check Periodo Ref.]:[Check Periodo Ref.]]="Dentro",DATOS_[Conc.Sal.10]))))),
0)</f>
        <v>0</v>
      </c>
      <c r="P94" s="93">
        <f t="array" ref="P94">IFERROR(
AVERAGE((IF(DATOS_[[Sexo]:[Sexo]]=$B94,IF(DATOS_[[AGRUP. CLAS. PROF.]:[AGRUP. CLAS. PROF.]]=$B93,IF(DATOS_[[Check Periodo Ref.]:[Check Periodo Ref.]]="Dentro",DATOS_[Conc.Sal.11]))))),
0)</f>
        <v>0</v>
      </c>
      <c r="Q94" s="93">
        <f t="array" ref="Q94">IFERROR(
AVERAGE((IF(DATOS_[[Sexo]:[Sexo]]=$B94,IF(DATOS_[[AGRUP. CLAS. PROF.]:[AGRUP. CLAS. PROF.]]=$B93,IF(DATOS_[[Check Periodo Ref.]:[Check Periodo Ref.]]="Dentro",DATOS_[Conc.Sal.12]))))),
0)</f>
        <v>0</v>
      </c>
      <c r="R94" s="93">
        <f t="array" ref="R94">IFERROR(
AVERAGE((IF(DATOS_[[Sexo]:[Sexo]]=$B94,IF(DATOS_[[AGRUP. CLAS. PROF.]:[AGRUP. CLAS. PROF.]]=$B93,IF(DATOS_[[Check Periodo Ref.]:[Check Periodo Ref.]]="Dentro",DATOS_[Conc.Sal.13]))))),
0)</f>
        <v>0</v>
      </c>
      <c r="S94" s="93">
        <f t="array" ref="S94">IFERROR(
AVERAGE((IF(DATOS_[[Sexo]:[Sexo]]=$B94,IF(DATOS_[[AGRUP. CLAS. PROF.]:[AGRUP. CLAS. PROF.]]=$B93,IF(DATOS_[[Check Periodo Ref.]:[Check Periodo Ref.]]="Dentro",DATOS_[Conc.Sal.14]))))),
0)</f>
        <v>0</v>
      </c>
      <c r="T94" s="93">
        <f t="array" ref="T94">IFERROR(
AVERAGE((IF(DATOS_[[Sexo]:[Sexo]]=$B94,IF(DATOS_[[AGRUP. CLAS. PROF.]:[AGRUP. CLAS. PROF.]]=$B93,IF(DATOS_[[Check Periodo Ref.]:[Check Periodo Ref.]]="Dentro",DATOS_[Conc.Sal.15]))))),
0)</f>
        <v>0</v>
      </c>
      <c r="U94" s="93">
        <f t="array" ref="U94">IFERROR(
AVERAGE((IF(DATOS_[[Sexo]:[Sexo]]=$B94,IF(DATOS_[[AGRUP. CLAS. PROF.]:[AGRUP. CLAS. PROF.]]=$B93,IF(DATOS_[[Check Periodo Ref.]:[Check Periodo Ref.]]="Dentro",DATOS_[Conc.Sal.16]))))),
0)</f>
        <v>0</v>
      </c>
      <c r="V94" s="93">
        <f t="array" ref="V94">IFERROR(
AVERAGE((IF(DATOS_[[Sexo]:[Sexo]]=$B94,IF(DATOS_[[AGRUP. CLAS. PROF.]:[AGRUP. CLAS. PROF.]]=$B93,IF(DATOS_[[Check Periodo Ref.]:[Check Periodo Ref.]]="Dentro",DATOS_[Conc.Sal.17]))))),
0)</f>
        <v>0</v>
      </c>
      <c r="W94" s="93">
        <f t="array" ref="W94">IFERROR(
AVERAGE((IF(DATOS_[[Sexo]:[Sexo]]=$B94,IF(DATOS_[[AGRUP. CLAS. PROF.]:[AGRUP. CLAS. PROF.]]=$B93,IF(DATOS_[[Check Periodo Ref.]:[Check Periodo Ref.]]="Dentro",DATOS_[Conc.Sal.18]))))),
0)</f>
        <v>0</v>
      </c>
      <c r="X94" s="93">
        <f t="array" ref="X94">IFERROR(
AVERAGE((IF(DATOS_[[Sexo]:[Sexo]]=$B94,IF(DATOS_[[AGRUP. CLAS. PROF.]:[AGRUP. CLAS. PROF.]]=$B93,IF(DATOS_[[Check Periodo Ref.]:[Check Periodo Ref.]]="Dentro",DATOS_[Conc.Sal.19]))))),
0)</f>
        <v>0</v>
      </c>
      <c r="Y94" s="93">
        <f t="array" ref="Y94">IFERROR(
AVERAGE((IF(DATOS_[[Sexo]:[Sexo]]=$B94,IF(DATOS_[[AGRUP. CLAS. PROF.]:[AGRUP. CLAS. PROF.]]=$B93,IF(DATOS_[[Check Periodo Ref.]:[Check Periodo Ref.]]="Dentro",DATOS_[Conc.Sal.20]))))),
0)</f>
        <v>0</v>
      </c>
      <c r="Z94" s="93">
        <f t="array" ref="Z94">IFERROR(
AVERAGE((IF(DATOS_[[Sexo]:[Sexo]]=$B94,IF(DATOS_[[AGRUP. CLAS. PROF.]:[AGRUP. CLAS. PROF.]]=$B93,IF(DATOS_[[Check Periodo Ref.]:[Check Periodo Ref.]]="Dentro",DATOS_[Conc.Sal.21]))))),
0)</f>
        <v>0</v>
      </c>
      <c r="AA94" s="93">
        <f t="array" ref="AA94">IFERROR(
AVERAGE((IF(DATOS_[[Sexo]:[Sexo]]=$B94,IF(DATOS_[[AGRUP. CLAS. PROF.]:[AGRUP. CLAS. PROF.]]=$B93,IF(DATOS_[[Check Periodo Ref.]:[Check Periodo Ref.]]="Dentro",DATOS_[Conc.Sal.22]))))),
0)</f>
        <v>0</v>
      </c>
      <c r="AB94" s="93">
        <f t="array" ref="AB94">IFERROR(
AVERAGE((IF(DATOS_[[Sexo]:[Sexo]]=$B94,IF(DATOS_[[AGRUP. CLAS. PROF.]:[AGRUP. CLAS. PROF.]]=$B93,IF(DATOS_[[Check Periodo Ref.]:[Check Periodo Ref.]]="Dentro",DATOS_[Conc.Sal.23]))))),
0)</f>
        <v>0</v>
      </c>
      <c r="AC94" s="93">
        <f t="array" ref="AC94">IFERROR(
AVERAGE((IF(DATOS_[[Sexo]:[Sexo]]=$B94,IF(DATOS_[[AGRUP. CLAS. PROF.]:[AGRUP. CLAS. PROF.]]=$B93,IF(DATOS_[[Check Periodo Ref.]:[Check Periodo Ref.]]="Dentro",DATOS_[Conc.Sal.24]))))),
0)</f>
        <v>0</v>
      </c>
      <c r="AD94" s="93">
        <f t="array" ref="AD94">IFERROR(
AVERAGE((IF(DATOS_[[Sexo]:[Sexo]]=$B94,IF(DATOS_[[AGRUP. CLAS. PROF.]:[AGRUP. CLAS. PROF.]]=$B93,IF(DATOS_[[Check Periodo Ref.]:[Check Periodo Ref.]]="Dentro",DATOS_[Conc.Sal.25]))))),
0)</f>
        <v>0</v>
      </c>
      <c r="AE94" s="93">
        <f t="array" ref="AE94">IFERROR(
AVERAGE((IF(DATOS_[[Sexo]:[Sexo]]=$B94,IF(DATOS_[[AGRUP. CLAS. PROF.]:[AGRUP. CLAS. PROF.]]=$B93,IF(DATOS_[[Check Periodo Ref.]:[Check Periodo Ref.]]="Dentro",DATOS_[Conc.Sal.26]))))),
0)</f>
        <v>0</v>
      </c>
      <c r="AF94" s="93">
        <f t="array" ref="AF94">IFERROR(
AVERAGE((IF(DATOS_[[Sexo]:[Sexo]]=$B94,IF(DATOS_[[AGRUP. CLAS. PROF.]:[AGRUP. CLAS. PROF.]]=$B93,IF(DATOS_[[Check Periodo Ref.]:[Check Periodo Ref.]]="Dentro",DATOS_[Conc.Sal.27]))))),
0)</f>
        <v>0</v>
      </c>
      <c r="AG94" s="93">
        <f t="array" ref="AG94">IFERROR(
AVERAGE((IF(DATOS_[[Sexo]:[Sexo]]=$B94,IF(DATOS_[[AGRUP. CLAS. PROF.]:[AGRUP. CLAS. PROF.]]=$B93,IF(DATOS_[[Check Periodo Ref.]:[Check Periodo Ref.]]="Dentro",DATOS_[Conc.Sal.28]))))),
0)</f>
        <v>0</v>
      </c>
      <c r="AH94" s="93">
        <f t="array" ref="AH94">IFERROR(
AVERAGE((IF(DATOS_[[Sexo]:[Sexo]]=$B94,IF(DATOS_[[AGRUP. CLAS. PROF.]:[AGRUP. CLAS. PROF.]]=$B93,IF(DATOS_[[Check Periodo Ref.]:[Check Periodo Ref.]]="Dentro",DATOS_[Conc.Sal.29]))))),
0)</f>
        <v>0</v>
      </c>
      <c r="AI94" s="93">
        <f t="array" ref="AI94">IFERROR(
AVERAGE((IF(DATOS_[[Sexo]:[Sexo]]=$B94,IF(DATOS_[[AGRUP. CLAS. PROF.]:[AGRUP. CLAS. PROF.]]=$B93,IF(DATOS_[[Check Periodo Ref.]:[Check Periodo Ref.]]="Dentro",DATOS_[Conc.Sal.30]))))),
0)</f>
        <v>0</v>
      </c>
      <c r="AJ94" s="94">
        <f t="array" ref="AJ94">IFERROR(
AVERAGE(IF(DATOS_[Sexo]=$B94,IF(DATOS_[AGRUP. CLAS. PROF.]=$B93,IF(DATOS_[Check Periodo Ref.]="Dentro",DATOS_[Tot COMPL.SAL Ef],FALSE)))),
0)</f>
        <v>0</v>
      </c>
      <c r="AK94" s="96">
        <f t="array" ref="AK94">IFERROR(
AVERAGE(IF(DATOS_[Sexo]=$B94,IF(DATOS_[AGRUP. CLAS. PROF.]=$B93,IF(DATOS_[Check Periodo Ref.]="Dentro",DATOS_[TOTAL SALARIO Ef],FALSE)))),
0)</f>
        <v>0</v>
      </c>
      <c r="AL94" s="95">
        <f t="array" ref="AL94">IFERROR(
AVERAGE((IF(DATOS_[[Sexo]:[Sexo]]=$B94,IF(DATOS_[[AGRUP. CLAS. PROF.]:[AGRUP. CLAS. PROF.]]=$B93,IF(DATOS_[[Check Periodo Ref.]:[Check Periodo Ref.]]="Dentro",DATOS_[C.Extra.01]))))),
0)</f>
        <v>0</v>
      </c>
      <c r="AM94" s="95">
        <f t="array" ref="AM94">IFERROR(
AVERAGE((IF(DATOS_[[Sexo]:[Sexo]]=$B94,IF(DATOS_[[AGRUP. CLAS. PROF.]:[AGRUP. CLAS. PROF.]]=$B93,IF(DATOS_[[Check Periodo Ref.]:[Check Periodo Ref.]]="Dentro",DATOS_[C.Extra.02]))))),
0)</f>
        <v>0</v>
      </c>
      <c r="AN94" s="95">
        <f t="array" ref="AN94">IFERROR(
AVERAGE((IF(DATOS_[[Sexo]:[Sexo]]=$B94,IF(DATOS_[[AGRUP. CLAS. PROF.]:[AGRUP. CLAS. PROF.]]=$B93,IF(DATOS_[[Check Periodo Ref.]:[Check Periodo Ref.]]="Dentro",DATOS_[C.Extra.03]))))),
0)</f>
        <v>0</v>
      </c>
      <c r="AO94" s="95">
        <f t="array" ref="AO94">IFERROR(
AVERAGE((IF(DATOS_[[Sexo]:[Sexo]]=$B94,IF(DATOS_[[AGRUP. CLAS. PROF.]:[AGRUP. CLAS. PROF.]]=$B93,IF(DATOS_[[Check Periodo Ref.]:[Check Periodo Ref.]]="Dentro",DATOS_[C.Extra.04]))))),
0)</f>
        <v>0</v>
      </c>
      <c r="AP94" s="95">
        <f t="array" ref="AP94">IFERROR(
AVERAGE((IF(DATOS_[[Sexo]:[Sexo]]=$B94,IF(DATOS_[[AGRUP. CLAS. PROF.]:[AGRUP. CLAS. PROF.]]=$B93,IF(DATOS_[[Check Periodo Ref.]:[Check Periodo Ref.]]="Dentro",DATOS_[C.Extra.05]))))),
0)</f>
        <v>0</v>
      </c>
      <c r="AQ94" s="97">
        <f t="array" ref="AQ94">IFERROR(
AVERAGE(IF(DATOS_[Sexo]=$B94,IF(DATOS_[AGRUP. CLAS. PROF.]=$B93,IF(DATOS_[Check Periodo Ref.]="Dentro",DATOS_[Tot Extrasalarial Ef],FALSE)))),
0)</f>
        <v>0</v>
      </c>
      <c r="AR94" s="98">
        <f t="array" ref="AR94">IFERROR(
AVERAGE(IF(DATOS_[Sexo]=$B94,IF(DATOS_[AGRUP. CLAS. PROF.]=$B93,IF(DATOS_[Check Periodo Ref.]="Dentro",DATOS_[TOTAL Retrib Ef],FALSE)))),
0)</f>
        <v>0</v>
      </c>
    </row>
    <row r="95" spans="1:44" hidden="1" x14ac:dyDescent="0.3">
      <c r="A95" s="309" t="str">
        <f t="shared" ref="A95" si="110">+A94</f>
        <v>[ocultar]</v>
      </c>
      <c r="B95" s="46" t="s">
        <v>163</v>
      </c>
      <c r="C95" s="45">
        <f t="array" ref="C95">SUM(IF($B95=DATOS_[Sexo],
IF($B93=DATOS_[AGRUP. CLAS. PROF.],
IF("Dentro"=DATOS_[Check Periodo Ref.],
1/(COUNTIFS(DATOS_[Sexo],$B95,DATOS_[AGRUP. CLAS. PROF.],$B93,DATOS_[Check Periodo Ref.],"Dentro",DATOS_[id],DATOS_[id]))))))</f>
        <v>0</v>
      </c>
      <c r="D95" s="47">
        <f>COUNTIFS(DATOS_[AGRUP. CLAS. PROF.],$B93,DATOS_[Sexo],$B95,DATOS_[Check Periodo Ref.],"Dentro")</f>
        <v>0</v>
      </c>
      <c r="E95" s="92">
        <f t="array" ref="E95">IFERROR(
AVERAGE(IF(DATOS_[Sexo]=$B95,IF(DATOS_[AGRUP. CLAS. PROF.]=$B93,IF(DATOS_[Check Periodo Ref.]="Dentro",DATOS_[SALARIO BASE Ef],FALSE)))),
0)</f>
        <v>0</v>
      </c>
      <c r="F95" s="93">
        <f t="array" ref="F95">IFERROR(
AVERAGE((IF(DATOS_[[Sexo]:[Sexo]]=$B95,IF(DATOS_[[AGRUP. CLAS. PROF.]:[AGRUP. CLAS. PROF.]]=$B93,IF(DATOS_[[Check Periodo Ref.]:[Check Periodo Ref.]]="Dentro",DATOS_[Conc.Sal.01]))))),
0)</f>
        <v>0</v>
      </c>
      <c r="G95" s="93">
        <f t="array" ref="G95">IFERROR(
AVERAGE((IF(DATOS_[[Sexo]:[Sexo]]=$B95,IF(DATOS_[[AGRUP. CLAS. PROF.]:[AGRUP. CLAS. PROF.]]=$B93,IF(DATOS_[[Check Periodo Ref.]:[Check Periodo Ref.]]="Dentro",DATOS_[Conc.Sal.02]))))),
0)</f>
        <v>0</v>
      </c>
      <c r="H95" s="93">
        <f t="array" ref="H95">IFERROR(
AVERAGE((IF(DATOS_[[Sexo]:[Sexo]]=$B95,IF(DATOS_[[AGRUP. CLAS. PROF.]:[AGRUP. CLAS. PROF.]]=$B93,IF(DATOS_[[Check Periodo Ref.]:[Check Periodo Ref.]]="Dentro",DATOS_[Conc.Sal.03]))))),
0)</f>
        <v>0</v>
      </c>
      <c r="I95" s="93">
        <f t="array" ref="I95">IFERROR(
AVERAGE((IF(DATOS_[[Sexo]:[Sexo]]=$B95,IF(DATOS_[[AGRUP. CLAS. PROF.]:[AGRUP. CLAS. PROF.]]=$B93,IF(DATOS_[[Check Periodo Ref.]:[Check Periodo Ref.]]="Dentro",DATOS_[Conc.Sal.04]))))),
0)</f>
        <v>0</v>
      </c>
      <c r="J95" s="93">
        <f t="array" ref="J95">IFERROR(
AVERAGE((IF(DATOS_[[Sexo]:[Sexo]]=$B95,IF(DATOS_[[AGRUP. CLAS. PROF.]:[AGRUP. CLAS. PROF.]]=$B93,IF(DATOS_[[Check Periodo Ref.]:[Check Periodo Ref.]]="Dentro",DATOS_[Conc.Sal.05]))))),
0)</f>
        <v>0</v>
      </c>
      <c r="K95" s="93">
        <f t="array" ref="K95">IFERROR(
AVERAGE((IF(DATOS_[[Sexo]:[Sexo]]=$B95,IF(DATOS_[[AGRUP. CLAS. PROF.]:[AGRUP. CLAS. PROF.]]=$B93,IF(DATOS_[[Check Periodo Ref.]:[Check Periodo Ref.]]="Dentro",DATOS_[Conc.Sal.06]))))),
0)</f>
        <v>0</v>
      </c>
      <c r="L95" s="93">
        <f t="array" ref="L95">IFERROR(
AVERAGE((IF(DATOS_[[Sexo]:[Sexo]]=$B95,IF(DATOS_[[AGRUP. CLAS. PROF.]:[AGRUP. CLAS. PROF.]]=$B93,IF(DATOS_[[Check Periodo Ref.]:[Check Periodo Ref.]]="Dentro",DATOS_[Conc.Sal.07]))))),
0)</f>
        <v>0</v>
      </c>
      <c r="M95" s="93">
        <f t="array" ref="M95">IFERROR(
AVERAGE((IF(DATOS_[[Sexo]:[Sexo]]=$B95,IF(DATOS_[[AGRUP. CLAS. PROF.]:[AGRUP. CLAS. PROF.]]=$B93,IF(DATOS_[[Check Periodo Ref.]:[Check Periodo Ref.]]="Dentro",DATOS_[Conc.Sal.08]))))),
0)</f>
        <v>0</v>
      </c>
      <c r="N95" s="93">
        <f t="array" ref="N95">IFERROR(
AVERAGE((IF(DATOS_[[Sexo]:[Sexo]]=$B95,IF(DATOS_[[AGRUP. CLAS. PROF.]:[AGRUP. CLAS. PROF.]]=$B93,IF(DATOS_[[Check Periodo Ref.]:[Check Periodo Ref.]]="Dentro",DATOS_[Conc.Sal.09]))))),
0)</f>
        <v>0</v>
      </c>
      <c r="O95" s="93">
        <f t="array" ref="O95">IFERROR(
AVERAGE((IF(DATOS_[[Sexo]:[Sexo]]=$B95,IF(DATOS_[[AGRUP. CLAS. PROF.]:[AGRUP. CLAS. PROF.]]=$B93,IF(DATOS_[[Check Periodo Ref.]:[Check Periodo Ref.]]="Dentro",DATOS_[Conc.Sal.10]))))),
0)</f>
        <v>0</v>
      </c>
      <c r="P95" s="93">
        <f t="array" ref="P95">IFERROR(
AVERAGE((IF(DATOS_[[Sexo]:[Sexo]]=$B95,IF(DATOS_[[AGRUP. CLAS. PROF.]:[AGRUP. CLAS. PROF.]]=$B93,IF(DATOS_[[Check Periodo Ref.]:[Check Periodo Ref.]]="Dentro",DATOS_[Conc.Sal.11]))))),
0)</f>
        <v>0</v>
      </c>
      <c r="Q95" s="93">
        <f t="array" ref="Q95">IFERROR(
AVERAGE((IF(DATOS_[[Sexo]:[Sexo]]=$B95,IF(DATOS_[[AGRUP. CLAS. PROF.]:[AGRUP. CLAS. PROF.]]=$B93,IF(DATOS_[[Check Periodo Ref.]:[Check Periodo Ref.]]="Dentro",DATOS_[Conc.Sal.12]))))),
0)</f>
        <v>0</v>
      </c>
      <c r="R95" s="93">
        <f t="array" ref="R95">IFERROR(
AVERAGE((IF(DATOS_[[Sexo]:[Sexo]]=$B95,IF(DATOS_[[AGRUP. CLAS. PROF.]:[AGRUP. CLAS. PROF.]]=$B93,IF(DATOS_[[Check Periodo Ref.]:[Check Periodo Ref.]]="Dentro",DATOS_[Conc.Sal.13]))))),
0)</f>
        <v>0</v>
      </c>
      <c r="S95" s="93">
        <f t="array" ref="S95">IFERROR(
AVERAGE((IF(DATOS_[[Sexo]:[Sexo]]=$B95,IF(DATOS_[[AGRUP. CLAS. PROF.]:[AGRUP. CLAS. PROF.]]=$B93,IF(DATOS_[[Check Periodo Ref.]:[Check Periodo Ref.]]="Dentro",DATOS_[Conc.Sal.14]))))),
0)</f>
        <v>0</v>
      </c>
      <c r="T95" s="93">
        <f t="array" ref="T95">IFERROR(
AVERAGE((IF(DATOS_[[Sexo]:[Sexo]]=$B95,IF(DATOS_[[AGRUP. CLAS. PROF.]:[AGRUP. CLAS. PROF.]]=$B93,IF(DATOS_[[Check Periodo Ref.]:[Check Periodo Ref.]]="Dentro",DATOS_[Conc.Sal.15]))))),
0)</f>
        <v>0</v>
      </c>
      <c r="U95" s="93">
        <f t="array" ref="U95">IFERROR(
AVERAGE((IF(DATOS_[[Sexo]:[Sexo]]=$B95,IF(DATOS_[[AGRUP. CLAS. PROF.]:[AGRUP. CLAS. PROF.]]=$B93,IF(DATOS_[[Check Periodo Ref.]:[Check Periodo Ref.]]="Dentro",DATOS_[Conc.Sal.16]))))),
0)</f>
        <v>0</v>
      </c>
      <c r="V95" s="93">
        <f t="array" ref="V95">IFERROR(
AVERAGE((IF(DATOS_[[Sexo]:[Sexo]]=$B95,IF(DATOS_[[AGRUP. CLAS. PROF.]:[AGRUP. CLAS. PROF.]]=$B93,IF(DATOS_[[Check Periodo Ref.]:[Check Periodo Ref.]]="Dentro",DATOS_[Conc.Sal.17]))))),
0)</f>
        <v>0</v>
      </c>
      <c r="W95" s="93">
        <f t="array" ref="W95">IFERROR(
AVERAGE((IF(DATOS_[[Sexo]:[Sexo]]=$B95,IF(DATOS_[[AGRUP. CLAS. PROF.]:[AGRUP. CLAS. PROF.]]=$B93,IF(DATOS_[[Check Periodo Ref.]:[Check Periodo Ref.]]="Dentro",DATOS_[Conc.Sal.18]))))),
0)</f>
        <v>0</v>
      </c>
      <c r="X95" s="93">
        <f t="array" ref="X95">IFERROR(
AVERAGE((IF(DATOS_[[Sexo]:[Sexo]]=$B95,IF(DATOS_[[AGRUP. CLAS. PROF.]:[AGRUP. CLAS. PROF.]]=$B93,IF(DATOS_[[Check Periodo Ref.]:[Check Periodo Ref.]]="Dentro",DATOS_[Conc.Sal.19]))))),
0)</f>
        <v>0</v>
      </c>
      <c r="Y95" s="93">
        <f t="array" ref="Y95">IFERROR(
AVERAGE((IF(DATOS_[[Sexo]:[Sexo]]=$B95,IF(DATOS_[[AGRUP. CLAS. PROF.]:[AGRUP. CLAS. PROF.]]=$B93,IF(DATOS_[[Check Periodo Ref.]:[Check Periodo Ref.]]="Dentro",DATOS_[Conc.Sal.20]))))),
0)</f>
        <v>0</v>
      </c>
      <c r="Z95" s="93">
        <f t="array" ref="Z95">IFERROR(
AVERAGE((IF(DATOS_[[Sexo]:[Sexo]]=$B95,IF(DATOS_[[AGRUP. CLAS. PROF.]:[AGRUP. CLAS. PROF.]]=$B93,IF(DATOS_[[Check Periodo Ref.]:[Check Periodo Ref.]]="Dentro",DATOS_[Conc.Sal.21]))))),
0)</f>
        <v>0</v>
      </c>
      <c r="AA95" s="93">
        <f t="array" ref="AA95">IFERROR(
AVERAGE((IF(DATOS_[[Sexo]:[Sexo]]=$B95,IF(DATOS_[[AGRUP. CLAS. PROF.]:[AGRUP. CLAS. PROF.]]=$B93,IF(DATOS_[[Check Periodo Ref.]:[Check Periodo Ref.]]="Dentro",DATOS_[Conc.Sal.22]))))),
0)</f>
        <v>0</v>
      </c>
      <c r="AB95" s="93">
        <f t="array" ref="AB95">IFERROR(
AVERAGE((IF(DATOS_[[Sexo]:[Sexo]]=$B95,IF(DATOS_[[AGRUP. CLAS. PROF.]:[AGRUP. CLAS. PROF.]]=$B93,IF(DATOS_[[Check Periodo Ref.]:[Check Periodo Ref.]]="Dentro",DATOS_[Conc.Sal.23]))))),
0)</f>
        <v>0</v>
      </c>
      <c r="AC95" s="93">
        <f t="array" ref="AC95">IFERROR(
AVERAGE((IF(DATOS_[[Sexo]:[Sexo]]=$B95,IF(DATOS_[[AGRUP. CLAS. PROF.]:[AGRUP. CLAS. PROF.]]=$B93,IF(DATOS_[[Check Periodo Ref.]:[Check Periodo Ref.]]="Dentro",DATOS_[Conc.Sal.24]))))),
0)</f>
        <v>0</v>
      </c>
      <c r="AD95" s="93">
        <f t="array" ref="AD95">IFERROR(
AVERAGE((IF(DATOS_[[Sexo]:[Sexo]]=$B95,IF(DATOS_[[AGRUP. CLAS. PROF.]:[AGRUP. CLAS. PROF.]]=$B93,IF(DATOS_[[Check Periodo Ref.]:[Check Periodo Ref.]]="Dentro",DATOS_[Conc.Sal.25]))))),
0)</f>
        <v>0</v>
      </c>
      <c r="AE95" s="93">
        <f t="array" ref="AE95">IFERROR(
AVERAGE((IF(DATOS_[[Sexo]:[Sexo]]=$B95,IF(DATOS_[[AGRUP. CLAS. PROF.]:[AGRUP. CLAS. PROF.]]=$B93,IF(DATOS_[[Check Periodo Ref.]:[Check Periodo Ref.]]="Dentro",DATOS_[Conc.Sal.26]))))),
0)</f>
        <v>0</v>
      </c>
      <c r="AF95" s="93">
        <f t="array" ref="AF95">IFERROR(
AVERAGE((IF(DATOS_[[Sexo]:[Sexo]]=$B95,IF(DATOS_[[AGRUP. CLAS. PROF.]:[AGRUP. CLAS. PROF.]]=$B93,IF(DATOS_[[Check Periodo Ref.]:[Check Periodo Ref.]]="Dentro",DATOS_[Conc.Sal.27]))))),
0)</f>
        <v>0</v>
      </c>
      <c r="AG95" s="93">
        <f t="array" ref="AG95">IFERROR(
AVERAGE((IF(DATOS_[[Sexo]:[Sexo]]=$B95,IF(DATOS_[[AGRUP. CLAS. PROF.]:[AGRUP. CLAS. PROF.]]=$B93,IF(DATOS_[[Check Periodo Ref.]:[Check Periodo Ref.]]="Dentro",DATOS_[Conc.Sal.28]))))),
0)</f>
        <v>0</v>
      </c>
      <c r="AH95" s="93">
        <f t="array" ref="AH95">IFERROR(
AVERAGE((IF(DATOS_[[Sexo]:[Sexo]]=$B95,IF(DATOS_[[AGRUP. CLAS. PROF.]:[AGRUP. CLAS. PROF.]]=$B93,IF(DATOS_[[Check Periodo Ref.]:[Check Periodo Ref.]]="Dentro",DATOS_[Conc.Sal.29]))))),
0)</f>
        <v>0</v>
      </c>
      <c r="AI95" s="93">
        <f t="array" ref="AI95">IFERROR(
AVERAGE((IF(DATOS_[[Sexo]:[Sexo]]=$B95,IF(DATOS_[[AGRUP. CLAS. PROF.]:[AGRUP. CLAS. PROF.]]=$B93,IF(DATOS_[[Check Periodo Ref.]:[Check Periodo Ref.]]="Dentro",DATOS_[Conc.Sal.30]))))),
0)</f>
        <v>0</v>
      </c>
      <c r="AJ95" s="94">
        <f t="array" ref="AJ95">IFERROR(
AVERAGE(IF(DATOS_[Sexo]=$B95,IF(DATOS_[AGRUP. CLAS. PROF.]=$B93,IF(DATOS_[Check Periodo Ref.]="Dentro",DATOS_[Tot COMPL.SAL Ef],FALSE)))),
0)</f>
        <v>0</v>
      </c>
      <c r="AK95" s="96">
        <f t="array" ref="AK95">IFERROR(
AVERAGE(IF(DATOS_[Sexo]=$B95,IF(DATOS_[AGRUP. CLAS. PROF.]=$B93,IF(DATOS_[Check Periodo Ref.]="Dentro",DATOS_[TOTAL SALARIO Ef],FALSE)))),
0)</f>
        <v>0</v>
      </c>
      <c r="AL95" s="95">
        <f t="array" ref="AL95">IFERROR(
AVERAGE((IF(DATOS_[[Sexo]:[Sexo]]=$B95,IF(DATOS_[[AGRUP. CLAS. PROF.]:[AGRUP. CLAS. PROF.]]=$B93,IF(DATOS_[[Check Periodo Ref.]:[Check Periodo Ref.]]="Dentro",DATOS_[C.Extra.01]))))),
0)</f>
        <v>0</v>
      </c>
      <c r="AM95" s="95">
        <f t="array" ref="AM95">IFERROR(
AVERAGE((IF(DATOS_[[Sexo]:[Sexo]]=$B95,IF(DATOS_[[AGRUP. CLAS. PROF.]:[AGRUP. CLAS. PROF.]]=$B93,IF(DATOS_[[Check Periodo Ref.]:[Check Periodo Ref.]]="Dentro",DATOS_[C.Extra.02]))))),
0)</f>
        <v>0</v>
      </c>
      <c r="AN95" s="95">
        <f t="array" ref="AN95">IFERROR(
AVERAGE((IF(DATOS_[[Sexo]:[Sexo]]=$B95,IF(DATOS_[[AGRUP. CLAS. PROF.]:[AGRUP. CLAS. PROF.]]=$B93,IF(DATOS_[[Check Periodo Ref.]:[Check Periodo Ref.]]="Dentro",DATOS_[C.Extra.03]))))),
0)</f>
        <v>0</v>
      </c>
      <c r="AO95" s="95">
        <f t="array" ref="AO95">IFERROR(
AVERAGE((IF(DATOS_[[Sexo]:[Sexo]]=$B95,IF(DATOS_[[AGRUP. CLAS. PROF.]:[AGRUP. CLAS. PROF.]]=$B93,IF(DATOS_[[Check Periodo Ref.]:[Check Periodo Ref.]]="Dentro",DATOS_[C.Extra.04]))))),
0)</f>
        <v>0</v>
      </c>
      <c r="AP95" s="95">
        <f t="array" ref="AP95">IFERROR(
AVERAGE((IF(DATOS_[[Sexo]:[Sexo]]=$B95,IF(DATOS_[[AGRUP. CLAS. PROF.]:[AGRUP. CLAS. PROF.]]=$B93,IF(DATOS_[[Check Periodo Ref.]:[Check Periodo Ref.]]="Dentro",DATOS_[C.Extra.05]))))),
0)</f>
        <v>0</v>
      </c>
      <c r="AQ95" s="97">
        <f t="array" ref="AQ95">IFERROR(
AVERAGE(IF(DATOS_[Sexo]=$B95,IF(DATOS_[AGRUP. CLAS. PROF.]=$B93,IF(DATOS_[Check Periodo Ref.]="Dentro",DATOS_[Tot Extrasalarial Ef],FALSE)))),
0)</f>
        <v>0</v>
      </c>
      <c r="AR95" s="98">
        <f t="array" ref="AR95">IFERROR(
AVERAGE(IF(DATOS_[Sexo]=$B95,IF(DATOS_[AGRUP. CLAS. PROF.]=$B93,IF(DATOS_[Check Periodo Ref.]="Dentro",DATOS_[TOTAL Retrib Ef],FALSE)))),
0)</f>
        <v>0</v>
      </c>
    </row>
    <row r="96" spans="1:44" ht="17.25" hidden="1" thickBot="1" x14ac:dyDescent="0.35">
      <c r="A96" s="309" t="str">
        <f t="shared" ref="A96" si="111">+A97</f>
        <v>[ocultar]</v>
      </c>
      <c r="B96" s="51" t="s">
        <v>244</v>
      </c>
      <c r="C96" s="91"/>
      <c r="D96" s="52"/>
      <c r="E96" s="139" t="str">
        <f t="shared" ref="E96:AR96" si="112">IFERROR((E97-E98)/E97,"")</f>
        <v/>
      </c>
      <c r="F96" s="310" t="str">
        <f t="shared" si="112"/>
        <v/>
      </c>
      <c r="G96" s="180" t="str">
        <f t="shared" si="112"/>
        <v/>
      </c>
      <c r="H96" s="180" t="str">
        <f t="shared" si="112"/>
        <v/>
      </c>
      <c r="I96" s="180" t="str">
        <f t="shared" si="112"/>
        <v/>
      </c>
      <c r="J96" s="181" t="str">
        <f t="shared" si="112"/>
        <v/>
      </c>
      <c r="K96" s="182" t="str">
        <f t="shared" si="112"/>
        <v/>
      </c>
      <c r="L96" s="182" t="str">
        <f t="shared" si="112"/>
        <v/>
      </c>
      <c r="M96" s="182" t="str">
        <f t="shared" si="112"/>
        <v/>
      </c>
      <c r="N96" s="182" t="str">
        <f t="shared" si="112"/>
        <v/>
      </c>
      <c r="O96" s="182" t="str">
        <f t="shared" si="112"/>
        <v/>
      </c>
      <c r="P96" s="182" t="str">
        <f t="shared" si="112"/>
        <v/>
      </c>
      <c r="Q96" s="182" t="str">
        <f t="shared" si="112"/>
        <v/>
      </c>
      <c r="R96" s="182" t="str">
        <f t="shared" si="112"/>
        <v/>
      </c>
      <c r="S96" s="182" t="str">
        <f t="shared" si="112"/>
        <v/>
      </c>
      <c r="T96" s="182" t="str">
        <f t="shared" si="112"/>
        <v/>
      </c>
      <c r="U96" s="182" t="str">
        <f t="shared" si="112"/>
        <v/>
      </c>
      <c r="V96" s="181" t="str">
        <f t="shared" si="112"/>
        <v/>
      </c>
      <c r="W96" s="181" t="str">
        <f t="shared" si="112"/>
        <v/>
      </c>
      <c r="X96" s="181" t="str">
        <f t="shared" si="112"/>
        <v/>
      </c>
      <c r="Y96" s="181" t="str">
        <f t="shared" si="112"/>
        <v/>
      </c>
      <c r="Z96" s="181" t="str">
        <f t="shared" si="112"/>
        <v/>
      </c>
      <c r="AA96" s="181" t="str">
        <f t="shared" si="112"/>
        <v/>
      </c>
      <c r="AB96" s="181" t="str">
        <f t="shared" si="112"/>
        <v/>
      </c>
      <c r="AC96" s="181" t="str">
        <f t="shared" si="112"/>
        <v/>
      </c>
      <c r="AD96" s="181" t="str">
        <f t="shared" si="112"/>
        <v/>
      </c>
      <c r="AE96" s="181" t="str">
        <f t="shared" si="112"/>
        <v/>
      </c>
      <c r="AF96" s="181" t="str">
        <f t="shared" si="112"/>
        <v/>
      </c>
      <c r="AG96" s="181" t="str">
        <f t="shared" si="112"/>
        <v/>
      </c>
      <c r="AH96" s="181" t="str">
        <f t="shared" si="112"/>
        <v/>
      </c>
      <c r="AI96" s="181" t="str">
        <f t="shared" si="112"/>
        <v/>
      </c>
      <c r="AJ96" s="140" t="str">
        <f t="shared" si="112"/>
        <v/>
      </c>
      <c r="AK96" s="143" t="str">
        <f t="shared" si="112"/>
        <v/>
      </c>
      <c r="AL96" s="184" t="str">
        <f t="shared" si="112"/>
        <v/>
      </c>
      <c r="AM96" s="184" t="str">
        <f t="shared" si="112"/>
        <v/>
      </c>
      <c r="AN96" s="184" t="str">
        <f t="shared" si="112"/>
        <v/>
      </c>
      <c r="AO96" s="184" t="str">
        <f t="shared" si="112"/>
        <v/>
      </c>
      <c r="AP96" s="184" t="str">
        <f t="shared" si="112"/>
        <v/>
      </c>
      <c r="AQ96" s="141" t="str">
        <f t="shared" si="112"/>
        <v/>
      </c>
      <c r="AR96" s="142" t="str">
        <f t="shared" si="112"/>
        <v/>
      </c>
    </row>
    <row r="97" spans="1:44" hidden="1" x14ac:dyDescent="0.3">
      <c r="A97" s="309" t="str">
        <f t="shared" ref="A97" si="113">+IF(C97+C98=0,"[ocultar]","")</f>
        <v>[ocultar]</v>
      </c>
      <c r="B97" s="46" t="s">
        <v>162</v>
      </c>
      <c r="C97" s="45">
        <f t="array" ref="C97">SUM(IF($B97=DATOS_[Sexo],
IF($B96=DATOS_[AGRUP. CLAS. PROF.],
IF("Dentro"=DATOS_[Check Periodo Ref.],
1/(COUNTIFS(DATOS_[Sexo],$B97,DATOS_[AGRUP. CLAS. PROF.],$B96,DATOS_[Check Periodo Ref.],"Dentro",DATOS_[id],DATOS_[id]))))))</f>
        <v>0</v>
      </c>
      <c r="D97" s="47">
        <f>COUNTIFS(DATOS_[AGRUP. CLAS. PROF.],$B96,DATOS_[Sexo],$B97,DATOS_[Check Periodo Ref.],"Dentro")</f>
        <v>0</v>
      </c>
      <c r="E97" s="92">
        <f t="array" ref="E97">IFERROR(
AVERAGE(IF(DATOS_[Sexo]=$B97,IF(DATOS_[AGRUP. CLAS. PROF.]=$B96,IF(DATOS_[Check Periodo Ref.]="Dentro",DATOS_[SALARIO BASE Ef],FALSE)))),
0)</f>
        <v>0</v>
      </c>
      <c r="F97" s="93">
        <f t="array" ref="F97">IFERROR(
AVERAGE((IF(DATOS_[[Sexo]:[Sexo]]=$B97,IF(DATOS_[[AGRUP. CLAS. PROF.]:[AGRUP. CLAS. PROF.]]=$B96,IF(DATOS_[[Check Periodo Ref.]:[Check Periodo Ref.]]="Dentro",DATOS_[Conc.Sal.01]))))),
0)</f>
        <v>0</v>
      </c>
      <c r="G97" s="93">
        <f t="array" ref="G97">IFERROR(
AVERAGE((IF(DATOS_[[Sexo]:[Sexo]]=$B97,IF(DATOS_[[AGRUP. CLAS. PROF.]:[AGRUP. CLAS. PROF.]]=$B96,IF(DATOS_[[Check Periodo Ref.]:[Check Periodo Ref.]]="Dentro",DATOS_[Conc.Sal.02]))))),
0)</f>
        <v>0</v>
      </c>
      <c r="H97" s="93">
        <f t="array" ref="H97">IFERROR(
AVERAGE((IF(DATOS_[[Sexo]:[Sexo]]=$B97,IF(DATOS_[[AGRUP. CLAS. PROF.]:[AGRUP. CLAS. PROF.]]=$B96,IF(DATOS_[[Check Periodo Ref.]:[Check Periodo Ref.]]="Dentro",DATOS_[Conc.Sal.03]))))),
0)</f>
        <v>0</v>
      </c>
      <c r="I97" s="93">
        <f t="array" ref="I97">IFERROR(
AVERAGE((IF(DATOS_[[Sexo]:[Sexo]]=$B97,IF(DATOS_[[AGRUP. CLAS. PROF.]:[AGRUP. CLAS. PROF.]]=$B96,IF(DATOS_[[Check Periodo Ref.]:[Check Periodo Ref.]]="Dentro",DATOS_[Conc.Sal.04]))))),
0)</f>
        <v>0</v>
      </c>
      <c r="J97" s="93">
        <f t="array" ref="J97">IFERROR(
AVERAGE((IF(DATOS_[[Sexo]:[Sexo]]=$B97,IF(DATOS_[[AGRUP. CLAS. PROF.]:[AGRUP. CLAS. PROF.]]=$B96,IF(DATOS_[[Check Periodo Ref.]:[Check Periodo Ref.]]="Dentro",DATOS_[Conc.Sal.05]))))),
0)</f>
        <v>0</v>
      </c>
      <c r="K97" s="93">
        <f t="array" ref="K97">IFERROR(
AVERAGE((IF(DATOS_[[Sexo]:[Sexo]]=$B97,IF(DATOS_[[AGRUP. CLAS. PROF.]:[AGRUP. CLAS. PROF.]]=$B96,IF(DATOS_[[Check Periodo Ref.]:[Check Periodo Ref.]]="Dentro",DATOS_[Conc.Sal.06]))))),
0)</f>
        <v>0</v>
      </c>
      <c r="L97" s="93">
        <f t="array" ref="L97">IFERROR(
AVERAGE((IF(DATOS_[[Sexo]:[Sexo]]=$B97,IF(DATOS_[[AGRUP. CLAS. PROF.]:[AGRUP. CLAS. PROF.]]=$B96,IF(DATOS_[[Check Periodo Ref.]:[Check Periodo Ref.]]="Dentro",DATOS_[Conc.Sal.07]))))),
0)</f>
        <v>0</v>
      </c>
      <c r="M97" s="93">
        <f t="array" ref="M97">IFERROR(
AVERAGE((IF(DATOS_[[Sexo]:[Sexo]]=$B97,IF(DATOS_[[AGRUP. CLAS. PROF.]:[AGRUP. CLAS. PROF.]]=$B96,IF(DATOS_[[Check Periodo Ref.]:[Check Periodo Ref.]]="Dentro",DATOS_[Conc.Sal.08]))))),
0)</f>
        <v>0</v>
      </c>
      <c r="N97" s="93">
        <f t="array" ref="N97">IFERROR(
AVERAGE((IF(DATOS_[[Sexo]:[Sexo]]=$B97,IF(DATOS_[[AGRUP. CLAS. PROF.]:[AGRUP. CLAS. PROF.]]=$B96,IF(DATOS_[[Check Periodo Ref.]:[Check Periodo Ref.]]="Dentro",DATOS_[Conc.Sal.09]))))),
0)</f>
        <v>0</v>
      </c>
      <c r="O97" s="93">
        <f t="array" ref="O97">IFERROR(
AVERAGE((IF(DATOS_[[Sexo]:[Sexo]]=$B97,IF(DATOS_[[AGRUP. CLAS. PROF.]:[AGRUP. CLAS. PROF.]]=$B96,IF(DATOS_[[Check Periodo Ref.]:[Check Periodo Ref.]]="Dentro",DATOS_[Conc.Sal.10]))))),
0)</f>
        <v>0</v>
      </c>
      <c r="P97" s="93">
        <f t="array" ref="P97">IFERROR(
AVERAGE((IF(DATOS_[[Sexo]:[Sexo]]=$B97,IF(DATOS_[[AGRUP. CLAS. PROF.]:[AGRUP. CLAS. PROF.]]=$B96,IF(DATOS_[[Check Periodo Ref.]:[Check Periodo Ref.]]="Dentro",DATOS_[Conc.Sal.11]))))),
0)</f>
        <v>0</v>
      </c>
      <c r="Q97" s="93">
        <f t="array" ref="Q97">IFERROR(
AVERAGE((IF(DATOS_[[Sexo]:[Sexo]]=$B97,IF(DATOS_[[AGRUP. CLAS. PROF.]:[AGRUP. CLAS. PROF.]]=$B96,IF(DATOS_[[Check Periodo Ref.]:[Check Periodo Ref.]]="Dentro",DATOS_[Conc.Sal.12]))))),
0)</f>
        <v>0</v>
      </c>
      <c r="R97" s="93">
        <f t="array" ref="R97">IFERROR(
AVERAGE((IF(DATOS_[[Sexo]:[Sexo]]=$B97,IF(DATOS_[[AGRUP. CLAS. PROF.]:[AGRUP. CLAS. PROF.]]=$B96,IF(DATOS_[[Check Periodo Ref.]:[Check Periodo Ref.]]="Dentro",DATOS_[Conc.Sal.13]))))),
0)</f>
        <v>0</v>
      </c>
      <c r="S97" s="93">
        <f t="array" ref="S97">IFERROR(
AVERAGE((IF(DATOS_[[Sexo]:[Sexo]]=$B97,IF(DATOS_[[AGRUP. CLAS. PROF.]:[AGRUP. CLAS. PROF.]]=$B96,IF(DATOS_[[Check Periodo Ref.]:[Check Periodo Ref.]]="Dentro",DATOS_[Conc.Sal.14]))))),
0)</f>
        <v>0</v>
      </c>
      <c r="T97" s="93">
        <f t="array" ref="T97">IFERROR(
AVERAGE((IF(DATOS_[[Sexo]:[Sexo]]=$B97,IF(DATOS_[[AGRUP. CLAS. PROF.]:[AGRUP. CLAS. PROF.]]=$B96,IF(DATOS_[[Check Periodo Ref.]:[Check Periodo Ref.]]="Dentro",DATOS_[Conc.Sal.15]))))),
0)</f>
        <v>0</v>
      </c>
      <c r="U97" s="93">
        <f t="array" ref="U97">IFERROR(
AVERAGE((IF(DATOS_[[Sexo]:[Sexo]]=$B97,IF(DATOS_[[AGRUP. CLAS. PROF.]:[AGRUP. CLAS. PROF.]]=$B96,IF(DATOS_[[Check Periodo Ref.]:[Check Periodo Ref.]]="Dentro",DATOS_[Conc.Sal.16]))))),
0)</f>
        <v>0</v>
      </c>
      <c r="V97" s="93">
        <f t="array" ref="V97">IFERROR(
AVERAGE((IF(DATOS_[[Sexo]:[Sexo]]=$B97,IF(DATOS_[[AGRUP. CLAS. PROF.]:[AGRUP. CLAS. PROF.]]=$B96,IF(DATOS_[[Check Periodo Ref.]:[Check Periodo Ref.]]="Dentro",DATOS_[Conc.Sal.17]))))),
0)</f>
        <v>0</v>
      </c>
      <c r="W97" s="93">
        <f t="array" ref="W97">IFERROR(
AVERAGE((IF(DATOS_[[Sexo]:[Sexo]]=$B97,IF(DATOS_[[AGRUP. CLAS. PROF.]:[AGRUP. CLAS. PROF.]]=$B96,IF(DATOS_[[Check Periodo Ref.]:[Check Periodo Ref.]]="Dentro",DATOS_[Conc.Sal.18]))))),
0)</f>
        <v>0</v>
      </c>
      <c r="X97" s="93">
        <f t="array" ref="X97">IFERROR(
AVERAGE((IF(DATOS_[[Sexo]:[Sexo]]=$B97,IF(DATOS_[[AGRUP. CLAS. PROF.]:[AGRUP. CLAS. PROF.]]=$B96,IF(DATOS_[[Check Periodo Ref.]:[Check Periodo Ref.]]="Dentro",DATOS_[Conc.Sal.19]))))),
0)</f>
        <v>0</v>
      </c>
      <c r="Y97" s="93">
        <f t="array" ref="Y97">IFERROR(
AVERAGE((IF(DATOS_[[Sexo]:[Sexo]]=$B97,IF(DATOS_[[AGRUP. CLAS. PROF.]:[AGRUP. CLAS. PROF.]]=$B96,IF(DATOS_[[Check Periodo Ref.]:[Check Periodo Ref.]]="Dentro",DATOS_[Conc.Sal.20]))))),
0)</f>
        <v>0</v>
      </c>
      <c r="Z97" s="93">
        <f t="array" ref="Z97">IFERROR(
AVERAGE((IF(DATOS_[[Sexo]:[Sexo]]=$B97,IF(DATOS_[[AGRUP. CLAS. PROF.]:[AGRUP. CLAS. PROF.]]=$B96,IF(DATOS_[[Check Periodo Ref.]:[Check Periodo Ref.]]="Dentro",DATOS_[Conc.Sal.21]))))),
0)</f>
        <v>0</v>
      </c>
      <c r="AA97" s="93">
        <f t="array" ref="AA97">IFERROR(
AVERAGE((IF(DATOS_[[Sexo]:[Sexo]]=$B97,IF(DATOS_[[AGRUP. CLAS. PROF.]:[AGRUP. CLAS. PROF.]]=$B96,IF(DATOS_[[Check Periodo Ref.]:[Check Periodo Ref.]]="Dentro",DATOS_[Conc.Sal.22]))))),
0)</f>
        <v>0</v>
      </c>
      <c r="AB97" s="93">
        <f t="array" ref="AB97">IFERROR(
AVERAGE((IF(DATOS_[[Sexo]:[Sexo]]=$B97,IF(DATOS_[[AGRUP. CLAS. PROF.]:[AGRUP. CLAS. PROF.]]=$B96,IF(DATOS_[[Check Periodo Ref.]:[Check Periodo Ref.]]="Dentro",DATOS_[Conc.Sal.23]))))),
0)</f>
        <v>0</v>
      </c>
      <c r="AC97" s="93">
        <f t="array" ref="AC97">IFERROR(
AVERAGE((IF(DATOS_[[Sexo]:[Sexo]]=$B97,IF(DATOS_[[AGRUP. CLAS. PROF.]:[AGRUP. CLAS. PROF.]]=$B96,IF(DATOS_[[Check Periodo Ref.]:[Check Periodo Ref.]]="Dentro",DATOS_[Conc.Sal.24]))))),
0)</f>
        <v>0</v>
      </c>
      <c r="AD97" s="93">
        <f t="array" ref="AD97">IFERROR(
AVERAGE((IF(DATOS_[[Sexo]:[Sexo]]=$B97,IF(DATOS_[[AGRUP. CLAS. PROF.]:[AGRUP. CLAS. PROF.]]=$B96,IF(DATOS_[[Check Periodo Ref.]:[Check Periodo Ref.]]="Dentro",DATOS_[Conc.Sal.25]))))),
0)</f>
        <v>0</v>
      </c>
      <c r="AE97" s="93">
        <f t="array" ref="AE97">IFERROR(
AVERAGE((IF(DATOS_[[Sexo]:[Sexo]]=$B97,IF(DATOS_[[AGRUP. CLAS. PROF.]:[AGRUP. CLAS. PROF.]]=$B96,IF(DATOS_[[Check Periodo Ref.]:[Check Periodo Ref.]]="Dentro",DATOS_[Conc.Sal.26]))))),
0)</f>
        <v>0</v>
      </c>
      <c r="AF97" s="93">
        <f t="array" ref="AF97">IFERROR(
AVERAGE((IF(DATOS_[[Sexo]:[Sexo]]=$B97,IF(DATOS_[[AGRUP. CLAS. PROF.]:[AGRUP. CLAS. PROF.]]=$B96,IF(DATOS_[[Check Periodo Ref.]:[Check Periodo Ref.]]="Dentro",DATOS_[Conc.Sal.27]))))),
0)</f>
        <v>0</v>
      </c>
      <c r="AG97" s="93">
        <f t="array" ref="AG97">IFERROR(
AVERAGE((IF(DATOS_[[Sexo]:[Sexo]]=$B97,IF(DATOS_[[AGRUP. CLAS. PROF.]:[AGRUP. CLAS. PROF.]]=$B96,IF(DATOS_[[Check Periodo Ref.]:[Check Periodo Ref.]]="Dentro",DATOS_[Conc.Sal.28]))))),
0)</f>
        <v>0</v>
      </c>
      <c r="AH97" s="93">
        <f t="array" ref="AH97">IFERROR(
AVERAGE((IF(DATOS_[[Sexo]:[Sexo]]=$B97,IF(DATOS_[[AGRUP. CLAS. PROF.]:[AGRUP. CLAS. PROF.]]=$B96,IF(DATOS_[[Check Periodo Ref.]:[Check Periodo Ref.]]="Dentro",DATOS_[Conc.Sal.29]))))),
0)</f>
        <v>0</v>
      </c>
      <c r="AI97" s="93">
        <f t="array" ref="AI97">IFERROR(
AVERAGE((IF(DATOS_[[Sexo]:[Sexo]]=$B97,IF(DATOS_[[AGRUP. CLAS. PROF.]:[AGRUP. CLAS. PROF.]]=$B96,IF(DATOS_[[Check Periodo Ref.]:[Check Periodo Ref.]]="Dentro",DATOS_[Conc.Sal.30]))))),
0)</f>
        <v>0</v>
      </c>
      <c r="AJ97" s="94">
        <f t="array" ref="AJ97">IFERROR(
AVERAGE(IF(DATOS_[Sexo]=$B97,IF(DATOS_[AGRUP. CLAS. PROF.]=$B96,IF(DATOS_[Check Periodo Ref.]="Dentro",DATOS_[Tot COMPL.SAL Ef],FALSE)))),
0)</f>
        <v>0</v>
      </c>
      <c r="AK97" s="96">
        <f t="array" ref="AK97">IFERROR(
AVERAGE(IF(DATOS_[Sexo]=$B97,IF(DATOS_[AGRUP. CLAS. PROF.]=$B96,IF(DATOS_[Check Periodo Ref.]="Dentro",DATOS_[TOTAL SALARIO Ef],FALSE)))),
0)</f>
        <v>0</v>
      </c>
      <c r="AL97" s="95">
        <f t="array" ref="AL97">IFERROR(
AVERAGE((IF(DATOS_[[Sexo]:[Sexo]]=$B97,IF(DATOS_[[AGRUP. CLAS. PROF.]:[AGRUP. CLAS. PROF.]]=$B96,IF(DATOS_[[Check Periodo Ref.]:[Check Periodo Ref.]]="Dentro",DATOS_[C.Extra.01]))))),
0)</f>
        <v>0</v>
      </c>
      <c r="AM97" s="95">
        <f t="array" ref="AM97">IFERROR(
AVERAGE((IF(DATOS_[[Sexo]:[Sexo]]=$B97,IF(DATOS_[[AGRUP. CLAS. PROF.]:[AGRUP. CLAS. PROF.]]=$B96,IF(DATOS_[[Check Periodo Ref.]:[Check Periodo Ref.]]="Dentro",DATOS_[C.Extra.02]))))),
0)</f>
        <v>0</v>
      </c>
      <c r="AN97" s="95">
        <f t="array" ref="AN97">IFERROR(
AVERAGE((IF(DATOS_[[Sexo]:[Sexo]]=$B97,IF(DATOS_[[AGRUP. CLAS. PROF.]:[AGRUP. CLAS. PROF.]]=$B96,IF(DATOS_[[Check Periodo Ref.]:[Check Periodo Ref.]]="Dentro",DATOS_[C.Extra.03]))))),
0)</f>
        <v>0</v>
      </c>
      <c r="AO97" s="95">
        <f t="array" ref="AO97">IFERROR(
AVERAGE((IF(DATOS_[[Sexo]:[Sexo]]=$B97,IF(DATOS_[[AGRUP. CLAS. PROF.]:[AGRUP. CLAS. PROF.]]=$B96,IF(DATOS_[[Check Periodo Ref.]:[Check Periodo Ref.]]="Dentro",DATOS_[C.Extra.04]))))),
0)</f>
        <v>0</v>
      </c>
      <c r="AP97" s="95">
        <f t="array" ref="AP97">IFERROR(
AVERAGE((IF(DATOS_[[Sexo]:[Sexo]]=$B97,IF(DATOS_[[AGRUP. CLAS. PROF.]:[AGRUP. CLAS. PROF.]]=$B96,IF(DATOS_[[Check Periodo Ref.]:[Check Periodo Ref.]]="Dentro",DATOS_[C.Extra.05]))))),
0)</f>
        <v>0</v>
      </c>
      <c r="AQ97" s="97">
        <f t="array" ref="AQ97">IFERROR(
AVERAGE(IF(DATOS_[Sexo]=$B97,IF(DATOS_[AGRUP. CLAS. PROF.]=$B96,IF(DATOS_[Check Periodo Ref.]="Dentro",DATOS_[Tot Extrasalarial Ef],FALSE)))),
0)</f>
        <v>0</v>
      </c>
      <c r="AR97" s="98">
        <f t="array" ref="AR97">IFERROR(
AVERAGE(IF(DATOS_[Sexo]=$B97,IF(DATOS_[AGRUP. CLAS. PROF.]=$B96,IF(DATOS_[Check Periodo Ref.]="Dentro",DATOS_[TOTAL Retrib Ef],FALSE)))),
0)</f>
        <v>0</v>
      </c>
    </row>
    <row r="98" spans="1:44" hidden="1" x14ac:dyDescent="0.3">
      <c r="A98" s="309" t="str">
        <f t="shared" ref="A98" si="114">+A97</f>
        <v>[ocultar]</v>
      </c>
      <c r="B98" s="46" t="s">
        <v>163</v>
      </c>
      <c r="C98" s="45">
        <f t="array" ref="C98">SUM(IF($B98=DATOS_[Sexo],
IF($B96=DATOS_[AGRUP. CLAS. PROF.],
IF("Dentro"=DATOS_[Check Periodo Ref.],
1/(COUNTIFS(DATOS_[Sexo],$B98,DATOS_[AGRUP. CLAS. PROF.],$B96,DATOS_[Check Periodo Ref.],"Dentro",DATOS_[id],DATOS_[id]))))))</f>
        <v>0</v>
      </c>
      <c r="D98" s="47">
        <f>COUNTIFS(DATOS_[AGRUP. CLAS. PROF.],$B96,DATOS_[Sexo],$B98,DATOS_[Check Periodo Ref.],"Dentro")</f>
        <v>0</v>
      </c>
      <c r="E98" s="92">
        <f t="array" ref="E98">IFERROR(
AVERAGE(IF(DATOS_[Sexo]=$B98,IF(DATOS_[AGRUP. CLAS. PROF.]=$B96,IF(DATOS_[Check Periodo Ref.]="Dentro",DATOS_[SALARIO BASE Ef],FALSE)))),
0)</f>
        <v>0</v>
      </c>
      <c r="F98" s="93">
        <f t="array" ref="F98">IFERROR(
AVERAGE((IF(DATOS_[[Sexo]:[Sexo]]=$B98,IF(DATOS_[[AGRUP. CLAS. PROF.]:[AGRUP. CLAS. PROF.]]=$B96,IF(DATOS_[[Check Periodo Ref.]:[Check Periodo Ref.]]="Dentro",DATOS_[Conc.Sal.01]))))),
0)</f>
        <v>0</v>
      </c>
      <c r="G98" s="93">
        <f t="array" ref="G98">IFERROR(
AVERAGE((IF(DATOS_[[Sexo]:[Sexo]]=$B98,IF(DATOS_[[AGRUP. CLAS. PROF.]:[AGRUP. CLAS. PROF.]]=$B96,IF(DATOS_[[Check Periodo Ref.]:[Check Periodo Ref.]]="Dentro",DATOS_[Conc.Sal.02]))))),
0)</f>
        <v>0</v>
      </c>
      <c r="H98" s="93">
        <f t="array" ref="H98">IFERROR(
AVERAGE((IF(DATOS_[[Sexo]:[Sexo]]=$B98,IF(DATOS_[[AGRUP. CLAS. PROF.]:[AGRUP. CLAS. PROF.]]=$B96,IF(DATOS_[[Check Periodo Ref.]:[Check Periodo Ref.]]="Dentro",DATOS_[Conc.Sal.03]))))),
0)</f>
        <v>0</v>
      </c>
      <c r="I98" s="93">
        <f t="array" ref="I98">IFERROR(
AVERAGE((IF(DATOS_[[Sexo]:[Sexo]]=$B98,IF(DATOS_[[AGRUP. CLAS. PROF.]:[AGRUP. CLAS. PROF.]]=$B96,IF(DATOS_[[Check Periodo Ref.]:[Check Periodo Ref.]]="Dentro",DATOS_[Conc.Sal.04]))))),
0)</f>
        <v>0</v>
      </c>
      <c r="J98" s="93">
        <f t="array" ref="J98">IFERROR(
AVERAGE((IF(DATOS_[[Sexo]:[Sexo]]=$B98,IF(DATOS_[[AGRUP. CLAS. PROF.]:[AGRUP. CLAS. PROF.]]=$B96,IF(DATOS_[[Check Periodo Ref.]:[Check Periodo Ref.]]="Dentro",DATOS_[Conc.Sal.05]))))),
0)</f>
        <v>0</v>
      </c>
      <c r="K98" s="93">
        <f t="array" ref="K98">IFERROR(
AVERAGE((IF(DATOS_[[Sexo]:[Sexo]]=$B98,IF(DATOS_[[AGRUP. CLAS. PROF.]:[AGRUP. CLAS. PROF.]]=$B96,IF(DATOS_[[Check Periodo Ref.]:[Check Periodo Ref.]]="Dentro",DATOS_[Conc.Sal.06]))))),
0)</f>
        <v>0</v>
      </c>
      <c r="L98" s="93">
        <f t="array" ref="L98">IFERROR(
AVERAGE((IF(DATOS_[[Sexo]:[Sexo]]=$B98,IF(DATOS_[[AGRUP. CLAS. PROF.]:[AGRUP. CLAS. PROF.]]=$B96,IF(DATOS_[[Check Periodo Ref.]:[Check Periodo Ref.]]="Dentro",DATOS_[Conc.Sal.07]))))),
0)</f>
        <v>0</v>
      </c>
      <c r="M98" s="93">
        <f t="array" ref="M98">IFERROR(
AVERAGE((IF(DATOS_[[Sexo]:[Sexo]]=$B98,IF(DATOS_[[AGRUP. CLAS. PROF.]:[AGRUP. CLAS. PROF.]]=$B96,IF(DATOS_[[Check Periodo Ref.]:[Check Periodo Ref.]]="Dentro",DATOS_[Conc.Sal.08]))))),
0)</f>
        <v>0</v>
      </c>
      <c r="N98" s="93">
        <f t="array" ref="N98">IFERROR(
AVERAGE((IF(DATOS_[[Sexo]:[Sexo]]=$B98,IF(DATOS_[[AGRUP. CLAS. PROF.]:[AGRUP. CLAS. PROF.]]=$B96,IF(DATOS_[[Check Periodo Ref.]:[Check Periodo Ref.]]="Dentro",DATOS_[Conc.Sal.09]))))),
0)</f>
        <v>0</v>
      </c>
      <c r="O98" s="93">
        <f t="array" ref="O98">IFERROR(
AVERAGE((IF(DATOS_[[Sexo]:[Sexo]]=$B98,IF(DATOS_[[AGRUP. CLAS. PROF.]:[AGRUP. CLAS. PROF.]]=$B96,IF(DATOS_[[Check Periodo Ref.]:[Check Periodo Ref.]]="Dentro",DATOS_[Conc.Sal.10]))))),
0)</f>
        <v>0</v>
      </c>
      <c r="P98" s="93">
        <f t="array" ref="P98">IFERROR(
AVERAGE((IF(DATOS_[[Sexo]:[Sexo]]=$B98,IF(DATOS_[[AGRUP. CLAS. PROF.]:[AGRUP. CLAS. PROF.]]=$B96,IF(DATOS_[[Check Periodo Ref.]:[Check Periodo Ref.]]="Dentro",DATOS_[Conc.Sal.11]))))),
0)</f>
        <v>0</v>
      </c>
      <c r="Q98" s="93">
        <f t="array" ref="Q98">IFERROR(
AVERAGE((IF(DATOS_[[Sexo]:[Sexo]]=$B98,IF(DATOS_[[AGRUP. CLAS. PROF.]:[AGRUP. CLAS. PROF.]]=$B96,IF(DATOS_[[Check Periodo Ref.]:[Check Periodo Ref.]]="Dentro",DATOS_[Conc.Sal.12]))))),
0)</f>
        <v>0</v>
      </c>
      <c r="R98" s="93">
        <f t="array" ref="R98">IFERROR(
AVERAGE((IF(DATOS_[[Sexo]:[Sexo]]=$B98,IF(DATOS_[[AGRUP. CLAS. PROF.]:[AGRUP. CLAS. PROF.]]=$B96,IF(DATOS_[[Check Periodo Ref.]:[Check Periodo Ref.]]="Dentro",DATOS_[Conc.Sal.13]))))),
0)</f>
        <v>0</v>
      </c>
      <c r="S98" s="93">
        <f t="array" ref="S98">IFERROR(
AVERAGE((IF(DATOS_[[Sexo]:[Sexo]]=$B98,IF(DATOS_[[AGRUP. CLAS. PROF.]:[AGRUP. CLAS. PROF.]]=$B96,IF(DATOS_[[Check Periodo Ref.]:[Check Periodo Ref.]]="Dentro",DATOS_[Conc.Sal.14]))))),
0)</f>
        <v>0</v>
      </c>
      <c r="T98" s="93">
        <f t="array" ref="T98">IFERROR(
AVERAGE((IF(DATOS_[[Sexo]:[Sexo]]=$B98,IF(DATOS_[[AGRUP. CLAS. PROF.]:[AGRUP. CLAS. PROF.]]=$B96,IF(DATOS_[[Check Periodo Ref.]:[Check Periodo Ref.]]="Dentro",DATOS_[Conc.Sal.15]))))),
0)</f>
        <v>0</v>
      </c>
      <c r="U98" s="93">
        <f t="array" ref="U98">IFERROR(
AVERAGE((IF(DATOS_[[Sexo]:[Sexo]]=$B98,IF(DATOS_[[AGRUP. CLAS. PROF.]:[AGRUP. CLAS. PROF.]]=$B96,IF(DATOS_[[Check Periodo Ref.]:[Check Periodo Ref.]]="Dentro",DATOS_[Conc.Sal.16]))))),
0)</f>
        <v>0</v>
      </c>
      <c r="V98" s="93">
        <f t="array" ref="V98">IFERROR(
AVERAGE((IF(DATOS_[[Sexo]:[Sexo]]=$B98,IF(DATOS_[[AGRUP. CLAS. PROF.]:[AGRUP. CLAS. PROF.]]=$B96,IF(DATOS_[[Check Periodo Ref.]:[Check Periodo Ref.]]="Dentro",DATOS_[Conc.Sal.17]))))),
0)</f>
        <v>0</v>
      </c>
      <c r="W98" s="93">
        <f t="array" ref="W98">IFERROR(
AVERAGE((IF(DATOS_[[Sexo]:[Sexo]]=$B98,IF(DATOS_[[AGRUP. CLAS. PROF.]:[AGRUP. CLAS. PROF.]]=$B96,IF(DATOS_[[Check Periodo Ref.]:[Check Periodo Ref.]]="Dentro",DATOS_[Conc.Sal.18]))))),
0)</f>
        <v>0</v>
      </c>
      <c r="X98" s="93">
        <f t="array" ref="X98">IFERROR(
AVERAGE((IF(DATOS_[[Sexo]:[Sexo]]=$B98,IF(DATOS_[[AGRUP. CLAS. PROF.]:[AGRUP. CLAS. PROF.]]=$B96,IF(DATOS_[[Check Periodo Ref.]:[Check Periodo Ref.]]="Dentro",DATOS_[Conc.Sal.19]))))),
0)</f>
        <v>0</v>
      </c>
      <c r="Y98" s="93">
        <f t="array" ref="Y98">IFERROR(
AVERAGE((IF(DATOS_[[Sexo]:[Sexo]]=$B98,IF(DATOS_[[AGRUP. CLAS. PROF.]:[AGRUP. CLAS. PROF.]]=$B96,IF(DATOS_[[Check Periodo Ref.]:[Check Periodo Ref.]]="Dentro",DATOS_[Conc.Sal.20]))))),
0)</f>
        <v>0</v>
      </c>
      <c r="Z98" s="93">
        <f t="array" ref="Z98">IFERROR(
AVERAGE((IF(DATOS_[[Sexo]:[Sexo]]=$B98,IF(DATOS_[[AGRUP. CLAS. PROF.]:[AGRUP. CLAS. PROF.]]=$B96,IF(DATOS_[[Check Periodo Ref.]:[Check Periodo Ref.]]="Dentro",DATOS_[Conc.Sal.21]))))),
0)</f>
        <v>0</v>
      </c>
      <c r="AA98" s="93">
        <f t="array" ref="AA98">IFERROR(
AVERAGE((IF(DATOS_[[Sexo]:[Sexo]]=$B98,IF(DATOS_[[AGRUP. CLAS. PROF.]:[AGRUP. CLAS. PROF.]]=$B96,IF(DATOS_[[Check Periodo Ref.]:[Check Periodo Ref.]]="Dentro",DATOS_[Conc.Sal.22]))))),
0)</f>
        <v>0</v>
      </c>
      <c r="AB98" s="93">
        <f t="array" ref="AB98">IFERROR(
AVERAGE((IF(DATOS_[[Sexo]:[Sexo]]=$B98,IF(DATOS_[[AGRUP. CLAS. PROF.]:[AGRUP. CLAS. PROF.]]=$B96,IF(DATOS_[[Check Periodo Ref.]:[Check Periodo Ref.]]="Dentro",DATOS_[Conc.Sal.23]))))),
0)</f>
        <v>0</v>
      </c>
      <c r="AC98" s="93">
        <f t="array" ref="AC98">IFERROR(
AVERAGE((IF(DATOS_[[Sexo]:[Sexo]]=$B98,IF(DATOS_[[AGRUP. CLAS. PROF.]:[AGRUP. CLAS. PROF.]]=$B96,IF(DATOS_[[Check Periodo Ref.]:[Check Periodo Ref.]]="Dentro",DATOS_[Conc.Sal.24]))))),
0)</f>
        <v>0</v>
      </c>
      <c r="AD98" s="93">
        <f t="array" ref="AD98">IFERROR(
AVERAGE((IF(DATOS_[[Sexo]:[Sexo]]=$B98,IF(DATOS_[[AGRUP. CLAS. PROF.]:[AGRUP. CLAS. PROF.]]=$B96,IF(DATOS_[[Check Periodo Ref.]:[Check Periodo Ref.]]="Dentro",DATOS_[Conc.Sal.25]))))),
0)</f>
        <v>0</v>
      </c>
      <c r="AE98" s="93">
        <f t="array" ref="AE98">IFERROR(
AVERAGE((IF(DATOS_[[Sexo]:[Sexo]]=$B98,IF(DATOS_[[AGRUP. CLAS. PROF.]:[AGRUP. CLAS. PROF.]]=$B96,IF(DATOS_[[Check Periodo Ref.]:[Check Periodo Ref.]]="Dentro",DATOS_[Conc.Sal.26]))))),
0)</f>
        <v>0</v>
      </c>
      <c r="AF98" s="93">
        <f t="array" ref="AF98">IFERROR(
AVERAGE((IF(DATOS_[[Sexo]:[Sexo]]=$B98,IF(DATOS_[[AGRUP. CLAS. PROF.]:[AGRUP. CLAS. PROF.]]=$B96,IF(DATOS_[[Check Periodo Ref.]:[Check Periodo Ref.]]="Dentro",DATOS_[Conc.Sal.27]))))),
0)</f>
        <v>0</v>
      </c>
      <c r="AG98" s="93">
        <f t="array" ref="AG98">IFERROR(
AVERAGE((IF(DATOS_[[Sexo]:[Sexo]]=$B98,IF(DATOS_[[AGRUP. CLAS. PROF.]:[AGRUP. CLAS. PROF.]]=$B96,IF(DATOS_[[Check Periodo Ref.]:[Check Periodo Ref.]]="Dentro",DATOS_[Conc.Sal.28]))))),
0)</f>
        <v>0</v>
      </c>
      <c r="AH98" s="93">
        <f t="array" ref="AH98">IFERROR(
AVERAGE((IF(DATOS_[[Sexo]:[Sexo]]=$B98,IF(DATOS_[[AGRUP. CLAS. PROF.]:[AGRUP. CLAS. PROF.]]=$B96,IF(DATOS_[[Check Periodo Ref.]:[Check Periodo Ref.]]="Dentro",DATOS_[Conc.Sal.29]))))),
0)</f>
        <v>0</v>
      </c>
      <c r="AI98" s="93">
        <f t="array" ref="AI98">IFERROR(
AVERAGE((IF(DATOS_[[Sexo]:[Sexo]]=$B98,IF(DATOS_[[AGRUP. CLAS. PROF.]:[AGRUP. CLAS. PROF.]]=$B96,IF(DATOS_[[Check Periodo Ref.]:[Check Periodo Ref.]]="Dentro",DATOS_[Conc.Sal.30]))))),
0)</f>
        <v>0</v>
      </c>
      <c r="AJ98" s="94">
        <f t="array" ref="AJ98">IFERROR(
AVERAGE(IF(DATOS_[Sexo]=$B98,IF(DATOS_[AGRUP. CLAS. PROF.]=$B96,IF(DATOS_[Check Periodo Ref.]="Dentro",DATOS_[Tot COMPL.SAL Ef],FALSE)))),
0)</f>
        <v>0</v>
      </c>
      <c r="AK98" s="96">
        <f t="array" ref="AK98">IFERROR(
AVERAGE(IF(DATOS_[Sexo]=$B98,IF(DATOS_[AGRUP. CLAS. PROF.]=$B96,IF(DATOS_[Check Periodo Ref.]="Dentro",DATOS_[TOTAL SALARIO Ef],FALSE)))),
0)</f>
        <v>0</v>
      </c>
      <c r="AL98" s="95">
        <f t="array" ref="AL98">IFERROR(
AVERAGE((IF(DATOS_[[Sexo]:[Sexo]]=$B98,IF(DATOS_[[AGRUP. CLAS. PROF.]:[AGRUP. CLAS. PROF.]]=$B96,IF(DATOS_[[Check Periodo Ref.]:[Check Periodo Ref.]]="Dentro",DATOS_[C.Extra.01]))))),
0)</f>
        <v>0</v>
      </c>
      <c r="AM98" s="95">
        <f t="array" ref="AM98">IFERROR(
AVERAGE((IF(DATOS_[[Sexo]:[Sexo]]=$B98,IF(DATOS_[[AGRUP. CLAS. PROF.]:[AGRUP. CLAS. PROF.]]=$B96,IF(DATOS_[[Check Periodo Ref.]:[Check Periodo Ref.]]="Dentro",DATOS_[C.Extra.02]))))),
0)</f>
        <v>0</v>
      </c>
      <c r="AN98" s="95">
        <f t="array" ref="AN98">IFERROR(
AVERAGE((IF(DATOS_[[Sexo]:[Sexo]]=$B98,IF(DATOS_[[AGRUP. CLAS. PROF.]:[AGRUP. CLAS. PROF.]]=$B96,IF(DATOS_[[Check Periodo Ref.]:[Check Periodo Ref.]]="Dentro",DATOS_[C.Extra.03]))))),
0)</f>
        <v>0</v>
      </c>
      <c r="AO98" s="95">
        <f t="array" ref="AO98">IFERROR(
AVERAGE((IF(DATOS_[[Sexo]:[Sexo]]=$B98,IF(DATOS_[[AGRUP. CLAS. PROF.]:[AGRUP. CLAS. PROF.]]=$B96,IF(DATOS_[[Check Periodo Ref.]:[Check Periodo Ref.]]="Dentro",DATOS_[C.Extra.04]))))),
0)</f>
        <v>0</v>
      </c>
      <c r="AP98" s="95">
        <f t="array" ref="AP98">IFERROR(
AVERAGE((IF(DATOS_[[Sexo]:[Sexo]]=$B98,IF(DATOS_[[AGRUP. CLAS. PROF.]:[AGRUP. CLAS. PROF.]]=$B96,IF(DATOS_[[Check Periodo Ref.]:[Check Periodo Ref.]]="Dentro",DATOS_[C.Extra.05]))))),
0)</f>
        <v>0</v>
      </c>
      <c r="AQ98" s="97">
        <f t="array" ref="AQ98">IFERROR(
AVERAGE(IF(DATOS_[Sexo]=$B98,IF(DATOS_[AGRUP. CLAS. PROF.]=$B96,IF(DATOS_[Check Periodo Ref.]="Dentro",DATOS_[Tot Extrasalarial Ef],FALSE)))),
0)</f>
        <v>0</v>
      </c>
      <c r="AR98" s="98">
        <f t="array" ref="AR98">IFERROR(
AVERAGE(IF(DATOS_[Sexo]=$B98,IF(DATOS_[AGRUP. CLAS. PROF.]=$B96,IF(DATOS_[Check Periodo Ref.]="Dentro",DATOS_[TOTAL Retrib Ef],FALSE)))),
0)</f>
        <v>0</v>
      </c>
    </row>
    <row r="99" spans="1:44" ht="17.25" hidden="1" thickBot="1" x14ac:dyDescent="0.35">
      <c r="A99" s="309" t="str">
        <f t="shared" ref="A99" si="115">+A100</f>
        <v>[ocultar]</v>
      </c>
      <c r="B99" s="51" t="s">
        <v>245</v>
      </c>
      <c r="C99" s="91"/>
      <c r="D99" s="52"/>
      <c r="E99" s="139" t="str">
        <f t="shared" ref="E99:AR99" si="116">IFERROR((E100-E101)/E100,"")</f>
        <v/>
      </c>
      <c r="F99" s="310" t="str">
        <f t="shared" si="116"/>
        <v/>
      </c>
      <c r="G99" s="180" t="str">
        <f t="shared" si="116"/>
        <v/>
      </c>
      <c r="H99" s="180" t="str">
        <f t="shared" si="116"/>
        <v/>
      </c>
      <c r="I99" s="180" t="str">
        <f t="shared" si="116"/>
        <v/>
      </c>
      <c r="J99" s="181" t="str">
        <f t="shared" si="116"/>
        <v/>
      </c>
      <c r="K99" s="182" t="str">
        <f t="shared" si="116"/>
        <v/>
      </c>
      <c r="L99" s="182" t="str">
        <f t="shared" si="116"/>
        <v/>
      </c>
      <c r="M99" s="182" t="str">
        <f t="shared" si="116"/>
        <v/>
      </c>
      <c r="N99" s="182" t="str">
        <f t="shared" si="116"/>
        <v/>
      </c>
      <c r="O99" s="182" t="str">
        <f t="shared" si="116"/>
        <v/>
      </c>
      <c r="P99" s="182" t="str">
        <f t="shared" si="116"/>
        <v/>
      </c>
      <c r="Q99" s="182" t="str">
        <f t="shared" si="116"/>
        <v/>
      </c>
      <c r="R99" s="182" t="str">
        <f t="shared" si="116"/>
        <v/>
      </c>
      <c r="S99" s="182" t="str">
        <f t="shared" si="116"/>
        <v/>
      </c>
      <c r="T99" s="182" t="str">
        <f t="shared" si="116"/>
        <v/>
      </c>
      <c r="U99" s="182" t="str">
        <f t="shared" si="116"/>
        <v/>
      </c>
      <c r="V99" s="181" t="str">
        <f t="shared" si="116"/>
        <v/>
      </c>
      <c r="W99" s="181" t="str">
        <f t="shared" si="116"/>
        <v/>
      </c>
      <c r="X99" s="181" t="str">
        <f t="shared" si="116"/>
        <v/>
      </c>
      <c r="Y99" s="181" t="str">
        <f t="shared" si="116"/>
        <v/>
      </c>
      <c r="Z99" s="181" t="str">
        <f t="shared" si="116"/>
        <v/>
      </c>
      <c r="AA99" s="181" t="str">
        <f t="shared" si="116"/>
        <v/>
      </c>
      <c r="AB99" s="181" t="str">
        <f t="shared" si="116"/>
        <v/>
      </c>
      <c r="AC99" s="181" t="str">
        <f t="shared" si="116"/>
        <v/>
      </c>
      <c r="AD99" s="181" t="str">
        <f t="shared" si="116"/>
        <v/>
      </c>
      <c r="AE99" s="181" t="str">
        <f t="shared" si="116"/>
        <v/>
      </c>
      <c r="AF99" s="181" t="str">
        <f t="shared" si="116"/>
        <v/>
      </c>
      <c r="AG99" s="181" t="str">
        <f t="shared" si="116"/>
        <v/>
      </c>
      <c r="AH99" s="181" t="str">
        <f t="shared" si="116"/>
        <v/>
      </c>
      <c r="AI99" s="181" t="str">
        <f t="shared" si="116"/>
        <v/>
      </c>
      <c r="AJ99" s="140" t="str">
        <f t="shared" si="116"/>
        <v/>
      </c>
      <c r="AK99" s="143" t="str">
        <f t="shared" si="116"/>
        <v/>
      </c>
      <c r="AL99" s="184" t="str">
        <f t="shared" si="116"/>
        <v/>
      </c>
      <c r="AM99" s="184" t="str">
        <f t="shared" si="116"/>
        <v/>
      </c>
      <c r="AN99" s="184" t="str">
        <f t="shared" si="116"/>
        <v/>
      </c>
      <c r="AO99" s="184" t="str">
        <f t="shared" si="116"/>
        <v/>
      </c>
      <c r="AP99" s="184" t="str">
        <f t="shared" si="116"/>
        <v/>
      </c>
      <c r="AQ99" s="141" t="str">
        <f t="shared" si="116"/>
        <v/>
      </c>
      <c r="AR99" s="142" t="str">
        <f t="shared" si="116"/>
        <v/>
      </c>
    </row>
    <row r="100" spans="1:44" hidden="1" x14ac:dyDescent="0.3">
      <c r="A100" s="309" t="str">
        <f t="shared" ref="A100" si="117">+IF(C100+C101=0,"[ocultar]","")</f>
        <v>[ocultar]</v>
      </c>
      <c r="B100" s="46" t="s">
        <v>162</v>
      </c>
      <c r="C100" s="45">
        <f t="array" ref="C100">SUM(IF($B100=DATOS_[Sexo],
IF($B99=DATOS_[AGRUP. CLAS. PROF.],
IF("Dentro"=DATOS_[Check Periodo Ref.],
1/(COUNTIFS(DATOS_[Sexo],$B100,DATOS_[AGRUP. CLAS. PROF.],$B99,DATOS_[Check Periodo Ref.],"Dentro",DATOS_[id],DATOS_[id]))))))</f>
        <v>0</v>
      </c>
      <c r="D100" s="47">
        <f>COUNTIFS(DATOS_[AGRUP. CLAS. PROF.],$B99,DATOS_[Sexo],$B100,DATOS_[Check Periodo Ref.],"Dentro")</f>
        <v>0</v>
      </c>
      <c r="E100" s="92">
        <f t="array" ref="E100">IFERROR(
AVERAGE(IF(DATOS_[Sexo]=$B100,IF(DATOS_[AGRUP. CLAS. PROF.]=$B99,IF(DATOS_[Check Periodo Ref.]="Dentro",DATOS_[SALARIO BASE Ef],FALSE)))),
0)</f>
        <v>0</v>
      </c>
      <c r="F100" s="93">
        <f t="array" ref="F100">IFERROR(
AVERAGE((IF(DATOS_[[Sexo]:[Sexo]]=$B100,IF(DATOS_[[AGRUP. CLAS. PROF.]:[AGRUP. CLAS. PROF.]]=$B99,IF(DATOS_[[Check Periodo Ref.]:[Check Periodo Ref.]]="Dentro",DATOS_[Conc.Sal.01]))))),
0)</f>
        <v>0</v>
      </c>
      <c r="G100" s="93">
        <f t="array" ref="G100">IFERROR(
AVERAGE((IF(DATOS_[[Sexo]:[Sexo]]=$B100,IF(DATOS_[[AGRUP. CLAS. PROF.]:[AGRUP. CLAS. PROF.]]=$B99,IF(DATOS_[[Check Periodo Ref.]:[Check Periodo Ref.]]="Dentro",DATOS_[Conc.Sal.02]))))),
0)</f>
        <v>0</v>
      </c>
      <c r="H100" s="93">
        <f t="array" ref="H100">IFERROR(
AVERAGE((IF(DATOS_[[Sexo]:[Sexo]]=$B100,IF(DATOS_[[AGRUP. CLAS. PROF.]:[AGRUP. CLAS. PROF.]]=$B99,IF(DATOS_[[Check Periodo Ref.]:[Check Periodo Ref.]]="Dentro",DATOS_[Conc.Sal.03]))))),
0)</f>
        <v>0</v>
      </c>
      <c r="I100" s="93">
        <f t="array" ref="I100">IFERROR(
AVERAGE((IF(DATOS_[[Sexo]:[Sexo]]=$B100,IF(DATOS_[[AGRUP. CLAS. PROF.]:[AGRUP. CLAS. PROF.]]=$B99,IF(DATOS_[[Check Periodo Ref.]:[Check Periodo Ref.]]="Dentro",DATOS_[Conc.Sal.04]))))),
0)</f>
        <v>0</v>
      </c>
      <c r="J100" s="93">
        <f t="array" ref="J100">IFERROR(
AVERAGE((IF(DATOS_[[Sexo]:[Sexo]]=$B100,IF(DATOS_[[AGRUP. CLAS. PROF.]:[AGRUP. CLAS. PROF.]]=$B99,IF(DATOS_[[Check Periodo Ref.]:[Check Periodo Ref.]]="Dentro",DATOS_[Conc.Sal.05]))))),
0)</f>
        <v>0</v>
      </c>
      <c r="K100" s="93">
        <f t="array" ref="K100">IFERROR(
AVERAGE((IF(DATOS_[[Sexo]:[Sexo]]=$B100,IF(DATOS_[[AGRUP. CLAS. PROF.]:[AGRUP. CLAS. PROF.]]=$B99,IF(DATOS_[[Check Periodo Ref.]:[Check Periodo Ref.]]="Dentro",DATOS_[Conc.Sal.06]))))),
0)</f>
        <v>0</v>
      </c>
      <c r="L100" s="93">
        <f t="array" ref="L100">IFERROR(
AVERAGE((IF(DATOS_[[Sexo]:[Sexo]]=$B100,IF(DATOS_[[AGRUP. CLAS. PROF.]:[AGRUP. CLAS. PROF.]]=$B99,IF(DATOS_[[Check Periodo Ref.]:[Check Periodo Ref.]]="Dentro",DATOS_[Conc.Sal.07]))))),
0)</f>
        <v>0</v>
      </c>
      <c r="M100" s="93">
        <f t="array" ref="M100">IFERROR(
AVERAGE((IF(DATOS_[[Sexo]:[Sexo]]=$B100,IF(DATOS_[[AGRUP. CLAS. PROF.]:[AGRUP. CLAS. PROF.]]=$B99,IF(DATOS_[[Check Periodo Ref.]:[Check Periodo Ref.]]="Dentro",DATOS_[Conc.Sal.08]))))),
0)</f>
        <v>0</v>
      </c>
      <c r="N100" s="93">
        <f t="array" ref="N100">IFERROR(
AVERAGE((IF(DATOS_[[Sexo]:[Sexo]]=$B100,IF(DATOS_[[AGRUP. CLAS. PROF.]:[AGRUP. CLAS. PROF.]]=$B99,IF(DATOS_[[Check Periodo Ref.]:[Check Periodo Ref.]]="Dentro",DATOS_[Conc.Sal.09]))))),
0)</f>
        <v>0</v>
      </c>
      <c r="O100" s="93">
        <f t="array" ref="O100">IFERROR(
AVERAGE((IF(DATOS_[[Sexo]:[Sexo]]=$B100,IF(DATOS_[[AGRUP. CLAS. PROF.]:[AGRUP. CLAS. PROF.]]=$B99,IF(DATOS_[[Check Periodo Ref.]:[Check Periodo Ref.]]="Dentro",DATOS_[Conc.Sal.10]))))),
0)</f>
        <v>0</v>
      </c>
      <c r="P100" s="93">
        <f t="array" ref="P100">IFERROR(
AVERAGE((IF(DATOS_[[Sexo]:[Sexo]]=$B100,IF(DATOS_[[AGRUP. CLAS. PROF.]:[AGRUP. CLAS. PROF.]]=$B99,IF(DATOS_[[Check Periodo Ref.]:[Check Periodo Ref.]]="Dentro",DATOS_[Conc.Sal.11]))))),
0)</f>
        <v>0</v>
      </c>
      <c r="Q100" s="93">
        <f t="array" ref="Q100">IFERROR(
AVERAGE((IF(DATOS_[[Sexo]:[Sexo]]=$B100,IF(DATOS_[[AGRUP. CLAS. PROF.]:[AGRUP. CLAS. PROF.]]=$B99,IF(DATOS_[[Check Periodo Ref.]:[Check Periodo Ref.]]="Dentro",DATOS_[Conc.Sal.12]))))),
0)</f>
        <v>0</v>
      </c>
      <c r="R100" s="93">
        <f t="array" ref="R100">IFERROR(
AVERAGE((IF(DATOS_[[Sexo]:[Sexo]]=$B100,IF(DATOS_[[AGRUP. CLAS. PROF.]:[AGRUP. CLAS. PROF.]]=$B99,IF(DATOS_[[Check Periodo Ref.]:[Check Periodo Ref.]]="Dentro",DATOS_[Conc.Sal.13]))))),
0)</f>
        <v>0</v>
      </c>
      <c r="S100" s="93">
        <f t="array" ref="S100">IFERROR(
AVERAGE((IF(DATOS_[[Sexo]:[Sexo]]=$B100,IF(DATOS_[[AGRUP. CLAS. PROF.]:[AGRUP. CLAS. PROF.]]=$B99,IF(DATOS_[[Check Periodo Ref.]:[Check Periodo Ref.]]="Dentro",DATOS_[Conc.Sal.14]))))),
0)</f>
        <v>0</v>
      </c>
      <c r="T100" s="93">
        <f t="array" ref="T100">IFERROR(
AVERAGE((IF(DATOS_[[Sexo]:[Sexo]]=$B100,IF(DATOS_[[AGRUP. CLAS. PROF.]:[AGRUP. CLAS. PROF.]]=$B99,IF(DATOS_[[Check Periodo Ref.]:[Check Periodo Ref.]]="Dentro",DATOS_[Conc.Sal.15]))))),
0)</f>
        <v>0</v>
      </c>
      <c r="U100" s="93">
        <f t="array" ref="U100">IFERROR(
AVERAGE((IF(DATOS_[[Sexo]:[Sexo]]=$B100,IF(DATOS_[[AGRUP. CLAS. PROF.]:[AGRUP. CLAS. PROF.]]=$B99,IF(DATOS_[[Check Periodo Ref.]:[Check Periodo Ref.]]="Dentro",DATOS_[Conc.Sal.16]))))),
0)</f>
        <v>0</v>
      </c>
      <c r="V100" s="93">
        <f t="array" ref="V100">IFERROR(
AVERAGE((IF(DATOS_[[Sexo]:[Sexo]]=$B100,IF(DATOS_[[AGRUP. CLAS. PROF.]:[AGRUP. CLAS. PROF.]]=$B99,IF(DATOS_[[Check Periodo Ref.]:[Check Periodo Ref.]]="Dentro",DATOS_[Conc.Sal.17]))))),
0)</f>
        <v>0</v>
      </c>
      <c r="W100" s="93">
        <f t="array" ref="W100">IFERROR(
AVERAGE((IF(DATOS_[[Sexo]:[Sexo]]=$B100,IF(DATOS_[[AGRUP. CLAS. PROF.]:[AGRUP. CLAS. PROF.]]=$B99,IF(DATOS_[[Check Periodo Ref.]:[Check Periodo Ref.]]="Dentro",DATOS_[Conc.Sal.18]))))),
0)</f>
        <v>0</v>
      </c>
      <c r="X100" s="93">
        <f t="array" ref="X100">IFERROR(
AVERAGE((IF(DATOS_[[Sexo]:[Sexo]]=$B100,IF(DATOS_[[AGRUP. CLAS. PROF.]:[AGRUP. CLAS. PROF.]]=$B99,IF(DATOS_[[Check Periodo Ref.]:[Check Periodo Ref.]]="Dentro",DATOS_[Conc.Sal.19]))))),
0)</f>
        <v>0</v>
      </c>
      <c r="Y100" s="93">
        <f t="array" ref="Y100">IFERROR(
AVERAGE((IF(DATOS_[[Sexo]:[Sexo]]=$B100,IF(DATOS_[[AGRUP. CLAS. PROF.]:[AGRUP. CLAS. PROF.]]=$B99,IF(DATOS_[[Check Periodo Ref.]:[Check Periodo Ref.]]="Dentro",DATOS_[Conc.Sal.20]))))),
0)</f>
        <v>0</v>
      </c>
      <c r="Z100" s="93">
        <f t="array" ref="Z100">IFERROR(
AVERAGE((IF(DATOS_[[Sexo]:[Sexo]]=$B100,IF(DATOS_[[AGRUP. CLAS. PROF.]:[AGRUP. CLAS. PROF.]]=$B99,IF(DATOS_[[Check Periodo Ref.]:[Check Periodo Ref.]]="Dentro",DATOS_[Conc.Sal.21]))))),
0)</f>
        <v>0</v>
      </c>
      <c r="AA100" s="93">
        <f t="array" ref="AA100">IFERROR(
AVERAGE((IF(DATOS_[[Sexo]:[Sexo]]=$B100,IF(DATOS_[[AGRUP. CLAS. PROF.]:[AGRUP. CLAS. PROF.]]=$B99,IF(DATOS_[[Check Periodo Ref.]:[Check Periodo Ref.]]="Dentro",DATOS_[Conc.Sal.22]))))),
0)</f>
        <v>0</v>
      </c>
      <c r="AB100" s="93">
        <f t="array" ref="AB100">IFERROR(
AVERAGE((IF(DATOS_[[Sexo]:[Sexo]]=$B100,IF(DATOS_[[AGRUP. CLAS. PROF.]:[AGRUP. CLAS. PROF.]]=$B99,IF(DATOS_[[Check Periodo Ref.]:[Check Periodo Ref.]]="Dentro",DATOS_[Conc.Sal.23]))))),
0)</f>
        <v>0</v>
      </c>
      <c r="AC100" s="93">
        <f t="array" ref="AC100">IFERROR(
AVERAGE((IF(DATOS_[[Sexo]:[Sexo]]=$B100,IF(DATOS_[[AGRUP. CLAS. PROF.]:[AGRUP. CLAS. PROF.]]=$B99,IF(DATOS_[[Check Periodo Ref.]:[Check Periodo Ref.]]="Dentro",DATOS_[Conc.Sal.24]))))),
0)</f>
        <v>0</v>
      </c>
      <c r="AD100" s="93">
        <f t="array" ref="AD100">IFERROR(
AVERAGE((IF(DATOS_[[Sexo]:[Sexo]]=$B100,IF(DATOS_[[AGRUP. CLAS. PROF.]:[AGRUP. CLAS. PROF.]]=$B99,IF(DATOS_[[Check Periodo Ref.]:[Check Periodo Ref.]]="Dentro",DATOS_[Conc.Sal.25]))))),
0)</f>
        <v>0</v>
      </c>
      <c r="AE100" s="93">
        <f t="array" ref="AE100">IFERROR(
AVERAGE((IF(DATOS_[[Sexo]:[Sexo]]=$B100,IF(DATOS_[[AGRUP. CLAS. PROF.]:[AGRUP. CLAS. PROF.]]=$B99,IF(DATOS_[[Check Periodo Ref.]:[Check Periodo Ref.]]="Dentro",DATOS_[Conc.Sal.26]))))),
0)</f>
        <v>0</v>
      </c>
      <c r="AF100" s="93">
        <f t="array" ref="AF100">IFERROR(
AVERAGE((IF(DATOS_[[Sexo]:[Sexo]]=$B100,IF(DATOS_[[AGRUP. CLAS. PROF.]:[AGRUP. CLAS. PROF.]]=$B99,IF(DATOS_[[Check Periodo Ref.]:[Check Periodo Ref.]]="Dentro",DATOS_[Conc.Sal.27]))))),
0)</f>
        <v>0</v>
      </c>
      <c r="AG100" s="93">
        <f t="array" ref="AG100">IFERROR(
AVERAGE((IF(DATOS_[[Sexo]:[Sexo]]=$B100,IF(DATOS_[[AGRUP. CLAS. PROF.]:[AGRUP. CLAS. PROF.]]=$B99,IF(DATOS_[[Check Periodo Ref.]:[Check Periodo Ref.]]="Dentro",DATOS_[Conc.Sal.28]))))),
0)</f>
        <v>0</v>
      </c>
      <c r="AH100" s="93">
        <f t="array" ref="AH100">IFERROR(
AVERAGE((IF(DATOS_[[Sexo]:[Sexo]]=$B100,IF(DATOS_[[AGRUP. CLAS. PROF.]:[AGRUP. CLAS. PROF.]]=$B99,IF(DATOS_[[Check Periodo Ref.]:[Check Periodo Ref.]]="Dentro",DATOS_[Conc.Sal.29]))))),
0)</f>
        <v>0</v>
      </c>
      <c r="AI100" s="93">
        <f t="array" ref="AI100">IFERROR(
AVERAGE((IF(DATOS_[[Sexo]:[Sexo]]=$B100,IF(DATOS_[[AGRUP. CLAS. PROF.]:[AGRUP. CLAS. PROF.]]=$B99,IF(DATOS_[[Check Periodo Ref.]:[Check Periodo Ref.]]="Dentro",DATOS_[Conc.Sal.30]))))),
0)</f>
        <v>0</v>
      </c>
      <c r="AJ100" s="94">
        <f t="array" ref="AJ100">IFERROR(
AVERAGE(IF(DATOS_[Sexo]=$B100,IF(DATOS_[AGRUP. CLAS. PROF.]=$B99,IF(DATOS_[Check Periodo Ref.]="Dentro",DATOS_[Tot COMPL.SAL Ef],FALSE)))),
0)</f>
        <v>0</v>
      </c>
      <c r="AK100" s="96">
        <f t="array" ref="AK100">IFERROR(
AVERAGE(IF(DATOS_[Sexo]=$B100,IF(DATOS_[AGRUP. CLAS. PROF.]=$B99,IF(DATOS_[Check Periodo Ref.]="Dentro",DATOS_[TOTAL SALARIO Ef],FALSE)))),
0)</f>
        <v>0</v>
      </c>
      <c r="AL100" s="95">
        <f t="array" ref="AL100">IFERROR(
AVERAGE((IF(DATOS_[[Sexo]:[Sexo]]=$B100,IF(DATOS_[[AGRUP. CLAS. PROF.]:[AGRUP. CLAS. PROF.]]=$B99,IF(DATOS_[[Check Periodo Ref.]:[Check Periodo Ref.]]="Dentro",DATOS_[C.Extra.01]))))),
0)</f>
        <v>0</v>
      </c>
      <c r="AM100" s="95">
        <f t="array" ref="AM100">IFERROR(
AVERAGE((IF(DATOS_[[Sexo]:[Sexo]]=$B100,IF(DATOS_[[AGRUP. CLAS. PROF.]:[AGRUP. CLAS. PROF.]]=$B99,IF(DATOS_[[Check Periodo Ref.]:[Check Periodo Ref.]]="Dentro",DATOS_[C.Extra.02]))))),
0)</f>
        <v>0</v>
      </c>
      <c r="AN100" s="95">
        <f t="array" ref="AN100">IFERROR(
AVERAGE((IF(DATOS_[[Sexo]:[Sexo]]=$B100,IF(DATOS_[[AGRUP. CLAS. PROF.]:[AGRUP. CLAS. PROF.]]=$B99,IF(DATOS_[[Check Periodo Ref.]:[Check Periodo Ref.]]="Dentro",DATOS_[C.Extra.03]))))),
0)</f>
        <v>0</v>
      </c>
      <c r="AO100" s="95">
        <f t="array" ref="AO100">IFERROR(
AVERAGE((IF(DATOS_[[Sexo]:[Sexo]]=$B100,IF(DATOS_[[AGRUP. CLAS. PROF.]:[AGRUP. CLAS. PROF.]]=$B99,IF(DATOS_[[Check Periodo Ref.]:[Check Periodo Ref.]]="Dentro",DATOS_[C.Extra.04]))))),
0)</f>
        <v>0</v>
      </c>
      <c r="AP100" s="95">
        <f t="array" ref="AP100">IFERROR(
AVERAGE((IF(DATOS_[[Sexo]:[Sexo]]=$B100,IF(DATOS_[[AGRUP. CLAS. PROF.]:[AGRUP. CLAS. PROF.]]=$B99,IF(DATOS_[[Check Periodo Ref.]:[Check Periodo Ref.]]="Dentro",DATOS_[C.Extra.05]))))),
0)</f>
        <v>0</v>
      </c>
      <c r="AQ100" s="97">
        <f t="array" ref="AQ100">IFERROR(
AVERAGE(IF(DATOS_[Sexo]=$B100,IF(DATOS_[AGRUP. CLAS. PROF.]=$B99,IF(DATOS_[Check Periodo Ref.]="Dentro",DATOS_[Tot Extrasalarial Ef],FALSE)))),
0)</f>
        <v>0</v>
      </c>
      <c r="AR100" s="98">
        <f t="array" ref="AR100">IFERROR(
AVERAGE(IF(DATOS_[Sexo]=$B100,IF(DATOS_[AGRUP. CLAS. PROF.]=$B99,IF(DATOS_[Check Periodo Ref.]="Dentro",DATOS_[TOTAL Retrib Ef],FALSE)))),
0)</f>
        <v>0</v>
      </c>
    </row>
    <row r="101" spans="1:44" hidden="1" x14ac:dyDescent="0.3">
      <c r="A101" s="309" t="str">
        <f t="shared" ref="A101" si="118">+A100</f>
        <v>[ocultar]</v>
      </c>
      <c r="B101" s="46" t="s">
        <v>163</v>
      </c>
      <c r="C101" s="45">
        <f t="array" ref="C101">SUM(IF($B101=DATOS_[Sexo],
IF($B99=DATOS_[AGRUP. CLAS. PROF.],
IF("Dentro"=DATOS_[Check Periodo Ref.],
1/(COUNTIFS(DATOS_[Sexo],$B101,DATOS_[AGRUP. CLAS. PROF.],$B99,DATOS_[Check Periodo Ref.],"Dentro",DATOS_[id],DATOS_[id]))))))</f>
        <v>0</v>
      </c>
      <c r="D101" s="47">
        <f>COUNTIFS(DATOS_[AGRUP. CLAS. PROF.],$B99,DATOS_[Sexo],$B101,DATOS_[Check Periodo Ref.],"Dentro")</f>
        <v>0</v>
      </c>
      <c r="E101" s="92">
        <f t="array" ref="E101">IFERROR(
AVERAGE(IF(DATOS_[Sexo]=$B101,IF(DATOS_[AGRUP. CLAS. PROF.]=$B99,IF(DATOS_[Check Periodo Ref.]="Dentro",DATOS_[SALARIO BASE Ef],FALSE)))),
0)</f>
        <v>0</v>
      </c>
      <c r="F101" s="93">
        <f t="array" ref="F101">IFERROR(
AVERAGE((IF(DATOS_[[Sexo]:[Sexo]]=$B101,IF(DATOS_[[AGRUP. CLAS. PROF.]:[AGRUP. CLAS. PROF.]]=$B99,IF(DATOS_[[Check Periodo Ref.]:[Check Periodo Ref.]]="Dentro",DATOS_[Conc.Sal.01]))))),
0)</f>
        <v>0</v>
      </c>
      <c r="G101" s="93">
        <f t="array" ref="G101">IFERROR(
AVERAGE((IF(DATOS_[[Sexo]:[Sexo]]=$B101,IF(DATOS_[[AGRUP. CLAS. PROF.]:[AGRUP. CLAS. PROF.]]=$B99,IF(DATOS_[[Check Periodo Ref.]:[Check Periodo Ref.]]="Dentro",DATOS_[Conc.Sal.02]))))),
0)</f>
        <v>0</v>
      </c>
      <c r="H101" s="93">
        <f t="array" ref="H101">IFERROR(
AVERAGE((IF(DATOS_[[Sexo]:[Sexo]]=$B101,IF(DATOS_[[AGRUP. CLAS. PROF.]:[AGRUP. CLAS. PROF.]]=$B99,IF(DATOS_[[Check Periodo Ref.]:[Check Periodo Ref.]]="Dentro",DATOS_[Conc.Sal.03]))))),
0)</f>
        <v>0</v>
      </c>
      <c r="I101" s="93">
        <f t="array" ref="I101">IFERROR(
AVERAGE((IF(DATOS_[[Sexo]:[Sexo]]=$B101,IF(DATOS_[[AGRUP. CLAS. PROF.]:[AGRUP. CLAS. PROF.]]=$B99,IF(DATOS_[[Check Periodo Ref.]:[Check Periodo Ref.]]="Dentro",DATOS_[Conc.Sal.04]))))),
0)</f>
        <v>0</v>
      </c>
      <c r="J101" s="93">
        <f t="array" ref="J101">IFERROR(
AVERAGE((IF(DATOS_[[Sexo]:[Sexo]]=$B101,IF(DATOS_[[AGRUP. CLAS. PROF.]:[AGRUP. CLAS. PROF.]]=$B99,IF(DATOS_[[Check Periodo Ref.]:[Check Periodo Ref.]]="Dentro",DATOS_[Conc.Sal.05]))))),
0)</f>
        <v>0</v>
      </c>
      <c r="K101" s="93">
        <f t="array" ref="K101">IFERROR(
AVERAGE((IF(DATOS_[[Sexo]:[Sexo]]=$B101,IF(DATOS_[[AGRUP. CLAS. PROF.]:[AGRUP. CLAS. PROF.]]=$B99,IF(DATOS_[[Check Periodo Ref.]:[Check Periodo Ref.]]="Dentro",DATOS_[Conc.Sal.06]))))),
0)</f>
        <v>0</v>
      </c>
      <c r="L101" s="93">
        <f t="array" ref="L101">IFERROR(
AVERAGE((IF(DATOS_[[Sexo]:[Sexo]]=$B101,IF(DATOS_[[AGRUP. CLAS. PROF.]:[AGRUP. CLAS. PROF.]]=$B99,IF(DATOS_[[Check Periodo Ref.]:[Check Periodo Ref.]]="Dentro",DATOS_[Conc.Sal.07]))))),
0)</f>
        <v>0</v>
      </c>
      <c r="M101" s="93">
        <f t="array" ref="M101">IFERROR(
AVERAGE((IF(DATOS_[[Sexo]:[Sexo]]=$B101,IF(DATOS_[[AGRUP. CLAS. PROF.]:[AGRUP. CLAS. PROF.]]=$B99,IF(DATOS_[[Check Periodo Ref.]:[Check Periodo Ref.]]="Dentro",DATOS_[Conc.Sal.08]))))),
0)</f>
        <v>0</v>
      </c>
      <c r="N101" s="93">
        <f t="array" ref="N101">IFERROR(
AVERAGE((IF(DATOS_[[Sexo]:[Sexo]]=$B101,IF(DATOS_[[AGRUP. CLAS. PROF.]:[AGRUP. CLAS. PROF.]]=$B99,IF(DATOS_[[Check Periodo Ref.]:[Check Periodo Ref.]]="Dentro",DATOS_[Conc.Sal.09]))))),
0)</f>
        <v>0</v>
      </c>
      <c r="O101" s="93">
        <f t="array" ref="O101">IFERROR(
AVERAGE((IF(DATOS_[[Sexo]:[Sexo]]=$B101,IF(DATOS_[[AGRUP. CLAS. PROF.]:[AGRUP. CLAS. PROF.]]=$B99,IF(DATOS_[[Check Periodo Ref.]:[Check Periodo Ref.]]="Dentro",DATOS_[Conc.Sal.10]))))),
0)</f>
        <v>0</v>
      </c>
      <c r="P101" s="93">
        <f t="array" ref="P101">IFERROR(
AVERAGE((IF(DATOS_[[Sexo]:[Sexo]]=$B101,IF(DATOS_[[AGRUP. CLAS. PROF.]:[AGRUP. CLAS. PROF.]]=$B99,IF(DATOS_[[Check Periodo Ref.]:[Check Periodo Ref.]]="Dentro",DATOS_[Conc.Sal.11]))))),
0)</f>
        <v>0</v>
      </c>
      <c r="Q101" s="93">
        <f t="array" ref="Q101">IFERROR(
AVERAGE((IF(DATOS_[[Sexo]:[Sexo]]=$B101,IF(DATOS_[[AGRUP. CLAS. PROF.]:[AGRUP. CLAS. PROF.]]=$B99,IF(DATOS_[[Check Periodo Ref.]:[Check Periodo Ref.]]="Dentro",DATOS_[Conc.Sal.12]))))),
0)</f>
        <v>0</v>
      </c>
      <c r="R101" s="93">
        <f t="array" ref="R101">IFERROR(
AVERAGE((IF(DATOS_[[Sexo]:[Sexo]]=$B101,IF(DATOS_[[AGRUP. CLAS. PROF.]:[AGRUP. CLAS. PROF.]]=$B99,IF(DATOS_[[Check Periodo Ref.]:[Check Periodo Ref.]]="Dentro",DATOS_[Conc.Sal.13]))))),
0)</f>
        <v>0</v>
      </c>
      <c r="S101" s="93">
        <f t="array" ref="S101">IFERROR(
AVERAGE((IF(DATOS_[[Sexo]:[Sexo]]=$B101,IF(DATOS_[[AGRUP. CLAS. PROF.]:[AGRUP. CLAS. PROF.]]=$B99,IF(DATOS_[[Check Periodo Ref.]:[Check Periodo Ref.]]="Dentro",DATOS_[Conc.Sal.14]))))),
0)</f>
        <v>0</v>
      </c>
      <c r="T101" s="93">
        <f t="array" ref="T101">IFERROR(
AVERAGE((IF(DATOS_[[Sexo]:[Sexo]]=$B101,IF(DATOS_[[AGRUP. CLAS. PROF.]:[AGRUP. CLAS. PROF.]]=$B99,IF(DATOS_[[Check Periodo Ref.]:[Check Periodo Ref.]]="Dentro",DATOS_[Conc.Sal.15]))))),
0)</f>
        <v>0</v>
      </c>
      <c r="U101" s="93">
        <f t="array" ref="U101">IFERROR(
AVERAGE((IF(DATOS_[[Sexo]:[Sexo]]=$B101,IF(DATOS_[[AGRUP. CLAS. PROF.]:[AGRUP. CLAS. PROF.]]=$B99,IF(DATOS_[[Check Periodo Ref.]:[Check Periodo Ref.]]="Dentro",DATOS_[Conc.Sal.16]))))),
0)</f>
        <v>0</v>
      </c>
      <c r="V101" s="93">
        <f t="array" ref="V101">IFERROR(
AVERAGE((IF(DATOS_[[Sexo]:[Sexo]]=$B101,IF(DATOS_[[AGRUP. CLAS. PROF.]:[AGRUP. CLAS. PROF.]]=$B99,IF(DATOS_[[Check Periodo Ref.]:[Check Periodo Ref.]]="Dentro",DATOS_[Conc.Sal.17]))))),
0)</f>
        <v>0</v>
      </c>
      <c r="W101" s="93">
        <f t="array" ref="W101">IFERROR(
AVERAGE((IF(DATOS_[[Sexo]:[Sexo]]=$B101,IF(DATOS_[[AGRUP. CLAS. PROF.]:[AGRUP. CLAS. PROF.]]=$B99,IF(DATOS_[[Check Periodo Ref.]:[Check Periodo Ref.]]="Dentro",DATOS_[Conc.Sal.18]))))),
0)</f>
        <v>0</v>
      </c>
      <c r="X101" s="93">
        <f t="array" ref="X101">IFERROR(
AVERAGE((IF(DATOS_[[Sexo]:[Sexo]]=$B101,IF(DATOS_[[AGRUP. CLAS. PROF.]:[AGRUP. CLAS. PROF.]]=$B99,IF(DATOS_[[Check Periodo Ref.]:[Check Periodo Ref.]]="Dentro",DATOS_[Conc.Sal.19]))))),
0)</f>
        <v>0</v>
      </c>
      <c r="Y101" s="93">
        <f t="array" ref="Y101">IFERROR(
AVERAGE((IF(DATOS_[[Sexo]:[Sexo]]=$B101,IF(DATOS_[[AGRUP. CLAS. PROF.]:[AGRUP. CLAS. PROF.]]=$B99,IF(DATOS_[[Check Periodo Ref.]:[Check Periodo Ref.]]="Dentro",DATOS_[Conc.Sal.20]))))),
0)</f>
        <v>0</v>
      </c>
      <c r="Z101" s="93">
        <f t="array" ref="Z101">IFERROR(
AVERAGE((IF(DATOS_[[Sexo]:[Sexo]]=$B101,IF(DATOS_[[AGRUP. CLAS. PROF.]:[AGRUP. CLAS. PROF.]]=$B99,IF(DATOS_[[Check Periodo Ref.]:[Check Periodo Ref.]]="Dentro",DATOS_[Conc.Sal.21]))))),
0)</f>
        <v>0</v>
      </c>
      <c r="AA101" s="93">
        <f t="array" ref="AA101">IFERROR(
AVERAGE((IF(DATOS_[[Sexo]:[Sexo]]=$B101,IF(DATOS_[[AGRUP. CLAS. PROF.]:[AGRUP. CLAS. PROF.]]=$B99,IF(DATOS_[[Check Periodo Ref.]:[Check Periodo Ref.]]="Dentro",DATOS_[Conc.Sal.22]))))),
0)</f>
        <v>0</v>
      </c>
      <c r="AB101" s="93">
        <f t="array" ref="AB101">IFERROR(
AVERAGE((IF(DATOS_[[Sexo]:[Sexo]]=$B101,IF(DATOS_[[AGRUP. CLAS. PROF.]:[AGRUP. CLAS. PROF.]]=$B99,IF(DATOS_[[Check Periodo Ref.]:[Check Periodo Ref.]]="Dentro",DATOS_[Conc.Sal.23]))))),
0)</f>
        <v>0</v>
      </c>
      <c r="AC101" s="93">
        <f t="array" ref="AC101">IFERROR(
AVERAGE((IF(DATOS_[[Sexo]:[Sexo]]=$B101,IF(DATOS_[[AGRUP. CLAS. PROF.]:[AGRUP. CLAS. PROF.]]=$B99,IF(DATOS_[[Check Periodo Ref.]:[Check Periodo Ref.]]="Dentro",DATOS_[Conc.Sal.24]))))),
0)</f>
        <v>0</v>
      </c>
      <c r="AD101" s="93">
        <f t="array" ref="AD101">IFERROR(
AVERAGE((IF(DATOS_[[Sexo]:[Sexo]]=$B101,IF(DATOS_[[AGRUP. CLAS. PROF.]:[AGRUP. CLAS. PROF.]]=$B99,IF(DATOS_[[Check Periodo Ref.]:[Check Periodo Ref.]]="Dentro",DATOS_[Conc.Sal.25]))))),
0)</f>
        <v>0</v>
      </c>
      <c r="AE101" s="93">
        <f t="array" ref="AE101">IFERROR(
AVERAGE((IF(DATOS_[[Sexo]:[Sexo]]=$B101,IF(DATOS_[[AGRUP. CLAS. PROF.]:[AGRUP. CLAS. PROF.]]=$B99,IF(DATOS_[[Check Periodo Ref.]:[Check Periodo Ref.]]="Dentro",DATOS_[Conc.Sal.26]))))),
0)</f>
        <v>0</v>
      </c>
      <c r="AF101" s="93">
        <f t="array" ref="AF101">IFERROR(
AVERAGE((IF(DATOS_[[Sexo]:[Sexo]]=$B101,IF(DATOS_[[AGRUP. CLAS. PROF.]:[AGRUP. CLAS. PROF.]]=$B99,IF(DATOS_[[Check Periodo Ref.]:[Check Periodo Ref.]]="Dentro",DATOS_[Conc.Sal.27]))))),
0)</f>
        <v>0</v>
      </c>
      <c r="AG101" s="93">
        <f t="array" ref="AG101">IFERROR(
AVERAGE((IF(DATOS_[[Sexo]:[Sexo]]=$B101,IF(DATOS_[[AGRUP. CLAS. PROF.]:[AGRUP. CLAS. PROF.]]=$B99,IF(DATOS_[[Check Periodo Ref.]:[Check Periodo Ref.]]="Dentro",DATOS_[Conc.Sal.28]))))),
0)</f>
        <v>0</v>
      </c>
      <c r="AH101" s="93">
        <f t="array" ref="AH101">IFERROR(
AVERAGE((IF(DATOS_[[Sexo]:[Sexo]]=$B101,IF(DATOS_[[AGRUP. CLAS. PROF.]:[AGRUP. CLAS. PROF.]]=$B99,IF(DATOS_[[Check Periodo Ref.]:[Check Periodo Ref.]]="Dentro",DATOS_[Conc.Sal.29]))))),
0)</f>
        <v>0</v>
      </c>
      <c r="AI101" s="93">
        <f t="array" ref="AI101">IFERROR(
AVERAGE((IF(DATOS_[[Sexo]:[Sexo]]=$B101,IF(DATOS_[[AGRUP. CLAS. PROF.]:[AGRUP. CLAS. PROF.]]=$B99,IF(DATOS_[[Check Periodo Ref.]:[Check Periodo Ref.]]="Dentro",DATOS_[Conc.Sal.30]))))),
0)</f>
        <v>0</v>
      </c>
      <c r="AJ101" s="94">
        <f t="array" ref="AJ101">IFERROR(
AVERAGE(IF(DATOS_[Sexo]=$B101,IF(DATOS_[AGRUP. CLAS. PROF.]=$B99,IF(DATOS_[Check Periodo Ref.]="Dentro",DATOS_[Tot COMPL.SAL Ef],FALSE)))),
0)</f>
        <v>0</v>
      </c>
      <c r="AK101" s="96">
        <f t="array" ref="AK101">IFERROR(
AVERAGE(IF(DATOS_[Sexo]=$B101,IF(DATOS_[AGRUP. CLAS. PROF.]=$B99,IF(DATOS_[Check Periodo Ref.]="Dentro",DATOS_[TOTAL SALARIO Ef],FALSE)))),
0)</f>
        <v>0</v>
      </c>
      <c r="AL101" s="95">
        <f t="array" ref="AL101">IFERROR(
AVERAGE((IF(DATOS_[[Sexo]:[Sexo]]=$B101,IF(DATOS_[[AGRUP. CLAS. PROF.]:[AGRUP. CLAS. PROF.]]=$B99,IF(DATOS_[[Check Periodo Ref.]:[Check Periodo Ref.]]="Dentro",DATOS_[C.Extra.01]))))),
0)</f>
        <v>0</v>
      </c>
      <c r="AM101" s="95">
        <f t="array" ref="AM101">IFERROR(
AVERAGE((IF(DATOS_[[Sexo]:[Sexo]]=$B101,IF(DATOS_[[AGRUP. CLAS. PROF.]:[AGRUP. CLAS. PROF.]]=$B99,IF(DATOS_[[Check Periodo Ref.]:[Check Periodo Ref.]]="Dentro",DATOS_[C.Extra.02]))))),
0)</f>
        <v>0</v>
      </c>
      <c r="AN101" s="95">
        <f t="array" ref="AN101">IFERROR(
AVERAGE((IF(DATOS_[[Sexo]:[Sexo]]=$B101,IF(DATOS_[[AGRUP. CLAS. PROF.]:[AGRUP. CLAS. PROF.]]=$B99,IF(DATOS_[[Check Periodo Ref.]:[Check Periodo Ref.]]="Dentro",DATOS_[C.Extra.03]))))),
0)</f>
        <v>0</v>
      </c>
      <c r="AO101" s="95">
        <f t="array" ref="AO101">IFERROR(
AVERAGE((IF(DATOS_[[Sexo]:[Sexo]]=$B101,IF(DATOS_[[AGRUP. CLAS. PROF.]:[AGRUP. CLAS. PROF.]]=$B99,IF(DATOS_[[Check Periodo Ref.]:[Check Periodo Ref.]]="Dentro",DATOS_[C.Extra.04]))))),
0)</f>
        <v>0</v>
      </c>
      <c r="AP101" s="95">
        <f t="array" ref="AP101">IFERROR(
AVERAGE((IF(DATOS_[[Sexo]:[Sexo]]=$B101,IF(DATOS_[[AGRUP. CLAS. PROF.]:[AGRUP. CLAS. PROF.]]=$B99,IF(DATOS_[[Check Periodo Ref.]:[Check Periodo Ref.]]="Dentro",DATOS_[C.Extra.05]))))),
0)</f>
        <v>0</v>
      </c>
      <c r="AQ101" s="97">
        <f t="array" ref="AQ101">IFERROR(
AVERAGE(IF(DATOS_[Sexo]=$B101,IF(DATOS_[AGRUP. CLAS. PROF.]=$B99,IF(DATOS_[Check Periodo Ref.]="Dentro",DATOS_[Tot Extrasalarial Ef],FALSE)))),
0)</f>
        <v>0</v>
      </c>
      <c r="AR101" s="98">
        <f t="array" ref="AR101">IFERROR(
AVERAGE(IF(DATOS_[Sexo]=$B101,IF(DATOS_[AGRUP. CLAS. PROF.]=$B99,IF(DATOS_[Check Periodo Ref.]="Dentro",DATOS_[TOTAL Retrib Ef],FALSE)))),
0)</f>
        <v>0</v>
      </c>
    </row>
    <row r="102" spans="1:44" ht="17.25" hidden="1" thickBot="1" x14ac:dyDescent="0.35">
      <c r="A102" s="309" t="str">
        <f t="shared" ref="A102" si="119">+A103</f>
        <v>[ocultar]</v>
      </c>
      <c r="B102" s="51" t="s">
        <v>246</v>
      </c>
      <c r="C102" s="91"/>
      <c r="D102" s="52"/>
      <c r="E102" s="139" t="str">
        <f t="shared" ref="E102:AR102" si="120">IFERROR((E103-E104)/E103,"")</f>
        <v/>
      </c>
      <c r="F102" s="310" t="str">
        <f t="shared" si="120"/>
        <v/>
      </c>
      <c r="G102" s="180" t="str">
        <f t="shared" si="120"/>
        <v/>
      </c>
      <c r="H102" s="180" t="str">
        <f t="shared" si="120"/>
        <v/>
      </c>
      <c r="I102" s="180" t="str">
        <f t="shared" si="120"/>
        <v/>
      </c>
      <c r="J102" s="181" t="str">
        <f t="shared" si="120"/>
        <v/>
      </c>
      <c r="K102" s="182" t="str">
        <f t="shared" si="120"/>
        <v/>
      </c>
      <c r="L102" s="182" t="str">
        <f t="shared" si="120"/>
        <v/>
      </c>
      <c r="M102" s="182" t="str">
        <f t="shared" si="120"/>
        <v/>
      </c>
      <c r="N102" s="182" t="str">
        <f t="shared" si="120"/>
        <v/>
      </c>
      <c r="O102" s="182" t="str">
        <f t="shared" si="120"/>
        <v/>
      </c>
      <c r="P102" s="182" t="str">
        <f t="shared" si="120"/>
        <v/>
      </c>
      <c r="Q102" s="182" t="str">
        <f t="shared" si="120"/>
        <v/>
      </c>
      <c r="R102" s="182" t="str">
        <f t="shared" si="120"/>
        <v/>
      </c>
      <c r="S102" s="182" t="str">
        <f t="shared" si="120"/>
        <v/>
      </c>
      <c r="T102" s="182" t="str">
        <f t="shared" si="120"/>
        <v/>
      </c>
      <c r="U102" s="182" t="str">
        <f t="shared" si="120"/>
        <v/>
      </c>
      <c r="V102" s="181" t="str">
        <f t="shared" si="120"/>
        <v/>
      </c>
      <c r="W102" s="181" t="str">
        <f t="shared" si="120"/>
        <v/>
      </c>
      <c r="X102" s="181" t="str">
        <f t="shared" si="120"/>
        <v/>
      </c>
      <c r="Y102" s="181" t="str">
        <f t="shared" si="120"/>
        <v/>
      </c>
      <c r="Z102" s="181" t="str">
        <f t="shared" si="120"/>
        <v/>
      </c>
      <c r="AA102" s="181" t="str">
        <f t="shared" si="120"/>
        <v/>
      </c>
      <c r="AB102" s="181" t="str">
        <f t="shared" si="120"/>
        <v/>
      </c>
      <c r="AC102" s="181" t="str">
        <f t="shared" si="120"/>
        <v/>
      </c>
      <c r="AD102" s="181" t="str">
        <f t="shared" si="120"/>
        <v/>
      </c>
      <c r="AE102" s="181" t="str">
        <f t="shared" si="120"/>
        <v/>
      </c>
      <c r="AF102" s="181" t="str">
        <f t="shared" si="120"/>
        <v/>
      </c>
      <c r="AG102" s="181" t="str">
        <f t="shared" si="120"/>
        <v/>
      </c>
      <c r="AH102" s="181" t="str">
        <f t="shared" si="120"/>
        <v/>
      </c>
      <c r="AI102" s="181" t="str">
        <f t="shared" si="120"/>
        <v/>
      </c>
      <c r="AJ102" s="140" t="str">
        <f t="shared" si="120"/>
        <v/>
      </c>
      <c r="AK102" s="143" t="str">
        <f t="shared" si="120"/>
        <v/>
      </c>
      <c r="AL102" s="184" t="str">
        <f t="shared" si="120"/>
        <v/>
      </c>
      <c r="AM102" s="184" t="str">
        <f t="shared" si="120"/>
        <v/>
      </c>
      <c r="AN102" s="184" t="str">
        <f t="shared" si="120"/>
        <v/>
      </c>
      <c r="AO102" s="184" t="str">
        <f t="shared" si="120"/>
        <v/>
      </c>
      <c r="AP102" s="184" t="str">
        <f t="shared" si="120"/>
        <v/>
      </c>
      <c r="AQ102" s="141" t="str">
        <f t="shared" si="120"/>
        <v/>
      </c>
      <c r="AR102" s="142" t="str">
        <f t="shared" si="120"/>
        <v/>
      </c>
    </row>
    <row r="103" spans="1:44" hidden="1" x14ac:dyDescent="0.3">
      <c r="A103" s="309" t="str">
        <f t="shared" ref="A103" si="121">+IF(C103+C104=0,"[ocultar]","")</f>
        <v>[ocultar]</v>
      </c>
      <c r="B103" s="46" t="s">
        <v>162</v>
      </c>
      <c r="C103" s="45">
        <f t="array" ref="C103">SUM(IF($B103=DATOS_[Sexo],
IF($B102=DATOS_[AGRUP. CLAS. PROF.],
IF("Dentro"=DATOS_[Check Periodo Ref.],
1/(COUNTIFS(DATOS_[Sexo],$B103,DATOS_[AGRUP. CLAS. PROF.],$B102,DATOS_[Check Periodo Ref.],"Dentro",DATOS_[id],DATOS_[id]))))))</f>
        <v>0</v>
      </c>
      <c r="D103" s="47">
        <f>COUNTIFS(DATOS_[AGRUP. CLAS. PROF.],$B102,DATOS_[Sexo],$B103,DATOS_[Check Periodo Ref.],"Dentro")</f>
        <v>0</v>
      </c>
      <c r="E103" s="92">
        <f t="array" ref="E103">IFERROR(
AVERAGE(IF(DATOS_[Sexo]=$B103,IF(DATOS_[AGRUP. CLAS. PROF.]=$B102,IF(DATOS_[Check Periodo Ref.]="Dentro",DATOS_[SALARIO BASE Ef],FALSE)))),
0)</f>
        <v>0</v>
      </c>
      <c r="F103" s="93">
        <f t="array" ref="F103">IFERROR(
AVERAGE((IF(DATOS_[[Sexo]:[Sexo]]=$B103,IF(DATOS_[[AGRUP. CLAS. PROF.]:[AGRUP. CLAS. PROF.]]=$B102,IF(DATOS_[[Check Periodo Ref.]:[Check Periodo Ref.]]="Dentro",DATOS_[Conc.Sal.01]))))),
0)</f>
        <v>0</v>
      </c>
      <c r="G103" s="93">
        <f t="array" ref="G103">IFERROR(
AVERAGE((IF(DATOS_[[Sexo]:[Sexo]]=$B103,IF(DATOS_[[AGRUP. CLAS. PROF.]:[AGRUP. CLAS. PROF.]]=$B102,IF(DATOS_[[Check Periodo Ref.]:[Check Periodo Ref.]]="Dentro",DATOS_[Conc.Sal.02]))))),
0)</f>
        <v>0</v>
      </c>
      <c r="H103" s="93">
        <f t="array" ref="H103">IFERROR(
AVERAGE((IF(DATOS_[[Sexo]:[Sexo]]=$B103,IF(DATOS_[[AGRUP. CLAS. PROF.]:[AGRUP. CLAS. PROF.]]=$B102,IF(DATOS_[[Check Periodo Ref.]:[Check Periodo Ref.]]="Dentro",DATOS_[Conc.Sal.03]))))),
0)</f>
        <v>0</v>
      </c>
      <c r="I103" s="93">
        <f t="array" ref="I103">IFERROR(
AVERAGE((IF(DATOS_[[Sexo]:[Sexo]]=$B103,IF(DATOS_[[AGRUP. CLAS. PROF.]:[AGRUP. CLAS. PROF.]]=$B102,IF(DATOS_[[Check Periodo Ref.]:[Check Periodo Ref.]]="Dentro",DATOS_[Conc.Sal.04]))))),
0)</f>
        <v>0</v>
      </c>
      <c r="J103" s="93">
        <f t="array" ref="J103">IFERROR(
AVERAGE((IF(DATOS_[[Sexo]:[Sexo]]=$B103,IF(DATOS_[[AGRUP. CLAS. PROF.]:[AGRUP. CLAS. PROF.]]=$B102,IF(DATOS_[[Check Periodo Ref.]:[Check Periodo Ref.]]="Dentro",DATOS_[Conc.Sal.05]))))),
0)</f>
        <v>0</v>
      </c>
      <c r="K103" s="93">
        <f t="array" ref="K103">IFERROR(
AVERAGE((IF(DATOS_[[Sexo]:[Sexo]]=$B103,IF(DATOS_[[AGRUP. CLAS. PROF.]:[AGRUP. CLAS. PROF.]]=$B102,IF(DATOS_[[Check Periodo Ref.]:[Check Periodo Ref.]]="Dentro",DATOS_[Conc.Sal.06]))))),
0)</f>
        <v>0</v>
      </c>
      <c r="L103" s="93">
        <f t="array" ref="L103">IFERROR(
AVERAGE((IF(DATOS_[[Sexo]:[Sexo]]=$B103,IF(DATOS_[[AGRUP. CLAS. PROF.]:[AGRUP. CLAS. PROF.]]=$B102,IF(DATOS_[[Check Periodo Ref.]:[Check Periodo Ref.]]="Dentro",DATOS_[Conc.Sal.07]))))),
0)</f>
        <v>0</v>
      </c>
      <c r="M103" s="93">
        <f t="array" ref="M103">IFERROR(
AVERAGE((IF(DATOS_[[Sexo]:[Sexo]]=$B103,IF(DATOS_[[AGRUP. CLAS. PROF.]:[AGRUP. CLAS. PROF.]]=$B102,IF(DATOS_[[Check Periodo Ref.]:[Check Periodo Ref.]]="Dentro",DATOS_[Conc.Sal.08]))))),
0)</f>
        <v>0</v>
      </c>
      <c r="N103" s="93">
        <f t="array" ref="N103">IFERROR(
AVERAGE((IF(DATOS_[[Sexo]:[Sexo]]=$B103,IF(DATOS_[[AGRUP. CLAS. PROF.]:[AGRUP. CLAS. PROF.]]=$B102,IF(DATOS_[[Check Periodo Ref.]:[Check Periodo Ref.]]="Dentro",DATOS_[Conc.Sal.09]))))),
0)</f>
        <v>0</v>
      </c>
      <c r="O103" s="93">
        <f t="array" ref="O103">IFERROR(
AVERAGE((IF(DATOS_[[Sexo]:[Sexo]]=$B103,IF(DATOS_[[AGRUP. CLAS. PROF.]:[AGRUP. CLAS. PROF.]]=$B102,IF(DATOS_[[Check Periodo Ref.]:[Check Periodo Ref.]]="Dentro",DATOS_[Conc.Sal.10]))))),
0)</f>
        <v>0</v>
      </c>
      <c r="P103" s="93">
        <f t="array" ref="P103">IFERROR(
AVERAGE((IF(DATOS_[[Sexo]:[Sexo]]=$B103,IF(DATOS_[[AGRUP. CLAS. PROF.]:[AGRUP. CLAS. PROF.]]=$B102,IF(DATOS_[[Check Periodo Ref.]:[Check Periodo Ref.]]="Dentro",DATOS_[Conc.Sal.11]))))),
0)</f>
        <v>0</v>
      </c>
      <c r="Q103" s="93">
        <f t="array" ref="Q103">IFERROR(
AVERAGE((IF(DATOS_[[Sexo]:[Sexo]]=$B103,IF(DATOS_[[AGRUP. CLAS. PROF.]:[AGRUP. CLAS. PROF.]]=$B102,IF(DATOS_[[Check Periodo Ref.]:[Check Periodo Ref.]]="Dentro",DATOS_[Conc.Sal.12]))))),
0)</f>
        <v>0</v>
      </c>
      <c r="R103" s="93">
        <f t="array" ref="R103">IFERROR(
AVERAGE((IF(DATOS_[[Sexo]:[Sexo]]=$B103,IF(DATOS_[[AGRUP. CLAS. PROF.]:[AGRUP. CLAS. PROF.]]=$B102,IF(DATOS_[[Check Periodo Ref.]:[Check Periodo Ref.]]="Dentro",DATOS_[Conc.Sal.13]))))),
0)</f>
        <v>0</v>
      </c>
      <c r="S103" s="93">
        <f t="array" ref="S103">IFERROR(
AVERAGE((IF(DATOS_[[Sexo]:[Sexo]]=$B103,IF(DATOS_[[AGRUP. CLAS. PROF.]:[AGRUP. CLAS. PROF.]]=$B102,IF(DATOS_[[Check Periodo Ref.]:[Check Periodo Ref.]]="Dentro",DATOS_[Conc.Sal.14]))))),
0)</f>
        <v>0</v>
      </c>
      <c r="T103" s="93">
        <f t="array" ref="T103">IFERROR(
AVERAGE((IF(DATOS_[[Sexo]:[Sexo]]=$B103,IF(DATOS_[[AGRUP. CLAS. PROF.]:[AGRUP. CLAS. PROF.]]=$B102,IF(DATOS_[[Check Periodo Ref.]:[Check Periodo Ref.]]="Dentro",DATOS_[Conc.Sal.15]))))),
0)</f>
        <v>0</v>
      </c>
      <c r="U103" s="93">
        <f t="array" ref="U103">IFERROR(
AVERAGE((IF(DATOS_[[Sexo]:[Sexo]]=$B103,IF(DATOS_[[AGRUP. CLAS. PROF.]:[AGRUP. CLAS. PROF.]]=$B102,IF(DATOS_[[Check Periodo Ref.]:[Check Periodo Ref.]]="Dentro",DATOS_[Conc.Sal.16]))))),
0)</f>
        <v>0</v>
      </c>
      <c r="V103" s="93">
        <f t="array" ref="V103">IFERROR(
AVERAGE((IF(DATOS_[[Sexo]:[Sexo]]=$B103,IF(DATOS_[[AGRUP. CLAS. PROF.]:[AGRUP. CLAS. PROF.]]=$B102,IF(DATOS_[[Check Periodo Ref.]:[Check Periodo Ref.]]="Dentro",DATOS_[Conc.Sal.17]))))),
0)</f>
        <v>0</v>
      </c>
      <c r="W103" s="93">
        <f t="array" ref="W103">IFERROR(
AVERAGE((IF(DATOS_[[Sexo]:[Sexo]]=$B103,IF(DATOS_[[AGRUP. CLAS. PROF.]:[AGRUP. CLAS. PROF.]]=$B102,IF(DATOS_[[Check Periodo Ref.]:[Check Periodo Ref.]]="Dentro",DATOS_[Conc.Sal.18]))))),
0)</f>
        <v>0</v>
      </c>
      <c r="X103" s="93">
        <f t="array" ref="X103">IFERROR(
AVERAGE((IF(DATOS_[[Sexo]:[Sexo]]=$B103,IF(DATOS_[[AGRUP. CLAS. PROF.]:[AGRUP. CLAS. PROF.]]=$B102,IF(DATOS_[[Check Periodo Ref.]:[Check Periodo Ref.]]="Dentro",DATOS_[Conc.Sal.19]))))),
0)</f>
        <v>0</v>
      </c>
      <c r="Y103" s="93">
        <f t="array" ref="Y103">IFERROR(
AVERAGE((IF(DATOS_[[Sexo]:[Sexo]]=$B103,IF(DATOS_[[AGRUP. CLAS. PROF.]:[AGRUP. CLAS. PROF.]]=$B102,IF(DATOS_[[Check Periodo Ref.]:[Check Periodo Ref.]]="Dentro",DATOS_[Conc.Sal.20]))))),
0)</f>
        <v>0</v>
      </c>
      <c r="Z103" s="93">
        <f t="array" ref="Z103">IFERROR(
AVERAGE((IF(DATOS_[[Sexo]:[Sexo]]=$B103,IF(DATOS_[[AGRUP. CLAS. PROF.]:[AGRUP. CLAS. PROF.]]=$B102,IF(DATOS_[[Check Periodo Ref.]:[Check Periodo Ref.]]="Dentro",DATOS_[Conc.Sal.21]))))),
0)</f>
        <v>0</v>
      </c>
      <c r="AA103" s="93">
        <f t="array" ref="AA103">IFERROR(
AVERAGE((IF(DATOS_[[Sexo]:[Sexo]]=$B103,IF(DATOS_[[AGRUP. CLAS. PROF.]:[AGRUP. CLAS. PROF.]]=$B102,IF(DATOS_[[Check Periodo Ref.]:[Check Periodo Ref.]]="Dentro",DATOS_[Conc.Sal.22]))))),
0)</f>
        <v>0</v>
      </c>
      <c r="AB103" s="93">
        <f t="array" ref="AB103">IFERROR(
AVERAGE((IF(DATOS_[[Sexo]:[Sexo]]=$B103,IF(DATOS_[[AGRUP. CLAS. PROF.]:[AGRUP. CLAS. PROF.]]=$B102,IF(DATOS_[[Check Periodo Ref.]:[Check Periodo Ref.]]="Dentro",DATOS_[Conc.Sal.23]))))),
0)</f>
        <v>0</v>
      </c>
      <c r="AC103" s="93">
        <f t="array" ref="AC103">IFERROR(
AVERAGE((IF(DATOS_[[Sexo]:[Sexo]]=$B103,IF(DATOS_[[AGRUP. CLAS. PROF.]:[AGRUP. CLAS. PROF.]]=$B102,IF(DATOS_[[Check Periodo Ref.]:[Check Periodo Ref.]]="Dentro",DATOS_[Conc.Sal.24]))))),
0)</f>
        <v>0</v>
      </c>
      <c r="AD103" s="93">
        <f t="array" ref="AD103">IFERROR(
AVERAGE((IF(DATOS_[[Sexo]:[Sexo]]=$B103,IF(DATOS_[[AGRUP. CLAS. PROF.]:[AGRUP. CLAS. PROF.]]=$B102,IF(DATOS_[[Check Periodo Ref.]:[Check Periodo Ref.]]="Dentro",DATOS_[Conc.Sal.25]))))),
0)</f>
        <v>0</v>
      </c>
      <c r="AE103" s="93">
        <f t="array" ref="AE103">IFERROR(
AVERAGE((IF(DATOS_[[Sexo]:[Sexo]]=$B103,IF(DATOS_[[AGRUP. CLAS. PROF.]:[AGRUP. CLAS. PROF.]]=$B102,IF(DATOS_[[Check Periodo Ref.]:[Check Periodo Ref.]]="Dentro",DATOS_[Conc.Sal.26]))))),
0)</f>
        <v>0</v>
      </c>
      <c r="AF103" s="93">
        <f t="array" ref="AF103">IFERROR(
AVERAGE((IF(DATOS_[[Sexo]:[Sexo]]=$B103,IF(DATOS_[[AGRUP. CLAS. PROF.]:[AGRUP. CLAS. PROF.]]=$B102,IF(DATOS_[[Check Periodo Ref.]:[Check Periodo Ref.]]="Dentro",DATOS_[Conc.Sal.27]))))),
0)</f>
        <v>0</v>
      </c>
      <c r="AG103" s="93">
        <f t="array" ref="AG103">IFERROR(
AVERAGE((IF(DATOS_[[Sexo]:[Sexo]]=$B103,IF(DATOS_[[AGRUP. CLAS. PROF.]:[AGRUP. CLAS. PROF.]]=$B102,IF(DATOS_[[Check Periodo Ref.]:[Check Periodo Ref.]]="Dentro",DATOS_[Conc.Sal.28]))))),
0)</f>
        <v>0</v>
      </c>
      <c r="AH103" s="93">
        <f t="array" ref="AH103">IFERROR(
AVERAGE((IF(DATOS_[[Sexo]:[Sexo]]=$B103,IF(DATOS_[[AGRUP. CLAS. PROF.]:[AGRUP. CLAS. PROF.]]=$B102,IF(DATOS_[[Check Periodo Ref.]:[Check Periodo Ref.]]="Dentro",DATOS_[Conc.Sal.29]))))),
0)</f>
        <v>0</v>
      </c>
      <c r="AI103" s="93">
        <f t="array" ref="AI103">IFERROR(
AVERAGE((IF(DATOS_[[Sexo]:[Sexo]]=$B103,IF(DATOS_[[AGRUP. CLAS. PROF.]:[AGRUP. CLAS. PROF.]]=$B102,IF(DATOS_[[Check Periodo Ref.]:[Check Periodo Ref.]]="Dentro",DATOS_[Conc.Sal.30]))))),
0)</f>
        <v>0</v>
      </c>
      <c r="AJ103" s="94">
        <f t="array" ref="AJ103">IFERROR(
AVERAGE(IF(DATOS_[Sexo]=$B103,IF(DATOS_[AGRUP. CLAS. PROF.]=$B102,IF(DATOS_[Check Periodo Ref.]="Dentro",DATOS_[Tot COMPL.SAL Ef],FALSE)))),
0)</f>
        <v>0</v>
      </c>
      <c r="AK103" s="96">
        <f t="array" ref="AK103">IFERROR(
AVERAGE(IF(DATOS_[Sexo]=$B103,IF(DATOS_[AGRUP. CLAS. PROF.]=$B102,IF(DATOS_[Check Periodo Ref.]="Dentro",DATOS_[TOTAL SALARIO Ef],FALSE)))),
0)</f>
        <v>0</v>
      </c>
      <c r="AL103" s="95">
        <f t="array" ref="AL103">IFERROR(
AVERAGE((IF(DATOS_[[Sexo]:[Sexo]]=$B103,IF(DATOS_[[AGRUP. CLAS. PROF.]:[AGRUP. CLAS. PROF.]]=$B102,IF(DATOS_[[Check Periodo Ref.]:[Check Periodo Ref.]]="Dentro",DATOS_[C.Extra.01]))))),
0)</f>
        <v>0</v>
      </c>
      <c r="AM103" s="95">
        <f t="array" ref="AM103">IFERROR(
AVERAGE((IF(DATOS_[[Sexo]:[Sexo]]=$B103,IF(DATOS_[[AGRUP. CLAS. PROF.]:[AGRUP. CLAS. PROF.]]=$B102,IF(DATOS_[[Check Periodo Ref.]:[Check Periodo Ref.]]="Dentro",DATOS_[C.Extra.02]))))),
0)</f>
        <v>0</v>
      </c>
      <c r="AN103" s="95">
        <f t="array" ref="AN103">IFERROR(
AVERAGE((IF(DATOS_[[Sexo]:[Sexo]]=$B103,IF(DATOS_[[AGRUP. CLAS. PROF.]:[AGRUP. CLAS. PROF.]]=$B102,IF(DATOS_[[Check Periodo Ref.]:[Check Periodo Ref.]]="Dentro",DATOS_[C.Extra.03]))))),
0)</f>
        <v>0</v>
      </c>
      <c r="AO103" s="95">
        <f t="array" ref="AO103">IFERROR(
AVERAGE((IF(DATOS_[[Sexo]:[Sexo]]=$B103,IF(DATOS_[[AGRUP. CLAS. PROF.]:[AGRUP. CLAS. PROF.]]=$B102,IF(DATOS_[[Check Periodo Ref.]:[Check Periodo Ref.]]="Dentro",DATOS_[C.Extra.04]))))),
0)</f>
        <v>0</v>
      </c>
      <c r="AP103" s="95">
        <f t="array" ref="AP103">IFERROR(
AVERAGE((IF(DATOS_[[Sexo]:[Sexo]]=$B103,IF(DATOS_[[AGRUP. CLAS. PROF.]:[AGRUP. CLAS. PROF.]]=$B102,IF(DATOS_[[Check Periodo Ref.]:[Check Periodo Ref.]]="Dentro",DATOS_[C.Extra.05]))))),
0)</f>
        <v>0</v>
      </c>
      <c r="AQ103" s="97">
        <f t="array" ref="AQ103">IFERROR(
AVERAGE(IF(DATOS_[Sexo]=$B103,IF(DATOS_[AGRUP. CLAS. PROF.]=$B102,IF(DATOS_[Check Periodo Ref.]="Dentro",DATOS_[Tot Extrasalarial Ef],FALSE)))),
0)</f>
        <v>0</v>
      </c>
      <c r="AR103" s="98">
        <f t="array" ref="AR103">IFERROR(
AVERAGE(IF(DATOS_[Sexo]=$B103,IF(DATOS_[AGRUP. CLAS. PROF.]=$B102,IF(DATOS_[Check Periodo Ref.]="Dentro",DATOS_[TOTAL Retrib Ef],FALSE)))),
0)</f>
        <v>0</v>
      </c>
    </row>
    <row r="104" spans="1:44" hidden="1" x14ac:dyDescent="0.3">
      <c r="A104" s="309" t="str">
        <f t="shared" ref="A104" si="122">+A103</f>
        <v>[ocultar]</v>
      </c>
      <c r="B104" s="46" t="s">
        <v>163</v>
      </c>
      <c r="C104" s="45">
        <f t="array" ref="C104">SUM(IF($B104=DATOS_[Sexo],
IF($B102=DATOS_[AGRUP. CLAS. PROF.],
IF("Dentro"=DATOS_[Check Periodo Ref.],
1/(COUNTIFS(DATOS_[Sexo],$B104,DATOS_[AGRUP. CLAS. PROF.],$B102,DATOS_[Check Periodo Ref.],"Dentro",DATOS_[id],DATOS_[id]))))))</f>
        <v>0</v>
      </c>
      <c r="D104" s="47">
        <f>COUNTIFS(DATOS_[AGRUP. CLAS. PROF.],$B102,DATOS_[Sexo],$B104,DATOS_[Check Periodo Ref.],"Dentro")</f>
        <v>0</v>
      </c>
      <c r="E104" s="92">
        <f t="array" ref="E104">IFERROR(
AVERAGE(IF(DATOS_[Sexo]=$B104,IF(DATOS_[AGRUP. CLAS. PROF.]=$B102,IF(DATOS_[Check Periodo Ref.]="Dentro",DATOS_[SALARIO BASE Ef],FALSE)))),
0)</f>
        <v>0</v>
      </c>
      <c r="F104" s="93">
        <f t="array" ref="F104">IFERROR(
AVERAGE((IF(DATOS_[[Sexo]:[Sexo]]=$B104,IF(DATOS_[[AGRUP. CLAS. PROF.]:[AGRUP. CLAS. PROF.]]=$B102,IF(DATOS_[[Check Periodo Ref.]:[Check Periodo Ref.]]="Dentro",DATOS_[Conc.Sal.01]))))),
0)</f>
        <v>0</v>
      </c>
      <c r="G104" s="93">
        <f t="array" ref="G104">IFERROR(
AVERAGE((IF(DATOS_[[Sexo]:[Sexo]]=$B104,IF(DATOS_[[AGRUP. CLAS. PROF.]:[AGRUP. CLAS. PROF.]]=$B102,IF(DATOS_[[Check Periodo Ref.]:[Check Periodo Ref.]]="Dentro",DATOS_[Conc.Sal.02]))))),
0)</f>
        <v>0</v>
      </c>
      <c r="H104" s="93">
        <f t="array" ref="H104">IFERROR(
AVERAGE((IF(DATOS_[[Sexo]:[Sexo]]=$B104,IF(DATOS_[[AGRUP. CLAS. PROF.]:[AGRUP. CLAS. PROF.]]=$B102,IF(DATOS_[[Check Periodo Ref.]:[Check Periodo Ref.]]="Dentro",DATOS_[Conc.Sal.03]))))),
0)</f>
        <v>0</v>
      </c>
      <c r="I104" s="93">
        <f t="array" ref="I104">IFERROR(
AVERAGE((IF(DATOS_[[Sexo]:[Sexo]]=$B104,IF(DATOS_[[AGRUP. CLAS. PROF.]:[AGRUP. CLAS. PROF.]]=$B102,IF(DATOS_[[Check Periodo Ref.]:[Check Periodo Ref.]]="Dentro",DATOS_[Conc.Sal.04]))))),
0)</f>
        <v>0</v>
      </c>
      <c r="J104" s="93">
        <f t="array" ref="J104">IFERROR(
AVERAGE((IF(DATOS_[[Sexo]:[Sexo]]=$B104,IF(DATOS_[[AGRUP. CLAS. PROF.]:[AGRUP. CLAS. PROF.]]=$B102,IF(DATOS_[[Check Periodo Ref.]:[Check Periodo Ref.]]="Dentro",DATOS_[Conc.Sal.05]))))),
0)</f>
        <v>0</v>
      </c>
      <c r="K104" s="93">
        <f t="array" ref="K104">IFERROR(
AVERAGE((IF(DATOS_[[Sexo]:[Sexo]]=$B104,IF(DATOS_[[AGRUP. CLAS. PROF.]:[AGRUP. CLAS. PROF.]]=$B102,IF(DATOS_[[Check Periodo Ref.]:[Check Periodo Ref.]]="Dentro",DATOS_[Conc.Sal.06]))))),
0)</f>
        <v>0</v>
      </c>
      <c r="L104" s="93">
        <f t="array" ref="L104">IFERROR(
AVERAGE((IF(DATOS_[[Sexo]:[Sexo]]=$B104,IF(DATOS_[[AGRUP. CLAS. PROF.]:[AGRUP. CLAS. PROF.]]=$B102,IF(DATOS_[[Check Periodo Ref.]:[Check Periodo Ref.]]="Dentro",DATOS_[Conc.Sal.07]))))),
0)</f>
        <v>0</v>
      </c>
      <c r="M104" s="93">
        <f t="array" ref="M104">IFERROR(
AVERAGE((IF(DATOS_[[Sexo]:[Sexo]]=$B104,IF(DATOS_[[AGRUP. CLAS. PROF.]:[AGRUP. CLAS. PROF.]]=$B102,IF(DATOS_[[Check Periodo Ref.]:[Check Periodo Ref.]]="Dentro",DATOS_[Conc.Sal.08]))))),
0)</f>
        <v>0</v>
      </c>
      <c r="N104" s="93">
        <f t="array" ref="N104">IFERROR(
AVERAGE((IF(DATOS_[[Sexo]:[Sexo]]=$B104,IF(DATOS_[[AGRUP. CLAS. PROF.]:[AGRUP. CLAS. PROF.]]=$B102,IF(DATOS_[[Check Periodo Ref.]:[Check Periodo Ref.]]="Dentro",DATOS_[Conc.Sal.09]))))),
0)</f>
        <v>0</v>
      </c>
      <c r="O104" s="93">
        <f t="array" ref="O104">IFERROR(
AVERAGE((IF(DATOS_[[Sexo]:[Sexo]]=$B104,IF(DATOS_[[AGRUP. CLAS. PROF.]:[AGRUP. CLAS. PROF.]]=$B102,IF(DATOS_[[Check Periodo Ref.]:[Check Periodo Ref.]]="Dentro",DATOS_[Conc.Sal.10]))))),
0)</f>
        <v>0</v>
      </c>
      <c r="P104" s="93">
        <f t="array" ref="P104">IFERROR(
AVERAGE((IF(DATOS_[[Sexo]:[Sexo]]=$B104,IF(DATOS_[[AGRUP. CLAS. PROF.]:[AGRUP. CLAS. PROF.]]=$B102,IF(DATOS_[[Check Periodo Ref.]:[Check Periodo Ref.]]="Dentro",DATOS_[Conc.Sal.11]))))),
0)</f>
        <v>0</v>
      </c>
      <c r="Q104" s="93">
        <f t="array" ref="Q104">IFERROR(
AVERAGE((IF(DATOS_[[Sexo]:[Sexo]]=$B104,IF(DATOS_[[AGRUP. CLAS. PROF.]:[AGRUP. CLAS. PROF.]]=$B102,IF(DATOS_[[Check Periodo Ref.]:[Check Periodo Ref.]]="Dentro",DATOS_[Conc.Sal.12]))))),
0)</f>
        <v>0</v>
      </c>
      <c r="R104" s="93">
        <f t="array" ref="R104">IFERROR(
AVERAGE((IF(DATOS_[[Sexo]:[Sexo]]=$B104,IF(DATOS_[[AGRUP. CLAS. PROF.]:[AGRUP. CLAS. PROF.]]=$B102,IF(DATOS_[[Check Periodo Ref.]:[Check Periodo Ref.]]="Dentro",DATOS_[Conc.Sal.13]))))),
0)</f>
        <v>0</v>
      </c>
      <c r="S104" s="93">
        <f t="array" ref="S104">IFERROR(
AVERAGE((IF(DATOS_[[Sexo]:[Sexo]]=$B104,IF(DATOS_[[AGRUP. CLAS. PROF.]:[AGRUP. CLAS. PROF.]]=$B102,IF(DATOS_[[Check Periodo Ref.]:[Check Periodo Ref.]]="Dentro",DATOS_[Conc.Sal.14]))))),
0)</f>
        <v>0</v>
      </c>
      <c r="T104" s="93">
        <f t="array" ref="T104">IFERROR(
AVERAGE((IF(DATOS_[[Sexo]:[Sexo]]=$B104,IF(DATOS_[[AGRUP. CLAS. PROF.]:[AGRUP. CLAS. PROF.]]=$B102,IF(DATOS_[[Check Periodo Ref.]:[Check Periodo Ref.]]="Dentro",DATOS_[Conc.Sal.15]))))),
0)</f>
        <v>0</v>
      </c>
      <c r="U104" s="93">
        <f t="array" ref="U104">IFERROR(
AVERAGE((IF(DATOS_[[Sexo]:[Sexo]]=$B104,IF(DATOS_[[AGRUP. CLAS. PROF.]:[AGRUP. CLAS. PROF.]]=$B102,IF(DATOS_[[Check Periodo Ref.]:[Check Periodo Ref.]]="Dentro",DATOS_[Conc.Sal.16]))))),
0)</f>
        <v>0</v>
      </c>
      <c r="V104" s="93">
        <f t="array" ref="V104">IFERROR(
AVERAGE((IF(DATOS_[[Sexo]:[Sexo]]=$B104,IF(DATOS_[[AGRUP. CLAS. PROF.]:[AGRUP. CLAS. PROF.]]=$B102,IF(DATOS_[[Check Periodo Ref.]:[Check Periodo Ref.]]="Dentro",DATOS_[Conc.Sal.17]))))),
0)</f>
        <v>0</v>
      </c>
      <c r="W104" s="93">
        <f t="array" ref="W104">IFERROR(
AVERAGE((IF(DATOS_[[Sexo]:[Sexo]]=$B104,IF(DATOS_[[AGRUP. CLAS. PROF.]:[AGRUP. CLAS. PROF.]]=$B102,IF(DATOS_[[Check Periodo Ref.]:[Check Periodo Ref.]]="Dentro",DATOS_[Conc.Sal.18]))))),
0)</f>
        <v>0</v>
      </c>
      <c r="X104" s="93">
        <f t="array" ref="X104">IFERROR(
AVERAGE((IF(DATOS_[[Sexo]:[Sexo]]=$B104,IF(DATOS_[[AGRUP. CLAS. PROF.]:[AGRUP. CLAS. PROF.]]=$B102,IF(DATOS_[[Check Periodo Ref.]:[Check Periodo Ref.]]="Dentro",DATOS_[Conc.Sal.19]))))),
0)</f>
        <v>0</v>
      </c>
      <c r="Y104" s="93">
        <f t="array" ref="Y104">IFERROR(
AVERAGE((IF(DATOS_[[Sexo]:[Sexo]]=$B104,IF(DATOS_[[AGRUP. CLAS. PROF.]:[AGRUP. CLAS. PROF.]]=$B102,IF(DATOS_[[Check Periodo Ref.]:[Check Periodo Ref.]]="Dentro",DATOS_[Conc.Sal.20]))))),
0)</f>
        <v>0</v>
      </c>
      <c r="Z104" s="93">
        <f t="array" ref="Z104">IFERROR(
AVERAGE((IF(DATOS_[[Sexo]:[Sexo]]=$B104,IF(DATOS_[[AGRUP. CLAS. PROF.]:[AGRUP. CLAS. PROF.]]=$B102,IF(DATOS_[[Check Periodo Ref.]:[Check Periodo Ref.]]="Dentro",DATOS_[Conc.Sal.21]))))),
0)</f>
        <v>0</v>
      </c>
      <c r="AA104" s="93">
        <f t="array" ref="AA104">IFERROR(
AVERAGE((IF(DATOS_[[Sexo]:[Sexo]]=$B104,IF(DATOS_[[AGRUP. CLAS. PROF.]:[AGRUP. CLAS. PROF.]]=$B102,IF(DATOS_[[Check Periodo Ref.]:[Check Periodo Ref.]]="Dentro",DATOS_[Conc.Sal.22]))))),
0)</f>
        <v>0</v>
      </c>
      <c r="AB104" s="93">
        <f t="array" ref="AB104">IFERROR(
AVERAGE((IF(DATOS_[[Sexo]:[Sexo]]=$B104,IF(DATOS_[[AGRUP. CLAS. PROF.]:[AGRUP. CLAS. PROF.]]=$B102,IF(DATOS_[[Check Periodo Ref.]:[Check Periodo Ref.]]="Dentro",DATOS_[Conc.Sal.23]))))),
0)</f>
        <v>0</v>
      </c>
      <c r="AC104" s="93">
        <f t="array" ref="AC104">IFERROR(
AVERAGE((IF(DATOS_[[Sexo]:[Sexo]]=$B104,IF(DATOS_[[AGRUP. CLAS. PROF.]:[AGRUP. CLAS. PROF.]]=$B102,IF(DATOS_[[Check Periodo Ref.]:[Check Periodo Ref.]]="Dentro",DATOS_[Conc.Sal.24]))))),
0)</f>
        <v>0</v>
      </c>
      <c r="AD104" s="93">
        <f t="array" ref="AD104">IFERROR(
AVERAGE((IF(DATOS_[[Sexo]:[Sexo]]=$B104,IF(DATOS_[[AGRUP. CLAS. PROF.]:[AGRUP. CLAS. PROF.]]=$B102,IF(DATOS_[[Check Periodo Ref.]:[Check Periodo Ref.]]="Dentro",DATOS_[Conc.Sal.25]))))),
0)</f>
        <v>0</v>
      </c>
      <c r="AE104" s="93">
        <f t="array" ref="AE104">IFERROR(
AVERAGE((IF(DATOS_[[Sexo]:[Sexo]]=$B104,IF(DATOS_[[AGRUP. CLAS. PROF.]:[AGRUP. CLAS. PROF.]]=$B102,IF(DATOS_[[Check Periodo Ref.]:[Check Periodo Ref.]]="Dentro",DATOS_[Conc.Sal.26]))))),
0)</f>
        <v>0</v>
      </c>
      <c r="AF104" s="93">
        <f t="array" ref="AF104">IFERROR(
AVERAGE((IF(DATOS_[[Sexo]:[Sexo]]=$B104,IF(DATOS_[[AGRUP. CLAS. PROF.]:[AGRUP. CLAS. PROF.]]=$B102,IF(DATOS_[[Check Periodo Ref.]:[Check Periodo Ref.]]="Dentro",DATOS_[Conc.Sal.27]))))),
0)</f>
        <v>0</v>
      </c>
      <c r="AG104" s="93">
        <f t="array" ref="AG104">IFERROR(
AVERAGE((IF(DATOS_[[Sexo]:[Sexo]]=$B104,IF(DATOS_[[AGRUP. CLAS. PROF.]:[AGRUP. CLAS. PROF.]]=$B102,IF(DATOS_[[Check Periodo Ref.]:[Check Periodo Ref.]]="Dentro",DATOS_[Conc.Sal.28]))))),
0)</f>
        <v>0</v>
      </c>
      <c r="AH104" s="93">
        <f t="array" ref="AH104">IFERROR(
AVERAGE((IF(DATOS_[[Sexo]:[Sexo]]=$B104,IF(DATOS_[[AGRUP. CLAS. PROF.]:[AGRUP. CLAS. PROF.]]=$B102,IF(DATOS_[[Check Periodo Ref.]:[Check Periodo Ref.]]="Dentro",DATOS_[Conc.Sal.29]))))),
0)</f>
        <v>0</v>
      </c>
      <c r="AI104" s="93">
        <f t="array" ref="AI104">IFERROR(
AVERAGE((IF(DATOS_[[Sexo]:[Sexo]]=$B104,IF(DATOS_[[AGRUP. CLAS. PROF.]:[AGRUP. CLAS. PROF.]]=$B102,IF(DATOS_[[Check Periodo Ref.]:[Check Periodo Ref.]]="Dentro",DATOS_[Conc.Sal.30]))))),
0)</f>
        <v>0</v>
      </c>
      <c r="AJ104" s="94">
        <f t="array" ref="AJ104">IFERROR(
AVERAGE(IF(DATOS_[Sexo]=$B104,IF(DATOS_[AGRUP. CLAS. PROF.]=$B102,IF(DATOS_[Check Periodo Ref.]="Dentro",DATOS_[Tot COMPL.SAL Ef],FALSE)))),
0)</f>
        <v>0</v>
      </c>
      <c r="AK104" s="96">
        <f t="array" ref="AK104">IFERROR(
AVERAGE(IF(DATOS_[Sexo]=$B104,IF(DATOS_[AGRUP. CLAS. PROF.]=$B102,IF(DATOS_[Check Periodo Ref.]="Dentro",DATOS_[TOTAL SALARIO Ef],FALSE)))),
0)</f>
        <v>0</v>
      </c>
      <c r="AL104" s="95">
        <f t="array" ref="AL104">IFERROR(
AVERAGE((IF(DATOS_[[Sexo]:[Sexo]]=$B104,IF(DATOS_[[AGRUP. CLAS. PROF.]:[AGRUP. CLAS. PROF.]]=$B102,IF(DATOS_[[Check Periodo Ref.]:[Check Periodo Ref.]]="Dentro",DATOS_[C.Extra.01]))))),
0)</f>
        <v>0</v>
      </c>
      <c r="AM104" s="95">
        <f t="array" ref="AM104">IFERROR(
AVERAGE((IF(DATOS_[[Sexo]:[Sexo]]=$B104,IF(DATOS_[[AGRUP. CLAS. PROF.]:[AGRUP. CLAS. PROF.]]=$B102,IF(DATOS_[[Check Periodo Ref.]:[Check Periodo Ref.]]="Dentro",DATOS_[C.Extra.02]))))),
0)</f>
        <v>0</v>
      </c>
      <c r="AN104" s="95">
        <f t="array" ref="AN104">IFERROR(
AVERAGE((IF(DATOS_[[Sexo]:[Sexo]]=$B104,IF(DATOS_[[AGRUP. CLAS. PROF.]:[AGRUP. CLAS. PROF.]]=$B102,IF(DATOS_[[Check Periodo Ref.]:[Check Periodo Ref.]]="Dentro",DATOS_[C.Extra.03]))))),
0)</f>
        <v>0</v>
      </c>
      <c r="AO104" s="95">
        <f t="array" ref="AO104">IFERROR(
AVERAGE((IF(DATOS_[[Sexo]:[Sexo]]=$B104,IF(DATOS_[[AGRUP. CLAS. PROF.]:[AGRUP. CLAS. PROF.]]=$B102,IF(DATOS_[[Check Periodo Ref.]:[Check Periodo Ref.]]="Dentro",DATOS_[C.Extra.04]))))),
0)</f>
        <v>0</v>
      </c>
      <c r="AP104" s="95">
        <f t="array" ref="AP104">IFERROR(
AVERAGE((IF(DATOS_[[Sexo]:[Sexo]]=$B104,IF(DATOS_[[AGRUP. CLAS. PROF.]:[AGRUP. CLAS. PROF.]]=$B102,IF(DATOS_[[Check Periodo Ref.]:[Check Periodo Ref.]]="Dentro",DATOS_[C.Extra.05]))))),
0)</f>
        <v>0</v>
      </c>
      <c r="AQ104" s="97">
        <f t="array" ref="AQ104">IFERROR(
AVERAGE(IF(DATOS_[Sexo]=$B104,IF(DATOS_[AGRUP. CLAS. PROF.]=$B102,IF(DATOS_[Check Periodo Ref.]="Dentro",DATOS_[Tot Extrasalarial Ef],FALSE)))),
0)</f>
        <v>0</v>
      </c>
      <c r="AR104" s="98">
        <f t="array" ref="AR104">IFERROR(
AVERAGE(IF(DATOS_[Sexo]=$B104,IF(DATOS_[AGRUP. CLAS. PROF.]=$B102,IF(DATOS_[Check Periodo Ref.]="Dentro",DATOS_[TOTAL Retrib Ef],FALSE)))),
0)</f>
        <v>0</v>
      </c>
    </row>
  </sheetData>
  <sheetProtection algorithmName="SHA-512" hashValue="94eEOs1DYkRuIRgQnwnZST4w14Yk9Xkbhj6QsK58uBlAhaC1ZEa+hJnDUVyUB2C0c+mHTnarJRThNyEQfdTq7g==" saltValue="uiV7XVZpW2AtmuKZqYgsZg==" spinCount="100000" sheet="1" objects="1" scenarios="1"/>
  <dataConsolidate/>
  <mergeCells count="1">
    <mergeCell ref="AS1:AS11"/>
  </mergeCells>
  <phoneticPr fontId="21" type="noConversion"/>
  <pageMargins left="0.25" right="0.25" top="0.75" bottom="0.75" header="0.3" footer="0.3"/>
  <pageSetup paperSize="9" scale="85"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pageSetUpPr fitToPage="1"/>
  </sheetPr>
  <dimension ref="A1:AU104"/>
  <sheetViews>
    <sheetView showGridLines="0" zoomScaleNormal="100" workbookViewId="0">
      <selection activeCell="AS1" sqref="AS1:AS11"/>
    </sheetView>
  </sheetViews>
  <sheetFormatPr baseColWidth="10" defaultColWidth="7.28515625" defaultRowHeight="16.5" outlineLevelCol="1" x14ac:dyDescent="0.3"/>
  <cols>
    <col min="1" max="2" width="8.85546875" style="42" customWidth="1"/>
    <col min="3" max="4" width="7.28515625" style="42" customWidth="1"/>
    <col min="5" max="5" width="10.42578125" style="42" customWidth="1"/>
    <col min="6" max="13" width="7.28515625" style="42" customWidth="1"/>
    <col min="14" max="15" width="7.28515625" style="42" hidden="1" customWidth="1"/>
    <col min="16" max="35" width="7.28515625" style="42" hidden="1" customWidth="1" outlineLevel="1"/>
    <col min="36" max="36" width="8.85546875" style="42" customWidth="1" collapsed="1"/>
    <col min="37" max="37" width="8.85546875" style="42" customWidth="1"/>
    <col min="38" max="41" width="7.28515625" style="42" customWidth="1"/>
    <col min="42" max="42" width="7.28515625" style="42" hidden="1" customWidth="1"/>
    <col min="43" max="44" width="8.85546875" style="42" customWidth="1"/>
    <col min="45" max="45" width="16.7109375" style="42" customWidth="1"/>
    <col min="46" max="16384" width="7.28515625" style="42"/>
  </cols>
  <sheetData>
    <row r="1" spans="1:47" s="53" customFormat="1" ht="42.6" customHeight="1" x14ac:dyDescent="0.3">
      <c r="E1" s="237" t="s">
        <v>371</v>
      </c>
      <c r="AS1" s="344" t="str">
        <f>+IFERROR(IF(OR(((AR10-AR11)/AR11)&gt;=25%,((AR11-AR10)/AR10)&gt;=25%),AU1,""),"")</f>
        <v/>
      </c>
      <c r="AT1" s="305"/>
      <c r="AU1" s="332" t="s">
        <v>445</v>
      </c>
    </row>
    <row r="2" spans="1:47" ht="13.9" customHeight="1" x14ac:dyDescent="0.3">
      <c r="G2" s="42" t="str">
        <f>+IF(G8="[ocultar]",G8,"")</f>
        <v/>
      </c>
      <c r="H2" s="42" t="str">
        <f t="shared" ref="H2:AP2" si="0">+IF(H8="[ocultar]",H8,"")</f>
        <v/>
      </c>
      <c r="I2" s="42" t="str">
        <f t="shared" si="0"/>
        <v/>
      </c>
      <c r="J2" s="42" t="str">
        <f t="shared" si="0"/>
        <v/>
      </c>
      <c r="K2" s="42" t="str">
        <f t="shared" si="0"/>
        <v/>
      </c>
      <c r="L2" s="42" t="str">
        <f t="shared" si="0"/>
        <v/>
      </c>
      <c r="M2" s="42" t="str">
        <f t="shared" si="0"/>
        <v/>
      </c>
      <c r="N2" s="42" t="str">
        <f t="shared" si="0"/>
        <v>[ocultar]</v>
      </c>
      <c r="O2" s="42" t="str">
        <f t="shared" si="0"/>
        <v>[ocultar]</v>
      </c>
      <c r="P2" s="42" t="str">
        <f t="shared" si="0"/>
        <v>[ocultar]</v>
      </c>
      <c r="Q2" s="42" t="str">
        <f t="shared" si="0"/>
        <v>[ocultar]</v>
      </c>
      <c r="R2" s="42" t="str">
        <f t="shared" si="0"/>
        <v>[ocultar]</v>
      </c>
      <c r="S2" s="42" t="str">
        <f t="shared" si="0"/>
        <v>[ocultar]</v>
      </c>
      <c r="T2" s="42" t="str">
        <f t="shared" si="0"/>
        <v>[ocultar]</v>
      </c>
      <c r="U2" s="42" t="str">
        <f t="shared" si="0"/>
        <v>[ocultar]</v>
      </c>
      <c r="V2" s="42" t="str">
        <f t="shared" si="0"/>
        <v>[ocultar]</v>
      </c>
      <c r="W2" s="42" t="str">
        <f t="shared" si="0"/>
        <v>[ocultar]</v>
      </c>
      <c r="X2" s="42" t="str">
        <f t="shared" si="0"/>
        <v>[ocultar]</v>
      </c>
      <c r="Y2" s="42" t="str">
        <f t="shared" si="0"/>
        <v>[ocultar]</v>
      </c>
      <c r="Z2" s="42" t="str">
        <f t="shared" si="0"/>
        <v>[ocultar]</v>
      </c>
      <c r="AA2" s="42" t="str">
        <f t="shared" si="0"/>
        <v>[ocultar]</v>
      </c>
      <c r="AB2" s="42" t="str">
        <f t="shared" si="0"/>
        <v>[ocultar]</v>
      </c>
      <c r="AC2" s="42" t="str">
        <f t="shared" si="0"/>
        <v>[ocultar]</v>
      </c>
      <c r="AD2" s="42" t="str">
        <f t="shared" si="0"/>
        <v>[ocultar]</v>
      </c>
      <c r="AE2" s="42" t="str">
        <f t="shared" si="0"/>
        <v>[ocultar]</v>
      </c>
      <c r="AF2" s="42" t="str">
        <f t="shared" si="0"/>
        <v>[ocultar]</v>
      </c>
      <c r="AG2" s="42" t="str">
        <f t="shared" si="0"/>
        <v>[ocultar]</v>
      </c>
      <c r="AH2" s="42" t="str">
        <f t="shared" si="0"/>
        <v>[ocultar]</v>
      </c>
      <c r="AI2" s="42" t="str">
        <f t="shared" si="0"/>
        <v>[ocultar]</v>
      </c>
      <c r="AJ2" s="42" t="str">
        <f t="shared" si="0"/>
        <v/>
      </c>
      <c r="AK2" s="42" t="str">
        <f t="shared" si="0"/>
        <v/>
      </c>
      <c r="AL2" s="42" t="str">
        <f t="shared" si="0"/>
        <v/>
      </c>
      <c r="AM2" s="42" t="str">
        <f t="shared" si="0"/>
        <v/>
      </c>
      <c r="AN2" s="42" t="str">
        <f t="shared" si="0"/>
        <v/>
      </c>
      <c r="AO2" s="42" t="str">
        <f t="shared" si="0"/>
        <v/>
      </c>
      <c r="AP2" s="42" t="str">
        <f t="shared" si="0"/>
        <v>[ocultar]</v>
      </c>
      <c r="AS2" s="344"/>
      <c r="AT2" s="305"/>
      <c r="AU2" s="305"/>
    </row>
    <row r="3" spans="1:47" ht="13.9" customHeight="1" x14ac:dyDescent="0.3">
      <c r="E3" s="161" t="str">
        <f>+"Razón Social: "&amp;Inicio!C6&amp;"  -  NIF: "&amp;Inicio!C8</f>
        <v>Razón Social: Empresa Ejemplo Ficticio 3  -  NIF: B55512345</v>
      </c>
      <c r="F3" s="162"/>
      <c r="AS3" s="344"/>
      <c r="AT3" s="305"/>
      <c r="AU3" s="305"/>
    </row>
    <row r="4" spans="1:47" ht="13.9" customHeight="1" x14ac:dyDescent="0.3">
      <c r="E4" s="163" t="s">
        <v>97</v>
      </c>
      <c r="F4" s="164"/>
      <c r="AS4" s="344"/>
      <c r="AT4" s="305"/>
      <c r="AU4" s="305"/>
    </row>
    <row r="5" spans="1:47" ht="13.9" customHeight="1" x14ac:dyDescent="0.3">
      <c r="E5" s="165">
        <f>+Inicio!E10</f>
        <v>45292</v>
      </c>
      <c r="F5" s="166" t="str">
        <f>+Inicio!D10</f>
        <v>fecha inicio</v>
      </c>
      <c r="AS5" s="344"/>
      <c r="AT5" s="305"/>
      <c r="AU5" s="305"/>
    </row>
    <row r="6" spans="1:47" ht="13.9" customHeight="1" x14ac:dyDescent="0.3">
      <c r="E6" s="165">
        <f>+Inicio!G10</f>
        <v>45657</v>
      </c>
      <c r="F6" s="166" t="s">
        <v>94</v>
      </c>
      <c r="AS6" s="344"/>
      <c r="AT6" s="305"/>
      <c r="AU6" s="305"/>
    </row>
    <row r="7" spans="1:47" s="118" customFormat="1" ht="13.9" customHeight="1" x14ac:dyDescent="0.25">
      <c r="AS7" s="344"/>
      <c r="AT7" s="307"/>
      <c r="AU7" s="307"/>
    </row>
    <row r="8" spans="1:47" s="33" customFormat="1" ht="46.15" customHeight="1" x14ac:dyDescent="0.25">
      <c r="B8" s="30"/>
      <c r="C8" s="43" t="s">
        <v>225</v>
      </c>
      <c r="D8" s="43" t="s">
        <v>220</v>
      </c>
      <c r="E8" s="31" t="s">
        <v>223</v>
      </c>
      <c r="F8" s="32" t="str">
        <f>+IF(DATOS!AE6="","[ocultar]",DATOS!AE6)</f>
        <v>MejVol</v>
      </c>
      <c r="G8" s="32" t="str">
        <f>+IF(DATOS!AF6="","[ocultar]",DATOS!AF6)</f>
        <v>Antig.</v>
      </c>
      <c r="H8" s="32" t="str">
        <f>+IF(DATOS!AG6="","[ocultar]",DATOS!AG6)</f>
        <v>Transporte</v>
      </c>
      <c r="I8" s="32" t="str">
        <f>+IF(DATOS!AH6="","[ocultar]",DATOS!AH6)</f>
        <v>Ventas</v>
      </c>
      <c r="J8" s="32" t="str">
        <f>+IF(DATOS!AI6="","[ocultar]",DATOS!AI6)</f>
        <v>Bonus</v>
      </c>
      <c r="K8" s="32" t="str">
        <f>+IF(DATOS!AJ6="","[ocultar]",DATOS!AJ6)</f>
        <v>Coche</v>
      </c>
      <c r="L8" s="32" t="str">
        <f>+IF(DATOS!AK6="","[ocultar]",DATOS!AK6)</f>
        <v>Cesta</v>
      </c>
      <c r="M8" s="32" t="str">
        <f>+IF(DATOS!AL6="","[ocultar]",DATOS!AL6)</f>
        <v>Nocturnidad</v>
      </c>
      <c r="N8" s="32" t="str">
        <f>+IF(DATOS!AM6="","[ocultar]",DATOS!AM6)</f>
        <v>[ocultar]</v>
      </c>
      <c r="O8" s="32" t="str">
        <f>+IF(DATOS!AN6="","[ocultar]",DATOS!AN6)</f>
        <v>[ocultar]</v>
      </c>
      <c r="P8" s="32" t="str">
        <f>+IF(DATOS!AO6="","[ocultar]",DATOS!AO6)</f>
        <v>[ocultar]</v>
      </c>
      <c r="Q8" s="32" t="str">
        <f>+IF(DATOS!AP6="","[ocultar]",DATOS!AP6)</f>
        <v>[ocultar]</v>
      </c>
      <c r="R8" s="32" t="str">
        <f>+IF(DATOS!AQ6="","[ocultar]",DATOS!AQ6)</f>
        <v>[ocultar]</v>
      </c>
      <c r="S8" s="32" t="str">
        <f>+IF(DATOS!AR6="","[ocultar]",DATOS!AR6)</f>
        <v>[ocultar]</v>
      </c>
      <c r="T8" s="32" t="str">
        <f>+IF(DATOS!AS6="","[ocultar]",DATOS!AS6)</f>
        <v>[ocultar]</v>
      </c>
      <c r="U8" s="32" t="str">
        <f>+IF(DATOS!AT6="","[ocultar]",DATOS!AT6)</f>
        <v>[ocultar]</v>
      </c>
      <c r="V8" s="32" t="str">
        <f>+IF(DATOS!AU6="","[ocultar]",DATOS!AU6)</f>
        <v>[ocultar]</v>
      </c>
      <c r="W8" s="32" t="str">
        <f>+IF(DATOS!AV6="","[ocultar]",DATOS!AV6)</f>
        <v>[ocultar]</v>
      </c>
      <c r="X8" s="32" t="str">
        <f>+IF(DATOS!AW6="","[ocultar]",DATOS!AW6)</f>
        <v>[ocultar]</v>
      </c>
      <c r="Y8" s="32" t="str">
        <f>+IF(DATOS!AX6="","[ocultar]",DATOS!AX6)</f>
        <v>[ocultar]</v>
      </c>
      <c r="Z8" s="32" t="str">
        <f>+IF(DATOS!AY6="","[ocultar]",DATOS!AY6)</f>
        <v>[ocultar]</v>
      </c>
      <c r="AA8" s="32" t="str">
        <f>+IF(DATOS!AZ6="","[ocultar]",DATOS!AZ6)</f>
        <v>[ocultar]</v>
      </c>
      <c r="AB8" s="32" t="str">
        <f>+IF(DATOS!BA6="","[ocultar]",DATOS!BA6)</f>
        <v>[ocultar]</v>
      </c>
      <c r="AC8" s="32" t="str">
        <f>+IF(DATOS!BB6="","[ocultar]",DATOS!BB6)</f>
        <v>[ocultar]</v>
      </c>
      <c r="AD8" s="32" t="str">
        <f>+IF(DATOS!BC6="","[ocultar]",DATOS!BC6)</f>
        <v>[ocultar]</v>
      </c>
      <c r="AE8" s="32" t="str">
        <f>+IF(DATOS!BD6="","[ocultar]",DATOS!BD6)</f>
        <v>[ocultar]</v>
      </c>
      <c r="AF8" s="32" t="str">
        <f>+IF(DATOS!BE6="","[ocultar]",DATOS!BE6)</f>
        <v>[ocultar]</v>
      </c>
      <c r="AG8" s="32" t="str">
        <f>+IF(DATOS!BF6="","[ocultar]",DATOS!BF6)</f>
        <v>[ocultar]</v>
      </c>
      <c r="AH8" s="32" t="str">
        <f>+IF(DATOS!BG6="","[ocultar]",DATOS!BG6)</f>
        <v>[ocultar]</v>
      </c>
      <c r="AI8" s="32" t="str">
        <f>+IF(DATOS!BH6="","[ocultar]",DATOS!BH6)</f>
        <v>[ocultar]</v>
      </c>
      <c r="AJ8" s="73" t="s">
        <v>221</v>
      </c>
      <c r="AK8" s="74" t="s">
        <v>213</v>
      </c>
      <c r="AL8" s="75" t="str">
        <f>+IF(DATOS!BI6="","[ocultar]",DATOS!BI6)</f>
        <v>Dietas</v>
      </c>
      <c r="AM8" s="75" t="str">
        <f>+IF(DATOS!BJ6="","[ocultar]",DATOS!BJ6)</f>
        <v>Indem</v>
      </c>
      <c r="AN8" s="75" t="str">
        <f>+IF(DATOS!BK6="","[ocultar]",DATOS!BK6)</f>
        <v>ERTE</v>
      </c>
      <c r="AO8" s="75" t="str">
        <f>+IF(DATOS!BL6="","[ocultar]",DATOS!BL6)</f>
        <v>IT</v>
      </c>
      <c r="AP8" s="75" t="str">
        <f>+IF(DATOS!BM6="","[ocultar]",DATOS!BM6)</f>
        <v>[ocultar]</v>
      </c>
      <c r="AQ8" s="76" t="s">
        <v>222</v>
      </c>
      <c r="AR8" s="77" t="s">
        <v>214</v>
      </c>
      <c r="AS8" s="344"/>
      <c r="AT8" s="308"/>
      <c r="AU8" s="308"/>
    </row>
    <row r="9" spans="1:47" s="36" customFormat="1" ht="17.25" thickBot="1" x14ac:dyDescent="0.35">
      <c r="B9" s="40" t="s">
        <v>247</v>
      </c>
      <c r="C9" s="109"/>
      <c r="D9" s="41"/>
      <c r="E9" s="119">
        <f t="shared" ref="E9" si="1">IFERROR((E10-E11)/E10,"")</f>
        <v>7.9883359907212306E-2</v>
      </c>
      <c r="F9" s="123">
        <f>IFERROR((F10-F11)/F10,"")</f>
        <v>0.8489984591679508</v>
      </c>
      <c r="G9" s="123">
        <f t="shared" ref="G9:AR9" si="2">IFERROR((G10-G11)/G10,"")</f>
        <v>0.49591267998142124</v>
      </c>
      <c r="H9" s="123" t="str">
        <f t="shared" si="2"/>
        <v/>
      </c>
      <c r="I9" s="123" t="str">
        <f t="shared" si="2"/>
        <v/>
      </c>
      <c r="J9" s="123" t="str">
        <f t="shared" si="2"/>
        <v/>
      </c>
      <c r="K9" s="123" t="str">
        <f t="shared" si="2"/>
        <v/>
      </c>
      <c r="L9" s="123">
        <f t="shared" si="2"/>
        <v>0</v>
      </c>
      <c r="M9" s="123" t="str">
        <f t="shared" si="2"/>
        <v/>
      </c>
      <c r="N9" s="123" t="str">
        <f t="shared" si="2"/>
        <v/>
      </c>
      <c r="O9" s="123" t="str">
        <f t="shared" si="2"/>
        <v/>
      </c>
      <c r="P9" s="123" t="str">
        <f t="shared" si="2"/>
        <v/>
      </c>
      <c r="Q9" s="123" t="str">
        <f t="shared" si="2"/>
        <v/>
      </c>
      <c r="R9" s="123" t="str">
        <f t="shared" si="2"/>
        <v/>
      </c>
      <c r="S9" s="123" t="str">
        <f t="shared" si="2"/>
        <v/>
      </c>
      <c r="T9" s="123" t="str">
        <f t="shared" si="2"/>
        <v/>
      </c>
      <c r="U9" s="123" t="str">
        <f t="shared" si="2"/>
        <v/>
      </c>
      <c r="V9" s="122" t="str">
        <f t="shared" si="2"/>
        <v/>
      </c>
      <c r="W9" s="122" t="str">
        <f t="shared" si="2"/>
        <v/>
      </c>
      <c r="X9" s="122" t="str">
        <f t="shared" si="2"/>
        <v/>
      </c>
      <c r="Y9" s="122" t="str">
        <f t="shared" si="2"/>
        <v/>
      </c>
      <c r="Z9" s="122" t="str">
        <f t="shared" si="2"/>
        <v/>
      </c>
      <c r="AA9" s="122" t="str">
        <f t="shared" si="2"/>
        <v/>
      </c>
      <c r="AB9" s="122" t="str">
        <f t="shared" si="2"/>
        <v/>
      </c>
      <c r="AC9" s="122" t="str">
        <f t="shared" si="2"/>
        <v/>
      </c>
      <c r="AD9" s="122" t="str">
        <f t="shared" si="2"/>
        <v/>
      </c>
      <c r="AE9" s="122" t="str">
        <f t="shared" si="2"/>
        <v/>
      </c>
      <c r="AF9" s="122" t="str">
        <f t="shared" si="2"/>
        <v/>
      </c>
      <c r="AG9" s="122" t="str">
        <f t="shared" si="2"/>
        <v/>
      </c>
      <c r="AH9" s="122" t="str">
        <f t="shared" si="2"/>
        <v/>
      </c>
      <c r="AI9" s="122" t="str">
        <f t="shared" si="2"/>
        <v/>
      </c>
      <c r="AJ9" s="124">
        <f t="shared" si="2"/>
        <v>0.5589976722250789</v>
      </c>
      <c r="AK9" s="128">
        <f t="shared" si="2"/>
        <v>0.19706342073492439</v>
      </c>
      <c r="AL9" s="125" t="str">
        <f t="shared" si="2"/>
        <v/>
      </c>
      <c r="AM9" s="125" t="str">
        <f t="shared" si="2"/>
        <v/>
      </c>
      <c r="AN9" s="125" t="str">
        <f t="shared" si="2"/>
        <v/>
      </c>
      <c r="AO9" s="125" t="str">
        <f t="shared" si="2"/>
        <v/>
      </c>
      <c r="AP9" s="125" t="str">
        <f t="shared" si="2"/>
        <v/>
      </c>
      <c r="AQ9" s="126" t="str">
        <f t="shared" si="2"/>
        <v/>
      </c>
      <c r="AR9" s="127">
        <f t="shared" si="2"/>
        <v>0.19706342073492439</v>
      </c>
      <c r="AS9" s="344"/>
      <c r="AT9" s="309"/>
      <c r="AU9" s="309"/>
    </row>
    <row r="10" spans="1:47" s="36" customFormat="1" x14ac:dyDescent="0.3">
      <c r="B10" s="34" t="s">
        <v>162</v>
      </c>
      <c r="C10" s="33">
        <f t="array" ref="C10">SUM(IF($B10=DATOS_[Sexo],
IF("Dentro"=DATOS_[Check Periodo Ref.],
1/(COUNTIFS(DATOS_[Sexo],$B10,DATOS_[Check Periodo Ref.],"Dentro",DATOS_[id],DATOS_[id])))))</f>
        <v>102</v>
      </c>
      <c r="D10" s="35">
        <f>COUNTIFS(DATOS_[AGRUP. CLAS. PROF.],"&lt;&gt;",DATOS_[Sexo],$B10,DATOS_[Check Periodo Ref.],"Dentro")</f>
        <v>110</v>
      </c>
      <c r="E10" s="110">
        <f t="array" ref="E10">IFERROR(
MEDIAN(IF(DATOS_[Sexo]=$B10,IF(DATOS_[Check Periodo Ref.]="Dentro",DATOS_[SALARIO BASE Ef],FALSE))),
0)</f>
        <v>14036.34</v>
      </c>
      <c r="F10" s="111">
        <f t="array" ref="F10">IFERROR(
(MEDIAN((IF(DATOS_[[Sexo]:[Sexo]]=$B10,IF(DATOS_[[Check Periodo Ref.]:[Check Periodo Ref.]]="Dentro",DATOS_[Conc.Sal.01]))))),
0)</f>
        <v>1083.83</v>
      </c>
      <c r="G10" s="111">
        <f t="array" ref="G10">IFERROR(
(MEDIAN((IF(DATOS_[[Sexo]:[Sexo]]=$B10,IF(DATOS_[[Check Periodo Ref.]:[Check Periodo Ref.]]="Dentro",DATOS_[Conc.Sal.02]))))),
0)</f>
        <v>614.89679999999998</v>
      </c>
      <c r="H10" s="111">
        <f t="array" ref="H10">IFERROR(
(MEDIAN((IF(DATOS_[[Sexo]:[Sexo]]=$B10,IF(DATOS_[[Check Periodo Ref.]:[Check Periodo Ref.]]="Dentro",DATOS_[Conc.Sal.03]))))),
0)</f>
        <v>0</v>
      </c>
      <c r="I10" s="111">
        <f t="array" ref="I10">IFERROR(
(MEDIAN((IF(DATOS_[[Sexo]:[Sexo]]=$B10,IF(DATOS_[[Check Periodo Ref.]:[Check Periodo Ref.]]="Dentro",DATOS_[Conc.Sal.04]))))),
0)</f>
        <v>0</v>
      </c>
      <c r="J10" s="111">
        <f t="array" ref="J10">IFERROR(
(MEDIAN((IF(DATOS_[[Sexo]:[Sexo]]=$B10,IF(DATOS_[[Check Periodo Ref.]:[Check Periodo Ref.]]="Dentro",DATOS_[Conc.Sal.05]))))),
0)</f>
        <v>0</v>
      </c>
      <c r="K10" s="111">
        <f t="array" ref="K10">IFERROR(
(MEDIAN((IF(DATOS_[[Sexo]:[Sexo]]=$B10,IF(DATOS_[[Check Periodo Ref.]:[Check Periodo Ref.]]="Dentro",DATOS_[Conc.Sal.06]))))),
0)</f>
        <v>0</v>
      </c>
      <c r="L10" s="111">
        <f t="array" ref="L10">IFERROR(
(MEDIAN((IF(DATOS_[[Sexo]:[Sexo]]=$B10,IF(DATOS_[[Check Periodo Ref.]:[Check Periodo Ref.]]="Dentro",DATOS_[Conc.Sal.07]))))),
0)</f>
        <v>80</v>
      </c>
      <c r="M10" s="111">
        <f t="array" ref="M10">IFERROR(
(MEDIAN((IF(DATOS_[[Sexo]:[Sexo]]=$B10,IF(DATOS_[[Check Periodo Ref.]:[Check Periodo Ref.]]="Dentro",DATOS_[Conc.Sal.08]))))),
0)</f>
        <v>0</v>
      </c>
      <c r="N10" s="111">
        <f t="array" ref="N10">IFERROR(
(MEDIAN((IF(DATOS_[[Sexo]:[Sexo]]=$B10,IF(DATOS_[[Check Periodo Ref.]:[Check Periodo Ref.]]="Dentro",DATOS_[Conc.Sal.09]))))),
0)</f>
        <v>0</v>
      </c>
      <c r="O10" s="111">
        <f t="array" ref="O10">IFERROR(
(MEDIAN((IF(DATOS_[[Sexo]:[Sexo]]=$B10,IF(DATOS_[[Check Periodo Ref.]:[Check Periodo Ref.]]="Dentro",DATOS_[Conc.Sal.10]))))),
0)</f>
        <v>0</v>
      </c>
      <c r="P10" s="111">
        <f t="array" ref="P10">IFERROR(
(MEDIAN((IF(DATOS_[[Sexo]:[Sexo]]=$B10,IF(DATOS_[[Check Periodo Ref.]:[Check Periodo Ref.]]="Dentro",DATOS_[Conc.Sal.11]))))),
0)</f>
        <v>0</v>
      </c>
      <c r="Q10" s="111">
        <f t="array" ref="Q10">IFERROR(
(MEDIAN((IF(DATOS_[[Sexo]:[Sexo]]=$B10,IF(DATOS_[[Check Periodo Ref.]:[Check Periodo Ref.]]="Dentro",DATOS_[Conc.Sal.12]))))),
0)</f>
        <v>0</v>
      </c>
      <c r="R10" s="111">
        <f t="array" ref="R10">IFERROR(
(MEDIAN((IF(DATOS_[[Sexo]:[Sexo]]=$B10,IF(DATOS_[[Check Periodo Ref.]:[Check Periodo Ref.]]="Dentro",DATOS_[Conc.Sal.13]))))),
0)</f>
        <v>0</v>
      </c>
      <c r="S10" s="111">
        <f t="array" ref="S10">IFERROR(
(MEDIAN((IF(DATOS_[[Sexo]:[Sexo]]=$B10,IF(DATOS_[[Check Periodo Ref.]:[Check Periodo Ref.]]="Dentro",DATOS_[Conc.Sal.14]))))),
0)</f>
        <v>0</v>
      </c>
      <c r="T10" s="111">
        <f t="array" ref="T10">IFERROR(
(MEDIAN((IF(DATOS_[[Sexo]:[Sexo]]=$B10,IF(DATOS_[[Check Periodo Ref.]:[Check Periodo Ref.]]="Dentro",DATOS_[Conc.Sal.15]))))),
0)</f>
        <v>0</v>
      </c>
      <c r="U10" s="111">
        <f t="array" ref="U10">IFERROR(
(MEDIAN((IF(DATOS_[[Sexo]:[Sexo]]=$B10,IF(DATOS_[[Check Periodo Ref.]:[Check Periodo Ref.]]="Dentro",DATOS_[Conc.Sal.16]))))),
0)</f>
        <v>0</v>
      </c>
      <c r="V10" s="111">
        <f t="array" ref="V10">IFERROR(
(MEDIAN((IF(DATOS_[[Sexo]:[Sexo]]=$B10,IF(DATOS_[[Check Periodo Ref.]:[Check Periodo Ref.]]="Dentro",DATOS_[Conc.Sal.17]))))),
0)</f>
        <v>0</v>
      </c>
      <c r="W10" s="111">
        <f t="array" ref="W10">IFERROR(
(MEDIAN((IF(DATOS_[[Sexo]:[Sexo]]=$B10,IF(DATOS_[[Check Periodo Ref.]:[Check Periodo Ref.]]="Dentro",DATOS_[Conc.Sal.18]))))),
0)</f>
        <v>0</v>
      </c>
      <c r="X10" s="111">
        <f t="array" ref="X10">IFERROR(
(MEDIAN((IF(DATOS_[[Sexo]:[Sexo]]=$B10,IF(DATOS_[[Check Periodo Ref.]:[Check Periodo Ref.]]="Dentro",DATOS_[Conc.Sal.19]))))),
0)</f>
        <v>0</v>
      </c>
      <c r="Y10" s="111">
        <f t="array" ref="Y10">IFERROR(
(MEDIAN((IF(DATOS_[[Sexo]:[Sexo]]=$B10,IF(DATOS_[[Check Periodo Ref.]:[Check Periodo Ref.]]="Dentro",DATOS_[Conc.Sal.20]))))),
0)</f>
        <v>0</v>
      </c>
      <c r="Z10" s="111">
        <f t="array" ref="Z10">IFERROR(
(MEDIAN((IF(DATOS_[[Sexo]:[Sexo]]=$B10,IF(DATOS_[[Check Periodo Ref.]:[Check Periodo Ref.]]="Dentro",DATOS_[Conc.Sal.21]))))),
0)</f>
        <v>0</v>
      </c>
      <c r="AA10" s="111">
        <f t="array" ref="AA10">IFERROR(
(MEDIAN((IF(DATOS_[[Sexo]:[Sexo]]=$B10,IF(DATOS_[[Check Periodo Ref.]:[Check Periodo Ref.]]="Dentro",DATOS_[Conc.Sal.22]))))),
0)</f>
        <v>0</v>
      </c>
      <c r="AB10" s="111">
        <f t="array" ref="AB10">IFERROR(
(MEDIAN((IF(DATOS_[[Sexo]:[Sexo]]=$B10,IF(DATOS_[[Check Periodo Ref.]:[Check Periodo Ref.]]="Dentro",DATOS_[Conc.Sal.23]))))),
0)</f>
        <v>0</v>
      </c>
      <c r="AC10" s="111">
        <f t="array" ref="AC10">IFERROR(
(MEDIAN((IF(DATOS_[[Sexo]:[Sexo]]=$B10,IF(DATOS_[[Check Periodo Ref.]:[Check Periodo Ref.]]="Dentro",DATOS_[Conc.Sal.24]))))),
0)</f>
        <v>0</v>
      </c>
      <c r="AD10" s="111">
        <f t="array" ref="AD10">IFERROR(
(MEDIAN((IF(DATOS_[[Sexo]:[Sexo]]=$B10,IF(DATOS_[[Check Periodo Ref.]:[Check Periodo Ref.]]="Dentro",DATOS_[Conc.Sal.25]))))),
0)</f>
        <v>0</v>
      </c>
      <c r="AE10" s="111">
        <f t="array" ref="AE10">IFERROR(
(MEDIAN((IF(DATOS_[[Sexo]:[Sexo]]=$B10,IF(DATOS_[[Check Periodo Ref.]:[Check Periodo Ref.]]="Dentro",DATOS_[Conc.Sal.26]))))),
0)</f>
        <v>0</v>
      </c>
      <c r="AF10" s="111">
        <f t="array" ref="AF10">IFERROR(
(MEDIAN((IF(DATOS_[[Sexo]:[Sexo]]=$B10,IF(DATOS_[[Check Periodo Ref.]:[Check Periodo Ref.]]="Dentro",DATOS_[Conc.Sal.27]))))),
0)</f>
        <v>0</v>
      </c>
      <c r="AG10" s="111">
        <f t="array" ref="AG10">IFERROR(
(MEDIAN((IF(DATOS_[[Sexo]:[Sexo]]=$B10,IF(DATOS_[[Check Periodo Ref.]:[Check Periodo Ref.]]="Dentro",DATOS_[Conc.Sal.28]))))),
0)</f>
        <v>0</v>
      </c>
      <c r="AH10" s="111">
        <f t="array" ref="AH10">IFERROR(
(MEDIAN((IF(DATOS_[[Sexo]:[Sexo]]=$B10,IF(DATOS_[[Check Periodo Ref.]:[Check Periodo Ref.]]="Dentro",DATOS_[Conc.Sal.29]))))),
0)</f>
        <v>0</v>
      </c>
      <c r="AI10" s="111">
        <f t="array" ref="AI10">IFERROR(
(MEDIAN((IF(DATOS_[[Sexo]:[Sexo]]=$B10,IF(DATOS_[[Check Periodo Ref.]:[Check Periodo Ref.]]="Dentro",DATOS_[Conc.Sal.30]))))),
0)</f>
        <v>0</v>
      </c>
      <c r="AJ10" s="112">
        <f t="array" ref="AJ10">IFERROR(
MEDIAN(IF(DATOS_[Sexo]=$B10,IF(DATOS_[Check Periodo Ref.]="Dentro",DATOS_[Tot COMPL.SAL Ef],FALSE))),
0)</f>
        <v>3449.4744000000001</v>
      </c>
      <c r="AK10" s="113">
        <f t="array" ref="AK10">IFERROR(
MEDIAN(IF(DATOS_[Sexo]=$B10,IF(DATOS_[Check Periodo Ref.]="Dentro",DATOS_[TOTAL SALARIO Ef],FALSE))),
0)</f>
        <v>17485.814399999999</v>
      </c>
      <c r="AL10" s="117">
        <f t="array" ref="AL10">IFERROR(
(MEDIAN((IF(DATOS_[[Sexo]:[Sexo]]=$B10,IF(DATOS_[[Check Periodo Ref.]:[Check Periodo Ref.]]="Dentro",DATOS_[C.Extra.01]))))),
0)</f>
        <v>0</v>
      </c>
      <c r="AM10" s="117">
        <f t="array" ref="AM10">IFERROR(
(MEDIAN((IF(DATOS_[[Sexo]:[Sexo]]=$B10,IF(DATOS_[[Check Periodo Ref.]:[Check Periodo Ref.]]="Dentro",DATOS_[C.Extra.02]))))),
0)</f>
        <v>0</v>
      </c>
      <c r="AN10" s="117">
        <f t="array" ref="AN10">IFERROR(
(MEDIAN((IF(DATOS_[[Sexo]:[Sexo]]=$B10,IF(DATOS_[[Check Periodo Ref.]:[Check Periodo Ref.]]="Dentro",DATOS_[C.Extra.03]))))),
0)</f>
        <v>0</v>
      </c>
      <c r="AO10" s="117">
        <f t="array" ref="AO10">IFERROR(
(MEDIAN((IF(DATOS_[[Sexo]:[Sexo]]=$B10,IF(DATOS_[[Check Periodo Ref.]:[Check Periodo Ref.]]="Dentro",DATOS_[C.Extra.04]))))),
0)</f>
        <v>0</v>
      </c>
      <c r="AP10" s="117">
        <f t="array" ref="AP10">IFERROR(
(MEDIAN((IF(DATOS_[[Sexo]:[Sexo]]=$B10,IF(DATOS_[[Check Periodo Ref.]:[Check Periodo Ref.]]="Dentro",DATOS_[C.Extra.05]))))),
0)</f>
        <v>0</v>
      </c>
      <c r="AQ10" s="115">
        <f t="array" ref="AQ10">IFERROR(
MEDIAN(IF(DATOS_[Sexo]=$B10,IF(DATOS_[Check Periodo Ref.]="Dentro",DATOS_[Tot Extrasalarial Ef],FALSE))),
0)</f>
        <v>0</v>
      </c>
      <c r="AR10" s="116">
        <f t="array" ref="AR10">IFERROR(
MEDIAN(IF(DATOS_[Sexo]=$B10,IF(DATOS_[Check Periodo Ref.]="Dentro",DATOS_[TOTAL Retrib Ef],FALSE))),
0)</f>
        <v>17485.814399999999</v>
      </c>
      <c r="AS10" s="344"/>
      <c r="AT10" s="309"/>
      <c r="AU10" s="309"/>
    </row>
    <row r="11" spans="1:47" s="36" customFormat="1" x14ac:dyDescent="0.3">
      <c r="B11" s="34" t="s">
        <v>163</v>
      </c>
      <c r="C11" s="33">
        <f t="array" ref="C11">SUM(IF($B11=DATOS_[Sexo],
IF("Dentro"=DATOS_[Check Periodo Ref.],
1/(COUNTIFS(DATOS_[Sexo],$B11,DATOS_[Check Periodo Ref.],"Dentro",DATOS_[id],DATOS_[id])))))</f>
        <v>106</v>
      </c>
      <c r="D11" s="35">
        <f>COUNTIFS(DATOS_[AGRUP. CLAS. PROF.],"&lt;&gt;",DATOS_[Sexo],$B11,DATOS_[Check Periodo Ref.],"Dentro")</f>
        <v>115</v>
      </c>
      <c r="E11" s="110">
        <f t="array" ref="E11">IFERROR(
MEDIAN(IF(DATOS_[Sexo]=$B11,IF(DATOS_[Check Periodo Ref.]="Dentro",DATOS_[SALARIO BASE Ef],FALSE))),
0)</f>
        <v>12915.07</v>
      </c>
      <c r="F11" s="111">
        <f t="array" ref="F11">IFERROR(
(MEDIAN((IF(DATOS_[[Sexo]:[Sexo]]=$B11,IF(DATOS_[[Check Periodo Ref.]:[Check Periodo Ref.]]="Dentro",DATOS_[Conc.Sal.01]))))),
0)</f>
        <v>163.65999999999985</v>
      </c>
      <c r="G11" s="111">
        <f t="array" ref="G11">IFERROR(
(MEDIAN((IF(DATOS_[[Sexo]:[Sexo]]=$B11,IF(DATOS_[[Check Periodo Ref.]:[Check Periodo Ref.]]="Dentro",DATOS_[Conc.Sal.02]))))),
0)</f>
        <v>309.96168</v>
      </c>
      <c r="H11" s="111">
        <f t="array" ref="H11">IFERROR(
(MEDIAN((IF(DATOS_[[Sexo]:[Sexo]]=$B11,IF(DATOS_[[Check Periodo Ref.]:[Check Periodo Ref.]]="Dentro",DATOS_[Conc.Sal.03]))))),
0)</f>
        <v>320</v>
      </c>
      <c r="I11" s="111">
        <f t="array" ref="I11">IFERROR(
(MEDIAN((IF(DATOS_[[Sexo]:[Sexo]]=$B11,IF(DATOS_[[Check Periodo Ref.]:[Check Periodo Ref.]]="Dentro",DATOS_[Conc.Sal.04]))))),
0)</f>
        <v>0</v>
      </c>
      <c r="J11" s="111">
        <f t="array" ref="J11">IFERROR(
(MEDIAN((IF(DATOS_[[Sexo]:[Sexo]]=$B11,IF(DATOS_[[Check Periodo Ref.]:[Check Periodo Ref.]]="Dentro",DATOS_[Conc.Sal.05]))))),
0)</f>
        <v>0</v>
      </c>
      <c r="K11" s="111">
        <f t="array" ref="K11">IFERROR(
(MEDIAN((IF(DATOS_[[Sexo]:[Sexo]]=$B11,IF(DATOS_[[Check Periodo Ref.]:[Check Periodo Ref.]]="Dentro",DATOS_[Conc.Sal.06]))))),
0)</f>
        <v>0</v>
      </c>
      <c r="L11" s="111">
        <f t="array" ref="L11">IFERROR(
(MEDIAN((IF(DATOS_[[Sexo]:[Sexo]]=$B11,IF(DATOS_[[Check Periodo Ref.]:[Check Periodo Ref.]]="Dentro",DATOS_[Conc.Sal.07]))))),
0)</f>
        <v>80</v>
      </c>
      <c r="M11" s="111">
        <f t="array" ref="M11">IFERROR(
(MEDIAN((IF(DATOS_[[Sexo]:[Sexo]]=$B11,IF(DATOS_[[Check Periodo Ref.]:[Check Periodo Ref.]]="Dentro",DATOS_[Conc.Sal.08]))))),
0)</f>
        <v>0</v>
      </c>
      <c r="N11" s="111">
        <f t="array" ref="N11">IFERROR(
(MEDIAN((IF(DATOS_[[Sexo]:[Sexo]]=$B11,IF(DATOS_[[Check Periodo Ref.]:[Check Periodo Ref.]]="Dentro",DATOS_[Conc.Sal.09]))))),
0)</f>
        <v>0</v>
      </c>
      <c r="O11" s="111">
        <f t="array" ref="O11">IFERROR(
(MEDIAN((IF(DATOS_[[Sexo]:[Sexo]]=$B11,IF(DATOS_[[Check Periodo Ref.]:[Check Periodo Ref.]]="Dentro",DATOS_[Conc.Sal.10]))))),
0)</f>
        <v>0</v>
      </c>
      <c r="P11" s="111">
        <f t="array" ref="P11">IFERROR(
(MEDIAN((IF(DATOS_[[Sexo]:[Sexo]]=$B11,IF(DATOS_[[Check Periodo Ref.]:[Check Periodo Ref.]]="Dentro",DATOS_[Conc.Sal.11]))))),
0)</f>
        <v>0</v>
      </c>
      <c r="Q11" s="111">
        <f t="array" ref="Q11">IFERROR(
(MEDIAN((IF(DATOS_[[Sexo]:[Sexo]]=$B11,IF(DATOS_[[Check Periodo Ref.]:[Check Periodo Ref.]]="Dentro",DATOS_[Conc.Sal.12]))))),
0)</f>
        <v>0</v>
      </c>
      <c r="R11" s="111">
        <f t="array" ref="R11">IFERROR(
(MEDIAN((IF(DATOS_[[Sexo]:[Sexo]]=$B11,IF(DATOS_[[Check Periodo Ref.]:[Check Periodo Ref.]]="Dentro",DATOS_[Conc.Sal.13]))))),
0)</f>
        <v>0</v>
      </c>
      <c r="S11" s="111">
        <f t="array" ref="S11">IFERROR(
(MEDIAN((IF(DATOS_[[Sexo]:[Sexo]]=$B11,IF(DATOS_[[Check Periodo Ref.]:[Check Periodo Ref.]]="Dentro",DATOS_[Conc.Sal.14]))))),
0)</f>
        <v>0</v>
      </c>
      <c r="T11" s="111">
        <f t="array" ref="T11">IFERROR(
(MEDIAN((IF(DATOS_[[Sexo]:[Sexo]]=$B11,IF(DATOS_[[Check Periodo Ref.]:[Check Periodo Ref.]]="Dentro",DATOS_[Conc.Sal.15]))))),
0)</f>
        <v>0</v>
      </c>
      <c r="U11" s="111">
        <f t="array" ref="U11">IFERROR(
(MEDIAN((IF(DATOS_[[Sexo]:[Sexo]]=$B11,IF(DATOS_[[Check Periodo Ref.]:[Check Periodo Ref.]]="Dentro",DATOS_[Conc.Sal.16]))))),
0)</f>
        <v>0</v>
      </c>
      <c r="V11" s="111">
        <f t="array" ref="V11">IFERROR(
(MEDIAN((IF(DATOS_[[Sexo]:[Sexo]]=$B11,IF(DATOS_[[Check Periodo Ref.]:[Check Periodo Ref.]]="Dentro",DATOS_[Conc.Sal.17]))))),
0)</f>
        <v>0</v>
      </c>
      <c r="W11" s="111">
        <f t="array" ref="W11">IFERROR(
(MEDIAN((IF(DATOS_[[Sexo]:[Sexo]]=$B11,IF(DATOS_[[Check Periodo Ref.]:[Check Periodo Ref.]]="Dentro",DATOS_[Conc.Sal.18]))))),
0)</f>
        <v>0</v>
      </c>
      <c r="X11" s="111">
        <f t="array" ref="X11">IFERROR(
(MEDIAN((IF(DATOS_[[Sexo]:[Sexo]]=$B11,IF(DATOS_[[Check Periodo Ref.]:[Check Periodo Ref.]]="Dentro",DATOS_[Conc.Sal.19]))))),
0)</f>
        <v>0</v>
      </c>
      <c r="Y11" s="111">
        <f t="array" ref="Y11">IFERROR(
(MEDIAN((IF(DATOS_[[Sexo]:[Sexo]]=$B11,IF(DATOS_[[Check Periodo Ref.]:[Check Periodo Ref.]]="Dentro",DATOS_[Conc.Sal.20]))))),
0)</f>
        <v>0</v>
      </c>
      <c r="Z11" s="111">
        <f t="array" ref="Z11">IFERROR(
(MEDIAN((IF(DATOS_[[Sexo]:[Sexo]]=$B11,IF(DATOS_[[Check Periodo Ref.]:[Check Periodo Ref.]]="Dentro",DATOS_[Conc.Sal.21]))))),
0)</f>
        <v>0</v>
      </c>
      <c r="AA11" s="111">
        <f t="array" ref="AA11">IFERROR(
(MEDIAN((IF(DATOS_[[Sexo]:[Sexo]]=$B11,IF(DATOS_[[Check Periodo Ref.]:[Check Periodo Ref.]]="Dentro",DATOS_[Conc.Sal.22]))))),
0)</f>
        <v>0</v>
      </c>
      <c r="AB11" s="111">
        <f t="array" ref="AB11">IFERROR(
(MEDIAN((IF(DATOS_[[Sexo]:[Sexo]]=$B11,IF(DATOS_[[Check Periodo Ref.]:[Check Periodo Ref.]]="Dentro",DATOS_[Conc.Sal.23]))))),
0)</f>
        <v>0</v>
      </c>
      <c r="AC11" s="111">
        <f t="array" ref="AC11">IFERROR(
(MEDIAN((IF(DATOS_[[Sexo]:[Sexo]]=$B11,IF(DATOS_[[Check Periodo Ref.]:[Check Periodo Ref.]]="Dentro",DATOS_[Conc.Sal.24]))))),
0)</f>
        <v>0</v>
      </c>
      <c r="AD11" s="111">
        <f t="array" ref="AD11">IFERROR(
(MEDIAN((IF(DATOS_[[Sexo]:[Sexo]]=$B11,IF(DATOS_[[Check Periodo Ref.]:[Check Periodo Ref.]]="Dentro",DATOS_[Conc.Sal.25]))))),
0)</f>
        <v>0</v>
      </c>
      <c r="AE11" s="111">
        <f t="array" ref="AE11">IFERROR(
(MEDIAN((IF(DATOS_[[Sexo]:[Sexo]]=$B11,IF(DATOS_[[Check Periodo Ref.]:[Check Periodo Ref.]]="Dentro",DATOS_[Conc.Sal.26]))))),
0)</f>
        <v>0</v>
      </c>
      <c r="AF11" s="111">
        <f t="array" ref="AF11">IFERROR(
(MEDIAN((IF(DATOS_[[Sexo]:[Sexo]]=$B11,IF(DATOS_[[Check Periodo Ref.]:[Check Periodo Ref.]]="Dentro",DATOS_[Conc.Sal.27]))))),
0)</f>
        <v>0</v>
      </c>
      <c r="AG11" s="111">
        <f t="array" ref="AG11">IFERROR(
(MEDIAN((IF(DATOS_[[Sexo]:[Sexo]]=$B11,IF(DATOS_[[Check Periodo Ref.]:[Check Periodo Ref.]]="Dentro",DATOS_[Conc.Sal.28]))))),
0)</f>
        <v>0</v>
      </c>
      <c r="AH11" s="111">
        <f t="array" ref="AH11">IFERROR(
(MEDIAN((IF(DATOS_[[Sexo]:[Sexo]]=$B11,IF(DATOS_[[Check Periodo Ref.]:[Check Periodo Ref.]]="Dentro",DATOS_[Conc.Sal.29]))))),
0)</f>
        <v>0</v>
      </c>
      <c r="AI11" s="111">
        <f t="array" ref="AI11">IFERROR(
(MEDIAN((IF(DATOS_[[Sexo]:[Sexo]]=$B11,IF(DATOS_[[Check Periodo Ref.]:[Check Periodo Ref.]]="Dentro",DATOS_[Conc.Sal.30]))))),
0)</f>
        <v>0</v>
      </c>
      <c r="AJ11" s="112">
        <f t="array" ref="AJ11">IFERROR(
MEDIAN(IF(DATOS_[Sexo]=$B11,IF(DATOS_[Check Periodo Ref.]="Dentro",DATOS_[Tot COMPL.SAL Ef],FALSE))),
0)</f>
        <v>1521.2262399999995</v>
      </c>
      <c r="AK11" s="113">
        <f t="array" ref="AK11">IFERROR(
MEDIAN(IF(DATOS_[Sexo]=$B11,IF(DATOS_[Check Periodo Ref.]="Dentro",DATOS_[TOTAL SALARIO Ef],FALSE))),
0)</f>
        <v>14040</v>
      </c>
      <c r="AL11" s="117">
        <f t="array" ref="AL11">IFERROR(
(MEDIAN((IF(DATOS_[[Sexo]:[Sexo]]=$B11,IF(DATOS_[[Check Periodo Ref.]:[Check Periodo Ref.]]="Dentro",DATOS_[C.Extra.01]))))),
0)</f>
        <v>0</v>
      </c>
      <c r="AM11" s="117">
        <f t="array" ref="AM11">IFERROR(
(MEDIAN((IF(DATOS_[[Sexo]:[Sexo]]=$B11,IF(DATOS_[[Check Periodo Ref.]:[Check Periodo Ref.]]="Dentro",DATOS_[C.Extra.02]))))),
0)</f>
        <v>0</v>
      </c>
      <c r="AN11" s="117">
        <f t="array" ref="AN11">IFERROR(
(MEDIAN((IF(DATOS_[[Sexo]:[Sexo]]=$B11,IF(DATOS_[[Check Periodo Ref.]:[Check Periodo Ref.]]="Dentro",DATOS_[C.Extra.03]))))),
0)</f>
        <v>0</v>
      </c>
      <c r="AO11" s="117">
        <f t="array" ref="AO11">IFERROR(
(MEDIAN((IF(DATOS_[[Sexo]:[Sexo]]=$B11,IF(DATOS_[[Check Periodo Ref.]:[Check Periodo Ref.]]="Dentro",DATOS_[C.Extra.04]))))),
0)</f>
        <v>0</v>
      </c>
      <c r="AP11" s="117">
        <f t="array" ref="AP11">IFERROR(
(MEDIAN((IF(DATOS_[[Sexo]:[Sexo]]=$B11,IF(DATOS_[[Check Periodo Ref.]:[Check Periodo Ref.]]="Dentro",DATOS_[C.Extra.05]))))),
0)</f>
        <v>0</v>
      </c>
      <c r="AQ11" s="115">
        <f t="array" ref="AQ11">IFERROR(
MEDIAN(IF(DATOS_[Sexo]=$B11,IF(DATOS_[Check Periodo Ref.]="Dentro",DATOS_[Tot Extrasalarial Ef],FALSE))),
0)</f>
        <v>0</v>
      </c>
      <c r="AR11" s="116">
        <f t="array" ref="AR11">IFERROR(
MEDIAN(IF(DATOS_[Sexo]=$B11,IF(DATOS_[Check Periodo Ref.]="Dentro",DATOS_[TOTAL Retrib Ef],FALSE))),
0)</f>
        <v>14040</v>
      </c>
      <c r="AS11" s="344"/>
      <c r="AT11" s="309"/>
      <c r="AU11" s="309"/>
    </row>
    <row r="12" spans="1:47" s="36" customFormat="1" x14ac:dyDescent="0.3">
      <c r="D12" s="37"/>
      <c r="J12" s="38"/>
      <c r="K12" s="39"/>
      <c r="L12" s="39"/>
      <c r="M12" s="39"/>
      <c r="N12" s="39"/>
      <c r="O12" s="39"/>
      <c r="P12" s="39"/>
      <c r="Q12" s="39"/>
      <c r="R12" s="39"/>
      <c r="S12" s="39"/>
      <c r="T12" s="39"/>
      <c r="U12" s="39"/>
      <c r="V12" s="38"/>
      <c r="W12" s="38"/>
      <c r="X12" s="38"/>
      <c r="Y12" s="38"/>
      <c r="Z12" s="38"/>
      <c r="AA12" s="38"/>
      <c r="AB12" s="38"/>
      <c r="AC12" s="38"/>
      <c r="AD12" s="38"/>
      <c r="AE12" s="38"/>
      <c r="AF12" s="38"/>
      <c r="AG12" s="38"/>
      <c r="AH12" s="38"/>
      <c r="AI12" s="38"/>
      <c r="AL12" s="39"/>
      <c r="AM12" s="39"/>
      <c r="AN12" s="39"/>
      <c r="AO12" s="39"/>
      <c r="AP12" s="39"/>
    </row>
    <row r="13" spans="1:47" s="36" customFormat="1" x14ac:dyDescent="0.3">
      <c r="D13" s="37"/>
      <c r="J13" s="38"/>
      <c r="K13" s="39"/>
      <c r="L13" s="39"/>
      <c r="M13" s="39"/>
      <c r="N13" s="39"/>
      <c r="O13" s="39"/>
      <c r="P13" s="39"/>
      <c r="Q13" s="39"/>
      <c r="R13" s="39"/>
      <c r="S13" s="39"/>
      <c r="T13" s="39"/>
      <c r="U13" s="39"/>
      <c r="V13" s="38"/>
      <c r="W13" s="38"/>
      <c r="X13" s="38"/>
      <c r="Y13" s="38"/>
      <c r="Z13" s="38"/>
      <c r="AA13" s="38"/>
      <c r="AB13" s="38"/>
      <c r="AC13" s="38"/>
      <c r="AD13" s="38"/>
      <c r="AE13" s="38"/>
      <c r="AF13" s="38"/>
      <c r="AG13" s="38"/>
      <c r="AH13" s="38"/>
      <c r="AI13" s="38"/>
      <c r="AL13" s="39"/>
      <c r="AM13" s="39"/>
      <c r="AN13" s="39"/>
      <c r="AO13" s="39"/>
      <c r="AP13" s="39"/>
    </row>
    <row r="14" spans="1:47" s="33" customFormat="1" ht="46.15" customHeight="1" x14ac:dyDescent="0.25">
      <c r="B14" s="30"/>
      <c r="C14" s="43" t="s">
        <v>225</v>
      </c>
      <c r="D14" s="43" t="s">
        <v>220</v>
      </c>
      <c r="E14" s="31" t="s">
        <v>223</v>
      </c>
      <c r="F14" s="32" t="str">
        <f>+F8</f>
        <v>MejVol</v>
      </c>
      <c r="G14" s="32" t="str">
        <f t="shared" ref="G14:AI14" si="3">+G8</f>
        <v>Antig.</v>
      </c>
      <c r="H14" s="32" t="str">
        <f t="shared" si="3"/>
        <v>Transporte</v>
      </c>
      <c r="I14" s="32" t="str">
        <f t="shared" si="3"/>
        <v>Ventas</v>
      </c>
      <c r="J14" s="32" t="str">
        <f t="shared" si="3"/>
        <v>Bonus</v>
      </c>
      <c r="K14" s="32" t="str">
        <f t="shared" si="3"/>
        <v>Coche</v>
      </c>
      <c r="L14" s="32" t="str">
        <f t="shared" si="3"/>
        <v>Cesta</v>
      </c>
      <c r="M14" s="32" t="str">
        <f t="shared" si="3"/>
        <v>Nocturnidad</v>
      </c>
      <c r="N14" s="32" t="str">
        <f t="shared" si="3"/>
        <v>[ocultar]</v>
      </c>
      <c r="O14" s="32" t="str">
        <f t="shared" si="3"/>
        <v>[ocultar]</v>
      </c>
      <c r="P14" s="32" t="str">
        <f t="shared" si="3"/>
        <v>[ocultar]</v>
      </c>
      <c r="Q14" s="32" t="str">
        <f t="shared" si="3"/>
        <v>[ocultar]</v>
      </c>
      <c r="R14" s="32" t="str">
        <f t="shared" si="3"/>
        <v>[ocultar]</v>
      </c>
      <c r="S14" s="32" t="str">
        <f t="shared" si="3"/>
        <v>[ocultar]</v>
      </c>
      <c r="T14" s="32" t="str">
        <f t="shared" si="3"/>
        <v>[ocultar]</v>
      </c>
      <c r="U14" s="32" t="str">
        <f t="shared" si="3"/>
        <v>[ocultar]</v>
      </c>
      <c r="V14" s="32" t="str">
        <f t="shared" si="3"/>
        <v>[ocultar]</v>
      </c>
      <c r="W14" s="32" t="str">
        <f t="shared" si="3"/>
        <v>[ocultar]</v>
      </c>
      <c r="X14" s="32" t="str">
        <f t="shared" si="3"/>
        <v>[ocultar]</v>
      </c>
      <c r="Y14" s="32" t="str">
        <f t="shared" si="3"/>
        <v>[ocultar]</v>
      </c>
      <c r="Z14" s="32" t="str">
        <f t="shared" si="3"/>
        <v>[ocultar]</v>
      </c>
      <c r="AA14" s="32" t="str">
        <f t="shared" si="3"/>
        <v>[ocultar]</v>
      </c>
      <c r="AB14" s="32" t="str">
        <f t="shared" si="3"/>
        <v>[ocultar]</v>
      </c>
      <c r="AC14" s="32" t="str">
        <f t="shared" si="3"/>
        <v>[ocultar]</v>
      </c>
      <c r="AD14" s="32" t="str">
        <f t="shared" si="3"/>
        <v>[ocultar]</v>
      </c>
      <c r="AE14" s="32" t="str">
        <f t="shared" si="3"/>
        <v>[ocultar]</v>
      </c>
      <c r="AF14" s="32" t="str">
        <f t="shared" si="3"/>
        <v>[ocultar]</v>
      </c>
      <c r="AG14" s="32" t="str">
        <f t="shared" si="3"/>
        <v>[ocultar]</v>
      </c>
      <c r="AH14" s="32" t="str">
        <f t="shared" si="3"/>
        <v>[ocultar]</v>
      </c>
      <c r="AI14" s="32" t="str">
        <f t="shared" si="3"/>
        <v>[ocultar]</v>
      </c>
      <c r="AJ14" s="73" t="s">
        <v>221</v>
      </c>
      <c r="AK14" s="74" t="s">
        <v>213</v>
      </c>
      <c r="AL14" s="75" t="str">
        <f>+AL8</f>
        <v>Dietas</v>
      </c>
      <c r="AM14" s="75" t="str">
        <f t="shared" ref="AM14:AP14" si="4">+AM8</f>
        <v>Indem</v>
      </c>
      <c r="AN14" s="75" t="str">
        <f t="shared" si="4"/>
        <v>ERTE</v>
      </c>
      <c r="AO14" s="75" t="str">
        <f t="shared" si="4"/>
        <v>IT</v>
      </c>
      <c r="AP14" s="75" t="str">
        <f t="shared" si="4"/>
        <v>[ocultar]</v>
      </c>
      <c r="AQ14" s="76" t="s">
        <v>222</v>
      </c>
      <c r="AR14" s="77" t="s">
        <v>214</v>
      </c>
    </row>
    <row r="15" spans="1:47" s="36" customFormat="1" ht="17.25" thickBot="1" x14ac:dyDescent="0.35">
      <c r="A15" s="36" t="str">
        <f>+A16</f>
        <v/>
      </c>
      <c r="B15" s="40" t="s">
        <v>298</v>
      </c>
      <c r="C15" s="109"/>
      <c r="D15" s="41"/>
      <c r="E15" s="119">
        <f t="shared" ref="E15" si="5">IFERROR((E16-E17)/E16,"")</f>
        <v>0.12499999999999997</v>
      </c>
      <c r="F15" s="123">
        <f>IFERROR((F16-F17)/F16,"")</f>
        <v>0.49595434051989029</v>
      </c>
      <c r="G15" s="123">
        <f t="shared" ref="G15:AR15" si="6">IFERROR((G16-G17)/G16,"")</f>
        <v>0.14473684210526305</v>
      </c>
      <c r="H15" s="123" t="str">
        <f t="shared" si="6"/>
        <v/>
      </c>
      <c r="I15" s="123" t="str">
        <f t="shared" si="6"/>
        <v/>
      </c>
      <c r="J15" s="123">
        <f t="shared" si="6"/>
        <v>1</v>
      </c>
      <c r="K15" s="123">
        <f t="shared" si="6"/>
        <v>1</v>
      </c>
      <c r="L15" s="123">
        <f t="shared" si="6"/>
        <v>0</v>
      </c>
      <c r="M15" s="123" t="str">
        <f t="shared" si="6"/>
        <v/>
      </c>
      <c r="N15" s="123" t="str">
        <f t="shared" si="6"/>
        <v/>
      </c>
      <c r="O15" s="123" t="str">
        <f t="shared" si="6"/>
        <v/>
      </c>
      <c r="P15" s="123" t="str">
        <f t="shared" si="6"/>
        <v/>
      </c>
      <c r="Q15" s="123" t="str">
        <f t="shared" si="6"/>
        <v/>
      </c>
      <c r="R15" s="123" t="str">
        <f t="shared" si="6"/>
        <v/>
      </c>
      <c r="S15" s="123" t="str">
        <f t="shared" si="6"/>
        <v/>
      </c>
      <c r="T15" s="123" t="str">
        <f t="shared" si="6"/>
        <v/>
      </c>
      <c r="U15" s="123" t="str">
        <f t="shared" si="6"/>
        <v/>
      </c>
      <c r="V15" s="122" t="str">
        <f t="shared" si="6"/>
        <v/>
      </c>
      <c r="W15" s="122" t="str">
        <f t="shared" si="6"/>
        <v/>
      </c>
      <c r="X15" s="122" t="str">
        <f t="shared" si="6"/>
        <v/>
      </c>
      <c r="Y15" s="122" t="str">
        <f t="shared" si="6"/>
        <v/>
      </c>
      <c r="Z15" s="122" t="str">
        <f t="shared" si="6"/>
        <v/>
      </c>
      <c r="AA15" s="122" t="str">
        <f t="shared" si="6"/>
        <v/>
      </c>
      <c r="AB15" s="122" t="str">
        <f t="shared" si="6"/>
        <v/>
      </c>
      <c r="AC15" s="122" t="str">
        <f t="shared" si="6"/>
        <v/>
      </c>
      <c r="AD15" s="122" t="str">
        <f t="shared" si="6"/>
        <v/>
      </c>
      <c r="AE15" s="122" t="str">
        <f t="shared" si="6"/>
        <v/>
      </c>
      <c r="AF15" s="122" t="str">
        <f t="shared" si="6"/>
        <v/>
      </c>
      <c r="AG15" s="122" t="str">
        <f t="shared" si="6"/>
        <v/>
      </c>
      <c r="AH15" s="122" t="str">
        <f t="shared" si="6"/>
        <v/>
      </c>
      <c r="AI15" s="122" t="str">
        <f t="shared" si="6"/>
        <v/>
      </c>
      <c r="AJ15" s="124">
        <f t="shared" si="6"/>
        <v>0.45106947905701117</v>
      </c>
      <c r="AK15" s="128">
        <f t="shared" si="6"/>
        <v>0.34055851120704206</v>
      </c>
      <c r="AL15" s="125" t="str">
        <f t="shared" si="6"/>
        <v/>
      </c>
      <c r="AM15" s="125" t="str">
        <f t="shared" si="6"/>
        <v/>
      </c>
      <c r="AN15" s="125" t="str">
        <f t="shared" si="6"/>
        <v/>
      </c>
      <c r="AO15" s="125" t="str">
        <f t="shared" si="6"/>
        <v/>
      </c>
      <c r="AP15" s="125" t="str">
        <f t="shared" si="6"/>
        <v/>
      </c>
      <c r="AQ15" s="126" t="str">
        <f t="shared" si="6"/>
        <v/>
      </c>
      <c r="AR15" s="127">
        <f t="shared" si="6"/>
        <v>0.34055851120704206</v>
      </c>
    </row>
    <row r="16" spans="1:47" s="36" customFormat="1" x14ac:dyDescent="0.3">
      <c r="A16" s="36" t="str">
        <f>+IF(C16+C17=0,"[ocultar]","")</f>
        <v/>
      </c>
      <c r="B16" s="34" t="s">
        <v>162</v>
      </c>
      <c r="C16" s="33">
        <f t="array" ref="C16">SUM(IF($B16=DATOS_[Sexo],
IF($B15=DATOS_[AGRUP. CLAS. PROF.],
IF("Dentro"=DATOS_[Check Periodo Ref.],
1/(COUNTIFS(DATOS_[Sexo],$B16,DATOS_[AGRUP. CLAS. PROF.],$B15,DATOS_[Check Periodo Ref.],"Dentro",DATOS_[id],DATOS_[id]))))))</f>
        <v>8</v>
      </c>
      <c r="D16" s="35">
        <f>COUNTIFS(DATOS_[AGRUP. CLAS. PROF.],$B15,DATOS_[Sexo],$B16,DATOS_[Check Periodo Ref.],"Dentro")</f>
        <v>8</v>
      </c>
      <c r="E16" s="110">
        <f t="array" ref="E16">IFERROR(
MEDIAN(IF(DATOS_[Sexo]=$B16,IF(DATOS_[AGRUP. CLAS. PROF.]=$B15,IF(DATOS_[Check Periodo Ref.]="Dentro",DATOS_[SALARIO BASE Ef],FALSE)))),
0)</f>
        <v>18547.37</v>
      </c>
      <c r="F16" s="111">
        <f t="array" ref="F16">IFERROR(
MEDIAN((IF(DATOS_[[Sexo]:[Sexo]]=$B16,IF(DATOS_[[AGRUP. CLAS. PROF.]:[AGRUP. CLAS. PROF.]]=$B15,IF(DATOS_[[Check Periodo Ref.]:[Check Periodo Ref.]]="Dentro",DATOS_[Conc.Sal.01]))))),
0)</f>
        <v>23807.366999999998</v>
      </c>
      <c r="G16" s="111">
        <f t="array" ref="G16">IFERROR(
MEDIAN((IF(DATOS_[[Sexo]:[Sexo]]=$B16,IF(DATOS_[[AGRUP. CLAS. PROF.]:[AGRUP. CLAS. PROF.]]=$B15,IF(DATOS_[[Check Periodo Ref.]:[Check Periodo Ref.]]="Dentro",DATOS_[Conc.Sal.02]))))),
0)</f>
        <v>1409.6001199999996</v>
      </c>
      <c r="H16" s="111">
        <f t="array" ref="H16">IFERROR(
MEDIAN((IF(DATOS_[[Sexo]:[Sexo]]=$B16,IF(DATOS_[[AGRUP. CLAS. PROF.]:[AGRUP. CLAS. PROF.]]=$B15,IF(DATOS_[[Check Periodo Ref.]:[Check Periodo Ref.]]="Dentro",DATOS_[Conc.Sal.03]))))),
0)</f>
        <v>0</v>
      </c>
      <c r="I16" s="111">
        <f t="array" ref="I16">IFERROR(
MEDIAN((IF(DATOS_[[Sexo]:[Sexo]]=$B16,IF(DATOS_[[AGRUP. CLAS. PROF.]:[AGRUP. CLAS. PROF.]]=$B15,IF(DATOS_[[Check Periodo Ref.]:[Check Periodo Ref.]]="Dentro",DATOS_[Conc.Sal.04]))))),
0)</f>
        <v>0</v>
      </c>
      <c r="J16" s="111">
        <f t="array" ref="J16">IFERROR(
MEDIAN((IF(DATOS_[[Sexo]:[Sexo]]=$B16,IF(DATOS_[[AGRUP. CLAS. PROF.]:[AGRUP. CLAS. PROF.]]=$B15,IF(DATOS_[[Check Periodo Ref.]:[Check Periodo Ref.]]="Dentro",DATOS_[Conc.Sal.05]))))),
0)</f>
        <v>4000</v>
      </c>
      <c r="K16" s="111">
        <f t="array" ref="K16">IFERROR(
MEDIAN((IF(DATOS_[[Sexo]:[Sexo]]=$B16,IF(DATOS_[[AGRUP. CLAS. PROF.]:[AGRUP. CLAS. PROF.]]=$B15,IF(DATOS_[[Check Periodo Ref.]:[Check Periodo Ref.]]="Dentro",DATOS_[Conc.Sal.06]))))),
0)</f>
        <v>3000</v>
      </c>
      <c r="L16" s="111">
        <f t="array" ref="L16">IFERROR(
MEDIAN((IF(DATOS_[[Sexo]:[Sexo]]=$B16,IF(DATOS_[[AGRUP. CLAS. PROF.]:[AGRUP. CLAS. PROF.]]=$B15,IF(DATOS_[[Check Periodo Ref.]:[Check Periodo Ref.]]="Dentro",DATOS_[Conc.Sal.07]))))),
0)</f>
        <v>200</v>
      </c>
      <c r="M16" s="111">
        <f t="array" ref="M16">IFERROR(
MEDIAN((IF(DATOS_[[Sexo]:[Sexo]]=$B16,IF(DATOS_[[AGRUP. CLAS. PROF.]:[AGRUP. CLAS. PROF.]]=$B15,IF(DATOS_[[Check Periodo Ref.]:[Check Periodo Ref.]]="Dentro",DATOS_[Conc.Sal.08]))))),
0)</f>
        <v>0</v>
      </c>
      <c r="N16" s="111">
        <f t="array" ref="N16">IFERROR(
MEDIAN((IF(DATOS_[[Sexo]:[Sexo]]=$B16,IF(DATOS_[[AGRUP. CLAS. PROF.]:[AGRUP. CLAS. PROF.]]=$B15,IF(DATOS_[[Check Periodo Ref.]:[Check Periodo Ref.]]="Dentro",DATOS_[Conc.Sal.09]))))),
0)</f>
        <v>0</v>
      </c>
      <c r="O16" s="111">
        <f t="array" ref="O16">IFERROR(
MEDIAN((IF(DATOS_[[Sexo]:[Sexo]]=$B16,IF(DATOS_[[AGRUP. CLAS. PROF.]:[AGRUP. CLAS. PROF.]]=$B15,IF(DATOS_[[Check Periodo Ref.]:[Check Periodo Ref.]]="Dentro",DATOS_[Conc.Sal.10]))))),
0)</f>
        <v>0</v>
      </c>
      <c r="P16" s="111">
        <f t="array" ref="P16">IFERROR(
MEDIAN((IF(DATOS_[[Sexo]:[Sexo]]=$B16,IF(DATOS_[[AGRUP. CLAS. PROF.]:[AGRUP. CLAS. PROF.]]=$B15,IF(DATOS_[[Check Periodo Ref.]:[Check Periodo Ref.]]="Dentro",DATOS_[Conc.Sal.11]))))),
0)</f>
        <v>0</v>
      </c>
      <c r="Q16" s="111">
        <f t="array" ref="Q16">IFERROR(
MEDIAN((IF(DATOS_[[Sexo]:[Sexo]]=$B16,IF(DATOS_[[AGRUP. CLAS. PROF.]:[AGRUP. CLAS. PROF.]]=$B15,IF(DATOS_[[Check Periodo Ref.]:[Check Periodo Ref.]]="Dentro",DATOS_[Conc.Sal.12]))))),
0)</f>
        <v>0</v>
      </c>
      <c r="R16" s="111">
        <f t="array" ref="R16">IFERROR(
MEDIAN((IF(DATOS_[[Sexo]:[Sexo]]=$B16,IF(DATOS_[[AGRUP. CLAS. PROF.]:[AGRUP. CLAS. PROF.]]=$B15,IF(DATOS_[[Check Periodo Ref.]:[Check Periodo Ref.]]="Dentro",DATOS_[Conc.Sal.13]))))),
0)</f>
        <v>0</v>
      </c>
      <c r="S16" s="111">
        <f t="array" ref="S16">IFERROR(
MEDIAN((IF(DATOS_[[Sexo]:[Sexo]]=$B16,IF(DATOS_[[AGRUP. CLAS. PROF.]:[AGRUP. CLAS. PROF.]]=$B15,IF(DATOS_[[Check Periodo Ref.]:[Check Periodo Ref.]]="Dentro",DATOS_[Conc.Sal.14]))))),
0)</f>
        <v>0</v>
      </c>
      <c r="T16" s="111">
        <f t="array" ref="T16">IFERROR(
MEDIAN((IF(DATOS_[[Sexo]:[Sexo]]=$B16,IF(DATOS_[[AGRUP. CLAS. PROF.]:[AGRUP. CLAS. PROF.]]=$B15,IF(DATOS_[[Check Periodo Ref.]:[Check Periodo Ref.]]="Dentro",DATOS_[Conc.Sal.15]))))),
0)</f>
        <v>0</v>
      </c>
      <c r="U16" s="111">
        <f t="array" ref="U16">IFERROR(
MEDIAN((IF(DATOS_[[Sexo]:[Sexo]]=$B16,IF(DATOS_[[AGRUP. CLAS. PROF.]:[AGRUP. CLAS. PROF.]]=$B15,IF(DATOS_[[Check Periodo Ref.]:[Check Periodo Ref.]]="Dentro",DATOS_[Conc.Sal.16]))))),
0)</f>
        <v>0</v>
      </c>
      <c r="V16" s="111">
        <f t="array" ref="V16">IFERROR(
MEDIAN((IF(DATOS_[[Sexo]:[Sexo]]=$B16,IF(DATOS_[[AGRUP. CLAS. PROF.]:[AGRUP. CLAS. PROF.]]=$B15,IF(DATOS_[[Check Periodo Ref.]:[Check Periodo Ref.]]="Dentro",DATOS_[Conc.Sal.17]))))),
0)</f>
        <v>0</v>
      </c>
      <c r="W16" s="111">
        <f t="array" ref="W16">IFERROR(
MEDIAN((IF(DATOS_[[Sexo]:[Sexo]]=$B16,IF(DATOS_[[AGRUP. CLAS. PROF.]:[AGRUP. CLAS. PROF.]]=$B15,IF(DATOS_[[Check Periodo Ref.]:[Check Periodo Ref.]]="Dentro",DATOS_[Conc.Sal.18]))))),
0)</f>
        <v>0</v>
      </c>
      <c r="X16" s="111">
        <f t="array" ref="X16">IFERROR(
MEDIAN((IF(DATOS_[[Sexo]:[Sexo]]=$B16,IF(DATOS_[[AGRUP. CLAS. PROF.]:[AGRUP. CLAS. PROF.]]=$B15,IF(DATOS_[[Check Periodo Ref.]:[Check Periodo Ref.]]="Dentro",DATOS_[Conc.Sal.19]))))),
0)</f>
        <v>0</v>
      </c>
      <c r="Y16" s="111">
        <f t="array" ref="Y16">IFERROR(
MEDIAN((IF(DATOS_[[Sexo]:[Sexo]]=$B16,IF(DATOS_[[AGRUP. CLAS. PROF.]:[AGRUP. CLAS. PROF.]]=$B15,IF(DATOS_[[Check Periodo Ref.]:[Check Periodo Ref.]]="Dentro",DATOS_[Conc.Sal.20]))))),
0)</f>
        <v>0</v>
      </c>
      <c r="Z16" s="111">
        <f t="array" ref="Z16">IFERROR(
MEDIAN((IF(DATOS_[[Sexo]:[Sexo]]=$B16,IF(DATOS_[[AGRUP. CLAS. PROF.]:[AGRUP. CLAS. PROF.]]=$B15,IF(DATOS_[[Check Periodo Ref.]:[Check Periodo Ref.]]="Dentro",DATOS_[Conc.Sal.21]))))),
0)</f>
        <v>0</v>
      </c>
      <c r="AA16" s="111">
        <f t="array" ref="AA16">IFERROR(
MEDIAN((IF(DATOS_[[Sexo]:[Sexo]]=$B16,IF(DATOS_[[AGRUP. CLAS. PROF.]:[AGRUP. CLAS. PROF.]]=$B15,IF(DATOS_[[Check Periodo Ref.]:[Check Periodo Ref.]]="Dentro",DATOS_[Conc.Sal.22]))))),
0)</f>
        <v>0</v>
      </c>
      <c r="AB16" s="111">
        <f t="array" ref="AB16">IFERROR(
MEDIAN((IF(DATOS_[[Sexo]:[Sexo]]=$B16,IF(DATOS_[[AGRUP. CLAS. PROF.]:[AGRUP. CLAS. PROF.]]=$B15,IF(DATOS_[[Check Periodo Ref.]:[Check Periodo Ref.]]="Dentro",DATOS_[Conc.Sal.23]))))),
0)</f>
        <v>0</v>
      </c>
      <c r="AC16" s="111">
        <f t="array" ref="AC16">IFERROR(
MEDIAN((IF(DATOS_[[Sexo]:[Sexo]]=$B16,IF(DATOS_[[AGRUP. CLAS. PROF.]:[AGRUP. CLAS. PROF.]]=$B15,IF(DATOS_[[Check Periodo Ref.]:[Check Periodo Ref.]]="Dentro",DATOS_[Conc.Sal.24]))))),
0)</f>
        <v>0</v>
      </c>
      <c r="AD16" s="111">
        <f t="array" ref="AD16">IFERROR(
MEDIAN((IF(DATOS_[[Sexo]:[Sexo]]=$B16,IF(DATOS_[[AGRUP. CLAS. PROF.]:[AGRUP. CLAS. PROF.]]=$B15,IF(DATOS_[[Check Periodo Ref.]:[Check Periodo Ref.]]="Dentro",DATOS_[Conc.Sal.25]))))),
0)</f>
        <v>0</v>
      </c>
      <c r="AE16" s="111">
        <f t="array" ref="AE16">IFERROR(
MEDIAN((IF(DATOS_[[Sexo]:[Sexo]]=$B16,IF(DATOS_[[AGRUP. CLAS. PROF.]:[AGRUP. CLAS. PROF.]]=$B15,IF(DATOS_[[Check Periodo Ref.]:[Check Periodo Ref.]]="Dentro",DATOS_[Conc.Sal.26]))))),
0)</f>
        <v>0</v>
      </c>
      <c r="AF16" s="111">
        <f t="array" ref="AF16">IFERROR(
MEDIAN((IF(DATOS_[[Sexo]:[Sexo]]=$B16,IF(DATOS_[[AGRUP. CLAS. PROF.]:[AGRUP. CLAS. PROF.]]=$B15,IF(DATOS_[[Check Periodo Ref.]:[Check Periodo Ref.]]="Dentro",DATOS_[Conc.Sal.27]))))),
0)</f>
        <v>0</v>
      </c>
      <c r="AG16" s="111">
        <f t="array" ref="AG16">IFERROR(
MEDIAN((IF(DATOS_[[Sexo]:[Sexo]]=$B16,IF(DATOS_[[AGRUP. CLAS. PROF.]:[AGRUP. CLAS. PROF.]]=$B15,IF(DATOS_[[Check Periodo Ref.]:[Check Periodo Ref.]]="Dentro",DATOS_[Conc.Sal.28]))))),
0)</f>
        <v>0</v>
      </c>
      <c r="AH16" s="111">
        <f t="array" ref="AH16">IFERROR(
MEDIAN((IF(DATOS_[[Sexo]:[Sexo]]=$B16,IF(DATOS_[[AGRUP. CLAS. PROF.]:[AGRUP. CLAS. PROF.]]=$B15,IF(DATOS_[[Check Periodo Ref.]:[Check Periodo Ref.]]="Dentro",DATOS_[Conc.Sal.29]))))),
0)</f>
        <v>0</v>
      </c>
      <c r="AI16" s="111">
        <f t="array" ref="AI16">IFERROR(
MEDIAN((IF(DATOS_[[Sexo]:[Sexo]]=$B16,IF(DATOS_[[AGRUP. CLAS. PROF.]:[AGRUP. CLAS. PROF.]]=$B15,IF(DATOS_[[Check Periodo Ref.]:[Check Periodo Ref.]]="Dentro",DATOS_[Conc.Sal.30]))))),
0)</f>
        <v>0</v>
      </c>
      <c r="AJ16" s="112">
        <f t="array" ref="AJ16">IFERROR(
MEDIAN(IF(DATOS_[Sexo]=$B16,IF(DATOS_[AGRUP. CLAS. PROF.]=$B15,IF(DATOS_[Check Periodo Ref.]="Dentro",DATOS_[Tot COMPL.SAL Ef],FALSE)))),
0)</f>
        <v>31304.124920000002</v>
      </c>
      <c r="AK16" s="113">
        <f t="array" ref="AK16">IFERROR(
MEDIAN(IF(DATOS_[Sexo]=$B16,IF(DATOS_[AGRUP. CLAS. PROF.]=$B15,IF(DATOS_[Check Periodo Ref.]="Dentro",DATOS_[TOTAL SALARIO Ef],FALSE)))),
0)</f>
        <v>47996.757920000004</v>
      </c>
      <c r="AL16" s="114">
        <f t="array" ref="AL16">IFERROR(
MEDIAN((IF(DATOS_[[Sexo]:[Sexo]]=$B16,IF(DATOS_[[AGRUP. CLAS. PROF.]:[AGRUP. CLAS. PROF.]]=$B15,IF(DATOS_[[Check Periodo Ref.]:[Check Periodo Ref.]]="Dentro",DATOS_[C.Extra.01]))))),
0)</f>
        <v>0</v>
      </c>
      <c r="AM16" s="114">
        <f t="array" ref="AM16">IFERROR(
MEDIAN((IF(DATOS_[[Sexo]:[Sexo]]=$B16,IF(DATOS_[[AGRUP. CLAS. PROF.]:[AGRUP. CLAS. PROF.]]=$B15,IF(DATOS_[[Check Periodo Ref.]:[Check Periodo Ref.]]="Dentro",DATOS_[C.Extra.02]))))),
0)</f>
        <v>0</v>
      </c>
      <c r="AN16" s="114">
        <f t="array" ref="AN16">IFERROR(
MEDIAN((IF(DATOS_[[Sexo]:[Sexo]]=$B16,IF(DATOS_[[AGRUP. CLAS. PROF.]:[AGRUP. CLAS. PROF.]]=$B15,IF(DATOS_[[Check Periodo Ref.]:[Check Periodo Ref.]]="Dentro",DATOS_[C.Extra.03]))))),
0)</f>
        <v>0</v>
      </c>
      <c r="AO16" s="114">
        <f t="array" ref="AO16">IFERROR(
MEDIAN((IF(DATOS_[[Sexo]:[Sexo]]=$B16,IF(DATOS_[[AGRUP. CLAS. PROF.]:[AGRUP. CLAS. PROF.]]=$B15,IF(DATOS_[[Check Periodo Ref.]:[Check Periodo Ref.]]="Dentro",DATOS_[C.Extra.04]))))),
0)</f>
        <v>0</v>
      </c>
      <c r="AP16" s="114">
        <f t="array" ref="AP16">IFERROR(
MEDIAN((IF(DATOS_[[Sexo]:[Sexo]]=$B16,IF(DATOS_[[AGRUP. CLAS. PROF.]:[AGRUP. CLAS. PROF.]]=$B15,IF(DATOS_[[Check Periodo Ref.]:[Check Periodo Ref.]]="Dentro",DATOS_[C.Extra.05]))))),
0)</f>
        <v>0</v>
      </c>
      <c r="AQ16" s="115">
        <f t="array" ref="AQ16">IFERROR(
MEDIAN(IF(DATOS_[Sexo]=$B16,IF(DATOS_[AGRUP. CLAS. PROF.]=$B15,IF(DATOS_[Check Periodo Ref.]="Dentro",DATOS_[Tot Extrasalarial Ef],FALSE)))),
0)</f>
        <v>0</v>
      </c>
      <c r="AR16" s="116">
        <f t="array" ref="AR16">IFERROR(
MEDIAN(IF(DATOS_[Sexo]=$B16,IF(DATOS_[AGRUP. CLAS. PROF.]=$B15,IF(DATOS_[Check Periodo Ref.]="Dentro",DATOS_[TOTAL Retrib Ef],FALSE)))),
0)</f>
        <v>47996.757920000004</v>
      </c>
    </row>
    <row r="17" spans="1:44" s="36" customFormat="1" x14ac:dyDescent="0.3">
      <c r="A17" s="36" t="str">
        <f>+A16</f>
        <v/>
      </c>
      <c r="B17" s="34" t="s">
        <v>163</v>
      </c>
      <c r="C17" s="33">
        <f t="array" ref="C17">SUM(IF($B17=DATOS_[Sexo],
IF($B15=DATOS_[AGRUP. CLAS. PROF.],
IF("Dentro"=DATOS_[Check Periodo Ref.],
1/(COUNTIFS(DATOS_[Sexo],$B17,DATOS_[AGRUP. CLAS. PROF.],$B15,DATOS_[Check Periodo Ref.],"Dentro",DATOS_[id],DATOS_[id]))))))</f>
        <v>7</v>
      </c>
      <c r="D17" s="35">
        <f>COUNTIFS(DATOS_[AGRUP. CLAS. PROF.],$B15,DATOS_[Sexo],$B17,DATOS_[Check Periodo Ref.],"Dentro")</f>
        <v>8</v>
      </c>
      <c r="E17" s="110">
        <f t="array" ref="E17">IFERROR(
MEDIAN(IF(DATOS_[Sexo]=$B17,IF(DATOS_[AGRUP. CLAS. PROF.]=$B15,IF(DATOS_[Check Periodo Ref.]="Dentro",DATOS_[SALARIO BASE Ef],FALSE)))),
0)</f>
        <v>16228.94875</v>
      </c>
      <c r="F17" s="111">
        <f t="array" ref="F17">IFERROR(
MEDIAN((IF(DATOS_[[Sexo]:[Sexo]]=$B17,IF(DATOS_[[AGRUP. CLAS. PROF.]:[AGRUP. CLAS. PROF.]]=$B15,IF(DATOS_[[Check Periodo Ref.]:[Check Periodo Ref.]]="Dentro",DATOS_[Conc.Sal.01]))))),
0)</f>
        <v>12000</v>
      </c>
      <c r="G17" s="111">
        <f t="array" ref="G17">IFERROR(
MEDIAN((IF(DATOS_[[Sexo]:[Sexo]]=$B17,IF(DATOS_[[AGRUP. CLAS. PROF.]:[AGRUP. CLAS. PROF.]]=$B15,IF(DATOS_[[Check Periodo Ref.]:[Check Periodo Ref.]]="Dentro",DATOS_[Conc.Sal.02]))))),
0)</f>
        <v>1205.5790499999998</v>
      </c>
      <c r="H17" s="111">
        <f t="array" ref="H17">IFERROR(
MEDIAN((IF(DATOS_[[Sexo]:[Sexo]]=$B17,IF(DATOS_[[AGRUP. CLAS. PROF.]:[AGRUP. CLAS. PROF.]]=$B15,IF(DATOS_[[Check Periodo Ref.]:[Check Periodo Ref.]]="Dentro",DATOS_[Conc.Sal.03]))))),
0)</f>
        <v>0</v>
      </c>
      <c r="I17" s="111">
        <f t="array" ref="I17">IFERROR(
MEDIAN((IF(DATOS_[[Sexo]:[Sexo]]=$B17,IF(DATOS_[[AGRUP. CLAS. PROF.]:[AGRUP. CLAS. PROF.]]=$B15,IF(DATOS_[[Check Periodo Ref.]:[Check Periodo Ref.]]="Dentro",DATOS_[Conc.Sal.04]))))),
0)</f>
        <v>150</v>
      </c>
      <c r="J17" s="111">
        <f t="array" ref="J17">IFERROR(
MEDIAN((IF(DATOS_[[Sexo]:[Sexo]]=$B17,IF(DATOS_[[AGRUP. CLAS. PROF.]:[AGRUP. CLAS. PROF.]]=$B15,IF(DATOS_[[Check Periodo Ref.]:[Check Periodo Ref.]]="Dentro",DATOS_[Conc.Sal.05]))))),
0)</f>
        <v>0</v>
      </c>
      <c r="K17" s="111">
        <f t="array" ref="K17">IFERROR(
MEDIAN((IF(DATOS_[[Sexo]:[Sexo]]=$B17,IF(DATOS_[[AGRUP. CLAS. PROF.]:[AGRUP. CLAS. PROF.]]=$B15,IF(DATOS_[[Check Periodo Ref.]:[Check Periodo Ref.]]="Dentro",DATOS_[Conc.Sal.06]))))),
0)</f>
        <v>0</v>
      </c>
      <c r="L17" s="111">
        <f t="array" ref="L17">IFERROR(
MEDIAN((IF(DATOS_[[Sexo]:[Sexo]]=$B17,IF(DATOS_[[AGRUP. CLAS. PROF.]:[AGRUP. CLAS. PROF.]]=$B15,IF(DATOS_[[Check Periodo Ref.]:[Check Periodo Ref.]]="Dentro",DATOS_[Conc.Sal.07]))))),
0)</f>
        <v>200</v>
      </c>
      <c r="M17" s="111">
        <f t="array" ref="M17">IFERROR(
MEDIAN((IF(DATOS_[[Sexo]:[Sexo]]=$B17,IF(DATOS_[[AGRUP. CLAS. PROF.]:[AGRUP. CLAS. PROF.]]=$B15,IF(DATOS_[[Check Periodo Ref.]:[Check Periodo Ref.]]="Dentro",DATOS_[Conc.Sal.08]))))),
0)</f>
        <v>0</v>
      </c>
      <c r="N17" s="111">
        <f t="array" ref="N17">IFERROR(
MEDIAN((IF(DATOS_[[Sexo]:[Sexo]]=$B17,IF(DATOS_[[AGRUP. CLAS. PROF.]:[AGRUP. CLAS. PROF.]]=$B15,IF(DATOS_[[Check Periodo Ref.]:[Check Periodo Ref.]]="Dentro",DATOS_[Conc.Sal.09]))))),
0)</f>
        <v>0</v>
      </c>
      <c r="O17" s="111">
        <f t="array" ref="O17">IFERROR(
MEDIAN((IF(DATOS_[[Sexo]:[Sexo]]=$B17,IF(DATOS_[[AGRUP. CLAS. PROF.]:[AGRUP. CLAS. PROF.]]=$B15,IF(DATOS_[[Check Periodo Ref.]:[Check Periodo Ref.]]="Dentro",DATOS_[Conc.Sal.10]))))),
0)</f>
        <v>0</v>
      </c>
      <c r="P17" s="111">
        <f t="array" ref="P17">IFERROR(
MEDIAN((IF(DATOS_[[Sexo]:[Sexo]]=$B17,IF(DATOS_[[AGRUP. CLAS. PROF.]:[AGRUP. CLAS. PROF.]]=$B15,IF(DATOS_[[Check Periodo Ref.]:[Check Periodo Ref.]]="Dentro",DATOS_[Conc.Sal.11]))))),
0)</f>
        <v>0</v>
      </c>
      <c r="Q17" s="111">
        <f t="array" ref="Q17">IFERROR(
MEDIAN((IF(DATOS_[[Sexo]:[Sexo]]=$B17,IF(DATOS_[[AGRUP. CLAS. PROF.]:[AGRUP. CLAS. PROF.]]=$B15,IF(DATOS_[[Check Periodo Ref.]:[Check Periodo Ref.]]="Dentro",DATOS_[Conc.Sal.12]))))),
0)</f>
        <v>0</v>
      </c>
      <c r="R17" s="111">
        <f t="array" ref="R17">IFERROR(
MEDIAN((IF(DATOS_[[Sexo]:[Sexo]]=$B17,IF(DATOS_[[AGRUP. CLAS. PROF.]:[AGRUP. CLAS. PROF.]]=$B15,IF(DATOS_[[Check Periodo Ref.]:[Check Periodo Ref.]]="Dentro",DATOS_[Conc.Sal.13]))))),
0)</f>
        <v>0</v>
      </c>
      <c r="S17" s="111">
        <f t="array" ref="S17">IFERROR(
MEDIAN((IF(DATOS_[[Sexo]:[Sexo]]=$B17,IF(DATOS_[[AGRUP. CLAS. PROF.]:[AGRUP. CLAS. PROF.]]=$B15,IF(DATOS_[[Check Periodo Ref.]:[Check Periodo Ref.]]="Dentro",DATOS_[Conc.Sal.14]))))),
0)</f>
        <v>0</v>
      </c>
      <c r="T17" s="111">
        <f t="array" ref="T17">IFERROR(
MEDIAN((IF(DATOS_[[Sexo]:[Sexo]]=$B17,IF(DATOS_[[AGRUP. CLAS. PROF.]:[AGRUP. CLAS. PROF.]]=$B15,IF(DATOS_[[Check Periodo Ref.]:[Check Periodo Ref.]]="Dentro",DATOS_[Conc.Sal.15]))))),
0)</f>
        <v>0</v>
      </c>
      <c r="U17" s="111">
        <f t="array" ref="U17">IFERROR(
MEDIAN((IF(DATOS_[[Sexo]:[Sexo]]=$B17,IF(DATOS_[[AGRUP. CLAS. PROF.]:[AGRUP. CLAS. PROF.]]=$B15,IF(DATOS_[[Check Periodo Ref.]:[Check Periodo Ref.]]="Dentro",DATOS_[Conc.Sal.16]))))),
0)</f>
        <v>0</v>
      </c>
      <c r="V17" s="111">
        <f t="array" ref="V17">IFERROR(
MEDIAN((IF(DATOS_[[Sexo]:[Sexo]]=$B17,IF(DATOS_[[AGRUP. CLAS. PROF.]:[AGRUP. CLAS. PROF.]]=$B15,IF(DATOS_[[Check Periodo Ref.]:[Check Periodo Ref.]]="Dentro",DATOS_[Conc.Sal.17]))))),
0)</f>
        <v>0</v>
      </c>
      <c r="W17" s="111">
        <f t="array" ref="W17">IFERROR(
MEDIAN((IF(DATOS_[[Sexo]:[Sexo]]=$B17,IF(DATOS_[[AGRUP. CLAS. PROF.]:[AGRUP. CLAS. PROF.]]=$B15,IF(DATOS_[[Check Periodo Ref.]:[Check Periodo Ref.]]="Dentro",DATOS_[Conc.Sal.18]))))),
0)</f>
        <v>0</v>
      </c>
      <c r="X17" s="111">
        <f t="array" ref="X17">IFERROR(
MEDIAN((IF(DATOS_[[Sexo]:[Sexo]]=$B17,IF(DATOS_[[AGRUP. CLAS. PROF.]:[AGRUP. CLAS. PROF.]]=$B15,IF(DATOS_[[Check Periodo Ref.]:[Check Periodo Ref.]]="Dentro",DATOS_[Conc.Sal.19]))))),
0)</f>
        <v>0</v>
      </c>
      <c r="Y17" s="111">
        <f t="array" ref="Y17">IFERROR(
MEDIAN((IF(DATOS_[[Sexo]:[Sexo]]=$B17,IF(DATOS_[[AGRUP. CLAS. PROF.]:[AGRUP. CLAS. PROF.]]=$B15,IF(DATOS_[[Check Periodo Ref.]:[Check Periodo Ref.]]="Dentro",DATOS_[Conc.Sal.20]))))),
0)</f>
        <v>0</v>
      </c>
      <c r="Z17" s="111">
        <f t="array" ref="Z17">IFERROR(
MEDIAN((IF(DATOS_[[Sexo]:[Sexo]]=$B17,IF(DATOS_[[AGRUP. CLAS. PROF.]:[AGRUP. CLAS. PROF.]]=$B15,IF(DATOS_[[Check Periodo Ref.]:[Check Periodo Ref.]]="Dentro",DATOS_[Conc.Sal.21]))))),
0)</f>
        <v>0</v>
      </c>
      <c r="AA17" s="111">
        <f t="array" ref="AA17">IFERROR(
MEDIAN((IF(DATOS_[[Sexo]:[Sexo]]=$B17,IF(DATOS_[[AGRUP. CLAS. PROF.]:[AGRUP. CLAS. PROF.]]=$B15,IF(DATOS_[[Check Periodo Ref.]:[Check Periodo Ref.]]="Dentro",DATOS_[Conc.Sal.22]))))),
0)</f>
        <v>0</v>
      </c>
      <c r="AB17" s="111">
        <f t="array" ref="AB17">IFERROR(
MEDIAN((IF(DATOS_[[Sexo]:[Sexo]]=$B17,IF(DATOS_[[AGRUP. CLAS. PROF.]:[AGRUP. CLAS. PROF.]]=$B15,IF(DATOS_[[Check Periodo Ref.]:[Check Periodo Ref.]]="Dentro",DATOS_[Conc.Sal.23]))))),
0)</f>
        <v>0</v>
      </c>
      <c r="AC17" s="111">
        <f t="array" ref="AC17">IFERROR(
MEDIAN((IF(DATOS_[[Sexo]:[Sexo]]=$B17,IF(DATOS_[[AGRUP. CLAS. PROF.]:[AGRUP. CLAS. PROF.]]=$B15,IF(DATOS_[[Check Periodo Ref.]:[Check Periodo Ref.]]="Dentro",DATOS_[Conc.Sal.24]))))),
0)</f>
        <v>0</v>
      </c>
      <c r="AD17" s="111">
        <f t="array" ref="AD17">IFERROR(
MEDIAN((IF(DATOS_[[Sexo]:[Sexo]]=$B17,IF(DATOS_[[AGRUP. CLAS. PROF.]:[AGRUP. CLAS. PROF.]]=$B15,IF(DATOS_[[Check Periodo Ref.]:[Check Periodo Ref.]]="Dentro",DATOS_[Conc.Sal.25]))))),
0)</f>
        <v>0</v>
      </c>
      <c r="AE17" s="111">
        <f t="array" ref="AE17">IFERROR(
MEDIAN((IF(DATOS_[[Sexo]:[Sexo]]=$B17,IF(DATOS_[[AGRUP. CLAS. PROF.]:[AGRUP. CLAS. PROF.]]=$B15,IF(DATOS_[[Check Periodo Ref.]:[Check Periodo Ref.]]="Dentro",DATOS_[Conc.Sal.26]))))),
0)</f>
        <v>0</v>
      </c>
      <c r="AF17" s="111">
        <f t="array" ref="AF17">IFERROR(
MEDIAN((IF(DATOS_[[Sexo]:[Sexo]]=$B17,IF(DATOS_[[AGRUP. CLAS. PROF.]:[AGRUP. CLAS. PROF.]]=$B15,IF(DATOS_[[Check Periodo Ref.]:[Check Periodo Ref.]]="Dentro",DATOS_[Conc.Sal.27]))))),
0)</f>
        <v>0</v>
      </c>
      <c r="AG17" s="111">
        <f t="array" ref="AG17">IFERROR(
MEDIAN((IF(DATOS_[[Sexo]:[Sexo]]=$B17,IF(DATOS_[[AGRUP. CLAS. PROF.]:[AGRUP. CLAS. PROF.]]=$B15,IF(DATOS_[[Check Periodo Ref.]:[Check Periodo Ref.]]="Dentro",DATOS_[Conc.Sal.28]))))),
0)</f>
        <v>0</v>
      </c>
      <c r="AH17" s="111">
        <f t="array" ref="AH17">IFERROR(
MEDIAN((IF(DATOS_[[Sexo]:[Sexo]]=$B17,IF(DATOS_[[AGRUP. CLAS. PROF.]:[AGRUP. CLAS. PROF.]]=$B15,IF(DATOS_[[Check Periodo Ref.]:[Check Periodo Ref.]]="Dentro",DATOS_[Conc.Sal.29]))))),
0)</f>
        <v>0</v>
      </c>
      <c r="AI17" s="111">
        <f t="array" ref="AI17">IFERROR(
MEDIAN((IF(DATOS_[[Sexo]:[Sexo]]=$B17,IF(DATOS_[[AGRUP. CLAS. PROF.]:[AGRUP. CLAS. PROF.]]=$B15,IF(DATOS_[[Check Periodo Ref.]:[Check Periodo Ref.]]="Dentro",DATOS_[Conc.Sal.30]))))),
0)</f>
        <v>0</v>
      </c>
      <c r="AJ17" s="112">
        <f t="array" ref="AJ17">IFERROR(
MEDIAN(IF(DATOS_[Sexo]=$B17,IF(DATOS_[AGRUP. CLAS. PROF.]=$B15,IF(DATOS_[Check Periodo Ref.]="Dentro",DATOS_[Tot COMPL.SAL Ef],FALSE)))),
0)</f>
        <v>17183.7896</v>
      </c>
      <c r="AK17" s="113">
        <f t="array" ref="AK17">IFERROR(
MEDIAN(IF(DATOS_[Sexo]=$B17,IF(DATOS_[AGRUP. CLAS. PROF.]=$B15,IF(DATOS_[Check Periodo Ref.]="Dentro",DATOS_[TOTAL SALARIO Ef],FALSE)))),
0)</f>
        <v>31651.053499999998</v>
      </c>
      <c r="AL17" s="114">
        <f t="array" ref="AL17">IFERROR(
MEDIAN((IF(DATOS_[[Sexo]:[Sexo]]=$B17,IF(DATOS_[[AGRUP. CLAS. PROF.]:[AGRUP. CLAS. PROF.]]=$B15,IF(DATOS_[[Check Periodo Ref.]:[Check Periodo Ref.]]="Dentro",DATOS_[C.Extra.01]))))),
0)</f>
        <v>0</v>
      </c>
      <c r="AM17" s="114">
        <f t="array" ref="AM17">IFERROR(
MEDIAN((IF(DATOS_[[Sexo]:[Sexo]]=$B17,IF(DATOS_[[AGRUP. CLAS. PROF.]:[AGRUP. CLAS. PROF.]]=$B15,IF(DATOS_[[Check Periodo Ref.]:[Check Periodo Ref.]]="Dentro",DATOS_[C.Extra.02]))))),
0)</f>
        <v>0</v>
      </c>
      <c r="AN17" s="114">
        <f t="array" ref="AN17">IFERROR(
MEDIAN((IF(DATOS_[[Sexo]:[Sexo]]=$B17,IF(DATOS_[[AGRUP. CLAS. PROF.]:[AGRUP. CLAS. PROF.]]=$B15,IF(DATOS_[[Check Periodo Ref.]:[Check Periodo Ref.]]="Dentro",DATOS_[C.Extra.03]))))),
0)</f>
        <v>0</v>
      </c>
      <c r="AO17" s="114">
        <f t="array" ref="AO17">IFERROR(
MEDIAN((IF(DATOS_[[Sexo]:[Sexo]]=$B17,IF(DATOS_[[AGRUP. CLAS. PROF.]:[AGRUP. CLAS. PROF.]]=$B15,IF(DATOS_[[Check Periodo Ref.]:[Check Periodo Ref.]]="Dentro",DATOS_[C.Extra.04]))))),
0)</f>
        <v>0</v>
      </c>
      <c r="AP17" s="114">
        <f t="array" ref="AP17">IFERROR(
MEDIAN((IF(DATOS_[[Sexo]:[Sexo]]=$B17,IF(DATOS_[[AGRUP. CLAS. PROF.]:[AGRUP. CLAS. PROF.]]=$B15,IF(DATOS_[[Check Periodo Ref.]:[Check Periodo Ref.]]="Dentro",DATOS_[C.Extra.05]))))),
0)</f>
        <v>0</v>
      </c>
      <c r="AQ17" s="115">
        <f t="array" ref="AQ17">IFERROR(
MEDIAN(IF(DATOS_[Sexo]=$B17,IF(DATOS_[AGRUP. CLAS. PROF.]=$B15,IF(DATOS_[Check Periodo Ref.]="Dentro",DATOS_[Tot Extrasalarial Ef],FALSE)))),
0)</f>
        <v>0</v>
      </c>
      <c r="AR17" s="116">
        <f t="array" ref="AR17">IFERROR(
MEDIAN(IF(DATOS_[Sexo]=$B17,IF(DATOS_[AGRUP. CLAS. PROF.]=$B15,IF(DATOS_[Check Periodo Ref.]="Dentro",DATOS_[TOTAL Retrib Ef],FALSE)))),
0)</f>
        <v>31651.053499999998</v>
      </c>
    </row>
    <row r="18" spans="1:44" s="36" customFormat="1" ht="17.25" thickBot="1" x14ac:dyDescent="0.35">
      <c r="A18" s="36" t="str">
        <f t="shared" ref="A18" si="7">+A19</f>
        <v/>
      </c>
      <c r="B18" s="40" t="s">
        <v>299</v>
      </c>
      <c r="C18" s="109"/>
      <c r="D18" s="41"/>
      <c r="E18" s="119">
        <f t="shared" ref="E18:AR18" si="8">IFERROR((E19-E20)/E19,"")</f>
        <v>0.5</v>
      </c>
      <c r="F18" s="123">
        <f t="shared" si="8"/>
        <v>0.51790061789070785</v>
      </c>
      <c r="G18" s="123">
        <f t="shared" si="8"/>
        <v>0.25035466425117564</v>
      </c>
      <c r="H18" s="123" t="str">
        <f t="shared" si="8"/>
        <v/>
      </c>
      <c r="I18" s="123" t="str">
        <f t="shared" si="8"/>
        <v/>
      </c>
      <c r="J18" s="123" t="str">
        <f t="shared" si="8"/>
        <v/>
      </c>
      <c r="K18" s="123" t="str">
        <f t="shared" si="8"/>
        <v/>
      </c>
      <c r="L18" s="123">
        <f t="shared" si="8"/>
        <v>0</v>
      </c>
      <c r="M18" s="123" t="str">
        <f t="shared" si="8"/>
        <v/>
      </c>
      <c r="N18" s="123" t="str">
        <f t="shared" si="8"/>
        <v/>
      </c>
      <c r="O18" s="123" t="str">
        <f t="shared" si="8"/>
        <v/>
      </c>
      <c r="P18" s="123" t="str">
        <f t="shared" si="8"/>
        <v/>
      </c>
      <c r="Q18" s="123" t="str">
        <f t="shared" si="8"/>
        <v/>
      </c>
      <c r="R18" s="123" t="str">
        <f t="shared" si="8"/>
        <v/>
      </c>
      <c r="S18" s="123" t="str">
        <f t="shared" si="8"/>
        <v/>
      </c>
      <c r="T18" s="123" t="str">
        <f t="shared" si="8"/>
        <v/>
      </c>
      <c r="U18" s="123" t="str">
        <f t="shared" si="8"/>
        <v/>
      </c>
      <c r="V18" s="122" t="str">
        <f t="shared" si="8"/>
        <v/>
      </c>
      <c r="W18" s="122" t="str">
        <f t="shared" si="8"/>
        <v/>
      </c>
      <c r="X18" s="122" t="str">
        <f t="shared" si="8"/>
        <v/>
      </c>
      <c r="Y18" s="122" t="str">
        <f t="shared" si="8"/>
        <v/>
      </c>
      <c r="Z18" s="122" t="str">
        <f t="shared" si="8"/>
        <v/>
      </c>
      <c r="AA18" s="122" t="str">
        <f t="shared" si="8"/>
        <v/>
      </c>
      <c r="AB18" s="122" t="str">
        <f t="shared" si="8"/>
        <v/>
      </c>
      <c r="AC18" s="122" t="str">
        <f t="shared" si="8"/>
        <v/>
      </c>
      <c r="AD18" s="122" t="str">
        <f t="shared" si="8"/>
        <v/>
      </c>
      <c r="AE18" s="122" t="str">
        <f t="shared" si="8"/>
        <v/>
      </c>
      <c r="AF18" s="122" t="str">
        <f t="shared" si="8"/>
        <v/>
      </c>
      <c r="AG18" s="122" t="str">
        <f t="shared" si="8"/>
        <v/>
      </c>
      <c r="AH18" s="122" t="str">
        <f t="shared" si="8"/>
        <v/>
      </c>
      <c r="AI18" s="122" t="str">
        <f t="shared" si="8"/>
        <v/>
      </c>
      <c r="AJ18" s="124">
        <f t="shared" si="8"/>
        <v>0.45611111919584452</v>
      </c>
      <c r="AK18" s="128">
        <f t="shared" si="8"/>
        <v>0.47845183216947701</v>
      </c>
      <c r="AL18" s="125" t="str">
        <f t="shared" si="8"/>
        <v/>
      </c>
      <c r="AM18" s="125" t="str">
        <f t="shared" si="8"/>
        <v/>
      </c>
      <c r="AN18" s="125" t="str">
        <f t="shared" si="8"/>
        <v/>
      </c>
      <c r="AO18" s="125" t="str">
        <f t="shared" si="8"/>
        <v/>
      </c>
      <c r="AP18" s="125" t="str">
        <f t="shared" si="8"/>
        <v/>
      </c>
      <c r="AQ18" s="126" t="str">
        <f t="shared" si="8"/>
        <v/>
      </c>
      <c r="AR18" s="127">
        <f t="shared" si="8"/>
        <v>0.47845183216947701</v>
      </c>
    </row>
    <row r="19" spans="1:44" s="36" customFormat="1" x14ac:dyDescent="0.3">
      <c r="A19" s="36" t="str">
        <f t="shared" ref="A19" si="9">+IF(C19+C20=0,"[ocultar]","")</f>
        <v/>
      </c>
      <c r="B19" s="34" t="s">
        <v>162</v>
      </c>
      <c r="C19" s="33">
        <f t="array" ref="C19">SUM(IF($B19=DATOS_[Sexo],
IF($B18=DATOS_[AGRUP. CLAS. PROF.],
IF("Dentro"=DATOS_[Check Periodo Ref.],
1/(COUNTIFS(DATOS_[Sexo],$B19,DATOS_[AGRUP. CLAS. PROF.],$B18,DATOS_[Check Periodo Ref.],"Dentro",DATOS_[id],DATOS_[id]))))))</f>
        <v>23</v>
      </c>
      <c r="D19" s="35">
        <f>COUNTIFS(DATOS_[AGRUP. CLAS. PROF.],$B18,DATOS_[Sexo],$B19,DATOS_[Check Periodo Ref.],"Dentro")</f>
        <v>24</v>
      </c>
      <c r="E19" s="110">
        <f t="array" ref="E19">IFERROR(
MEDIAN(IF(DATOS_[Sexo]=$B19,IF(DATOS_[AGRUP. CLAS. PROF.]=$B18,IF(DATOS_[Check Periodo Ref.]="Dentro",DATOS_[SALARIO BASE Ef],FALSE)))),
0)</f>
        <v>17266.330000000002</v>
      </c>
      <c r="F19" s="111">
        <f t="array" ref="F19">IFERROR(
MEDIAN((IF(DATOS_[[Sexo]:[Sexo]]=$B19,IF(DATOS_[[AGRUP. CLAS. PROF.]:[AGRUP. CLAS. PROF.]]=$B18,IF(DATOS_[[Check Periodo Ref.]:[Check Periodo Ref.]]="Dentro",DATOS_[Conc.Sal.01]))))),
0)</f>
        <v>3733.6699999999983</v>
      </c>
      <c r="G19" s="111">
        <f t="array" ref="G19">IFERROR(
MEDIAN((IF(DATOS_[[Sexo]:[Sexo]]=$B19,IF(DATOS_[[AGRUP. CLAS. PROF.]:[AGRUP. CLAS. PROF.]]=$B18,IF(DATOS_[[Check Periodo Ref.]:[Check Periodo Ref.]]="Dentro",DATOS_[Conc.Sal.02]))))),
0)</f>
        <v>1381.3064000000002</v>
      </c>
      <c r="H19" s="111">
        <f t="array" ref="H19">IFERROR(
MEDIAN((IF(DATOS_[[Sexo]:[Sexo]]=$B19,IF(DATOS_[[AGRUP. CLAS. PROF.]:[AGRUP. CLAS. PROF.]]=$B18,IF(DATOS_[[Check Periodo Ref.]:[Check Periodo Ref.]]="Dentro",DATOS_[Conc.Sal.03]))))),
0)</f>
        <v>0</v>
      </c>
      <c r="I19" s="111">
        <f t="array" ref="I19">IFERROR(
MEDIAN((IF(DATOS_[[Sexo]:[Sexo]]=$B19,IF(DATOS_[[AGRUP. CLAS. PROF.]:[AGRUP. CLAS. PROF.]]=$B18,IF(DATOS_[[Check Periodo Ref.]:[Check Periodo Ref.]]="Dentro",DATOS_[Conc.Sal.04]))))),
0)</f>
        <v>0</v>
      </c>
      <c r="J19" s="111">
        <f t="array" ref="J19">IFERROR(
MEDIAN((IF(DATOS_[[Sexo]:[Sexo]]=$B19,IF(DATOS_[[AGRUP. CLAS. PROF.]:[AGRUP. CLAS. PROF.]]=$B18,IF(DATOS_[[Check Periodo Ref.]:[Check Periodo Ref.]]="Dentro",DATOS_[Conc.Sal.05]))))),
0)</f>
        <v>0</v>
      </c>
      <c r="K19" s="111">
        <f t="array" ref="K19">IFERROR(
MEDIAN((IF(DATOS_[[Sexo]:[Sexo]]=$B19,IF(DATOS_[[AGRUP. CLAS. PROF.]:[AGRUP. CLAS. PROF.]]=$B18,IF(DATOS_[[Check Periodo Ref.]:[Check Periodo Ref.]]="Dentro",DATOS_[Conc.Sal.06]))))),
0)</f>
        <v>0</v>
      </c>
      <c r="L19" s="111">
        <f t="array" ref="L19">IFERROR(
MEDIAN((IF(DATOS_[[Sexo]:[Sexo]]=$B19,IF(DATOS_[[AGRUP. CLAS. PROF.]:[AGRUP. CLAS. PROF.]]=$B18,IF(DATOS_[[Check Periodo Ref.]:[Check Periodo Ref.]]="Dentro",DATOS_[Conc.Sal.07]))))),
0)</f>
        <v>80</v>
      </c>
      <c r="M19" s="111">
        <f t="array" ref="M19">IFERROR(
MEDIAN((IF(DATOS_[[Sexo]:[Sexo]]=$B19,IF(DATOS_[[AGRUP. CLAS. PROF.]:[AGRUP. CLAS. PROF.]]=$B18,IF(DATOS_[[Check Periodo Ref.]:[Check Periodo Ref.]]="Dentro",DATOS_[Conc.Sal.08]))))),
0)</f>
        <v>0</v>
      </c>
      <c r="N19" s="111">
        <f t="array" ref="N19">IFERROR(
MEDIAN((IF(DATOS_[[Sexo]:[Sexo]]=$B19,IF(DATOS_[[AGRUP. CLAS. PROF.]:[AGRUP. CLAS. PROF.]]=$B18,IF(DATOS_[[Check Periodo Ref.]:[Check Periodo Ref.]]="Dentro",DATOS_[Conc.Sal.09]))))),
0)</f>
        <v>0</v>
      </c>
      <c r="O19" s="111">
        <f t="array" ref="O19">IFERROR(
MEDIAN((IF(DATOS_[[Sexo]:[Sexo]]=$B19,IF(DATOS_[[AGRUP. CLAS. PROF.]:[AGRUP. CLAS. PROF.]]=$B18,IF(DATOS_[[Check Periodo Ref.]:[Check Periodo Ref.]]="Dentro",DATOS_[Conc.Sal.10]))))),
0)</f>
        <v>0</v>
      </c>
      <c r="P19" s="111">
        <f t="array" ref="P19">IFERROR(
MEDIAN((IF(DATOS_[[Sexo]:[Sexo]]=$B19,IF(DATOS_[[AGRUP. CLAS. PROF.]:[AGRUP. CLAS. PROF.]]=$B18,IF(DATOS_[[Check Periodo Ref.]:[Check Periodo Ref.]]="Dentro",DATOS_[Conc.Sal.11]))))),
0)</f>
        <v>0</v>
      </c>
      <c r="Q19" s="111">
        <f t="array" ref="Q19">IFERROR(
MEDIAN((IF(DATOS_[[Sexo]:[Sexo]]=$B19,IF(DATOS_[[AGRUP. CLAS. PROF.]:[AGRUP. CLAS. PROF.]]=$B18,IF(DATOS_[[Check Periodo Ref.]:[Check Periodo Ref.]]="Dentro",DATOS_[Conc.Sal.12]))))),
0)</f>
        <v>0</v>
      </c>
      <c r="R19" s="111">
        <f t="array" ref="R19">IFERROR(
MEDIAN((IF(DATOS_[[Sexo]:[Sexo]]=$B19,IF(DATOS_[[AGRUP. CLAS. PROF.]:[AGRUP. CLAS. PROF.]]=$B18,IF(DATOS_[[Check Periodo Ref.]:[Check Periodo Ref.]]="Dentro",DATOS_[Conc.Sal.13]))))),
0)</f>
        <v>0</v>
      </c>
      <c r="S19" s="111">
        <f t="array" ref="S19">IFERROR(
MEDIAN((IF(DATOS_[[Sexo]:[Sexo]]=$B19,IF(DATOS_[[AGRUP. CLAS. PROF.]:[AGRUP. CLAS. PROF.]]=$B18,IF(DATOS_[[Check Periodo Ref.]:[Check Periodo Ref.]]="Dentro",DATOS_[Conc.Sal.14]))))),
0)</f>
        <v>0</v>
      </c>
      <c r="T19" s="111">
        <f t="array" ref="T19">IFERROR(
MEDIAN((IF(DATOS_[[Sexo]:[Sexo]]=$B19,IF(DATOS_[[AGRUP. CLAS. PROF.]:[AGRUP. CLAS. PROF.]]=$B18,IF(DATOS_[[Check Periodo Ref.]:[Check Periodo Ref.]]="Dentro",DATOS_[Conc.Sal.15]))))),
0)</f>
        <v>0</v>
      </c>
      <c r="U19" s="111">
        <f t="array" ref="U19">IFERROR(
MEDIAN((IF(DATOS_[[Sexo]:[Sexo]]=$B19,IF(DATOS_[[AGRUP. CLAS. PROF.]:[AGRUP. CLAS. PROF.]]=$B18,IF(DATOS_[[Check Periodo Ref.]:[Check Periodo Ref.]]="Dentro",DATOS_[Conc.Sal.16]))))),
0)</f>
        <v>0</v>
      </c>
      <c r="V19" s="111">
        <f t="array" ref="V19">IFERROR(
MEDIAN((IF(DATOS_[[Sexo]:[Sexo]]=$B19,IF(DATOS_[[AGRUP. CLAS. PROF.]:[AGRUP. CLAS. PROF.]]=$B18,IF(DATOS_[[Check Periodo Ref.]:[Check Periodo Ref.]]="Dentro",DATOS_[Conc.Sal.17]))))),
0)</f>
        <v>0</v>
      </c>
      <c r="W19" s="111">
        <f t="array" ref="W19">IFERROR(
MEDIAN((IF(DATOS_[[Sexo]:[Sexo]]=$B19,IF(DATOS_[[AGRUP. CLAS. PROF.]:[AGRUP. CLAS. PROF.]]=$B18,IF(DATOS_[[Check Periodo Ref.]:[Check Periodo Ref.]]="Dentro",DATOS_[Conc.Sal.18]))))),
0)</f>
        <v>0</v>
      </c>
      <c r="X19" s="111">
        <f t="array" ref="X19">IFERROR(
MEDIAN((IF(DATOS_[[Sexo]:[Sexo]]=$B19,IF(DATOS_[[AGRUP. CLAS. PROF.]:[AGRUP. CLAS. PROF.]]=$B18,IF(DATOS_[[Check Periodo Ref.]:[Check Periodo Ref.]]="Dentro",DATOS_[Conc.Sal.19]))))),
0)</f>
        <v>0</v>
      </c>
      <c r="Y19" s="111">
        <f t="array" ref="Y19">IFERROR(
MEDIAN((IF(DATOS_[[Sexo]:[Sexo]]=$B19,IF(DATOS_[[AGRUP. CLAS. PROF.]:[AGRUP. CLAS. PROF.]]=$B18,IF(DATOS_[[Check Periodo Ref.]:[Check Periodo Ref.]]="Dentro",DATOS_[Conc.Sal.20]))))),
0)</f>
        <v>0</v>
      </c>
      <c r="Z19" s="111">
        <f t="array" ref="Z19">IFERROR(
MEDIAN((IF(DATOS_[[Sexo]:[Sexo]]=$B19,IF(DATOS_[[AGRUP. CLAS. PROF.]:[AGRUP. CLAS. PROF.]]=$B18,IF(DATOS_[[Check Periodo Ref.]:[Check Periodo Ref.]]="Dentro",DATOS_[Conc.Sal.21]))))),
0)</f>
        <v>0</v>
      </c>
      <c r="AA19" s="111">
        <f t="array" ref="AA19">IFERROR(
MEDIAN((IF(DATOS_[[Sexo]:[Sexo]]=$B19,IF(DATOS_[[AGRUP. CLAS. PROF.]:[AGRUP. CLAS. PROF.]]=$B18,IF(DATOS_[[Check Periodo Ref.]:[Check Periodo Ref.]]="Dentro",DATOS_[Conc.Sal.22]))))),
0)</f>
        <v>0</v>
      </c>
      <c r="AB19" s="111">
        <f t="array" ref="AB19">IFERROR(
MEDIAN((IF(DATOS_[[Sexo]:[Sexo]]=$B19,IF(DATOS_[[AGRUP. CLAS. PROF.]:[AGRUP. CLAS. PROF.]]=$B18,IF(DATOS_[[Check Periodo Ref.]:[Check Periodo Ref.]]="Dentro",DATOS_[Conc.Sal.23]))))),
0)</f>
        <v>0</v>
      </c>
      <c r="AC19" s="111">
        <f t="array" ref="AC19">IFERROR(
MEDIAN((IF(DATOS_[[Sexo]:[Sexo]]=$B19,IF(DATOS_[[AGRUP. CLAS. PROF.]:[AGRUP. CLAS. PROF.]]=$B18,IF(DATOS_[[Check Periodo Ref.]:[Check Periodo Ref.]]="Dentro",DATOS_[Conc.Sal.24]))))),
0)</f>
        <v>0</v>
      </c>
      <c r="AD19" s="111">
        <f t="array" ref="AD19">IFERROR(
MEDIAN((IF(DATOS_[[Sexo]:[Sexo]]=$B19,IF(DATOS_[[AGRUP. CLAS. PROF.]:[AGRUP. CLAS. PROF.]]=$B18,IF(DATOS_[[Check Periodo Ref.]:[Check Periodo Ref.]]="Dentro",DATOS_[Conc.Sal.25]))))),
0)</f>
        <v>0</v>
      </c>
      <c r="AE19" s="111">
        <f t="array" ref="AE19">IFERROR(
MEDIAN((IF(DATOS_[[Sexo]:[Sexo]]=$B19,IF(DATOS_[[AGRUP. CLAS. PROF.]:[AGRUP. CLAS. PROF.]]=$B18,IF(DATOS_[[Check Periodo Ref.]:[Check Periodo Ref.]]="Dentro",DATOS_[Conc.Sal.26]))))),
0)</f>
        <v>0</v>
      </c>
      <c r="AF19" s="111">
        <f t="array" ref="AF19">IFERROR(
MEDIAN((IF(DATOS_[[Sexo]:[Sexo]]=$B19,IF(DATOS_[[AGRUP. CLAS. PROF.]:[AGRUP. CLAS. PROF.]]=$B18,IF(DATOS_[[Check Periodo Ref.]:[Check Periodo Ref.]]="Dentro",DATOS_[Conc.Sal.27]))))),
0)</f>
        <v>0</v>
      </c>
      <c r="AG19" s="111">
        <f t="array" ref="AG19">IFERROR(
MEDIAN((IF(DATOS_[[Sexo]:[Sexo]]=$B19,IF(DATOS_[[AGRUP. CLAS. PROF.]:[AGRUP. CLAS. PROF.]]=$B18,IF(DATOS_[[Check Periodo Ref.]:[Check Periodo Ref.]]="Dentro",DATOS_[Conc.Sal.28]))))),
0)</f>
        <v>0</v>
      </c>
      <c r="AH19" s="111">
        <f t="array" ref="AH19">IFERROR(
MEDIAN((IF(DATOS_[[Sexo]:[Sexo]]=$B19,IF(DATOS_[[AGRUP. CLAS. PROF.]:[AGRUP. CLAS. PROF.]]=$B18,IF(DATOS_[[Check Periodo Ref.]:[Check Periodo Ref.]]="Dentro",DATOS_[Conc.Sal.29]))))),
0)</f>
        <v>0</v>
      </c>
      <c r="AI19" s="111">
        <f t="array" ref="AI19">IFERROR(
MEDIAN((IF(DATOS_[[Sexo]:[Sexo]]=$B19,IF(DATOS_[[AGRUP. CLAS. PROF.]:[AGRUP. CLAS. PROF.]]=$B18,IF(DATOS_[[Check Periodo Ref.]:[Check Periodo Ref.]]="Dentro",DATOS_[Conc.Sal.30]))))),
0)</f>
        <v>0</v>
      </c>
      <c r="AJ19" s="112">
        <f t="array" ref="AJ19">IFERROR(
MEDIAN(IF(DATOS_[Sexo]=$B19,IF(DATOS_[AGRUP. CLAS. PROF.]=$B18,IF(DATOS_[Check Periodo Ref.]="Dentro",DATOS_[Tot COMPL.SAL Ef],FALSE)))),
0)</f>
        <v>5194.9763999999986</v>
      </c>
      <c r="AK19" s="113">
        <f t="array" ref="AK19">IFERROR(
MEDIAN(IF(DATOS_[Sexo]=$B19,IF(DATOS_[AGRUP. CLAS. PROF.]=$B18,IF(DATOS_[Check Periodo Ref.]="Dentro",DATOS_[TOTAL SALARIO Ef],FALSE)))),
0)</f>
        <v>22461.306400000001</v>
      </c>
      <c r="AL19" s="114">
        <f t="array" ref="AL19">IFERROR(
MEDIAN((IF(DATOS_[[Sexo]:[Sexo]]=$B19,IF(DATOS_[[AGRUP. CLAS. PROF.]:[AGRUP. CLAS. PROF.]]=$B18,IF(DATOS_[[Check Periodo Ref.]:[Check Periodo Ref.]]="Dentro",DATOS_[C.Extra.01]))))),
0)</f>
        <v>0</v>
      </c>
      <c r="AM19" s="114">
        <f t="array" ref="AM19">IFERROR(
MEDIAN((IF(DATOS_[[Sexo]:[Sexo]]=$B19,IF(DATOS_[[AGRUP. CLAS. PROF.]:[AGRUP. CLAS. PROF.]]=$B18,IF(DATOS_[[Check Periodo Ref.]:[Check Periodo Ref.]]="Dentro",DATOS_[C.Extra.02]))))),
0)</f>
        <v>0</v>
      </c>
      <c r="AN19" s="114">
        <f t="array" ref="AN19">IFERROR(
MEDIAN((IF(DATOS_[[Sexo]:[Sexo]]=$B19,IF(DATOS_[[AGRUP. CLAS. PROF.]:[AGRUP. CLAS. PROF.]]=$B18,IF(DATOS_[[Check Periodo Ref.]:[Check Periodo Ref.]]="Dentro",DATOS_[C.Extra.03]))))),
0)</f>
        <v>0</v>
      </c>
      <c r="AO19" s="114">
        <f t="array" ref="AO19">IFERROR(
MEDIAN((IF(DATOS_[[Sexo]:[Sexo]]=$B19,IF(DATOS_[[AGRUP. CLAS. PROF.]:[AGRUP. CLAS. PROF.]]=$B18,IF(DATOS_[[Check Periodo Ref.]:[Check Periodo Ref.]]="Dentro",DATOS_[C.Extra.04]))))),
0)</f>
        <v>0</v>
      </c>
      <c r="AP19" s="114">
        <f t="array" ref="AP19">IFERROR(
MEDIAN((IF(DATOS_[[Sexo]:[Sexo]]=$B19,IF(DATOS_[[AGRUP. CLAS. PROF.]:[AGRUP. CLAS. PROF.]]=$B18,IF(DATOS_[[Check Periodo Ref.]:[Check Periodo Ref.]]="Dentro",DATOS_[C.Extra.05]))))),
0)</f>
        <v>0</v>
      </c>
      <c r="AQ19" s="115">
        <f t="array" ref="AQ19">IFERROR(
MEDIAN(IF(DATOS_[Sexo]=$B19,IF(DATOS_[AGRUP. CLAS. PROF.]=$B18,IF(DATOS_[Check Periodo Ref.]="Dentro",DATOS_[Tot Extrasalarial Ef],FALSE)))),
0)</f>
        <v>0</v>
      </c>
      <c r="AR19" s="116">
        <f t="array" ref="AR19">IFERROR(
MEDIAN(IF(DATOS_[Sexo]=$B19,IF(DATOS_[AGRUP. CLAS. PROF.]=$B18,IF(DATOS_[Check Periodo Ref.]="Dentro",DATOS_[TOTAL Retrib Ef],FALSE)))),
0)</f>
        <v>22461.306400000001</v>
      </c>
    </row>
    <row r="20" spans="1:44" s="36" customFormat="1" x14ac:dyDescent="0.3">
      <c r="A20" s="36" t="str">
        <f t="shared" ref="A20" si="10">+A19</f>
        <v/>
      </c>
      <c r="B20" s="34" t="s">
        <v>163</v>
      </c>
      <c r="C20" s="33">
        <f t="array" ref="C20">SUM(IF($B20=DATOS_[Sexo],
IF($B18=DATOS_[AGRUP. CLAS. PROF.],
IF("Dentro"=DATOS_[Check Periodo Ref.],
1/(COUNTIFS(DATOS_[Sexo],$B20,DATOS_[AGRUP. CLAS. PROF.],$B18,DATOS_[Check Periodo Ref.],"Dentro",DATOS_[id],DATOS_[id]))))))</f>
        <v>13</v>
      </c>
      <c r="D20" s="35">
        <f>COUNTIFS(DATOS_[AGRUP. CLAS. PROF.],$B18,DATOS_[Sexo],$B20,DATOS_[Check Periodo Ref.],"Dentro")</f>
        <v>14</v>
      </c>
      <c r="E20" s="110">
        <f t="array" ref="E20">IFERROR(
MEDIAN(IF(DATOS_[Sexo]=$B20,IF(DATOS_[AGRUP. CLAS. PROF.]=$B18,IF(DATOS_[Check Periodo Ref.]="Dentro",DATOS_[SALARIO BASE Ef],FALSE)))),
0)</f>
        <v>8633.1650000000009</v>
      </c>
      <c r="F20" s="111">
        <f t="array" ref="F20">IFERROR(
MEDIAN((IF(DATOS_[[Sexo]:[Sexo]]=$B20,IF(DATOS_[[AGRUP. CLAS. PROF.]:[AGRUP. CLAS. PROF.]]=$B18,IF(DATOS_[[Check Periodo Ref.]:[Check Periodo Ref.]]="Dentro",DATOS_[Conc.Sal.01]))))),
0)</f>
        <v>1800</v>
      </c>
      <c r="G20" s="111">
        <f t="array" ref="G20">IFERROR(
MEDIAN((IF(DATOS_[[Sexo]:[Sexo]]=$B20,IF(DATOS_[[AGRUP. CLAS. PROF.]:[AGRUP. CLAS. PROF.]]=$B18,IF(DATOS_[[Check Periodo Ref.]:[Check Periodo Ref.]]="Dentro",DATOS_[Conc.Sal.02]))))),
0)</f>
        <v>1035.4899</v>
      </c>
      <c r="H20" s="111">
        <f t="array" ref="H20">IFERROR(
MEDIAN((IF(DATOS_[[Sexo]:[Sexo]]=$B20,IF(DATOS_[[AGRUP. CLAS. PROF.]:[AGRUP. CLAS. PROF.]]=$B18,IF(DATOS_[[Check Periodo Ref.]:[Check Periodo Ref.]]="Dentro",DATOS_[Conc.Sal.03]))))),
0)</f>
        <v>0</v>
      </c>
      <c r="I20" s="111">
        <f t="array" ref="I20">IFERROR(
MEDIAN((IF(DATOS_[[Sexo]:[Sexo]]=$B20,IF(DATOS_[[AGRUP. CLAS. PROF.]:[AGRUP. CLAS. PROF.]]=$B18,IF(DATOS_[[Check Periodo Ref.]:[Check Periodo Ref.]]="Dentro",DATOS_[Conc.Sal.04]))))),
0)</f>
        <v>0</v>
      </c>
      <c r="J20" s="111">
        <f t="array" ref="J20">IFERROR(
MEDIAN((IF(DATOS_[[Sexo]:[Sexo]]=$B20,IF(DATOS_[[AGRUP. CLAS. PROF.]:[AGRUP. CLAS. PROF.]]=$B18,IF(DATOS_[[Check Periodo Ref.]:[Check Periodo Ref.]]="Dentro",DATOS_[Conc.Sal.05]))))),
0)</f>
        <v>0</v>
      </c>
      <c r="K20" s="111">
        <f t="array" ref="K20">IFERROR(
MEDIAN((IF(DATOS_[[Sexo]:[Sexo]]=$B20,IF(DATOS_[[AGRUP. CLAS. PROF.]:[AGRUP. CLAS. PROF.]]=$B18,IF(DATOS_[[Check Periodo Ref.]:[Check Periodo Ref.]]="Dentro",DATOS_[Conc.Sal.06]))))),
0)</f>
        <v>0</v>
      </c>
      <c r="L20" s="111">
        <f t="array" ref="L20">IFERROR(
MEDIAN((IF(DATOS_[[Sexo]:[Sexo]]=$B20,IF(DATOS_[[AGRUP. CLAS. PROF.]:[AGRUP. CLAS. PROF.]]=$B18,IF(DATOS_[[Check Periodo Ref.]:[Check Periodo Ref.]]="Dentro",DATOS_[Conc.Sal.07]))))),
0)</f>
        <v>80</v>
      </c>
      <c r="M20" s="111">
        <f t="array" ref="M20">IFERROR(
MEDIAN((IF(DATOS_[[Sexo]:[Sexo]]=$B20,IF(DATOS_[[AGRUP. CLAS. PROF.]:[AGRUP. CLAS. PROF.]]=$B18,IF(DATOS_[[Check Periodo Ref.]:[Check Periodo Ref.]]="Dentro",DATOS_[Conc.Sal.08]))))),
0)</f>
        <v>0</v>
      </c>
      <c r="N20" s="111">
        <f t="array" ref="N20">IFERROR(
MEDIAN((IF(DATOS_[[Sexo]:[Sexo]]=$B20,IF(DATOS_[[AGRUP. CLAS. PROF.]:[AGRUP. CLAS. PROF.]]=$B18,IF(DATOS_[[Check Periodo Ref.]:[Check Periodo Ref.]]="Dentro",DATOS_[Conc.Sal.09]))))),
0)</f>
        <v>0</v>
      </c>
      <c r="O20" s="111">
        <f t="array" ref="O20">IFERROR(
MEDIAN((IF(DATOS_[[Sexo]:[Sexo]]=$B20,IF(DATOS_[[AGRUP. CLAS. PROF.]:[AGRUP. CLAS. PROF.]]=$B18,IF(DATOS_[[Check Periodo Ref.]:[Check Periodo Ref.]]="Dentro",DATOS_[Conc.Sal.10]))))),
0)</f>
        <v>0</v>
      </c>
      <c r="P20" s="111">
        <f t="array" ref="P20">IFERROR(
MEDIAN((IF(DATOS_[[Sexo]:[Sexo]]=$B20,IF(DATOS_[[AGRUP. CLAS. PROF.]:[AGRUP. CLAS. PROF.]]=$B18,IF(DATOS_[[Check Periodo Ref.]:[Check Periodo Ref.]]="Dentro",DATOS_[Conc.Sal.11]))))),
0)</f>
        <v>0</v>
      </c>
      <c r="Q20" s="111">
        <f t="array" ref="Q20">IFERROR(
MEDIAN((IF(DATOS_[[Sexo]:[Sexo]]=$B20,IF(DATOS_[[AGRUP. CLAS. PROF.]:[AGRUP. CLAS. PROF.]]=$B18,IF(DATOS_[[Check Periodo Ref.]:[Check Periodo Ref.]]="Dentro",DATOS_[Conc.Sal.12]))))),
0)</f>
        <v>0</v>
      </c>
      <c r="R20" s="111">
        <f t="array" ref="R20">IFERROR(
MEDIAN((IF(DATOS_[[Sexo]:[Sexo]]=$B20,IF(DATOS_[[AGRUP. CLAS. PROF.]:[AGRUP. CLAS. PROF.]]=$B18,IF(DATOS_[[Check Periodo Ref.]:[Check Periodo Ref.]]="Dentro",DATOS_[Conc.Sal.13]))))),
0)</f>
        <v>0</v>
      </c>
      <c r="S20" s="111">
        <f t="array" ref="S20">IFERROR(
MEDIAN((IF(DATOS_[[Sexo]:[Sexo]]=$B20,IF(DATOS_[[AGRUP. CLAS. PROF.]:[AGRUP. CLAS. PROF.]]=$B18,IF(DATOS_[[Check Periodo Ref.]:[Check Periodo Ref.]]="Dentro",DATOS_[Conc.Sal.14]))))),
0)</f>
        <v>0</v>
      </c>
      <c r="T20" s="111">
        <f t="array" ref="T20">IFERROR(
MEDIAN((IF(DATOS_[[Sexo]:[Sexo]]=$B20,IF(DATOS_[[AGRUP. CLAS. PROF.]:[AGRUP. CLAS. PROF.]]=$B18,IF(DATOS_[[Check Periodo Ref.]:[Check Periodo Ref.]]="Dentro",DATOS_[Conc.Sal.15]))))),
0)</f>
        <v>0</v>
      </c>
      <c r="U20" s="111">
        <f t="array" ref="U20">IFERROR(
MEDIAN((IF(DATOS_[[Sexo]:[Sexo]]=$B20,IF(DATOS_[[AGRUP. CLAS. PROF.]:[AGRUP. CLAS. PROF.]]=$B18,IF(DATOS_[[Check Periodo Ref.]:[Check Periodo Ref.]]="Dentro",DATOS_[Conc.Sal.16]))))),
0)</f>
        <v>0</v>
      </c>
      <c r="V20" s="111">
        <f t="array" ref="V20">IFERROR(
MEDIAN((IF(DATOS_[[Sexo]:[Sexo]]=$B20,IF(DATOS_[[AGRUP. CLAS. PROF.]:[AGRUP. CLAS. PROF.]]=$B18,IF(DATOS_[[Check Periodo Ref.]:[Check Periodo Ref.]]="Dentro",DATOS_[Conc.Sal.17]))))),
0)</f>
        <v>0</v>
      </c>
      <c r="W20" s="111">
        <f t="array" ref="W20">IFERROR(
MEDIAN((IF(DATOS_[[Sexo]:[Sexo]]=$B20,IF(DATOS_[[AGRUP. CLAS. PROF.]:[AGRUP. CLAS. PROF.]]=$B18,IF(DATOS_[[Check Periodo Ref.]:[Check Periodo Ref.]]="Dentro",DATOS_[Conc.Sal.18]))))),
0)</f>
        <v>0</v>
      </c>
      <c r="X20" s="111">
        <f t="array" ref="X20">IFERROR(
MEDIAN((IF(DATOS_[[Sexo]:[Sexo]]=$B20,IF(DATOS_[[AGRUP. CLAS. PROF.]:[AGRUP. CLAS. PROF.]]=$B18,IF(DATOS_[[Check Periodo Ref.]:[Check Periodo Ref.]]="Dentro",DATOS_[Conc.Sal.19]))))),
0)</f>
        <v>0</v>
      </c>
      <c r="Y20" s="111">
        <f t="array" ref="Y20">IFERROR(
MEDIAN((IF(DATOS_[[Sexo]:[Sexo]]=$B20,IF(DATOS_[[AGRUP. CLAS. PROF.]:[AGRUP. CLAS. PROF.]]=$B18,IF(DATOS_[[Check Periodo Ref.]:[Check Periodo Ref.]]="Dentro",DATOS_[Conc.Sal.20]))))),
0)</f>
        <v>0</v>
      </c>
      <c r="Z20" s="111">
        <f t="array" ref="Z20">IFERROR(
MEDIAN((IF(DATOS_[[Sexo]:[Sexo]]=$B20,IF(DATOS_[[AGRUP. CLAS. PROF.]:[AGRUP. CLAS. PROF.]]=$B18,IF(DATOS_[[Check Periodo Ref.]:[Check Periodo Ref.]]="Dentro",DATOS_[Conc.Sal.21]))))),
0)</f>
        <v>0</v>
      </c>
      <c r="AA20" s="111">
        <f t="array" ref="AA20">IFERROR(
MEDIAN((IF(DATOS_[[Sexo]:[Sexo]]=$B20,IF(DATOS_[[AGRUP. CLAS. PROF.]:[AGRUP. CLAS. PROF.]]=$B18,IF(DATOS_[[Check Periodo Ref.]:[Check Periodo Ref.]]="Dentro",DATOS_[Conc.Sal.22]))))),
0)</f>
        <v>0</v>
      </c>
      <c r="AB20" s="111">
        <f t="array" ref="AB20">IFERROR(
MEDIAN((IF(DATOS_[[Sexo]:[Sexo]]=$B20,IF(DATOS_[[AGRUP. CLAS. PROF.]:[AGRUP. CLAS. PROF.]]=$B18,IF(DATOS_[[Check Periodo Ref.]:[Check Periodo Ref.]]="Dentro",DATOS_[Conc.Sal.23]))))),
0)</f>
        <v>0</v>
      </c>
      <c r="AC20" s="111">
        <f t="array" ref="AC20">IFERROR(
MEDIAN((IF(DATOS_[[Sexo]:[Sexo]]=$B20,IF(DATOS_[[AGRUP. CLAS. PROF.]:[AGRUP. CLAS. PROF.]]=$B18,IF(DATOS_[[Check Periodo Ref.]:[Check Periodo Ref.]]="Dentro",DATOS_[Conc.Sal.24]))))),
0)</f>
        <v>0</v>
      </c>
      <c r="AD20" s="111">
        <f t="array" ref="AD20">IFERROR(
MEDIAN((IF(DATOS_[[Sexo]:[Sexo]]=$B20,IF(DATOS_[[AGRUP. CLAS. PROF.]:[AGRUP. CLAS. PROF.]]=$B18,IF(DATOS_[[Check Periodo Ref.]:[Check Periodo Ref.]]="Dentro",DATOS_[Conc.Sal.25]))))),
0)</f>
        <v>0</v>
      </c>
      <c r="AE20" s="111">
        <f t="array" ref="AE20">IFERROR(
MEDIAN((IF(DATOS_[[Sexo]:[Sexo]]=$B20,IF(DATOS_[[AGRUP. CLAS. PROF.]:[AGRUP. CLAS. PROF.]]=$B18,IF(DATOS_[[Check Periodo Ref.]:[Check Periodo Ref.]]="Dentro",DATOS_[Conc.Sal.26]))))),
0)</f>
        <v>0</v>
      </c>
      <c r="AF20" s="111">
        <f t="array" ref="AF20">IFERROR(
MEDIAN((IF(DATOS_[[Sexo]:[Sexo]]=$B20,IF(DATOS_[[AGRUP. CLAS. PROF.]:[AGRUP. CLAS. PROF.]]=$B18,IF(DATOS_[[Check Periodo Ref.]:[Check Periodo Ref.]]="Dentro",DATOS_[Conc.Sal.27]))))),
0)</f>
        <v>0</v>
      </c>
      <c r="AG20" s="111">
        <f t="array" ref="AG20">IFERROR(
MEDIAN((IF(DATOS_[[Sexo]:[Sexo]]=$B20,IF(DATOS_[[AGRUP. CLAS. PROF.]:[AGRUP. CLAS. PROF.]]=$B18,IF(DATOS_[[Check Periodo Ref.]:[Check Periodo Ref.]]="Dentro",DATOS_[Conc.Sal.28]))))),
0)</f>
        <v>0</v>
      </c>
      <c r="AH20" s="111">
        <f t="array" ref="AH20">IFERROR(
MEDIAN((IF(DATOS_[[Sexo]:[Sexo]]=$B20,IF(DATOS_[[AGRUP. CLAS. PROF.]:[AGRUP. CLAS. PROF.]]=$B18,IF(DATOS_[[Check Periodo Ref.]:[Check Periodo Ref.]]="Dentro",DATOS_[Conc.Sal.29]))))),
0)</f>
        <v>0</v>
      </c>
      <c r="AI20" s="111">
        <f t="array" ref="AI20">IFERROR(
MEDIAN((IF(DATOS_[[Sexo]:[Sexo]]=$B20,IF(DATOS_[[AGRUP. CLAS. PROF.]:[AGRUP. CLAS. PROF.]]=$B18,IF(DATOS_[[Check Periodo Ref.]:[Check Periodo Ref.]]="Dentro",DATOS_[Conc.Sal.30]))))),
0)</f>
        <v>0</v>
      </c>
      <c r="AJ20" s="112">
        <f t="array" ref="AJ20">IFERROR(
MEDIAN(IF(DATOS_[Sexo]=$B20,IF(DATOS_[AGRUP. CLAS. PROF.]=$B18,IF(DATOS_[Check Periodo Ref.]="Dentro",DATOS_[Tot COMPL.SAL Ef],FALSE)))),
0)</f>
        <v>2825.4899</v>
      </c>
      <c r="AK20" s="113">
        <f t="array" ref="AK20">IFERROR(
MEDIAN(IF(DATOS_[Sexo]=$B20,IF(DATOS_[AGRUP. CLAS. PROF.]=$B18,IF(DATOS_[Check Periodo Ref.]="Dentro",DATOS_[TOTAL SALARIO Ef],FALSE)))),
0)</f>
        <v>11714.653200000001</v>
      </c>
      <c r="AL20" s="114">
        <f t="array" ref="AL20">IFERROR(
MEDIAN((IF(DATOS_[[Sexo]:[Sexo]]=$B20,IF(DATOS_[[AGRUP. CLAS. PROF.]:[AGRUP. CLAS. PROF.]]=$B18,IF(DATOS_[[Check Periodo Ref.]:[Check Periodo Ref.]]="Dentro",DATOS_[C.Extra.01]))))),
0)</f>
        <v>0</v>
      </c>
      <c r="AM20" s="114">
        <f t="array" ref="AM20">IFERROR(
MEDIAN((IF(DATOS_[[Sexo]:[Sexo]]=$B20,IF(DATOS_[[AGRUP. CLAS. PROF.]:[AGRUP. CLAS. PROF.]]=$B18,IF(DATOS_[[Check Periodo Ref.]:[Check Periodo Ref.]]="Dentro",DATOS_[C.Extra.02]))))),
0)</f>
        <v>0</v>
      </c>
      <c r="AN20" s="114">
        <f t="array" ref="AN20">IFERROR(
MEDIAN((IF(DATOS_[[Sexo]:[Sexo]]=$B20,IF(DATOS_[[AGRUP. CLAS. PROF.]:[AGRUP. CLAS. PROF.]]=$B18,IF(DATOS_[[Check Periodo Ref.]:[Check Periodo Ref.]]="Dentro",DATOS_[C.Extra.03]))))),
0)</f>
        <v>0</v>
      </c>
      <c r="AO20" s="114">
        <f t="array" ref="AO20">IFERROR(
MEDIAN((IF(DATOS_[[Sexo]:[Sexo]]=$B20,IF(DATOS_[[AGRUP. CLAS. PROF.]:[AGRUP. CLAS. PROF.]]=$B18,IF(DATOS_[[Check Periodo Ref.]:[Check Periodo Ref.]]="Dentro",DATOS_[C.Extra.04]))))),
0)</f>
        <v>0</v>
      </c>
      <c r="AP20" s="114">
        <f t="array" ref="AP20">IFERROR(
MEDIAN((IF(DATOS_[[Sexo]:[Sexo]]=$B20,IF(DATOS_[[AGRUP. CLAS. PROF.]:[AGRUP. CLAS. PROF.]]=$B18,IF(DATOS_[[Check Periodo Ref.]:[Check Periodo Ref.]]="Dentro",DATOS_[C.Extra.05]))))),
0)</f>
        <v>0</v>
      </c>
      <c r="AQ20" s="115">
        <f t="array" ref="AQ20">IFERROR(
MEDIAN(IF(DATOS_[Sexo]=$B20,IF(DATOS_[AGRUP. CLAS. PROF.]=$B18,IF(DATOS_[Check Periodo Ref.]="Dentro",DATOS_[Tot Extrasalarial Ef],FALSE)))),
0)</f>
        <v>0</v>
      </c>
      <c r="AR20" s="116">
        <f t="array" ref="AR20">IFERROR(
MEDIAN(IF(DATOS_[Sexo]=$B20,IF(DATOS_[AGRUP. CLAS. PROF.]=$B18,IF(DATOS_[Check Periodo Ref.]="Dentro",DATOS_[TOTAL Retrib Ef],FALSE)))),
0)</f>
        <v>11714.653200000001</v>
      </c>
    </row>
    <row r="21" spans="1:44" ht="17.25" thickBot="1" x14ac:dyDescent="0.35">
      <c r="A21" s="42" t="str">
        <f t="shared" ref="A21" si="11">+A22</f>
        <v/>
      </c>
      <c r="B21" s="40" t="s">
        <v>300</v>
      </c>
      <c r="C21" s="109"/>
      <c r="D21" s="41"/>
      <c r="E21" s="119">
        <f t="shared" ref="E21:AR21" si="12">IFERROR((E22-E23)/E22,"")</f>
        <v>0</v>
      </c>
      <c r="F21" s="123">
        <f t="shared" si="12"/>
        <v>0</v>
      </c>
      <c r="G21" s="123">
        <f t="shared" si="12"/>
        <v>-0.60035937351161117</v>
      </c>
      <c r="H21" s="123" t="str">
        <f t="shared" si="12"/>
        <v/>
      </c>
      <c r="I21" s="123" t="str">
        <f t="shared" si="12"/>
        <v/>
      </c>
      <c r="J21" s="123" t="str">
        <f t="shared" si="12"/>
        <v/>
      </c>
      <c r="K21" s="123" t="str">
        <f t="shared" si="12"/>
        <v/>
      </c>
      <c r="L21" s="123">
        <f t="shared" si="12"/>
        <v>0</v>
      </c>
      <c r="M21" s="123">
        <f t="shared" si="12"/>
        <v>1</v>
      </c>
      <c r="N21" s="123" t="str">
        <f t="shared" si="12"/>
        <v/>
      </c>
      <c r="O21" s="123" t="str">
        <f t="shared" si="12"/>
        <v/>
      </c>
      <c r="P21" s="123" t="str">
        <f t="shared" si="12"/>
        <v/>
      </c>
      <c r="Q21" s="123" t="str">
        <f t="shared" si="12"/>
        <v/>
      </c>
      <c r="R21" s="123" t="str">
        <f t="shared" si="12"/>
        <v/>
      </c>
      <c r="S21" s="123" t="str">
        <f t="shared" si="12"/>
        <v/>
      </c>
      <c r="T21" s="123" t="str">
        <f t="shared" si="12"/>
        <v/>
      </c>
      <c r="U21" s="123" t="str">
        <f t="shared" si="12"/>
        <v/>
      </c>
      <c r="V21" s="122" t="str">
        <f t="shared" si="12"/>
        <v/>
      </c>
      <c r="W21" s="122" t="str">
        <f t="shared" si="12"/>
        <v/>
      </c>
      <c r="X21" s="122" t="str">
        <f t="shared" si="12"/>
        <v/>
      </c>
      <c r="Y21" s="122" t="str">
        <f t="shared" si="12"/>
        <v/>
      </c>
      <c r="Z21" s="122" t="str">
        <f t="shared" si="12"/>
        <v/>
      </c>
      <c r="AA21" s="122" t="str">
        <f t="shared" si="12"/>
        <v/>
      </c>
      <c r="AB21" s="122" t="str">
        <f t="shared" si="12"/>
        <v/>
      </c>
      <c r="AC21" s="122" t="str">
        <f t="shared" si="12"/>
        <v/>
      </c>
      <c r="AD21" s="122" t="str">
        <f t="shared" si="12"/>
        <v/>
      </c>
      <c r="AE21" s="122" t="str">
        <f t="shared" si="12"/>
        <v/>
      </c>
      <c r="AF21" s="122" t="str">
        <f t="shared" si="12"/>
        <v/>
      </c>
      <c r="AG21" s="122" t="str">
        <f t="shared" si="12"/>
        <v/>
      </c>
      <c r="AH21" s="122" t="str">
        <f t="shared" si="12"/>
        <v/>
      </c>
      <c r="AI21" s="122" t="str">
        <f t="shared" si="12"/>
        <v/>
      </c>
      <c r="AJ21" s="124">
        <f t="shared" si="12"/>
        <v>0.65326179071602997</v>
      </c>
      <c r="AK21" s="128">
        <f t="shared" si="12"/>
        <v>0.24499046815598463</v>
      </c>
      <c r="AL21" s="125" t="str">
        <f t="shared" si="12"/>
        <v/>
      </c>
      <c r="AM21" s="125" t="str">
        <f t="shared" si="12"/>
        <v/>
      </c>
      <c r="AN21" s="125" t="str">
        <f t="shared" si="12"/>
        <v/>
      </c>
      <c r="AO21" s="125" t="str">
        <f t="shared" si="12"/>
        <v/>
      </c>
      <c r="AP21" s="125" t="str">
        <f t="shared" si="12"/>
        <v/>
      </c>
      <c r="AQ21" s="126" t="str">
        <f t="shared" si="12"/>
        <v/>
      </c>
      <c r="AR21" s="127">
        <f t="shared" si="12"/>
        <v>0.24499046815598463</v>
      </c>
    </row>
    <row r="22" spans="1:44" x14ac:dyDescent="0.3">
      <c r="A22" s="42" t="str">
        <f t="shared" ref="A22" si="13">+IF(C22+C23=0,"[ocultar]","")</f>
        <v/>
      </c>
      <c r="B22" s="34" t="s">
        <v>162</v>
      </c>
      <c r="C22" s="33">
        <f t="array" ref="C22">SUM(IF($B22=DATOS_[Sexo],
IF($B21=DATOS_[AGRUP. CLAS. PROF.],
IF("Dentro"=DATOS_[Check Periodo Ref.],
1/(COUNTIFS(DATOS_[Sexo],$B22,DATOS_[AGRUP. CLAS. PROF.],$B21,DATOS_[Check Periodo Ref.],"Dentro",DATOS_[id],DATOS_[id]))))))</f>
        <v>30</v>
      </c>
      <c r="D22" s="35">
        <f>COUNTIFS(DATOS_[AGRUP. CLAS. PROF.],$B21,DATOS_[Sexo],$B22,DATOS_[Check Periodo Ref.],"Dentro")</f>
        <v>30</v>
      </c>
      <c r="E22" s="110">
        <f t="array" ref="E22">IFERROR(
MEDIAN(IF(DATOS_[Sexo]=$B22,IF(DATOS_[AGRUP. CLAS. PROF.]=$B21,IF(DATOS_[Check Periodo Ref.]="Dentro",DATOS_[SALARIO BASE Ef],FALSE)))),
0)</f>
        <v>15372.42</v>
      </c>
      <c r="F22" s="111">
        <f t="array" ref="F22">IFERROR(
MEDIAN((IF(DATOS_[[Sexo]:[Sexo]]=$B22,IF(DATOS_[[AGRUP. CLAS. PROF.]:[AGRUP. CLAS. PROF.]]=$B21,IF(DATOS_[[Check Periodo Ref.]:[Check Periodo Ref.]]="Dentro",DATOS_[Conc.Sal.01]))))),
0)</f>
        <v>1627.58</v>
      </c>
      <c r="G22" s="111">
        <f t="array" ref="G22">IFERROR(
MEDIAN((IF(DATOS_[[Sexo]:[Sexo]]=$B22,IF(DATOS_[[AGRUP. CLAS. PROF.]:[AGRUP. CLAS. PROF.]]=$B21,IF(DATOS_[[Check Periodo Ref.]:[Check Periodo Ref.]]="Dentro",DATOS_[Conc.Sal.02]))))),
0)</f>
        <v>768.44839999999999</v>
      </c>
      <c r="H22" s="111">
        <f t="array" ref="H22">IFERROR(
MEDIAN((IF(DATOS_[[Sexo]:[Sexo]]=$B22,IF(DATOS_[[AGRUP. CLAS. PROF.]:[AGRUP. CLAS. PROF.]]=$B21,IF(DATOS_[[Check Periodo Ref.]:[Check Periodo Ref.]]="Dentro",DATOS_[Conc.Sal.03]))))),
0)</f>
        <v>0</v>
      </c>
      <c r="I22" s="111">
        <f t="array" ref="I22">IFERROR(
MEDIAN((IF(DATOS_[[Sexo]:[Sexo]]=$B22,IF(DATOS_[[AGRUP. CLAS. PROF.]:[AGRUP. CLAS. PROF.]]=$B21,IF(DATOS_[[Check Periodo Ref.]:[Check Periodo Ref.]]="Dentro",DATOS_[Conc.Sal.04]))))),
0)</f>
        <v>0</v>
      </c>
      <c r="J22" s="111">
        <f t="array" ref="J22">IFERROR(
MEDIAN((IF(DATOS_[[Sexo]:[Sexo]]=$B22,IF(DATOS_[[AGRUP. CLAS. PROF.]:[AGRUP. CLAS. PROF.]]=$B21,IF(DATOS_[[Check Periodo Ref.]:[Check Periodo Ref.]]="Dentro",DATOS_[Conc.Sal.05]))))),
0)</f>
        <v>0</v>
      </c>
      <c r="K22" s="111">
        <f t="array" ref="K22">IFERROR(
MEDIAN((IF(DATOS_[[Sexo]:[Sexo]]=$B22,IF(DATOS_[[AGRUP. CLAS. PROF.]:[AGRUP. CLAS. PROF.]]=$B21,IF(DATOS_[[Check Periodo Ref.]:[Check Periodo Ref.]]="Dentro",DATOS_[Conc.Sal.06]))))),
0)</f>
        <v>0</v>
      </c>
      <c r="L22" s="111">
        <f t="array" ref="L22">IFERROR(
MEDIAN((IF(DATOS_[[Sexo]:[Sexo]]=$B22,IF(DATOS_[[AGRUP. CLAS. PROF.]:[AGRUP. CLAS. PROF.]]=$B21,IF(DATOS_[[Check Periodo Ref.]:[Check Periodo Ref.]]="Dentro",DATOS_[Conc.Sal.07]))))),
0)</f>
        <v>80</v>
      </c>
      <c r="M22" s="111">
        <f t="array" ref="M22">IFERROR(
MEDIAN((IF(DATOS_[[Sexo]:[Sexo]]=$B22,IF(DATOS_[[AGRUP. CLAS. PROF.]:[AGRUP. CLAS. PROF.]]=$B21,IF(DATOS_[[Check Periodo Ref.]:[Check Periodo Ref.]]="Dentro",DATOS_[Conc.Sal.08]))))),
0)</f>
        <v>6148.9680000000008</v>
      </c>
      <c r="N22" s="111">
        <f t="array" ref="N22">IFERROR(
MEDIAN((IF(DATOS_[[Sexo]:[Sexo]]=$B22,IF(DATOS_[[AGRUP. CLAS. PROF.]:[AGRUP. CLAS. PROF.]]=$B21,IF(DATOS_[[Check Periodo Ref.]:[Check Periodo Ref.]]="Dentro",DATOS_[Conc.Sal.09]))))),
0)</f>
        <v>0</v>
      </c>
      <c r="O22" s="111">
        <f t="array" ref="O22">IFERROR(
MEDIAN((IF(DATOS_[[Sexo]:[Sexo]]=$B22,IF(DATOS_[[AGRUP. CLAS. PROF.]:[AGRUP. CLAS. PROF.]]=$B21,IF(DATOS_[[Check Periodo Ref.]:[Check Periodo Ref.]]="Dentro",DATOS_[Conc.Sal.10]))))),
0)</f>
        <v>0</v>
      </c>
      <c r="P22" s="111">
        <f t="array" ref="P22">IFERROR(
MEDIAN((IF(DATOS_[[Sexo]:[Sexo]]=$B22,IF(DATOS_[[AGRUP. CLAS. PROF.]:[AGRUP. CLAS. PROF.]]=$B21,IF(DATOS_[[Check Periodo Ref.]:[Check Periodo Ref.]]="Dentro",DATOS_[Conc.Sal.11]))))),
0)</f>
        <v>0</v>
      </c>
      <c r="Q22" s="111">
        <f t="array" ref="Q22">IFERROR(
MEDIAN((IF(DATOS_[[Sexo]:[Sexo]]=$B22,IF(DATOS_[[AGRUP. CLAS. PROF.]:[AGRUP. CLAS. PROF.]]=$B21,IF(DATOS_[[Check Periodo Ref.]:[Check Periodo Ref.]]="Dentro",DATOS_[Conc.Sal.12]))))),
0)</f>
        <v>0</v>
      </c>
      <c r="R22" s="111">
        <f t="array" ref="R22">IFERROR(
MEDIAN((IF(DATOS_[[Sexo]:[Sexo]]=$B22,IF(DATOS_[[AGRUP. CLAS. PROF.]:[AGRUP. CLAS. PROF.]]=$B21,IF(DATOS_[[Check Periodo Ref.]:[Check Periodo Ref.]]="Dentro",DATOS_[Conc.Sal.13]))))),
0)</f>
        <v>0</v>
      </c>
      <c r="S22" s="111">
        <f t="array" ref="S22">IFERROR(
MEDIAN((IF(DATOS_[[Sexo]:[Sexo]]=$B22,IF(DATOS_[[AGRUP. CLAS. PROF.]:[AGRUP. CLAS. PROF.]]=$B21,IF(DATOS_[[Check Periodo Ref.]:[Check Periodo Ref.]]="Dentro",DATOS_[Conc.Sal.14]))))),
0)</f>
        <v>0</v>
      </c>
      <c r="T22" s="111">
        <f t="array" ref="T22">IFERROR(
MEDIAN((IF(DATOS_[[Sexo]:[Sexo]]=$B22,IF(DATOS_[[AGRUP. CLAS. PROF.]:[AGRUP. CLAS. PROF.]]=$B21,IF(DATOS_[[Check Periodo Ref.]:[Check Periodo Ref.]]="Dentro",DATOS_[Conc.Sal.15]))))),
0)</f>
        <v>0</v>
      </c>
      <c r="U22" s="111">
        <f t="array" ref="U22">IFERROR(
MEDIAN((IF(DATOS_[[Sexo]:[Sexo]]=$B22,IF(DATOS_[[AGRUP. CLAS. PROF.]:[AGRUP. CLAS. PROF.]]=$B21,IF(DATOS_[[Check Periodo Ref.]:[Check Periodo Ref.]]="Dentro",DATOS_[Conc.Sal.16]))))),
0)</f>
        <v>0</v>
      </c>
      <c r="V22" s="111">
        <f t="array" ref="V22">IFERROR(
MEDIAN((IF(DATOS_[[Sexo]:[Sexo]]=$B22,IF(DATOS_[[AGRUP. CLAS. PROF.]:[AGRUP. CLAS. PROF.]]=$B21,IF(DATOS_[[Check Periodo Ref.]:[Check Periodo Ref.]]="Dentro",DATOS_[Conc.Sal.17]))))),
0)</f>
        <v>0</v>
      </c>
      <c r="W22" s="111">
        <f t="array" ref="W22">IFERROR(
MEDIAN((IF(DATOS_[[Sexo]:[Sexo]]=$B22,IF(DATOS_[[AGRUP. CLAS. PROF.]:[AGRUP. CLAS. PROF.]]=$B21,IF(DATOS_[[Check Periodo Ref.]:[Check Periodo Ref.]]="Dentro",DATOS_[Conc.Sal.18]))))),
0)</f>
        <v>0</v>
      </c>
      <c r="X22" s="111">
        <f t="array" ref="X22">IFERROR(
MEDIAN((IF(DATOS_[[Sexo]:[Sexo]]=$B22,IF(DATOS_[[AGRUP. CLAS. PROF.]:[AGRUP. CLAS. PROF.]]=$B21,IF(DATOS_[[Check Periodo Ref.]:[Check Periodo Ref.]]="Dentro",DATOS_[Conc.Sal.19]))))),
0)</f>
        <v>0</v>
      </c>
      <c r="Y22" s="111">
        <f t="array" ref="Y22">IFERROR(
MEDIAN((IF(DATOS_[[Sexo]:[Sexo]]=$B22,IF(DATOS_[[AGRUP. CLAS. PROF.]:[AGRUP. CLAS. PROF.]]=$B21,IF(DATOS_[[Check Periodo Ref.]:[Check Periodo Ref.]]="Dentro",DATOS_[Conc.Sal.20]))))),
0)</f>
        <v>0</v>
      </c>
      <c r="Z22" s="111">
        <f t="array" ref="Z22">IFERROR(
MEDIAN((IF(DATOS_[[Sexo]:[Sexo]]=$B22,IF(DATOS_[[AGRUP. CLAS. PROF.]:[AGRUP. CLAS. PROF.]]=$B21,IF(DATOS_[[Check Periodo Ref.]:[Check Periodo Ref.]]="Dentro",DATOS_[Conc.Sal.21]))))),
0)</f>
        <v>0</v>
      </c>
      <c r="AA22" s="111">
        <f t="array" ref="AA22">IFERROR(
MEDIAN((IF(DATOS_[[Sexo]:[Sexo]]=$B22,IF(DATOS_[[AGRUP. CLAS. PROF.]:[AGRUP. CLAS. PROF.]]=$B21,IF(DATOS_[[Check Periodo Ref.]:[Check Periodo Ref.]]="Dentro",DATOS_[Conc.Sal.22]))))),
0)</f>
        <v>0</v>
      </c>
      <c r="AB22" s="111">
        <f t="array" ref="AB22">IFERROR(
MEDIAN((IF(DATOS_[[Sexo]:[Sexo]]=$B22,IF(DATOS_[[AGRUP. CLAS. PROF.]:[AGRUP. CLAS. PROF.]]=$B21,IF(DATOS_[[Check Periodo Ref.]:[Check Periodo Ref.]]="Dentro",DATOS_[Conc.Sal.23]))))),
0)</f>
        <v>0</v>
      </c>
      <c r="AC22" s="111">
        <f t="array" ref="AC22">IFERROR(
MEDIAN((IF(DATOS_[[Sexo]:[Sexo]]=$B22,IF(DATOS_[[AGRUP. CLAS. PROF.]:[AGRUP. CLAS. PROF.]]=$B21,IF(DATOS_[[Check Periodo Ref.]:[Check Periodo Ref.]]="Dentro",DATOS_[Conc.Sal.24]))))),
0)</f>
        <v>0</v>
      </c>
      <c r="AD22" s="111">
        <f t="array" ref="AD22">IFERROR(
MEDIAN((IF(DATOS_[[Sexo]:[Sexo]]=$B22,IF(DATOS_[[AGRUP. CLAS. PROF.]:[AGRUP. CLAS. PROF.]]=$B21,IF(DATOS_[[Check Periodo Ref.]:[Check Periodo Ref.]]="Dentro",DATOS_[Conc.Sal.25]))))),
0)</f>
        <v>0</v>
      </c>
      <c r="AE22" s="111">
        <f t="array" ref="AE22">IFERROR(
MEDIAN((IF(DATOS_[[Sexo]:[Sexo]]=$B22,IF(DATOS_[[AGRUP. CLAS. PROF.]:[AGRUP. CLAS. PROF.]]=$B21,IF(DATOS_[[Check Periodo Ref.]:[Check Periodo Ref.]]="Dentro",DATOS_[Conc.Sal.26]))))),
0)</f>
        <v>0</v>
      </c>
      <c r="AF22" s="111">
        <f t="array" ref="AF22">IFERROR(
MEDIAN((IF(DATOS_[[Sexo]:[Sexo]]=$B22,IF(DATOS_[[AGRUP. CLAS. PROF.]:[AGRUP. CLAS. PROF.]]=$B21,IF(DATOS_[[Check Periodo Ref.]:[Check Periodo Ref.]]="Dentro",DATOS_[Conc.Sal.27]))))),
0)</f>
        <v>0</v>
      </c>
      <c r="AG22" s="111">
        <f t="array" ref="AG22">IFERROR(
MEDIAN((IF(DATOS_[[Sexo]:[Sexo]]=$B22,IF(DATOS_[[AGRUP. CLAS. PROF.]:[AGRUP. CLAS. PROF.]]=$B21,IF(DATOS_[[Check Periodo Ref.]:[Check Periodo Ref.]]="Dentro",DATOS_[Conc.Sal.28]))))),
0)</f>
        <v>0</v>
      </c>
      <c r="AH22" s="111">
        <f t="array" ref="AH22">IFERROR(
MEDIAN((IF(DATOS_[[Sexo]:[Sexo]]=$B22,IF(DATOS_[[AGRUP. CLAS. PROF.]:[AGRUP. CLAS. PROF.]]=$B21,IF(DATOS_[[Check Periodo Ref.]:[Check Periodo Ref.]]="Dentro",DATOS_[Conc.Sal.29]))))),
0)</f>
        <v>0</v>
      </c>
      <c r="AI22" s="111">
        <f t="array" ref="AI22">IFERROR(
MEDIAN((IF(DATOS_[[Sexo]:[Sexo]]=$B22,IF(DATOS_[[AGRUP. CLAS. PROF.]:[AGRUP. CLAS. PROF.]]=$B21,IF(DATOS_[[Check Periodo Ref.]:[Check Periodo Ref.]]="Dentro",DATOS_[Conc.Sal.30]))))),
0)</f>
        <v>0</v>
      </c>
      <c r="AJ22" s="112">
        <f t="array" ref="AJ22">IFERROR(
MEDIAN(IF(DATOS_[Sexo]=$B22,IF(DATOS_[AGRUP. CLAS. PROF.]=$B21,IF(DATOS_[Check Periodo Ref.]="Dentro",DATOS_[Tot COMPL.SAL Ef],FALSE)))),
0)</f>
        <v>8471.4448000000011</v>
      </c>
      <c r="AK22" s="113">
        <f t="array" ref="AK22">IFERROR(
MEDIAN(IF(DATOS_[Sexo]=$B22,IF(DATOS_[AGRUP. CLAS. PROF.]=$B21,IF(DATOS_[Check Periodo Ref.]="Dentro",DATOS_[TOTAL SALARIO Ef],FALSE)))),
0)</f>
        <v>23843.864800000003</v>
      </c>
      <c r="AL22" s="114">
        <f t="array" ref="AL22">IFERROR(
MEDIAN((IF(DATOS_[[Sexo]:[Sexo]]=$B22,IF(DATOS_[[AGRUP. CLAS. PROF.]:[AGRUP. CLAS. PROF.]]=$B21,IF(DATOS_[[Check Periodo Ref.]:[Check Periodo Ref.]]="Dentro",DATOS_[C.Extra.01]))))),
0)</f>
        <v>0</v>
      </c>
      <c r="AM22" s="114">
        <f t="array" ref="AM22">IFERROR(
MEDIAN((IF(DATOS_[[Sexo]:[Sexo]]=$B22,IF(DATOS_[[AGRUP. CLAS. PROF.]:[AGRUP. CLAS. PROF.]]=$B21,IF(DATOS_[[Check Periodo Ref.]:[Check Periodo Ref.]]="Dentro",DATOS_[C.Extra.02]))))),
0)</f>
        <v>0</v>
      </c>
      <c r="AN22" s="114">
        <f t="array" ref="AN22">IFERROR(
MEDIAN((IF(DATOS_[[Sexo]:[Sexo]]=$B22,IF(DATOS_[[AGRUP. CLAS. PROF.]:[AGRUP. CLAS. PROF.]]=$B21,IF(DATOS_[[Check Periodo Ref.]:[Check Periodo Ref.]]="Dentro",DATOS_[C.Extra.03]))))),
0)</f>
        <v>0</v>
      </c>
      <c r="AO22" s="114">
        <f t="array" ref="AO22">IFERROR(
MEDIAN((IF(DATOS_[[Sexo]:[Sexo]]=$B22,IF(DATOS_[[AGRUP. CLAS. PROF.]:[AGRUP. CLAS. PROF.]]=$B21,IF(DATOS_[[Check Periodo Ref.]:[Check Periodo Ref.]]="Dentro",DATOS_[C.Extra.04]))))),
0)</f>
        <v>0</v>
      </c>
      <c r="AP22" s="114">
        <f t="array" ref="AP22">IFERROR(
MEDIAN((IF(DATOS_[[Sexo]:[Sexo]]=$B22,IF(DATOS_[[AGRUP. CLAS. PROF.]:[AGRUP. CLAS. PROF.]]=$B21,IF(DATOS_[[Check Periodo Ref.]:[Check Periodo Ref.]]="Dentro",DATOS_[C.Extra.05]))))),
0)</f>
        <v>0</v>
      </c>
      <c r="AQ22" s="115">
        <f t="array" ref="AQ22">IFERROR(
MEDIAN(IF(DATOS_[Sexo]=$B22,IF(DATOS_[AGRUP. CLAS. PROF.]=$B21,IF(DATOS_[Check Periodo Ref.]="Dentro",DATOS_[Tot Extrasalarial Ef],FALSE)))),
0)</f>
        <v>0</v>
      </c>
      <c r="AR22" s="116">
        <f t="array" ref="AR22">IFERROR(
MEDIAN(IF(DATOS_[Sexo]=$B22,IF(DATOS_[AGRUP. CLAS. PROF.]=$B21,IF(DATOS_[Check Periodo Ref.]="Dentro",DATOS_[TOTAL Retrib Ef],FALSE)))),
0)</f>
        <v>23843.864800000003</v>
      </c>
    </row>
    <row r="23" spans="1:44" x14ac:dyDescent="0.3">
      <c r="A23" s="42" t="str">
        <f t="shared" ref="A23" si="14">+A22</f>
        <v/>
      </c>
      <c r="B23" s="34" t="s">
        <v>163</v>
      </c>
      <c r="C23" s="33">
        <f t="array" ref="C23">SUM(IF($B23=DATOS_[Sexo],
IF($B21=DATOS_[AGRUP. CLAS. PROF.],
IF("Dentro"=DATOS_[Check Periodo Ref.],
1/(COUNTIFS(DATOS_[Sexo],$B23,DATOS_[AGRUP. CLAS. PROF.],$B21,DATOS_[Check Periodo Ref.],"Dentro",DATOS_[id],DATOS_[id]))))))</f>
        <v>14</v>
      </c>
      <c r="D23" s="35">
        <f>COUNTIFS(DATOS_[AGRUP. CLAS. PROF.],$B21,DATOS_[Sexo],$B23,DATOS_[Check Periodo Ref.],"Dentro")</f>
        <v>14</v>
      </c>
      <c r="E23" s="110">
        <f t="array" ref="E23">IFERROR(
MEDIAN(IF(DATOS_[Sexo]=$B23,IF(DATOS_[AGRUP. CLAS. PROF.]=$B21,IF(DATOS_[Check Periodo Ref.]="Dentro",DATOS_[SALARIO BASE Ef],FALSE)))),
0)</f>
        <v>15372.42</v>
      </c>
      <c r="F23" s="111">
        <f t="array" ref="F23">IFERROR(
MEDIAN((IF(DATOS_[[Sexo]:[Sexo]]=$B23,IF(DATOS_[[AGRUP. CLAS. PROF.]:[AGRUP. CLAS. PROF.]]=$B21,IF(DATOS_[[Check Periodo Ref.]:[Check Periodo Ref.]]="Dentro",DATOS_[Conc.Sal.01]))))),
0)</f>
        <v>1627.58</v>
      </c>
      <c r="G23" s="111">
        <f t="array" ref="G23">IFERROR(
MEDIAN((IF(DATOS_[[Sexo]:[Sexo]]=$B23,IF(DATOS_[[AGRUP. CLAS. PROF.]:[AGRUP. CLAS. PROF.]]=$B21,IF(DATOS_[[Check Periodo Ref.]:[Check Periodo Ref.]]="Dentro",DATOS_[Conc.Sal.02]))))),
0)</f>
        <v>1229.7936</v>
      </c>
      <c r="H23" s="111">
        <f t="array" ref="H23">IFERROR(
MEDIAN((IF(DATOS_[[Sexo]:[Sexo]]=$B23,IF(DATOS_[[AGRUP. CLAS. PROF.]:[AGRUP. CLAS. PROF.]]=$B21,IF(DATOS_[[Check Periodo Ref.]:[Check Periodo Ref.]]="Dentro",DATOS_[Conc.Sal.03]))))),
0)</f>
        <v>0</v>
      </c>
      <c r="I23" s="111">
        <f t="array" ref="I23">IFERROR(
MEDIAN((IF(DATOS_[[Sexo]:[Sexo]]=$B23,IF(DATOS_[[AGRUP. CLAS. PROF.]:[AGRUP. CLAS. PROF.]]=$B21,IF(DATOS_[[Check Periodo Ref.]:[Check Periodo Ref.]]="Dentro",DATOS_[Conc.Sal.04]))))),
0)</f>
        <v>0</v>
      </c>
      <c r="J23" s="111">
        <f t="array" ref="J23">IFERROR(
MEDIAN((IF(DATOS_[[Sexo]:[Sexo]]=$B23,IF(DATOS_[[AGRUP. CLAS. PROF.]:[AGRUP. CLAS. PROF.]]=$B21,IF(DATOS_[[Check Periodo Ref.]:[Check Periodo Ref.]]="Dentro",DATOS_[Conc.Sal.05]))))),
0)</f>
        <v>0</v>
      </c>
      <c r="K23" s="111">
        <f t="array" ref="K23">IFERROR(
MEDIAN((IF(DATOS_[[Sexo]:[Sexo]]=$B23,IF(DATOS_[[AGRUP. CLAS. PROF.]:[AGRUP. CLAS. PROF.]]=$B21,IF(DATOS_[[Check Periodo Ref.]:[Check Periodo Ref.]]="Dentro",DATOS_[Conc.Sal.06]))))),
0)</f>
        <v>0</v>
      </c>
      <c r="L23" s="111">
        <f t="array" ref="L23">IFERROR(
MEDIAN((IF(DATOS_[[Sexo]:[Sexo]]=$B23,IF(DATOS_[[AGRUP. CLAS. PROF.]:[AGRUP. CLAS. PROF.]]=$B21,IF(DATOS_[[Check Periodo Ref.]:[Check Periodo Ref.]]="Dentro",DATOS_[Conc.Sal.07]))))),
0)</f>
        <v>80</v>
      </c>
      <c r="M23" s="111">
        <f t="array" ref="M23">IFERROR(
MEDIAN((IF(DATOS_[[Sexo]:[Sexo]]=$B23,IF(DATOS_[[AGRUP. CLAS. PROF.]:[AGRUP. CLAS. PROF.]]=$B21,IF(DATOS_[[Check Periodo Ref.]:[Check Periodo Ref.]]="Dentro",DATOS_[Conc.Sal.08]))))),
0)</f>
        <v>0</v>
      </c>
      <c r="N23" s="111">
        <f t="array" ref="N23">IFERROR(
MEDIAN((IF(DATOS_[[Sexo]:[Sexo]]=$B23,IF(DATOS_[[AGRUP. CLAS. PROF.]:[AGRUP. CLAS. PROF.]]=$B21,IF(DATOS_[[Check Periodo Ref.]:[Check Periodo Ref.]]="Dentro",DATOS_[Conc.Sal.09]))))),
0)</f>
        <v>0</v>
      </c>
      <c r="O23" s="111">
        <f t="array" ref="O23">IFERROR(
MEDIAN((IF(DATOS_[[Sexo]:[Sexo]]=$B23,IF(DATOS_[[AGRUP. CLAS. PROF.]:[AGRUP. CLAS. PROF.]]=$B21,IF(DATOS_[[Check Periodo Ref.]:[Check Periodo Ref.]]="Dentro",DATOS_[Conc.Sal.10]))))),
0)</f>
        <v>0</v>
      </c>
      <c r="P23" s="111">
        <f t="array" ref="P23">IFERROR(
MEDIAN((IF(DATOS_[[Sexo]:[Sexo]]=$B23,IF(DATOS_[[AGRUP. CLAS. PROF.]:[AGRUP. CLAS. PROF.]]=$B21,IF(DATOS_[[Check Periodo Ref.]:[Check Periodo Ref.]]="Dentro",DATOS_[Conc.Sal.11]))))),
0)</f>
        <v>0</v>
      </c>
      <c r="Q23" s="111">
        <f t="array" ref="Q23">IFERROR(
MEDIAN((IF(DATOS_[[Sexo]:[Sexo]]=$B23,IF(DATOS_[[AGRUP. CLAS. PROF.]:[AGRUP. CLAS. PROF.]]=$B21,IF(DATOS_[[Check Periodo Ref.]:[Check Periodo Ref.]]="Dentro",DATOS_[Conc.Sal.12]))))),
0)</f>
        <v>0</v>
      </c>
      <c r="R23" s="111">
        <f t="array" ref="R23">IFERROR(
MEDIAN((IF(DATOS_[[Sexo]:[Sexo]]=$B23,IF(DATOS_[[AGRUP. CLAS. PROF.]:[AGRUP. CLAS. PROF.]]=$B21,IF(DATOS_[[Check Periodo Ref.]:[Check Periodo Ref.]]="Dentro",DATOS_[Conc.Sal.13]))))),
0)</f>
        <v>0</v>
      </c>
      <c r="S23" s="111">
        <f t="array" ref="S23">IFERROR(
MEDIAN((IF(DATOS_[[Sexo]:[Sexo]]=$B23,IF(DATOS_[[AGRUP. CLAS. PROF.]:[AGRUP. CLAS. PROF.]]=$B21,IF(DATOS_[[Check Periodo Ref.]:[Check Periodo Ref.]]="Dentro",DATOS_[Conc.Sal.14]))))),
0)</f>
        <v>0</v>
      </c>
      <c r="T23" s="111">
        <f t="array" ref="T23">IFERROR(
MEDIAN((IF(DATOS_[[Sexo]:[Sexo]]=$B23,IF(DATOS_[[AGRUP. CLAS. PROF.]:[AGRUP. CLAS. PROF.]]=$B21,IF(DATOS_[[Check Periodo Ref.]:[Check Periodo Ref.]]="Dentro",DATOS_[Conc.Sal.15]))))),
0)</f>
        <v>0</v>
      </c>
      <c r="U23" s="111">
        <f t="array" ref="U23">IFERROR(
MEDIAN((IF(DATOS_[[Sexo]:[Sexo]]=$B23,IF(DATOS_[[AGRUP. CLAS. PROF.]:[AGRUP. CLAS. PROF.]]=$B21,IF(DATOS_[[Check Periodo Ref.]:[Check Periodo Ref.]]="Dentro",DATOS_[Conc.Sal.16]))))),
0)</f>
        <v>0</v>
      </c>
      <c r="V23" s="111">
        <f t="array" ref="V23">IFERROR(
MEDIAN((IF(DATOS_[[Sexo]:[Sexo]]=$B23,IF(DATOS_[[AGRUP. CLAS. PROF.]:[AGRUP. CLAS. PROF.]]=$B21,IF(DATOS_[[Check Periodo Ref.]:[Check Periodo Ref.]]="Dentro",DATOS_[Conc.Sal.17]))))),
0)</f>
        <v>0</v>
      </c>
      <c r="W23" s="111">
        <f t="array" ref="W23">IFERROR(
MEDIAN((IF(DATOS_[[Sexo]:[Sexo]]=$B23,IF(DATOS_[[AGRUP. CLAS. PROF.]:[AGRUP. CLAS. PROF.]]=$B21,IF(DATOS_[[Check Periodo Ref.]:[Check Periodo Ref.]]="Dentro",DATOS_[Conc.Sal.18]))))),
0)</f>
        <v>0</v>
      </c>
      <c r="X23" s="111">
        <f t="array" ref="X23">IFERROR(
MEDIAN((IF(DATOS_[[Sexo]:[Sexo]]=$B23,IF(DATOS_[[AGRUP. CLAS. PROF.]:[AGRUP. CLAS. PROF.]]=$B21,IF(DATOS_[[Check Periodo Ref.]:[Check Periodo Ref.]]="Dentro",DATOS_[Conc.Sal.19]))))),
0)</f>
        <v>0</v>
      </c>
      <c r="Y23" s="111">
        <f t="array" ref="Y23">IFERROR(
MEDIAN((IF(DATOS_[[Sexo]:[Sexo]]=$B23,IF(DATOS_[[AGRUP. CLAS. PROF.]:[AGRUP. CLAS. PROF.]]=$B21,IF(DATOS_[[Check Periodo Ref.]:[Check Periodo Ref.]]="Dentro",DATOS_[Conc.Sal.20]))))),
0)</f>
        <v>0</v>
      </c>
      <c r="Z23" s="111">
        <f t="array" ref="Z23">IFERROR(
MEDIAN((IF(DATOS_[[Sexo]:[Sexo]]=$B23,IF(DATOS_[[AGRUP. CLAS. PROF.]:[AGRUP. CLAS. PROF.]]=$B21,IF(DATOS_[[Check Periodo Ref.]:[Check Periodo Ref.]]="Dentro",DATOS_[Conc.Sal.21]))))),
0)</f>
        <v>0</v>
      </c>
      <c r="AA23" s="111">
        <f t="array" ref="AA23">IFERROR(
MEDIAN((IF(DATOS_[[Sexo]:[Sexo]]=$B23,IF(DATOS_[[AGRUP. CLAS. PROF.]:[AGRUP. CLAS. PROF.]]=$B21,IF(DATOS_[[Check Periodo Ref.]:[Check Periodo Ref.]]="Dentro",DATOS_[Conc.Sal.22]))))),
0)</f>
        <v>0</v>
      </c>
      <c r="AB23" s="111">
        <f t="array" ref="AB23">IFERROR(
MEDIAN((IF(DATOS_[[Sexo]:[Sexo]]=$B23,IF(DATOS_[[AGRUP. CLAS. PROF.]:[AGRUP. CLAS. PROF.]]=$B21,IF(DATOS_[[Check Periodo Ref.]:[Check Periodo Ref.]]="Dentro",DATOS_[Conc.Sal.23]))))),
0)</f>
        <v>0</v>
      </c>
      <c r="AC23" s="111">
        <f t="array" ref="AC23">IFERROR(
MEDIAN((IF(DATOS_[[Sexo]:[Sexo]]=$B23,IF(DATOS_[[AGRUP. CLAS. PROF.]:[AGRUP. CLAS. PROF.]]=$B21,IF(DATOS_[[Check Periodo Ref.]:[Check Periodo Ref.]]="Dentro",DATOS_[Conc.Sal.24]))))),
0)</f>
        <v>0</v>
      </c>
      <c r="AD23" s="111">
        <f t="array" ref="AD23">IFERROR(
MEDIAN((IF(DATOS_[[Sexo]:[Sexo]]=$B23,IF(DATOS_[[AGRUP. CLAS. PROF.]:[AGRUP. CLAS. PROF.]]=$B21,IF(DATOS_[[Check Periodo Ref.]:[Check Periodo Ref.]]="Dentro",DATOS_[Conc.Sal.25]))))),
0)</f>
        <v>0</v>
      </c>
      <c r="AE23" s="111">
        <f t="array" ref="AE23">IFERROR(
MEDIAN((IF(DATOS_[[Sexo]:[Sexo]]=$B23,IF(DATOS_[[AGRUP. CLAS. PROF.]:[AGRUP. CLAS. PROF.]]=$B21,IF(DATOS_[[Check Periodo Ref.]:[Check Periodo Ref.]]="Dentro",DATOS_[Conc.Sal.26]))))),
0)</f>
        <v>0</v>
      </c>
      <c r="AF23" s="111">
        <f t="array" ref="AF23">IFERROR(
MEDIAN((IF(DATOS_[[Sexo]:[Sexo]]=$B23,IF(DATOS_[[AGRUP. CLAS. PROF.]:[AGRUP. CLAS. PROF.]]=$B21,IF(DATOS_[[Check Periodo Ref.]:[Check Periodo Ref.]]="Dentro",DATOS_[Conc.Sal.27]))))),
0)</f>
        <v>0</v>
      </c>
      <c r="AG23" s="111">
        <f t="array" ref="AG23">IFERROR(
MEDIAN((IF(DATOS_[[Sexo]:[Sexo]]=$B23,IF(DATOS_[[AGRUP. CLAS. PROF.]:[AGRUP. CLAS. PROF.]]=$B21,IF(DATOS_[[Check Periodo Ref.]:[Check Periodo Ref.]]="Dentro",DATOS_[Conc.Sal.28]))))),
0)</f>
        <v>0</v>
      </c>
      <c r="AH23" s="111">
        <f t="array" ref="AH23">IFERROR(
MEDIAN((IF(DATOS_[[Sexo]:[Sexo]]=$B23,IF(DATOS_[[AGRUP. CLAS. PROF.]:[AGRUP. CLAS. PROF.]]=$B21,IF(DATOS_[[Check Periodo Ref.]:[Check Periodo Ref.]]="Dentro",DATOS_[Conc.Sal.29]))))),
0)</f>
        <v>0</v>
      </c>
      <c r="AI23" s="111">
        <f t="array" ref="AI23">IFERROR(
MEDIAN((IF(DATOS_[[Sexo]:[Sexo]]=$B23,IF(DATOS_[[AGRUP. CLAS. PROF.]:[AGRUP. CLAS. PROF.]]=$B21,IF(DATOS_[[Check Periodo Ref.]:[Check Periodo Ref.]]="Dentro",DATOS_[Conc.Sal.30]))))),
0)</f>
        <v>0</v>
      </c>
      <c r="AJ23" s="112">
        <f t="array" ref="AJ23">IFERROR(
MEDIAN(IF(DATOS_[Sexo]=$B23,IF(DATOS_[AGRUP. CLAS. PROF.]=$B21,IF(DATOS_[Check Periodo Ref.]="Dentro",DATOS_[Tot COMPL.SAL Ef],FALSE)))),
0)</f>
        <v>2937.3735999999999</v>
      </c>
      <c r="AK23" s="113">
        <f t="array" ref="AK23">IFERROR(
MEDIAN(IF(DATOS_[Sexo]=$B23,IF(DATOS_[AGRUP. CLAS. PROF.]=$B21,IF(DATOS_[Check Periodo Ref.]="Dentro",DATOS_[TOTAL SALARIO Ef],FALSE)))),
0)</f>
        <v>18002.3452</v>
      </c>
      <c r="AL23" s="114">
        <f t="array" ref="AL23">IFERROR(
MEDIAN((IF(DATOS_[[Sexo]:[Sexo]]=$B23,IF(DATOS_[[AGRUP. CLAS. PROF.]:[AGRUP. CLAS. PROF.]]=$B21,IF(DATOS_[[Check Periodo Ref.]:[Check Periodo Ref.]]="Dentro",DATOS_[C.Extra.01]))))),
0)</f>
        <v>0</v>
      </c>
      <c r="AM23" s="114">
        <f t="array" ref="AM23">IFERROR(
MEDIAN((IF(DATOS_[[Sexo]:[Sexo]]=$B23,IF(DATOS_[[AGRUP. CLAS. PROF.]:[AGRUP. CLAS. PROF.]]=$B21,IF(DATOS_[[Check Periodo Ref.]:[Check Periodo Ref.]]="Dentro",DATOS_[C.Extra.02]))))),
0)</f>
        <v>0</v>
      </c>
      <c r="AN23" s="114">
        <f t="array" ref="AN23">IFERROR(
MEDIAN((IF(DATOS_[[Sexo]:[Sexo]]=$B23,IF(DATOS_[[AGRUP. CLAS. PROF.]:[AGRUP. CLAS. PROF.]]=$B21,IF(DATOS_[[Check Periodo Ref.]:[Check Periodo Ref.]]="Dentro",DATOS_[C.Extra.03]))))),
0)</f>
        <v>0</v>
      </c>
      <c r="AO23" s="114">
        <f t="array" ref="AO23">IFERROR(
MEDIAN((IF(DATOS_[[Sexo]:[Sexo]]=$B23,IF(DATOS_[[AGRUP. CLAS. PROF.]:[AGRUP. CLAS. PROF.]]=$B21,IF(DATOS_[[Check Periodo Ref.]:[Check Periodo Ref.]]="Dentro",DATOS_[C.Extra.04]))))),
0)</f>
        <v>0</v>
      </c>
      <c r="AP23" s="114">
        <f t="array" ref="AP23">IFERROR(
MEDIAN((IF(DATOS_[[Sexo]:[Sexo]]=$B23,IF(DATOS_[[AGRUP. CLAS. PROF.]:[AGRUP. CLAS. PROF.]]=$B21,IF(DATOS_[[Check Periodo Ref.]:[Check Periodo Ref.]]="Dentro",DATOS_[C.Extra.05]))))),
0)</f>
        <v>0</v>
      </c>
      <c r="AQ23" s="115">
        <f t="array" ref="AQ23">IFERROR(
MEDIAN(IF(DATOS_[Sexo]=$B23,IF(DATOS_[AGRUP. CLAS. PROF.]=$B21,IF(DATOS_[Check Periodo Ref.]="Dentro",DATOS_[Tot Extrasalarial Ef],FALSE)))),
0)</f>
        <v>0</v>
      </c>
      <c r="AR23" s="116">
        <f t="array" ref="AR23">IFERROR(
MEDIAN(IF(DATOS_[Sexo]=$B23,IF(DATOS_[AGRUP. CLAS. PROF.]=$B21,IF(DATOS_[Check Periodo Ref.]="Dentro",DATOS_[TOTAL Retrib Ef],FALSE)))),
0)</f>
        <v>18002.3452</v>
      </c>
    </row>
    <row r="24" spans="1:44" ht="17.25" thickBot="1" x14ac:dyDescent="0.35">
      <c r="A24" s="42" t="str">
        <f t="shared" ref="A24" si="15">+A25</f>
        <v/>
      </c>
      <c r="B24" s="40" t="s">
        <v>301</v>
      </c>
      <c r="C24" s="109"/>
      <c r="D24" s="41"/>
      <c r="E24" s="119">
        <f t="shared" ref="E24:AR24" si="16">IFERROR((E25-E26)/E25,"")</f>
        <v>0</v>
      </c>
      <c r="F24" s="123">
        <f t="shared" si="16"/>
        <v>0</v>
      </c>
      <c r="G24" s="123">
        <f t="shared" si="16"/>
        <v>0.33333333333333326</v>
      </c>
      <c r="H24" s="123">
        <f t="shared" si="16"/>
        <v>0</v>
      </c>
      <c r="I24" s="123" t="str">
        <f t="shared" si="16"/>
        <v/>
      </c>
      <c r="J24" s="123" t="str">
        <f t="shared" si="16"/>
        <v/>
      </c>
      <c r="K24" s="123" t="str">
        <f t="shared" si="16"/>
        <v/>
      </c>
      <c r="L24" s="123">
        <f t="shared" si="16"/>
        <v>0</v>
      </c>
      <c r="M24" s="123" t="str">
        <f t="shared" si="16"/>
        <v/>
      </c>
      <c r="N24" s="123" t="str">
        <f t="shared" si="16"/>
        <v/>
      </c>
      <c r="O24" s="123" t="str">
        <f t="shared" si="16"/>
        <v/>
      </c>
      <c r="P24" s="123" t="str">
        <f t="shared" si="16"/>
        <v/>
      </c>
      <c r="Q24" s="123" t="str">
        <f t="shared" si="16"/>
        <v/>
      </c>
      <c r="R24" s="123" t="str">
        <f t="shared" si="16"/>
        <v/>
      </c>
      <c r="S24" s="123" t="str">
        <f t="shared" si="16"/>
        <v/>
      </c>
      <c r="T24" s="123" t="str">
        <f t="shared" si="16"/>
        <v/>
      </c>
      <c r="U24" s="123" t="str">
        <f t="shared" si="16"/>
        <v/>
      </c>
      <c r="V24" s="122" t="str">
        <f t="shared" si="16"/>
        <v/>
      </c>
      <c r="W24" s="122" t="str">
        <f t="shared" si="16"/>
        <v/>
      </c>
      <c r="X24" s="122" t="str">
        <f t="shared" si="16"/>
        <v/>
      </c>
      <c r="Y24" s="122" t="str">
        <f t="shared" si="16"/>
        <v/>
      </c>
      <c r="Z24" s="122" t="str">
        <f t="shared" si="16"/>
        <v/>
      </c>
      <c r="AA24" s="122" t="str">
        <f t="shared" si="16"/>
        <v/>
      </c>
      <c r="AB24" s="122" t="str">
        <f t="shared" si="16"/>
        <v/>
      </c>
      <c r="AC24" s="122" t="str">
        <f t="shared" si="16"/>
        <v/>
      </c>
      <c r="AD24" s="122" t="str">
        <f t="shared" si="16"/>
        <v/>
      </c>
      <c r="AE24" s="122" t="str">
        <f t="shared" si="16"/>
        <v/>
      </c>
      <c r="AF24" s="122" t="str">
        <f t="shared" si="16"/>
        <v/>
      </c>
      <c r="AG24" s="122" t="str">
        <f t="shared" si="16"/>
        <v/>
      </c>
      <c r="AH24" s="122" t="str">
        <f t="shared" si="16"/>
        <v/>
      </c>
      <c r="AI24" s="122" t="str">
        <f t="shared" si="16"/>
        <v/>
      </c>
      <c r="AJ24" s="124">
        <f t="shared" si="16"/>
        <v>0.2221083726266791</v>
      </c>
      <c r="AK24" s="128">
        <f t="shared" si="16"/>
        <v>3.7901200971796757E-2</v>
      </c>
      <c r="AL24" s="125" t="str">
        <f t="shared" si="16"/>
        <v/>
      </c>
      <c r="AM24" s="125" t="str">
        <f t="shared" si="16"/>
        <v/>
      </c>
      <c r="AN24" s="125" t="str">
        <f t="shared" si="16"/>
        <v/>
      </c>
      <c r="AO24" s="125" t="str">
        <f t="shared" si="16"/>
        <v/>
      </c>
      <c r="AP24" s="125" t="str">
        <f t="shared" si="16"/>
        <v/>
      </c>
      <c r="AQ24" s="126" t="str">
        <f t="shared" si="16"/>
        <v/>
      </c>
      <c r="AR24" s="127">
        <f t="shared" si="16"/>
        <v>3.7901200971796757E-2</v>
      </c>
    </row>
    <row r="25" spans="1:44" x14ac:dyDescent="0.3">
      <c r="A25" s="42" t="str">
        <f t="shared" ref="A25" si="17">+IF(C25+C26=0,"[ocultar]","")</f>
        <v/>
      </c>
      <c r="B25" s="34" t="s">
        <v>162</v>
      </c>
      <c r="C25" s="33">
        <f t="array" ref="C25">SUM(IF($B25=DATOS_[Sexo],
IF($B24=DATOS_[AGRUP. CLAS. PROF.],
IF("Dentro"=DATOS_[Check Periodo Ref.],
1/(COUNTIFS(DATOS_[Sexo],$B25,DATOS_[AGRUP. CLAS. PROF.],$B24,DATOS_[Check Periodo Ref.],"Dentro",DATOS_[id],DATOS_[id]))))))</f>
        <v>16</v>
      </c>
      <c r="D25" s="35">
        <f>COUNTIFS(DATOS_[AGRUP. CLAS. PROF.],$B24,DATOS_[Sexo],$B25,DATOS_[Check Periodo Ref.],"Dentro")</f>
        <v>17</v>
      </c>
      <c r="E25" s="110">
        <f t="array" ref="E25">IFERROR(
MEDIAN(IF(DATOS_[Sexo]=$B25,IF(DATOS_[AGRUP. CLAS. PROF.]=$B24,IF(DATOS_[Check Periodo Ref.]="Dentro",DATOS_[SALARIO BASE Ef],FALSE)))),
0)</f>
        <v>14036.34</v>
      </c>
      <c r="F25" s="111">
        <f t="array" ref="F25">IFERROR(
MEDIAN((IF(DATOS_[[Sexo]:[Sexo]]=$B25,IF(DATOS_[[AGRUP. CLAS. PROF.]:[AGRUP. CLAS. PROF.]]=$B24,IF(DATOS_[[Check Periodo Ref.]:[Check Periodo Ref.]]="Dentro",DATOS_[Conc.Sal.01]))))),
0)</f>
        <v>163.65999999999985</v>
      </c>
      <c r="G25" s="111">
        <f t="array" ref="G25">IFERROR(
MEDIAN((IF(DATOS_[[Sexo]:[Sexo]]=$B25,IF(DATOS_[[AGRUP. CLAS. PROF.]:[AGRUP. CLAS. PROF.]]=$B24,IF(DATOS_[[Check Periodo Ref.]:[Check Periodo Ref.]]="Dentro",DATOS_[Conc.Sal.02]))))),
0)</f>
        <v>1684.3607999999999</v>
      </c>
      <c r="H25" s="111">
        <f t="array" ref="H25">IFERROR(
MEDIAN((IF(DATOS_[[Sexo]:[Sexo]]=$B25,IF(DATOS_[[AGRUP. CLAS. PROF.]:[AGRUP. CLAS. PROF.]]=$B24,IF(DATOS_[[Check Periodo Ref.]:[Check Periodo Ref.]]="Dentro",DATOS_[Conc.Sal.03]))))),
0)</f>
        <v>960</v>
      </c>
      <c r="I25" s="111">
        <f t="array" ref="I25">IFERROR(
MEDIAN((IF(DATOS_[[Sexo]:[Sexo]]=$B25,IF(DATOS_[[AGRUP. CLAS. PROF.]:[AGRUP. CLAS. PROF.]]=$B24,IF(DATOS_[[Check Periodo Ref.]:[Check Periodo Ref.]]="Dentro",DATOS_[Conc.Sal.04]))))),
0)</f>
        <v>0</v>
      </c>
      <c r="J25" s="111">
        <f t="array" ref="J25">IFERROR(
MEDIAN((IF(DATOS_[[Sexo]:[Sexo]]=$B25,IF(DATOS_[[AGRUP. CLAS. PROF.]:[AGRUP. CLAS. PROF.]]=$B24,IF(DATOS_[[Check Periodo Ref.]:[Check Periodo Ref.]]="Dentro",DATOS_[Conc.Sal.05]))))),
0)</f>
        <v>0</v>
      </c>
      <c r="K25" s="111">
        <f t="array" ref="K25">IFERROR(
MEDIAN((IF(DATOS_[[Sexo]:[Sexo]]=$B25,IF(DATOS_[[AGRUP. CLAS. PROF.]:[AGRUP. CLAS. PROF.]]=$B24,IF(DATOS_[[Check Periodo Ref.]:[Check Periodo Ref.]]="Dentro",DATOS_[Conc.Sal.06]))))),
0)</f>
        <v>0</v>
      </c>
      <c r="L25" s="111">
        <f t="array" ref="L25">IFERROR(
MEDIAN((IF(DATOS_[[Sexo]:[Sexo]]=$B25,IF(DATOS_[[AGRUP. CLAS. PROF.]:[AGRUP. CLAS. PROF.]]=$B24,IF(DATOS_[[Check Periodo Ref.]:[Check Periodo Ref.]]="Dentro",DATOS_[Conc.Sal.07]))))),
0)</f>
        <v>80</v>
      </c>
      <c r="M25" s="111">
        <f t="array" ref="M25">IFERROR(
MEDIAN((IF(DATOS_[[Sexo]:[Sexo]]=$B25,IF(DATOS_[[AGRUP. CLAS. PROF.]:[AGRUP. CLAS. PROF.]]=$B24,IF(DATOS_[[Check Periodo Ref.]:[Check Periodo Ref.]]="Dentro",DATOS_[Conc.Sal.08]))))),
0)</f>
        <v>0</v>
      </c>
      <c r="N25" s="111">
        <f t="array" ref="N25">IFERROR(
MEDIAN((IF(DATOS_[[Sexo]:[Sexo]]=$B25,IF(DATOS_[[AGRUP. CLAS. PROF.]:[AGRUP. CLAS. PROF.]]=$B24,IF(DATOS_[[Check Periodo Ref.]:[Check Periodo Ref.]]="Dentro",DATOS_[Conc.Sal.09]))))),
0)</f>
        <v>0</v>
      </c>
      <c r="O25" s="111">
        <f t="array" ref="O25">IFERROR(
MEDIAN((IF(DATOS_[[Sexo]:[Sexo]]=$B25,IF(DATOS_[[AGRUP. CLAS. PROF.]:[AGRUP. CLAS. PROF.]]=$B24,IF(DATOS_[[Check Periodo Ref.]:[Check Periodo Ref.]]="Dentro",DATOS_[Conc.Sal.10]))))),
0)</f>
        <v>0</v>
      </c>
      <c r="P25" s="111">
        <f t="array" ref="P25">IFERROR(
MEDIAN((IF(DATOS_[[Sexo]:[Sexo]]=$B25,IF(DATOS_[[AGRUP. CLAS. PROF.]:[AGRUP. CLAS. PROF.]]=$B24,IF(DATOS_[[Check Periodo Ref.]:[Check Periodo Ref.]]="Dentro",DATOS_[Conc.Sal.11]))))),
0)</f>
        <v>0</v>
      </c>
      <c r="Q25" s="111">
        <f t="array" ref="Q25">IFERROR(
MEDIAN((IF(DATOS_[[Sexo]:[Sexo]]=$B25,IF(DATOS_[[AGRUP. CLAS. PROF.]:[AGRUP. CLAS. PROF.]]=$B24,IF(DATOS_[[Check Periodo Ref.]:[Check Periodo Ref.]]="Dentro",DATOS_[Conc.Sal.12]))))),
0)</f>
        <v>0</v>
      </c>
      <c r="R25" s="111">
        <f t="array" ref="R25">IFERROR(
MEDIAN((IF(DATOS_[[Sexo]:[Sexo]]=$B25,IF(DATOS_[[AGRUP. CLAS. PROF.]:[AGRUP. CLAS. PROF.]]=$B24,IF(DATOS_[[Check Periodo Ref.]:[Check Periodo Ref.]]="Dentro",DATOS_[Conc.Sal.13]))))),
0)</f>
        <v>0</v>
      </c>
      <c r="S25" s="111">
        <f t="array" ref="S25">IFERROR(
MEDIAN((IF(DATOS_[[Sexo]:[Sexo]]=$B25,IF(DATOS_[[AGRUP. CLAS. PROF.]:[AGRUP. CLAS. PROF.]]=$B24,IF(DATOS_[[Check Periodo Ref.]:[Check Periodo Ref.]]="Dentro",DATOS_[Conc.Sal.14]))))),
0)</f>
        <v>0</v>
      </c>
      <c r="T25" s="111">
        <f t="array" ref="T25">IFERROR(
MEDIAN((IF(DATOS_[[Sexo]:[Sexo]]=$B25,IF(DATOS_[[AGRUP. CLAS. PROF.]:[AGRUP. CLAS. PROF.]]=$B24,IF(DATOS_[[Check Periodo Ref.]:[Check Periodo Ref.]]="Dentro",DATOS_[Conc.Sal.15]))))),
0)</f>
        <v>0</v>
      </c>
      <c r="U25" s="111">
        <f t="array" ref="U25">IFERROR(
MEDIAN((IF(DATOS_[[Sexo]:[Sexo]]=$B25,IF(DATOS_[[AGRUP. CLAS. PROF.]:[AGRUP. CLAS. PROF.]]=$B24,IF(DATOS_[[Check Periodo Ref.]:[Check Periodo Ref.]]="Dentro",DATOS_[Conc.Sal.16]))))),
0)</f>
        <v>0</v>
      </c>
      <c r="V25" s="111">
        <f t="array" ref="V25">IFERROR(
MEDIAN((IF(DATOS_[[Sexo]:[Sexo]]=$B25,IF(DATOS_[[AGRUP. CLAS. PROF.]:[AGRUP. CLAS. PROF.]]=$B24,IF(DATOS_[[Check Periodo Ref.]:[Check Periodo Ref.]]="Dentro",DATOS_[Conc.Sal.17]))))),
0)</f>
        <v>0</v>
      </c>
      <c r="W25" s="111">
        <f t="array" ref="W25">IFERROR(
MEDIAN((IF(DATOS_[[Sexo]:[Sexo]]=$B25,IF(DATOS_[[AGRUP. CLAS. PROF.]:[AGRUP. CLAS. PROF.]]=$B24,IF(DATOS_[[Check Periodo Ref.]:[Check Periodo Ref.]]="Dentro",DATOS_[Conc.Sal.18]))))),
0)</f>
        <v>0</v>
      </c>
      <c r="X25" s="111">
        <f t="array" ref="X25">IFERROR(
MEDIAN((IF(DATOS_[[Sexo]:[Sexo]]=$B25,IF(DATOS_[[AGRUP. CLAS. PROF.]:[AGRUP. CLAS. PROF.]]=$B24,IF(DATOS_[[Check Periodo Ref.]:[Check Periodo Ref.]]="Dentro",DATOS_[Conc.Sal.19]))))),
0)</f>
        <v>0</v>
      </c>
      <c r="Y25" s="111">
        <f t="array" ref="Y25">IFERROR(
MEDIAN((IF(DATOS_[[Sexo]:[Sexo]]=$B25,IF(DATOS_[[AGRUP. CLAS. PROF.]:[AGRUP. CLAS. PROF.]]=$B24,IF(DATOS_[[Check Periodo Ref.]:[Check Periodo Ref.]]="Dentro",DATOS_[Conc.Sal.20]))))),
0)</f>
        <v>0</v>
      </c>
      <c r="Z25" s="111">
        <f t="array" ref="Z25">IFERROR(
MEDIAN((IF(DATOS_[[Sexo]:[Sexo]]=$B25,IF(DATOS_[[AGRUP. CLAS. PROF.]:[AGRUP. CLAS. PROF.]]=$B24,IF(DATOS_[[Check Periodo Ref.]:[Check Periodo Ref.]]="Dentro",DATOS_[Conc.Sal.21]))))),
0)</f>
        <v>0</v>
      </c>
      <c r="AA25" s="111">
        <f t="array" ref="AA25">IFERROR(
MEDIAN((IF(DATOS_[[Sexo]:[Sexo]]=$B25,IF(DATOS_[[AGRUP. CLAS. PROF.]:[AGRUP. CLAS. PROF.]]=$B24,IF(DATOS_[[Check Periodo Ref.]:[Check Periodo Ref.]]="Dentro",DATOS_[Conc.Sal.22]))))),
0)</f>
        <v>0</v>
      </c>
      <c r="AB25" s="111">
        <f t="array" ref="AB25">IFERROR(
MEDIAN((IF(DATOS_[[Sexo]:[Sexo]]=$B25,IF(DATOS_[[AGRUP. CLAS. PROF.]:[AGRUP. CLAS. PROF.]]=$B24,IF(DATOS_[[Check Periodo Ref.]:[Check Periodo Ref.]]="Dentro",DATOS_[Conc.Sal.23]))))),
0)</f>
        <v>0</v>
      </c>
      <c r="AC25" s="111">
        <f t="array" ref="AC25">IFERROR(
MEDIAN((IF(DATOS_[[Sexo]:[Sexo]]=$B25,IF(DATOS_[[AGRUP. CLAS. PROF.]:[AGRUP. CLAS. PROF.]]=$B24,IF(DATOS_[[Check Periodo Ref.]:[Check Periodo Ref.]]="Dentro",DATOS_[Conc.Sal.24]))))),
0)</f>
        <v>0</v>
      </c>
      <c r="AD25" s="111">
        <f t="array" ref="AD25">IFERROR(
MEDIAN((IF(DATOS_[[Sexo]:[Sexo]]=$B25,IF(DATOS_[[AGRUP. CLAS. PROF.]:[AGRUP. CLAS. PROF.]]=$B24,IF(DATOS_[[Check Periodo Ref.]:[Check Periodo Ref.]]="Dentro",DATOS_[Conc.Sal.25]))))),
0)</f>
        <v>0</v>
      </c>
      <c r="AE25" s="111">
        <f t="array" ref="AE25">IFERROR(
MEDIAN((IF(DATOS_[[Sexo]:[Sexo]]=$B25,IF(DATOS_[[AGRUP. CLAS. PROF.]:[AGRUP. CLAS. PROF.]]=$B24,IF(DATOS_[[Check Periodo Ref.]:[Check Periodo Ref.]]="Dentro",DATOS_[Conc.Sal.26]))))),
0)</f>
        <v>0</v>
      </c>
      <c r="AF25" s="111">
        <f t="array" ref="AF25">IFERROR(
MEDIAN((IF(DATOS_[[Sexo]:[Sexo]]=$B25,IF(DATOS_[[AGRUP. CLAS. PROF.]:[AGRUP. CLAS. PROF.]]=$B24,IF(DATOS_[[Check Periodo Ref.]:[Check Periodo Ref.]]="Dentro",DATOS_[Conc.Sal.27]))))),
0)</f>
        <v>0</v>
      </c>
      <c r="AG25" s="111">
        <f t="array" ref="AG25">IFERROR(
MEDIAN((IF(DATOS_[[Sexo]:[Sexo]]=$B25,IF(DATOS_[[AGRUP. CLAS. PROF.]:[AGRUP. CLAS. PROF.]]=$B24,IF(DATOS_[[Check Periodo Ref.]:[Check Periodo Ref.]]="Dentro",DATOS_[Conc.Sal.28]))))),
0)</f>
        <v>0</v>
      </c>
      <c r="AH25" s="111">
        <f t="array" ref="AH25">IFERROR(
MEDIAN((IF(DATOS_[[Sexo]:[Sexo]]=$B25,IF(DATOS_[[AGRUP. CLAS. PROF.]:[AGRUP. CLAS. PROF.]]=$B24,IF(DATOS_[[Check Periodo Ref.]:[Check Periodo Ref.]]="Dentro",DATOS_[Conc.Sal.29]))))),
0)</f>
        <v>0</v>
      </c>
      <c r="AI25" s="111">
        <f t="array" ref="AI25">IFERROR(
MEDIAN((IF(DATOS_[[Sexo]:[Sexo]]=$B25,IF(DATOS_[[AGRUP. CLAS. PROF.]:[AGRUP. CLAS. PROF.]]=$B24,IF(DATOS_[[Check Periodo Ref.]:[Check Periodo Ref.]]="Dentro",DATOS_[Conc.Sal.30]))))),
0)</f>
        <v>0</v>
      </c>
      <c r="AJ25" s="112">
        <f t="array" ref="AJ25">IFERROR(
MEDIAN(IF(DATOS_[Sexo]=$B25,IF(DATOS_[AGRUP. CLAS. PROF.]=$B24,IF(DATOS_[Check Periodo Ref.]="Dentro",DATOS_[Tot COMPL.SAL Ef],FALSE)))),
0)</f>
        <v>2888.0207999999998</v>
      </c>
      <c r="AK25" s="113">
        <f t="array" ref="AK25">IFERROR(
MEDIAN(IF(DATOS_[Sexo]=$B25,IF(DATOS_[AGRUP. CLAS. PROF.]=$B24,IF(DATOS_[Check Periodo Ref.]="Dentro",DATOS_[TOTAL SALARIO Ef],FALSE)))),
0)</f>
        <v>16924.360799999999</v>
      </c>
      <c r="AL25" s="114">
        <f t="array" ref="AL25">IFERROR(
MEDIAN((IF(DATOS_[[Sexo]:[Sexo]]=$B25,IF(DATOS_[[AGRUP. CLAS. PROF.]:[AGRUP. CLAS. PROF.]]=$B24,IF(DATOS_[[Check Periodo Ref.]:[Check Periodo Ref.]]="Dentro",DATOS_[C.Extra.01]))))),
0)</f>
        <v>0</v>
      </c>
      <c r="AM25" s="114">
        <f t="array" ref="AM25">IFERROR(
MEDIAN((IF(DATOS_[[Sexo]:[Sexo]]=$B25,IF(DATOS_[[AGRUP. CLAS. PROF.]:[AGRUP. CLAS. PROF.]]=$B24,IF(DATOS_[[Check Periodo Ref.]:[Check Periodo Ref.]]="Dentro",DATOS_[C.Extra.02]))))),
0)</f>
        <v>0</v>
      </c>
      <c r="AN25" s="114">
        <f t="array" ref="AN25">IFERROR(
MEDIAN((IF(DATOS_[[Sexo]:[Sexo]]=$B25,IF(DATOS_[[AGRUP. CLAS. PROF.]:[AGRUP. CLAS. PROF.]]=$B24,IF(DATOS_[[Check Periodo Ref.]:[Check Periodo Ref.]]="Dentro",DATOS_[C.Extra.03]))))),
0)</f>
        <v>0</v>
      </c>
      <c r="AO25" s="114">
        <f t="array" ref="AO25">IFERROR(
MEDIAN((IF(DATOS_[[Sexo]:[Sexo]]=$B25,IF(DATOS_[[AGRUP. CLAS. PROF.]:[AGRUP. CLAS. PROF.]]=$B24,IF(DATOS_[[Check Periodo Ref.]:[Check Periodo Ref.]]="Dentro",DATOS_[C.Extra.04]))))),
0)</f>
        <v>0</v>
      </c>
      <c r="AP25" s="114">
        <f t="array" ref="AP25">IFERROR(
MEDIAN((IF(DATOS_[[Sexo]:[Sexo]]=$B25,IF(DATOS_[[AGRUP. CLAS. PROF.]:[AGRUP. CLAS. PROF.]]=$B24,IF(DATOS_[[Check Periodo Ref.]:[Check Periodo Ref.]]="Dentro",DATOS_[C.Extra.05]))))),
0)</f>
        <v>0</v>
      </c>
      <c r="AQ25" s="115">
        <f t="array" ref="AQ25">IFERROR(
MEDIAN(IF(DATOS_[Sexo]=$B25,IF(DATOS_[AGRUP. CLAS. PROF.]=$B24,IF(DATOS_[Check Periodo Ref.]="Dentro",DATOS_[Tot Extrasalarial Ef],FALSE)))),
0)</f>
        <v>0</v>
      </c>
      <c r="AR25" s="116">
        <f t="array" ref="AR25">IFERROR(
MEDIAN(IF(DATOS_[Sexo]=$B25,IF(DATOS_[AGRUP. CLAS. PROF.]=$B24,IF(DATOS_[Check Periodo Ref.]="Dentro",DATOS_[TOTAL Retrib Ef],FALSE)))),
0)</f>
        <v>16924.360799999999</v>
      </c>
    </row>
    <row r="26" spans="1:44" x14ac:dyDescent="0.3">
      <c r="A26" s="42" t="str">
        <f t="shared" ref="A26" si="18">+A25</f>
        <v/>
      </c>
      <c r="B26" s="34" t="s">
        <v>163</v>
      </c>
      <c r="C26" s="33">
        <f t="array" ref="C26">SUM(IF($B26=DATOS_[Sexo],
IF($B24=DATOS_[AGRUP. CLAS. PROF.],
IF("Dentro"=DATOS_[Check Periodo Ref.],
1/(COUNTIFS(DATOS_[Sexo],$B26,DATOS_[AGRUP. CLAS. PROF.],$B24,DATOS_[Check Periodo Ref.],"Dentro",DATOS_[id],DATOS_[id]))))))</f>
        <v>24</v>
      </c>
      <c r="D26" s="35">
        <f>COUNTIFS(DATOS_[AGRUP. CLAS. PROF.],$B24,DATOS_[Sexo],$B26,DATOS_[Check Periodo Ref.],"Dentro")</f>
        <v>24</v>
      </c>
      <c r="E26" s="110">
        <f t="array" ref="E26">IFERROR(
MEDIAN(IF(DATOS_[Sexo]=$B26,IF(DATOS_[AGRUP. CLAS. PROF.]=$B24,IF(DATOS_[Check Periodo Ref.]="Dentro",DATOS_[SALARIO BASE Ef],FALSE)))),
0)</f>
        <v>14036.34</v>
      </c>
      <c r="F26" s="111">
        <f t="array" ref="F26">IFERROR(
MEDIAN((IF(DATOS_[[Sexo]:[Sexo]]=$B26,IF(DATOS_[[AGRUP. CLAS. PROF.]:[AGRUP. CLAS. PROF.]]=$B24,IF(DATOS_[[Check Periodo Ref.]:[Check Periodo Ref.]]="Dentro",DATOS_[Conc.Sal.01]))))),
0)</f>
        <v>163.65999999999985</v>
      </c>
      <c r="G26" s="111">
        <f t="array" ref="G26">IFERROR(
MEDIAN((IF(DATOS_[[Sexo]:[Sexo]]=$B26,IF(DATOS_[[AGRUP. CLAS. PROF.]:[AGRUP. CLAS. PROF.]]=$B24,IF(DATOS_[[Check Periodo Ref.]:[Check Periodo Ref.]]="Dentro",DATOS_[Conc.Sal.02]))))),
0)</f>
        <v>1122.9072000000001</v>
      </c>
      <c r="H26" s="111">
        <f t="array" ref="H26">IFERROR(
MEDIAN((IF(DATOS_[[Sexo]:[Sexo]]=$B26,IF(DATOS_[[AGRUP. CLAS. PROF.]:[AGRUP. CLAS. PROF.]]=$B24,IF(DATOS_[[Check Periodo Ref.]:[Check Periodo Ref.]]="Dentro",DATOS_[Conc.Sal.03]))))),
0)</f>
        <v>960</v>
      </c>
      <c r="I26" s="111">
        <f t="array" ref="I26">IFERROR(
MEDIAN((IF(DATOS_[[Sexo]:[Sexo]]=$B26,IF(DATOS_[[AGRUP. CLAS. PROF.]:[AGRUP. CLAS. PROF.]]=$B24,IF(DATOS_[[Check Periodo Ref.]:[Check Periodo Ref.]]="Dentro",DATOS_[Conc.Sal.04]))))),
0)</f>
        <v>0</v>
      </c>
      <c r="J26" s="111">
        <f t="array" ref="J26">IFERROR(
MEDIAN((IF(DATOS_[[Sexo]:[Sexo]]=$B26,IF(DATOS_[[AGRUP. CLAS. PROF.]:[AGRUP. CLAS. PROF.]]=$B24,IF(DATOS_[[Check Periodo Ref.]:[Check Periodo Ref.]]="Dentro",DATOS_[Conc.Sal.05]))))),
0)</f>
        <v>0</v>
      </c>
      <c r="K26" s="111">
        <f t="array" ref="K26">IFERROR(
MEDIAN((IF(DATOS_[[Sexo]:[Sexo]]=$B26,IF(DATOS_[[AGRUP. CLAS. PROF.]:[AGRUP. CLAS. PROF.]]=$B24,IF(DATOS_[[Check Periodo Ref.]:[Check Periodo Ref.]]="Dentro",DATOS_[Conc.Sal.06]))))),
0)</f>
        <v>0</v>
      </c>
      <c r="L26" s="111">
        <f t="array" ref="L26">IFERROR(
MEDIAN((IF(DATOS_[[Sexo]:[Sexo]]=$B26,IF(DATOS_[[AGRUP. CLAS. PROF.]:[AGRUP. CLAS. PROF.]]=$B24,IF(DATOS_[[Check Periodo Ref.]:[Check Periodo Ref.]]="Dentro",DATOS_[Conc.Sal.07]))))),
0)</f>
        <v>80</v>
      </c>
      <c r="M26" s="111">
        <f t="array" ref="M26">IFERROR(
MEDIAN((IF(DATOS_[[Sexo]:[Sexo]]=$B26,IF(DATOS_[[AGRUP. CLAS. PROF.]:[AGRUP. CLAS. PROF.]]=$B24,IF(DATOS_[[Check Periodo Ref.]:[Check Periodo Ref.]]="Dentro",DATOS_[Conc.Sal.08]))))),
0)</f>
        <v>0</v>
      </c>
      <c r="N26" s="111">
        <f t="array" ref="N26">IFERROR(
MEDIAN((IF(DATOS_[[Sexo]:[Sexo]]=$B26,IF(DATOS_[[AGRUP. CLAS. PROF.]:[AGRUP. CLAS. PROF.]]=$B24,IF(DATOS_[[Check Periodo Ref.]:[Check Periodo Ref.]]="Dentro",DATOS_[Conc.Sal.09]))))),
0)</f>
        <v>0</v>
      </c>
      <c r="O26" s="111">
        <f t="array" ref="O26">IFERROR(
MEDIAN((IF(DATOS_[[Sexo]:[Sexo]]=$B26,IF(DATOS_[[AGRUP. CLAS. PROF.]:[AGRUP. CLAS. PROF.]]=$B24,IF(DATOS_[[Check Periodo Ref.]:[Check Periodo Ref.]]="Dentro",DATOS_[Conc.Sal.10]))))),
0)</f>
        <v>0</v>
      </c>
      <c r="P26" s="111">
        <f t="array" ref="P26">IFERROR(
MEDIAN((IF(DATOS_[[Sexo]:[Sexo]]=$B26,IF(DATOS_[[AGRUP. CLAS. PROF.]:[AGRUP. CLAS. PROF.]]=$B24,IF(DATOS_[[Check Periodo Ref.]:[Check Periodo Ref.]]="Dentro",DATOS_[Conc.Sal.11]))))),
0)</f>
        <v>0</v>
      </c>
      <c r="Q26" s="111">
        <f t="array" ref="Q26">IFERROR(
MEDIAN((IF(DATOS_[[Sexo]:[Sexo]]=$B26,IF(DATOS_[[AGRUP. CLAS. PROF.]:[AGRUP. CLAS. PROF.]]=$B24,IF(DATOS_[[Check Periodo Ref.]:[Check Periodo Ref.]]="Dentro",DATOS_[Conc.Sal.12]))))),
0)</f>
        <v>0</v>
      </c>
      <c r="R26" s="111">
        <f t="array" ref="R26">IFERROR(
MEDIAN((IF(DATOS_[[Sexo]:[Sexo]]=$B26,IF(DATOS_[[AGRUP. CLAS. PROF.]:[AGRUP. CLAS. PROF.]]=$B24,IF(DATOS_[[Check Periodo Ref.]:[Check Periodo Ref.]]="Dentro",DATOS_[Conc.Sal.13]))))),
0)</f>
        <v>0</v>
      </c>
      <c r="S26" s="111">
        <f t="array" ref="S26">IFERROR(
MEDIAN((IF(DATOS_[[Sexo]:[Sexo]]=$B26,IF(DATOS_[[AGRUP. CLAS. PROF.]:[AGRUP. CLAS. PROF.]]=$B24,IF(DATOS_[[Check Periodo Ref.]:[Check Periodo Ref.]]="Dentro",DATOS_[Conc.Sal.14]))))),
0)</f>
        <v>0</v>
      </c>
      <c r="T26" s="111">
        <f t="array" ref="T26">IFERROR(
MEDIAN((IF(DATOS_[[Sexo]:[Sexo]]=$B26,IF(DATOS_[[AGRUP. CLAS. PROF.]:[AGRUP. CLAS. PROF.]]=$B24,IF(DATOS_[[Check Periodo Ref.]:[Check Periodo Ref.]]="Dentro",DATOS_[Conc.Sal.15]))))),
0)</f>
        <v>0</v>
      </c>
      <c r="U26" s="111">
        <f t="array" ref="U26">IFERROR(
MEDIAN((IF(DATOS_[[Sexo]:[Sexo]]=$B26,IF(DATOS_[[AGRUP. CLAS. PROF.]:[AGRUP. CLAS. PROF.]]=$B24,IF(DATOS_[[Check Periodo Ref.]:[Check Periodo Ref.]]="Dentro",DATOS_[Conc.Sal.16]))))),
0)</f>
        <v>0</v>
      </c>
      <c r="V26" s="111">
        <f t="array" ref="V26">IFERROR(
MEDIAN((IF(DATOS_[[Sexo]:[Sexo]]=$B26,IF(DATOS_[[AGRUP. CLAS. PROF.]:[AGRUP. CLAS. PROF.]]=$B24,IF(DATOS_[[Check Periodo Ref.]:[Check Periodo Ref.]]="Dentro",DATOS_[Conc.Sal.17]))))),
0)</f>
        <v>0</v>
      </c>
      <c r="W26" s="111">
        <f t="array" ref="W26">IFERROR(
MEDIAN((IF(DATOS_[[Sexo]:[Sexo]]=$B26,IF(DATOS_[[AGRUP. CLAS. PROF.]:[AGRUP. CLAS. PROF.]]=$B24,IF(DATOS_[[Check Periodo Ref.]:[Check Periodo Ref.]]="Dentro",DATOS_[Conc.Sal.18]))))),
0)</f>
        <v>0</v>
      </c>
      <c r="X26" s="111">
        <f t="array" ref="X26">IFERROR(
MEDIAN((IF(DATOS_[[Sexo]:[Sexo]]=$B26,IF(DATOS_[[AGRUP. CLAS. PROF.]:[AGRUP. CLAS. PROF.]]=$B24,IF(DATOS_[[Check Periodo Ref.]:[Check Periodo Ref.]]="Dentro",DATOS_[Conc.Sal.19]))))),
0)</f>
        <v>0</v>
      </c>
      <c r="Y26" s="111">
        <f t="array" ref="Y26">IFERROR(
MEDIAN((IF(DATOS_[[Sexo]:[Sexo]]=$B26,IF(DATOS_[[AGRUP. CLAS. PROF.]:[AGRUP. CLAS. PROF.]]=$B24,IF(DATOS_[[Check Periodo Ref.]:[Check Periodo Ref.]]="Dentro",DATOS_[Conc.Sal.20]))))),
0)</f>
        <v>0</v>
      </c>
      <c r="Z26" s="111">
        <f t="array" ref="Z26">IFERROR(
MEDIAN((IF(DATOS_[[Sexo]:[Sexo]]=$B26,IF(DATOS_[[AGRUP. CLAS. PROF.]:[AGRUP. CLAS. PROF.]]=$B24,IF(DATOS_[[Check Periodo Ref.]:[Check Periodo Ref.]]="Dentro",DATOS_[Conc.Sal.21]))))),
0)</f>
        <v>0</v>
      </c>
      <c r="AA26" s="111">
        <f t="array" ref="AA26">IFERROR(
MEDIAN((IF(DATOS_[[Sexo]:[Sexo]]=$B26,IF(DATOS_[[AGRUP. CLAS. PROF.]:[AGRUP. CLAS. PROF.]]=$B24,IF(DATOS_[[Check Periodo Ref.]:[Check Periodo Ref.]]="Dentro",DATOS_[Conc.Sal.22]))))),
0)</f>
        <v>0</v>
      </c>
      <c r="AB26" s="111">
        <f t="array" ref="AB26">IFERROR(
MEDIAN((IF(DATOS_[[Sexo]:[Sexo]]=$B26,IF(DATOS_[[AGRUP. CLAS. PROF.]:[AGRUP. CLAS. PROF.]]=$B24,IF(DATOS_[[Check Periodo Ref.]:[Check Periodo Ref.]]="Dentro",DATOS_[Conc.Sal.23]))))),
0)</f>
        <v>0</v>
      </c>
      <c r="AC26" s="111">
        <f t="array" ref="AC26">IFERROR(
MEDIAN((IF(DATOS_[[Sexo]:[Sexo]]=$B26,IF(DATOS_[[AGRUP. CLAS. PROF.]:[AGRUP. CLAS. PROF.]]=$B24,IF(DATOS_[[Check Periodo Ref.]:[Check Periodo Ref.]]="Dentro",DATOS_[Conc.Sal.24]))))),
0)</f>
        <v>0</v>
      </c>
      <c r="AD26" s="111">
        <f t="array" ref="AD26">IFERROR(
MEDIAN((IF(DATOS_[[Sexo]:[Sexo]]=$B26,IF(DATOS_[[AGRUP. CLAS. PROF.]:[AGRUP. CLAS. PROF.]]=$B24,IF(DATOS_[[Check Periodo Ref.]:[Check Periodo Ref.]]="Dentro",DATOS_[Conc.Sal.25]))))),
0)</f>
        <v>0</v>
      </c>
      <c r="AE26" s="111">
        <f t="array" ref="AE26">IFERROR(
MEDIAN((IF(DATOS_[[Sexo]:[Sexo]]=$B26,IF(DATOS_[[AGRUP. CLAS. PROF.]:[AGRUP. CLAS. PROF.]]=$B24,IF(DATOS_[[Check Periodo Ref.]:[Check Periodo Ref.]]="Dentro",DATOS_[Conc.Sal.26]))))),
0)</f>
        <v>0</v>
      </c>
      <c r="AF26" s="111">
        <f t="array" ref="AF26">IFERROR(
MEDIAN((IF(DATOS_[[Sexo]:[Sexo]]=$B26,IF(DATOS_[[AGRUP. CLAS. PROF.]:[AGRUP. CLAS. PROF.]]=$B24,IF(DATOS_[[Check Periodo Ref.]:[Check Periodo Ref.]]="Dentro",DATOS_[Conc.Sal.27]))))),
0)</f>
        <v>0</v>
      </c>
      <c r="AG26" s="111">
        <f t="array" ref="AG26">IFERROR(
MEDIAN((IF(DATOS_[[Sexo]:[Sexo]]=$B26,IF(DATOS_[[AGRUP. CLAS. PROF.]:[AGRUP. CLAS. PROF.]]=$B24,IF(DATOS_[[Check Periodo Ref.]:[Check Periodo Ref.]]="Dentro",DATOS_[Conc.Sal.28]))))),
0)</f>
        <v>0</v>
      </c>
      <c r="AH26" s="111">
        <f t="array" ref="AH26">IFERROR(
MEDIAN((IF(DATOS_[[Sexo]:[Sexo]]=$B26,IF(DATOS_[[AGRUP. CLAS. PROF.]:[AGRUP. CLAS. PROF.]]=$B24,IF(DATOS_[[Check Periodo Ref.]:[Check Periodo Ref.]]="Dentro",DATOS_[Conc.Sal.29]))))),
0)</f>
        <v>0</v>
      </c>
      <c r="AI26" s="111">
        <f t="array" ref="AI26">IFERROR(
MEDIAN((IF(DATOS_[[Sexo]:[Sexo]]=$B26,IF(DATOS_[[AGRUP. CLAS. PROF.]:[AGRUP. CLAS. PROF.]]=$B24,IF(DATOS_[[Check Periodo Ref.]:[Check Periodo Ref.]]="Dentro",DATOS_[Conc.Sal.30]))))),
0)</f>
        <v>0</v>
      </c>
      <c r="AJ26" s="112">
        <f t="array" ref="AJ26">IFERROR(
MEDIAN(IF(DATOS_[Sexo]=$B26,IF(DATOS_[AGRUP. CLAS. PROF.]=$B24,IF(DATOS_[Check Periodo Ref.]="Dentro",DATOS_[Tot COMPL.SAL Ef],FALSE)))),
0)</f>
        <v>2246.5672</v>
      </c>
      <c r="AK26" s="113">
        <f t="array" ref="AK26">IFERROR(
MEDIAN(IF(DATOS_[Sexo]=$B26,IF(DATOS_[AGRUP. CLAS. PROF.]=$B24,IF(DATOS_[Check Periodo Ref.]="Dentro",DATOS_[TOTAL SALARIO Ef],FALSE)))),
0)</f>
        <v>16282.9072</v>
      </c>
      <c r="AL26" s="114">
        <f t="array" ref="AL26">IFERROR(
MEDIAN((IF(DATOS_[[Sexo]:[Sexo]]=$B26,IF(DATOS_[[AGRUP. CLAS. PROF.]:[AGRUP. CLAS. PROF.]]=$B24,IF(DATOS_[[Check Periodo Ref.]:[Check Periodo Ref.]]="Dentro",DATOS_[C.Extra.01]))))),
0)</f>
        <v>0</v>
      </c>
      <c r="AM26" s="114">
        <f t="array" ref="AM26">IFERROR(
MEDIAN((IF(DATOS_[[Sexo]:[Sexo]]=$B26,IF(DATOS_[[AGRUP. CLAS. PROF.]:[AGRUP. CLAS. PROF.]]=$B24,IF(DATOS_[[Check Periodo Ref.]:[Check Periodo Ref.]]="Dentro",DATOS_[C.Extra.02]))))),
0)</f>
        <v>0</v>
      </c>
      <c r="AN26" s="114">
        <f t="array" ref="AN26">IFERROR(
MEDIAN((IF(DATOS_[[Sexo]:[Sexo]]=$B26,IF(DATOS_[[AGRUP. CLAS. PROF.]:[AGRUP. CLAS. PROF.]]=$B24,IF(DATOS_[[Check Periodo Ref.]:[Check Periodo Ref.]]="Dentro",DATOS_[C.Extra.03]))))),
0)</f>
        <v>0</v>
      </c>
      <c r="AO26" s="114">
        <f t="array" ref="AO26">IFERROR(
MEDIAN((IF(DATOS_[[Sexo]:[Sexo]]=$B26,IF(DATOS_[[AGRUP. CLAS. PROF.]:[AGRUP. CLAS. PROF.]]=$B24,IF(DATOS_[[Check Periodo Ref.]:[Check Periodo Ref.]]="Dentro",DATOS_[C.Extra.04]))))),
0)</f>
        <v>0</v>
      </c>
      <c r="AP26" s="114">
        <f t="array" ref="AP26">IFERROR(
MEDIAN((IF(DATOS_[[Sexo]:[Sexo]]=$B26,IF(DATOS_[[AGRUP. CLAS. PROF.]:[AGRUP. CLAS. PROF.]]=$B24,IF(DATOS_[[Check Periodo Ref.]:[Check Periodo Ref.]]="Dentro",DATOS_[C.Extra.05]))))),
0)</f>
        <v>0</v>
      </c>
      <c r="AQ26" s="115">
        <f t="array" ref="AQ26">IFERROR(
MEDIAN(IF(DATOS_[Sexo]=$B26,IF(DATOS_[AGRUP. CLAS. PROF.]=$B24,IF(DATOS_[Check Periodo Ref.]="Dentro",DATOS_[Tot Extrasalarial Ef],FALSE)))),
0)</f>
        <v>0</v>
      </c>
      <c r="AR26" s="116">
        <f t="array" ref="AR26">IFERROR(
MEDIAN(IF(DATOS_[Sexo]=$B26,IF(DATOS_[AGRUP. CLAS. PROF.]=$B24,IF(DATOS_[Check Periodo Ref.]="Dentro",DATOS_[TOTAL Retrib Ef],FALSE)))),
0)</f>
        <v>16282.9072</v>
      </c>
    </row>
    <row r="27" spans="1:44" ht="17.25" thickBot="1" x14ac:dyDescent="0.35">
      <c r="A27" s="42" t="str">
        <f t="shared" ref="A27" si="19">+A28</f>
        <v/>
      </c>
      <c r="B27" s="40" t="s">
        <v>311</v>
      </c>
      <c r="C27" s="109"/>
      <c r="D27" s="41"/>
      <c r="E27" s="119">
        <f t="shared" ref="E27:AR27" si="20">IFERROR((E28-E29)/E28,"")</f>
        <v>0</v>
      </c>
      <c r="F27" s="123">
        <f t="shared" si="20"/>
        <v>0</v>
      </c>
      <c r="G27" s="123" t="str">
        <f t="shared" si="20"/>
        <v/>
      </c>
      <c r="H27" s="123">
        <f t="shared" si="20"/>
        <v>0</v>
      </c>
      <c r="I27" s="123" t="str">
        <f t="shared" si="20"/>
        <v/>
      </c>
      <c r="J27" s="123" t="str">
        <f t="shared" si="20"/>
        <v/>
      </c>
      <c r="K27" s="123" t="str">
        <f t="shared" si="20"/>
        <v/>
      </c>
      <c r="L27" s="123">
        <f t="shared" si="20"/>
        <v>0</v>
      </c>
      <c r="M27" s="123" t="str">
        <f t="shared" si="20"/>
        <v/>
      </c>
      <c r="N27" s="123" t="str">
        <f t="shared" si="20"/>
        <v/>
      </c>
      <c r="O27" s="123" t="str">
        <f t="shared" si="20"/>
        <v/>
      </c>
      <c r="P27" s="123" t="str">
        <f t="shared" si="20"/>
        <v/>
      </c>
      <c r="Q27" s="123" t="str">
        <f t="shared" si="20"/>
        <v/>
      </c>
      <c r="R27" s="123" t="str">
        <f t="shared" si="20"/>
        <v/>
      </c>
      <c r="S27" s="123" t="str">
        <f t="shared" si="20"/>
        <v/>
      </c>
      <c r="T27" s="123" t="str">
        <f t="shared" si="20"/>
        <v/>
      </c>
      <c r="U27" s="123" t="str">
        <f t="shared" si="20"/>
        <v/>
      </c>
      <c r="V27" s="122" t="str">
        <f t="shared" si="20"/>
        <v/>
      </c>
      <c r="W27" s="122" t="str">
        <f t="shared" si="20"/>
        <v/>
      </c>
      <c r="X27" s="122" t="str">
        <f t="shared" si="20"/>
        <v/>
      </c>
      <c r="Y27" s="122" t="str">
        <f t="shared" si="20"/>
        <v/>
      </c>
      <c r="Z27" s="122" t="str">
        <f t="shared" si="20"/>
        <v/>
      </c>
      <c r="AA27" s="122" t="str">
        <f t="shared" si="20"/>
        <v/>
      </c>
      <c r="AB27" s="122" t="str">
        <f t="shared" si="20"/>
        <v/>
      </c>
      <c r="AC27" s="122" t="str">
        <f t="shared" si="20"/>
        <v/>
      </c>
      <c r="AD27" s="122" t="str">
        <f t="shared" si="20"/>
        <v/>
      </c>
      <c r="AE27" s="122" t="str">
        <f t="shared" si="20"/>
        <v/>
      </c>
      <c r="AF27" s="122" t="str">
        <f t="shared" si="20"/>
        <v/>
      </c>
      <c r="AG27" s="122" t="str">
        <f t="shared" si="20"/>
        <v/>
      </c>
      <c r="AH27" s="122" t="str">
        <f t="shared" si="20"/>
        <v/>
      </c>
      <c r="AI27" s="122" t="str">
        <f t="shared" si="20"/>
        <v/>
      </c>
      <c r="AJ27" s="124">
        <f t="shared" si="20"/>
        <v>0</v>
      </c>
      <c r="AK27" s="128">
        <f t="shared" si="20"/>
        <v>0</v>
      </c>
      <c r="AL27" s="125" t="str">
        <f t="shared" si="20"/>
        <v/>
      </c>
      <c r="AM27" s="125" t="str">
        <f t="shared" si="20"/>
        <v/>
      </c>
      <c r="AN27" s="125" t="str">
        <f t="shared" si="20"/>
        <v/>
      </c>
      <c r="AO27" s="125" t="str">
        <f t="shared" si="20"/>
        <v/>
      </c>
      <c r="AP27" s="125" t="str">
        <f t="shared" si="20"/>
        <v/>
      </c>
      <c r="AQ27" s="126" t="str">
        <f t="shared" si="20"/>
        <v/>
      </c>
      <c r="AR27" s="127">
        <f t="shared" si="20"/>
        <v>0</v>
      </c>
    </row>
    <row r="28" spans="1:44" x14ac:dyDescent="0.3">
      <c r="A28" s="42" t="str">
        <f t="shared" ref="A28" si="21">+IF(C28+C29=0,"[ocultar]","")</f>
        <v/>
      </c>
      <c r="B28" s="34" t="s">
        <v>162</v>
      </c>
      <c r="C28" s="33">
        <f t="array" ref="C28">SUM(IF($B28=DATOS_[Sexo],
IF($B27=DATOS_[AGRUP. CLAS. PROF.],
IF("Dentro"=DATOS_[Check Periodo Ref.],
1/(COUNTIFS(DATOS_[Sexo],$B28,DATOS_[AGRUP. CLAS. PROF.],$B27,DATOS_[Check Periodo Ref.],"Dentro",DATOS_[id],DATOS_[id]))))))</f>
        <v>26</v>
      </c>
      <c r="D28" s="35">
        <f>COUNTIFS(DATOS_[AGRUP. CLAS. PROF.],$B27,DATOS_[Sexo],$B28,DATOS_[Check Periodo Ref.],"Dentro")</f>
        <v>31</v>
      </c>
      <c r="E28" s="110">
        <f t="array" ref="E28">IFERROR(
MEDIAN(IF(DATOS_[Sexo]=$B28,IF(DATOS_[AGRUP. CLAS. PROF.]=$B27,IF(DATOS_[Check Periodo Ref.]="Dentro",DATOS_[SALARIO BASE Ef],FALSE)))),
0)</f>
        <v>12915.07</v>
      </c>
      <c r="F28" s="111">
        <f t="array" ref="F28">IFERROR(
MEDIAN((IF(DATOS_[[Sexo]:[Sexo]]=$B28,IF(DATOS_[[AGRUP. CLAS. PROF.]:[AGRUP. CLAS. PROF.]]=$B27,IF(DATOS_[[Check Periodo Ref.]:[Check Periodo Ref.]]="Dentro",DATOS_[Conc.Sal.01]))))),
0)</f>
        <v>84.930000000000291</v>
      </c>
      <c r="G28" s="111">
        <f t="array" ref="G28">IFERROR(
MEDIAN((IF(DATOS_[[Sexo]:[Sexo]]=$B28,IF(DATOS_[[AGRUP. CLAS. PROF.]:[AGRUP. CLAS. PROF.]]=$B27,IF(DATOS_[[Check Periodo Ref.]:[Check Periodo Ref.]]="Dentro",DATOS_[Conc.Sal.02]))))),
0)</f>
        <v>0</v>
      </c>
      <c r="H28" s="111">
        <f t="array" ref="H28">IFERROR(
MEDIAN((IF(DATOS_[[Sexo]:[Sexo]]=$B28,IF(DATOS_[[AGRUP. CLAS. PROF.]:[AGRUP. CLAS. PROF.]]=$B27,IF(DATOS_[[Check Periodo Ref.]:[Check Periodo Ref.]]="Dentro",DATOS_[Conc.Sal.03]))))),
0)</f>
        <v>960</v>
      </c>
      <c r="I28" s="111">
        <f t="array" ref="I28">IFERROR(
MEDIAN((IF(DATOS_[[Sexo]:[Sexo]]=$B28,IF(DATOS_[[AGRUP. CLAS. PROF.]:[AGRUP. CLAS. PROF.]]=$B27,IF(DATOS_[[Check Periodo Ref.]:[Check Periodo Ref.]]="Dentro",DATOS_[Conc.Sal.04]))))),
0)</f>
        <v>0</v>
      </c>
      <c r="J28" s="111">
        <f t="array" ref="J28">IFERROR(
MEDIAN((IF(DATOS_[[Sexo]:[Sexo]]=$B28,IF(DATOS_[[AGRUP. CLAS. PROF.]:[AGRUP. CLAS. PROF.]]=$B27,IF(DATOS_[[Check Periodo Ref.]:[Check Periodo Ref.]]="Dentro",DATOS_[Conc.Sal.05]))))),
0)</f>
        <v>0</v>
      </c>
      <c r="K28" s="111">
        <f t="array" ref="K28">IFERROR(
MEDIAN((IF(DATOS_[[Sexo]:[Sexo]]=$B28,IF(DATOS_[[AGRUP. CLAS. PROF.]:[AGRUP. CLAS. PROF.]]=$B27,IF(DATOS_[[Check Periodo Ref.]:[Check Periodo Ref.]]="Dentro",DATOS_[Conc.Sal.06]))))),
0)</f>
        <v>0</v>
      </c>
      <c r="L28" s="111">
        <f t="array" ref="L28">IFERROR(
MEDIAN((IF(DATOS_[[Sexo]:[Sexo]]=$B28,IF(DATOS_[[AGRUP. CLAS. PROF.]:[AGRUP. CLAS. PROF.]]=$B27,IF(DATOS_[[Check Periodo Ref.]:[Check Periodo Ref.]]="Dentro",DATOS_[Conc.Sal.07]))))),
0)</f>
        <v>80</v>
      </c>
      <c r="M28" s="111">
        <f t="array" ref="M28">IFERROR(
MEDIAN((IF(DATOS_[[Sexo]:[Sexo]]=$B28,IF(DATOS_[[AGRUP. CLAS. PROF.]:[AGRUP. CLAS. PROF.]]=$B27,IF(DATOS_[[Check Periodo Ref.]:[Check Periodo Ref.]]="Dentro",DATOS_[Conc.Sal.08]))))),
0)</f>
        <v>0</v>
      </c>
      <c r="N28" s="111">
        <f t="array" ref="N28">IFERROR(
MEDIAN((IF(DATOS_[[Sexo]:[Sexo]]=$B28,IF(DATOS_[[AGRUP. CLAS. PROF.]:[AGRUP. CLAS. PROF.]]=$B27,IF(DATOS_[[Check Periodo Ref.]:[Check Periodo Ref.]]="Dentro",DATOS_[Conc.Sal.09]))))),
0)</f>
        <v>0</v>
      </c>
      <c r="O28" s="111">
        <f t="array" ref="O28">IFERROR(
MEDIAN((IF(DATOS_[[Sexo]:[Sexo]]=$B28,IF(DATOS_[[AGRUP. CLAS. PROF.]:[AGRUP. CLAS. PROF.]]=$B27,IF(DATOS_[[Check Periodo Ref.]:[Check Periodo Ref.]]="Dentro",DATOS_[Conc.Sal.10]))))),
0)</f>
        <v>0</v>
      </c>
      <c r="P28" s="111"/>
      <c r="Q28" s="111">
        <f t="array" ref="Q28">IFERROR(
MEDIAN((IF(DATOS_[[Sexo]:[Sexo]]=$B28,IF(DATOS_[[AGRUP. CLAS. PROF.]:[AGRUP. CLAS. PROF.]]=$B27,IF(DATOS_[[Check Periodo Ref.]:[Check Periodo Ref.]]="Dentro",DATOS_[Conc.Sal.12]))))),
0)</f>
        <v>0</v>
      </c>
      <c r="R28" s="111">
        <f t="array" ref="R28">IFERROR(
MEDIAN((IF(DATOS_[[Sexo]:[Sexo]]=$B28,IF(DATOS_[[AGRUP. CLAS. PROF.]:[AGRUP. CLAS. PROF.]]=$B27,IF(DATOS_[[Check Periodo Ref.]:[Check Periodo Ref.]]="Dentro",DATOS_[Conc.Sal.13]))))),
0)</f>
        <v>0</v>
      </c>
      <c r="S28" s="111">
        <f t="array" ref="S28">IFERROR(
MEDIAN((IF(DATOS_[[Sexo]:[Sexo]]=$B28,IF(DATOS_[[AGRUP. CLAS. PROF.]:[AGRUP. CLAS. PROF.]]=$B27,IF(DATOS_[[Check Periodo Ref.]:[Check Periodo Ref.]]="Dentro",DATOS_[Conc.Sal.14]))))),
0)</f>
        <v>0</v>
      </c>
      <c r="T28" s="111">
        <f t="array" ref="T28">IFERROR(
MEDIAN((IF(DATOS_[[Sexo]:[Sexo]]=$B28,IF(DATOS_[[AGRUP. CLAS. PROF.]:[AGRUP. CLAS. PROF.]]=$B27,IF(DATOS_[[Check Periodo Ref.]:[Check Periodo Ref.]]="Dentro",DATOS_[Conc.Sal.15]))))),
0)</f>
        <v>0</v>
      </c>
      <c r="U28" s="111">
        <f t="array" ref="U28">IFERROR(
MEDIAN((IF(DATOS_[[Sexo]:[Sexo]]=$B28,IF(DATOS_[[AGRUP. CLAS. PROF.]:[AGRUP. CLAS. PROF.]]=$B27,IF(DATOS_[[Check Periodo Ref.]:[Check Periodo Ref.]]="Dentro",DATOS_[Conc.Sal.16]))))),
0)</f>
        <v>0</v>
      </c>
      <c r="V28" s="111">
        <f t="array" ref="V28">IFERROR(
MEDIAN((IF(DATOS_[[Sexo]:[Sexo]]=$B28,IF(DATOS_[[AGRUP. CLAS. PROF.]:[AGRUP. CLAS. PROF.]]=$B27,IF(DATOS_[[Check Periodo Ref.]:[Check Periodo Ref.]]="Dentro",DATOS_[Conc.Sal.17]))))),
0)</f>
        <v>0</v>
      </c>
      <c r="W28" s="111">
        <f t="array" ref="W28">IFERROR(
MEDIAN((IF(DATOS_[[Sexo]:[Sexo]]=$B28,IF(DATOS_[[AGRUP. CLAS. PROF.]:[AGRUP. CLAS. PROF.]]=$B27,IF(DATOS_[[Check Periodo Ref.]:[Check Periodo Ref.]]="Dentro",DATOS_[Conc.Sal.18]))))),
0)</f>
        <v>0</v>
      </c>
      <c r="X28" s="111">
        <f t="array" ref="X28">IFERROR(
MEDIAN((IF(DATOS_[[Sexo]:[Sexo]]=$B28,IF(DATOS_[[AGRUP. CLAS. PROF.]:[AGRUP. CLAS. PROF.]]=$B27,IF(DATOS_[[Check Periodo Ref.]:[Check Periodo Ref.]]="Dentro",DATOS_[Conc.Sal.19]))))),
0)</f>
        <v>0</v>
      </c>
      <c r="Y28" s="111">
        <f t="array" ref="Y28">IFERROR(
MEDIAN((IF(DATOS_[[Sexo]:[Sexo]]=$B28,IF(DATOS_[[AGRUP. CLAS. PROF.]:[AGRUP. CLAS. PROF.]]=$B27,IF(DATOS_[[Check Periodo Ref.]:[Check Periodo Ref.]]="Dentro",DATOS_[Conc.Sal.20]))))),
0)</f>
        <v>0</v>
      </c>
      <c r="Z28" s="111">
        <f t="array" ref="Z28">IFERROR(
MEDIAN((IF(DATOS_[[Sexo]:[Sexo]]=$B28,IF(DATOS_[[AGRUP. CLAS. PROF.]:[AGRUP. CLAS. PROF.]]=$B27,IF(DATOS_[[Check Periodo Ref.]:[Check Periodo Ref.]]="Dentro",DATOS_[Conc.Sal.21]))))),
0)</f>
        <v>0</v>
      </c>
      <c r="AA28" s="111">
        <f t="array" ref="AA28">IFERROR(
MEDIAN((IF(DATOS_[[Sexo]:[Sexo]]=$B28,IF(DATOS_[[AGRUP. CLAS. PROF.]:[AGRUP. CLAS. PROF.]]=$B27,IF(DATOS_[[Check Periodo Ref.]:[Check Periodo Ref.]]="Dentro",DATOS_[Conc.Sal.22]))))),
0)</f>
        <v>0</v>
      </c>
      <c r="AB28" s="111">
        <f t="array" ref="AB28">IFERROR(
MEDIAN((IF(DATOS_[[Sexo]:[Sexo]]=$B28,IF(DATOS_[[AGRUP. CLAS. PROF.]:[AGRUP. CLAS. PROF.]]=$B27,IF(DATOS_[[Check Periodo Ref.]:[Check Periodo Ref.]]="Dentro",DATOS_[Conc.Sal.23]))))),
0)</f>
        <v>0</v>
      </c>
      <c r="AC28" s="111">
        <f t="array" ref="AC28">IFERROR(
MEDIAN((IF(DATOS_[[Sexo]:[Sexo]]=$B28,IF(DATOS_[[AGRUP. CLAS. PROF.]:[AGRUP. CLAS. PROF.]]=$B27,IF(DATOS_[[Check Periodo Ref.]:[Check Periodo Ref.]]="Dentro",DATOS_[Conc.Sal.24]))))),
0)</f>
        <v>0</v>
      </c>
      <c r="AD28" s="111">
        <f t="array" ref="AD28">IFERROR(
MEDIAN((IF(DATOS_[[Sexo]:[Sexo]]=$B28,IF(DATOS_[[AGRUP. CLAS. PROF.]:[AGRUP. CLAS. PROF.]]=$B27,IF(DATOS_[[Check Periodo Ref.]:[Check Periodo Ref.]]="Dentro",DATOS_[Conc.Sal.25]))))),
0)</f>
        <v>0</v>
      </c>
      <c r="AE28" s="111">
        <f t="array" ref="AE28">IFERROR(
MEDIAN((IF(DATOS_[[Sexo]:[Sexo]]=$B28,IF(DATOS_[[AGRUP. CLAS. PROF.]:[AGRUP. CLAS. PROF.]]=$B27,IF(DATOS_[[Check Periodo Ref.]:[Check Periodo Ref.]]="Dentro",DATOS_[Conc.Sal.26]))))),
0)</f>
        <v>0</v>
      </c>
      <c r="AF28" s="111">
        <f t="array" ref="AF28">IFERROR(
MEDIAN((IF(DATOS_[[Sexo]:[Sexo]]=$B28,IF(DATOS_[[AGRUP. CLAS. PROF.]:[AGRUP. CLAS. PROF.]]=$B27,IF(DATOS_[[Check Periodo Ref.]:[Check Periodo Ref.]]="Dentro",DATOS_[Conc.Sal.27]))))),
0)</f>
        <v>0</v>
      </c>
      <c r="AG28" s="111">
        <f t="array" ref="AG28">IFERROR(
MEDIAN((IF(DATOS_[[Sexo]:[Sexo]]=$B28,IF(DATOS_[[AGRUP. CLAS. PROF.]:[AGRUP. CLAS. PROF.]]=$B27,IF(DATOS_[[Check Periodo Ref.]:[Check Periodo Ref.]]="Dentro",DATOS_[Conc.Sal.28]))))),
0)</f>
        <v>0</v>
      </c>
      <c r="AH28" s="111">
        <f t="array" ref="AH28">IFERROR(
MEDIAN((IF(DATOS_[[Sexo]:[Sexo]]=$B28,IF(DATOS_[[AGRUP. CLAS. PROF.]:[AGRUP. CLAS. PROF.]]=$B27,IF(DATOS_[[Check Periodo Ref.]:[Check Periodo Ref.]]="Dentro",DATOS_[Conc.Sal.29]))))),
0)</f>
        <v>0</v>
      </c>
      <c r="AI28" s="111">
        <f t="array" ref="AI28">IFERROR(
MEDIAN((IF(DATOS_[[Sexo]:[Sexo]]=$B28,IF(DATOS_[[AGRUP. CLAS. PROF.]:[AGRUP. CLAS. PROF.]]=$B27,IF(DATOS_[[Check Periodo Ref.]:[Check Periodo Ref.]]="Dentro",DATOS_[Conc.Sal.30]))))),
0)</f>
        <v>0</v>
      </c>
      <c r="AJ28" s="112">
        <f t="array" ref="AJ28">IFERROR(
MEDIAN(IF(DATOS_[Sexo]=$B28,IF(DATOS_[AGRUP. CLAS. PROF.]=$B27,IF(DATOS_[Check Periodo Ref.]="Dentro",DATOS_[Tot COMPL.SAL Ef],FALSE)))),
0)</f>
        <v>1124.9300000000003</v>
      </c>
      <c r="AK28" s="113">
        <f t="array" ref="AK28">IFERROR(
MEDIAN(IF(DATOS_[Sexo]=$B28,IF(DATOS_[AGRUP. CLAS. PROF.]=$B27,IF(DATOS_[Check Periodo Ref.]="Dentro",DATOS_[TOTAL SALARIO Ef],FALSE)))),
0)</f>
        <v>14040</v>
      </c>
      <c r="AL28" s="114">
        <f t="array" ref="AL28">IFERROR(
MEDIAN((IF(DATOS_[[Sexo]:[Sexo]]=$B28,IF(DATOS_[[AGRUP. CLAS. PROF.]:[AGRUP. CLAS. PROF.]]=$B27,IF(DATOS_[[Check Periodo Ref.]:[Check Periodo Ref.]]="Dentro",DATOS_[C.Extra.01]))))),
0)</f>
        <v>0</v>
      </c>
      <c r="AM28" s="114">
        <f t="array" ref="AM28">IFERROR(
MEDIAN((IF(DATOS_[[Sexo]:[Sexo]]=$B28,IF(DATOS_[[AGRUP. CLAS. PROF.]:[AGRUP. CLAS. PROF.]]=$B27,IF(DATOS_[[Check Periodo Ref.]:[Check Periodo Ref.]]="Dentro",DATOS_[C.Extra.02]))))),
0)</f>
        <v>0</v>
      </c>
      <c r="AN28" s="114">
        <f t="array" ref="AN28">IFERROR(
MEDIAN((IF(DATOS_[[Sexo]:[Sexo]]=$B28,IF(DATOS_[[AGRUP. CLAS. PROF.]:[AGRUP. CLAS. PROF.]]=$B27,IF(DATOS_[[Check Periodo Ref.]:[Check Periodo Ref.]]="Dentro",DATOS_[C.Extra.03]))))),
0)</f>
        <v>0</v>
      </c>
      <c r="AO28" s="114">
        <f t="array" ref="AO28">IFERROR(
MEDIAN((IF(DATOS_[[Sexo]:[Sexo]]=$B28,IF(DATOS_[[AGRUP. CLAS. PROF.]:[AGRUP. CLAS. PROF.]]=$B27,IF(DATOS_[[Check Periodo Ref.]:[Check Periodo Ref.]]="Dentro",DATOS_[C.Extra.04]))))),
0)</f>
        <v>0</v>
      </c>
      <c r="AP28" s="114">
        <f t="array" ref="AP28">IFERROR(
MEDIAN((IF(DATOS_[[Sexo]:[Sexo]]=$B28,IF(DATOS_[[AGRUP. CLAS. PROF.]:[AGRUP. CLAS. PROF.]]=$B27,IF(DATOS_[[Check Periodo Ref.]:[Check Periodo Ref.]]="Dentro",DATOS_[C.Extra.05]))))),
0)</f>
        <v>0</v>
      </c>
      <c r="AQ28" s="115">
        <f t="array" ref="AQ28">IFERROR(
MEDIAN(IF(DATOS_[Sexo]=$B28,IF(DATOS_[AGRUP. CLAS. PROF.]=$B27,IF(DATOS_[Check Periodo Ref.]="Dentro",DATOS_[Tot Extrasalarial Ef],FALSE)))),
0)</f>
        <v>0</v>
      </c>
      <c r="AR28" s="116">
        <f t="array" ref="AR28">IFERROR(
MEDIAN(IF(DATOS_[Sexo]=$B28,IF(DATOS_[AGRUP. CLAS. PROF.]=$B27,IF(DATOS_[Check Periodo Ref.]="Dentro",DATOS_[TOTAL Retrib Ef],FALSE)))),
0)</f>
        <v>14040</v>
      </c>
    </row>
    <row r="29" spans="1:44" x14ac:dyDescent="0.3">
      <c r="A29" s="42" t="str">
        <f t="shared" ref="A29" si="22">+A28</f>
        <v/>
      </c>
      <c r="B29" s="34" t="s">
        <v>163</v>
      </c>
      <c r="C29" s="33">
        <f t="array" ref="C29">SUM(IF($B29=DATOS_[Sexo],
IF($B27=DATOS_[AGRUP. CLAS. PROF.],
IF("Dentro"=DATOS_[Check Periodo Ref.],
1/(COUNTIFS(DATOS_[Sexo],$B29,DATOS_[AGRUP. CLAS. PROF.],$B27,DATOS_[Check Periodo Ref.],"Dentro",DATOS_[id],DATOS_[id]))))))</f>
        <v>49</v>
      </c>
      <c r="D29" s="35">
        <f>COUNTIFS(DATOS_[AGRUP. CLAS. PROF.],$B27,DATOS_[Sexo],$B29,DATOS_[Check Periodo Ref.],"Dentro")</f>
        <v>55</v>
      </c>
      <c r="E29" s="110">
        <f t="array" ref="E29">IFERROR(
MEDIAN(IF(DATOS_[Sexo]=$B29,IF(DATOS_[AGRUP. CLAS. PROF.]=$B27,IF(DATOS_[Check Periodo Ref.]="Dentro",DATOS_[SALARIO BASE Ef],FALSE)))),
0)</f>
        <v>12915.07</v>
      </c>
      <c r="F29" s="111">
        <f t="array" ref="F29">IFERROR(
MEDIAN((IF(DATOS_[[Sexo]:[Sexo]]=$B29,IF(DATOS_[[AGRUP. CLAS. PROF.]:[AGRUP. CLAS. PROF.]]=$B27,IF(DATOS_[[Check Periodo Ref.]:[Check Periodo Ref.]]="Dentro",DATOS_[Conc.Sal.01]))))),
0)</f>
        <v>84.930000000000291</v>
      </c>
      <c r="G29" s="111">
        <f t="array" ref="G29">IFERROR(
MEDIAN((IF(DATOS_[[Sexo]:[Sexo]]=$B29,IF(DATOS_[[AGRUP. CLAS. PROF.]:[AGRUP. CLAS. PROF.]]=$B27,IF(DATOS_[[Check Periodo Ref.]:[Check Periodo Ref.]]="Dentro",DATOS_[Conc.Sal.02]))))),
0)</f>
        <v>0</v>
      </c>
      <c r="H29" s="111">
        <f t="array" ref="H29">IFERROR(
MEDIAN((IF(DATOS_[[Sexo]:[Sexo]]=$B29,IF(DATOS_[[AGRUP. CLAS. PROF.]:[AGRUP. CLAS. PROF.]]=$B27,IF(DATOS_[[Check Periodo Ref.]:[Check Periodo Ref.]]="Dentro",DATOS_[Conc.Sal.03]))))),
0)</f>
        <v>960</v>
      </c>
      <c r="I29" s="111">
        <f t="array" ref="I29">IFERROR(
MEDIAN((IF(DATOS_[[Sexo]:[Sexo]]=$B29,IF(DATOS_[[AGRUP. CLAS. PROF.]:[AGRUP. CLAS. PROF.]]=$B27,IF(DATOS_[[Check Periodo Ref.]:[Check Periodo Ref.]]="Dentro",DATOS_[Conc.Sal.04]))))),
0)</f>
        <v>0</v>
      </c>
      <c r="J29" s="111">
        <f t="array" ref="J29">IFERROR(
MEDIAN((IF(DATOS_[[Sexo]:[Sexo]]=$B29,IF(DATOS_[[AGRUP. CLAS. PROF.]:[AGRUP. CLAS. PROF.]]=$B27,IF(DATOS_[[Check Periodo Ref.]:[Check Periodo Ref.]]="Dentro",DATOS_[Conc.Sal.05]))))),
0)</f>
        <v>0</v>
      </c>
      <c r="K29" s="111">
        <f t="array" ref="K29">IFERROR(
MEDIAN((IF(DATOS_[[Sexo]:[Sexo]]=$B29,IF(DATOS_[[AGRUP. CLAS. PROF.]:[AGRUP. CLAS. PROF.]]=$B27,IF(DATOS_[[Check Periodo Ref.]:[Check Periodo Ref.]]="Dentro",DATOS_[Conc.Sal.06]))))),
0)</f>
        <v>0</v>
      </c>
      <c r="L29" s="111">
        <f t="array" ref="L29">IFERROR(
MEDIAN((IF(DATOS_[[Sexo]:[Sexo]]=$B29,IF(DATOS_[[AGRUP. CLAS. PROF.]:[AGRUP. CLAS. PROF.]]=$B27,IF(DATOS_[[Check Periodo Ref.]:[Check Periodo Ref.]]="Dentro",DATOS_[Conc.Sal.07]))))),
0)</f>
        <v>80</v>
      </c>
      <c r="M29" s="111">
        <f t="array" ref="M29">IFERROR(
MEDIAN((IF(DATOS_[[Sexo]:[Sexo]]=$B29,IF(DATOS_[[AGRUP. CLAS. PROF.]:[AGRUP. CLAS. PROF.]]=$B27,IF(DATOS_[[Check Periodo Ref.]:[Check Periodo Ref.]]="Dentro",DATOS_[Conc.Sal.08]))))),
0)</f>
        <v>0</v>
      </c>
      <c r="N29" s="111">
        <f t="array" ref="N29">IFERROR(
MEDIAN((IF(DATOS_[[Sexo]:[Sexo]]=$B29,IF(DATOS_[[AGRUP. CLAS. PROF.]:[AGRUP. CLAS. PROF.]]=$B27,IF(DATOS_[[Check Periodo Ref.]:[Check Periodo Ref.]]="Dentro",DATOS_[Conc.Sal.09]))))),
0)</f>
        <v>0</v>
      </c>
      <c r="O29" s="111">
        <f t="array" ref="O29">IFERROR(
MEDIAN((IF(DATOS_[[Sexo]:[Sexo]]=$B29,IF(DATOS_[[AGRUP. CLAS. PROF.]:[AGRUP. CLAS. PROF.]]=$B27,IF(DATOS_[[Check Periodo Ref.]:[Check Periodo Ref.]]="Dentro",DATOS_[Conc.Sal.10]))))),
0)</f>
        <v>0</v>
      </c>
      <c r="P29" s="111">
        <f t="array" ref="P29">IFERROR(
MEDIAN((IF(DATOS_[[Sexo]:[Sexo]]=$B29,IF(DATOS_[[AGRUP. CLAS. PROF.]:[AGRUP. CLAS. PROF.]]=$B27,IF(DATOS_[[Check Periodo Ref.]:[Check Periodo Ref.]]="Dentro",DATOS_[Conc.Sal.11]))))),
0)</f>
        <v>0</v>
      </c>
      <c r="Q29" s="111">
        <f t="array" ref="Q29">IFERROR(
MEDIAN((IF(DATOS_[[Sexo]:[Sexo]]=$B29,IF(DATOS_[[AGRUP. CLAS. PROF.]:[AGRUP. CLAS. PROF.]]=$B27,IF(DATOS_[[Check Periodo Ref.]:[Check Periodo Ref.]]="Dentro",DATOS_[Conc.Sal.12]))))),
0)</f>
        <v>0</v>
      </c>
      <c r="R29" s="111">
        <f t="array" ref="R29">IFERROR(
MEDIAN((IF(DATOS_[[Sexo]:[Sexo]]=$B29,IF(DATOS_[[AGRUP. CLAS. PROF.]:[AGRUP. CLAS. PROF.]]=$B27,IF(DATOS_[[Check Periodo Ref.]:[Check Periodo Ref.]]="Dentro",DATOS_[Conc.Sal.13]))))),
0)</f>
        <v>0</v>
      </c>
      <c r="S29" s="111">
        <f t="array" ref="S29">IFERROR(
MEDIAN((IF(DATOS_[[Sexo]:[Sexo]]=$B29,IF(DATOS_[[AGRUP. CLAS. PROF.]:[AGRUP. CLAS. PROF.]]=$B27,IF(DATOS_[[Check Periodo Ref.]:[Check Periodo Ref.]]="Dentro",DATOS_[Conc.Sal.14]))))),
0)</f>
        <v>0</v>
      </c>
      <c r="T29" s="111">
        <f t="array" ref="T29">IFERROR(
MEDIAN((IF(DATOS_[[Sexo]:[Sexo]]=$B29,IF(DATOS_[[AGRUP. CLAS. PROF.]:[AGRUP. CLAS. PROF.]]=$B27,IF(DATOS_[[Check Periodo Ref.]:[Check Periodo Ref.]]="Dentro",DATOS_[Conc.Sal.15]))))),
0)</f>
        <v>0</v>
      </c>
      <c r="U29" s="111">
        <f t="array" ref="U29">IFERROR(
MEDIAN((IF(DATOS_[[Sexo]:[Sexo]]=$B29,IF(DATOS_[[AGRUP. CLAS. PROF.]:[AGRUP. CLAS. PROF.]]=$B27,IF(DATOS_[[Check Periodo Ref.]:[Check Periodo Ref.]]="Dentro",DATOS_[Conc.Sal.16]))))),
0)</f>
        <v>0</v>
      </c>
      <c r="V29" s="111">
        <f t="array" ref="V29">IFERROR(
MEDIAN((IF(DATOS_[[Sexo]:[Sexo]]=$B29,IF(DATOS_[[AGRUP. CLAS. PROF.]:[AGRUP. CLAS. PROF.]]=$B27,IF(DATOS_[[Check Periodo Ref.]:[Check Periodo Ref.]]="Dentro",DATOS_[Conc.Sal.17]))))),
0)</f>
        <v>0</v>
      </c>
      <c r="W29" s="111">
        <f t="array" ref="W29">IFERROR(
MEDIAN((IF(DATOS_[[Sexo]:[Sexo]]=$B29,IF(DATOS_[[AGRUP. CLAS. PROF.]:[AGRUP. CLAS. PROF.]]=$B27,IF(DATOS_[[Check Periodo Ref.]:[Check Periodo Ref.]]="Dentro",DATOS_[Conc.Sal.18]))))),
0)</f>
        <v>0</v>
      </c>
      <c r="X29" s="111">
        <f t="array" ref="X29">IFERROR(
MEDIAN((IF(DATOS_[[Sexo]:[Sexo]]=$B29,IF(DATOS_[[AGRUP. CLAS. PROF.]:[AGRUP. CLAS. PROF.]]=$B27,IF(DATOS_[[Check Periodo Ref.]:[Check Periodo Ref.]]="Dentro",DATOS_[Conc.Sal.19]))))),
0)</f>
        <v>0</v>
      </c>
      <c r="Y29" s="111">
        <f t="array" ref="Y29">IFERROR(
MEDIAN((IF(DATOS_[[Sexo]:[Sexo]]=$B29,IF(DATOS_[[AGRUP. CLAS. PROF.]:[AGRUP. CLAS. PROF.]]=$B27,IF(DATOS_[[Check Periodo Ref.]:[Check Periodo Ref.]]="Dentro",DATOS_[Conc.Sal.20]))))),
0)</f>
        <v>0</v>
      </c>
      <c r="Z29" s="111">
        <f t="array" ref="Z29">IFERROR(
MEDIAN((IF(DATOS_[[Sexo]:[Sexo]]=$B29,IF(DATOS_[[AGRUP. CLAS. PROF.]:[AGRUP. CLAS. PROF.]]=$B27,IF(DATOS_[[Check Periodo Ref.]:[Check Periodo Ref.]]="Dentro",DATOS_[Conc.Sal.21]))))),
0)</f>
        <v>0</v>
      </c>
      <c r="AA29" s="111">
        <f t="array" ref="AA29">IFERROR(
MEDIAN((IF(DATOS_[[Sexo]:[Sexo]]=$B29,IF(DATOS_[[AGRUP. CLAS. PROF.]:[AGRUP. CLAS. PROF.]]=$B27,IF(DATOS_[[Check Periodo Ref.]:[Check Periodo Ref.]]="Dentro",DATOS_[Conc.Sal.22]))))),
0)</f>
        <v>0</v>
      </c>
      <c r="AB29" s="111">
        <f t="array" ref="AB29">IFERROR(
MEDIAN((IF(DATOS_[[Sexo]:[Sexo]]=$B29,IF(DATOS_[[AGRUP. CLAS. PROF.]:[AGRUP. CLAS. PROF.]]=$B27,IF(DATOS_[[Check Periodo Ref.]:[Check Periodo Ref.]]="Dentro",DATOS_[Conc.Sal.23]))))),
0)</f>
        <v>0</v>
      </c>
      <c r="AC29" s="111">
        <f t="array" ref="AC29">IFERROR(
MEDIAN((IF(DATOS_[[Sexo]:[Sexo]]=$B29,IF(DATOS_[[AGRUP. CLAS. PROF.]:[AGRUP. CLAS. PROF.]]=$B27,IF(DATOS_[[Check Periodo Ref.]:[Check Periodo Ref.]]="Dentro",DATOS_[Conc.Sal.24]))))),
0)</f>
        <v>0</v>
      </c>
      <c r="AD29" s="111">
        <f t="array" ref="AD29">IFERROR(
MEDIAN((IF(DATOS_[[Sexo]:[Sexo]]=$B29,IF(DATOS_[[AGRUP. CLAS. PROF.]:[AGRUP. CLAS. PROF.]]=$B27,IF(DATOS_[[Check Periodo Ref.]:[Check Periodo Ref.]]="Dentro",DATOS_[Conc.Sal.25]))))),
0)</f>
        <v>0</v>
      </c>
      <c r="AE29" s="111">
        <f t="array" ref="AE29">IFERROR(
MEDIAN((IF(DATOS_[[Sexo]:[Sexo]]=$B29,IF(DATOS_[[AGRUP. CLAS. PROF.]:[AGRUP. CLAS. PROF.]]=$B27,IF(DATOS_[[Check Periodo Ref.]:[Check Periodo Ref.]]="Dentro",DATOS_[Conc.Sal.26]))))),
0)</f>
        <v>0</v>
      </c>
      <c r="AF29" s="111">
        <f t="array" ref="AF29">IFERROR(
MEDIAN((IF(DATOS_[[Sexo]:[Sexo]]=$B29,IF(DATOS_[[AGRUP. CLAS. PROF.]:[AGRUP. CLAS. PROF.]]=$B27,IF(DATOS_[[Check Periodo Ref.]:[Check Periodo Ref.]]="Dentro",DATOS_[Conc.Sal.27]))))),
0)</f>
        <v>0</v>
      </c>
      <c r="AG29" s="111">
        <f t="array" ref="AG29">IFERROR(
MEDIAN((IF(DATOS_[[Sexo]:[Sexo]]=$B29,IF(DATOS_[[AGRUP. CLAS. PROF.]:[AGRUP. CLAS. PROF.]]=$B27,IF(DATOS_[[Check Periodo Ref.]:[Check Periodo Ref.]]="Dentro",DATOS_[Conc.Sal.28]))))),
0)</f>
        <v>0</v>
      </c>
      <c r="AH29" s="111">
        <f t="array" ref="AH29">IFERROR(
MEDIAN((IF(DATOS_[[Sexo]:[Sexo]]=$B29,IF(DATOS_[[AGRUP. CLAS. PROF.]:[AGRUP. CLAS. PROF.]]=$B27,IF(DATOS_[[Check Periodo Ref.]:[Check Periodo Ref.]]="Dentro",DATOS_[Conc.Sal.29]))))),
0)</f>
        <v>0</v>
      </c>
      <c r="AI29" s="111">
        <f t="array" ref="AI29">IFERROR(
MEDIAN((IF(DATOS_[[Sexo]:[Sexo]]=$B29,IF(DATOS_[[AGRUP. CLAS. PROF.]:[AGRUP. CLAS. PROF.]]=$B27,IF(DATOS_[[Check Periodo Ref.]:[Check Periodo Ref.]]="Dentro",DATOS_[Conc.Sal.30]))))),
0)</f>
        <v>0</v>
      </c>
      <c r="AJ29" s="112">
        <f t="array" ref="AJ29">IFERROR(
MEDIAN(IF(DATOS_[Sexo]=$B29,IF(DATOS_[AGRUP. CLAS. PROF.]=$B27,IF(DATOS_[Check Periodo Ref.]="Dentro",DATOS_[Tot COMPL.SAL Ef],FALSE)))),
0)</f>
        <v>1124.9300000000003</v>
      </c>
      <c r="AK29" s="113">
        <f t="array" ref="AK29">IFERROR(
MEDIAN(IF(DATOS_[Sexo]=$B29,IF(DATOS_[AGRUP. CLAS. PROF.]=$B27,IF(DATOS_[Check Periodo Ref.]="Dentro",DATOS_[TOTAL SALARIO Ef],FALSE)))),
0)</f>
        <v>14040</v>
      </c>
      <c r="AL29" s="114">
        <f t="array" ref="AL29">IFERROR(
MEDIAN((IF(DATOS_[[Sexo]:[Sexo]]=$B29,IF(DATOS_[[AGRUP. CLAS. PROF.]:[AGRUP. CLAS. PROF.]]=$B27,IF(DATOS_[[Check Periodo Ref.]:[Check Periodo Ref.]]="Dentro",DATOS_[C.Extra.01]))))),
0)</f>
        <v>0</v>
      </c>
      <c r="AM29" s="114">
        <f t="array" ref="AM29">IFERROR(
MEDIAN((IF(DATOS_[[Sexo]:[Sexo]]=$B29,IF(DATOS_[[AGRUP. CLAS. PROF.]:[AGRUP. CLAS. PROF.]]=$B27,IF(DATOS_[[Check Periodo Ref.]:[Check Periodo Ref.]]="Dentro",DATOS_[C.Extra.02]))))),
0)</f>
        <v>0</v>
      </c>
      <c r="AN29" s="114">
        <f t="array" ref="AN29">IFERROR(
MEDIAN((IF(DATOS_[[Sexo]:[Sexo]]=$B29,IF(DATOS_[[AGRUP. CLAS. PROF.]:[AGRUP. CLAS. PROF.]]=$B27,IF(DATOS_[[Check Periodo Ref.]:[Check Periodo Ref.]]="Dentro",DATOS_[C.Extra.03]))))),
0)</f>
        <v>0</v>
      </c>
      <c r="AO29" s="114">
        <f t="array" ref="AO29">IFERROR(
MEDIAN((IF(DATOS_[[Sexo]:[Sexo]]=$B29,IF(DATOS_[[AGRUP. CLAS. PROF.]:[AGRUP. CLAS. PROF.]]=$B27,IF(DATOS_[[Check Periodo Ref.]:[Check Periodo Ref.]]="Dentro",DATOS_[C.Extra.04]))))),
0)</f>
        <v>0</v>
      </c>
      <c r="AP29" s="114">
        <f t="array" ref="AP29">IFERROR(
MEDIAN((IF(DATOS_[[Sexo]:[Sexo]]=$B29,IF(DATOS_[[AGRUP. CLAS. PROF.]:[AGRUP. CLAS. PROF.]]=$B27,IF(DATOS_[[Check Periodo Ref.]:[Check Periodo Ref.]]="Dentro",DATOS_[C.Extra.05]))))),
0)</f>
        <v>0</v>
      </c>
      <c r="AQ29" s="115">
        <f t="array" ref="AQ29">IFERROR(
MEDIAN(IF(DATOS_[Sexo]=$B29,IF(DATOS_[AGRUP. CLAS. PROF.]=$B27,IF(DATOS_[Check Periodo Ref.]="Dentro",DATOS_[Tot Extrasalarial Ef],FALSE)))),
0)</f>
        <v>0</v>
      </c>
      <c r="AR29" s="116">
        <f t="array" ref="AR29">IFERROR(
MEDIAN(IF(DATOS_[Sexo]=$B29,IF(DATOS_[AGRUP. CLAS. PROF.]=$B27,IF(DATOS_[Check Periodo Ref.]="Dentro",DATOS_[TOTAL Retrib Ef],FALSE)))),
0)</f>
        <v>14040</v>
      </c>
    </row>
    <row r="30" spans="1:44" ht="17.25" hidden="1" thickBot="1" x14ac:dyDescent="0.35">
      <c r="A30" s="42" t="str">
        <f t="shared" ref="A30" si="23">+A31</f>
        <v>[ocultar]</v>
      </c>
      <c r="B30" s="40" t="s">
        <v>312</v>
      </c>
      <c r="C30" s="109"/>
      <c r="D30" s="41"/>
      <c r="E30" s="119" t="str">
        <f t="shared" ref="E30:AR30" si="24">IFERROR((E31-E32)/E31,"")</f>
        <v/>
      </c>
      <c r="F30" s="123" t="str">
        <f t="shared" si="24"/>
        <v/>
      </c>
      <c r="G30" s="123" t="str">
        <f t="shared" si="24"/>
        <v/>
      </c>
      <c r="H30" s="123" t="str">
        <f t="shared" si="24"/>
        <v/>
      </c>
      <c r="I30" s="123" t="str">
        <f t="shared" si="24"/>
        <v/>
      </c>
      <c r="J30" s="123" t="str">
        <f t="shared" si="24"/>
        <v/>
      </c>
      <c r="K30" s="123" t="str">
        <f t="shared" si="24"/>
        <v/>
      </c>
      <c r="L30" s="123" t="str">
        <f t="shared" si="24"/>
        <v/>
      </c>
      <c r="M30" s="123" t="str">
        <f t="shared" si="24"/>
        <v/>
      </c>
      <c r="N30" s="123" t="str">
        <f t="shared" si="24"/>
        <v/>
      </c>
      <c r="O30" s="123" t="str">
        <f t="shared" si="24"/>
        <v/>
      </c>
      <c r="P30" s="123" t="str">
        <f t="shared" si="24"/>
        <v/>
      </c>
      <c r="Q30" s="123" t="str">
        <f t="shared" si="24"/>
        <v/>
      </c>
      <c r="R30" s="123" t="str">
        <f t="shared" si="24"/>
        <v/>
      </c>
      <c r="S30" s="123" t="str">
        <f t="shared" si="24"/>
        <v/>
      </c>
      <c r="T30" s="123" t="str">
        <f t="shared" si="24"/>
        <v/>
      </c>
      <c r="U30" s="123" t="str">
        <f t="shared" si="24"/>
        <v/>
      </c>
      <c r="V30" s="122" t="str">
        <f t="shared" si="24"/>
        <v/>
      </c>
      <c r="W30" s="122" t="str">
        <f t="shared" si="24"/>
        <v/>
      </c>
      <c r="X30" s="122" t="str">
        <f t="shared" si="24"/>
        <v/>
      </c>
      <c r="Y30" s="122" t="str">
        <f t="shared" si="24"/>
        <v/>
      </c>
      <c r="Z30" s="122" t="str">
        <f t="shared" si="24"/>
        <v/>
      </c>
      <c r="AA30" s="122" t="str">
        <f t="shared" si="24"/>
        <v/>
      </c>
      <c r="AB30" s="122" t="str">
        <f t="shared" si="24"/>
        <v/>
      </c>
      <c r="AC30" s="122" t="str">
        <f t="shared" si="24"/>
        <v/>
      </c>
      <c r="AD30" s="122" t="str">
        <f t="shared" si="24"/>
        <v/>
      </c>
      <c r="AE30" s="122" t="str">
        <f t="shared" si="24"/>
        <v/>
      </c>
      <c r="AF30" s="122" t="str">
        <f t="shared" si="24"/>
        <v/>
      </c>
      <c r="AG30" s="122" t="str">
        <f t="shared" si="24"/>
        <v/>
      </c>
      <c r="AH30" s="122" t="str">
        <f t="shared" si="24"/>
        <v/>
      </c>
      <c r="AI30" s="122" t="str">
        <f t="shared" si="24"/>
        <v/>
      </c>
      <c r="AJ30" s="124" t="str">
        <f t="shared" si="24"/>
        <v/>
      </c>
      <c r="AK30" s="128" t="str">
        <f t="shared" si="24"/>
        <v/>
      </c>
      <c r="AL30" s="125" t="str">
        <f t="shared" si="24"/>
        <v/>
      </c>
      <c r="AM30" s="125" t="str">
        <f t="shared" si="24"/>
        <v/>
      </c>
      <c r="AN30" s="125" t="str">
        <f t="shared" si="24"/>
        <v/>
      </c>
      <c r="AO30" s="125" t="str">
        <f t="shared" si="24"/>
        <v/>
      </c>
      <c r="AP30" s="125" t="str">
        <f t="shared" si="24"/>
        <v/>
      </c>
      <c r="AQ30" s="126" t="str">
        <f t="shared" si="24"/>
        <v/>
      </c>
      <c r="AR30" s="127" t="str">
        <f t="shared" si="24"/>
        <v/>
      </c>
    </row>
    <row r="31" spans="1:44" hidden="1" x14ac:dyDescent="0.3">
      <c r="A31" s="42" t="str">
        <f t="shared" ref="A31" si="25">+IF(C31+C32=0,"[ocultar]","")</f>
        <v>[ocultar]</v>
      </c>
      <c r="B31" s="34" t="s">
        <v>162</v>
      </c>
      <c r="C31" s="33">
        <f t="array" ref="C31">SUM(IF($B31=DATOS_[Sexo],
IF($B30=DATOS_[AGRUP. CLAS. PROF.],
IF("Dentro"=DATOS_[Check Periodo Ref.],
1/(COUNTIFS(DATOS_[Sexo],$B31,DATOS_[AGRUP. CLAS. PROF.],$B30,DATOS_[Check Periodo Ref.],"Dentro",DATOS_[id],DATOS_[id]))))))</f>
        <v>0</v>
      </c>
      <c r="D31" s="35">
        <f>COUNTIFS(DATOS_[AGRUP. CLAS. PROF.],$B30,DATOS_[Sexo],$B31,DATOS_[Check Periodo Ref.],"Dentro")</f>
        <v>0</v>
      </c>
      <c r="E31" s="110">
        <f t="array" ref="E31">IFERROR(
MEDIAN(IF(DATOS_[Sexo]=$B31,IF(DATOS_[AGRUP. CLAS. PROF.]=$B30,IF(DATOS_[Check Periodo Ref.]="Dentro",DATOS_[SALARIO BASE Ef],FALSE)))),
0)</f>
        <v>0</v>
      </c>
      <c r="F31" s="111">
        <f t="array" ref="F31">IFERROR(
MEDIAN((IF(DATOS_[[Sexo]:[Sexo]]=$B31,IF(DATOS_[[AGRUP. CLAS. PROF.]:[AGRUP. CLAS. PROF.]]=$B30,IF(DATOS_[[Check Periodo Ref.]:[Check Periodo Ref.]]="Dentro",DATOS_[Conc.Sal.01]))))),
0)</f>
        <v>0</v>
      </c>
      <c r="G31" s="111">
        <f t="array" ref="G31">IFERROR(
MEDIAN((IF(DATOS_[[Sexo]:[Sexo]]=$B31,IF(DATOS_[[AGRUP. CLAS. PROF.]:[AGRUP. CLAS. PROF.]]=$B30,IF(DATOS_[[Check Periodo Ref.]:[Check Periodo Ref.]]="Dentro",DATOS_[Conc.Sal.02]))))),
0)</f>
        <v>0</v>
      </c>
      <c r="H31" s="111">
        <f t="array" ref="H31">IFERROR(
MEDIAN((IF(DATOS_[[Sexo]:[Sexo]]=$B31,IF(DATOS_[[AGRUP. CLAS. PROF.]:[AGRUP. CLAS. PROF.]]=$B30,IF(DATOS_[[Check Periodo Ref.]:[Check Periodo Ref.]]="Dentro",DATOS_[Conc.Sal.03]))))),
0)</f>
        <v>0</v>
      </c>
      <c r="I31" s="111">
        <f t="array" ref="I31">IFERROR(
MEDIAN((IF(DATOS_[[Sexo]:[Sexo]]=$B31,IF(DATOS_[[AGRUP. CLAS. PROF.]:[AGRUP. CLAS. PROF.]]=$B30,IF(DATOS_[[Check Periodo Ref.]:[Check Periodo Ref.]]="Dentro",DATOS_[Conc.Sal.04]))))),
0)</f>
        <v>0</v>
      </c>
      <c r="J31" s="111">
        <f t="array" ref="J31">IFERROR(
MEDIAN((IF(DATOS_[[Sexo]:[Sexo]]=$B31,IF(DATOS_[[AGRUP. CLAS. PROF.]:[AGRUP. CLAS. PROF.]]=$B30,IF(DATOS_[[Check Periodo Ref.]:[Check Periodo Ref.]]="Dentro",DATOS_[Conc.Sal.05]))))),
0)</f>
        <v>0</v>
      </c>
      <c r="K31" s="111">
        <f t="array" ref="K31">IFERROR(
MEDIAN((IF(DATOS_[[Sexo]:[Sexo]]=$B31,IF(DATOS_[[AGRUP. CLAS. PROF.]:[AGRUP. CLAS. PROF.]]=$B30,IF(DATOS_[[Check Periodo Ref.]:[Check Periodo Ref.]]="Dentro",DATOS_[Conc.Sal.06]))))),
0)</f>
        <v>0</v>
      </c>
      <c r="L31" s="111">
        <f t="array" ref="L31">IFERROR(
MEDIAN((IF(DATOS_[[Sexo]:[Sexo]]=$B31,IF(DATOS_[[AGRUP. CLAS. PROF.]:[AGRUP. CLAS. PROF.]]=$B30,IF(DATOS_[[Check Periodo Ref.]:[Check Periodo Ref.]]="Dentro",DATOS_[Conc.Sal.07]))))),
0)</f>
        <v>0</v>
      </c>
      <c r="M31" s="111">
        <f t="array" ref="M31">IFERROR(
MEDIAN((IF(DATOS_[[Sexo]:[Sexo]]=$B31,IF(DATOS_[[AGRUP. CLAS. PROF.]:[AGRUP. CLAS. PROF.]]=$B30,IF(DATOS_[[Check Periodo Ref.]:[Check Periodo Ref.]]="Dentro",DATOS_[Conc.Sal.08]))))),
0)</f>
        <v>0</v>
      </c>
      <c r="N31" s="111">
        <f t="array" ref="N31">IFERROR(
MEDIAN((IF(DATOS_[[Sexo]:[Sexo]]=$B31,IF(DATOS_[[AGRUP. CLAS. PROF.]:[AGRUP. CLAS. PROF.]]=$B30,IF(DATOS_[[Check Periodo Ref.]:[Check Periodo Ref.]]="Dentro",DATOS_[Conc.Sal.09]))))),
0)</f>
        <v>0</v>
      </c>
      <c r="O31" s="111">
        <f t="array" ref="O31">IFERROR(
MEDIAN((IF(DATOS_[[Sexo]:[Sexo]]=$B31,IF(DATOS_[[AGRUP. CLAS. PROF.]:[AGRUP. CLAS. PROF.]]=$B30,IF(DATOS_[[Check Periodo Ref.]:[Check Periodo Ref.]]="Dentro",DATOS_[Conc.Sal.10]))))),
0)</f>
        <v>0</v>
      </c>
      <c r="P31" s="111">
        <f t="array" ref="P31">IFERROR(
MEDIAN((IF(DATOS_[[Sexo]:[Sexo]]=$B31,IF(DATOS_[[AGRUP. CLAS. PROF.]:[AGRUP. CLAS. PROF.]]=$B30,IF(DATOS_[[Check Periodo Ref.]:[Check Periodo Ref.]]="Dentro",DATOS_[Conc.Sal.11]))))),
0)</f>
        <v>0</v>
      </c>
      <c r="Q31" s="111">
        <f t="array" ref="Q31">IFERROR(
MEDIAN((IF(DATOS_[[Sexo]:[Sexo]]=$B31,IF(DATOS_[[AGRUP. CLAS. PROF.]:[AGRUP. CLAS. PROF.]]=$B30,IF(DATOS_[[Check Periodo Ref.]:[Check Periodo Ref.]]="Dentro",DATOS_[Conc.Sal.12]))))),
0)</f>
        <v>0</v>
      </c>
      <c r="R31" s="111">
        <f t="array" ref="R31">IFERROR(
MEDIAN((IF(DATOS_[[Sexo]:[Sexo]]=$B31,IF(DATOS_[[AGRUP. CLAS. PROF.]:[AGRUP. CLAS. PROF.]]=$B30,IF(DATOS_[[Check Periodo Ref.]:[Check Periodo Ref.]]="Dentro",DATOS_[Conc.Sal.13]))))),
0)</f>
        <v>0</v>
      </c>
      <c r="S31" s="111">
        <f t="array" ref="S31">IFERROR(
MEDIAN((IF(DATOS_[[Sexo]:[Sexo]]=$B31,IF(DATOS_[[AGRUP. CLAS. PROF.]:[AGRUP. CLAS. PROF.]]=$B30,IF(DATOS_[[Check Periodo Ref.]:[Check Periodo Ref.]]="Dentro",DATOS_[Conc.Sal.14]))))),
0)</f>
        <v>0</v>
      </c>
      <c r="T31" s="111">
        <f t="array" ref="T31">IFERROR(
MEDIAN((IF(DATOS_[[Sexo]:[Sexo]]=$B31,IF(DATOS_[[AGRUP. CLAS. PROF.]:[AGRUP. CLAS. PROF.]]=$B30,IF(DATOS_[[Check Periodo Ref.]:[Check Periodo Ref.]]="Dentro",DATOS_[Conc.Sal.15]))))),
0)</f>
        <v>0</v>
      </c>
      <c r="U31" s="111">
        <f t="array" ref="U31">IFERROR(
MEDIAN((IF(DATOS_[[Sexo]:[Sexo]]=$B31,IF(DATOS_[[AGRUP. CLAS. PROF.]:[AGRUP. CLAS. PROF.]]=$B30,IF(DATOS_[[Check Periodo Ref.]:[Check Periodo Ref.]]="Dentro",DATOS_[Conc.Sal.16]))))),
0)</f>
        <v>0</v>
      </c>
      <c r="V31" s="111">
        <f t="array" ref="V31">IFERROR(
MEDIAN((IF(DATOS_[[Sexo]:[Sexo]]=$B31,IF(DATOS_[[AGRUP. CLAS. PROF.]:[AGRUP. CLAS. PROF.]]=$B30,IF(DATOS_[[Check Periodo Ref.]:[Check Periodo Ref.]]="Dentro",DATOS_[Conc.Sal.17]))))),
0)</f>
        <v>0</v>
      </c>
      <c r="W31" s="111">
        <f t="array" ref="W31">IFERROR(
MEDIAN((IF(DATOS_[[Sexo]:[Sexo]]=$B31,IF(DATOS_[[AGRUP. CLAS. PROF.]:[AGRUP. CLAS. PROF.]]=$B30,IF(DATOS_[[Check Periodo Ref.]:[Check Periodo Ref.]]="Dentro",DATOS_[Conc.Sal.18]))))),
0)</f>
        <v>0</v>
      </c>
      <c r="X31" s="111">
        <f t="array" ref="X31">IFERROR(
MEDIAN((IF(DATOS_[[Sexo]:[Sexo]]=$B31,IF(DATOS_[[AGRUP. CLAS. PROF.]:[AGRUP. CLAS. PROF.]]=$B30,IF(DATOS_[[Check Periodo Ref.]:[Check Periodo Ref.]]="Dentro",DATOS_[Conc.Sal.19]))))),
0)</f>
        <v>0</v>
      </c>
      <c r="Y31" s="111">
        <f t="array" ref="Y31">IFERROR(
MEDIAN((IF(DATOS_[[Sexo]:[Sexo]]=$B31,IF(DATOS_[[AGRUP. CLAS. PROF.]:[AGRUP. CLAS. PROF.]]=$B30,IF(DATOS_[[Check Periodo Ref.]:[Check Periodo Ref.]]="Dentro",DATOS_[Conc.Sal.20]))))),
0)</f>
        <v>0</v>
      </c>
      <c r="Z31" s="111">
        <f t="array" ref="Z31">IFERROR(
MEDIAN((IF(DATOS_[[Sexo]:[Sexo]]=$B31,IF(DATOS_[[AGRUP. CLAS. PROF.]:[AGRUP. CLAS. PROF.]]=$B30,IF(DATOS_[[Check Periodo Ref.]:[Check Periodo Ref.]]="Dentro",DATOS_[Conc.Sal.21]))))),
0)</f>
        <v>0</v>
      </c>
      <c r="AA31" s="111">
        <f t="array" ref="AA31">IFERROR(
MEDIAN((IF(DATOS_[[Sexo]:[Sexo]]=$B31,IF(DATOS_[[AGRUP. CLAS. PROF.]:[AGRUP. CLAS. PROF.]]=$B30,IF(DATOS_[[Check Periodo Ref.]:[Check Periodo Ref.]]="Dentro",DATOS_[Conc.Sal.22]))))),
0)</f>
        <v>0</v>
      </c>
      <c r="AB31" s="111">
        <f t="array" ref="AB31">IFERROR(
MEDIAN((IF(DATOS_[[Sexo]:[Sexo]]=$B31,IF(DATOS_[[AGRUP. CLAS. PROF.]:[AGRUP. CLAS. PROF.]]=$B30,IF(DATOS_[[Check Periodo Ref.]:[Check Periodo Ref.]]="Dentro",DATOS_[Conc.Sal.23]))))),
0)</f>
        <v>0</v>
      </c>
      <c r="AC31" s="111">
        <f t="array" ref="AC31">IFERROR(
MEDIAN((IF(DATOS_[[Sexo]:[Sexo]]=$B31,IF(DATOS_[[AGRUP. CLAS. PROF.]:[AGRUP. CLAS. PROF.]]=$B30,IF(DATOS_[[Check Periodo Ref.]:[Check Periodo Ref.]]="Dentro",DATOS_[Conc.Sal.24]))))),
0)</f>
        <v>0</v>
      </c>
      <c r="AD31" s="111">
        <f t="array" ref="AD31">IFERROR(
MEDIAN((IF(DATOS_[[Sexo]:[Sexo]]=$B31,IF(DATOS_[[AGRUP. CLAS. PROF.]:[AGRUP. CLAS. PROF.]]=$B30,IF(DATOS_[[Check Periodo Ref.]:[Check Periodo Ref.]]="Dentro",DATOS_[Conc.Sal.25]))))),
0)</f>
        <v>0</v>
      </c>
      <c r="AE31" s="111">
        <f t="array" ref="AE31">IFERROR(
MEDIAN((IF(DATOS_[[Sexo]:[Sexo]]=$B31,IF(DATOS_[[AGRUP. CLAS. PROF.]:[AGRUP. CLAS. PROF.]]=$B30,IF(DATOS_[[Check Periodo Ref.]:[Check Periodo Ref.]]="Dentro",DATOS_[Conc.Sal.26]))))),
0)</f>
        <v>0</v>
      </c>
      <c r="AF31" s="111">
        <f t="array" ref="AF31">IFERROR(
MEDIAN((IF(DATOS_[[Sexo]:[Sexo]]=$B31,IF(DATOS_[[AGRUP. CLAS. PROF.]:[AGRUP. CLAS. PROF.]]=$B30,IF(DATOS_[[Check Periodo Ref.]:[Check Periodo Ref.]]="Dentro",DATOS_[Conc.Sal.27]))))),
0)</f>
        <v>0</v>
      </c>
      <c r="AG31" s="111">
        <f t="array" ref="AG31">IFERROR(
MEDIAN((IF(DATOS_[[Sexo]:[Sexo]]=$B31,IF(DATOS_[[AGRUP. CLAS. PROF.]:[AGRUP. CLAS. PROF.]]=$B30,IF(DATOS_[[Check Periodo Ref.]:[Check Periodo Ref.]]="Dentro",DATOS_[Conc.Sal.28]))))),
0)</f>
        <v>0</v>
      </c>
      <c r="AH31" s="111">
        <f t="array" ref="AH31">IFERROR(
MEDIAN((IF(DATOS_[[Sexo]:[Sexo]]=$B31,IF(DATOS_[[AGRUP. CLAS. PROF.]:[AGRUP. CLAS. PROF.]]=$B30,IF(DATOS_[[Check Periodo Ref.]:[Check Periodo Ref.]]="Dentro",DATOS_[Conc.Sal.29]))))),
0)</f>
        <v>0</v>
      </c>
      <c r="AI31" s="111">
        <f t="array" ref="AI31">IFERROR(
MEDIAN((IF(DATOS_[[Sexo]:[Sexo]]=$B31,IF(DATOS_[[AGRUP. CLAS. PROF.]:[AGRUP. CLAS. PROF.]]=$B30,IF(DATOS_[[Check Periodo Ref.]:[Check Periodo Ref.]]="Dentro",DATOS_[Conc.Sal.30]))))),
0)</f>
        <v>0</v>
      </c>
      <c r="AJ31" s="112">
        <f t="array" ref="AJ31">IFERROR(
MEDIAN(IF(DATOS_[Sexo]=$B31,IF(DATOS_[AGRUP. CLAS. PROF.]=$B30,IF(DATOS_[Check Periodo Ref.]="Dentro",DATOS_[Tot COMPL.SAL Ef],FALSE)))),
0)</f>
        <v>0</v>
      </c>
      <c r="AK31" s="113">
        <f t="array" ref="AK31">IFERROR(
MEDIAN(IF(DATOS_[Sexo]=$B31,IF(DATOS_[AGRUP. CLAS. PROF.]=$B30,IF(DATOS_[Check Periodo Ref.]="Dentro",DATOS_[TOTAL SALARIO Ef],FALSE)))),
0)</f>
        <v>0</v>
      </c>
      <c r="AL31" s="114">
        <f t="array" ref="AL31">IFERROR(
MEDIAN((IF(DATOS_[[Sexo]:[Sexo]]=$B31,IF(DATOS_[[AGRUP. CLAS. PROF.]:[AGRUP. CLAS. PROF.]]=$B30,IF(DATOS_[[Check Periodo Ref.]:[Check Periodo Ref.]]="Dentro",DATOS_[C.Extra.01]))))),
0)</f>
        <v>0</v>
      </c>
      <c r="AM31" s="114">
        <f t="array" ref="AM31">IFERROR(
MEDIAN((IF(DATOS_[[Sexo]:[Sexo]]=$B31,IF(DATOS_[[AGRUP. CLAS. PROF.]:[AGRUP. CLAS. PROF.]]=$B30,IF(DATOS_[[Check Periodo Ref.]:[Check Periodo Ref.]]="Dentro",DATOS_[C.Extra.02]))))),
0)</f>
        <v>0</v>
      </c>
      <c r="AN31" s="114">
        <f t="array" ref="AN31">IFERROR(
MEDIAN((IF(DATOS_[[Sexo]:[Sexo]]=$B31,IF(DATOS_[[AGRUP. CLAS. PROF.]:[AGRUP. CLAS. PROF.]]=$B30,IF(DATOS_[[Check Periodo Ref.]:[Check Periodo Ref.]]="Dentro",DATOS_[C.Extra.03]))))),
0)</f>
        <v>0</v>
      </c>
      <c r="AO31" s="114">
        <f t="array" ref="AO31">IFERROR(
MEDIAN((IF(DATOS_[[Sexo]:[Sexo]]=$B31,IF(DATOS_[[AGRUP. CLAS. PROF.]:[AGRUP. CLAS. PROF.]]=$B30,IF(DATOS_[[Check Periodo Ref.]:[Check Periodo Ref.]]="Dentro",DATOS_[C.Extra.04]))))),
0)</f>
        <v>0</v>
      </c>
      <c r="AP31" s="114">
        <f t="array" ref="AP31">IFERROR(
MEDIAN((IF(DATOS_[[Sexo]:[Sexo]]=$B31,IF(DATOS_[[AGRUP. CLAS. PROF.]:[AGRUP. CLAS. PROF.]]=$B30,IF(DATOS_[[Check Periodo Ref.]:[Check Periodo Ref.]]="Dentro",DATOS_[C.Extra.05]))))),
0)</f>
        <v>0</v>
      </c>
      <c r="AQ31" s="115">
        <f t="array" ref="AQ31">IFERROR(
MEDIAN(IF(DATOS_[Sexo]=$B31,IF(DATOS_[AGRUP. CLAS. PROF.]=$B30,IF(DATOS_[Check Periodo Ref.]="Dentro",DATOS_[Tot Extrasalarial Ef],FALSE)))),
0)</f>
        <v>0</v>
      </c>
      <c r="AR31" s="116">
        <f t="array" ref="AR31">IFERROR(
MEDIAN(IF(DATOS_[Sexo]=$B31,IF(DATOS_[AGRUP. CLAS. PROF.]=$B30,IF(DATOS_[Check Periodo Ref.]="Dentro",DATOS_[TOTAL Retrib Ef],FALSE)))),
0)</f>
        <v>0</v>
      </c>
    </row>
    <row r="32" spans="1:44" hidden="1" x14ac:dyDescent="0.3">
      <c r="A32" s="42" t="str">
        <f t="shared" ref="A32" si="26">+A31</f>
        <v>[ocultar]</v>
      </c>
      <c r="B32" s="34" t="s">
        <v>163</v>
      </c>
      <c r="C32" s="33">
        <f t="array" ref="C32">SUM(IF($B32=DATOS_[Sexo],
IF($B30=DATOS_[AGRUP. CLAS. PROF.],
IF("Dentro"=DATOS_[Check Periodo Ref.],
1/(COUNTIFS(DATOS_[Sexo],$B32,DATOS_[AGRUP. CLAS. PROF.],$B30,DATOS_[Check Periodo Ref.],"Dentro",DATOS_[id],DATOS_[id]))))))</f>
        <v>0</v>
      </c>
      <c r="D32" s="35">
        <f>COUNTIFS(DATOS_[AGRUP. CLAS. PROF.],$B30,DATOS_[Sexo],$B32,DATOS_[Check Periodo Ref.],"Dentro")</f>
        <v>0</v>
      </c>
      <c r="E32" s="110">
        <f t="array" ref="E32">IFERROR(
MEDIAN(IF(DATOS_[Sexo]=$B32,IF(DATOS_[AGRUP. CLAS. PROF.]=$B30,IF(DATOS_[Check Periodo Ref.]="Dentro",DATOS_[SALARIO BASE Ef],FALSE)))),
0)</f>
        <v>0</v>
      </c>
      <c r="F32" s="111">
        <f t="array" ref="F32">IFERROR(
MEDIAN((IF(DATOS_[[Sexo]:[Sexo]]=$B32,IF(DATOS_[[AGRUP. CLAS. PROF.]:[AGRUP. CLAS. PROF.]]=$B30,IF(DATOS_[[Check Periodo Ref.]:[Check Periodo Ref.]]="Dentro",DATOS_[Conc.Sal.01]))))),
0)</f>
        <v>0</v>
      </c>
      <c r="G32" s="111">
        <f t="array" ref="G32">IFERROR(
MEDIAN((IF(DATOS_[[Sexo]:[Sexo]]=$B32,IF(DATOS_[[AGRUP. CLAS. PROF.]:[AGRUP. CLAS. PROF.]]=$B30,IF(DATOS_[[Check Periodo Ref.]:[Check Periodo Ref.]]="Dentro",DATOS_[Conc.Sal.02]))))),
0)</f>
        <v>0</v>
      </c>
      <c r="H32" s="111">
        <f t="array" ref="H32">IFERROR(
MEDIAN((IF(DATOS_[[Sexo]:[Sexo]]=$B32,IF(DATOS_[[AGRUP. CLAS. PROF.]:[AGRUP. CLAS. PROF.]]=$B30,IF(DATOS_[[Check Periodo Ref.]:[Check Periodo Ref.]]="Dentro",DATOS_[Conc.Sal.03]))))),
0)</f>
        <v>0</v>
      </c>
      <c r="I32" s="111">
        <f t="array" ref="I32">IFERROR(
MEDIAN((IF(DATOS_[[Sexo]:[Sexo]]=$B32,IF(DATOS_[[AGRUP. CLAS. PROF.]:[AGRUP. CLAS. PROF.]]=$B30,IF(DATOS_[[Check Periodo Ref.]:[Check Periodo Ref.]]="Dentro",DATOS_[Conc.Sal.04]))))),
0)</f>
        <v>0</v>
      </c>
      <c r="J32" s="111">
        <f t="array" ref="J32">IFERROR(
MEDIAN((IF(DATOS_[[Sexo]:[Sexo]]=$B32,IF(DATOS_[[AGRUP. CLAS. PROF.]:[AGRUP. CLAS. PROF.]]=$B30,IF(DATOS_[[Check Periodo Ref.]:[Check Periodo Ref.]]="Dentro",DATOS_[Conc.Sal.05]))))),
0)</f>
        <v>0</v>
      </c>
      <c r="K32" s="111">
        <f t="array" ref="K32">IFERROR(
MEDIAN((IF(DATOS_[[Sexo]:[Sexo]]=$B32,IF(DATOS_[[AGRUP. CLAS. PROF.]:[AGRUP. CLAS. PROF.]]=$B30,IF(DATOS_[[Check Periodo Ref.]:[Check Periodo Ref.]]="Dentro",DATOS_[Conc.Sal.06]))))),
0)</f>
        <v>0</v>
      </c>
      <c r="L32" s="111">
        <f t="array" ref="L32">IFERROR(
MEDIAN((IF(DATOS_[[Sexo]:[Sexo]]=$B32,IF(DATOS_[[AGRUP. CLAS. PROF.]:[AGRUP. CLAS. PROF.]]=$B30,IF(DATOS_[[Check Periodo Ref.]:[Check Periodo Ref.]]="Dentro",DATOS_[Conc.Sal.07]))))),
0)</f>
        <v>0</v>
      </c>
      <c r="M32" s="111">
        <f t="array" ref="M32">IFERROR(
MEDIAN((IF(DATOS_[[Sexo]:[Sexo]]=$B32,IF(DATOS_[[AGRUP. CLAS. PROF.]:[AGRUP. CLAS. PROF.]]=$B30,IF(DATOS_[[Check Periodo Ref.]:[Check Periodo Ref.]]="Dentro",DATOS_[Conc.Sal.08]))))),
0)</f>
        <v>0</v>
      </c>
      <c r="N32" s="111">
        <f t="array" ref="N32">IFERROR(
MEDIAN((IF(DATOS_[[Sexo]:[Sexo]]=$B32,IF(DATOS_[[AGRUP. CLAS. PROF.]:[AGRUP. CLAS. PROF.]]=$B30,IF(DATOS_[[Check Periodo Ref.]:[Check Periodo Ref.]]="Dentro",DATOS_[Conc.Sal.09]))))),
0)</f>
        <v>0</v>
      </c>
      <c r="O32" s="111">
        <f t="array" ref="O32">IFERROR(
MEDIAN((IF(DATOS_[[Sexo]:[Sexo]]=$B32,IF(DATOS_[[AGRUP. CLAS. PROF.]:[AGRUP. CLAS. PROF.]]=$B30,IF(DATOS_[[Check Periodo Ref.]:[Check Periodo Ref.]]="Dentro",DATOS_[Conc.Sal.10]))))),
0)</f>
        <v>0</v>
      </c>
      <c r="P32" s="111">
        <f t="array" ref="P32">IFERROR(
MEDIAN((IF(DATOS_[[Sexo]:[Sexo]]=$B32,IF(DATOS_[[AGRUP. CLAS. PROF.]:[AGRUP. CLAS. PROF.]]=$B30,IF(DATOS_[[Check Periodo Ref.]:[Check Periodo Ref.]]="Dentro",DATOS_[Conc.Sal.11]))))),
0)</f>
        <v>0</v>
      </c>
      <c r="Q32" s="111">
        <f t="array" ref="Q32">IFERROR(
MEDIAN((IF(DATOS_[[Sexo]:[Sexo]]=$B32,IF(DATOS_[[AGRUP. CLAS. PROF.]:[AGRUP. CLAS. PROF.]]=$B30,IF(DATOS_[[Check Periodo Ref.]:[Check Periodo Ref.]]="Dentro",DATOS_[Conc.Sal.12]))))),
0)</f>
        <v>0</v>
      </c>
      <c r="R32" s="111">
        <f t="array" ref="R32">IFERROR(
MEDIAN((IF(DATOS_[[Sexo]:[Sexo]]=$B32,IF(DATOS_[[AGRUP. CLAS. PROF.]:[AGRUP. CLAS. PROF.]]=$B30,IF(DATOS_[[Check Periodo Ref.]:[Check Periodo Ref.]]="Dentro",DATOS_[Conc.Sal.13]))))),
0)</f>
        <v>0</v>
      </c>
      <c r="S32" s="111">
        <f t="array" ref="S32">IFERROR(
MEDIAN((IF(DATOS_[[Sexo]:[Sexo]]=$B32,IF(DATOS_[[AGRUP. CLAS. PROF.]:[AGRUP. CLAS. PROF.]]=$B30,IF(DATOS_[[Check Periodo Ref.]:[Check Periodo Ref.]]="Dentro",DATOS_[Conc.Sal.14]))))),
0)</f>
        <v>0</v>
      </c>
      <c r="T32" s="111">
        <f t="array" ref="T32">IFERROR(
MEDIAN((IF(DATOS_[[Sexo]:[Sexo]]=$B32,IF(DATOS_[[AGRUP. CLAS. PROF.]:[AGRUP. CLAS. PROF.]]=$B30,IF(DATOS_[[Check Periodo Ref.]:[Check Periodo Ref.]]="Dentro",DATOS_[Conc.Sal.15]))))),
0)</f>
        <v>0</v>
      </c>
      <c r="U32" s="111">
        <f t="array" ref="U32">IFERROR(
MEDIAN((IF(DATOS_[[Sexo]:[Sexo]]=$B32,IF(DATOS_[[AGRUP. CLAS. PROF.]:[AGRUP. CLAS. PROF.]]=$B30,IF(DATOS_[[Check Periodo Ref.]:[Check Periodo Ref.]]="Dentro",DATOS_[Conc.Sal.16]))))),
0)</f>
        <v>0</v>
      </c>
      <c r="V32" s="111">
        <f t="array" ref="V32">IFERROR(
MEDIAN((IF(DATOS_[[Sexo]:[Sexo]]=$B32,IF(DATOS_[[AGRUP. CLAS. PROF.]:[AGRUP. CLAS. PROF.]]=$B30,IF(DATOS_[[Check Periodo Ref.]:[Check Periodo Ref.]]="Dentro",DATOS_[Conc.Sal.17]))))),
0)</f>
        <v>0</v>
      </c>
      <c r="W32" s="111">
        <f t="array" ref="W32">IFERROR(
MEDIAN((IF(DATOS_[[Sexo]:[Sexo]]=$B32,IF(DATOS_[[AGRUP. CLAS. PROF.]:[AGRUP. CLAS. PROF.]]=$B30,IF(DATOS_[[Check Periodo Ref.]:[Check Periodo Ref.]]="Dentro",DATOS_[Conc.Sal.18]))))),
0)</f>
        <v>0</v>
      </c>
      <c r="X32" s="111">
        <f t="array" ref="X32">IFERROR(
MEDIAN((IF(DATOS_[[Sexo]:[Sexo]]=$B32,IF(DATOS_[[AGRUP. CLAS. PROF.]:[AGRUP. CLAS. PROF.]]=$B30,IF(DATOS_[[Check Periodo Ref.]:[Check Periodo Ref.]]="Dentro",DATOS_[Conc.Sal.19]))))),
0)</f>
        <v>0</v>
      </c>
      <c r="Y32" s="111">
        <f t="array" ref="Y32">IFERROR(
MEDIAN((IF(DATOS_[[Sexo]:[Sexo]]=$B32,IF(DATOS_[[AGRUP. CLAS. PROF.]:[AGRUP. CLAS. PROF.]]=$B30,IF(DATOS_[[Check Periodo Ref.]:[Check Periodo Ref.]]="Dentro",DATOS_[Conc.Sal.20]))))),
0)</f>
        <v>0</v>
      </c>
      <c r="Z32" s="111">
        <f t="array" ref="Z32">IFERROR(
MEDIAN((IF(DATOS_[[Sexo]:[Sexo]]=$B32,IF(DATOS_[[AGRUP. CLAS. PROF.]:[AGRUP. CLAS. PROF.]]=$B30,IF(DATOS_[[Check Periodo Ref.]:[Check Periodo Ref.]]="Dentro",DATOS_[Conc.Sal.21]))))),
0)</f>
        <v>0</v>
      </c>
      <c r="AA32" s="111">
        <f t="array" ref="AA32">IFERROR(
MEDIAN((IF(DATOS_[[Sexo]:[Sexo]]=$B32,IF(DATOS_[[AGRUP. CLAS. PROF.]:[AGRUP. CLAS. PROF.]]=$B30,IF(DATOS_[[Check Periodo Ref.]:[Check Periodo Ref.]]="Dentro",DATOS_[Conc.Sal.22]))))),
0)</f>
        <v>0</v>
      </c>
      <c r="AB32" s="111">
        <f t="array" ref="AB32">IFERROR(
MEDIAN((IF(DATOS_[[Sexo]:[Sexo]]=$B32,IF(DATOS_[[AGRUP. CLAS. PROF.]:[AGRUP. CLAS. PROF.]]=$B30,IF(DATOS_[[Check Periodo Ref.]:[Check Periodo Ref.]]="Dentro",DATOS_[Conc.Sal.23]))))),
0)</f>
        <v>0</v>
      </c>
      <c r="AC32" s="111">
        <f t="array" ref="AC32">IFERROR(
MEDIAN((IF(DATOS_[[Sexo]:[Sexo]]=$B32,IF(DATOS_[[AGRUP. CLAS. PROF.]:[AGRUP. CLAS. PROF.]]=$B30,IF(DATOS_[[Check Periodo Ref.]:[Check Periodo Ref.]]="Dentro",DATOS_[Conc.Sal.24]))))),
0)</f>
        <v>0</v>
      </c>
      <c r="AD32" s="111">
        <f t="array" ref="AD32">IFERROR(
MEDIAN((IF(DATOS_[[Sexo]:[Sexo]]=$B32,IF(DATOS_[[AGRUP. CLAS. PROF.]:[AGRUP. CLAS. PROF.]]=$B30,IF(DATOS_[[Check Periodo Ref.]:[Check Periodo Ref.]]="Dentro",DATOS_[Conc.Sal.25]))))),
0)</f>
        <v>0</v>
      </c>
      <c r="AE32" s="111">
        <f t="array" ref="AE32">IFERROR(
MEDIAN((IF(DATOS_[[Sexo]:[Sexo]]=$B32,IF(DATOS_[[AGRUP. CLAS. PROF.]:[AGRUP. CLAS. PROF.]]=$B30,IF(DATOS_[[Check Periodo Ref.]:[Check Periodo Ref.]]="Dentro",DATOS_[Conc.Sal.26]))))),
0)</f>
        <v>0</v>
      </c>
      <c r="AF32" s="111">
        <f t="array" ref="AF32">IFERROR(
MEDIAN((IF(DATOS_[[Sexo]:[Sexo]]=$B32,IF(DATOS_[[AGRUP. CLAS. PROF.]:[AGRUP. CLAS. PROF.]]=$B30,IF(DATOS_[[Check Periodo Ref.]:[Check Periodo Ref.]]="Dentro",DATOS_[Conc.Sal.27]))))),
0)</f>
        <v>0</v>
      </c>
      <c r="AG32" s="111">
        <f t="array" ref="AG32">IFERROR(
MEDIAN((IF(DATOS_[[Sexo]:[Sexo]]=$B32,IF(DATOS_[[AGRUP. CLAS. PROF.]:[AGRUP. CLAS. PROF.]]=$B30,IF(DATOS_[[Check Periodo Ref.]:[Check Periodo Ref.]]="Dentro",DATOS_[Conc.Sal.28]))))),
0)</f>
        <v>0</v>
      </c>
      <c r="AH32" s="111">
        <f t="array" ref="AH32">IFERROR(
MEDIAN((IF(DATOS_[[Sexo]:[Sexo]]=$B32,IF(DATOS_[[AGRUP. CLAS. PROF.]:[AGRUP. CLAS. PROF.]]=$B30,IF(DATOS_[[Check Periodo Ref.]:[Check Periodo Ref.]]="Dentro",DATOS_[Conc.Sal.29]))))),
0)</f>
        <v>0</v>
      </c>
      <c r="AI32" s="111">
        <f t="array" ref="AI32">IFERROR(
MEDIAN((IF(DATOS_[[Sexo]:[Sexo]]=$B32,IF(DATOS_[[AGRUP. CLAS. PROF.]:[AGRUP. CLAS. PROF.]]=$B30,IF(DATOS_[[Check Periodo Ref.]:[Check Periodo Ref.]]="Dentro",DATOS_[Conc.Sal.30]))))),
0)</f>
        <v>0</v>
      </c>
      <c r="AJ32" s="112">
        <f t="array" ref="AJ32">IFERROR(
MEDIAN(IF(DATOS_[Sexo]=$B32,IF(DATOS_[AGRUP. CLAS. PROF.]=$B30,IF(DATOS_[Check Periodo Ref.]="Dentro",DATOS_[Tot COMPL.SAL Ef],FALSE)))),
0)</f>
        <v>0</v>
      </c>
      <c r="AK32" s="113">
        <f t="array" ref="AK32">IFERROR(
MEDIAN(IF(DATOS_[Sexo]=$B32,IF(DATOS_[AGRUP. CLAS. PROF.]=$B30,IF(DATOS_[Check Periodo Ref.]="Dentro",DATOS_[TOTAL SALARIO Ef],FALSE)))),
0)</f>
        <v>0</v>
      </c>
      <c r="AL32" s="114">
        <f t="array" ref="AL32">IFERROR(
MEDIAN((IF(DATOS_[[Sexo]:[Sexo]]=$B32,IF(DATOS_[[AGRUP. CLAS. PROF.]:[AGRUP. CLAS. PROF.]]=$B30,IF(DATOS_[[Check Periodo Ref.]:[Check Periodo Ref.]]="Dentro",DATOS_[C.Extra.01]))))),
0)</f>
        <v>0</v>
      </c>
      <c r="AM32" s="114">
        <f t="array" ref="AM32">IFERROR(
MEDIAN((IF(DATOS_[[Sexo]:[Sexo]]=$B32,IF(DATOS_[[AGRUP. CLAS. PROF.]:[AGRUP. CLAS. PROF.]]=$B30,IF(DATOS_[[Check Periodo Ref.]:[Check Periodo Ref.]]="Dentro",DATOS_[C.Extra.02]))))),
0)</f>
        <v>0</v>
      </c>
      <c r="AN32" s="114">
        <f t="array" ref="AN32">IFERROR(
MEDIAN((IF(DATOS_[[Sexo]:[Sexo]]=$B32,IF(DATOS_[[AGRUP. CLAS. PROF.]:[AGRUP. CLAS. PROF.]]=$B30,IF(DATOS_[[Check Periodo Ref.]:[Check Periodo Ref.]]="Dentro",DATOS_[C.Extra.03]))))),
0)</f>
        <v>0</v>
      </c>
      <c r="AO32" s="114">
        <f t="array" ref="AO32">IFERROR(
MEDIAN((IF(DATOS_[[Sexo]:[Sexo]]=$B32,IF(DATOS_[[AGRUP. CLAS. PROF.]:[AGRUP. CLAS. PROF.]]=$B30,IF(DATOS_[[Check Periodo Ref.]:[Check Periodo Ref.]]="Dentro",DATOS_[C.Extra.04]))))),
0)</f>
        <v>0</v>
      </c>
      <c r="AP32" s="114">
        <f t="array" ref="AP32">IFERROR(
MEDIAN((IF(DATOS_[[Sexo]:[Sexo]]=$B32,IF(DATOS_[[AGRUP. CLAS. PROF.]:[AGRUP. CLAS. PROF.]]=$B30,IF(DATOS_[[Check Periodo Ref.]:[Check Periodo Ref.]]="Dentro",DATOS_[C.Extra.05]))))),
0)</f>
        <v>0</v>
      </c>
      <c r="AQ32" s="115">
        <f t="array" ref="AQ32">IFERROR(
MEDIAN(IF(DATOS_[Sexo]=$B32,IF(DATOS_[AGRUP. CLAS. PROF.]=$B30,IF(DATOS_[Check Periodo Ref.]="Dentro",DATOS_[Tot Extrasalarial Ef],FALSE)))),
0)</f>
        <v>0</v>
      </c>
      <c r="AR32" s="116">
        <f t="array" ref="AR32">IFERROR(
MEDIAN(IF(DATOS_[Sexo]=$B32,IF(DATOS_[AGRUP. CLAS. PROF.]=$B30,IF(DATOS_[Check Periodo Ref.]="Dentro",DATOS_[TOTAL Retrib Ef],FALSE)))),
0)</f>
        <v>0</v>
      </c>
    </row>
    <row r="33" spans="1:44" ht="17.25" hidden="1" thickBot="1" x14ac:dyDescent="0.35">
      <c r="A33" s="42" t="str">
        <f t="shared" ref="A33" si="27">+A34</f>
        <v>[ocultar]</v>
      </c>
      <c r="B33" s="40" t="s">
        <v>313</v>
      </c>
      <c r="C33" s="109"/>
      <c r="D33" s="41"/>
      <c r="E33" s="119" t="str">
        <f t="shared" ref="E33:AR33" si="28">IFERROR((E34-E35)/E34,"")</f>
        <v/>
      </c>
      <c r="F33" s="123" t="str">
        <f t="shared" si="28"/>
        <v/>
      </c>
      <c r="G33" s="123" t="str">
        <f t="shared" si="28"/>
        <v/>
      </c>
      <c r="H33" s="123" t="str">
        <f t="shared" si="28"/>
        <v/>
      </c>
      <c r="I33" s="123" t="str">
        <f t="shared" si="28"/>
        <v/>
      </c>
      <c r="J33" s="123" t="str">
        <f t="shared" si="28"/>
        <v/>
      </c>
      <c r="K33" s="123" t="str">
        <f t="shared" si="28"/>
        <v/>
      </c>
      <c r="L33" s="123" t="str">
        <f t="shared" si="28"/>
        <v/>
      </c>
      <c r="M33" s="123" t="str">
        <f t="shared" si="28"/>
        <v/>
      </c>
      <c r="N33" s="123" t="str">
        <f t="shared" si="28"/>
        <v/>
      </c>
      <c r="O33" s="123" t="str">
        <f t="shared" si="28"/>
        <v/>
      </c>
      <c r="P33" s="123" t="str">
        <f t="shared" si="28"/>
        <v/>
      </c>
      <c r="Q33" s="123" t="str">
        <f t="shared" si="28"/>
        <v/>
      </c>
      <c r="R33" s="123" t="str">
        <f t="shared" si="28"/>
        <v/>
      </c>
      <c r="S33" s="123" t="str">
        <f t="shared" si="28"/>
        <v/>
      </c>
      <c r="T33" s="123" t="str">
        <f t="shared" si="28"/>
        <v/>
      </c>
      <c r="U33" s="123" t="str">
        <f t="shared" si="28"/>
        <v/>
      </c>
      <c r="V33" s="122" t="str">
        <f t="shared" si="28"/>
        <v/>
      </c>
      <c r="W33" s="122" t="str">
        <f t="shared" si="28"/>
        <v/>
      </c>
      <c r="X33" s="122" t="str">
        <f t="shared" si="28"/>
        <v/>
      </c>
      <c r="Y33" s="122" t="str">
        <f t="shared" si="28"/>
        <v/>
      </c>
      <c r="Z33" s="122" t="str">
        <f t="shared" si="28"/>
        <v/>
      </c>
      <c r="AA33" s="122" t="str">
        <f t="shared" si="28"/>
        <v/>
      </c>
      <c r="AB33" s="122" t="str">
        <f t="shared" si="28"/>
        <v/>
      </c>
      <c r="AC33" s="122" t="str">
        <f t="shared" si="28"/>
        <v/>
      </c>
      <c r="AD33" s="122" t="str">
        <f t="shared" si="28"/>
        <v/>
      </c>
      <c r="AE33" s="122" t="str">
        <f t="shared" si="28"/>
        <v/>
      </c>
      <c r="AF33" s="122" t="str">
        <f t="shared" si="28"/>
        <v/>
      </c>
      <c r="AG33" s="122" t="str">
        <f t="shared" si="28"/>
        <v/>
      </c>
      <c r="AH33" s="122" t="str">
        <f t="shared" si="28"/>
        <v/>
      </c>
      <c r="AI33" s="122" t="str">
        <f t="shared" si="28"/>
        <v/>
      </c>
      <c r="AJ33" s="124" t="str">
        <f t="shared" si="28"/>
        <v/>
      </c>
      <c r="AK33" s="128" t="str">
        <f t="shared" si="28"/>
        <v/>
      </c>
      <c r="AL33" s="125" t="str">
        <f t="shared" si="28"/>
        <v/>
      </c>
      <c r="AM33" s="125" t="str">
        <f t="shared" si="28"/>
        <v/>
      </c>
      <c r="AN33" s="125" t="str">
        <f t="shared" si="28"/>
        <v/>
      </c>
      <c r="AO33" s="125" t="str">
        <f t="shared" si="28"/>
        <v/>
      </c>
      <c r="AP33" s="125" t="str">
        <f t="shared" si="28"/>
        <v/>
      </c>
      <c r="AQ33" s="126" t="str">
        <f t="shared" si="28"/>
        <v/>
      </c>
      <c r="AR33" s="127" t="str">
        <f t="shared" si="28"/>
        <v/>
      </c>
    </row>
    <row r="34" spans="1:44" hidden="1" x14ac:dyDescent="0.3">
      <c r="A34" s="42" t="str">
        <f t="shared" ref="A34" si="29">+IF(C34+C35=0,"[ocultar]","")</f>
        <v>[ocultar]</v>
      </c>
      <c r="B34" s="34" t="s">
        <v>162</v>
      </c>
      <c r="C34" s="33">
        <f t="array" ref="C34">SUM(IF($B34=DATOS_[Sexo],
IF($B33=DATOS_[AGRUP. CLAS. PROF.],
IF("Dentro"=DATOS_[Check Periodo Ref.],
1/(COUNTIFS(DATOS_[Sexo],$B34,DATOS_[AGRUP. CLAS. PROF.],$B33,DATOS_[Check Periodo Ref.],"Dentro",DATOS_[id],DATOS_[id]))))))</f>
        <v>0</v>
      </c>
      <c r="D34" s="35">
        <f>COUNTIFS(DATOS_[AGRUP. CLAS. PROF.],$B33,DATOS_[Sexo],$B34,DATOS_[Check Periodo Ref.],"Dentro")</f>
        <v>0</v>
      </c>
      <c r="E34" s="110">
        <f t="array" ref="E34">IFERROR(
MEDIAN(IF(DATOS_[Sexo]=$B34,IF(DATOS_[AGRUP. CLAS. PROF.]=$B33,IF(DATOS_[Check Periodo Ref.]="Dentro",DATOS_[SALARIO BASE Ef],FALSE)))),
0)</f>
        <v>0</v>
      </c>
      <c r="F34" s="111">
        <f t="array" ref="F34">IFERROR(
MEDIAN((IF(DATOS_[[Sexo]:[Sexo]]=$B34,IF(DATOS_[[AGRUP. CLAS. PROF.]:[AGRUP. CLAS. PROF.]]=$B33,IF(DATOS_[[Check Periodo Ref.]:[Check Periodo Ref.]]="Dentro",DATOS_[Conc.Sal.01]))))),
0)</f>
        <v>0</v>
      </c>
      <c r="G34" s="111">
        <f t="array" ref="G34">IFERROR(
MEDIAN((IF(DATOS_[[Sexo]:[Sexo]]=$B34,IF(DATOS_[[AGRUP. CLAS. PROF.]:[AGRUP. CLAS. PROF.]]=$B33,IF(DATOS_[[Check Periodo Ref.]:[Check Periodo Ref.]]="Dentro",DATOS_[Conc.Sal.02]))))),
0)</f>
        <v>0</v>
      </c>
      <c r="H34" s="111">
        <f t="array" ref="H34">IFERROR(
MEDIAN((IF(DATOS_[[Sexo]:[Sexo]]=$B34,IF(DATOS_[[AGRUP. CLAS. PROF.]:[AGRUP. CLAS. PROF.]]=$B33,IF(DATOS_[[Check Periodo Ref.]:[Check Periodo Ref.]]="Dentro",DATOS_[Conc.Sal.03]))))),
0)</f>
        <v>0</v>
      </c>
      <c r="I34" s="111">
        <f t="array" ref="I34">IFERROR(
MEDIAN((IF(DATOS_[[Sexo]:[Sexo]]=$B34,IF(DATOS_[[AGRUP. CLAS. PROF.]:[AGRUP. CLAS. PROF.]]=$B33,IF(DATOS_[[Check Periodo Ref.]:[Check Periodo Ref.]]="Dentro",DATOS_[Conc.Sal.04]))))),
0)</f>
        <v>0</v>
      </c>
      <c r="J34" s="111">
        <f t="array" ref="J34">IFERROR(
MEDIAN((IF(DATOS_[[Sexo]:[Sexo]]=$B34,IF(DATOS_[[AGRUP. CLAS. PROF.]:[AGRUP. CLAS. PROF.]]=$B33,IF(DATOS_[[Check Periodo Ref.]:[Check Periodo Ref.]]="Dentro",DATOS_[Conc.Sal.05]))))),
0)</f>
        <v>0</v>
      </c>
      <c r="K34" s="111">
        <f t="array" ref="K34">IFERROR(
MEDIAN((IF(DATOS_[[Sexo]:[Sexo]]=$B34,IF(DATOS_[[AGRUP. CLAS. PROF.]:[AGRUP. CLAS. PROF.]]=$B33,IF(DATOS_[[Check Periodo Ref.]:[Check Periodo Ref.]]="Dentro",DATOS_[Conc.Sal.06]))))),
0)</f>
        <v>0</v>
      </c>
      <c r="L34" s="111">
        <f t="array" ref="L34">IFERROR(
MEDIAN((IF(DATOS_[[Sexo]:[Sexo]]=$B34,IF(DATOS_[[AGRUP. CLAS. PROF.]:[AGRUP. CLAS. PROF.]]=$B33,IF(DATOS_[[Check Periodo Ref.]:[Check Periodo Ref.]]="Dentro",DATOS_[Conc.Sal.07]))))),
0)</f>
        <v>0</v>
      </c>
      <c r="M34" s="111">
        <f t="array" ref="M34">IFERROR(
MEDIAN((IF(DATOS_[[Sexo]:[Sexo]]=$B34,IF(DATOS_[[AGRUP. CLAS. PROF.]:[AGRUP. CLAS. PROF.]]=$B33,IF(DATOS_[[Check Periodo Ref.]:[Check Periodo Ref.]]="Dentro",DATOS_[Conc.Sal.08]))))),
0)</f>
        <v>0</v>
      </c>
      <c r="N34" s="111">
        <f t="array" ref="N34">IFERROR(
MEDIAN((IF(DATOS_[[Sexo]:[Sexo]]=$B34,IF(DATOS_[[AGRUP. CLAS. PROF.]:[AGRUP. CLAS. PROF.]]=$B33,IF(DATOS_[[Check Periodo Ref.]:[Check Periodo Ref.]]="Dentro",DATOS_[Conc.Sal.09]))))),
0)</f>
        <v>0</v>
      </c>
      <c r="O34" s="111">
        <f t="array" ref="O34">IFERROR(
MEDIAN((IF(DATOS_[[Sexo]:[Sexo]]=$B34,IF(DATOS_[[AGRUP. CLAS. PROF.]:[AGRUP. CLAS. PROF.]]=$B33,IF(DATOS_[[Check Periodo Ref.]:[Check Periodo Ref.]]="Dentro",DATOS_[Conc.Sal.10]))))),
0)</f>
        <v>0</v>
      </c>
      <c r="P34" s="111">
        <f t="array" ref="P34">IFERROR(
MEDIAN((IF(DATOS_[[Sexo]:[Sexo]]=$B34,IF(DATOS_[[AGRUP. CLAS. PROF.]:[AGRUP. CLAS. PROF.]]=$B33,IF(DATOS_[[Check Periodo Ref.]:[Check Periodo Ref.]]="Dentro",DATOS_[Conc.Sal.11]))))),
0)</f>
        <v>0</v>
      </c>
      <c r="Q34" s="111">
        <f t="array" ref="Q34">IFERROR(
MEDIAN((IF(DATOS_[[Sexo]:[Sexo]]=$B34,IF(DATOS_[[AGRUP. CLAS. PROF.]:[AGRUP. CLAS. PROF.]]=$B33,IF(DATOS_[[Check Periodo Ref.]:[Check Periodo Ref.]]="Dentro",DATOS_[Conc.Sal.12]))))),
0)</f>
        <v>0</v>
      </c>
      <c r="R34" s="111">
        <f t="array" ref="R34">IFERROR(
MEDIAN((IF(DATOS_[[Sexo]:[Sexo]]=$B34,IF(DATOS_[[AGRUP. CLAS. PROF.]:[AGRUP. CLAS. PROF.]]=$B33,IF(DATOS_[[Check Periodo Ref.]:[Check Periodo Ref.]]="Dentro",DATOS_[Conc.Sal.13]))))),
0)</f>
        <v>0</v>
      </c>
      <c r="S34" s="111">
        <f t="array" ref="S34">IFERROR(
MEDIAN((IF(DATOS_[[Sexo]:[Sexo]]=$B34,IF(DATOS_[[AGRUP. CLAS. PROF.]:[AGRUP. CLAS. PROF.]]=$B33,IF(DATOS_[[Check Periodo Ref.]:[Check Periodo Ref.]]="Dentro",DATOS_[Conc.Sal.14]))))),
0)</f>
        <v>0</v>
      </c>
      <c r="T34" s="111">
        <f t="array" ref="T34">IFERROR(
MEDIAN((IF(DATOS_[[Sexo]:[Sexo]]=$B34,IF(DATOS_[[AGRUP. CLAS. PROF.]:[AGRUP. CLAS. PROF.]]=$B33,IF(DATOS_[[Check Periodo Ref.]:[Check Periodo Ref.]]="Dentro",DATOS_[Conc.Sal.15]))))),
0)</f>
        <v>0</v>
      </c>
      <c r="U34" s="111">
        <f t="array" ref="U34">IFERROR(
MEDIAN((IF(DATOS_[[Sexo]:[Sexo]]=$B34,IF(DATOS_[[AGRUP. CLAS. PROF.]:[AGRUP. CLAS. PROF.]]=$B33,IF(DATOS_[[Check Periodo Ref.]:[Check Periodo Ref.]]="Dentro",DATOS_[Conc.Sal.16]))))),
0)</f>
        <v>0</v>
      </c>
      <c r="V34" s="111">
        <f t="array" ref="V34">IFERROR(
MEDIAN((IF(DATOS_[[Sexo]:[Sexo]]=$B34,IF(DATOS_[[AGRUP. CLAS. PROF.]:[AGRUP. CLAS. PROF.]]=$B33,IF(DATOS_[[Check Periodo Ref.]:[Check Periodo Ref.]]="Dentro",DATOS_[Conc.Sal.17]))))),
0)</f>
        <v>0</v>
      </c>
      <c r="W34" s="111">
        <f t="array" ref="W34">IFERROR(
MEDIAN((IF(DATOS_[[Sexo]:[Sexo]]=$B34,IF(DATOS_[[AGRUP. CLAS. PROF.]:[AGRUP. CLAS. PROF.]]=$B33,IF(DATOS_[[Check Periodo Ref.]:[Check Periodo Ref.]]="Dentro",DATOS_[Conc.Sal.18]))))),
0)</f>
        <v>0</v>
      </c>
      <c r="X34" s="111">
        <f t="array" ref="X34">IFERROR(
MEDIAN((IF(DATOS_[[Sexo]:[Sexo]]=$B34,IF(DATOS_[[AGRUP. CLAS. PROF.]:[AGRUP. CLAS. PROF.]]=$B33,IF(DATOS_[[Check Periodo Ref.]:[Check Periodo Ref.]]="Dentro",DATOS_[Conc.Sal.19]))))),
0)</f>
        <v>0</v>
      </c>
      <c r="Y34" s="111">
        <f t="array" ref="Y34">IFERROR(
MEDIAN((IF(DATOS_[[Sexo]:[Sexo]]=$B34,IF(DATOS_[[AGRUP. CLAS. PROF.]:[AGRUP. CLAS. PROF.]]=$B33,IF(DATOS_[[Check Periodo Ref.]:[Check Periodo Ref.]]="Dentro",DATOS_[Conc.Sal.20]))))),
0)</f>
        <v>0</v>
      </c>
      <c r="Z34" s="111">
        <f t="array" ref="Z34">IFERROR(
MEDIAN((IF(DATOS_[[Sexo]:[Sexo]]=$B34,IF(DATOS_[[AGRUP. CLAS. PROF.]:[AGRUP. CLAS. PROF.]]=$B33,IF(DATOS_[[Check Periodo Ref.]:[Check Periodo Ref.]]="Dentro",DATOS_[Conc.Sal.21]))))),
0)</f>
        <v>0</v>
      </c>
      <c r="AA34" s="111">
        <f t="array" ref="AA34">IFERROR(
MEDIAN((IF(DATOS_[[Sexo]:[Sexo]]=$B34,IF(DATOS_[[AGRUP. CLAS. PROF.]:[AGRUP. CLAS. PROF.]]=$B33,IF(DATOS_[[Check Periodo Ref.]:[Check Periodo Ref.]]="Dentro",DATOS_[Conc.Sal.22]))))),
0)</f>
        <v>0</v>
      </c>
      <c r="AB34" s="111">
        <f t="array" ref="AB34">IFERROR(
MEDIAN((IF(DATOS_[[Sexo]:[Sexo]]=$B34,IF(DATOS_[[AGRUP. CLAS. PROF.]:[AGRUP. CLAS. PROF.]]=$B33,IF(DATOS_[[Check Periodo Ref.]:[Check Periodo Ref.]]="Dentro",DATOS_[Conc.Sal.23]))))),
0)</f>
        <v>0</v>
      </c>
      <c r="AC34" s="111">
        <f t="array" ref="AC34">IFERROR(
MEDIAN((IF(DATOS_[[Sexo]:[Sexo]]=$B34,IF(DATOS_[[AGRUP. CLAS. PROF.]:[AGRUP. CLAS. PROF.]]=$B33,IF(DATOS_[[Check Periodo Ref.]:[Check Periodo Ref.]]="Dentro",DATOS_[Conc.Sal.24]))))),
0)</f>
        <v>0</v>
      </c>
      <c r="AD34" s="111">
        <f t="array" ref="AD34">IFERROR(
MEDIAN((IF(DATOS_[[Sexo]:[Sexo]]=$B34,IF(DATOS_[[AGRUP. CLAS. PROF.]:[AGRUP. CLAS. PROF.]]=$B33,IF(DATOS_[[Check Periodo Ref.]:[Check Periodo Ref.]]="Dentro",DATOS_[Conc.Sal.25]))))),
0)</f>
        <v>0</v>
      </c>
      <c r="AE34" s="111">
        <f t="array" ref="AE34">IFERROR(
MEDIAN((IF(DATOS_[[Sexo]:[Sexo]]=$B34,IF(DATOS_[[AGRUP. CLAS. PROF.]:[AGRUP. CLAS. PROF.]]=$B33,IF(DATOS_[[Check Periodo Ref.]:[Check Periodo Ref.]]="Dentro",DATOS_[Conc.Sal.26]))))),
0)</f>
        <v>0</v>
      </c>
      <c r="AF34" s="111">
        <f t="array" ref="AF34">IFERROR(
MEDIAN((IF(DATOS_[[Sexo]:[Sexo]]=$B34,IF(DATOS_[[AGRUP. CLAS. PROF.]:[AGRUP. CLAS. PROF.]]=$B33,IF(DATOS_[[Check Periodo Ref.]:[Check Periodo Ref.]]="Dentro",DATOS_[Conc.Sal.27]))))),
0)</f>
        <v>0</v>
      </c>
      <c r="AG34" s="111">
        <f t="array" ref="AG34">IFERROR(
MEDIAN((IF(DATOS_[[Sexo]:[Sexo]]=$B34,IF(DATOS_[[AGRUP. CLAS. PROF.]:[AGRUP. CLAS. PROF.]]=$B33,IF(DATOS_[[Check Periodo Ref.]:[Check Periodo Ref.]]="Dentro",DATOS_[Conc.Sal.28]))))),
0)</f>
        <v>0</v>
      </c>
      <c r="AH34" s="111">
        <f t="array" ref="AH34">IFERROR(
MEDIAN((IF(DATOS_[[Sexo]:[Sexo]]=$B34,IF(DATOS_[[AGRUP. CLAS. PROF.]:[AGRUP. CLAS. PROF.]]=$B33,IF(DATOS_[[Check Periodo Ref.]:[Check Periodo Ref.]]="Dentro",DATOS_[Conc.Sal.29]))))),
0)</f>
        <v>0</v>
      </c>
      <c r="AI34" s="111">
        <f t="array" ref="AI34">IFERROR(
MEDIAN((IF(DATOS_[[Sexo]:[Sexo]]=$B34,IF(DATOS_[[AGRUP. CLAS. PROF.]:[AGRUP. CLAS. PROF.]]=$B33,IF(DATOS_[[Check Periodo Ref.]:[Check Periodo Ref.]]="Dentro",DATOS_[Conc.Sal.30]))))),
0)</f>
        <v>0</v>
      </c>
      <c r="AJ34" s="112">
        <f t="array" ref="AJ34">IFERROR(
MEDIAN(IF(DATOS_[Sexo]=$B34,IF(DATOS_[AGRUP. CLAS. PROF.]=$B33,IF(DATOS_[Check Periodo Ref.]="Dentro",DATOS_[Tot COMPL.SAL Ef],FALSE)))),
0)</f>
        <v>0</v>
      </c>
      <c r="AK34" s="113">
        <f t="array" ref="AK34">IFERROR(
MEDIAN(IF(DATOS_[Sexo]=$B34,IF(DATOS_[AGRUP. CLAS. PROF.]=$B33,IF(DATOS_[Check Periodo Ref.]="Dentro",DATOS_[TOTAL SALARIO Ef],FALSE)))),
0)</f>
        <v>0</v>
      </c>
      <c r="AL34" s="114">
        <f t="array" ref="AL34">IFERROR(
MEDIAN((IF(DATOS_[[Sexo]:[Sexo]]=$B34,IF(DATOS_[[AGRUP. CLAS. PROF.]:[AGRUP. CLAS. PROF.]]=$B33,IF(DATOS_[[Check Periodo Ref.]:[Check Periodo Ref.]]="Dentro",DATOS_[C.Extra.01]))))),
0)</f>
        <v>0</v>
      </c>
      <c r="AM34" s="114">
        <f t="array" ref="AM34">IFERROR(
MEDIAN((IF(DATOS_[[Sexo]:[Sexo]]=$B34,IF(DATOS_[[AGRUP. CLAS. PROF.]:[AGRUP. CLAS. PROF.]]=$B33,IF(DATOS_[[Check Periodo Ref.]:[Check Periodo Ref.]]="Dentro",DATOS_[C.Extra.02]))))),
0)</f>
        <v>0</v>
      </c>
      <c r="AN34" s="114">
        <f t="array" ref="AN34">IFERROR(
MEDIAN((IF(DATOS_[[Sexo]:[Sexo]]=$B34,IF(DATOS_[[AGRUP. CLAS. PROF.]:[AGRUP. CLAS. PROF.]]=$B33,IF(DATOS_[[Check Periodo Ref.]:[Check Periodo Ref.]]="Dentro",DATOS_[C.Extra.03]))))),
0)</f>
        <v>0</v>
      </c>
      <c r="AO34" s="114">
        <f t="array" ref="AO34">IFERROR(
MEDIAN((IF(DATOS_[[Sexo]:[Sexo]]=$B34,IF(DATOS_[[AGRUP. CLAS. PROF.]:[AGRUP. CLAS. PROF.]]=$B33,IF(DATOS_[[Check Periodo Ref.]:[Check Periodo Ref.]]="Dentro",DATOS_[C.Extra.04]))))),
0)</f>
        <v>0</v>
      </c>
      <c r="AP34" s="114">
        <f t="array" ref="AP34">IFERROR(
MEDIAN((IF(DATOS_[[Sexo]:[Sexo]]=$B34,IF(DATOS_[[AGRUP. CLAS. PROF.]:[AGRUP. CLAS. PROF.]]=$B33,IF(DATOS_[[Check Periodo Ref.]:[Check Periodo Ref.]]="Dentro",DATOS_[C.Extra.05]))))),
0)</f>
        <v>0</v>
      </c>
      <c r="AQ34" s="115">
        <f t="array" ref="AQ34">IFERROR(
MEDIAN(IF(DATOS_[Sexo]=$B34,IF(DATOS_[AGRUP. CLAS. PROF.]=$B33,IF(DATOS_[Check Periodo Ref.]="Dentro",DATOS_[Tot Extrasalarial Ef],FALSE)))),
0)</f>
        <v>0</v>
      </c>
      <c r="AR34" s="116">
        <f t="array" ref="AR34">IFERROR(
MEDIAN(IF(DATOS_[Sexo]=$B34,IF(DATOS_[AGRUP. CLAS. PROF.]=$B33,IF(DATOS_[Check Periodo Ref.]="Dentro",DATOS_[TOTAL Retrib Ef],FALSE)))),
0)</f>
        <v>0</v>
      </c>
    </row>
    <row r="35" spans="1:44" hidden="1" x14ac:dyDescent="0.3">
      <c r="A35" s="42" t="str">
        <f t="shared" ref="A35" si="30">+A34</f>
        <v>[ocultar]</v>
      </c>
      <c r="B35" s="34" t="s">
        <v>163</v>
      </c>
      <c r="C35" s="33">
        <f t="array" ref="C35">SUM(IF($B35=DATOS_[Sexo],
IF($B33=DATOS_[AGRUP. CLAS. PROF.],
IF("Dentro"=DATOS_[Check Periodo Ref.],
1/(COUNTIFS(DATOS_[Sexo],$B35,DATOS_[AGRUP. CLAS. PROF.],$B33,DATOS_[Check Periodo Ref.],"Dentro",DATOS_[id],DATOS_[id]))))))</f>
        <v>0</v>
      </c>
      <c r="D35" s="35">
        <f>COUNTIFS(DATOS_[AGRUP. CLAS. PROF.],$B33,DATOS_[Sexo],$B35,DATOS_[Check Periodo Ref.],"Dentro")</f>
        <v>0</v>
      </c>
      <c r="E35" s="110">
        <f t="array" ref="E35">IFERROR(
MEDIAN(IF(DATOS_[Sexo]=$B35,IF(DATOS_[AGRUP. CLAS. PROF.]=$B33,IF(DATOS_[Check Periodo Ref.]="Dentro",DATOS_[SALARIO BASE Ef],FALSE)))),
0)</f>
        <v>0</v>
      </c>
      <c r="F35" s="111">
        <f t="array" ref="F35">IFERROR(
MEDIAN((IF(DATOS_[[Sexo]:[Sexo]]=$B35,IF(DATOS_[[AGRUP. CLAS. PROF.]:[AGRUP. CLAS. PROF.]]=$B33,IF(DATOS_[[Check Periodo Ref.]:[Check Periodo Ref.]]="Dentro",DATOS_[Conc.Sal.01]))))),
0)</f>
        <v>0</v>
      </c>
      <c r="G35" s="111">
        <f t="array" ref="G35">IFERROR(
MEDIAN((IF(DATOS_[[Sexo]:[Sexo]]=$B35,IF(DATOS_[[AGRUP. CLAS. PROF.]:[AGRUP. CLAS. PROF.]]=$B33,IF(DATOS_[[Check Periodo Ref.]:[Check Periodo Ref.]]="Dentro",DATOS_[Conc.Sal.02]))))),
0)</f>
        <v>0</v>
      </c>
      <c r="H35" s="111">
        <f t="array" ref="H35">IFERROR(
MEDIAN((IF(DATOS_[[Sexo]:[Sexo]]=$B35,IF(DATOS_[[AGRUP. CLAS. PROF.]:[AGRUP. CLAS. PROF.]]=$B33,IF(DATOS_[[Check Periodo Ref.]:[Check Periodo Ref.]]="Dentro",DATOS_[Conc.Sal.03]))))),
0)</f>
        <v>0</v>
      </c>
      <c r="I35" s="111">
        <f t="array" ref="I35">IFERROR(
MEDIAN((IF(DATOS_[[Sexo]:[Sexo]]=$B35,IF(DATOS_[[AGRUP. CLAS. PROF.]:[AGRUP. CLAS. PROF.]]=$B33,IF(DATOS_[[Check Periodo Ref.]:[Check Periodo Ref.]]="Dentro",DATOS_[Conc.Sal.04]))))),
0)</f>
        <v>0</v>
      </c>
      <c r="J35" s="111">
        <f t="array" ref="J35">IFERROR(
MEDIAN((IF(DATOS_[[Sexo]:[Sexo]]=$B35,IF(DATOS_[[AGRUP. CLAS. PROF.]:[AGRUP. CLAS. PROF.]]=$B33,IF(DATOS_[[Check Periodo Ref.]:[Check Periodo Ref.]]="Dentro",DATOS_[Conc.Sal.05]))))),
0)</f>
        <v>0</v>
      </c>
      <c r="K35" s="111">
        <f t="array" ref="K35">IFERROR(
MEDIAN((IF(DATOS_[[Sexo]:[Sexo]]=$B35,IF(DATOS_[[AGRUP. CLAS. PROF.]:[AGRUP. CLAS. PROF.]]=$B33,IF(DATOS_[[Check Periodo Ref.]:[Check Periodo Ref.]]="Dentro",DATOS_[Conc.Sal.06]))))),
0)</f>
        <v>0</v>
      </c>
      <c r="L35" s="111">
        <f t="array" ref="L35">IFERROR(
MEDIAN((IF(DATOS_[[Sexo]:[Sexo]]=$B35,IF(DATOS_[[AGRUP. CLAS. PROF.]:[AGRUP. CLAS. PROF.]]=$B33,IF(DATOS_[[Check Periodo Ref.]:[Check Periodo Ref.]]="Dentro",DATOS_[Conc.Sal.07]))))),
0)</f>
        <v>0</v>
      </c>
      <c r="M35" s="111">
        <f t="array" ref="M35">IFERROR(
MEDIAN((IF(DATOS_[[Sexo]:[Sexo]]=$B35,IF(DATOS_[[AGRUP. CLAS. PROF.]:[AGRUP. CLAS. PROF.]]=$B33,IF(DATOS_[[Check Periodo Ref.]:[Check Periodo Ref.]]="Dentro",DATOS_[Conc.Sal.08]))))),
0)</f>
        <v>0</v>
      </c>
      <c r="N35" s="111">
        <f t="array" ref="N35">IFERROR(
MEDIAN((IF(DATOS_[[Sexo]:[Sexo]]=$B35,IF(DATOS_[[AGRUP. CLAS. PROF.]:[AGRUP. CLAS. PROF.]]=$B33,IF(DATOS_[[Check Periodo Ref.]:[Check Periodo Ref.]]="Dentro",DATOS_[Conc.Sal.09]))))),
0)</f>
        <v>0</v>
      </c>
      <c r="O35" s="111">
        <f t="array" ref="O35">IFERROR(
MEDIAN((IF(DATOS_[[Sexo]:[Sexo]]=$B35,IF(DATOS_[[AGRUP. CLAS. PROF.]:[AGRUP. CLAS. PROF.]]=$B33,IF(DATOS_[[Check Periodo Ref.]:[Check Periodo Ref.]]="Dentro",DATOS_[Conc.Sal.10]))))),
0)</f>
        <v>0</v>
      </c>
      <c r="P35" s="111">
        <f t="array" ref="P35">IFERROR(
MEDIAN((IF(DATOS_[[Sexo]:[Sexo]]=$B35,IF(DATOS_[[AGRUP. CLAS. PROF.]:[AGRUP. CLAS. PROF.]]=$B33,IF(DATOS_[[Check Periodo Ref.]:[Check Periodo Ref.]]="Dentro",DATOS_[Conc.Sal.11]))))),
0)</f>
        <v>0</v>
      </c>
      <c r="Q35" s="111">
        <f t="array" ref="Q35">IFERROR(
MEDIAN((IF(DATOS_[[Sexo]:[Sexo]]=$B35,IF(DATOS_[[AGRUP. CLAS. PROF.]:[AGRUP. CLAS. PROF.]]=$B33,IF(DATOS_[[Check Periodo Ref.]:[Check Periodo Ref.]]="Dentro",DATOS_[Conc.Sal.12]))))),
0)</f>
        <v>0</v>
      </c>
      <c r="R35" s="111">
        <f t="array" ref="R35">IFERROR(
MEDIAN((IF(DATOS_[[Sexo]:[Sexo]]=$B35,IF(DATOS_[[AGRUP. CLAS. PROF.]:[AGRUP. CLAS. PROF.]]=$B33,IF(DATOS_[[Check Periodo Ref.]:[Check Periodo Ref.]]="Dentro",DATOS_[Conc.Sal.13]))))),
0)</f>
        <v>0</v>
      </c>
      <c r="S35" s="111">
        <f t="array" ref="S35">IFERROR(
MEDIAN((IF(DATOS_[[Sexo]:[Sexo]]=$B35,IF(DATOS_[[AGRUP. CLAS. PROF.]:[AGRUP. CLAS. PROF.]]=$B33,IF(DATOS_[[Check Periodo Ref.]:[Check Periodo Ref.]]="Dentro",DATOS_[Conc.Sal.14]))))),
0)</f>
        <v>0</v>
      </c>
      <c r="T35" s="111">
        <f t="array" ref="T35">IFERROR(
MEDIAN((IF(DATOS_[[Sexo]:[Sexo]]=$B35,IF(DATOS_[[AGRUP. CLAS. PROF.]:[AGRUP. CLAS. PROF.]]=$B33,IF(DATOS_[[Check Periodo Ref.]:[Check Periodo Ref.]]="Dentro",DATOS_[Conc.Sal.15]))))),
0)</f>
        <v>0</v>
      </c>
      <c r="U35" s="111">
        <f t="array" ref="U35">IFERROR(
MEDIAN((IF(DATOS_[[Sexo]:[Sexo]]=$B35,IF(DATOS_[[AGRUP. CLAS. PROF.]:[AGRUP. CLAS. PROF.]]=$B33,IF(DATOS_[[Check Periodo Ref.]:[Check Periodo Ref.]]="Dentro",DATOS_[Conc.Sal.16]))))),
0)</f>
        <v>0</v>
      </c>
      <c r="V35" s="111">
        <f t="array" ref="V35">IFERROR(
MEDIAN((IF(DATOS_[[Sexo]:[Sexo]]=$B35,IF(DATOS_[[AGRUP. CLAS. PROF.]:[AGRUP. CLAS. PROF.]]=$B33,IF(DATOS_[[Check Periodo Ref.]:[Check Periodo Ref.]]="Dentro",DATOS_[Conc.Sal.17]))))),
0)</f>
        <v>0</v>
      </c>
      <c r="W35" s="111">
        <f t="array" ref="W35">IFERROR(
MEDIAN((IF(DATOS_[[Sexo]:[Sexo]]=$B35,IF(DATOS_[[AGRUP. CLAS. PROF.]:[AGRUP. CLAS. PROF.]]=$B33,IF(DATOS_[[Check Periodo Ref.]:[Check Periodo Ref.]]="Dentro",DATOS_[Conc.Sal.18]))))),
0)</f>
        <v>0</v>
      </c>
      <c r="X35" s="111">
        <f t="array" ref="X35">IFERROR(
MEDIAN((IF(DATOS_[[Sexo]:[Sexo]]=$B35,IF(DATOS_[[AGRUP. CLAS. PROF.]:[AGRUP. CLAS. PROF.]]=$B33,IF(DATOS_[[Check Periodo Ref.]:[Check Periodo Ref.]]="Dentro",DATOS_[Conc.Sal.19]))))),
0)</f>
        <v>0</v>
      </c>
      <c r="Y35" s="111">
        <f t="array" ref="Y35">IFERROR(
MEDIAN((IF(DATOS_[[Sexo]:[Sexo]]=$B35,IF(DATOS_[[AGRUP. CLAS. PROF.]:[AGRUP. CLAS. PROF.]]=$B33,IF(DATOS_[[Check Periodo Ref.]:[Check Periodo Ref.]]="Dentro",DATOS_[Conc.Sal.20]))))),
0)</f>
        <v>0</v>
      </c>
      <c r="Z35" s="111">
        <f t="array" ref="Z35">IFERROR(
MEDIAN((IF(DATOS_[[Sexo]:[Sexo]]=$B35,IF(DATOS_[[AGRUP. CLAS. PROF.]:[AGRUP. CLAS. PROF.]]=$B33,IF(DATOS_[[Check Periodo Ref.]:[Check Periodo Ref.]]="Dentro",DATOS_[Conc.Sal.21]))))),
0)</f>
        <v>0</v>
      </c>
      <c r="AA35" s="111">
        <f t="array" ref="AA35">IFERROR(
MEDIAN((IF(DATOS_[[Sexo]:[Sexo]]=$B35,IF(DATOS_[[AGRUP. CLAS. PROF.]:[AGRUP. CLAS. PROF.]]=$B33,IF(DATOS_[[Check Periodo Ref.]:[Check Periodo Ref.]]="Dentro",DATOS_[Conc.Sal.22]))))),
0)</f>
        <v>0</v>
      </c>
      <c r="AB35" s="111">
        <f t="array" ref="AB35">IFERROR(
MEDIAN((IF(DATOS_[[Sexo]:[Sexo]]=$B35,IF(DATOS_[[AGRUP. CLAS. PROF.]:[AGRUP. CLAS. PROF.]]=$B33,IF(DATOS_[[Check Periodo Ref.]:[Check Periodo Ref.]]="Dentro",DATOS_[Conc.Sal.23]))))),
0)</f>
        <v>0</v>
      </c>
      <c r="AC35" s="111">
        <f t="array" ref="AC35">IFERROR(
MEDIAN((IF(DATOS_[[Sexo]:[Sexo]]=$B35,IF(DATOS_[[AGRUP. CLAS. PROF.]:[AGRUP. CLAS. PROF.]]=$B33,IF(DATOS_[[Check Periodo Ref.]:[Check Periodo Ref.]]="Dentro",DATOS_[Conc.Sal.24]))))),
0)</f>
        <v>0</v>
      </c>
      <c r="AD35" s="111">
        <f t="array" ref="AD35">IFERROR(
MEDIAN((IF(DATOS_[[Sexo]:[Sexo]]=$B35,IF(DATOS_[[AGRUP. CLAS. PROF.]:[AGRUP. CLAS. PROF.]]=$B33,IF(DATOS_[[Check Periodo Ref.]:[Check Periodo Ref.]]="Dentro",DATOS_[Conc.Sal.25]))))),
0)</f>
        <v>0</v>
      </c>
      <c r="AE35" s="111">
        <f t="array" ref="AE35">IFERROR(
MEDIAN((IF(DATOS_[[Sexo]:[Sexo]]=$B35,IF(DATOS_[[AGRUP. CLAS. PROF.]:[AGRUP. CLAS. PROF.]]=$B33,IF(DATOS_[[Check Periodo Ref.]:[Check Periodo Ref.]]="Dentro",DATOS_[Conc.Sal.26]))))),
0)</f>
        <v>0</v>
      </c>
      <c r="AF35" s="111">
        <f t="array" ref="AF35">IFERROR(
MEDIAN((IF(DATOS_[[Sexo]:[Sexo]]=$B35,IF(DATOS_[[AGRUP. CLAS. PROF.]:[AGRUP. CLAS. PROF.]]=$B33,IF(DATOS_[[Check Periodo Ref.]:[Check Periodo Ref.]]="Dentro",DATOS_[Conc.Sal.27]))))),
0)</f>
        <v>0</v>
      </c>
      <c r="AG35" s="111">
        <f t="array" ref="AG35">IFERROR(
MEDIAN((IF(DATOS_[[Sexo]:[Sexo]]=$B35,IF(DATOS_[[AGRUP. CLAS. PROF.]:[AGRUP. CLAS. PROF.]]=$B33,IF(DATOS_[[Check Periodo Ref.]:[Check Periodo Ref.]]="Dentro",DATOS_[Conc.Sal.28]))))),
0)</f>
        <v>0</v>
      </c>
      <c r="AH35" s="111">
        <f t="array" ref="AH35">IFERROR(
MEDIAN((IF(DATOS_[[Sexo]:[Sexo]]=$B35,IF(DATOS_[[AGRUP. CLAS. PROF.]:[AGRUP. CLAS. PROF.]]=$B33,IF(DATOS_[[Check Periodo Ref.]:[Check Periodo Ref.]]="Dentro",DATOS_[Conc.Sal.29]))))),
0)</f>
        <v>0</v>
      </c>
      <c r="AI35" s="111">
        <f t="array" ref="AI35">IFERROR(
MEDIAN((IF(DATOS_[[Sexo]:[Sexo]]=$B35,IF(DATOS_[[AGRUP. CLAS. PROF.]:[AGRUP. CLAS. PROF.]]=$B33,IF(DATOS_[[Check Periodo Ref.]:[Check Periodo Ref.]]="Dentro",DATOS_[Conc.Sal.30]))))),
0)</f>
        <v>0</v>
      </c>
      <c r="AJ35" s="112">
        <f t="array" ref="AJ35">IFERROR(
MEDIAN(IF(DATOS_[Sexo]=$B35,IF(DATOS_[AGRUP. CLAS. PROF.]=$B33,IF(DATOS_[Check Periodo Ref.]="Dentro",DATOS_[Tot COMPL.SAL Ef],FALSE)))),
0)</f>
        <v>0</v>
      </c>
      <c r="AK35" s="113">
        <f t="array" ref="AK35">IFERROR(
MEDIAN(IF(DATOS_[Sexo]=$B35,IF(DATOS_[AGRUP. CLAS. PROF.]=$B33,IF(DATOS_[Check Periodo Ref.]="Dentro",DATOS_[TOTAL SALARIO Ef],FALSE)))),
0)</f>
        <v>0</v>
      </c>
      <c r="AL35" s="114">
        <f t="array" ref="AL35">IFERROR(
MEDIAN((IF(DATOS_[[Sexo]:[Sexo]]=$B35,IF(DATOS_[[AGRUP. CLAS. PROF.]:[AGRUP. CLAS. PROF.]]=$B33,IF(DATOS_[[Check Periodo Ref.]:[Check Periodo Ref.]]="Dentro",DATOS_[C.Extra.01]))))),
0)</f>
        <v>0</v>
      </c>
      <c r="AM35" s="114">
        <f t="array" ref="AM35">IFERROR(
MEDIAN((IF(DATOS_[[Sexo]:[Sexo]]=$B35,IF(DATOS_[[AGRUP. CLAS. PROF.]:[AGRUP. CLAS. PROF.]]=$B33,IF(DATOS_[[Check Periodo Ref.]:[Check Periodo Ref.]]="Dentro",DATOS_[C.Extra.02]))))),
0)</f>
        <v>0</v>
      </c>
      <c r="AN35" s="114">
        <f t="array" ref="AN35">IFERROR(
MEDIAN((IF(DATOS_[[Sexo]:[Sexo]]=$B35,IF(DATOS_[[AGRUP. CLAS. PROF.]:[AGRUP. CLAS. PROF.]]=$B33,IF(DATOS_[[Check Periodo Ref.]:[Check Periodo Ref.]]="Dentro",DATOS_[C.Extra.03]))))),
0)</f>
        <v>0</v>
      </c>
      <c r="AO35" s="114">
        <f t="array" ref="AO35">IFERROR(
MEDIAN((IF(DATOS_[[Sexo]:[Sexo]]=$B35,IF(DATOS_[[AGRUP. CLAS. PROF.]:[AGRUP. CLAS. PROF.]]=$B33,IF(DATOS_[[Check Periodo Ref.]:[Check Periodo Ref.]]="Dentro",DATOS_[C.Extra.04]))))),
0)</f>
        <v>0</v>
      </c>
      <c r="AP35" s="114">
        <f t="array" ref="AP35">IFERROR(
MEDIAN((IF(DATOS_[[Sexo]:[Sexo]]=$B35,IF(DATOS_[[AGRUP. CLAS. PROF.]:[AGRUP. CLAS. PROF.]]=$B33,IF(DATOS_[[Check Periodo Ref.]:[Check Periodo Ref.]]="Dentro",DATOS_[C.Extra.05]))))),
0)</f>
        <v>0</v>
      </c>
      <c r="AQ35" s="115">
        <f t="array" ref="AQ35">IFERROR(
MEDIAN(IF(DATOS_[Sexo]=$B35,IF(DATOS_[AGRUP. CLAS. PROF.]=$B33,IF(DATOS_[Check Periodo Ref.]="Dentro",DATOS_[Tot Extrasalarial Ef],FALSE)))),
0)</f>
        <v>0</v>
      </c>
      <c r="AR35" s="116">
        <f t="array" ref="AR35">IFERROR(
MEDIAN(IF(DATOS_[Sexo]=$B35,IF(DATOS_[AGRUP. CLAS. PROF.]=$B33,IF(DATOS_[Check Periodo Ref.]="Dentro",DATOS_[TOTAL Retrib Ef],FALSE)))),
0)</f>
        <v>0</v>
      </c>
    </row>
    <row r="36" spans="1:44" ht="17.25" hidden="1" thickBot="1" x14ac:dyDescent="0.35">
      <c r="A36" s="42" t="str">
        <f t="shared" ref="A36" si="31">+A37</f>
        <v>[ocultar]</v>
      </c>
      <c r="B36" s="40" t="s">
        <v>314</v>
      </c>
      <c r="C36" s="109"/>
      <c r="D36" s="41"/>
      <c r="E36" s="119" t="str">
        <f t="shared" ref="E36:AR36" si="32">IFERROR((E37-E38)/E37,"")</f>
        <v/>
      </c>
      <c r="F36" s="123" t="str">
        <f t="shared" si="32"/>
        <v/>
      </c>
      <c r="G36" s="123" t="str">
        <f t="shared" si="32"/>
        <v/>
      </c>
      <c r="H36" s="123" t="str">
        <f t="shared" si="32"/>
        <v/>
      </c>
      <c r="I36" s="123" t="str">
        <f t="shared" si="32"/>
        <v/>
      </c>
      <c r="J36" s="123" t="str">
        <f t="shared" si="32"/>
        <v/>
      </c>
      <c r="K36" s="123" t="str">
        <f t="shared" si="32"/>
        <v/>
      </c>
      <c r="L36" s="123" t="str">
        <f t="shared" si="32"/>
        <v/>
      </c>
      <c r="M36" s="123" t="str">
        <f t="shared" si="32"/>
        <v/>
      </c>
      <c r="N36" s="123" t="str">
        <f t="shared" si="32"/>
        <v/>
      </c>
      <c r="O36" s="123" t="str">
        <f t="shared" si="32"/>
        <v/>
      </c>
      <c r="P36" s="123" t="str">
        <f t="shared" si="32"/>
        <v/>
      </c>
      <c r="Q36" s="123" t="str">
        <f t="shared" si="32"/>
        <v/>
      </c>
      <c r="R36" s="123" t="str">
        <f t="shared" si="32"/>
        <v/>
      </c>
      <c r="S36" s="123" t="str">
        <f t="shared" si="32"/>
        <v/>
      </c>
      <c r="T36" s="123" t="str">
        <f t="shared" si="32"/>
        <v/>
      </c>
      <c r="U36" s="123" t="str">
        <f t="shared" si="32"/>
        <v/>
      </c>
      <c r="V36" s="122" t="str">
        <f t="shared" si="32"/>
        <v/>
      </c>
      <c r="W36" s="122" t="str">
        <f t="shared" si="32"/>
        <v/>
      </c>
      <c r="X36" s="122" t="str">
        <f t="shared" si="32"/>
        <v/>
      </c>
      <c r="Y36" s="122" t="str">
        <f t="shared" si="32"/>
        <v/>
      </c>
      <c r="Z36" s="122" t="str">
        <f t="shared" si="32"/>
        <v/>
      </c>
      <c r="AA36" s="122" t="str">
        <f t="shared" si="32"/>
        <v/>
      </c>
      <c r="AB36" s="122" t="str">
        <f t="shared" si="32"/>
        <v/>
      </c>
      <c r="AC36" s="122" t="str">
        <f t="shared" si="32"/>
        <v/>
      </c>
      <c r="AD36" s="122" t="str">
        <f t="shared" si="32"/>
        <v/>
      </c>
      <c r="AE36" s="122" t="str">
        <f t="shared" si="32"/>
        <v/>
      </c>
      <c r="AF36" s="122" t="str">
        <f t="shared" si="32"/>
        <v/>
      </c>
      <c r="AG36" s="122" t="str">
        <f t="shared" si="32"/>
        <v/>
      </c>
      <c r="AH36" s="122" t="str">
        <f t="shared" si="32"/>
        <v/>
      </c>
      <c r="AI36" s="122" t="str">
        <f t="shared" si="32"/>
        <v/>
      </c>
      <c r="AJ36" s="124" t="str">
        <f t="shared" si="32"/>
        <v/>
      </c>
      <c r="AK36" s="128" t="str">
        <f t="shared" si="32"/>
        <v/>
      </c>
      <c r="AL36" s="125" t="str">
        <f t="shared" si="32"/>
        <v/>
      </c>
      <c r="AM36" s="125" t="str">
        <f t="shared" si="32"/>
        <v/>
      </c>
      <c r="AN36" s="125" t="str">
        <f t="shared" si="32"/>
        <v/>
      </c>
      <c r="AO36" s="125" t="str">
        <f t="shared" si="32"/>
        <v/>
      </c>
      <c r="AP36" s="125" t="str">
        <f t="shared" si="32"/>
        <v/>
      </c>
      <c r="AQ36" s="126" t="str">
        <f t="shared" si="32"/>
        <v/>
      </c>
      <c r="AR36" s="127" t="str">
        <f t="shared" si="32"/>
        <v/>
      </c>
    </row>
    <row r="37" spans="1:44" hidden="1" x14ac:dyDescent="0.3">
      <c r="A37" s="42" t="str">
        <f t="shared" ref="A37" si="33">+IF(C37+C38=0,"[ocultar]","")</f>
        <v>[ocultar]</v>
      </c>
      <c r="B37" s="34" t="s">
        <v>162</v>
      </c>
      <c r="C37" s="33">
        <f t="array" ref="C37">SUM(IF($B37=DATOS_[Sexo],
IF($B36=DATOS_[AGRUP. CLAS. PROF.],
IF("Dentro"=DATOS_[Check Periodo Ref.],
1/(COUNTIFS(DATOS_[Sexo],$B37,DATOS_[AGRUP. CLAS. PROF.],$B36,DATOS_[Check Periodo Ref.],"Dentro",DATOS_[id],DATOS_[id]))))))</f>
        <v>0</v>
      </c>
      <c r="D37" s="35">
        <f>COUNTIFS(DATOS_[AGRUP. CLAS. PROF.],$B36,DATOS_[Sexo],$B37,DATOS_[Check Periodo Ref.],"Dentro")</f>
        <v>0</v>
      </c>
      <c r="E37" s="110">
        <f t="array" ref="E37">IFERROR(
MEDIAN(IF(DATOS_[Sexo]=$B37,IF(DATOS_[AGRUP. CLAS. PROF.]=$B36,IF(DATOS_[Check Periodo Ref.]="Dentro",DATOS_[SALARIO BASE Ef],FALSE)))),
0)</f>
        <v>0</v>
      </c>
      <c r="F37" s="111">
        <f t="array" ref="F37">IFERROR(
MEDIAN((IF(DATOS_[[Sexo]:[Sexo]]=$B37,IF(DATOS_[[AGRUP. CLAS. PROF.]:[AGRUP. CLAS. PROF.]]=$B36,IF(DATOS_[[Check Periodo Ref.]:[Check Periodo Ref.]]="Dentro",DATOS_[Conc.Sal.01]))))),
0)</f>
        <v>0</v>
      </c>
      <c r="G37" s="111">
        <f t="array" ref="G37">IFERROR(
MEDIAN((IF(DATOS_[[Sexo]:[Sexo]]=$B37,IF(DATOS_[[AGRUP. CLAS. PROF.]:[AGRUP. CLAS. PROF.]]=$B36,IF(DATOS_[[Check Periodo Ref.]:[Check Periodo Ref.]]="Dentro",DATOS_[Conc.Sal.02]))))),
0)</f>
        <v>0</v>
      </c>
      <c r="H37" s="111">
        <f t="array" ref="H37">IFERROR(
MEDIAN((IF(DATOS_[[Sexo]:[Sexo]]=$B37,IF(DATOS_[[AGRUP. CLAS. PROF.]:[AGRUP. CLAS. PROF.]]=$B36,IF(DATOS_[[Check Periodo Ref.]:[Check Periodo Ref.]]="Dentro",DATOS_[Conc.Sal.03]))))),
0)</f>
        <v>0</v>
      </c>
      <c r="I37" s="111">
        <f t="array" ref="I37">IFERROR(
MEDIAN((IF(DATOS_[[Sexo]:[Sexo]]=$B37,IF(DATOS_[[AGRUP. CLAS. PROF.]:[AGRUP. CLAS. PROF.]]=$B36,IF(DATOS_[[Check Periodo Ref.]:[Check Periodo Ref.]]="Dentro",DATOS_[Conc.Sal.04]))))),
0)</f>
        <v>0</v>
      </c>
      <c r="J37" s="111">
        <f t="array" ref="J37">IFERROR(
MEDIAN((IF(DATOS_[[Sexo]:[Sexo]]=$B37,IF(DATOS_[[AGRUP. CLAS. PROF.]:[AGRUP. CLAS. PROF.]]=$B36,IF(DATOS_[[Check Periodo Ref.]:[Check Periodo Ref.]]="Dentro",DATOS_[Conc.Sal.05]))))),
0)</f>
        <v>0</v>
      </c>
      <c r="K37" s="111">
        <f t="array" ref="K37">IFERROR(
MEDIAN((IF(DATOS_[[Sexo]:[Sexo]]=$B37,IF(DATOS_[[AGRUP. CLAS. PROF.]:[AGRUP. CLAS. PROF.]]=$B36,IF(DATOS_[[Check Periodo Ref.]:[Check Periodo Ref.]]="Dentro",DATOS_[Conc.Sal.06]))))),
0)</f>
        <v>0</v>
      </c>
      <c r="L37" s="111">
        <f t="array" ref="L37">IFERROR(
MEDIAN((IF(DATOS_[[Sexo]:[Sexo]]=$B37,IF(DATOS_[[AGRUP. CLAS. PROF.]:[AGRUP. CLAS. PROF.]]=$B36,IF(DATOS_[[Check Periodo Ref.]:[Check Periodo Ref.]]="Dentro",DATOS_[Conc.Sal.07]))))),
0)</f>
        <v>0</v>
      </c>
      <c r="M37" s="111">
        <f t="array" ref="M37">IFERROR(
MEDIAN((IF(DATOS_[[Sexo]:[Sexo]]=$B37,IF(DATOS_[[AGRUP. CLAS. PROF.]:[AGRUP. CLAS. PROF.]]=$B36,IF(DATOS_[[Check Periodo Ref.]:[Check Periodo Ref.]]="Dentro",DATOS_[Conc.Sal.08]))))),
0)</f>
        <v>0</v>
      </c>
      <c r="N37" s="111">
        <f t="array" ref="N37">IFERROR(
MEDIAN((IF(DATOS_[[Sexo]:[Sexo]]=$B37,IF(DATOS_[[AGRUP. CLAS. PROF.]:[AGRUP. CLAS. PROF.]]=$B36,IF(DATOS_[[Check Periodo Ref.]:[Check Periodo Ref.]]="Dentro",DATOS_[Conc.Sal.09]))))),
0)</f>
        <v>0</v>
      </c>
      <c r="O37" s="111">
        <f t="array" ref="O37">IFERROR(
MEDIAN((IF(DATOS_[[Sexo]:[Sexo]]=$B37,IF(DATOS_[[AGRUP. CLAS. PROF.]:[AGRUP. CLAS. PROF.]]=$B36,IF(DATOS_[[Check Periodo Ref.]:[Check Periodo Ref.]]="Dentro",DATOS_[Conc.Sal.10]))))),
0)</f>
        <v>0</v>
      </c>
      <c r="P37" s="111">
        <f t="array" ref="P37">IFERROR(
MEDIAN((IF(DATOS_[[Sexo]:[Sexo]]=$B37,IF(DATOS_[[AGRUP. CLAS. PROF.]:[AGRUP. CLAS. PROF.]]=$B36,IF(DATOS_[[Check Periodo Ref.]:[Check Periodo Ref.]]="Dentro",DATOS_[Conc.Sal.11]))))),
0)</f>
        <v>0</v>
      </c>
      <c r="Q37" s="111">
        <f t="array" ref="Q37">IFERROR(
MEDIAN((IF(DATOS_[[Sexo]:[Sexo]]=$B37,IF(DATOS_[[AGRUP. CLAS. PROF.]:[AGRUP. CLAS. PROF.]]=$B36,IF(DATOS_[[Check Periodo Ref.]:[Check Periodo Ref.]]="Dentro",DATOS_[Conc.Sal.12]))))),
0)</f>
        <v>0</v>
      </c>
      <c r="R37" s="111">
        <f t="array" ref="R37">IFERROR(
MEDIAN((IF(DATOS_[[Sexo]:[Sexo]]=$B37,IF(DATOS_[[AGRUP. CLAS. PROF.]:[AGRUP. CLAS. PROF.]]=$B36,IF(DATOS_[[Check Periodo Ref.]:[Check Periodo Ref.]]="Dentro",DATOS_[Conc.Sal.13]))))),
0)</f>
        <v>0</v>
      </c>
      <c r="S37" s="111">
        <f t="array" ref="S37">IFERROR(
MEDIAN((IF(DATOS_[[Sexo]:[Sexo]]=$B37,IF(DATOS_[[AGRUP. CLAS. PROF.]:[AGRUP. CLAS. PROF.]]=$B36,IF(DATOS_[[Check Periodo Ref.]:[Check Periodo Ref.]]="Dentro",DATOS_[Conc.Sal.14]))))),
0)</f>
        <v>0</v>
      </c>
      <c r="T37" s="111">
        <f t="array" ref="T37">IFERROR(
MEDIAN((IF(DATOS_[[Sexo]:[Sexo]]=$B37,IF(DATOS_[[AGRUP. CLAS. PROF.]:[AGRUP. CLAS. PROF.]]=$B36,IF(DATOS_[[Check Periodo Ref.]:[Check Periodo Ref.]]="Dentro",DATOS_[Conc.Sal.15]))))),
0)</f>
        <v>0</v>
      </c>
      <c r="U37" s="111">
        <f t="array" ref="U37">IFERROR(
MEDIAN((IF(DATOS_[[Sexo]:[Sexo]]=$B37,IF(DATOS_[[AGRUP. CLAS. PROF.]:[AGRUP. CLAS. PROF.]]=$B36,IF(DATOS_[[Check Periodo Ref.]:[Check Periodo Ref.]]="Dentro",DATOS_[Conc.Sal.16]))))),
0)</f>
        <v>0</v>
      </c>
      <c r="V37" s="111">
        <f t="array" ref="V37">IFERROR(
MEDIAN((IF(DATOS_[[Sexo]:[Sexo]]=$B37,IF(DATOS_[[AGRUP. CLAS. PROF.]:[AGRUP. CLAS. PROF.]]=$B36,IF(DATOS_[[Check Periodo Ref.]:[Check Periodo Ref.]]="Dentro",DATOS_[Conc.Sal.17]))))),
0)</f>
        <v>0</v>
      </c>
      <c r="W37" s="111">
        <f t="array" ref="W37">IFERROR(
MEDIAN((IF(DATOS_[[Sexo]:[Sexo]]=$B37,IF(DATOS_[[AGRUP. CLAS. PROF.]:[AGRUP. CLAS. PROF.]]=$B36,IF(DATOS_[[Check Periodo Ref.]:[Check Periodo Ref.]]="Dentro",DATOS_[Conc.Sal.18]))))),
0)</f>
        <v>0</v>
      </c>
      <c r="X37" s="111">
        <f t="array" ref="X37">IFERROR(
MEDIAN((IF(DATOS_[[Sexo]:[Sexo]]=$B37,IF(DATOS_[[AGRUP. CLAS. PROF.]:[AGRUP. CLAS. PROF.]]=$B36,IF(DATOS_[[Check Periodo Ref.]:[Check Periodo Ref.]]="Dentro",DATOS_[Conc.Sal.19]))))),
0)</f>
        <v>0</v>
      </c>
      <c r="Y37" s="111">
        <f t="array" ref="Y37">IFERROR(
MEDIAN((IF(DATOS_[[Sexo]:[Sexo]]=$B37,IF(DATOS_[[AGRUP. CLAS. PROF.]:[AGRUP. CLAS. PROF.]]=$B36,IF(DATOS_[[Check Periodo Ref.]:[Check Periodo Ref.]]="Dentro",DATOS_[Conc.Sal.20]))))),
0)</f>
        <v>0</v>
      </c>
      <c r="Z37" s="111">
        <f t="array" ref="Z37">IFERROR(
MEDIAN((IF(DATOS_[[Sexo]:[Sexo]]=$B37,IF(DATOS_[[AGRUP. CLAS. PROF.]:[AGRUP. CLAS. PROF.]]=$B36,IF(DATOS_[[Check Periodo Ref.]:[Check Periodo Ref.]]="Dentro",DATOS_[Conc.Sal.21]))))),
0)</f>
        <v>0</v>
      </c>
      <c r="AA37" s="111">
        <f t="array" ref="AA37">IFERROR(
MEDIAN((IF(DATOS_[[Sexo]:[Sexo]]=$B37,IF(DATOS_[[AGRUP. CLAS. PROF.]:[AGRUP. CLAS. PROF.]]=$B36,IF(DATOS_[[Check Periodo Ref.]:[Check Periodo Ref.]]="Dentro",DATOS_[Conc.Sal.22]))))),
0)</f>
        <v>0</v>
      </c>
      <c r="AB37" s="111">
        <f t="array" ref="AB37">IFERROR(
MEDIAN((IF(DATOS_[[Sexo]:[Sexo]]=$B37,IF(DATOS_[[AGRUP. CLAS. PROF.]:[AGRUP. CLAS. PROF.]]=$B36,IF(DATOS_[[Check Periodo Ref.]:[Check Periodo Ref.]]="Dentro",DATOS_[Conc.Sal.23]))))),
0)</f>
        <v>0</v>
      </c>
      <c r="AC37" s="111">
        <f t="array" ref="AC37">IFERROR(
MEDIAN((IF(DATOS_[[Sexo]:[Sexo]]=$B37,IF(DATOS_[[AGRUP. CLAS. PROF.]:[AGRUP. CLAS. PROF.]]=$B36,IF(DATOS_[[Check Periodo Ref.]:[Check Periodo Ref.]]="Dentro",DATOS_[Conc.Sal.24]))))),
0)</f>
        <v>0</v>
      </c>
      <c r="AD37" s="111">
        <f t="array" ref="AD37">IFERROR(
MEDIAN((IF(DATOS_[[Sexo]:[Sexo]]=$B37,IF(DATOS_[[AGRUP. CLAS. PROF.]:[AGRUP. CLAS. PROF.]]=$B36,IF(DATOS_[[Check Periodo Ref.]:[Check Periodo Ref.]]="Dentro",DATOS_[Conc.Sal.25]))))),
0)</f>
        <v>0</v>
      </c>
      <c r="AE37" s="111">
        <f t="array" ref="AE37">IFERROR(
MEDIAN((IF(DATOS_[[Sexo]:[Sexo]]=$B37,IF(DATOS_[[AGRUP. CLAS. PROF.]:[AGRUP. CLAS. PROF.]]=$B36,IF(DATOS_[[Check Periodo Ref.]:[Check Periodo Ref.]]="Dentro",DATOS_[Conc.Sal.26]))))),
0)</f>
        <v>0</v>
      </c>
      <c r="AF37" s="111">
        <f t="array" ref="AF37">IFERROR(
MEDIAN((IF(DATOS_[[Sexo]:[Sexo]]=$B37,IF(DATOS_[[AGRUP. CLAS. PROF.]:[AGRUP. CLAS. PROF.]]=$B36,IF(DATOS_[[Check Periodo Ref.]:[Check Periodo Ref.]]="Dentro",DATOS_[Conc.Sal.27]))))),
0)</f>
        <v>0</v>
      </c>
      <c r="AG37" s="111">
        <f t="array" ref="AG37">IFERROR(
MEDIAN((IF(DATOS_[[Sexo]:[Sexo]]=$B37,IF(DATOS_[[AGRUP. CLAS. PROF.]:[AGRUP. CLAS. PROF.]]=$B36,IF(DATOS_[[Check Periodo Ref.]:[Check Periodo Ref.]]="Dentro",DATOS_[Conc.Sal.28]))))),
0)</f>
        <v>0</v>
      </c>
      <c r="AH37" s="111">
        <f t="array" ref="AH37">IFERROR(
MEDIAN((IF(DATOS_[[Sexo]:[Sexo]]=$B37,IF(DATOS_[[AGRUP. CLAS. PROF.]:[AGRUP. CLAS. PROF.]]=$B36,IF(DATOS_[[Check Periodo Ref.]:[Check Periodo Ref.]]="Dentro",DATOS_[Conc.Sal.29]))))),
0)</f>
        <v>0</v>
      </c>
      <c r="AI37" s="111">
        <f t="array" ref="AI37">IFERROR(
MEDIAN((IF(DATOS_[[Sexo]:[Sexo]]=$B37,IF(DATOS_[[AGRUP. CLAS. PROF.]:[AGRUP. CLAS. PROF.]]=$B36,IF(DATOS_[[Check Periodo Ref.]:[Check Periodo Ref.]]="Dentro",DATOS_[Conc.Sal.30]))))),
0)</f>
        <v>0</v>
      </c>
      <c r="AJ37" s="112">
        <f t="array" ref="AJ37">IFERROR(
MEDIAN(IF(DATOS_[Sexo]=$B37,IF(DATOS_[AGRUP. CLAS. PROF.]=$B36,IF(DATOS_[Check Periodo Ref.]="Dentro",DATOS_[Tot COMPL.SAL Ef],FALSE)))),
0)</f>
        <v>0</v>
      </c>
      <c r="AK37" s="113">
        <f t="array" ref="AK37">IFERROR(
MEDIAN(IF(DATOS_[Sexo]=$B37,IF(DATOS_[AGRUP. CLAS. PROF.]=$B36,IF(DATOS_[Check Periodo Ref.]="Dentro",DATOS_[TOTAL SALARIO Ef],FALSE)))),
0)</f>
        <v>0</v>
      </c>
      <c r="AL37" s="114">
        <f t="array" ref="AL37">IFERROR(
MEDIAN((IF(DATOS_[[Sexo]:[Sexo]]=$B37,IF(DATOS_[[AGRUP. CLAS. PROF.]:[AGRUP. CLAS. PROF.]]=$B36,IF(DATOS_[[Check Periodo Ref.]:[Check Periodo Ref.]]="Dentro",DATOS_[C.Extra.01]))))),
0)</f>
        <v>0</v>
      </c>
      <c r="AM37" s="114">
        <f t="array" ref="AM37">IFERROR(
MEDIAN((IF(DATOS_[[Sexo]:[Sexo]]=$B37,IF(DATOS_[[AGRUP. CLAS. PROF.]:[AGRUP. CLAS. PROF.]]=$B36,IF(DATOS_[[Check Periodo Ref.]:[Check Periodo Ref.]]="Dentro",DATOS_[C.Extra.02]))))),
0)</f>
        <v>0</v>
      </c>
      <c r="AN37" s="114">
        <f t="array" ref="AN37">IFERROR(
MEDIAN((IF(DATOS_[[Sexo]:[Sexo]]=$B37,IF(DATOS_[[AGRUP. CLAS. PROF.]:[AGRUP. CLAS. PROF.]]=$B36,IF(DATOS_[[Check Periodo Ref.]:[Check Periodo Ref.]]="Dentro",DATOS_[C.Extra.03]))))),
0)</f>
        <v>0</v>
      </c>
      <c r="AO37" s="114">
        <f t="array" ref="AO37">IFERROR(
MEDIAN((IF(DATOS_[[Sexo]:[Sexo]]=$B37,IF(DATOS_[[AGRUP. CLAS. PROF.]:[AGRUP. CLAS. PROF.]]=$B36,IF(DATOS_[[Check Periodo Ref.]:[Check Periodo Ref.]]="Dentro",DATOS_[C.Extra.04]))))),
0)</f>
        <v>0</v>
      </c>
      <c r="AP37" s="114">
        <f t="array" ref="AP37">IFERROR(
MEDIAN((IF(DATOS_[[Sexo]:[Sexo]]=$B37,IF(DATOS_[[AGRUP. CLAS. PROF.]:[AGRUP. CLAS. PROF.]]=$B36,IF(DATOS_[[Check Periodo Ref.]:[Check Periodo Ref.]]="Dentro",DATOS_[C.Extra.05]))))),
0)</f>
        <v>0</v>
      </c>
      <c r="AQ37" s="115">
        <f t="array" ref="AQ37">IFERROR(
MEDIAN(IF(DATOS_[Sexo]=$B37,IF(DATOS_[AGRUP. CLAS. PROF.]=$B36,IF(DATOS_[Check Periodo Ref.]="Dentro",DATOS_[Tot Extrasalarial Ef],FALSE)))),
0)</f>
        <v>0</v>
      </c>
      <c r="AR37" s="116">
        <f t="array" ref="AR37">IFERROR(
MEDIAN(IF(DATOS_[Sexo]=$B37,IF(DATOS_[AGRUP. CLAS. PROF.]=$B36,IF(DATOS_[Check Periodo Ref.]="Dentro",DATOS_[TOTAL Retrib Ef],FALSE)))),
0)</f>
        <v>0</v>
      </c>
    </row>
    <row r="38" spans="1:44" hidden="1" x14ac:dyDescent="0.3">
      <c r="A38" s="42" t="str">
        <f t="shared" ref="A38" si="34">+A37</f>
        <v>[ocultar]</v>
      </c>
      <c r="B38" s="34" t="s">
        <v>163</v>
      </c>
      <c r="C38" s="33">
        <f t="array" ref="C38">SUM(IF($B38=DATOS_[Sexo],
IF($B36=DATOS_[AGRUP. CLAS. PROF.],
IF("Dentro"=DATOS_[Check Periodo Ref.],
1/(COUNTIFS(DATOS_[Sexo],$B38,DATOS_[AGRUP. CLAS. PROF.],$B36,DATOS_[Check Periodo Ref.],"Dentro",DATOS_[id],DATOS_[id]))))))</f>
        <v>0</v>
      </c>
      <c r="D38" s="35">
        <f>COUNTIFS(DATOS_[AGRUP. CLAS. PROF.],$B36,DATOS_[Sexo],$B38,DATOS_[Check Periodo Ref.],"Dentro")</f>
        <v>0</v>
      </c>
      <c r="E38" s="110">
        <f t="array" ref="E38">IFERROR(
MEDIAN(IF(DATOS_[Sexo]=$B38,IF(DATOS_[AGRUP. CLAS. PROF.]=$B36,IF(DATOS_[Check Periodo Ref.]="Dentro",DATOS_[SALARIO BASE Ef],FALSE)))),
0)</f>
        <v>0</v>
      </c>
      <c r="F38" s="111">
        <f t="array" ref="F38">IFERROR(
MEDIAN((IF(DATOS_[[Sexo]:[Sexo]]=$B38,IF(DATOS_[[AGRUP. CLAS. PROF.]:[AGRUP. CLAS. PROF.]]=$B36,IF(DATOS_[[Check Periodo Ref.]:[Check Periodo Ref.]]="Dentro",DATOS_[Conc.Sal.01]))))),
0)</f>
        <v>0</v>
      </c>
      <c r="G38" s="111">
        <f t="array" ref="G38">IFERROR(
MEDIAN((IF(DATOS_[[Sexo]:[Sexo]]=$B38,IF(DATOS_[[AGRUP. CLAS. PROF.]:[AGRUP. CLAS. PROF.]]=$B36,IF(DATOS_[[Check Periodo Ref.]:[Check Periodo Ref.]]="Dentro",DATOS_[Conc.Sal.02]))))),
0)</f>
        <v>0</v>
      </c>
      <c r="H38" s="111">
        <f t="array" ref="H38">IFERROR(
MEDIAN((IF(DATOS_[[Sexo]:[Sexo]]=$B38,IF(DATOS_[[AGRUP. CLAS. PROF.]:[AGRUP. CLAS. PROF.]]=$B36,IF(DATOS_[[Check Periodo Ref.]:[Check Periodo Ref.]]="Dentro",DATOS_[Conc.Sal.03]))))),
0)</f>
        <v>0</v>
      </c>
      <c r="I38" s="111">
        <f t="array" ref="I38">IFERROR(
MEDIAN((IF(DATOS_[[Sexo]:[Sexo]]=$B38,IF(DATOS_[[AGRUP. CLAS. PROF.]:[AGRUP. CLAS. PROF.]]=$B36,IF(DATOS_[[Check Periodo Ref.]:[Check Periodo Ref.]]="Dentro",DATOS_[Conc.Sal.04]))))),
0)</f>
        <v>0</v>
      </c>
      <c r="J38" s="111">
        <f t="array" ref="J38">IFERROR(
MEDIAN((IF(DATOS_[[Sexo]:[Sexo]]=$B38,IF(DATOS_[[AGRUP. CLAS. PROF.]:[AGRUP. CLAS. PROF.]]=$B36,IF(DATOS_[[Check Periodo Ref.]:[Check Periodo Ref.]]="Dentro",DATOS_[Conc.Sal.05]))))),
0)</f>
        <v>0</v>
      </c>
      <c r="K38" s="111">
        <f t="array" ref="K38">IFERROR(
MEDIAN((IF(DATOS_[[Sexo]:[Sexo]]=$B38,IF(DATOS_[[AGRUP. CLAS. PROF.]:[AGRUP. CLAS. PROF.]]=$B36,IF(DATOS_[[Check Periodo Ref.]:[Check Periodo Ref.]]="Dentro",DATOS_[Conc.Sal.06]))))),
0)</f>
        <v>0</v>
      </c>
      <c r="L38" s="111">
        <f t="array" ref="L38">IFERROR(
MEDIAN((IF(DATOS_[[Sexo]:[Sexo]]=$B38,IF(DATOS_[[AGRUP. CLAS. PROF.]:[AGRUP. CLAS. PROF.]]=$B36,IF(DATOS_[[Check Periodo Ref.]:[Check Periodo Ref.]]="Dentro",DATOS_[Conc.Sal.07]))))),
0)</f>
        <v>0</v>
      </c>
      <c r="M38" s="111">
        <f t="array" ref="M38">IFERROR(
MEDIAN((IF(DATOS_[[Sexo]:[Sexo]]=$B38,IF(DATOS_[[AGRUP. CLAS. PROF.]:[AGRUP. CLAS. PROF.]]=$B36,IF(DATOS_[[Check Periodo Ref.]:[Check Periodo Ref.]]="Dentro",DATOS_[Conc.Sal.08]))))),
0)</f>
        <v>0</v>
      </c>
      <c r="N38" s="111">
        <f t="array" ref="N38">IFERROR(
MEDIAN((IF(DATOS_[[Sexo]:[Sexo]]=$B38,IF(DATOS_[[AGRUP. CLAS. PROF.]:[AGRUP. CLAS. PROF.]]=$B36,IF(DATOS_[[Check Periodo Ref.]:[Check Periodo Ref.]]="Dentro",DATOS_[Conc.Sal.09]))))),
0)</f>
        <v>0</v>
      </c>
      <c r="O38" s="111">
        <f t="array" ref="O38">IFERROR(
MEDIAN((IF(DATOS_[[Sexo]:[Sexo]]=$B38,IF(DATOS_[[AGRUP. CLAS. PROF.]:[AGRUP. CLAS. PROF.]]=$B36,IF(DATOS_[[Check Periodo Ref.]:[Check Periodo Ref.]]="Dentro",DATOS_[Conc.Sal.10]))))),
0)</f>
        <v>0</v>
      </c>
      <c r="P38" s="111">
        <f t="array" ref="P38">IFERROR(
MEDIAN((IF(DATOS_[[Sexo]:[Sexo]]=$B38,IF(DATOS_[[AGRUP. CLAS. PROF.]:[AGRUP. CLAS. PROF.]]=$B36,IF(DATOS_[[Check Periodo Ref.]:[Check Periodo Ref.]]="Dentro",DATOS_[Conc.Sal.11]))))),
0)</f>
        <v>0</v>
      </c>
      <c r="Q38" s="111">
        <f t="array" ref="Q38">IFERROR(
MEDIAN((IF(DATOS_[[Sexo]:[Sexo]]=$B38,IF(DATOS_[[AGRUP. CLAS. PROF.]:[AGRUP. CLAS. PROF.]]=$B36,IF(DATOS_[[Check Periodo Ref.]:[Check Periodo Ref.]]="Dentro",DATOS_[Conc.Sal.12]))))),
0)</f>
        <v>0</v>
      </c>
      <c r="R38" s="111">
        <f t="array" ref="R38">IFERROR(
MEDIAN((IF(DATOS_[[Sexo]:[Sexo]]=$B38,IF(DATOS_[[AGRUP. CLAS. PROF.]:[AGRUP. CLAS. PROF.]]=$B36,IF(DATOS_[[Check Periodo Ref.]:[Check Periodo Ref.]]="Dentro",DATOS_[Conc.Sal.13]))))),
0)</f>
        <v>0</v>
      </c>
      <c r="S38" s="111">
        <f t="array" ref="S38">IFERROR(
MEDIAN((IF(DATOS_[[Sexo]:[Sexo]]=$B38,IF(DATOS_[[AGRUP. CLAS. PROF.]:[AGRUP. CLAS. PROF.]]=$B36,IF(DATOS_[[Check Periodo Ref.]:[Check Periodo Ref.]]="Dentro",DATOS_[Conc.Sal.14]))))),
0)</f>
        <v>0</v>
      </c>
      <c r="T38" s="111">
        <f t="array" ref="T38">IFERROR(
MEDIAN((IF(DATOS_[[Sexo]:[Sexo]]=$B38,IF(DATOS_[[AGRUP. CLAS. PROF.]:[AGRUP. CLAS. PROF.]]=$B36,IF(DATOS_[[Check Periodo Ref.]:[Check Periodo Ref.]]="Dentro",DATOS_[Conc.Sal.15]))))),
0)</f>
        <v>0</v>
      </c>
      <c r="U38" s="111">
        <f t="array" ref="U38">IFERROR(
MEDIAN((IF(DATOS_[[Sexo]:[Sexo]]=$B38,IF(DATOS_[[AGRUP. CLAS. PROF.]:[AGRUP. CLAS. PROF.]]=$B36,IF(DATOS_[[Check Periodo Ref.]:[Check Periodo Ref.]]="Dentro",DATOS_[Conc.Sal.16]))))),
0)</f>
        <v>0</v>
      </c>
      <c r="V38" s="111">
        <f t="array" ref="V38">IFERROR(
MEDIAN((IF(DATOS_[[Sexo]:[Sexo]]=$B38,IF(DATOS_[[AGRUP. CLAS. PROF.]:[AGRUP. CLAS. PROF.]]=$B36,IF(DATOS_[[Check Periodo Ref.]:[Check Periodo Ref.]]="Dentro",DATOS_[Conc.Sal.17]))))),
0)</f>
        <v>0</v>
      </c>
      <c r="W38" s="111">
        <f t="array" ref="W38">IFERROR(
MEDIAN((IF(DATOS_[[Sexo]:[Sexo]]=$B38,IF(DATOS_[[AGRUP. CLAS. PROF.]:[AGRUP. CLAS. PROF.]]=$B36,IF(DATOS_[[Check Periodo Ref.]:[Check Periodo Ref.]]="Dentro",DATOS_[Conc.Sal.18]))))),
0)</f>
        <v>0</v>
      </c>
      <c r="X38" s="111">
        <f t="array" ref="X38">IFERROR(
MEDIAN((IF(DATOS_[[Sexo]:[Sexo]]=$B38,IF(DATOS_[[AGRUP. CLAS. PROF.]:[AGRUP. CLAS. PROF.]]=$B36,IF(DATOS_[[Check Periodo Ref.]:[Check Periodo Ref.]]="Dentro",DATOS_[Conc.Sal.19]))))),
0)</f>
        <v>0</v>
      </c>
      <c r="Y38" s="111">
        <f t="array" ref="Y38">IFERROR(
MEDIAN((IF(DATOS_[[Sexo]:[Sexo]]=$B38,IF(DATOS_[[AGRUP. CLAS. PROF.]:[AGRUP. CLAS. PROF.]]=$B36,IF(DATOS_[[Check Periodo Ref.]:[Check Periodo Ref.]]="Dentro",DATOS_[Conc.Sal.20]))))),
0)</f>
        <v>0</v>
      </c>
      <c r="Z38" s="111">
        <f t="array" ref="Z38">IFERROR(
MEDIAN((IF(DATOS_[[Sexo]:[Sexo]]=$B38,IF(DATOS_[[AGRUP. CLAS. PROF.]:[AGRUP. CLAS. PROF.]]=$B36,IF(DATOS_[[Check Periodo Ref.]:[Check Periodo Ref.]]="Dentro",DATOS_[Conc.Sal.21]))))),
0)</f>
        <v>0</v>
      </c>
      <c r="AA38" s="111">
        <f t="array" ref="AA38">IFERROR(
MEDIAN((IF(DATOS_[[Sexo]:[Sexo]]=$B38,IF(DATOS_[[AGRUP. CLAS. PROF.]:[AGRUP. CLAS. PROF.]]=$B36,IF(DATOS_[[Check Periodo Ref.]:[Check Periodo Ref.]]="Dentro",DATOS_[Conc.Sal.22]))))),
0)</f>
        <v>0</v>
      </c>
      <c r="AB38" s="111">
        <f t="array" ref="AB38">IFERROR(
MEDIAN((IF(DATOS_[[Sexo]:[Sexo]]=$B38,IF(DATOS_[[AGRUP. CLAS. PROF.]:[AGRUP. CLAS. PROF.]]=$B36,IF(DATOS_[[Check Periodo Ref.]:[Check Periodo Ref.]]="Dentro",DATOS_[Conc.Sal.23]))))),
0)</f>
        <v>0</v>
      </c>
      <c r="AC38" s="111">
        <f t="array" ref="AC38">IFERROR(
MEDIAN((IF(DATOS_[[Sexo]:[Sexo]]=$B38,IF(DATOS_[[AGRUP. CLAS. PROF.]:[AGRUP. CLAS. PROF.]]=$B36,IF(DATOS_[[Check Periodo Ref.]:[Check Periodo Ref.]]="Dentro",DATOS_[Conc.Sal.24]))))),
0)</f>
        <v>0</v>
      </c>
      <c r="AD38" s="111">
        <f t="array" ref="AD38">IFERROR(
MEDIAN((IF(DATOS_[[Sexo]:[Sexo]]=$B38,IF(DATOS_[[AGRUP. CLAS. PROF.]:[AGRUP. CLAS. PROF.]]=$B36,IF(DATOS_[[Check Periodo Ref.]:[Check Periodo Ref.]]="Dentro",DATOS_[Conc.Sal.25]))))),
0)</f>
        <v>0</v>
      </c>
      <c r="AE38" s="111">
        <f t="array" ref="AE38">IFERROR(
MEDIAN((IF(DATOS_[[Sexo]:[Sexo]]=$B38,IF(DATOS_[[AGRUP. CLAS. PROF.]:[AGRUP. CLAS. PROF.]]=$B36,IF(DATOS_[[Check Periodo Ref.]:[Check Periodo Ref.]]="Dentro",DATOS_[Conc.Sal.26]))))),
0)</f>
        <v>0</v>
      </c>
      <c r="AF38" s="111">
        <f t="array" ref="AF38">IFERROR(
MEDIAN((IF(DATOS_[[Sexo]:[Sexo]]=$B38,IF(DATOS_[[AGRUP. CLAS. PROF.]:[AGRUP. CLAS. PROF.]]=$B36,IF(DATOS_[[Check Periodo Ref.]:[Check Periodo Ref.]]="Dentro",DATOS_[Conc.Sal.27]))))),
0)</f>
        <v>0</v>
      </c>
      <c r="AG38" s="111">
        <f t="array" ref="AG38">IFERROR(
MEDIAN((IF(DATOS_[[Sexo]:[Sexo]]=$B38,IF(DATOS_[[AGRUP. CLAS. PROF.]:[AGRUP. CLAS. PROF.]]=$B36,IF(DATOS_[[Check Periodo Ref.]:[Check Periodo Ref.]]="Dentro",DATOS_[Conc.Sal.28]))))),
0)</f>
        <v>0</v>
      </c>
      <c r="AH38" s="111">
        <f t="array" ref="AH38">IFERROR(
MEDIAN((IF(DATOS_[[Sexo]:[Sexo]]=$B38,IF(DATOS_[[AGRUP. CLAS. PROF.]:[AGRUP. CLAS. PROF.]]=$B36,IF(DATOS_[[Check Periodo Ref.]:[Check Periodo Ref.]]="Dentro",DATOS_[Conc.Sal.29]))))),
0)</f>
        <v>0</v>
      </c>
      <c r="AI38" s="111">
        <f t="array" ref="AI38">IFERROR(
MEDIAN((IF(DATOS_[[Sexo]:[Sexo]]=$B38,IF(DATOS_[[AGRUP. CLAS. PROF.]:[AGRUP. CLAS. PROF.]]=$B36,IF(DATOS_[[Check Periodo Ref.]:[Check Periodo Ref.]]="Dentro",DATOS_[Conc.Sal.30]))))),
0)</f>
        <v>0</v>
      </c>
      <c r="AJ38" s="112">
        <f t="array" ref="AJ38">IFERROR(
MEDIAN(IF(DATOS_[Sexo]=$B38,IF(DATOS_[AGRUP. CLAS. PROF.]=$B36,IF(DATOS_[Check Periodo Ref.]="Dentro",DATOS_[Tot COMPL.SAL Ef],FALSE)))),
0)</f>
        <v>0</v>
      </c>
      <c r="AK38" s="113">
        <f t="array" ref="AK38">IFERROR(
MEDIAN(IF(DATOS_[Sexo]=$B38,IF(DATOS_[AGRUP. CLAS. PROF.]=$B36,IF(DATOS_[Check Periodo Ref.]="Dentro",DATOS_[TOTAL SALARIO Ef],FALSE)))),
0)</f>
        <v>0</v>
      </c>
      <c r="AL38" s="114">
        <f t="array" ref="AL38">IFERROR(
MEDIAN((IF(DATOS_[[Sexo]:[Sexo]]=$B38,IF(DATOS_[[AGRUP. CLAS. PROF.]:[AGRUP. CLAS. PROF.]]=$B36,IF(DATOS_[[Check Periodo Ref.]:[Check Periodo Ref.]]="Dentro",DATOS_[C.Extra.01]))))),
0)</f>
        <v>0</v>
      </c>
      <c r="AM38" s="114">
        <f t="array" ref="AM38">IFERROR(
MEDIAN((IF(DATOS_[[Sexo]:[Sexo]]=$B38,IF(DATOS_[[AGRUP. CLAS. PROF.]:[AGRUP. CLAS. PROF.]]=$B36,IF(DATOS_[[Check Periodo Ref.]:[Check Periodo Ref.]]="Dentro",DATOS_[C.Extra.02]))))),
0)</f>
        <v>0</v>
      </c>
      <c r="AN38" s="114">
        <f t="array" ref="AN38">IFERROR(
MEDIAN((IF(DATOS_[[Sexo]:[Sexo]]=$B38,IF(DATOS_[[AGRUP. CLAS. PROF.]:[AGRUP. CLAS. PROF.]]=$B36,IF(DATOS_[[Check Periodo Ref.]:[Check Periodo Ref.]]="Dentro",DATOS_[C.Extra.03]))))),
0)</f>
        <v>0</v>
      </c>
      <c r="AO38" s="114">
        <f t="array" ref="AO38">IFERROR(
MEDIAN((IF(DATOS_[[Sexo]:[Sexo]]=$B38,IF(DATOS_[[AGRUP. CLAS. PROF.]:[AGRUP. CLAS. PROF.]]=$B36,IF(DATOS_[[Check Periodo Ref.]:[Check Periodo Ref.]]="Dentro",DATOS_[C.Extra.04]))))),
0)</f>
        <v>0</v>
      </c>
      <c r="AP38" s="114">
        <f t="array" ref="AP38">IFERROR(
MEDIAN((IF(DATOS_[[Sexo]:[Sexo]]=$B38,IF(DATOS_[[AGRUP. CLAS. PROF.]:[AGRUP. CLAS. PROF.]]=$B36,IF(DATOS_[[Check Periodo Ref.]:[Check Periodo Ref.]]="Dentro",DATOS_[C.Extra.05]))))),
0)</f>
        <v>0</v>
      </c>
      <c r="AQ38" s="115">
        <f t="array" ref="AQ38">IFERROR(
MEDIAN(IF(DATOS_[Sexo]=$B38,IF(DATOS_[AGRUP. CLAS. PROF.]=$B36,IF(DATOS_[Check Periodo Ref.]="Dentro",DATOS_[Tot Extrasalarial Ef],FALSE)))),
0)</f>
        <v>0</v>
      </c>
      <c r="AR38" s="116">
        <f t="array" ref="AR38">IFERROR(
MEDIAN(IF(DATOS_[Sexo]=$B38,IF(DATOS_[AGRUP. CLAS. PROF.]=$B36,IF(DATOS_[Check Periodo Ref.]="Dentro",DATOS_[TOTAL Retrib Ef],FALSE)))),
0)</f>
        <v>0</v>
      </c>
    </row>
    <row r="39" spans="1:44" ht="17.25" hidden="1" thickBot="1" x14ac:dyDescent="0.35">
      <c r="A39" s="42" t="str">
        <f t="shared" ref="A39" si="35">+A40</f>
        <v>[ocultar]</v>
      </c>
      <c r="B39" s="40" t="s">
        <v>315</v>
      </c>
      <c r="C39" s="109"/>
      <c r="D39" s="41"/>
      <c r="E39" s="119" t="str">
        <f t="shared" ref="E39:AR39" si="36">IFERROR((E40-E41)/E40,"")</f>
        <v/>
      </c>
      <c r="F39" s="123" t="str">
        <f t="shared" si="36"/>
        <v/>
      </c>
      <c r="G39" s="123" t="str">
        <f t="shared" si="36"/>
        <v/>
      </c>
      <c r="H39" s="123" t="str">
        <f t="shared" si="36"/>
        <v/>
      </c>
      <c r="I39" s="123" t="str">
        <f t="shared" si="36"/>
        <v/>
      </c>
      <c r="J39" s="123" t="str">
        <f t="shared" si="36"/>
        <v/>
      </c>
      <c r="K39" s="123" t="str">
        <f t="shared" si="36"/>
        <v/>
      </c>
      <c r="L39" s="123" t="str">
        <f t="shared" si="36"/>
        <v/>
      </c>
      <c r="M39" s="123" t="str">
        <f t="shared" si="36"/>
        <v/>
      </c>
      <c r="N39" s="123" t="str">
        <f t="shared" si="36"/>
        <v/>
      </c>
      <c r="O39" s="123" t="str">
        <f t="shared" si="36"/>
        <v/>
      </c>
      <c r="P39" s="123" t="str">
        <f t="shared" si="36"/>
        <v/>
      </c>
      <c r="Q39" s="123" t="str">
        <f t="shared" si="36"/>
        <v/>
      </c>
      <c r="R39" s="123" t="str">
        <f t="shared" si="36"/>
        <v/>
      </c>
      <c r="S39" s="123" t="str">
        <f t="shared" si="36"/>
        <v/>
      </c>
      <c r="T39" s="123" t="str">
        <f t="shared" si="36"/>
        <v/>
      </c>
      <c r="U39" s="123" t="str">
        <f t="shared" si="36"/>
        <v/>
      </c>
      <c r="V39" s="122" t="str">
        <f t="shared" si="36"/>
        <v/>
      </c>
      <c r="W39" s="122" t="str">
        <f t="shared" si="36"/>
        <v/>
      </c>
      <c r="X39" s="122" t="str">
        <f t="shared" si="36"/>
        <v/>
      </c>
      <c r="Y39" s="122" t="str">
        <f t="shared" si="36"/>
        <v/>
      </c>
      <c r="Z39" s="122" t="str">
        <f t="shared" si="36"/>
        <v/>
      </c>
      <c r="AA39" s="122" t="str">
        <f t="shared" si="36"/>
        <v/>
      </c>
      <c r="AB39" s="122" t="str">
        <f t="shared" si="36"/>
        <v/>
      </c>
      <c r="AC39" s="122" t="str">
        <f t="shared" si="36"/>
        <v/>
      </c>
      <c r="AD39" s="122" t="str">
        <f t="shared" si="36"/>
        <v/>
      </c>
      <c r="AE39" s="122" t="str">
        <f t="shared" si="36"/>
        <v/>
      </c>
      <c r="AF39" s="122" t="str">
        <f t="shared" si="36"/>
        <v/>
      </c>
      <c r="AG39" s="122" t="str">
        <f t="shared" si="36"/>
        <v/>
      </c>
      <c r="AH39" s="122" t="str">
        <f t="shared" si="36"/>
        <v/>
      </c>
      <c r="AI39" s="122" t="str">
        <f t="shared" si="36"/>
        <v/>
      </c>
      <c r="AJ39" s="124" t="str">
        <f t="shared" si="36"/>
        <v/>
      </c>
      <c r="AK39" s="128" t="str">
        <f t="shared" si="36"/>
        <v/>
      </c>
      <c r="AL39" s="125" t="str">
        <f t="shared" si="36"/>
        <v/>
      </c>
      <c r="AM39" s="125" t="str">
        <f t="shared" si="36"/>
        <v/>
      </c>
      <c r="AN39" s="125" t="str">
        <f t="shared" si="36"/>
        <v/>
      </c>
      <c r="AO39" s="125" t="str">
        <f t="shared" si="36"/>
        <v/>
      </c>
      <c r="AP39" s="125" t="str">
        <f t="shared" si="36"/>
        <v/>
      </c>
      <c r="AQ39" s="126" t="str">
        <f t="shared" si="36"/>
        <v/>
      </c>
      <c r="AR39" s="127" t="str">
        <f t="shared" si="36"/>
        <v/>
      </c>
    </row>
    <row r="40" spans="1:44" hidden="1" x14ac:dyDescent="0.3">
      <c r="A40" s="42" t="str">
        <f t="shared" ref="A40" si="37">+IF(C40+C41=0,"[ocultar]","")</f>
        <v>[ocultar]</v>
      </c>
      <c r="B40" s="34" t="s">
        <v>162</v>
      </c>
      <c r="C40" s="33">
        <f t="array" ref="C40">SUM(IF($B40=DATOS_[Sexo],
IF($B39=DATOS_[AGRUP. CLAS. PROF.],
IF("Dentro"=DATOS_[Check Periodo Ref.],
1/(COUNTIFS(DATOS_[Sexo],$B40,DATOS_[AGRUP. CLAS. PROF.],$B39,DATOS_[Check Periodo Ref.],"Dentro",DATOS_[id],DATOS_[id]))))))</f>
        <v>0</v>
      </c>
      <c r="D40" s="35">
        <f>COUNTIFS(DATOS_[AGRUP. CLAS. PROF.],$B39,DATOS_[Sexo],$B40,DATOS_[Check Periodo Ref.],"Dentro")</f>
        <v>0</v>
      </c>
      <c r="E40" s="110">
        <f t="array" ref="E40">IFERROR(
MEDIAN(IF(DATOS_[Sexo]=$B40,IF(DATOS_[AGRUP. CLAS. PROF.]=$B39,IF(DATOS_[Check Periodo Ref.]="Dentro",DATOS_[SALARIO BASE Ef],FALSE)))),
0)</f>
        <v>0</v>
      </c>
      <c r="F40" s="111">
        <f t="array" ref="F40">IFERROR(
MEDIAN((IF(DATOS_[[Sexo]:[Sexo]]=$B40,IF(DATOS_[[AGRUP. CLAS. PROF.]:[AGRUP. CLAS. PROF.]]=$B39,IF(DATOS_[[Check Periodo Ref.]:[Check Periodo Ref.]]="Dentro",DATOS_[Conc.Sal.01]))))),
0)</f>
        <v>0</v>
      </c>
      <c r="G40" s="111">
        <f t="array" ref="G40">IFERROR(
MEDIAN((IF(DATOS_[[Sexo]:[Sexo]]=$B40,IF(DATOS_[[AGRUP. CLAS. PROF.]:[AGRUP. CLAS. PROF.]]=$B39,IF(DATOS_[[Check Periodo Ref.]:[Check Periodo Ref.]]="Dentro",DATOS_[Conc.Sal.02]))))),
0)</f>
        <v>0</v>
      </c>
      <c r="H40" s="111">
        <f t="array" ref="H40">IFERROR(
MEDIAN((IF(DATOS_[[Sexo]:[Sexo]]=$B40,IF(DATOS_[[AGRUP. CLAS. PROF.]:[AGRUP. CLAS. PROF.]]=$B39,IF(DATOS_[[Check Periodo Ref.]:[Check Periodo Ref.]]="Dentro",DATOS_[Conc.Sal.03]))))),
0)</f>
        <v>0</v>
      </c>
      <c r="I40" s="111">
        <f t="array" ref="I40">IFERROR(
MEDIAN((IF(DATOS_[[Sexo]:[Sexo]]=$B40,IF(DATOS_[[AGRUP. CLAS. PROF.]:[AGRUP. CLAS. PROF.]]=$B39,IF(DATOS_[[Check Periodo Ref.]:[Check Periodo Ref.]]="Dentro",DATOS_[Conc.Sal.04]))))),
0)</f>
        <v>0</v>
      </c>
      <c r="J40" s="111">
        <f t="array" ref="J40">IFERROR(
MEDIAN((IF(DATOS_[[Sexo]:[Sexo]]=$B40,IF(DATOS_[[AGRUP. CLAS. PROF.]:[AGRUP. CLAS. PROF.]]=$B39,IF(DATOS_[[Check Periodo Ref.]:[Check Periodo Ref.]]="Dentro",DATOS_[Conc.Sal.05]))))),
0)</f>
        <v>0</v>
      </c>
      <c r="K40" s="111">
        <f t="array" ref="K40">IFERROR(
MEDIAN((IF(DATOS_[[Sexo]:[Sexo]]=$B40,IF(DATOS_[[AGRUP. CLAS. PROF.]:[AGRUP. CLAS. PROF.]]=$B39,IF(DATOS_[[Check Periodo Ref.]:[Check Periodo Ref.]]="Dentro",DATOS_[Conc.Sal.06]))))),
0)</f>
        <v>0</v>
      </c>
      <c r="L40" s="111">
        <f t="array" ref="L40">IFERROR(
MEDIAN((IF(DATOS_[[Sexo]:[Sexo]]=$B40,IF(DATOS_[[AGRUP. CLAS. PROF.]:[AGRUP. CLAS. PROF.]]=$B39,IF(DATOS_[[Check Periodo Ref.]:[Check Periodo Ref.]]="Dentro",DATOS_[Conc.Sal.07]))))),
0)</f>
        <v>0</v>
      </c>
      <c r="M40" s="111">
        <f t="array" ref="M40">IFERROR(
MEDIAN((IF(DATOS_[[Sexo]:[Sexo]]=$B40,IF(DATOS_[[AGRUP. CLAS. PROF.]:[AGRUP. CLAS. PROF.]]=$B39,IF(DATOS_[[Check Periodo Ref.]:[Check Periodo Ref.]]="Dentro",DATOS_[Conc.Sal.08]))))),
0)</f>
        <v>0</v>
      </c>
      <c r="N40" s="111">
        <f t="array" ref="N40">IFERROR(
MEDIAN((IF(DATOS_[[Sexo]:[Sexo]]=$B40,IF(DATOS_[[AGRUP. CLAS. PROF.]:[AGRUP. CLAS. PROF.]]=$B39,IF(DATOS_[[Check Periodo Ref.]:[Check Periodo Ref.]]="Dentro",DATOS_[Conc.Sal.09]))))),
0)</f>
        <v>0</v>
      </c>
      <c r="O40" s="111">
        <f t="array" ref="O40">IFERROR(
MEDIAN((IF(DATOS_[[Sexo]:[Sexo]]=$B40,IF(DATOS_[[AGRUP. CLAS. PROF.]:[AGRUP. CLAS. PROF.]]=$B39,IF(DATOS_[[Check Periodo Ref.]:[Check Periodo Ref.]]="Dentro",DATOS_[Conc.Sal.10]))))),
0)</f>
        <v>0</v>
      </c>
      <c r="P40" s="111">
        <f t="array" ref="P40">IFERROR(
MEDIAN((IF(DATOS_[[Sexo]:[Sexo]]=$B40,IF(DATOS_[[AGRUP. CLAS. PROF.]:[AGRUP. CLAS. PROF.]]=$B39,IF(DATOS_[[Check Periodo Ref.]:[Check Periodo Ref.]]="Dentro",DATOS_[Conc.Sal.11]))))),
0)</f>
        <v>0</v>
      </c>
      <c r="Q40" s="111">
        <f t="array" ref="Q40">IFERROR(
MEDIAN((IF(DATOS_[[Sexo]:[Sexo]]=$B40,IF(DATOS_[[AGRUP. CLAS. PROF.]:[AGRUP. CLAS. PROF.]]=$B39,IF(DATOS_[[Check Periodo Ref.]:[Check Periodo Ref.]]="Dentro",DATOS_[Conc.Sal.12]))))),
0)</f>
        <v>0</v>
      </c>
      <c r="R40" s="111">
        <f t="array" ref="R40">IFERROR(
MEDIAN((IF(DATOS_[[Sexo]:[Sexo]]=$B40,IF(DATOS_[[AGRUP. CLAS. PROF.]:[AGRUP. CLAS. PROF.]]=$B39,IF(DATOS_[[Check Periodo Ref.]:[Check Periodo Ref.]]="Dentro",DATOS_[Conc.Sal.13]))))),
0)</f>
        <v>0</v>
      </c>
      <c r="S40" s="111">
        <f t="array" ref="S40">IFERROR(
MEDIAN((IF(DATOS_[[Sexo]:[Sexo]]=$B40,IF(DATOS_[[AGRUP. CLAS. PROF.]:[AGRUP. CLAS. PROF.]]=$B39,IF(DATOS_[[Check Periodo Ref.]:[Check Periodo Ref.]]="Dentro",DATOS_[Conc.Sal.14]))))),
0)</f>
        <v>0</v>
      </c>
      <c r="T40" s="111">
        <f t="array" ref="T40">IFERROR(
MEDIAN((IF(DATOS_[[Sexo]:[Sexo]]=$B40,IF(DATOS_[[AGRUP. CLAS. PROF.]:[AGRUP. CLAS. PROF.]]=$B39,IF(DATOS_[[Check Periodo Ref.]:[Check Periodo Ref.]]="Dentro",DATOS_[Conc.Sal.15]))))),
0)</f>
        <v>0</v>
      </c>
      <c r="U40" s="111">
        <f t="array" ref="U40">IFERROR(
MEDIAN((IF(DATOS_[[Sexo]:[Sexo]]=$B40,IF(DATOS_[[AGRUP. CLAS. PROF.]:[AGRUP. CLAS. PROF.]]=$B39,IF(DATOS_[[Check Periodo Ref.]:[Check Periodo Ref.]]="Dentro",DATOS_[Conc.Sal.16]))))),
0)</f>
        <v>0</v>
      </c>
      <c r="V40" s="111">
        <f t="array" ref="V40">IFERROR(
MEDIAN((IF(DATOS_[[Sexo]:[Sexo]]=$B40,IF(DATOS_[[AGRUP. CLAS. PROF.]:[AGRUP. CLAS. PROF.]]=$B39,IF(DATOS_[[Check Periodo Ref.]:[Check Periodo Ref.]]="Dentro",DATOS_[Conc.Sal.17]))))),
0)</f>
        <v>0</v>
      </c>
      <c r="W40" s="111">
        <f t="array" ref="W40">IFERROR(
MEDIAN((IF(DATOS_[[Sexo]:[Sexo]]=$B40,IF(DATOS_[[AGRUP. CLAS. PROF.]:[AGRUP. CLAS. PROF.]]=$B39,IF(DATOS_[[Check Periodo Ref.]:[Check Periodo Ref.]]="Dentro",DATOS_[Conc.Sal.18]))))),
0)</f>
        <v>0</v>
      </c>
      <c r="X40" s="111">
        <f t="array" ref="X40">IFERROR(
MEDIAN((IF(DATOS_[[Sexo]:[Sexo]]=$B40,IF(DATOS_[[AGRUP. CLAS. PROF.]:[AGRUP. CLAS. PROF.]]=$B39,IF(DATOS_[[Check Periodo Ref.]:[Check Periodo Ref.]]="Dentro",DATOS_[Conc.Sal.19]))))),
0)</f>
        <v>0</v>
      </c>
      <c r="Y40" s="111">
        <f t="array" ref="Y40">IFERROR(
MEDIAN((IF(DATOS_[[Sexo]:[Sexo]]=$B40,IF(DATOS_[[AGRUP. CLAS. PROF.]:[AGRUP. CLAS. PROF.]]=$B39,IF(DATOS_[[Check Periodo Ref.]:[Check Periodo Ref.]]="Dentro",DATOS_[Conc.Sal.20]))))),
0)</f>
        <v>0</v>
      </c>
      <c r="Z40" s="111">
        <f t="array" ref="Z40">IFERROR(
MEDIAN((IF(DATOS_[[Sexo]:[Sexo]]=$B40,IF(DATOS_[[AGRUP. CLAS. PROF.]:[AGRUP. CLAS. PROF.]]=$B39,IF(DATOS_[[Check Periodo Ref.]:[Check Periodo Ref.]]="Dentro",DATOS_[Conc.Sal.21]))))),
0)</f>
        <v>0</v>
      </c>
      <c r="AA40" s="111">
        <f t="array" ref="AA40">IFERROR(
MEDIAN((IF(DATOS_[[Sexo]:[Sexo]]=$B40,IF(DATOS_[[AGRUP. CLAS. PROF.]:[AGRUP. CLAS. PROF.]]=$B39,IF(DATOS_[[Check Periodo Ref.]:[Check Periodo Ref.]]="Dentro",DATOS_[Conc.Sal.22]))))),
0)</f>
        <v>0</v>
      </c>
      <c r="AB40" s="111">
        <f t="array" ref="AB40">IFERROR(
MEDIAN((IF(DATOS_[[Sexo]:[Sexo]]=$B40,IF(DATOS_[[AGRUP. CLAS. PROF.]:[AGRUP. CLAS. PROF.]]=$B39,IF(DATOS_[[Check Periodo Ref.]:[Check Periodo Ref.]]="Dentro",DATOS_[Conc.Sal.23]))))),
0)</f>
        <v>0</v>
      </c>
      <c r="AC40" s="111">
        <f t="array" ref="AC40">IFERROR(
MEDIAN((IF(DATOS_[[Sexo]:[Sexo]]=$B40,IF(DATOS_[[AGRUP. CLAS. PROF.]:[AGRUP. CLAS. PROF.]]=$B39,IF(DATOS_[[Check Periodo Ref.]:[Check Periodo Ref.]]="Dentro",DATOS_[Conc.Sal.24]))))),
0)</f>
        <v>0</v>
      </c>
      <c r="AD40" s="111">
        <f t="array" ref="AD40">IFERROR(
MEDIAN((IF(DATOS_[[Sexo]:[Sexo]]=$B40,IF(DATOS_[[AGRUP. CLAS. PROF.]:[AGRUP. CLAS. PROF.]]=$B39,IF(DATOS_[[Check Periodo Ref.]:[Check Periodo Ref.]]="Dentro",DATOS_[Conc.Sal.25]))))),
0)</f>
        <v>0</v>
      </c>
      <c r="AE40" s="111">
        <f t="array" ref="AE40">IFERROR(
MEDIAN((IF(DATOS_[[Sexo]:[Sexo]]=$B40,IF(DATOS_[[AGRUP. CLAS. PROF.]:[AGRUP. CLAS. PROF.]]=$B39,IF(DATOS_[[Check Periodo Ref.]:[Check Periodo Ref.]]="Dentro",DATOS_[Conc.Sal.26]))))),
0)</f>
        <v>0</v>
      </c>
      <c r="AF40" s="111">
        <f t="array" ref="AF40">IFERROR(
MEDIAN((IF(DATOS_[[Sexo]:[Sexo]]=$B40,IF(DATOS_[[AGRUP. CLAS. PROF.]:[AGRUP. CLAS. PROF.]]=$B39,IF(DATOS_[[Check Periodo Ref.]:[Check Periodo Ref.]]="Dentro",DATOS_[Conc.Sal.27]))))),
0)</f>
        <v>0</v>
      </c>
      <c r="AG40" s="111">
        <f t="array" ref="AG40">IFERROR(
MEDIAN((IF(DATOS_[[Sexo]:[Sexo]]=$B40,IF(DATOS_[[AGRUP. CLAS. PROF.]:[AGRUP. CLAS. PROF.]]=$B39,IF(DATOS_[[Check Periodo Ref.]:[Check Periodo Ref.]]="Dentro",DATOS_[Conc.Sal.28]))))),
0)</f>
        <v>0</v>
      </c>
      <c r="AH40" s="111">
        <f t="array" ref="AH40">IFERROR(
MEDIAN((IF(DATOS_[[Sexo]:[Sexo]]=$B40,IF(DATOS_[[AGRUP. CLAS. PROF.]:[AGRUP. CLAS. PROF.]]=$B39,IF(DATOS_[[Check Periodo Ref.]:[Check Periodo Ref.]]="Dentro",DATOS_[Conc.Sal.29]))))),
0)</f>
        <v>0</v>
      </c>
      <c r="AI40" s="111">
        <f t="array" ref="AI40">IFERROR(
MEDIAN((IF(DATOS_[[Sexo]:[Sexo]]=$B40,IF(DATOS_[[AGRUP. CLAS. PROF.]:[AGRUP. CLAS. PROF.]]=$B39,IF(DATOS_[[Check Periodo Ref.]:[Check Periodo Ref.]]="Dentro",DATOS_[Conc.Sal.30]))))),
0)</f>
        <v>0</v>
      </c>
      <c r="AJ40" s="112">
        <f t="array" ref="AJ40">IFERROR(
MEDIAN(IF(DATOS_[Sexo]=$B40,IF(DATOS_[AGRUP. CLAS. PROF.]=$B39,IF(DATOS_[Check Periodo Ref.]="Dentro",DATOS_[Tot COMPL.SAL Ef],FALSE)))),
0)</f>
        <v>0</v>
      </c>
      <c r="AK40" s="113">
        <f t="array" ref="AK40">IFERROR(
MEDIAN(IF(DATOS_[Sexo]=$B40,IF(DATOS_[AGRUP. CLAS. PROF.]=$B39,IF(DATOS_[Check Periodo Ref.]="Dentro",DATOS_[TOTAL SALARIO Ef],FALSE)))),
0)</f>
        <v>0</v>
      </c>
      <c r="AL40" s="114">
        <f t="array" ref="AL40">IFERROR(
MEDIAN((IF(DATOS_[[Sexo]:[Sexo]]=$B40,IF(DATOS_[[AGRUP. CLAS. PROF.]:[AGRUP. CLAS. PROF.]]=$B39,IF(DATOS_[[Check Periodo Ref.]:[Check Periodo Ref.]]="Dentro",DATOS_[C.Extra.01]))))),
0)</f>
        <v>0</v>
      </c>
      <c r="AM40" s="114">
        <f t="array" ref="AM40">IFERROR(
MEDIAN((IF(DATOS_[[Sexo]:[Sexo]]=$B40,IF(DATOS_[[AGRUP. CLAS. PROF.]:[AGRUP. CLAS. PROF.]]=$B39,IF(DATOS_[[Check Periodo Ref.]:[Check Periodo Ref.]]="Dentro",DATOS_[C.Extra.02]))))),
0)</f>
        <v>0</v>
      </c>
      <c r="AN40" s="114">
        <f t="array" ref="AN40">IFERROR(
MEDIAN((IF(DATOS_[[Sexo]:[Sexo]]=$B40,IF(DATOS_[[AGRUP. CLAS. PROF.]:[AGRUP. CLAS. PROF.]]=$B39,IF(DATOS_[[Check Periodo Ref.]:[Check Periodo Ref.]]="Dentro",DATOS_[C.Extra.03]))))),
0)</f>
        <v>0</v>
      </c>
      <c r="AO40" s="114">
        <f t="array" ref="AO40">IFERROR(
MEDIAN((IF(DATOS_[[Sexo]:[Sexo]]=$B40,IF(DATOS_[[AGRUP. CLAS. PROF.]:[AGRUP. CLAS. PROF.]]=$B39,IF(DATOS_[[Check Periodo Ref.]:[Check Periodo Ref.]]="Dentro",DATOS_[C.Extra.04]))))),
0)</f>
        <v>0</v>
      </c>
      <c r="AP40" s="114">
        <f t="array" ref="AP40">IFERROR(
MEDIAN((IF(DATOS_[[Sexo]:[Sexo]]=$B40,IF(DATOS_[[AGRUP. CLAS. PROF.]:[AGRUP. CLAS. PROF.]]=$B39,IF(DATOS_[[Check Periodo Ref.]:[Check Periodo Ref.]]="Dentro",DATOS_[C.Extra.05]))))),
0)</f>
        <v>0</v>
      </c>
      <c r="AQ40" s="115">
        <f t="array" ref="AQ40">IFERROR(
MEDIAN(IF(DATOS_[Sexo]=$B40,IF(DATOS_[AGRUP. CLAS. PROF.]=$B39,IF(DATOS_[Check Periodo Ref.]="Dentro",DATOS_[Tot Extrasalarial Ef],FALSE)))),
0)</f>
        <v>0</v>
      </c>
      <c r="AR40" s="116">
        <f t="array" ref="AR40">IFERROR(
MEDIAN(IF(DATOS_[Sexo]=$B40,IF(DATOS_[AGRUP. CLAS. PROF.]=$B39,IF(DATOS_[Check Periodo Ref.]="Dentro",DATOS_[TOTAL Retrib Ef],FALSE)))),
0)</f>
        <v>0</v>
      </c>
    </row>
    <row r="41" spans="1:44" hidden="1" x14ac:dyDescent="0.3">
      <c r="A41" s="42" t="str">
        <f t="shared" ref="A41" si="38">+A40</f>
        <v>[ocultar]</v>
      </c>
      <c r="B41" s="34" t="s">
        <v>163</v>
      </c>
      <c r="C41" s="33">
        <f t="array" ref="C41">SUM(IF($B41=DATOS_[Sexo],
IF($B39=DATOS_[AGRUP. CLAS. PROF.],
IF("Dentro"=DATOS_[Check Periodo Ref.],
1/(COUNTIFS(DATOS_[Sexo],$B41,DATOS_[AGRUP. CLAS. PROF.],$B39,DATOS_[Check Periodo Ref.],"Dentro",DATOS_[id],DATOS_[id]))))))</f>
        <v>0</v>
      </c>
      <c r="D41" s="35">
        <f>COUNTIFS(DATOS_[AGRUP. CLAS. PROF.],$B39,DATOS_[Sexo],$B41,DATOS_[Check Periodo Ref.],"Dentro")</f>
        <v>0</v>
      </c>
      <c r="E41" s="110">
        <f t="array" ref="E41">IFERROR(
MEDIAN(IF(DATOS_[Sexo]=$B41,IF(DATOS_[AGRUP. CLAS. PROF.]=$B39,IF(DATOS_[Check Periodo Ref.]="Dentro",DATOS_[SALARIO BASE Ef],FALSE)))),
0)</f>
        <v>0</v>
      </c>
      <c r="F41" s="111">
        <f t="array" ref="F41">IFERROR(
MEDIAN((IF(DATOS_[[Sexo]:[Sexo]]=$B41,IF(DATOS_[[AGRUP. CLAS. PROF.]:[AGRUP. CLAS. PROF.]]=$B39,IF(DATOS_[[Check Periodo Ref.]:[Check Periodo Ref.]]="Dentro",DATOS_[Conc.Sal.01]))))),
0)</f>
        <v>0</v>
      </c>
      <c r="G41" s="111">
        <f t="array" ref="G41">IFERROR(
MEDIAN((IF(DATOS_[[Sexo]:[Sexo]]=$B41,IF(DATOS_[[AGRUP. CLAS. PROF.]:[AGRUP. CLAS. PROF.]]=$B39,IF(DATOS_[[Check Periodo Ref.]:[Check Periodo Ref.]]="Dentro",DATOS_[Conc.Sal.02]))))),
0)</f>
        <v>0</v>
      </c>
      <c r="H41" s="111">
        <f t="array" ref="H41">IFERROR(
MEDIAN((IF(DATOS_[[Sexo]:[Sexo]]=$B41,IF(DATOS_[[AGRUP. CLAS. PROF.]:[AGRUP. CLAS. PROF.]]=$B39,IF(DATOS_[[Check Periodo Ref.]:[Check Periodo Ref.]]="Dentro",DATOS_[Conc.Sal.03]))))),
0)</f>
        <v>0</v>
      </c>
      <c r="I41" s="111">
        <f t="array" ref="I41">IFERROR(
MEDIAN((IF(DATOS_[[Sexo]:[Sexo]]=$B41,IF(DATOS_[[AGRUP. CLAS. PROF.]:[AGRUP. CLAS. PROF.]]=$B39,IF(DATOS_[[Check Periodo Ref.]:[Check Periodo Ref.]]="Dentro",DATOS_[Conc.Sal.04]))))),
0)</f>
        <v>0</v>
      </c>
      <c r="J41" s="111">
        <f t="array" ref="J41">IFERROR(
MEDIAN((IF(DATOS_[[Sexo]:[Sexo]]=$B41,IF(DATOS_[[AGRUP. CLAS. PROF.]:[AGRUP. CLAS. PROF.]]=$B39,IF(DATOS_[[Check Periodo Ref.]:[Check Periodo Ref.]]="Dentro",DATOS_[Conc.Sal.05]))))),
0)</f>
        <v>0</v>
      </c>
      <c r="K41" s="111">
        <f t="array" ref="K41">IFERROR(
MEDIAN((IF(DATOS_[[Sexo]:[Sexo]]=$B41,IF(DATOS_[[AGRUP. CLAS. PROF.]:[AGRUP. CLAS. PROF.]]=$B39,IF(DATOS_[[Check Periodo Ref.]:[Check Periodo Ref.]]="Dentro",DATOS_[Conc.Sal.06]))))),
0)</f>
        <v>0</v>
      </c>
      <c r="L41" s="111">
        <f t="array" ref="L41">IFERROR(
MEDIAN((IF(DATOS_[[Sexo]:[Sexo]]=$B41,IF(DATOS_[[AGRUP. CLAS. PROF.]:[AGRUP. CLAS. PROF.]]=$B39,IF(DATOS_[[Check Periodo Ref.]:[Check Periodo Ref.]]="Dentro",DATOS_[Conc.Sal.07]))))),
0)</f>
        <v>0</v>
      </c>
      <c r="M41" s="111">
        <f t="array" ref="M41">IFERROR(
MEDIAN((IF(DATOS_[[Sexo]:[Sexo]]=$B41,IF(DATOS_[[AGRUP. CLAS. PROF.]:[AGRUP. CLAS. PROF.]]=$B39,IF(DATOS_[[Check Periodo Ref.]:[Check Periodo Ref.]]="Dentro",DATOS_[Conc.Sal.08]))))),
0)</f>
        <v>0</v>
      </c>
      <c r="N41" s="111">
        <f t="array" ref="N41">IFERROR(
MEDIAN((IF(DATOS_[[Sexo]:[Sexo]]=$B41,IF(DATOS_[[AGRUP. CLAS. PROF.]:[AGRUP. CLAS. PROF.]]=$B39,IF(DATOS_[[Check Periodo Ref.]:[Check Periodo Ref.]]="Dentro",DATOS_[Conc.Sal.09]))))),
0)</f>
        <v>0</v>
      </c>
      <c r="O41" s="111">
        <f t="array" ref="O41">IFERROR(
MEDIAN((IF(DATOS_[[Sexo]:[Sexo]]=$B41,IF(DATOS_[[AGRUP. CLAS. PROF.]:[AGRUP. CLAS. PROF.]]=$B39,IF(DATOS_[[Check Periodo Ref.]:[Check Periodo Ref.]]="Dentro",DATOS_[Conc.Sal.10]))))),
0)</f>
        <v>0</v>
      </c>
      <c r="P41" s="111">
        <f t="array" ref="P41">IFERROR(
MEDIAN((IF(DATOS_[[Sexo]:[Sexo]]=$B41,IF(DATOS_[[AGRUP. CLAS. PROF.]:[AGRUP. CLAS. PROF.]]=$B39,IF(DATOS_[[Check Periodo Ref.]:[Check Periodo Ref.]]="Dentro",DATOS_[Conc.Sal.11]))))),
0)</f>
        <v>0</v>
      </c>
      <c r="Q41" s="111">
        <f t="array" ref="Q41">IFERROR(
MEDIAN((IF(DATOS_[[Sexo]:[Sexo]]=$B41,IF(DATOS_[[AGRUP. CLAS. PROF.]:[AGRUP. CLAS. PROF.]]=$B39,IF(DATOS_[[Check Periodo Ref.]:[Check Periodo Ref.]]="Dentro",DATOS_[Conc.Sal.12]))))),
0)</f>
        <v>0</v>
      </c>
      <c r="R41" s="111">
        <f t="array" ref="R41">IFERROR(
MEDIAN((IF(DATOS_[[Sexo]:[Sexo]]=$B41,IF(DATOS_[[AGRUP. CLAS. PROF.]:[AGRUP. CLAS. PROF.]]=$B39,IF(DATOS_[[Check Periodo Ref.]:[Check Periodo Ref.]]="Dentro",DATOS_[Conc.Sal.13]))))),
0)</f>
        <v>0</v>
      </c>
      <c r="S41" s="111">
        <f t="array" ref="S41">IFERROR(
MEDIAN((IF(DATOS_[[Sexo]:[Sexo]]=$B41,IF(DATOS_[[AGRUP. CLAS. PROF.]:[AGRUP. CLAS. PROF.]]=$B39,IF(DATOS_[[Check Periodo Ref.]:[Check Periodo Ref.]]="Dentro",DATOS_[Conc.Sal.14]))))),
0)</f>
        <v>0</v>
      </c>
      <c r="T41" s="111">
        <f t="array" ref="T41">IFERROR(
MEDIAN((IF(DATOS_[[Sexo]:[Sexo]]=$B41,IF(DATOS_[[AGRUP. CLAS. PROF.]:[AGRUP. CLAS. PROF.]]=$B39,IF(DATOS_[[Check Periodo Ref.]:[Check Periodo Ref.]]="Dentro",DATOS_[Conc.Sal.15]))))),
0)</f>
        <v>0</v>
      </c>
      <c r="U41" s="111">
        <f t="array" ref="U41">IFERROR(
MEDIAN((IF(DATOS_[[Sexo]:[Sexo]]=$B41,IF(DATOS_[[AGRUP. CLAS. PROF.]:[AGRUP. CLAS. PROF.]]=$B39,IF(DATOS_[[Check Periodo Ref.]:[Check Periodo Ref.]]="Dentro",DATOS_[Conc.Sal.16]))))),
0)</f>
        <v>0</v>
      </c>
      <c r="V41" s="111">
        <f t="array" ref="V41">IFERROR(
MEDIAN((IF(DATOS_[[Sexo]:[Sexo]]=$B41,IF(DATOS_[[AGRUP. CLAS. PROF.]:[AGRUP. CLAS. PROF.]]=$B39,IF(DATOS_[[Check Periodo Ref.]:[Check Periodo Ref.]]="Dentro",DATOS_[Conc.Sal.17]))))),
0)</f>
        <v>0</v>
      </c>
      <c r="W41" s="111">
        <f t="array" ref="W41">IFERROR(
MEDIAN((IF(DATOS_[[Sexo]:[Sexo]]=$B41,IF(DATOS_[[AGRUP. CLAS. PROF.]:[AGRUP. CLAS. PROF.]]=$B39,IF(DATOS_[[Check Periodo Ref.]:[Check Periodo Ref.]]="Dentro",DATOS_[Conc.Sal.18]))))),
0)</f>
        <v>0</v>
      </c>
      <c r="X41" s="111">
        <f t="array" ref="X41">IFERROR(
MEDIAN((IF(DATOS_[[Sexo]:[Sexo]]=$B41,IF(DATOS_[[AGRUP. CLAS. PROF.]:[AGRUP. CLAS. PROF.]]=$B39,IF(DATOS_[[Check Periodo Ref.]:[Check Periodo Ref.]]="Dentro",DATOS_[Conc.Sal.19]))))),
0)</f>
        <v>0</v>
      </c>
      <c r="Y41" s="111">
        <f t="array" ref="Y41">IFERROR(
MEDIAN((IF(DATOS_[[Sexo]:[Sexo]]=$B41,IF(DATOS_[[AGRUP. CLAS. PROF.]:[AGRUP. CLAS. PROF.]]=$B39,IF(DATOS_[[Check Periodo Ref.]:[Check Periodo Ref.]]="Dentro",DATOS_[Conc.Sal.20]))))),
0)</f>
        <v>0</v>
      </c>
      <c r="Z41" s="111">
        <f t="array" ref="Z41">IFERROR(
MEDIAN((IF(DATOS_[[Sexo]:[Sexo]]=$B41,IF(DATOS_[[AGRUP. CLAS. PROF.]:[AGRUP. CLAS. PROF.]]=$B39,IF(DATOS_[[Check Periodo Ref.]:[Check Periodo Ref.]]="Dentro",DATOS_[Conc.Sal.21]))))),
0)</f>
        <v>0</v>
      </c>
      <c r="AA41" s="111">
        <f t="array" ref="AA41">IFERROR(
MEDIAN((IF(DATOS_[[Sexo]:[Sexo]]=$B41,IF(DATOS_[[AGRUP. CLAS. PROF.]:[AGRUP. CLAS. PROF.]]=$B39,IF(DATOS_[[Check Periodo Ref.]:[Check Periodo Ref.]]="Dentro",DATOS_[Conc.Sal.22]))))),
0)</f>
        <v>0</v>
      </c>
      <c r="AB41" s="111">
        <f t="array" ref="AB41">IFERROR(
MEDIAN((IF(DATOS_[[Sexo]:[Sexo]]=$B41,IF(DATOS_[[AGRUP. CLAS. PROF.]:[AGRUP. CLAS. PROF.]]=$B39,IF(DATOS_[[Check Periodo Ref.]:[Check Periodo Ref.]]="Dentro",DATOS_[Conc.Sal.23]))))),
0)</f>
        <v>0</v>
      </c>
      <c r="AC41" s="111">
        <f t="array" ref="AC41">IFERROR(
MEDIAN((IF(DATOS_[[Sexo]:[Sexo]]=$B41,IF(DATOS_[[AGRUP. CLAS. PROF.]:[AGRUP. CLAS. PROF.]]=$B39,IF(DATOS_[[Check Periodo Ref.]:[Check Periodo Ref.]]="Dentro",DATOS_[Conc.Sal.24]))))),
0)</f>
        <v>0</v>
      </c>
      <c r="AD41" s="111">
        <f t="array" ref="AD41">IFERROR(
MEDIAN((IF(DATOS_[[Sexo]:[Sexo]]=$B41,IF(DATOS_[[AGRUP. CLAS. PROF.]:[AGRUP. CLAS. PROF.]]=$B39,IF(DATOS_[[Check Periodo Ref.]:[Check Periodo Ref.]]="Dentro",DATOS_[Conc.Sal.25]))))),
0)</f>
        <v>0</v>
      </c>
      <c r="AE41" s="111">
        <f t="array" ref="AE41">IFERROR(
MEDIAN((IF(DATOS_[[Sexo]:[Sexo]]=$B41,IF(DATOS_[[AGRUP. CLAS. PROF.]:[AGRUP. CLAS. PROF.]]=$B39,IF(DATOS_[[Check Periodo Ref.]:[Check Periodo Ref.]]="Dentro",DATOS_[Conc.Sal.26]))))),
0)</f>
        <v>0</v>
      </c>
      <c r="AF41" s="111">
        <f t="array" ref="AF41">IFERROR(
MEDIAN((IF(DATOS_[[Sexo]:[Sexo]]=$B41,IF(DATOS_[[AGRUP. CLAS. PROF.]:[AGRUP. CLAS. PROF.]]=$B39,IF(DATOS_[[Check Periodo Ref.]:[Check Periodo Ref.]]="Dentro",DATOS_[Conc.Sal.27]))))),
0)</f>
        <v>0</v>
      </c>
      <c r="AG41" s="111">
        <f t="array" ref="AG41">IFERROR(
MEDIAN((IF(DATOS_[[Sexo]:[Sexo]]=$B41,IF(DATOS_[[AGRUP. CLAS. PROF.]:[AGRUP. CLAS. PROF.]]=$B39,IF(DATOS_[[Check Periodo Ref.]:[Check Periodo Ref.]]="Dentro",DATOS_[Conc.Sal.28]))))),
0)</f>
        <v>0</v>
      </c>
      <c r="AH41" s="111">
        <f t="array" ref="AH41">IFERROR(
MEDIAN((IF(DATOS_[[Sexo]:[Sexo]]=$B41,IF(DATOS_[[AGRUP. CLAS. PROF.]:[AGRUP. CLAS. PROF.]]=$B39,IF(DATOS_[[Check Periodo Ref.]:[Check Periodo Ref.]]="Dentro",DATOS_[Conc.Sal.29]))))),
0)</f>
        <v>0</v>
      </c>
      <c r="AI41" s="111">
        <f t="array" ref="AI41">IFERROR(
MEDIAN((IF(DATOS_[[Sexo]:[Sexo]]=$B41,IF(DATOS_[[AGRUP. CLAS. PROF.]:[AGRUP. CLAS. PROF.]]=$B39,IF(DATOS_[[Check Periodo Ref.]:[Check Periodo Ref.]]="Dentro",DATOS_[Conc.Sal.30]))))),
0)</f>
        <v>0</v>
      </c>
      <c r="AJ41" s="112">
        <f t="array" ref="AJ41">IFERROR(
MEDIAN(IF(DATOS_[Sexo]=$B41,IF(DATOS_[AGRUP. CLAS. PROF.]=$B39,IF(DATOS_[Check Periodo Ref.]="Dentro",DATOS_[Tot COMPL.SAL Ef],FALSE)))),
0)</f>
        <v>0</v>
      </c>
      <c r="AK41" s="113">
        <f t="array" ref="AK41">IFERROR(
MEDIAN(IF(DATOS_[Sexo]=$B41,IF(DATOS_[AGRUP. CLAS. PROF.]=$B39,IF(DATOS_[Check Periodo Ref.]="Dentro",DATOS_[TOTAL SALARIO Ef],FALSE)))),
0)</f>
        <v>0</v>
      </c>
      <c r="AL41" s="114">
        <f t="array" ref="AL41">IFERROR(
MEDIAN((IF(DATOS_[[Sexo]:[Sexo]]=$B41,IF(DATOS_[[AGRUP. CLAS. PROF.]:[AGRUP. CLAS. PROF.]]=$B39,IF(DATOS_[[Check Periodo Ref.]:[Check Periodo Ref.]]="Dentro",DATOS_[C.Extra.01]))))),
0)</f>
        <v>0</v>
      </c>
      <c r="AM41" s="114">
        <f t="array" ref="AM41">IFERROR(
MEDIAN((IF(DATOS_[[Sexo]:[Sexo]]=$B41,IF(DATOS_[[AGRUP. CLAS. PROF.]:[AGRUP. CLAS. PROF.]]=$B39,IF(DATOS_[[Check Periodo Ref.]:[Check Periodo Ref.]]="Dentro",DATOS_[C.Extra.02]))))),
0)</f>
        <v>0</v>
      </c>
      <c r="AN41" s="114">
        <f t="array" ref="AN41">IFERROR(
MEDIAN((IF(DATOS_[[Sexo]:[Sexo]]=$B41,IF(DATOS_[[AGRUP. CLAS. PROF.]:[AGRUP. CLAS. PROF.]]=$B39,IF(DATOS_[[Check Periodo Ref.]:[Check Periodo Ref.]]="Dentro",DATOS_[C.Extra.03]))))),
0)</f>
        <v>0</v>
      </c>
      <c r="AO41" s="114">
        <f t="array" ref="AO41">IFERROR(
MEDIAN((IF(DATOS_[[Sexo]:[Sexo]]=$B41,IF(DATOS_[[AGRUP. CLAS. PROF.]:[AGRUP. CLAS. PROF.]]=$B39,IF(DATOS_[[Check Periodo Ref.]:[Check Periodo Ref.]]="Dentro",DATOS_[C.Extra.04]))))),
0)</f>
        <v>0</v>
      </c>
      <c r="AP41" s="114">
        <f t="array" ref="AP41">IFERROR(
MEDIAN((IF(DATOS_[[Sexo]:[Sexo]]=$B41,IF(DATOS_[[AGRUP. CLAS. PROF.]:[AGRUP. CLAS. PROF.]]=$B39,IF(DATOS_[[Check Periodo Ref.]:[Check Periodo Ref.]]="Dentro",DATOS_[C.Extra.05]))))),
0)</f>
        <v>0</v>
      </c>
      <c r="AQ41" s="115">
        <f t="array" ref="AQ41">IFERROR(
MEDIAN(IF(DATOS_[Sexo]=$B41,IF(DATOS_[AGRUP. CLAS. PROF.]=$B39,IF(DATOS_[Check Periodo Ref.]="Dentro",DATOS_[Tot Extrasalarial Ef],FALSE)))),
0)</f>
        <v>0</v>
      </c>
      <c r="AR41" s="116">
        <f t="array" ref="AR41">IFERROR(
MEDIAN(IF(DATOS_[Sexo]=$B41,IF(DATOS_[AGRUP. CLAS. PROF.]=$B39,IF(DATOS_[Check Periodo Ref.]="Dentro",DATOS_[TOTAL Retrib Ef],FALSE)))),
0)</f>
        <v>0</v>
      </c>
    </row>
    <row r="42" spans="1:44" ht="17.25" hidden="1" thickBot="1" x14ac:dyDescent="0.35">
      <c r="A42" s="42" t="str">
        <f t="shared" ref="A42" si="39">+A43</f>
        <v>[ocultar]</v>
      </c>
      <c r="B42" s="40" t="s">
        <v>226</v>
      </c>
      <c r="C42" s="109"/>
      <c r="D42" s="41"/>
      <c r="E42" s="119" t="str">
        <f t="shared" ref="E42:AR42" si="40">IFERROR((E43-E44)/E43,"")</f>
        <v/>
      </c>
      <c r="F42" s="123" t="str">
        <f t="shared" si="40"/>
        <v/>
      </c>
      <c r="G42" s="123" t="str">
        <f t="shared" si="40"/>
        <v/>
      </c>
      <c r="H42" s="123" t="str">
        <f t="shared" si="40"/>
        <v/>
      </c>
      <c r="I42" s="123" t="str">
        <f t="shared" si="40"/>
        <v/>
      </c>
      <c r="J42" s="123" t="str">
        <f t="shared" si="40"/>
        <v/>
      </c>
      <c r="K42" s="123" t="str">
        <f t="shared" si="40"/>
        <v/>
      </c>
      <c r="L42" s="123" t="str">
        <f t="shared" si="40"/>
        <v/>
      </c>
      <c r="M42" s="123" t="str">
        <f t="shared" si="40"/>
        <v/>
      </c>
      <c r="N42" s="123" t="str">
        <f t="shared" si="40"/>
        <v/>
      </c>
      <c r="O42" s="123" t="str">
        <f t="shared" si="40"/>
        <v/>
      </c>
      <c r="P42" s="123" t="str">
        <f t="shared" si="40"/>
        <v/>
      </c>
      <c r="Q42" s="123" t="str">
        <f t="shared" si="40"/>
        <v/>
      </c>
      <c r="R42" s="123" t="str">
        <f t="shared" si="40"/>
        <v/>
      </c>
      <c r="S42" s="123" t="str">
        <f t="shared" si="40"/>
        <v/>
      </c>
      <c r="T42" s="123" t="str">
        <f t="shared" si="40"/>
        <v/>
      </c>
      <c r="U42" s="123" t="str">
        <f t="shared" si="40"/>
        <v/>
      </c>
      <c r="V42" s="122" t="str">
        <f t="shared" si="40"/>
        <v/>
      </c>
      <c r="W42" s="122" t="str">
        <f t="shared" si="40"/>
        <v/>
      </c>
      <c r="X42" s="122" t="str">
        <f t="shared" si="40"/>
        <v/>
      </c>
      <c r="Y42" s="122" t="str">
        <f t="shared" si="40"/>
        <v/>
      </c>
      <c r="Z42" s="122" t="str">
        <f t="shared" si="40"/>
        <v/>
      </c>
      <c r="AA42" s="122" t="str">
        <f t="shared" si="40"/>
        <v/>
      </c>
      <c r="AB42" s="122" t="str">
        <f t="shared" si="40"/>
        <v/>
      </c>
      <c r="AC42" s="122" t="str">
        <f t="shared" si="40"/>
        <v/>
      </c>
      <c r="AD42" s="122" t="str">
        <f t="shared" si="40"/>
        <v/>
      </c>
      <c r="AE42" s="122" t="str">
        <f t="shared" si="40"/>
        <v/>
      </c>
      <c r="AF42" s="122" t="str">
        <f t="shared" si="40"/>
        <v/>
      </c>
      <c r="AG42" s="122" t="str">
        <f t="shared" si="40"/>
        <v/>
      </c>
      <c r="AH42" s="122" t="str">
        <f t="shared" si="40"/>
        <v/>
      </c>
      <c r="AI42" s="122" t="str">
        <f t="shared" si="40"/>
        <v/>
      </c>
      <c r="AJ42" s="124" t="str">
        <f t="shared" si="40"/>
        <v/>
      </c>
      <c r="AK42" s="128" t="str">
        <f t="shared" si="40"/>
        <v/>
      </c>
      <c r="AL42" s="125" t="str">
        <f t="shared" si="40"/>
        <v/>
      </c>
      <c r="AM42" s="125" t="str">
        <f t="shared" si="40"/>
        <v/>
      </c>
      <c r="AN42" s="125" t="str">
        <f t="shared" si="40"/>
        <v/>
      </c>
      <c r="AO42" s="125" t="str">
        <f t="shared" si="40"/>
        <v/>
      </c>
      <c r="AP42" s="125" t="str">
        <f t="shared" si="40"/>
        <v/>
      </c>
      <c r="AQ42" s="126" t="str">
        <f t="shared" si="40"/>
        <v/>
      </c>
      <c r="AR42" s="127" t="str">
        <f t="shared" si="40"/>
        <v/>
      </c>
    </row>
    <row r="43" spans="1:44" hidden="1" x14ac:dyDescent="0.3">
      <c r="A43" s="42" t="str">
        <f t="shared" ref="A43" si="41">+IF(C43+C44=0,"[ocultar]","")</f>
        <v>[ocultar]</v>
      </c>
      <c r="B43" s="34" t="s">
        <v>162</v>
      </c>
      <c r="C43" s="33">
        <f t="array" ref="C43">SUM(IF($B43=DATOS_[Sexo],
IF($B42=DATOS_[AGRUP. CLAS. PROF.],
IF("Dentro"=DATOS_[Check Periodo Ref.],
1/(COUNTIFS(DATOS_[Sexo],$B43,DATOS_[AGRUP. CLAS. PROF.],$B42,DATOS_[Check Periodo Ref.],"Dentro",DATOS_[id],DATOS_[id]))))))</f>
        <v>0</v>
      </c>
      <c r="D43" s="35">
        <f>COUNTIFS(DATOS_[AGRUP. CLAS. PROF.],$B42,DATOS_[Sexo],$B43,DATOS_[Check Periodo Ref.],"Dentro")</f>
        <v>0</v>
      </c>
      <c r="E43" s="110">
        <f t="array" ref="E43">IFERROR(
MEDIAN(IF(DATOS_[Sexo]=$B43,IF(DATOS_[AGRUP. CLAS. PROF.]=$B42,IF(DATOS_[Check Periodo Ref.]="Dentro",DATOS_[SALARIO BASE Ef],FALSE)))),
0)</f>
        <v>0</v>
      </c>
      <c r="F43" s="111">
        <f t="array" ref="F43">IFERROR(
MEDIAN((IF(DATOS_[[Sexo]:[Sexo]]=$B43,IF(DATOS_[[AGRUP. CLAS. PROF.]:[AGRUP. CLAS. PROF.]]=$B42,IF(DATOS_[[Check Periodo Ref.]:[Check Periodo Ref.]]="Dentro",DATOS_[Conc.Sal.01]))))),
0)</f>
        <v>0</v>
      </c>
      <c r="G43" s="111">
        <f t="array" ref="G43">IFERROR(
MEDIAN((IF(DATOS_[[Sexo]:[Sexo]]=$B43,IF(DATOS_[[AGRUP. CLAS. PROF.]:[AGRUP. CLAS. PROF.]]=$B42,IF(DATOS_[[Check Periodo Ref.]:[Check Periodo Ref.]]="Dentro",DATOS_[Conc.Sal.02]))))),
0)</f>
        <v>0</v>
      </c>
      <c r="H43" s="111">
        <f t="array" ref="H43">IFERROR(
MEDIAN((IF(DATOS_[[Sexo]:[Sexo]]=$B43,IF(DATOS_[[AGRUP. CLAS. PROF.]:[AGRUP. CLAS. PROF.]]=$B42,IF(DATOS_[[Check Periodo Ref.]:[Check Periodo Ref.]]="Dentro",DATOS_[Conc.Sal.03]))))),
0)</f>
        <v>0</v>
      </c>
      <c r="I43" s="111">
        <f t="array" ref="I43">IFERROR(
MEDIAN((IF(DATOS_[[Sexo]:[Sexo]]=$B43,IF(DATOS_[[AGRUP. CLAS. PROF.]:[AGRUP. CLAS. PROF.]]=$B42,IF(DATOS_[[Check Periodo Ref.]:[Check Periodo Ref.]]="Dentro",DATOS_[Conc.Sal.04]))))),
0)</f>
        <v>0</v>
      </c>
      <c r="J43" s="111">
        <f t="array" ref="J43">IFERROR(
MEDIAN((IF(DATOS_[[Sexo]:[Sexo]]=$B43,IF(DATOS_[[AGRUP. CLAS. PROF.]:[AGRUP. CLAS. PROF.]]=$B42,IF(DATOS_[[Check Periodo Ref.]:[Check Periodo Ref.]]="Dentro",DATOS_[Conc.Sal.05]))))),
0)</f>
        <v>0</v>
      </c>
      <c r="K43" s="111">
        <f t="array" ref="K43">IFERROR(
MEDIAN((IF(DATOS_[[Sexo]:[Sexo]]=$B43,IF(DATOS_[[AGRUP. CLAS. PROF.]:[AGRUP. CLAS. PROF.]]=$B42,IF(DATOS_[[Check Periodo Ref.]:[Check Periodo Ref.]]="Dentro",DATOS_[Conc.Sal.06]))))),
0)</f>
        <v>0</v>
      </c>
      <c r="L43" s="111">
        <f t="array" ref="L43">IFERROR(
MEDIAN((IF(DATOS_[[Sexo]:[Sexo]]=$B43,IF(DATOS_[[AGRUP. CLAS. PROF.]:[AGRUP. CLAS. PROF.]]=$B42,IF(DATOS_[[Check Periodo Ref.]:[Check Periodo Ref.]]="Dentro",DATOS_[Conc.Sal.07]))))),
0)</f>
        <v>0</v>
      </c>
      <c r="M43" s="111">
        <f t="array" ref="M43">IFERROR(
MEDIAN((IF(DATOS_[[Sexo]:[Sexo]]=$B43,IF(DATOS_[[AGRUP. CLAS. PROF.]:[AGRUP. CLAS. PROF.]]=$B42,IF(DATOS_[[Check Periodo Ref.]:[Check Periodo Ref.]]="Dentro",DATOS_[Conc.Sal.08]))))),
0)</f>
        <v>0</v>
      </c>
      <c r="N43" s="111">
        <f t="array" ref="N43">IFERROR(
MEDIAN((IF(DATOS_[[Sexo]:[Sexo]]=$B43,IF(DATOS_[[AGRUP. CLAS. PROF.]:[AGRUP. CLAS. PROF.]]=$B42,IF(DATOS_[[Check Periodo Ref.]:[Check Periodo Ref.]]="Dentro",DATOS_[Conc.Sal.09]))))),
0)</f>
        <v>0</v>
      </c>
      <c r="O43" s="111">
        <f t="array" ref="O43">IFERROR(
MEDIAN((IF(DATOS_[[Sexo]:[Sexo]]=$B43,IF(DATOS_[[AGRUP. CLAS. PROF.]:[AGRUP. CLAS. PROF.]]=$B42,IF(DATOS_[[Check Periodo Ref.]:[Check Periodo Ref.]]="Dentro",DATOS_[Conc.Sal.10]))))),
0)</f>
        <v>0</v>
      </c>
      <c r="P43" s="111">
        <f t="array" ref="P43">IFERROR(
MEDIAN((IF(DATOS_[[Sexo]:[Sexo]]=$B43,IF(DATOS_[[AGRUP. CLAS. PROF.]:[AGRUP. CLAS. PROF.]]=$B42,IF(DATOS_[[Check Periodo Ref.]:[Check Periodo Ref.]]="Dentro",DATOS_[Conc.Sal.11]))))),
0)</f>
        <v>0</v>
      </c>
      <c r="Q43" s="111">
        <f t="array" ref="Q43">IFERROR(
MEDIAN((IF(DATOS_[[Sexo]:[Sexo]]=$B43,IF(DATOS_[[AGRUP. CLAS. PROF.]:[AGRUP. CLAS. PROF.]]=$B42,IF(DATOS_[[Check Periodo Ref.]:[Check Periodo Ref.]]="Dentro",DATOS_[Conc.Sal.12]))))),
0)</f>
        <v>0</v>
      </c>
      <c r="R43" s="111">
        <f t="array" ref="R43">IFERROR(
MEDIAN((IF(DATOS_[[Sexo]:[Sexo]]=$B43,IF(DATOS_[[AGRUP. CLAS. PROF.]:[AGRUP. CLAS. PROF.]]=$B42,IF(DATOS_[[Check Periodo Ref.]:[Check Periodo Ref.]]="Dentro",DATOS_[Conc.Sal.13]))))),
0)</f>
        <v>0</v>
      </c>
      <c r="S43" s="111">
        <f t="array" ref="S43">IFERROR(
MEDIAN((IF(DATOS_[[Sexo]:[Sexo]]=$B43,IF(DATOS_[[AGRUP. CLAS. PROF.]:[AGRUP. CLAS. PROF.]]=$B42,IF(DATOS_[[Check Periodo Ref.]:[Check Periodo Ref.]]="Dentro",DATOS_[Conc.Sal.14]))))),
0)</f>
        <v>0</v>
      </c>
      <c r="T43" s="111">
        <f t="array" ref="T43">IFERROR(
MEDIAN((IF(DATOS_[[Sexo]:[Sexo]]=$B43,IF(DATOS_[[AGRUP. CLAS. PROF.]:[AGRUP. CLAS. PROF.]]=$B42,IF(DATOS_[[Check Periodo Ref.]:[Check Periodo Ref.]]="Dentro",DATOS_[Conc.Sal.15]))))),
0)</f>
        <v>0</v>
      </c>
      <c r="U43" s="111">
        <f t="array" ref="U43">IFERROR(
MEDIAN((IF(DATOS_[[Sexo]:[Sexo]]=$B43,IF(DATOS_[[AGRUP. CLAS. PROF.]:[AGRUP. CLAS. PROF.]]=$B42,IF(DATOS_[[Check Periodo Ref.]:[Check Periodo Ref.]]="Dentro",DATOS_[Conc.Sal.16]))))),
0)</f>
        <v>0</v>
      </c>
      <c r="V43" s="111">
        <f t="array" ref="V43">IFERROR(
MEDIAN((IF(DATOS_[[Sexo]:[Sexo]]=$B43,IF(DATOS_[[AGRUP. CLAS. PROF.]:[AGRUP. CLAS. PROF.]]=$B42,IF(DATOS_[[Check Periodo Ref.]:[Check Periodo Ref.]]="Dentro",DATOS_[Conc.Sal.17]))))),
0)</f>
        <v>0</v>
      </c>
      <c r="W43" s="111">
        <f t="array" ref="W43">IFERROR(
MEDIAN((IF(DATOS_[[Sexo]:[Sexo]]=$B43,IF(DATOS_[[AGRUP. CLAS. PROF.]:[AGRUP. CLAS. PROF.]]=$B42,IF(DATOS_[[Check Periodo Ref.]:[Check Periodo Ref.]]="Dentro",DATOS_[Conc.Sal.18]))))),
0)</f>
        <v>0</v>
      </c>
      <c r="X43" s="111">
        <f t="array" ref="X43">IFERROR(
MEDIAN((IF(DATOS_[[Sexo]:[Sexo]]=$B43,IF(DATOS_[[AGRUP. CLAS. PROF.]:[AGRUP. CLAS. PROF.]]=$B42,IF(DATOS_[[Check Periodo Ref.]:[Check Periodo Ref.]]="Dentro",DATOS_[Conc.Sal.19]))))),
0)</f>
        <v>0</v>
      </c>
      <c r="Y43" s="111">
        <f t="array" ref="Y43">IFERROR(
MEDIAN((IF(DATOS_[[Sexo]:[Sexo]]=$B43,IF(DATOS_[[AGRUP. CLAS. PROF.]:[AGRUP. CLAS. PROF.]]=$B42,IF(DATOS_[[Check Periodo Ref.]:[Check Periodo Ref.]]="Dentro",DATOS_[Conc.Sal.20]))))),
0)</f>
        <v>0</v>
      </c>
      <c r="Z43" s="111">
        <f t="array" ref="Z43">IFERROR(
MEDIAN((IF(DATOS_[[Sexo]:[Sexo]]=$B43,IF(DATOS_[[AGRUP. CLAS. PROF.]:[AGRUP. CLAS. PROF.]]=$B42,IF(DATOS_[[Check Periodo Ref.]:[Check Periodo Ref.]]="Dentro",DATOS_[Conc.Sal.21]))))),
0)</f>
        <v>0</v>
      </c>
      <c r="AA43" s="111">
        <f t="array" ref="AA43">IFERROR(
MEDIAN((IF(DATOS_[[Sexo]:[Sexo]]=$B43,IF(DATOS_[[AGRUP. CLAS. PROF.]:[AGRUP. CLAS. PROF.]]=$B42,IF(DATOS_[[Check Periodo Ref.]:[Check Periodo Ref.]]="Dentro",DATOS_[Conc.Sal.22]))))),
0)</f>
        <v>0</v>
      </c>
      <c r="AB43" s="111">
        <f t="array" ref="AB43">IFERROR(
MEDIAN((IF(DATOS_[[Sexo]:[Sexo]]=$B43,IF(DATOS_[[AGRUP. CLAS. PROF.]:[AGRUP. CLAS. PROF.]]=$B42,IF(DATOS_[[Check Periodo Ref.]:[Check Periodo Ref.]]="Dentro",DATOS_[Conc.Sal.23]))))),
0)</f>
        <v>0</v>
      </c>
      <c r="AC43" s="111">
        <f t="array" ref="AC43">IFERROR(
MEDIAN((IF(DATOS_[[Sexo]:[Sexo]]=$B43,IF(DATOS_[[AGRUP. CLAS. PROF.]:[AGRUP. CLAS. PROF.]]=$B42,IF(DATOS_[[Check Periodo Ref.]:[Check Periodo Ref.]]="Dentro",DATOS_[Conc.Sal.24]))))),
0)</f>
        <v>0</v>
      </c>
      <c r="AD43" s="111">
        <f t="array" ref="AD43">IFERROR(
MEDIAN((IF(DATOS_[[Sexo]:[Sexo]]=$B43,IF(DATOS_[[AGRUP. CLAS. PROF.]:[AGRUP. CLAS. PROF.]]=$B42,IF(DATOS_[[Check Periodo Ref.]:[Check Periodo Ref.]]="Dentro",DATOS_[Conc.Sal.25]))))),
0)</f>
        <v>0</v>
      </c>
      <c r="AE43" s="111">
        <f t="array" ref="AE43">IFERROR(
MEDIAN((IF(DATOS_[[Sexo]:[Sexo]]=$B43,IF(DATOS_[[AGRUP. CLAS. PROF.]:[AGRUP. CLAS. PROF.]]=$B42,IF(DATOS_[[Check Periodo Ref.]:[Check Periodo Ref.]]="Dentro",DATOS_[Conc.Sal.26]))))),
0)</f>
        <v>0</v>
      </c>
      <c r="AF43" s="111">
        <f t="array" ref="AF43">IFERROR(
MEDIAN((IF(DATOS_[[Sexo]:[Sexo]]=$B43,IF(DATOS_[[AGRUP. CLAS. PROF.]:[AGRUP. CLAS. PROF.]]=$B42,IF(DATOS_[[Check Periodo Ref.]:[Check Periodo Ref.]]="Dentro",DATOS_[Conc.Sal.27]))))),
0)</f>
        <v>0</v>
      </c>
      <c r="AG43" s="111">
        <f t="array" ref="AG43">IFERROR(
MEDIAN((IF(DATOS_[[Sexo]:[Sexo]]=$B43,IF(DATOS_[[AGRUP. CLAS. PROF.]:[AGRUP. CLAS. PROF.]]=$B42,IF(DATOS_[[Check Periodo Ref.]:[Check Periodo Ref.]]="Dentro",DATOS_[Conc.Sal.28]))))),
0)</f>
        <v>0</v>
      </c>
      <c r="AH43" s="111">
        <f t="array" ref="AH43">IFERROR(
MEDIAN((IF(DATOS_[[Sexo]:[Sexo]]=$B43,IF(DATOS_[[AGRUP. CLAS. PROF.]:[AGRUP. CLAS. PROF.]]=$B42,IF(DATOS_[[Check Periodo Ref.]:[Check Periodo Ref.]]="Dentro",DATOS_[Conc.Sal.29]))))),
0)</f>
        <v>0</v>
      </c>
      <c r="AI43" s="111">
        <f t="array" ref="AI43">IFERROR(
MEDIAN((IF(DATOS_[[Sexo]:[Sexo]]=$B43,IF(DATOS_[[AGRUP. CLAS. PROF.]:[AGRUP. CLAS. PROF.]]=$B42,IF(DATOS_[[Check Periodo Ref.]:[Check Periodo Ref.]]="Dentro",DATOS_[Conc.Sal.30]))))),
0)</f>
        <v>0</v>
      </c>
      <c r="AJ43" s="112">
        <f t="array" ref="AJ43">IFERROR(
MEDIAN(IF(DATOS_[Sexo]=$B43,IF(DATOS_[AGRUP. CLAS. PROF.]=$B42,IF(DATOS_[Check Periodo Ref.]="Dentro",DATOS_[Tot COMPL.SAL Ef],FALSE)))),
0)</f>
        <v>0</v>
      </c>
      <c r="AK43" s="113">
        <f t="array" ref="AK43">IFERROR(
MEDIAN(IF(DATOS_[Sexo]=$B43,IF(DATOS_[AGRUP. CLAS. PROF.]=$B42,IF(DATOS_[Check Periodo Ref.]="Dentro",DATOS_[TOTAL SALARIO Ef],FALSE)))),
0)</f>
        <v>0</v>
      </c>
      <c r="AL43" s="114">
        <f t="array" ref="AL43">IFERROR(
MEDIAN((IF(DATOS_[[Sexo]:[Sexo]]=$B43,IF(DATOS_[[AGRUP. CLAS. PROF.]:[AGRUP. CLAS. PROF.]]=$B42,IF(DATOS_[[Check Periodo Ref.]:[Check Periodo Ref.]]="Dentro",DATOS_[C.Extra.01]))))),
0)</f>
        <v>0</v>
      </c>
      <c r="AM43" s="114">
        <f t="array" ref="AM43">IFERROR(
MEDIAN((IF(DATOS_[[Sexo]:[Sexo]]=$B43,IF(DATOS_[[AGRUP. CLAS. PROF.]:[AGRUP. CLAS. PROF.]]=$B42,IF(DATOS_[[Check Periodo Ref.]:[Check Periodo Ref.]]="Dentro",DATOS_[C.Extra.02]))))),
0)</f>
        <v>0</v>
      </c>
      <c r="AN43" s="114">
        <f t="array" ref="AN43">IFERROR(
MEDIAN((IF(DATOS_[[Sexo]:[Sexo]]=$B43,IF(DATOS_[[AGRUP. CLAS. PROF.]:[AGRUP. CLAS. PROF.]]=$B42,IF(DATOS_[[Check Periodo Ref.]:[Check Periodo Ref.]]="Dentro",DATOS_[C.Extra.03]))))),
0)</f>
        <v>0</v>
      </c>
      <c r="AO43" s="114">
        <f t="array" ref="AO43">IFERROR(
MEDIAN((IF(DATOS_[[Sexo]:[Sexo]]=$B43,IF(DATOS_[[AGRUP. CLAS. PROF.]:[AGRUP. CLAS. PROF.]]=$B42,IF(DATOS_[[Check Periodo Ref.]:[Check Periodo Ref.]]="Dentro",DATOS_[C.Extra.04]))))),
0)</f>
        <v>0</v>
      </c>
      <c r="AP43" s="114">
        <f t="array" ref="AP43">IFERROR(
MEDIAN((IF(DATOS_[[Sexo]:[Sexo]]=$B43,IF(DATOS_[[AGRUP. CLAS. PROF.]:[AGRUP. CLAS. PROF.]]=$B42,IF(DATOS_[[Check Periodo Ref.]:[Check Periodo Ref.]]="Dentro",DATOS_[C.Extra.05]))))),
0)</f>
        <v>0</v>
      </c>
      <c r="AQ43" s="115">
        <f t="array" ref="AQ43">IFERROR(
MEDIAN(IF(DATOS_[Sexo]=$B43,IF(DATOS_[AGRUP. CLAS. PROF.]=$B42,IF(DATOS_[Check Periodo Ref.]="Dentro",DATOS_[Tot Extrasalarial Ef],FALSE)))),
0)</f>
        <v>0</v>
      </c>
      <c r="AR43" s="116">
        <f t="array" ref="AR43">IFERROR(
MEDIAN(IF(DATOS_[Sexo]=$B43,IF(DATOS_[AGRUP. CLAS. PROF.]=$B42,IF(DATOS_[Check Periodo Ref.]="Dentro",DATOS_[TOTAL Retrib Ef],FALSE)))),
0)</f>
        <v>0</v>
      </c>
    </row>
    <row r="44" spans="1:44" hidden="1" x14ac:dyDescent="0.3">
      <c r="A44" s="42" t="str">
        <f t="shared" ref="A44" si="42">+A43</f>
        <v>[ocultar]</v>
      </c>
      <c r="B44" s="34" t="s">
        <v>163</v>
      </c>
      <c r="C44" s="33">
        <f t="array" ref="C44">SUM(IF($B44=DATOS_[Sexo],
IF($B42=DATOS_[AGRUP. CLAS. PROF.],
IF("Dentro"=DATOS_[Check Periodo Ref.],
1/(COUNTIFS(DATOS_[Sexo],$B44,DATOS_[AGRUP. CLAS. PROF.],$B42,DATOS_[Check Periodo Ref.],"Dentro",DATOS_[id],DATOS_[id]))))))</f>
        <v>0</v>
      </c>
      <c r="D44" s="35">
        <f>COUNTIFS(DATOS_[AGRUP. CLAS. PROF.],$B42,DATOS_[Sexo],$B44,DATOS_[Check Periodo Ref.],"Dentro")</f>
        <v>0</v>
      </c>
      <c r="E44" s="110">
        <f t="array" ref="E44">IFERROR(
MEDIAN(IF(DATOS_[Sexo]=$B44,IF(DATOS_[AGRUP. CLAS. PROF.]=$B42,IF(DATOS_[Check Periodo Ref.]="Dentro",DATOS_[SALARIO BASE Ef],FALSE)))),
0)</f>
        <v>0</v>
      </c>
      <c r="F44" s="111">
        <f t="array" ref="F44">IFERROR(
MEDIAN((IF(DATOS_[[Sexo]:[Sexo]]=$B44,IF(DATOS_[[AGRUP. CLAS. PROF.]:[AGRUP. CLAS. PROF.]]=$B42,IF(DATOS_[[Check Periodo Ref.]:[Check Periodo Ref.]]="Dentro",DATOS_[Conc.Sal.01]))))),
0)</f>
        <v>0</v>
      </c>
      <c r="G44" s="111">
        <f t="array" ref="G44">IFERROR(
MEDIAN((IF(DATOS_[[Sexo]:[Sexo]]=$B44,IF(DATOS_[[AGRUP. CLAS. PROF.]:[AGRUP. CLAS. PROF.]]=$B42,IF(DATOS_[[Check Periodo Ref.]:[Check Periodo Ref.]]="Dentro",DATOS_[Conc.Sal.02]))))),
0)</f>
        <v>0</v>
      </c>
      <c r="H44" s="111">
        <f t="array" ref="H44">IFERROR(
MEDIAN((IF(DATOS_[[Sexo]:[Sexo]]=$B44,IF(DATOS_[[AGRUP. CLAS. PROF.]:[AGRUP. CLAS. PROF.]]=$B42,IF(DATOS_[[Check Periodo Ref.]:[Check Periodo Ref.]]="Dentro",DATOS_[Conc.Sal.03]))))),
0)</f>
        <v>0</v>
      </c>
      <c r="I44" s="111">
        <f t="array" ref="I44">IFERROR(
MEDIAN((IF(DATOS_[[Sexo]:[Sexo]]=$B44,IF(DATOS_[[AGRUP. CLAS. PROF.]:[AGRUP. CLAS. PROF.]]=$B42,IF(DATOS_[[Check Periodo Ref.]:[Check Periodo Ref.]]="Dentro",DATOS_[Conc.Sal.04]))))),
0)</f>
        <v>0</v>
      </c>
      <c r="J44" s="111">
        <f t="array" ref="J44">IFERROR(
MEDIAN((IF(DATOS_[[Sexo]:[Sexo]]=$B44,IF(DATOS_[[AGRUP. CLAS. PROF.]:[AGRUP. CLAS. PROF.]]=$B42,IF(DATOS_[[Check Periodo Ref.]:[Check Periodo Ref.]]="Dentro",DATOS_[Conc.Sal.05]))))),
0)</f>
        <v>0</v>
      </c>
      <c r="K44" s="111">
        <f t="array" ref="K44">IFERROR(
MEDIAN((IF(DATOS_[[Sexo]:[Sexo]]=$B44,IF(DATOS_[[AGRUP. CLAS. PROF.]:[AGRUP. CLAS. PROF.]]=$B42,IF(DATOS_[[Check Periodo Ref.]:[Check Periodo Ref.]]="Dentro",DATOS_[Conc.Sal.06]))))),
0)</f>
        <v>0</v>
      </c>
      <c r="L44" s="111">
        <f t="array" ref="L44">IFERROR(
MEDIAN((IF(DATOS_[[Sexo]:[Sexo]]=$B44,IF(DATOS_[[AGRUP. CLAS. PROF.]:[AGRUP. CLAS. PROF.]]=$B42,IF(DATOS_[[Check Periodo Ref.]:[Check Periodo Ref.]]="Dentro",DATOS_[Conc.Sal.07]))))),
0)</f>
        <v>0</v>
      </c>
      <c r="M44" s="111">
        <f t="array" ref="M44">IFERROR(
MEDIAN((IF(DATOS_[[Sexo]:[Sexo]]=$B44,IF(DATOS_[[AGRUP. CLAS. PROF.]:[AGRUP. CLAS. PROF.]]=$B42,IF(DATOS_[[Check Periodo Ref.]:[Check Periodo Ref.]]="Dentro",DATOS_[Conc.Sal.08]))))),
0)</f>
        <v>0</v>
      </c>
      <c r="N44" s="111">
        <f t="array" ref="N44">IFERROR(
MEDIAN((IF(DATOS_[[Sexo]:[Sexo]]=$B44,IF(DATOS_[[AGRUP. CLAS. PROF.]:[AGRUP. CLAS. PROF.]]=$B42,IF(DATOS_[[Check Periodo Ref.]:[Check Periodo Ref.]]="Dentro",DATOS_[Conc.Sal.09]))))),
0)</f>
        <v>0</v>
      </c>
      <c r="O44" s="111">
        <f t="array" ref="O44">IFERROR(
MEDIAN((IF(DATOS_[[Sexo]:[Sexo]]=$B44,IF(DATOS_[[AGRUP. CLAS. PROF.]:[AGRUP. CLAS. PROF.]]=$B42,IF(DATOS_[[Check Periodo Ref.]:[Check Periodo Ref.]]="Dentro",DATOS_[Conc.Sal.10]))))),
0)</f>
        <v>0</v>
      </c>
      <c r="P44" s="111">
        <f t="array" ref="P44">IFERROR(
MEDIAN((IF(DATOS_[[Sexo]:[Sexo]]=$B44,IF(DATOS_[[AGRUP. CLAS. PROF.]:[AGRUP. CLAS. PROF.]]=$B42,IF(DATOS_[[Check Periodo Ref.]:[Check Periodo Ref.]]="Dentro",DATOS_[Conc.Sal.11]))))),
0)</f>
        <v>0</v>
      </c>
      <c r="Q44" s="111">
        <f t="array" ref="Q44">IFERROR(
MEDIAN((IF(DATOS_[[Sexo]:[Sexo]]=$B44,IF(DATOS_[[AGRUP. CLAS. PROF.]:[AGRUP. CLAS. PROF.]]=$B42,IF(DATOS_[[Check Periodo Ref.]:[Check Periodo Ref.]]="Dentro",DATOS_[Conc.Sal.12]))))),
0)</f>
        <v>0</v>
      </c>
      <c r="R44" s="111">
        <f t="array" ref="R44">IFERROR(
MEDIAN((IF(DATOS_[[Sexo]:[Sexo]]=$B44,IF(DATOS_[[AGRUP. CLAS. PROF.]:[AGRUP. CLAS. PROF.]]=$B42,IF(DATOS_[[Check Periodo Ref.]:[Check Periodo Ref.]]="Dentro",DATOS_[Conc.Sal.13]))))),
0)</f>
        <v>0</v>
      </c>
      <c r="S44" s="111">
        <f t="array" ref="S44">IFERROR(
MEDIAN((IF(DATOS_[[Sexo]:[Sexo]]=$B44,IF(DATOS_[[AGRUP. CLAS. PROF.]:[AGRUP. CLAS. PROF.]]=$B42,IF(DATOS_[[Check Periodo Ref.]:[Check Periodo Ref.]]="Dentro",DATOS_[Conc.Sal.14]))))),
0)</f>
        <v>0</v>
      </c>
      <c r="T44" s="111">
        <f t="array" ref="T44">IFERROR(
MEDIAN((IF(DATOS_[[Sexo]:[Sexo]]=$B44,IF(DATOS_[[AGRUP. CLAS. PROF.]:[AGRUP. CLAS. PROF.]]=$B42,IF(DATOS_[[Check Periodo Ref.]:[Check Periodo Ref.]]="Dentro",DATOS_[Conc.Sal.15]))))),
0)</f>
        <v>0</v>
      </c>
      <c r="U44" s="111">
        <f t="array" ref="U44">IFERROR(
MEDIAN((IF(DATOS_[[Sexo]:[Sexo]]=$B44,IF(DATOS_[[AGRUP. CLAS. PROF.]:[AGRUP. CLAS. PROF.]]=$B42,IF(DATOS_[[Check Periodo Ref.]:[Check Periodo Ref.]]="Dentro",DATOS_[Conc.Sal.16]))))),
0)</f>
        <v>0</v>
      </c>
      <c r="V44" s="111">
        <f t="array" ref="V44">IFERROR(
MEDIAN((IF(DATOS_[[Sexo]:[Sexo]]=$B44,IF(DATOS_[[AGRUP. CLAS. PROF.]:[AGRUP. CLAS. PROF.]]=$B42,IF(DATOS_[[Check Periodo Ref.]:[Check Periodo Ref.]]="Dentro",DATOS_[Conc.Sal.17]))))),
0)</f>
        <v>0</v>
      </c>
      <c r="W44" s="111">
        <f t="array" ref="W44">IFERROR(
MEDIAN((IF(DATOS_[[Sexo]:[Sexo]]=$B44,IF(DATOS_[[AGRUP. CLAS. PROF.]:[AGRUP. CLAS. PROF.]]=$B42,IF(DATOS_[[Check Periodo Ref.]:[Check Periodo Ref.]]="Dentro",DATOS_[Conc.Sal.18]))))),
0)</f>
        <v>0</v>
      </c>
      <c r="X44" s="111">
        <f t="array" ref="X44">IFERROR(
MEDIAN((IF(DATOS_[[Sexo]:[Sexo]]=$B44,IF(DATOS_[[AGRUP. CLAS. PROF.]:[AGRUP. CLAS. PROF.]]=$B42,IF(DATOS_[[Check Periodo Ref.]:[Check Periodo Ref.]]="Dentro",DATOS_[Conc.Sal.19]))))),
0)</f>
        <v>0</v>
      </c>
      <c r="Y44" s="111">
        <f t="array" ref="Y44">IFERROR(
MEDIAN((IF(DATOS_[[Sexo]:[Sexo]]=$B44,IF(DATOS_[[AGRUP. CLAS. PROF.]:[AGRUP. CLAS. PROF.]]=$B42,IF(DATOS_[[Check Periodo Ref.]:[Check Periodo Ref.]]="Dentro",DATOS_[Conc.Sal.20]))))),
0)</f>
        <v>0</v>
      </c>
      <c r="Z44" s="111">
        <f t="array" ref="Z44">IFERROR(
MEDIAN((IF(DATOS_[[Sexo]:[Sexo]]=$B44,IF(DATOS_[[AGRUP. CLAS. PROF.]:[AGRUP. CLAS. PROF.]]=$B42,IF(DATOS_[[Check Periodo Ref.]:[Check Periodo Ref.]]="Dentro",DATOS_[Conc.Sal.21]))))),
0)</f>
        <v>0</v>
      </c>
      <c r="AA44" s="111">
        <f t="array" ref="AA44">IFERROR(
MEDIAN((IF(DATOS_[[Sexo]:[Sexo]]=$B44,IF(DATOS_[[AGRUP. CLAS. PROF.]:[AGRUP. CLAS. PROF.]]=$B42,IF(DATOS_[[Check Periodo Ref.]:[Check Periodo Ref.]]="Dentro",DATOS_[Conc.Sal.22]))))),
0)</f>
        <v>0</v>
      </c>
      <c r="AB44" s="111">
        <f t="array" ref="AB44">IFERROR(
MEDIAN((IF(DATOS_[[Sexo]:[Sexo]]=$B44,IF(DATOS_[[AGRUP. CLAS. PROF.]:[AGRUP. CLAS. PROF.]]=$B42,IF(DATOS_[[Check Periodo Ref.]:[Check Periodo Ref.]]="Dentro",DATOS_[Conc.Sal.23]))))),
0)</f>
        <v>0</v>
      </c>
      <c r="AC44" s="111">
        <f t="array" ref="AC44">IFERROR(
MEDIAN((IF(DATOS_[[Sexo]:[Sexo]]=$B44,IF(DATOS_[[AGRUP. CLAS. PROF.]:[AGRUP. CLAS. PROF.]]=$B42,IF(DATOS_[[Check Periodo Ref.]:[Check Periodo Ref.]]="Dentro",DATOS_[Conc.Sal.24]))))),
0)</f>
        <v>0</v>
      </c>
      <c r="AD44" s="111">
        <f t="array" ref="AD44">IFERROR(
MEDIAN((IF(DATOS_[[Sexo]:[Sexo]]=$B44,IF(DATOS_[[AGRUP. CLAS. PROF.]:[AGRUP. CLAS. PROF.]]=$B42,IF(DATOS_[[Check Periodo Ref.]:[Check Periodo Ref.]]="Dentro",DATOS_[Conc.Sal.25]))))),
0)</f>
        <v>0</v>
      </c>
      <c r="AE44" s="111">
        <f t="array" ref="AE44">IFERROR(
MEDIAN((IF(DATOS_[[Sexo]:[Sexo]]=$B44,IF(DATOS_[[AGRUP. CLAS. PROF.]:[AGRUP. CLAS. PROF.]]=$B42,IF(DATOS_[[Check Periodo Ref.]:[Check Periodo Ref.]]="Dentro",DATOS_[Conc.Sal.26]))))),
0)</f>
        <v>0</v>
      </c>
      <c r="AF44" s="111">
        <f t="array" ref="AF44">IFERROR(
MEDIAN((IF(DATOS_[[Sexo]:[Sexo]]=$B44,IF(DATOS_[[AGRUP. CLAS. PROF.]:[AGRUP. CLAS. PROF.]]=$B42,IF(DATOS_[[Check Periodo Ref.]:[Check Periodo Ref.]]="Dentro",DATOS_[Conc.Sal.27]))))),
0)</f>
        <v>0</v>
      </c>
      <c r="AG44" s="111">
        <f t="array" ref="AG44">IFERROR(
MEDIAN((IF(DATOS_[[Sexo]:[Sexo]]=$B44,IF(DATOS_[[AGRUP. CLAS. PROF.]:[AGRUP. CLAS. PROF.]]=$B42,IF(DATOS_[[Check Periodo Ref.]:[Check Periodo Ref.]]="Dentro",DATOS_[Conc.Sal.28]))))),
0)</f>
        <v>0</v>
      </c>
      <c r="AH44" s="111">
        <f t="array" ref="AH44">IFERROR(
MEDIAN((IF(DATOS_[[Sexo]:[Sexo]]=$B44,IF(DATOS_[[AGRUP. CLAS. PROF.]:[AGRUP. CLAS. PROF.]]=$B42,IF(DATOS_[[Check Periodo Ref.]:[Check Periodo Ref.]]="Dentro",DATOS_[Conc.Sal.29]))))),
0)</f>
        <v>0</v>
      </c>
      <c r="AI44" s="111">
        <f t="array" ref="AI44">IFERROR(
MEDIAN((IF(DATOS_[[Sexo]:[Sexo]]=$B44,IF(DATOS_[[AGRUP. CLAS. PROF.]:[AGRUP. CLAS. PROF.]]=$B42,IF(DATOS_[[Check Periodo Ref.]:[Check Periodo Ref.]]="Dentro",DATOS_[Conc.Sal.30]))))),
0)</f>
        <v>0</v>
      </c>
      <c r="AJ44" s="112">
        <f t="array" ref="AJ44">IFERROR(
MEDIAN(IF(DATOS_[Sexo]=$B44,IF(DATOS_[AGRUP. CLAS. PROF.]=$B42,IF(DATOS_[Check Periodo Ref.]="Dentro",DATOS_[Tot COMPL.SAL Ef],FALSE)))),
0)</f>
        <v>0</v>
      </c>
      <c r="AK44" s="113">
        <f t="array" ref="AK44">IFERROR(
MEDIAN(IF(DATOS_[Sexo]=$B44,IF(DATOS_[AGRUP. CLAS. PROF.]=$B42,IF(DATOS_[Check Periodo Ref.]="Dentro",DATOS_[TOTAL SALARIO Ef],FALSE)))),
0)</f>
        <v>0</v>
      </c>
      <c r="AL44" s="114">
        <f t="array" ref="AL44">IFERROR(
MEDIAN((IF(DATOS_[[Sexo]:[Sexo]]=$B44,IF(DATOS_[[AGRUP. CLAS. PROF.]:[AGRUP. CLAS. PROF.]]=$B42,IF(DATOS_[[Check Periodo Ref.]:[Check Periodo Ref.]]="Dentro",DATOS_[C.Extra.01]))))),
0)</f>
        <v>0</v>
      </c>
      <c r="AM44" s="114">
        <f t="array" ref="AM44">IFERROR(
MEDIAN((IF(DATOS_[[Sexo]:[Sexo]]=$B44,IF(DATOS_[[AGRUP. CLAS. PROF.]:[AGRUP. CLAS. PROF.]]=$B42,IF(DATOS_[[Check Periodo Ref.]:[Check Periodo Ref.]]="Dentro",DATOS_[C.Extra.02]))))),
0)</f>
        <v>0</v>
      </c>
      <c r="AN44" s="114">
        <f t="array" ref="AN44">IFERROR(
MEDIAN((IF(DATOS_[[Sexo]:[Sexo]]=$B44,IF(DATOS_[[AGRUP. CLAS. PROF.]:[AGRUP. CLAS. PROF.]]=$B42,IF(DATOS_[[Check Periodo Ref.]:[Check Periodo Ref.]]="Dentro",DATOS_[C.Extra.03]))))),
0)</f>
        <v>0</v>
      </c>
      <c r="AO44" s="114">
        <f t="array" ref="AO44">IFERROR(
MEDIAN((IF(DATOS_[[Sexo]:[Sexo]]=$B44,IF(DATOS_[[AGRUP. CLAS. PROF.]:[AGRUP. CLAS. PROF.]]=$B42,IF(DATOS_[[Check Periodo Ref.]:[Check Periodo Ref.]]="Dentro",DATOS_[C.Extra.04]))))),
0)</f>
        <v>0</v>
      </c>
      <c r="AP44" s="114">
        <f t="array" ref="AP44">IFERROR(
MEDIAN((IF(DATOS_[[Sexo]:[Sexo]]=$B44,IF(DATOS_[[AGRUP. CLAS. PROF.]:[AGRUP. CLAS. PROF.]]=$B42,IF(DATOS_[[Check Periodo Ref.]:[Check Periodo Ref.]]="Dentro",DATOS_[C.Extra.05]))))),
0)</f>
        <v>0</v>
      </c>
      <c r="AQ44" s="115">
        <f t="array" ref="AQ44">IFERROR(
MEDIAN(IF(DATOS_[Sexo]=$B44,IF(DATOS_[AGRUP. CLAS. PROF.]=$B42,IF(DATOS_[Check Periodo Ref.]="Dentro",DATOS_[Tot Extrasalarial Ef],FALSE)))),
0)</f>
        <v>0</v>
      </c>
      <c r="AR44" s="116">
        <f t="array" ref="AR44">IFERROR(
MEDIAN(IF(DATOS_[Sexo]=$B44,IF(DATOS_[AGRUP. CLAS. PROF.]=$B42,IF(DATOS_[Check Periodo Ref.]="Dentro",DATOS_[TOTAL Retrib Ef],FALSE)))),
0)</f>
        <v>0</v>
      </c>
    </row>
    <row r="45" spans="1:44" ht="17.25" hidden="1" thickBot="1" x14ac:dyDescent="0.35">
      <c r="A45" s="42" t="str">
        <f t="shared" ref="A45" si="43">+A46</f>
        <v>[ocultar]</v>
      </c>
      <c r="B45" s="40" t="s">
        <v>227</v>
      </c>
      <c r="C45" s="109"/>
      <c r="D45" s="41"/>
      <c r="E45" s="119" t="str">
        <f t="shared" ref="E45:AR45" si="44">IFERROR((E46-E47)/E46,"")</f>
        <v/>
      </c>
      <c r="F45" s="123" t="str">
        <f t="shared" si="44"/>
        <v/>
      </c>
      <c r="G45" s="123" t="str">
        <f t="shared" si="44"/>
        <v/>
      </c>
      <c r="H45" s="123" t="str">
        <f t="shared" si="44"/>
        <v/>
      </c>
      <c r="I45" s="123" t="str">
        <f t="shared" si="44"/>
        <v/>
      </c>
      <c r="J45" s="123" t="str">
        <f t="shared" si="44"/>
        <v/>
      </c>
      <c r="K45" s="123" t="str">
        <f t="shared" si="44"/>
        <v/>
      </c>
      <c r="L45" s="123" t="str">
        <f t="shared" si="44"/>
        <v/>
      </c>
      <c r="M45" s="123" t="str">
        <f t="shared" si="44"/>
        <v/>
      </c>
      <c r="N45" s="123" t="str">
        <f t="shared" si="44"/>
        <v/>
      </c>
      <c r="O45" s="123" t="str">
        <f t="shared" si="44"/>
        <v/>
      </c>
      <c r="P45" s="123" t="str">
        <f t="shared" si="44"/>
        <v/>
      </c>
      <c r="Q45" s="123" t="str">
        <f t="shared" si="44"/>
        <v/>
      </c>
      <c r="R45" s="123" t="str">
        <f t="shared" si="44"/>
        <v/>
      </c>
      <c r="S45" s="123" t="str">
        <f t="shared" si="44"/>
        <v/>
      </c>
      <c r="T45" s="123" t="str">
        <f t="shared" si="44"/>
        <v/>
      </c>
      <c r="U45" s="123" t="str">
        <f t="shared" si="44"/>
        <v/>
      </c>
      <c r="V45" s="122" t="str">
        <f t="shared" si="44"/>
        <v/>
      </c>
      <c r="W45" s="122" t="str">
        <f t="shared" si="44"/>
        <v/>
      </c>
      <c r="X45" s="122" t="str">
        <f t="shared" si="44"/>
        <v/>
      </c>
      <c r="Y45" s="122" t="str">
        <f t="shared" si="44"/>
        <v/>
      </c>
      <c r="Z45" s="122" t="str">
        <f t="shared" si="44"/>
        <v/>
      </c>
      <c r="AA45" s="122" t="str">
        <f t="shared" si="44"/>
        <v/>
      </c>
      <c r="AB45" s="122" t="str">
        <f t="shared" si="44"/>
        <v/>
      </c>
      <c r="AC45" s="122" t="str">
        <f t="shared" si="44"/>
        <v/>
      </c>
      <c r="AD45" s="122" t="str">
        <f t="shared" si="44"/>
        <v/>
      </c>
      <c r="AE45" s="122" t="str">
        <f t="shared" si="44"/>
        <v/>
      </c>
      <c r="AF45" s="122" t="str">
        <f t="shared" si="44"/>
        <v/>
      </c>
      <c r="AG45" s="122" t="str">
        <f t="shared" si="44"/>
        <v/>
      </c>
      <c r="AH45" s="122" t="str">
        <f t="shared" si="44"/>
        <v/>
      </c>
      <c r="AI45" s="122" t="str">
        <f t="shared" si="44"/>
        <v/>
      </c>
      <c r="AJ45" s="124" t="str">
        <f t="shared" si="44"/>
        <v/>
      </c>
      <c r="AK45" s="128" t="str">
        <f t="shared" si="44"/>
        <v/>
      </c>
      <c r="AL45" s="125" t="str">
        <f t="shared" si="44"/>
        <v/>
      </c>
      <c r="AM45" s="125" t="str">
        <f t="shared" si="44"/>
        <v/>
      </c>
      <c r="AN45" s="125" t="str">
        <f t="shared" si="44"/>
        <v/>
      </c>
      <c r="AO45" s="125" t="str">
        <f t="shared" si="44"/>
        <v/>
      </c>
      <c r="AP45" s="125" t="str">
        <f t="shared" si="44"/>
        <v/>
      </c>
      <c r="AQ45" s="126" t="str">
        <f t="shared" si="44"/>
        <v/>
      </c>
      <c r="AR45" s="127" t="str">
        <f t="shared" si="44"/>
        <v/>
      </c>
    </row>
    <row r="46" spans="1:44" hidden="1" x14ac:dyDescent="0.3">
      <c r="A46" s="42" t="str">
        <f t="shared" ref="A46" si="45">+IF(C46+C47=0,"[ocultar]","")</f>
        <v>[ocultar]</v>
      </c>
      <c r="B46" s="34" t="s">
        <v>162</v>
      </c>
      <c r="C46" s="33">
        <f t="array" ref="C46">SUM(IF($B46=DATOS_[Sexo],
IF($B45=DATOS_[AGRUP. CLAS. PROF.],
IF("Dentro"=DATOS_[Check Periodo Ref.],
1/(COUNTIFS(DATOS_[Sexo],$B46,DATOS_[AGRUP. CLAS. PROF.],$B45,DATOS_[Check Periodo Ref.],"Dentro",DATOS_[id],DATOS_[id]))))))</f>
        <v>0</v>
      </c>
      <c r="D46" s="35">
        <f>COUNTIFS(DATOS_[AGRUP. CLAS. PROF.],$B45,DATOS_[Sexo],$B46,DATOS_[Check Periodo Ref.],"Dentro")</f>
        <v>0</v>
      </c>
      <c r="E46" s="110">
        <f t="array" ref="E46">IFERROR(
MEDIAN(IF(DATOS_[Sexo]=$B46,IF(DATOS_[AGRUP. CLAS. PROF.]=$B45,IF(DATOS_[Check Periodo Ref.]="Dentro",DATOS_[SALARIO BASE Ef],FALSE)))),
0)</f>
        <v>0</v>
      </c>
      <c r="F46" s="111">
        <f t="array" ref="F46">IFERROR(
MEDIAN((IF(DATOS_[[Sexo]:[Sexo]]=$B46,IF(DATOS_[[AGRUP. CLAS. PROF.]:[AGRUP. CLAS. PROF.]]=$B45,IF(DATOS_[[Check Periodo Ref.]:[Check Periodo Ref.]]="Dentro",DATOS_[Conc.Sal.01]))))),
0)</f>
        <v>0</v>
      </c>
      <c r="G46" s="111">
        <f t="array" ref="G46">IFERROR(
MEDIAN((IF(DATOS_[[Sexo]:[Sexo]]=$B46,IF(DATOS_[[AGRUP. CLAS. PROF.]:[AGRUP. CLAS. PROF.]]=$B45,IF(DATOS_[[Check Periodo Ref.]:[Check Periodo Ref.]]="Dentro",DATOS_[Conc.Sal.02]))))),
0)</f>
        <v>0</v>
      </c>
      <c r="H46" s="111">
        <f t="array" ref="H46">IFERROR(
MEDIAN((IF(DATOS_[[Sexo]:[Sexo]]=$B46,IF(DATOS_[[AGRUP. CLAS. PROF.]:[AGRUP. CLAS. PROF.]]=$B45,IF(DATOS_[[Check Periodo Ref.]:[Check Periodo Ref.]]="Dentro",DATOS_[Conc.Sal.03]))))),
0)</f>
        <v>0</v>
      </c>
      <c r="I46" s="111">
        <f t="array" ref="I46">IFERROR(
MEDIAN((IF(DATOS_[[Sexo]:[Sexo]]=$B46,IF(DATOS_[[AGRUP. CLAS. PROF.]:[AGRUP. CLAS. PROF.]]=$B45,IF(DATOS_[[Check Periodo Ref.]:[Check Periodo Ref.]]="Dentro",DATOS_[Conc.Sal.04]))))),
0)</f>
        <v>0</v>
      </c>
      <c r="J46" s="111">
        <f t="array" ref="J46">IFERROR(
MEDIAN((IF(DATOS_[[Sexo]:[Sexo]]=$B46,IF(DATOS_[[AGRUP. CLAS. PROF.]:[AGRUP. CLAS. PROF.]]=$B45,IF(DATOS_[[Check Periodo Ref.]:[Check Periodo Ref.]]="Dentro",DATOS_[Conc.Sal.05]))))),
0)</f>
        <v>0</v>
      </c>
      <c r="K46" s="111">
        <f t="array" ref="K46">IFERROR(
MEDIAN((IF(DATOS_[[Sexo]:[Sexo]]=$B46,IF(DATOS_[[AGRUP. CLAS. PROF.]:[AGRUP. CLAS. PROF.]]=$B45,IF(DATOS_[[Check Periodo Ref.]:[Check Periodo Ref.]]="Dentro",DATOS_[Conc.Sal.06]))))),
0)</f>
        <v>0</v>
      </c>
      <c r="L46" s="111">
        <f t="array" ref="L46">IFERROR(
MEDIAN((IF(DATOS_[[Sexo]:[Sexo]]=$B46,IF(DATOS_[[AGRUP. CLAS. PROF.]:[AGRUP. CLAS. PROF.]]=$B45,IF(DATOS_[[Check Periodo Ref.]:[Check Periodo Ref.]]="Dentro",DATOS_[Conc.Sal.07]))))),
0)</f>
        <v>0</v>
      </c>
      <c r="M46" s="111">
        <f t="array" ref="M46">IFERROR(
MEDIAN((IF(DATOS_[[Sexo]:[Sexo]]=$B46,IF(DATOS_[[AGRUP. CLAS. PROF.]:[AGRUP. CLAS. PROF.]]=$B45,IF(DATOS_[[Check Periodo Ref.]:[Check Periodo Ref.]]="Dentro",DATOS_[Conc.Sal.08]))))),
0)</f>
        <v>0</v>
      </c>
      <c r="N46" s="111">
        <f t="array" ref="N46">IFERROR(
MEDIAN((IF(DATOS_[[Sexo]:[Sexo]]=$B46,IF(DATOS_[[AGRUP. CLAS. PROF.]:[AGRUP. CLAS. PROF.]]=$B45,IF(DATOS_[[Check Periodo Ref.]:[Check Periodo Ref.]]="Dentro",DATOS_[Conc.Sal.09]))))),
0)</f>
        <v>0</v>
      </c>
      <c r="O46" s="111">
        <f t="array" ref="O46">IFERROR(
MEDIAN((IF(DATOS_[[Sexo]:[Sexo]]=$B46,IF(DATOS_[[AGRUP. CLAS. PROF.]:[AGRUP. CLAS. PROF.]]=$B45,IF(DATOS_[[Check Periodo Ref.]:[Check Periodo Ref.]]="Dentro",DATOS_[Conc.Sal.10]))))),
0)</f>
        <v>0</v>
      </c>
      <c r="P46" s="111">
        <f t="array" ref="P46">IFERROR(
MEDIAN((IF(DATOS_[[Sexo]:[Sexo]]=$B46,IF(DATOS_[[AGRUP. CLAS. PROF.]:[AGRUP. CLAS. PROF.]]=$B45,IF(DATOS_[[Check Periodo Ref.]:[Check Periodo Ref.]]="Dentro",DATOS_[Conc.Sal.11]))))),
0)</f>
        <v>0</v>
      </c>
      <c r="Q46" s="111">
        <f t="array" ref="Q46">IFERROR(
MEDIAN((IF(DATOS_[[Sexo]:[Sexo]]=$B46,IF(DATOS_[[AGRUP. CLAS. PROF.]:[AGRUP. CLAS. PROF.]]=$B45,IF(DATOS_[[Check Periodo Ref.]:[Check Periodo Ref.]]="Dentro",DATOS_[Conc.Sal.12]))))),
0)</f>
        <v>0</v>
      </c>
      <c r="R46" s="111">
        <f t="array" ref="R46">IFERROR(
MEDIAN((IF(DATOS_[[Sexo]:[Sexo]]=$B46,IF(DATOS_[[AGRUP. CLAS. PROF.]:[AGRUP. CLAS. PROF.]]=$B45,IF(DATOS_[[Check Periodo Ref.]:[Check Periodo Ref.]]="Dentro",DATOS_[Conc.Sal.13]))))),
0)</f>
        <v>0</v>
      </c>
      <c r="S46" s="111">
        <f t="array" ref="S46">IFERROR(
MEDIAN((IF(DATOS_[[Sexo]:[Sexo]]=$B46,IF(DATOS_[[AGRUP. CLAS. PROF.]:[AGRUP. CLAS. PROF.]]=$B45,IF(DATOS_[[Check Periodo Ref.]:[Check Periodo Ref.]]="Dentro",DATOS_[Conc.Sal.14]))))),
0)</f>
        <v>0</v>
      </c>
      <c r="T46" s="111">
        <f t="array" ref="T46">IFERROR(
MEDIAN((IF(DATOS_[[Sexo]:[Sexo]]=$B46,IF(DATOS_[[AGRUP. CLAS. PROF.]:[AGRUP. CLAS. PROF.]]=$B45,IF(DATOS_[[Check Periodo Ref.]:[Check Periodo Ref.]]="Dentro",DATOS_[Conc.Sal.15]))))),
0)</f>
        <v>0</v>
      </c>
      <c r="U46" s="111">
        <f t="array" ref="U46">IFERROR(
MEDIAN((IF(DATOS_[[Sexo]:[Sexo]]=$B46,IF(DATOS_[[AGRUP. CLAS. PROF.]:[AGRUP. CLAS. PROF.]]=$B45,IF(DATOS_[[Check Periodo Ref.]:[Check Periodo Ref.]]="Dentro",DATOS_[Conc.Sal.16]))))),
0)</f>
        <v>0</v>
      </c>
      <c r="V46" s="111">
        <f t="array" ref="V46">IFERROR(
MEDIAN((IF(DATOS_[[Sexo]:[Sexo]]=$B46,IF(DATOS_[[AGRUP. CLAS. PROF.]:[AGRUP. CLAS. PROF.]]=$B45,IF(DATOS_[[Check Periodo Ref.]:[Check Periodo Ref.]]="Dentro",DATOS_[Conc.Sal.17]))))),
0)</f>
        <v>0</v>
      </c>
      <c r="W46" s="111">
        <f t="array" ref="W46">IFERROR(
MEDIAN((IF(DATOS_[[Sexo]:[Sexo]]=$B46,IF(DATOS_[[AGRUP. CLAS. PROF.]:[AGRUP. CLAS. PROF.]]=$B45,IF(DATOS_[[Check Periodo Ref.]:[Check Periodo Ref.]]="Dentro",DATOS_[Conc.Sal.18]))))),
0)</f>
        <v>0</v>
      </c>
      <c r="X46" s="111">
        <f t="array" ref="X46">IFERROR(
MEDIAN((IF(DATOS_[[Sexo]:[Sexo]]=$B46,IF(DATOS_[[AGRUP. CLAS. PROF.]:[AGRUP. CLAS. PROF.]]=$B45,IF(DATOS_[[Check Periodo Ref.]:[Check Periodo Ref.]]="Dentro",DATOS_[Conc.Sal.19]))))),
0)</f>
        <v>0</v>
      </c>
      <c r="Y46" s="111">
        <f t="array" ref="Y46">IFERROR(
MEDIAN((IF(DATOS_[[Sexo]:[Sexo]]=$B46,IF(DATOS_[[AGRUP. CLAS. PROF.]:[AGRUP. CLAS. PROF.]]=$B45,IF(DATOS_[[Check Periodo Ref.]:[Check Periodo Ref.]]="Dentro",DATOS_[Conc.Sal.20]))))),
0)</f>
        <v>0</v>
      </c>
      <c r="Z46" s="111">
        <f t="array" ref="Z46">IFERROR(
MEDIAN((IF(DATOS_[[Sexo]:[Sexo]]=$B46,IF(DATOS_[[AGRUP. CLAS. PROF.]:[AGRUP. CLAS. PROF.]]=$B45,IF(DATOS_[[Check Periodo Ref.]:[Check Periodo Ref.]]="Dentro",DATOS_[Conc.Sal.21]))))),
0)</f>
        <v>0</v>
      </c>
      <c r="AA46" s="111">
        <f t="array" ref="AA46">IFERROR(
MEDIAN((IF(DATOS_[[Sexo]:[Sexo]]=$B46,IF(DATOS_[[AGRUP. CLAS. PROF.]:[AGRUP. CLAS. PROF.]]=$B45,IF(DATOS_[[Check Periodo Ref.]:[Check Periodo Ref.]]="Dentro",DATOS_[Conc.Sal.22]))))),
0)</f>
        <v>0</v>
      </c>
      <c r="AB46" s="111">
        <f t="array" ref="AB46">IFERROR(
MEDIAN((IF(DATOS_[[Sexo]:[Sexo]]=$B46,IF(DATOS_[[AGRUP. CLAS. PROF.]:[AGRUP. CLAS. PROF.]]=$B45,IF(DATOS_[[Check Periodo Ref.]:[Check Periodo Ref.]]="Dentro",DATOS_[Conc.Sal.23]))))),
0)</f>
        <v>0</v>
      </c>
      <c r="AC46" s="111">
        <f t="array" ref="AC46">IFERROR(
MEDIAN((IF(DATOS_[[Sexo]:[Sexo]]=$B46,IF(DATOS_[[AGRUP. CLAS. PROF.]:[AGRUP. CLAS. PROF.]]=$B45,IF(DATOS_[[Check Periodo Ref.]:[Check Periodo Ref.]]="Dentro",DATOS_[Conc.Sal.24]))))),
0)</f>
        <v>0</v>
      </c>
      <c r="AD46" s="111">
        <f t="array" ref="AD46">IFERROR(
MEDIAN((IF(DATOS_[[Sexo]:[Sexo]]=$B46,IF(DATOS_[[AGRUP. CLAS. PROF.]:[AGRUP. CLAS. PROF.]]=$B45,IF(DATOS_[[Check Periodo Ref.]:[Check Periodo Ref.]]="Dentro",DATOS_[Conc.Sal.25]))))),
0)</f>
        <v>0</v>
      </c>
      <c r="AE46" s="111">
        <f t="array" ref="AE46">IFERROR(
MEDIAN((IF(DATOS_[[Sexo]:[Sexo]]=$B46,IF(DATOS_[[AGRUP. CLAS. PROF.]:[AGRUP. CLAS. PROF.]]=$B45,IF(DATOS_[[Check Periodo Ref.]:[Check Periodo Ref.]]="Dentro",DATOS_[Conc.Sal.26]))))),
0)</f>
        <v>0</v>
      </c>
      <c r="AF46" s="111">
        <f t="array" ref="AF46">IFERROR(
MEDIAN((IF(DATOS_[[Sexo]:[Sexo]]=$B46,IF(DATOS_[[AGRUP. CLAS. PROF.]:[AGRUP. CLAS. PROF.]]=$B45,IF(DATOS_[[Check Periodo Ref.]:[Check Periodo Ref.]]="Dentro",DATOS_[Conc.Sal.27]))))),
0)</f>
        <v>0</v>
      </c>
      <c r="AG46" s="111">
        <f t="array" ref="AG46">IFERROR(
MEDIAN((IF(DATOS_[[Sexo]:[Sexo]]=$B46,IF(DATOS_[[AGRUP. CLAS. PROF.]:[AGRUP. CLAS. PROF.]]=$B45,IF(DATOS_[[Check Periodo Ref.]:[Check Periodo Ref.]]="Dentro",DATOS_[Conc.Sal.28]))))),
0)</f>
        <v>0</v>
      </c>
      <c r="AH46" s="111">
        <f t="array" ref="AH46">IFERROR(
MEDIAN((IF(DATOS_[[Sexo]:[Sexo]]=$B46,IF(DATOS_[[AGRUP. CLAS. PROF.]:[AGRUP. CLAS. PROF.]]=$B45,IF(DATOS_[[Check Periodo Ref.]:[Check Periodo Ref.]]="Dentro",DATOS_[Conc.Sal.29]))))),
0)</f>
        <v>0</v>
      </c>
      <c r="AI46" s="111">
        <f t="array" ref="AI46">IFERROR(
MEDIAN((IF(DATOS_[[Sexo]:[Sexo]]=$B46,IF(DATOS_[[AGRUP. CLAS. PROF.]:[AGRUP. CLAS. PROF.]]=$B45,IF(DATOS_[[Check Periodo Ref.]:[Check Periodo Ref.]]="Dentro",DATOS_[Conc.Sal.30]))))),
0)</f>
        <v>0</v>
      </c>
      <c r="AJ46" s="112">
        <f t="array" ref="AJ46">IFERROR(
MEDIAN(IF(DATOS_[Sexo]=$B46,IF(DATOS_[AGRUP. CLAS. PROF.]=$B45,IF(DATOS_[Check Periodo Ref.]="Dentro",DATOS_[Tot COMPL.SAL Ef],FALSE)))),
0)</f>
        <v>0</v>
      </c>
      <c r="AK46" s="113">
        <f t="array" ref="AK46">IFERROR(
MEDIAN(IF(DATOS_[Sexo]=$B46,IF(DATOS_[AGRUP. CLAS. PROF.]=$B45,IF(DATOS_[Check Periodo Ref.]="Dentro",DATOS_[TOTAL SALARIO Ef],FALSE)))),
0)</f>
        <v>0</v>
      </c>
      <c r="AL46" s="114">
        <f t="array" ref="AL46">IFERROR(
MEDIAN((IF(DATOS_[[Sexo]:[Sexo]]=$B46,IF(DATOS_[[AGRUP. CLAS. PROF.]:[AGRUP. CLAS. PROF.]]=$B45,IF(DATOS_[[Check Periodo Ref.]:[Check Periodo Ref.]]="Dentro",DATOS_[C.Extra.01]))))),
0)</f>
        <v>0</v>
      </c>
      <c r="AM46" s="114">
        <f t="array" ref="AM46">IFERROR(
MEDIAN((IF(DATOS_[[Sexo]:[Sexo]]=$B46,IF(DATOS_[[AGRUP. CLAS. PROF.]:[AGRUP. CLAS. PROF.]]=$B45,IF(DATOS_[[Check Periodo Ref.]:[Check Periodo Ref.]]="Dentro",DATOS_[C.Extra.02]))))),
0)</f>
        <v>0</v>
      </c>
      <c r="AN46" s="114">
        <f t="array" ref="AN46">IFERROR(
MEDIAN((IF(DATOS_[[Sexo]:[Sexo]]=$B46,IF(DATOS_[[AGRUP. CLAS. PROF.]:[AGRUP. CLAS. PROF.]]=$B45,IF(DATOS_[[Check Periodo Ref.]:[Check Periodo Ref.]]="Dentro",DATOS_[C.Extra.03]))))),
0)</f>
        <v>0</v>
      </c>
      <c r="AO46" s="114">
        <f t="array" ref="AO46">IFERROR(
MEDIAN((IF(DATOS_[[Sexo]:[Sexo]]=$B46,IF(DATOS_[[AGRUP. CLAS. PROF.]:[AGRUP. CLAS. PROF.]]=$B45,IF(DATOS_[[Check Periodo Ref.]:[Check Periodo Ref.]]="Dentro",DATOS_[C.Extra.04]))))),
0)</f>
        <v>0</v>
      </c>
      <c r="AP46" s="114">
        <f t="array" ref="AP46">IFERROR(
MEDIAN((IF(DATOS_[[Sexo]:[Sexo]]=$B46,IF(DATOS_[[AGRUP. CLAS. PROF.]:[AGRUP. CLAS. PROF.]]=$B45,IF(DATOS_[[Check Periodo Ref.]:[Check Periodo Ref.]]="Dentro",DATOS_[C.Extra.05]))))),
0)</f>
        <v>0</v>
      </c>
      <c r="AQ46" s="115">
        <f t="array" ref="AQ46">IFERROR(
MEDIAN(IF(DATOS_[Sexo]=$B46,IF(DATOS_[AGRUP. CLAS. PROF.]=$B45,IF(DATOS_[Check Periodo Ref.]="Dentro",DATOS_[Tot Extrasalarial Ef],FALSE)))),
0)</f>
        <v>0</v>
      </c>
      <c r="AR46" s="116">
        <f t="array" ref="AR46">IFERROR(
MEDIAN(IF(DATOS_[Sexo]=$B46,IF(DATOS_[AGRUP. CLAS. PROF.]=$B45,IF(DATOS_[Check Periodo Ref.]="Dentro",DATOS_[TOTAL Retrib Ef],FALSE)))),
0)</f>
        <v>0</v>
      </c>
    </row>
    <row r="47" spans="1:44" hidden="1" x14ac:dyDescent="0.3">
      <c r="A47" s="42" t="str">
        <f t="shared" ref="A47" si="46">+A46</f>
        <v>[ocultar]</v>
      </c>
      <c r="B47" s="34" t="s">
        <v>163</v>
      </c>
      <c r="C47" s="33">
        <f t="array" ref="C47">SUM(IF($B47=DATOS_[Sexo],
IF($B45=DATOS_[AGRUP. CLAS. PROF.],
IF("Dentro"=DATOS_[Check Periodo Ref.],
1/(COUNTIFS(DATOS_[Sexo],$B47,DATOS_[AGRUP. CLAS. PROF.],$B45,DATOS_[Check Periodo Ref.],"Dentro",DATOS_[id],DATOS_[id]))))))</f>
        <v>0</v>
      </c>
      <c r="D47" s="35">
        <f>COUNTIFS(DATOS_[AGRUP. CLAS. PROF.],$B45,DATOS_[Sexo],$B47,DATOS_[Check Periodo Ref.],"Dentro")</f>
        <v>0</v>
      </c>
      <c r="E47" s="110">
        <f t="array" ref="E47">IFERROR(
MEDIAN(IF(DATOS_[Sexo]=$B47,IF(DATOS_[AGRUP. CLAS. PROF.]=$B45,IF(DATOS_[Check Periodo Ref.]="Dentro",DATOS_[SALARIO BASE Ef],FALSE)))),
0)</f>
        <v>0</v>
      </c>
      <c r="F47" s="111">
        <f t="array" ref="F47">IFERROR(
MEDIAN((IF(DATOS_[[Sexo]:[Sexo]]=$B47,IF(DATOS_[[AGRUP. CLAS. PROF.]:[AGRUP. CLAS. PROF.]]=$B45,IF(DATOS_[[Check Periodo Ref.]:[Check Periodo Ref.]]="Dentro",DATOS_[Conc.Sal.01]))))),
0)</f>
        <v>0</v>
      </c>
      <c r="G47" s="111">
        <f t="array" ref="G47">IFERROR(
MEDIAN((IF(DATOS_[[Sexo]:[Sexo]]=$B47,IF(DATOS_[[AGRUP. CLAS. PROF.]:[AGRUP. CLAS. PROF.]]=$B45,IF(DATOS_[[Check Periodo Ref.]:[Check Periodo Ref.]]="Dentro",DATOS_[Conc.Sal.02]))))),
0)</f>
        <v>0</v>
      </c>
      <c r="H47" s="111">
        <f t="array" ref="H47">IFERROR(
MEDIAN((IF(DATOS_[[Sexo]:[Sexo]]=$B47,IF(DATOS_[[AGRUP. CLAS. PROF.]:[AGRUP. CLAS. PROF.]]=$B45,IF(DATOS_[[Check Periodo Ref.]:[Check Periodo Ref.]]="Dentro",DATOS_[Conc.Sal.03]))))),
0)</f>
        <v>0</v>
      </c>
      <c r="I47" s="111">
        <f t="array" ref="I47">IFERROR(
MEDIAN((IF(DATOS_[[Sexo]:[Sexo]]=$B47,IF(DATOS_[[AGRUP. CLAS. PROF.]:[AGRUP. CLAS. PROF.]]=$B45,IF(DATOS_[[Check Periodo Ref.]:[Check Periodo Ref.]]="Dentro",DATOS_[Conc.Sal.04]))))),
0)</f>
        <v>0</v>
      </c>
      <c r="J47" s="111">
        <f t="array" ref="J47">IFERROR(
MEDIAN((IF(DATOS_[[Sexo]:[Sexo]]=$B47,IF(DATOS_[[AGRUP. CLAS. PROF.]:[AGRUP. CLAS. PROF.]]=$B45,IF(DATOS_[[Check Periodo Ref.]:[Check Periodo Ref.]]="Dentro",DATOS_[Conc.Sal.05]))))),
0)</f>
        <v>0</v>
      </c>
      <c r="K47" s="111">
        <f t="array" ref="K47">IFERROR(
MEDIAN((IF(DATOS_[[Sexo]:[Sexo]]=$B47,IF(DATOS_[[AGRUP. CLAS. PROF.]:[AGRUP. CLAS. PROF.]]=$B45,IF(DATOS_[[Check Periodo Ref.]:[Check Periodo Ref.]]="Dentro",DATOS_[Conc.Sal.06]))))),
0)</f>
        <v>0</v>
      </c>
      <c r="L47" s="111">
        <f t="array" ref="L47">IFERROR(
MEDIAN((IF(DATOS_[[Sexo]:[Sexo]]=$B47,IF(DATOS_[[AGRUP. CLAS. PROF.]:[AGRUP. CLAS. PROF.]]=$B45,IF(DATOS_[[Check Periodo Ref.]:[Check Periodo Ref.]]="Dentro",DATOS_[Conc.Sal.07]))))),
0)</f>
        <v>0</v>
      </c>
      <c r="M47" s="111">
        <f t="array" ref="M47">IFERROR(
MEDIAN((IF(DATOS_[[Sexo]:[Sexo]]=$B47,IF(DATOS_[[AGRUP. CLAS. PROF.]:[AGRUP. CLAS. PROF.]]=$B45,IF(DATOS_[[Check Periodo Ref.]:[Check Periodo Ref.]]="Dentro",DATOS_[Conc.Sal.08]))))),
0)</f>
        <v>0</v>
      </c>
      <c r="N47" s="111">
        <f t="array" ref="N47">IFERROR(
MEDIAN((IF(DATOS_[[Sexo]:[Sexo]]=$B47,IF(DATOS_[[AGRUP. CLAS. PROF.]:[AGRUP. CLAS. PROF.]]=$B45,IF(DATOS_[[Check Periodo Ref.]:[Check Periodo Ref.]]="Dentro",DATOS_[Conc.Sal.09]))))),
0)</f>
        <v>0</v>
      </c>
      <c r="O47" s="111">
        <f t="array" ref="O47">IFERROR(
MEDIAN((IF(DATOS_[[Sexo]:[Sexo]]=$B47,IF(DATOS_[[AGRUP. CLAS. PROF.]:[AGRUP. CLAS. PROF.]]=$B45,IF(DATOS_[[Check Periodo Ref.]:[Check Periodo Ref.]]="Dentro",DATOS_[Conc.Sal.10]))))),
0)</f>
        <v>0</v>
      </c>
      <c r="P47" s="111">
        <f t="array" ref="P47">IFERROR(
MEDIAN((IF(DATOS_[[Sexo]:[Sexo]]=$B47,IF(DATOS_[[AGRUP. CLAS. PROF.]:[AGRUP. CLAS. PROF.]]=$B45,IF(DATOS_[[Check Periodo Ref.]:[Check Periodo Ref.]]="Dentro",DATOS_[Conc.Sal.11]))))),
0)</f>
        <v>0</v>
      </c>
      <c r="Q47" s="111">
        <f t="array" ref="Q47">IFERROR(
MEDIAN((IF(DATOS_[[Sexo]:[Sexo]]=$B47,IF(DATOS_[[AGRUP. CLAS. PROF.]:[AGRUP. CLAS. PROF.]]=$B45,IF(DATOS_[[Check Periodo Ref.]:[Check Periodo Ref.]]="Dentro",DATOS_[Conc.Sal.12]))))),
0)</f>
        <v>0</v>
      </c>
      <c r="R47" s="111">
        <f t="array" ref="R47">IFERROR(
MEDIAN((IF(DATOS_[[Sexo]:[Sexo]]=$B47,IF(DATOS_[[AGRUP. CLAS. PROF.]:[AGRUP. CLAS. PROF.]]=$B45,IF(DATOS_[[Check Periodo Ref.]:[Check Periodo Ref.]]="Dentro",DATOS_[Conc.Sal.13]))))),
0)</f>
        <v>0</v>
      </c>
      <c r="S47" s="111">
        <f t="array" ref="S47">IFERROR(
MEDIAN((IF(DATOS_[[Sexo]:[Sexo]]=$B47,IF(DATOS_[[AGRUP. CLAS. PROF.]:[AGRUP. CLAS. PROF.]]=$B45,IF(DATOS_[[Check Periodo Ref.]:[Check Periodo Ref.]]="Dentro",DATOS_[Conc.Sal.14]))))),
0)</f>
        <v>0</v>
      </c>
      <c r="T47" s="111">
        <f t="array" ref="T47">IFERROR(
MEDIAN((IF(DATOS_[[Sexo]:[Sexo]]=$B47,IF(DATOS_[[AGRUP. CLAS. PROF.]:[AGRUP. CLAS. PROF.]]=$B45,IF(DATOS_[[Check Periodo Ref.]:[Check Periodo Ref.]]="Dentro",DATOS_[Conc.Sal.15]))))),
0)</f>
        <v>0</v>
      </c>
      <c r="U47" s="111">
        <f t="array" ref="U47">IFERROR(
MEDIAN((IF(DATOS_[[Sexo]:[Sexo]]=$B47,IF(DATOS_[[AGRUP. CLAS. PROF.]:[AGRUP. CLAS. PROF.]]=$B45,IF(DATOS_[[Check Periodo Ref.]:[Check Periodo Ref.]]="Dentro",DATOS_[Conc.Sal.16]))))),
0)</f>
        <v>0</v>
      </c>
      <c r="V47" s="111">
        <f t="array" ref="V47">IFERROR(
MEDIAN((IF(DATOS_[[Sexo]:[Sexo]]=$B47,IF(DATOS_[[AGRUP. CLAS. PROF.]:[AGRUP. CLAS. PROF.]]=$B45,IF(DATOS_[[Check Periodo Ref.]:[Check Periodo Ref.]]="Dentro",DATOS_[Conc.Sal.17]))))),
0)</f>
        <v>0</v>
      </c>
      <c r="W47" s="111">
        <f t="array" ref="W47">IFERROR(
MEDIAN((IF(DATOS_[[Sexo]:[Sexo]]=$B47,IF(DATOS_[[AGRUP. CLAS. PROF.]:[AGRUP. CLAS. PROF.]]=$B45,IF(DATOS_[[Check Periodo Ref.]:[Check Periodo Ref.]]="Dentro",DATOS_[Conc.Sal.18]))))),
0)</f>
        <v>0</v>
      </c>
      <c r="X47" s="111">
        <f t="array" ref="X47">IFERROR(
MEDIAN((IF(DATOS_[[Sexo]:[Sexo]]=$B47,IF(DATOS_[[AGRUP. CLAS. PROF.]:[AGRUP. CLAS. PROF.]]=$B45,IF(DATOS_[[Check Periodo Ref.]:[Check Periodo Ref.]]="Dentro",DATOS_[Conc.Sal.19]))))),
0)</f>
        <v>0</v>
      </c>
      <c r="Y47" s="111">
        <f t="array" ref="Y47">IFERROR(
MEDIAN((IF(DATOS_[[Sexo]:[Sexo]]=$B47,IF(DATOS_[[AGRUP. CLAS. PROF.]:[AGRUP. CLAS. PROF.]]=$B45,IF(DATOS_[[Check Periodo Ref.]:[Check Periodo Ref.]]="Dentro",DATOS_[Conc.Sal.20]))))),
0)</f>
        <v>0</v>
      </c>
      <c r="Z47" s="111">
        <f t="array" ref="Z47">IFERROR(
MEDIAN((IF(DATOS_[[Sexo]:[Sexo]]=$B47,IF(DATOS_[[AGRUP. CLAS. PROF.]:[AGRUP. CLAS. PROF.]]=$B45,IF(DATOS_[[Check Periodo Ref.]:[Check Periodo Ref.]]="Dentro",DATOS_[Conc.Sal.21]))))),
0)</f>
        <v>0</v>
      </c>
      <c r="AA47" s="111">
        <f t="array" ref="AA47">IFERROR(
MEDIAN((IF(DATOS_[[Sexo]:[Sexo]]=$B47,IF(DATOS_[[AGRUP. CLAS. PROF.]:[AGRUP. CLAS. PROF.]]=$B45,IF(DATOS_[[Check Periodo Ref.]:[Check Periodo Ref.]]="Dentro",DATOS_[Conc.Sal.22]))))),
0)</f>
        <v>0</v>
      </c>
      <c r="AB47" s="111">
        <f t="array" ref="AB47">IFERROR(
MEDIAN((IF(DATOS_[[Sexo]:[Sexo]]=$B47,IF(DATOS_[[AGRUP. CLAS. PROF.]:[AGRUP. CLAS. PROF.]]=$B45,IF(DATOS_[[Check Periodo Ref.]:[Check Periodo Ref.]]="Dentro",DATOS_[Conc.Sal.23]))))),
0)</f>
        <v>0</v>
      </c>
      <c r="AC47" s="111">
        <f t="array" ref="AC47">IFERROR(
MEDIAN((IF(DATOS_[[Sexo]:[Sexo]]=$B47,IF(DATOS_[[AGRUP. CLAS. PROF.]:[AGRUP. CLAS. PROF.]]=$B45,IF(DATOS_[[Check Periodo Ref.]:[Check Periodo Ref.]]="Dentro",DATOS_[Conc.Sal.24]))))),
0)</f>
        <v>0</v>
      </c>
      <c r="AD47" s="111">
        <f t="array" ref="AD47">IFERROR(
MEDIAN((IF(DATOS_[[Sexo]:[Sexo]]=$B47,IF(DATOS_[[AGRUP. CLAS. PROF.]:[AGRUP. CLAS. PROF.]]=$B45,IF(DATOS_[[Check Periodo Ref.]:[Check Periodo Ref.]]="Dentro",DATOS_[Conc.Sal.25]))))),
0)</f>
        <v>0</v>
      </c>
      <c r="AE47" s="111">
        <f t="array" ref="AE47">IFERROR(
MEDIAN((IF(DATOS_[[Sexo]:[Sexo]]=$B47,IF(DATOS_[[AGRUP. CLAS. PROF.]:[AGRUP. CLAS. PROF.]]=$B45,IF(DATOS_[[Check Periodo Ref.]:[Check Periodo Ref.]]="Dentro",DATOS_[Conc.Sal.26]))))),
0)</f>
        <v>0</v>
      </c>
      <c r="AF47" s="111">
        <f t="array" ref="AF47">IFERROR(
MEDIAN((IF(DATOS_[[Sexo]:[Sexo]]=$B47,IF(DATOS_[[AGRUP. CLAS. PROF.]:[AGRUP. CLAS. PROF.]]=$B45,IF(DATOS_[[Check Periodo Ref.]:[Check Periodo Ref.]]="Dentro",DATOS_[Conc.Sal.27]))))),
0)</f>
        <v>0</v>
      </c>
      <c r="AG47" s="111">
        <f t="array" ref="AG47">IFERROR(
MEDIAN((IF(DATOS_[[Sexo]:[Sexo]]=$B47,IF(DATOS_[[AGRUP. CLAS. PROF.]:[AGRUP. CLAS. PROF.]]=$B45,IF(DATOS_[[Check Periodo Ref.]:[Check Periodo Ref.]]="Dentro",DATOS_[Conc.Sal.28]))))),
0)</f>
        <v>0</v>
      </c>
      <c r="AH47" s="111">
        <f t="array" ref="AH47">IFERROR(
MEDIAN((IF(DATOS_[[Sexo]:[Sexo]]=$B47,IF(DATOS_[[AGRUP. CLAS. PROF.]:[AGRUP. CLAS. PROF.]]=$B45,IF(DATOS_[[Check Periodo Ref.]:[Check Periodo Ref.]]="Dentro",DATOS_[Conc.Sal.29]))))),
0)</f>
        <v>0</v>
      </c>
      <c r="AI47" s="111">
        <f t="array" ref="AI47">IFERROR(
MEDIAN((IF(DATOS_[[Sexo]:[Sexo]]=$B47,IF(DATOS_[[AGRUP. CLAS. PROF.]:[AGRUP. CLAS. PROF.]]=$B45,IF(DATOS_[[Check Periodo Ref.]:[Check Periodo Ref.]]="Dentro",DATOS_[Conc.Sal.30]))))),
0)</f>
        <v>0</v>
      </c>
      <c r="AJ47" s="112">
        <f t="array" ref="AJ47">IFERROR(
MEDIAN(IF(DATOS_[Sexo]=$B47,IF(DATOS_[AGRUP. CLAS. PROF.]=$B45,IF(DATOS_[Check Periodo Ref.]="Dentro",DATOS_[Tot COMPL.SAL Ef],FALSE)))),
0)</f>
        <v>0</v>
      </c>
      <c r="AK47" s="113">
        <f t="array" ref="AK47">IFERROR(
MEDIAN(IF(DATOS_[Sexo]=$B47,IF(DATOS_[AGRUP. CLAS. PROF.]=$B45,IF(DATOS_[Check Periodo Ref.]="Dentro",DATOS_[TOTAL SALARIO Ef],FALSE)))),
0)</f>
        <v>0</v>
      </c>
      <c r="AL47" s="114">
        <f t="array" ref="AL47">IFERROR(
MEDIAN((IF(DATOS_[[Sexo]:[Sexo]]=$B47,IF(DATOS_[[AGRUP. CLAS. PROF.]:[AGRUP. CLAS. PROF.]]=$B45,IF(DATOS_[[Check Periodo Ref.]:[Check Periodo Ref.]]="Dentro",DATOS_[C.Extra.01]))))),
0)</f>
        <v>0</v>
      </c>
      <c r="AM47" s="114">
        <f t="array" ref="AM47">IFERROR(
MEDIAN((IF(DATOS_[[Sexo]:[Sexo]]=$B47,IF(DATOS_[[AGRUP. CLAS. PROF.]:[AGRUP. CLAS. PROF.]]=$B45,IF(DATOS_[[Check Periodo Ref.]:[Check Periodo Ref.]]="Dentro",DATOS_[C.Extra.02]))))),
0)</f>
        <v>0</v>
      </c>
      <c r="AN47" s="114">
        <f t="array" ref="AN47">IFERROR(
MEDIAN((IF(DATOS_[[Sexo]:[Sexo]]=$B47,IF(DATOS_[[AGRUP. CLAS. PROF.]:[AGRUP. CLAS. PROF.]]=$B45,IF(DATOS_[[Check Periodo Ref.]:[Check Periodo Ref.]]="Dentro",DATOS_[C.Extra.03]))))),
0)</f>
        <v>0</v>
      </c>
      <c r="AO47" s="114">
        <f t="array" ref="AO47">IFERROR(
MEDIAN((IF(DATOS_[[Sexo]:[Sexo]]=$B47,IF(DATOS_[[AGRUP. CLAS. PROF.]:[AGRUP. CLAS. PROF.]]=$B45,IF(DATOS_[[Check Periodo Ref.]:[Check Periodo Ref.]]="Dentro",DATOS_[C.Extra.04]))))),
0)</f>
        <v>0</v>
      </c>
      <c r="AP47" s="114">
        <f t="array" ref="AP47">IFERROR(
MEDIAN((IF(DATOS_[[Sexo]:[Sexo]]=$B47,IF(DATOS_[[AGRUP. CLAS. PROF.]:[AGRUP. CLAS. PROF.]]=$B45,IF(DATOS_[[Check Periodo Ref.]:[Check Periodo Ref.]]="Dentro",DATOS_[C.Extra.05]))))),
0)</f>
        <v>0</v>
      </c>
      <c r="AQ47" s="115">
        <f t="array" ref="AQ47">IFERROR(
MEDIAN(IF(DATOS_[Sexo]=$B47,IF(DATOS_[AGRUP. CLAS. PROF.]=$B45,IF(DATOS_[Check Periodo Ref.]="Dentro",DATOS_[Tot Extrasalarial Ef],FALSE)))),
0)</f>
        <v>0</v>
      </c>
      <c r="AR47" s="116">
        <f t="array" ref="AR47">IFERROR(
MEDIAN(IF(DATOS_[Sexo]=$B47,IF(DATOS_[AGRUP. CLAS. PROF.]=$B45,IF(DATOS_[Check Periodo Ref.]="Dentro",DATOS_[TOTAL Retrib Ef],FALSE)))),
0)</f>
        <v>0</v>
      </c>
    </row>
    <row r="48" spans="1:44" ht="17.25" hidden="1" thickBot="1" x14ac:dyDescent="0.35">
      <c r="A48" s="42" t="str">
        <f t="shared" ref="A48" si="47">+A49</f>
        <v>[ocultar]</v>
      </c>
      <c r="B48" s="40" t="s">
        <v>228</v>
      </c>
      <c r="C48" s="109"/>
      <c r="D48" s="41"/>
      <c r="E48" s="119" t="str">
        <f t="shared" ref="E48:AR48" si="48">IFERROR((E49-E50)/E49,"")</f>
        <v/>
      </c>
      <c r="F48" s="123" t="str">
        <f t="shared" si="48"/>
        <v/>
      </c>
      <c r="G48" s="123" t="str">
        <f t="shared" si="48"/>
        <v/>
      </c>
      <c r="H48" s="123" t="str">
        <f t="shared" si="48"/>
        <v/>
      </c>
      <c r="I48" s="123" t="str">
        <f t="shared" si="48"/>
        <v/>
      </c>
      <c r="J48" s="123" t="str">
        <f t="shared" si="48"/>
        <v/>
      </c>
      <c r="K48" s="123" t="str">
        <f t="shared" si="48"/>
        <v/>
      </c>
      <c r="L48" s="123" t="str">
        <f t="shared" si="48"/>
        <v/>
      </c>
      <c r="M48" s="123" t="str">
        <f t="shared" si="48"/>
        <v/>
      </c>
      <c r="N48" s="123" t="str">
        <f t="shared" si="48"/>
        <v/>
      </c>
      <c r="O48" s="123" t="str">
        <f t="shared" si="48"/>
        <v/>
      </c>
      <c r="P48" s="123" t="str">
        <f t="shared" si="48"/>
        <v/>
      </c>
      <c r="Q48" s="123" t="str">
        <f t="shared" si="48"/>
        <v/>
      </c>
      <c r="R48" s="123" t="str">
        <f t="shared" si="48"/>
        <v/>
      </c>
      <c r="S48" s="123" t="str">
        <f t="shared" si="48"/>
        <v/>
      </c>
      <c r="T48" s="123" t="str">
        <f t="shared" si="48"/>
        <v/>
      </c>
      <c r="U48" s="123" t="str">
        <f t="shared" si="48"/>
        <v/>
      </c>
      <c r="V48" s="122" t="str">
        <f t="shared" si="48"/>
        <v/>
      </c>
      <c r="W48" s="122" t="str">
        <f t="shared" si="48"/>
        <v/>
      </c>
      <c r="X48" s="122" t="str">
        <f t="shared" si="48"/>
        <v/>
      </c>
      <c r="Y48" s="122" t="str">
        <f t="shared" si="48"/>
        <v/>
      </c>
      <c r="Z48" s="122" t="str">
        <f t="shared" si="48"/>
        <v/>
      </c>
      <c r="AA48" s="122" t="str">
        <f t="shared" si="48"/>
        <v/>
      </c>
      <c r="AB48" s="122" t="str">
        <f t="shared" si="48"/>
        <v/>
      </c>
      <c r="AC48" s="122" t="str">
        <f t="shared" si="48"/>
        <v/>
      </c>
      <c r="AD48" s="122" t="str">
        <f t="shared" si="48"/>
        <v/>
      </c>
      <c r="AE48" s="122" t="str">
        <f t="shared" si="48"/>
        <v/>
      </c>
      <c r="AF48" s="122" t="str">
        <f t="shared" si="48"/>
        <v/>
      </c>
      <c r="AG48" s="122" t="str">
        <f t="shared" si="48"/>
        <v/>
      </c>
      <c r="AH48" s="122" t="str">
        <f t="shared" si="48"/>
        <v/>
      </c>
      <c r="AI48" s="122" t="str">
        <f t="shared" si="48"/>
        <v/>
      </c>
      <c r="AJ48" s="124" t="str">
        <f t="shared" si="48"/>
        <v/>
      </c>
      <c r="AK48" s="128" t="str">
        <f t="shared" si="48"/>
        <v/>
      </c>
      <c r="AL48" s="125" t="str">
        <f t="shared" si="48"/>
        <v/>
      </c>
      <c r="AM48" s="125" t="str">
        <f t="shared" si="48"/>
        <v/>
      </c>
      <c r="AN48" s="125" t="str">
        <f t="shared" si="48"/>
        <v/>
      </c>
      <c r="AO48" s="125" t="str">
        <f t="shared" si="48"/>
        <v/>
      </c>
      <c r="AP48" s="125" t="str">
        <f t="shared" si="48"/>
        <v/>
      </c>
      <c r="AQ48" s="126" t="str">
        <f t="shared" si="48"/>
        <v/>
      </c>
      <c r="AR48" s="127" t="str">
        <f t="shared" si="48"/>
        <v/>
      </c>
    </row>
    <row r="49" spans="1:44" hidden="1" x14ac:dyDescent="0.3">
      <c r="A49" s="42" t="str">
        <f t="shared" ref="A49" si="49">+IF(C49+C50=0,"[ocultar]","")</f>
        <v>[ocultar]</v>
      </c>
      <c r="B49" s="34" t="s">
        <v>162</v>
      </c>
      <c r="C49" s="33">
        <f t="array" ref="C49">SUM(IF($B49=DATOS_[Sexo],
IF($B48=DATOS_[AGRUP. CLAS. PROF.],
IF("Dentro"=DATOS_[Check Periodo Ref.],
1/(COUNTIFS(DATOS_[Sexo],$B49,DATOS_[AGRUP. CLAS. PROF.],$B48,DATOS_[Check Periodo Ref.],"Dentro",DATOS_[id],DATOS_[id]))))))</f>
        <v>0</v>
      </c>
      <c r="D49" s="35">
        <f>COUNTIFS(DATOS_[AGRUP. CLAS. PROF.],$B48,DATOS_[Sexo],$B49,DATOS_[Check Periodo Ref.],"Dentro")</f>
        <v>0</v>
      </c>
      <c r="E49" s="110">
        <f t="array" ref="E49">IFERROR(
MEDIAN(IF(DATOS_[Sexo]=$B49,IF(DATOS_[AGRUP. CLAS. PROF.]=$B48,IF(DATOS_[Check Periodo Ref.]="Dentro",DATOS_[SALARIO BASE Ef],FALSE)))),
0)</f>
        <v>0</v>
      </c>
      <c r="F49" s="111">
        <f t="array" ref="F49">IFERROR(
MEDIAN((IF(DATOS_[[Sexo]:[Sexo]]=$B49,IF(DATOS_[[AGRUP. CLAS. PROF.]:[AGRUP. CLAS. PROF.]]=$B48,IF(DATOS_[[Check Periodo Ref.]:[Check Periodo Ref.]]="Dentro",DATOS_[Conc.Sal.01]))))),
0)</f>
        <v>0</v>
      </c>
      <c r="G49" s="111">
        <f t="array" ref="G49">IFERROR(
MEDIAN((IF(DATOS_[[Sexo]:[Sexo]]=$B49,IF(DATOS_[[AGRUP. CLAS. PROF.]:[AGRUP. CLAS. PROF.]]=$B48,IF(DATOS_[[Check Periodo Ref.]:[Check Periodo Ref.]]="Dentro",DATOS_[Conc.Sal.02]))))),
0)</f>
        <v>0</v>
      </c>
      <c r="H49" s="111">
        <f t="array" ref="H49">IFERROR(
MEDIAN((IF(DATOS_[[Sexo]:[Sexo]]=$B49,IF(DATOS_[[AGRUP. CLAS. PROF.]:[AGRUP. CLAS. PROF.]]=$B48,IF(DATOS_[[Check Periodo Ref.]:[Check Periodo Ref.]]="Dentro",DATOS_[Conc.Sal.03]))))),
0)</f>
        <v>0</v>
      </c>
      <c r="I49" s="111">
        <f t="array" ref="I49">IFERROR(
MEDIAN((IF(DATOS_[[Sexo]:[Sexo]]=$B49,IF(DATOS_[[AGRUP. CLAS. PROF.]:[AGRUP. CLAS. PROF.]]=$B48,IF(DATOS_[[Check Periodo Ref.]:[Check Periodo Ref.]]="Dentro",DATOS_[Conc.Sal.04]))))),
0)</f>
        <v>0</v>
      </c>
      <c r="J49" s="111">
        <f t="array" ref="J49">IFERROR(
MEDIAN((IF(DATOS_[[Sexo]:[Sexo]]=$B49,IF(DATOS_[[AGRUP. CLAS. PROF.]:[AGRUP. CLAS. PROF.]]=$B48,IF(DATOS_[[Check Periodo Ref.]:[Check Periodo Ref.]]="Dentro",DATOS_[Conc.Sal.05]))))),
0)</f>
        <v>0</v>
      </c>
      <c r="K49" s="111">
        <f t="array" ref="K49">IFERROR(
MEDIAN((IF(DATOS_[[Sexo]:[Sexo]]=$B49,IF(DATOS_[[AGRUP. CLAS. PROF.]:[AGRUP. CLAS. PROF.]]=$B48,IF(DATOS_[[Check Periodo Ref.]:[Check Periodo Ref.]]="Dentro",DATOS_[Conc.Sal.06]))))),
0)</f>
        <v>0</v>
      </c>
      <c r="L49" s="111">
        <f t="array" ref="L49">IFERROR(
MEDIAN((IF(DATOS_[[Sexo]:[Sexo]]=$B49,IF(DATOS_[[AGRUP. CLAS. PROF.]:[AGRUP. CLAS. PROF.]]=$B48,IF(DATOS_[[Check Periodo Ref.]:[Check Periodo Ref.]]="Dentro",DATOS_[Conc.Sal.07]))))),
0)</f>
        <v>0</v>
      </c>
      <c r="M49" s="111">
        <f t="array" ref="M49">IFERROR(
MEDIAN((IF(DATOS_[[Sexo]:[Sexo]]=$B49,IF(DATOS_[[AGRUP. CLAS. PROF.]:[AGRUP. CLAS. PROF.]]=$B48,IF(DATOS_[[Check Periodo Ref.]:[Check Periodo Ref.]]="Dentro",DATOS_[Conc.Sal.08]))))),
0)</f>
        <v>0</v>
      </c>
      <c r="N49" s="111">
        <f t="array" ref="N49">IFERROR(
MEDIAN((IF(DATOS_[[Sexo]:[Sexo]]=$B49,IF(DATOS_[[AGRUP. CLAS. PROF.]:[AGRUP. CLAS. PROF.]]=$B48,IF(DATOS_[[Check Periodo Ref.]:[Check Periodo Ref.]]="Dentro",DATOS_[Conc.Sal.09]))))),
0)</f>
        <v>0</v>
      </c>
      <c r="O49" s="111">
        <f t="array" ref="O49">IFERROR(
MEDIAN((IF(DATOS_[[Sexo]:[Sexo]]=$B49,IF(DATOS_[[AGRUP. CLAS. PROF.]:[AGRUP. CLAS. PROF.]]=$B48,IF(DATOS_[[Check Periodo Ref.]:[Check Periodo Ref.]]="Dentro",DATOS_[Conc.Sal.10]))))),
0)</f>
        <v>0</v>
      </c>
      <c r="P49" s="111">
        <f t="array" ref="P49">IFERROR(
MEDIAN((IF(DATOS_[[Sexo]:[Sexo]]=$B49,IF(DATOS_[[AGRUP. CLAS. PROF.]:[AGRUP. CLAS. PROF.]]=$B48,IF(DATOS_[[Check Periodo Ref.]:[Check Periodo Ref.]]="Dentro",DATOS_[Conc.Sal.11]))))),
0)</f>
        <v>0</v>
      </c>
      <c r="Q49" s="111">
        <f t="array" ref="Q49">IFERROR(
MEDIAN((IF(DATOS_[[Sexo]:[Sexo]]=$B49,IF(DATOS_[[AGRUP. CLAS. PROF.]:[AGRUP. CLAS. PROF.]]=$B48,IF(DATOS_[[Check Periodo Ref.]:[Check Periodo Ref.]]="Dentro",DATOS_[Conc.Sal.12]))))),
0)</f>
        <v>0</v>
      </c>
      <c r="R49" s="111">
        <f t="array" ref="R49">IFERROR(
MEDIAN((IF(DATOS_[[Sexo]:[Sexo]]=$B49,IF(DATOS_[[AGRUP. CLAS. PROF.]:[AGRUP. CLAS. PROF.]]=$B48,IF(DATOS_[[Check Periodo Ref.]:[Check Periodo Ref.]]="Dentro",DATOS_[Conc.Sal.13]))))),
0)</f>
        <v>0</v>
      </c>
      <c r="S49" s="111">
        <f t="array" ref="S49">IFERROR(
MEDIAN((IF(DATOS_[[Sexo]:[Sexo]]=$B49,IF(DATOS_[[AGRUP. CLAS. PROF.]:[AGRUP. CLAS. PROF.]]=$B48,IF(DATOS_[[Check Periodo Ref.]:[Check Periodo Ref.]]="Dentro",DATOS_[Conc.Sal.14]))))),
0)</f>
        <v>0</v>
      </c>
      <c r="T49" s="111">
        <f t="array" ref="T49">IFERROR(
MEDIAN((IF(DATOS_[[Sexo]:[Sexo]]=$B49,IF(DATOS_[[AGRUP. CLAS. PROF.]:[AGRUP. CLAS. PROF.]]=$B48,IF(DATOS_[[Check Periodo Ref.]:[Check Periodo Ref.]]="Dentro",DATOS_[Conc.Sal.15]))))),
0)</f>
        <v>0</v>
      </c>
      <c r="U49" s="111">
        <f t="array" ref="U49">IFERROR(
MEDIAN((IF(DATOS_[[Sexo]:[Sexo]]=$B49,IF(DATOS_[[AGRUP. CLAS. PROF.]:[AGRUP. CLAS. PROF.]]=$B48,IF(DATOS_[[Check Periodo Ref.]:[Check Periodo Ref.]]="Dentro",DATOS_[Conc.Sal.16]))))),
0)</f>
        <v>0</v>
      </c>
      <c r="V49" s="111">
        <f t="array" ref="V49">IFERROR(
MEDIAN((IF(DATOS_[[Sexo]:[Sexo]]=$B49,IF(DATOS_[[AGRUP. CLAS. PROF.]:[AGRUP. CLAS. PROF.]]=$B48,IF(DATOS_[[Check Periodo Ref.]:[Check Periodo Ref.]]="Dentro",DATOS_[Conc.Sal.17]))))),
0)</f>
        <v>0</v>
      </c>
      <c r="W49" s="111">
        <f t="array" ref="W49">IFERROR(
MEDIAN((IF(DATOS_[[Sexo]:[Sexo]]=$B49,IF(DATOS_[[AGRUP. CLAS. PROF.]:[AGRUP. CLAS. PROF.]]=$B48,IF(DATOS_[[Check Periodo Ref.]:[Check Periodo Ref.]]="Dentro",DATOS_[Conc.Sal.18]))))),
0)</f>
        <v>0</v>
      </c>
      <c r="X49" s="111">
        <f t="array" ref="X49">IFERROR(
MEDIAN((IF(DATOS_[[Sexo]:[Sexo]]=$B49,IF(DATOS_[[AGRUP. CLAS. PROF.]:[AGRUP. CLAS. PROF.]]=$B48,IF(DATOS_[[Check Periodo Ref.]:[Check Periodo Ref.]]="Dentro",DATOS_[Conc.Sal.19]))))),
0)</f>
        <v>0</v>
      </c>
      <c r="Y49" s="111">
        <f t="array" ref="Y49">IFERROR(
MEDIAN((IF(DATOS_[[Sexo]:[Sexo]]=$B49,IF(DATOS_[[AGRUP. CLAS. PROF.]:[AGRUP. CLAS. PROF.]]=$B48,IF(DATOS_[[Check Periodo Ref.]:[Check Periodo Ref.]]="Dentro",DATOS_[Conc.Sal.20]))))),
0)</f>
        <v>0</v>
      </c>
      <c r="Z49" s="111">
        <f t="array" ref="Z49">IFERROR(
MEDIAN((IF(DATOS_[[Sexo]:[Sexo]]=$B49,IF(DATOS_[[AGRUP. CLAS. PROF.]:[AGRUP. CLAS. PROF.]]=$B48,IF(DATOS_[[Check Periodo Ref.]:[Check Periodo Ref.]]="Dentro",DATOS_[Conc.Sal.21]))))),
0)</f>
        <v>0</v>
      </c>
      <c r="AA49" s="111">
        <f t="array" ref="AA49">IFERROR(
MEDIAN((IF(DATOS_[[Sexo]:[Sexo]]=$B49,IF(DATOS_[[AGRUP. CLAS. PROF.]:[AGRUP. CLAS. PROF.]]=$B48,IF(DATOS_[[Check Periodo Ref.]:[Check Periodo Ref.]]="Dentro",DATOS_[Conc.Sal.22]))))),
0)</f>
        <v>0</v>
      </c>
      <c r="AB49" s="111">
        <f t="array" ref="AB49">IFERROR(
MEDIAN((IF(DATOS_[[Sexo]:[Sexo]]=$B49,IF(DATOS_[[AGRUP. CLAS. PROF.]:[AGRUP. CLAS. PROF.]]=$B48,IF(DATOS_[[Check Periodo Ref.]:[Check Periodo Ref.]]="Dentro",DATOS_[Conc.Sal.23]))))),
0)</f>
        <v>0</v>
      </c>
      <c r="AC49" s="111">
        <f t="array" ref="AC49">IFERROR(
MEDIAN((IF(DATOS_[[Sexo]:[Sexo]]=$B49,IF(DATOS_[[AGRUP. CLAS. PROF.]:[AGRUP. CLAS. PROF.]]=$B48,IF(DATOS_[[Check Periodo Ref.]:[Check Periodo Ref.]]="Dentro",DATOS_[Conc.Sal.24]))))),
0)</f>
        <v>0</v>
      </c>
      <c r="AD49" s="111">
        <f t="array" ref="AD49">IFERROR(
MEDIAN((IF(DATOS_[[Sexo]:[Sexo]]=$B49,IF(DATOS_[[AGRUP. CLAS. PROF.]:[AGRUP. CLAS. PROF.]]=$B48,IF(DATOS_[[Check Periodo Ref.]:[Check Periodo Ref.]]="Dentro",DATOS_[Conc.Sal.25]))))),
0)</f>
        <v>0</v>
      </c>
      <c r="AE49" s="111">
        <f t="array" ref="AE49">IFERROR(
MEDIAN((IF(DATOS_[[Sexo]:[Sexo]]=$B49,IF(DATOS_[[AGRUP. CLAS. PROF.]:[AGRUP. CLAS. PROF.]]=$B48,IF(DATOS_[[Check Periodo Ref.]:[Check Periodo Ref.]]="Dentro",DATOS_[Conc.Sal.26]))))),
0)</f>
        <v>0</v>
      </c>
      <c r="AF49" s="111">
        <f t="array" ref="AF49">IFERROR(
MEDIAN((IF(DATOS_[[Sexo]:[Sexo]]=$B49,IF(DATOS_[[AGRUP. CLAS. PROF.]:[AGRUP. CLAS. PROF.]]=$B48,IF(DATOS_[[Check Periodo Ref.]:[Check Periodo Ref.]]="Dentro",DATOS_[Conc.Sal.27]))))),
0)</f>
        <v>0</v>
      </c>
      <c r="AG49" s="111">
        <f t="array" ref="AG49">IFERROR(
MEDIAN((IF(DATOS_[[Sexo]:[Sexo]]=$B49,IF(DATOS_[[AGRUP. CLAS. PROF.]:[AGRUP. CLAS. PROF.]]=$B48,IF(DATOS_[[Check Periodo Ref.]:[Check Periodo Ref.]]="Dentro",DATOS_[Conc.Sal.28]))))),
0)</f>
        <v>0</v>
      </c>
      <c r="AH49" s="111">
        <f t="array" ref="AH49">IFERROR(
MEDIAN((IF(DATOS_[[Sexo]:[Sexo]]=$B49,IF(DATOS_[[AGRUP. CLAS. PROF.]:[AGRUP. CLAS. PROF.]]=$B48,IF(DATOS_[[Check Periodo Ref.]:[Check Periodo Ref.]]="Dentro",DATOS_[Conc.Sal.29]))))),
0)</f>
        <v>0</v>
      </c>
      <c r="AI49" s="111">
        <f t="array" ref="AI49">IFERROR(
MEDIAN((IF(DATOS_[[Sexo]:[Sexo]]=$B49,IF(DATOS_[[AGRUP. CLAS. PROF.]:[AGRUP. CLAS. PROF.]]=$B48,IF(DATOS_[[Check Periodo Ref.]:[Check Periodo Ref.]]="Dentro",DATOS_[Conc.Sal.30]))))),
0)</f>
        <v>0</v>
      </c>
      <c r="AJ49" s="112">
        <f t="array" ref="AJ49">IFERROR(
MEDIAN(IF(DATOS_[Sexo]=$B49,IF(DATOS_[AGRUP. CLAS. PROF.]=$B48,IF(DATOS_[Check Periodo Ref.]="Dentro",DATOS_[Tot COMPL.SAL Ef],FALSE)))),
0)</f>
        <v>0</v>
      </c>
      <c r="AK49" s="113">
        <f t="array" ref="AK49">IFERROR(
MEDIAN(IF(DATOS_[Sexo]=$B49,IF(DATOS_[AGRUP. CLAS. PROF.]=$B48,IF(DATOS_[Check Periodo Ref.]="Dentro",DATOS_[TOTAL SALARIO Ef],FALSE)))),
0)</f>
        <v>0</v>
      </c>
      <c r="AL49" s="114">
        <f t="array" ref="AL49">IFERROR(
MEDIAN((IF(DATOS_[[Sexo]:[Sexo]]=$B49,IF(DATOS_[[AGRUP. CLAS. PROF.]:[AGRUP. CLAS. PROF.]]=$B48,IF(DATOS_[[Check Periodo Ref.]:[Check Periodo Ref.]]="Dentro",DATOS_[C.Extra.01]))))),
0)</f>
        <v>0</v>
      </c>
      <c r="AM49" s="114">
        <f t="array" ref="AM49">IFERROR(
MEDIAN((IF(DATOS_[[Sexo]:[Sexo]]=$B49,IF(DATOS_[[AGRUP. CLAS. PROF.]:[AGRUP. CLAS. PROF.]]=$B48,IF(DATOS_[[Check Periodo Ref.]:[Check Periodo Ref.]]="Dentro",DATOS_[C.Extra.02]))))),
0)</f>
        <v>0</v>
      </c>
      <c r="AN49" s="114">
        <f t="array" ref="AN49">IFERROR(
MEDIAN((IF(DATOS_[[Sexo]:[Sexo]]=$B49,IF(DATOS_[[AGRUP. CLAS. PROF.]:[AGRUP. CLAS. PROF.]]=$B48,IF(DATOS_[[Check Periodo Ref.]:[Check Periodo Ref.]]="Dentro",DATOS_[C.Extra.03]))))),
0)</f>
        <v>0</v>
      </c>
      <c r="AO49" s="114">
        <f t="array" ref="AO49">IFERROR(
MEDIAN((IF(DATOS_[[Sexo]:[Sexo]]=$B49,IF(DATOS_[[AGRUP. CLAS. PROF.]:[AGRUP. CLAS. PROF.]]=$B48,IF(DATOS_[[Check Periodo Ref.]:[Check Periodo Ref.]]="Dentro",DATOS_[C.Extra.04]))))),
0)</f>
        <v>0</v>
      </c>
      <c r="AP49" s="114">
        <f t="array" ref="AP49">IFERROR(
MEDIAN((IF(DATOS_[[Sexo]:[Sexo]]=$B49,IF(DATOS_[[AGRUP. CLAS. PROF.]:[AGRUP. CLAS. PROF.]]=$B48,IF(DATOS_[[Check Periodo Ref.]:[Check Periodo Ref.]]="Dentro",DATOS_[C.Extra.05]))))),
0)</f>
        <v>0</v>
      </c>
      <c r="AQ49" s="115">
        <f t="array" ref="AQ49">IFERROR(
MEDIAN(IF(DATOS_[Sexo]=$B49,IF(DATOS_[AGRUP. CLAS. PROF.]=$B48,IF(DATOS_[Check Periodo Ref.]="Dentro",DATOS_[Tot Extrasalarial Ef],FALSE)))),
0)</f>
        <v>0</v>
      </c>
      <c r="AR49" s="116">
        <f t="array" ref="AR49">IFERROR(
MEDIAN(IF(DATOS_[Sexo]=$B49,IF(DATOS_[AGRUP. CLAS. PROF.]=$B48,IF(DATOS_[Check Periodo Ref.]="Dentro",DATOS_[TOTAL Retrib Ef],FALSE)))),
0)</f>
        <v>0</v>
      </c>
    </row>
    <row r="50" spans="1:44" hidden="1" x14ac:dyDescent="0.3">
      <c r="A50" s="42" t="str">
        <f t="shared" ref="A50" si="50">+A49</f>
        <v>[ocultar]</v>
      </c>
      <c r="B50" s="34" t="s">
        <v>163</v>
      </c>
      <c r="C50" s="33">
        <f t="array" ref="C50">SUM(IF($B50=DATOS_[Sexo],
IF($B48=DATOS_[AGRUP. CLAS. PROF.],
IF("Dentro"=DATOS_[Check Periodo Ref.],
1/(COUNTIFS(DATOS_[Sexo],$B50,DATOS_[AGRUP. CLAS. PROF.],$B48,DATOS_[Check Periodo Ref.],"Dentro",DATOS_[id],DATOS_[id]))))))</f>
        <v>0</v>
      </c>
      <c r="D50" s="35">
        <f>COUNTIFS(DATOS_[AGRUP. CLAS. PROF.],$B48,DATOS_[Sexo],$B50,DATOS_[Check Periodo Ref.],"Dentro")</f>
        <v>0</v>
      </c>
      <c r="E50" s="110">
        <f t="array" ref="E50">IFERROR(
MEDIAN(IF(DATOS_[Sexo]=$B50,IF(DATOS_[AGRUP. CLAS. PROF.]=$B48,IF(DATOS_[Check Periodo Ref.]="Dentro",DATOS_[SALARIO BASE Ef],FALSE)))),
0)</f>
        <v>0</v>
      </c>
      <c r="F50" s="111">
        <f t="array" ref="F50">IFERROR(
MEDIAN((IF(DATOS_[[Sexo]:[Sexo]]=$B50,IF(DATOS_[[AGRUP. CLAS. PROF.]:[AGRUP. CLAS. PROF.]]=$B48,IF(DATOS_[[Check Periodo Ref.]:[Check Periodo Ref.]]="Dentro",DATOS_[Conc.Sal.01]))))),
0)</f>
        <v>0</v>
      </c>
      <c r="G50" s="111">
        <f t="array" ref="G50">IFERROR(
MEDIAN((IF(DATOS_[[Sexo]:[Sexo]]=$B50,IF(DATOS_[[AGRUP. CLAS. PROF.]:[AGRUP. CLAS. PROF.]]=$B48,IF(DATOS_[[Check Periodo Ref.]:[Check Periodo Ref.]]="Dentro",DATOS_[Conc.Sal.02]))))),
0)</f>
        <v>0</v>
      </c>
      <c r="H50" s="111">
        <f t="array" ref="H50">IFERROR(
MEDIAN((IF(DATOS_[[Sexo]:[Sexo]]=$B50,IF(DATOS_[[AGRUP. CLAS. PROF.]:[AGRUP. CLAS. PROF.]]=$B48,IF(DATOS_[[Check Periodo Ref.]:[Check Periodo Ref.]]="Dentro",DATOS_[Conc.Sal.03]))))),
0)</f>
        <v>0</v>
      </c>
      <c r="I50" s="111">
        <f t="array" ref="I50">IFERROR(
MEDIAN((IF(DATOS_[[Sexo]:[Sexo]]=$B50,IF(DATOS_[[AGRUP. CLAS. PROF.]:[AGRUP. CLAS. PROF.]]=$B48,IF(DATOS_[[Check Periodo Ref.]:[Check Periodo Ref.]]="Dentro",DATOS_[Conc.Sal.04]))))),
0)</f>
        <v>0</v>
      </c>
      <c r="J50" s="111">
        <f t="array" ref="J50">IFERROR(
MEDIAN((IF(DATOS_[[Sexo]:[Sexo]]=$B50,IF(DATOS_[[AGRUP. CLAS. PROF.]:[AGRUP. CLAS. PROF.]]=$B48,IF(DATOS_[[Check Periodo Ref.]:[Check Periodo Ref.]]="Dentro",DATOS_[Conc.Sal.05]))))),
0)</f>
        <v>0</v>
      </c>
      <c r="K50" s="111">
        <f t="array" ref="K50">IFERROR(
MEDIAN((IF(DATOS_[[Sexo]:[Sexo]]=$B50,IF(DATOS_[[AGRUP. CLAS. PROF.]:[AGRUP. CLAS. PROF.]]=$B48,IF(DATOS_[[Check Periodo Ref.]:[Check Periodo Ref.]]="Dentro",DATOS_[Conc.Sal.06]))))),
0)</f>
        <v>0</v>
      </c>
      <c r="L50" s="111">
        <f t="array" ref="L50">IFERROR(
MEDIAN((IF(DATOS_[[Sexo]:[Sexo]]=$B50,IF(DATOS_[[AGRUP. CLAS. PROF.]:[AGRUP. CLAS. PROF.]]=$B48,IF(DATOS_[[Check Periodo Ref.]:[Check Periodo Ref.]]="Dentro",DATOS_[Conc.Sal.07]))))),
0)</f>
        <v>0</v>
      </c>
      <c r="M50" s="111">
        <f t="array" ref="M50">IFERROR(
MEDIAN((IF(DATOS_[[Sexo]:[Sexo]]=$B50,IF(DATOS_[[AGRUP. CLAS. PROF.]:[AGRUP. CLAS. PROF.]]=$B48,IF(DATOS_[[Check Periodo Ref.]:[Check Periodo Ref.]]="Dentro",DATOS_[Conc.Sal.08]))))),
0)</f>
        <v>0</v>
      </c>
      <c r="N50" s="111">
        <f t="array" ref="N50">IFERROR(
MEDIAN((IF(DATOS_[[Sexo]:[Sexo]]=$B50,IF(DATOS_[[AGRUP. CLAS. PROF.]:[AGRUP. CLAS. PROF.]]=$B48,IF(DATOS_[[Check Periodo Ref.]:[Check Periodo Ref.]]="Dentro",DATOS_[Conc.Sal.09]))))),
0)</f>
        <v>0</v>
      </c>
      <c r="O50" s="111">
        <f t="array" ref="O50">IFERROR(
MEDIAN((IF(DATOS_[[Sexo]:[Sexo]]=$B50,IF(DATOS_[[AGRUP. CLAS. PROF.]:[AGRUP. CLAS. PROF.]]=$B48,IF(DATOS_[[Check Periodo Ref.]:[Check Periodo Ref.]]="Dentro",DATOS_[Conc.Sal.10]))))),
0)</f>
        <v>0</v>
      </c>
      <c r="P50" s="111">
        <f t="array" ref="P50">IFERROR(
MEDIAN((IF(DATOS_[[Sexo]:[Sexo]]=$B50,IF(DATOS_[[AGRUP. CLAS. PROF.]:[AGRUP. CLAS. PROF.]]=$B48,IF(DATOS_[[Check Periodo Ref.]:[Check Periodo Ref.]]="Dentro",DATOS_[Conc.Sal.11]))))),
0)</f>
        <v>0</v>
      </c>
      <c r="Q50" s="111">
        <f t="array" ref="Q50">IFERROR(
MEDIAN((IF(DATOS_[[Sexo]:[Sexo]]=$B50,IF(DATOS_[[AGRUP. CLAS. PROF.]:[AGRUP. CLAS. PROF.]]=$B48,IF(DATOS_[[Check Periodo Ref.]:[Check Periodo Ref.]]="Dentro",DATOS_[Conc.Sal.12]))))),
0)</f>
        <v>0</v>
      </c>
      <c r="R50" s="111">
        <f t="array" ref="R50">IFERROR(
MEDIAN((IF(DATOS_[[Sexo]:[Sexo]]=$B50,IF(DATOS_[[AGRUP. CLAS. PROF.]:[AGRUP. CLAS. PROF.]]=$B48,IF(DATOS_[[Check Periodo Ref.]:[Check Periodo Ref.]]="Dentro",DATOS_[Conc.Sal.13]))))),
0)</f>
        <v>0</v>
      </c>
      <c r="S50" s="111">
        <f t="array" ref="S50">IFERROR(
MEDIAN((IF(DATOS_[[Sexo]:[Sexo]]=$B50,IF(DATOS_[[AGRUP. CLAS. PROF.]:[AGRUP. CLAS. PROF.]]=$B48,IF(DATOS_[[Check Periodo Ref.]:[Check Periodo Ref.]]="Dentro",DATOS_[Conc.Sal.14]))))),
0)</f>
        <v>0</v>
      </c>
      <c r="T50" s="111">
        <f t="array" ref="T50">IFERROR(
MEDIAN((IF(DATOS_[[Sexo]:[Sexo]]=$B50,IF(DATOS_[[AGRUP. CLAS. PROF.]:[AGRUP. CLAS. PROF.]]=$B48,IF(DATOS_[[Check Periodo Ref.]:[Check Periodo Ref.]]="Dentro",DATOS_[Conc.Sal.15]))))),
0)</f>
        <v>0</v>
      </c>
      <c r="U50" s="111">
        <f t="array" ref="U50">IFERROR(
MEDIAN((IF(DATOS_[[Sexo]:[Sexo]]=$B50,IF(DATOS_[[AGRUP. CLAS. PROF.]:[AGRUP. CLAS. PROF.]]=$B48,IF(DATOS_[[Check Periodo Ref.]:[Check Periodo Ref.]]="Dentro",DATOS_[Conc.Sal.16]))))),
0)</f>
        <v>0</v>
      </c>
      <c r="V50" s="111">
        <f t="array" ref="V50">IFERROR(
MEDIAN((IF(DATOS_[[Sexo]:[Sexo]]=$B50,IF(DATOS_[[AGRUP. CLAS. PROF.]:[AGRUP. CLAS. PROF.]]=$B48,IF(DATOS_[[Check Periodo Ref.]:[Check Periodo Ref.]]="Dentro",DATOS_[Conc.Sal.17]))))),
0)</f>
        <v>0</v>
      </c>
      <c r="W50" s="111">
        <f t="array" ref="W50">IFERROR(
MEDIAN((IF(DATOS_[[Sexo]:[Sexo]]=$B50,IF(DATOS_[[AGRUP. CLAS. PROF.]:[AGRUP. CLAS. PROF.]]=$B48,IF(DATOS_[[Check Periodo Ref.]:[Check Periodo Ref.]]="Dentro",DATOS_[Conc.Sal.18]))))),
0)</f>
        <v>0</v>
      </c>
      <c r="X50" s="111">
        <f t="array" ref="X50">IFERROR(
MEDIAN((IF(DATOS_[[Sexo]:[Sexo]]=$B50,IF(DATOS_[[AGRUP. CLAS. PROF.]:[AGRUP. CLAS. PROF.]]=$B48,IF(DATOS_[[Check Periodo Ref.]:[Check Periodo Ref.]]="Dentro",DATOS_[Conc.Sal.19]))))),
0)</f>
        <v>0</v>
      </c>
      <c r="Y50" s="111">
        <f t="array" ref="Y50">IFERROR(
MEDIAN((IF(DATOS_[[Sexo]:[Sexo]]=$B50,IF(DATOS_[[AGRUP. CLAS. PROF.]:[AGRUP. CLAS. PROF.]]=$B48,IF(DATOS_[[Check Periodo Ref.]:[Check Periodo Ref.]]="Dentro",DATOS_[Conc.Sal.20]))))),
0)</f>
        <v>0</v>
      </c>
      <c r="Z50" s="111">
        <f t="array" ref="Z50">IFERROR(
MEDIAN((IF(DATOS_[[Sexo]:[Sexo]]=$B50,IF(DATOS_[[AGRUP. CLAS. PROF.]:[AGRUP. CLAS. PROF.]]=$B48,IF(DATOS_[[Check Periodo Ref.]:[Check Periodo Ref.]]="Dentro",DATOS_[Conc.Sal.21]))))),
0)</f>
        <v>0</v>
      </c>
      <c r="AA50" s="111">
        <f t="array" ref="AA50">IFERROR(
MEDIAN((IF(DATOS_[[Sexo]:[Sexo]]=$B50,IF(DATOS_[[AGRUP. CLAS. PROF.]:[AGRUP. CLAS. PROF.]]=$B48,IF(DATOS_[[Check Periodo Ref.]:[Check Periodo Ref.]]="Dentro",DATOS_[Conc.Sal.22]))))),
0)</f>
        <v>0</v>
      </c>
      <c r="AB50" s="111">
        <f t="array" ref="AB50">IFERROR(
MEDIAN((IF(DATOS_[[Sexo]:[Sexo]]=$B50,IF(DATOS_[[AGRUP. CLAS. PROF.]:[AGRUP. CLAS. PROF.]]=$B48,IF(DATOS_[[Check Periodo Ref.]:[Check Periodo Ref.]]="Dentro",DATOS_[Conc.Sal.23]))))),
0)</f>
        <v>0</v>
      </c>
      <c r="AC50" s="111">
        <f t="array" ref="AC50">IFERROR(
MEDIAN((IF(DATOS_[[Sexo]:[Sexo]]=$B50,IF(DATOS_[[AGRUP. CLAS. PROF.]:[AGRUP. CLAS. PROF.]]=$B48,IF(DATOS_[[Check Periodo Ref.]:[Check Periodo Ref.]]="Dentro",DATOS_[Conc.Sal.24]))))),
0)</f>
        <v>0</v>
      </c>
      <c r="AD50" s="111">
        <f t="array" ref="AD50">IFERROR(
MEDIAN((IF(DATOS_[[Sexo]:[Sexo]]=$B50,IF(DATOS_[[AGRUP. CLAS. PROF.]:[AGRUP. CLAS. PROF.]]=$B48,IF(DATOS_[[Check Periodo Ref.]:[Check Periodo Ref.]]="Dentro",DATOS_[Conc.Sal.25]))))),
0)</f>
        <v>0</v>
      </c>
      <c r="AE50" s="111">
        <f t="array" ref="AE50">IFERROR(
MEDIAN((IF(DATOS_[[Sexo]:[Sexo]]=$B50,IF(DATOS_[[AGRUP. CLAS. PROF.]:[AGRUP. CLAS. PROF.]]=$B48,IF(DATOS_[[Check Periodo Ref.]:[Check Periodo Ref.]]="Dentro",DATOS_[Conc.Sal.26]))))),
0)</f>
        <v>0</v>
      </c>
      <c r="AF50" s="111">
        <f t="array" ref="AF50">IFERROR(
MEDIAN((IF(DATOS_[[Sexo]:[Sexo]]=$B50,IF(DATOS_[[AGRUP. CLAS. PROF.]:[AGRUP. CLAS. PROF.]]=$B48,IF(DATOS_[[Check Periodo Ref.]:[Check Periodo Ref.]]="Dentro",DATOS_[Conc.Sal.27]))))),
0)</f>
        <v>0</v>
      </c>
      <c r="AG50" s="111">
        <f t="array" ref="AG50">IFERROR(
MEDIAN((IF(DATOS_[[Sexo]:[Sexo]]=$B50,IF(DATOS_[[AGRUP. CLAS. PROF.]:[AGRUP. CLAS. PROF.]]=$B48,IF(DATOS_[[Check Periodo Ref.]:[Check Periodo Ref.]]="Dentro",DATOS_[Conc.Sal.28]))))),
0)</f>
        <v>0</v>
      </c>
      <c r="AH50" s="111">
        <f t="array" ref="AH50">IFERROR(
MEDIAN((IF(DATOS_[[Sexo]:[Sexo]]=$B50,IF(DATOS_[[AGRUP. CLAS. PROF.]:[AGRUP. CLAS. PROF.]]=$B48,IF(DATOS_[[Check Periodo Ref.]:[Check Periodo Ref.]]="Dentro",DATOS_[Conc.Sal.29]))))),
0)</f>
        <v>0</v>
      </c>
      <c r="AI50" s="111">
        <f t="array" ref="AI50">IFERROR(
MEDIAN((IF(DATOS_[[Sexo]:[Sexo]]=$B50,IF(DATOS_[[AGRUP. CLAS. PROF.]:[AGRUP. CLAS. PROF.]]=$B48,IF(DATOS_[[Check Periodo Ref.]:[Check Periodo Ref.]]="Dentro",DATOS_[Conc.Sal.30]))))),
0)</f>
        <v>0</v>
      </c>
      <c r="AJ50" s="112">
        <f t="array" ref="AJ50">IFERROR(
MEDIAN(IF(DATOS_[Sexo]=$B50,IF(DATOS_[AGRUP. CLAS. PROF.]=$B48,IF(DATOS_[Check Periodo Ref.]="Dentro",DATOS_[Tot COMPL.SAL Ef],FALSE)))),
0)</f>
        <v>0</v>
      </c>
      <c r="AK50" s="113">
        <f t="array" ref="AK50">IFERROR(
MEDIAN(IF(DATOS_[Sexo]=$B50,IF(DATOS_[AGRUP. CLAS. PROF.]=$B48,IF(DATOS_[Check Periodo Ref.]="Dentro",DATOS_[TOTAL SALARIO Ef],FALSE)))),
0)</f>
        <v>0</v>
      </c>
      <c r="AL50" s="114">
        <f t="array" ref="AL50">IFERROR(
MEDIAN((IF(DATOS_[[Sexo]:[Sexo]]=$B50,IF(DATOS_[[AGRUP. CLAS. PROF.]:[AGRUP. CLAS. PROF.]]=$B48,IF(DATOS_[[Check Periodo Ref.]:[Check Periodo Ref.]]="Dentro",DATOS_[C.Extra.01]))))),
0)</f>
        <v>0</v>
      </c>
      <c r="AM50" s="114">
        <f t="array" ref="AM50">IFERROR(
MEDIAN((IF(DATOS_[[Sexo]:[Sexo]]=$B50,IF(DATOS_[[AGRUP. CLAS. PROF.]:[AGRUP. CLAS. PROF.]]=$B48,IF(DATOS_[[Check Periodo Ref.]:[Check Periodo Ref.]]="Dentro",DATOS_[C.Extra.02]))))),
0)</f>
        <v>0</v>
      </c>
      <c r="AN50" s="114">
        <f t="array" ref="AN50">IFERROR(
MEDIAN((IF(DATOS_[[Sexo]:[Sexo]]=$B50,IF(DATOS_[[AGRUP. CLAS. PROF.]:[AGRUP. CLAS. PROF.]]=$B48,IF(DATOS_[[Check Periodo Ref.]:[Check Periodo Ref.]]="Dentro",DATOS_[C.Extra.03]))))),
0)</f>
        <v>0</v>
      </c>
      <c r="AO50" s="114">
        <f t="array" ref="AO50">IFERROR(
MEDIAN((IF(DATOS_[[Sexo]:[Sexo]]=$B50,IF(DATOS_[[AGRUP. CLAS. PROF.]:[AGRUP. CLAS. PROF.]]=$B48,IF(DATOS_[[Check Periodo Ref.]:[Check Periodo Ref.]]="Dentro",DATOS_[C.Extra.04]))))),
0)</f>
        <v>0</v>
      </c>
      <c r="AP50" s="114">
        <f t="array" ref="AP50">IFERROR(
MEDIAN((IF(DATOS_[[Sexo]:[Sexo]]=$B50,IF(DATOS_[[AGRUP. CLAS. PROF.]:[AGRUP. CLAS. PROF.]]=$B48,IF(DATOS_[[Check Periodo Ref.]:[Check Periodo Ref.]]="Dentro",DATOS_[C.Extra.05]))))),
0)</f>
        <v>0</v>
      </c>
      <c r="AQ50" s="115">
        <f t="array" ref="AQ50">IFERROR(
MEDIAN(IF(DATOS_[Sexo]=$B50,IF(DATOS_[AGRUP. CLAS. PROF.]=$B48,IF(DATOS_[Check Periodo Ref.]="Dentro",DATOS_[Tot Extrasalarial Ef],FALSE)))),
0)</f>
        <v>0</v>
      </c>
      <c r="AR50" s="116">
        <f t="array" ref="AR50">IFERROR(
MEDIAN(IF(DATOS_[Sexo]=$B50,IF(DATOS_[AGRUP. CLAS. PROF.]=$B48,IF(DATOS_[Check Periodo Ref.]="Dentro",DATOS_[TOTAL Retrib Ef],FALSE)))),
0)</f>
        <v>0</v>
      </c>
    </row>
    <row r="51" spans="1:44" ht="17.25" hidden="1" thickBot="1" x14ac:dyDescent="0.35">
      <c r="A51" s="42" t="str">
        <f t="shared" ref="A51" si="51">+A52</f>
        <v>[ocultar]</v>
      </c>
      <c r="B51" s="40" t="s">
        <v>229</v>
      </c>
      <c r="C51" s="109"/>
      <c r="D51" s="41"/>
      <c r="E51" s="119" t="str">
        <f t="shared" ref="E51:AR51" si="52">IFERROR((E52-E53)/E52,"")</f>
        <v/>
      </c>
      <c r="F51" s="123" t="str">
        <f t="shared" si="52"/>
        <v/>
      </c>
      <c r="G51" s="123" t="str">
        <f t="shared" si="52"/>
        <v/>
      </c>
      <c r="H51" s="123" t="str">
        <f t="shared" si="52"/>
        <v/>
      </c>
      <c r="I51" s="123" t="str">
        <f t="shared" si="52"/>
        <v/>
      </c>
      <c r="J51" s="123" t="str">
        <f t="shared" si="52"/>
        <v/>
      </c>
      <c r="K51" s="123" t="str">
        <f t="shared" si="52"/>
        <v/>
      </c>
      <c r="L51" s="123" t="str">
        <f t="shared" si="52"/>
        <v/>
      </c>
      <c r="M51" s="123" t="str">
        <f t="shared" si="52"/>
        <v/>
      </c>
      <c r="N51" s="123" t="str">
        <f t="shared" si="52"/>
        <v/>
      </c>
      <c r="O51" s="123" t="str">
        <f t="shared" si="52"/>
        <v/>
      </c>
      <c r="P51" s="123" t="str">
        <f t="shared" si="52"/>
        <v/>
      </c>
      <c r="Q51" s="123" t="str">
        <f t="shared" si="52"/>
        <v/>
      </c>
      <c r="R51" s="123" t="str">
        <f t="shared" si="52"/>
        <v/>
      </c>
      <c r="S51" s="123" t="str">
        <f t="shared" si="52"/>
        <v/>
      </c>
      <c r="T51" s="123" t="str">
        <f t="shared" si="52"/>
        <v/>
      </c>
      <c r="U51" s="123" t="str">
        <f t="shared" si="52"/>
        <v/>
      </c>
      <c r="V51" s="122" t="str">
        <f t="shared" si="52"/>
        <v/>
      </c>
      <c r="W51" s="122" t="str">
        <f t="shared" si="52"/>
        <v/>
      </c>
      <c r="X51" s="122" t="str">
        <f t="shared" si="52"/>
        <v/>
      </c>
      <c r="Y51" s="122" t="str">
        <f t="shared" si="52"/>
        <v/>
      </c>
      <c r="Z51" s="122" t="str">
        <f t="shared" si="52"/>
        <v/>
      </c>
      <c r="AA51" s="122" t="str">
        <f t="shared" si="52"/>
        <v/>
      </c>
      <c r="AB51" s="122" t="str">
        <f t="shared" si="52"/>
        <v/>
      </c>
      <c r="AC51" s="122" t="str">
        <f t="shared" si="52"/>
        <v/>
      </c>
      <c r="AD51" s="122" t="str">
        <f t="shared" si="52"/>
        <v/>
      </c>
      <c r="AE51" s="122" t="str">
        <f t="shared" si="52"/>
        <v/>
      </c>
      <c r="AF51" s="122" t="str">
        <f t="shared" si="52"/>
        <v/>
      </c>
      <c r="AG51" s="122" t="str">
        <f t="shared" si="52"/>
        <v/>
      </c>
      <c r="AH51" s="122" t="str">
        <f t="shared" si="52"/>
        <v/>
      </c>
      <c r="AI51" s="122" t="str">
        <f t="shared" si="52"/>
        <v/>
      </c>
      <c r="AJ51" s="124" t="str">
        <f t="shared" si="52"/>
        <v/>
      </c>
      <c r="AK51" s="128" t="str">
        <f t="shared" si="52"/>
        <v/>
      </c>
      <c r="AL51" s="125" t="str">
        <f t="shared" si="52"/>
        <v/>
      </c>
      <c r="AM51" s="125" t="str">
        <f t="shared" si="52"/>
        <v/>
      </c>
      <c r="AN51" s="125" t="str">
        <f t="shared" si="52"/>
        <v/>
      </c>
      <c r="AO51" s="125" t="str">
        <f t="shared" si="52"/>
        <v/>
      </c>
      <c r="AP51" s="125" t="str">
        <f t="shared" si="52"/>
        <v/>
      </c>
      <c r="AQ51" s="126" t="str">
        <f t="shared" si="52"/>
        <v/>
      </c>
      <c r="AR51" s="127" t="str">
        <f t="shared" si="52"/>
        <v/>
      </c>
    </row>
    <row r="52" spans="1:44" hidden="1" x14ac:dyDescent="0.3">
      <c r="A52" s="42" t="str">
        <f t="shared" ref="A52" si="53">+IF(C52+C53=0,"[ocultar]","")</f>
        <v>[ocultar]</v>
      </c>
      <c r="B52" s="34" t="s">
        <v>162</v>
      </c>
      <c r="C52" s="33">
        <f t="array" ref="C52">SUM(IF($B52=DATOS_[Sexo],
IF($B51=DATOS_[AGRUP. CLAS. PROF.],
IF("Dentro"=DATOS_[Check Periodo Ref.],
1/(COUNTIFS(DATOS_[Sexo],$B52,DATOS_[AGRUP. CLAS. PROF.],$B51,DATOS_[Check Periodo Ref.],"Dentro",DATOS_[id],DATOS_[id]))))))</f>
        <v>0</v>
      </c>
      <c r="D52" s="35">
        <f>COUNTIFS(DATOS_[AGRUP. CLAS. PROF.],$B51,DATOS_[Sexo],$B52,DATOS_[Check Periodo Ref.],"Dentro")</f>
        <v>0</v>
      </c>
      <c r="E52" s="110">
        <f t="array" ref="E52">IFERROR(
MEDIAN(IF(DATOS_[Sexo]=$B52,IF(DATOS_[AGRUP. CLAS. PROF.]=$B51,IF(DATOS_[Check Periodo Ref.]="Dentro",DATOS_[SALARIO BASE Ef],FALSE)))),
0)</f>
        <v>0</v>
      </c>
      <c r="F52" s="111">
        <f t="array" ref="F52">IFERROR(
MEDIAN((IF(DATOS_[[Sexo]:[Sexo]]=$B52,IF(DATOS_[[AGRUP. CLAS. PROF.]:[AGRUP. CLAS. PROF.]]=$B51,IF(DATOS_[[Check Periodo Ref.]:[Check Periodo Ref.]]="Dentro",DATOS_[Conc.Sal.01]))))),
0)</f>
        <v>0</v>
      </c>
      <c r="G52" s="111">
        <f t="array" ref="G52">IFERROR(
MEDIAN((IF(DATOS_[[Sexo]:[Sexo]]=$B52,IF(DATOS_[[AGRUP. CLAS. PROF.]:[AGRUP. CLAS. PROF.]]=$B51,IF(DATOS_[[Check Periodo Ref.]:[Check Periodo Ref.]]="Dentro",DATOS_[Conc.Sal.02]))))),
0)</f>
        <v>0</v>
      </c>
      <c r="H52" s="111">
        <f t="array" ref="H52">IFERROR(
MEDIAN((IF(DATOS_[[Sexo]:[Sexo]]=$B52,IF(DATOS_[[AGRUP. CLAS. PROF.]:[AGRUP. CLAS. PROF.]]=$B51,IF(DATOS_[[Check Periodo Ref.]:[Check Periodo Ref.]]="Dentro",DATOS_[Conc.Sal.03]))))),
0)</f>
        <v>0</v>
      </c>
      <c r="I52" s="111">
        <f t="array" ref="I52">IFERROR(
MEDIAN((IF(DATOS_[[Sexo]:[Sexo]]=$B52,IF(DATOS_[[AGRUP. CLAS. PROF.]:[AGRUP. CLAS. PROF.]]=$B51,IF(DATOS_[[Check Periodo Ref.]:[Check Periodo Ref.]]="Dentro",DATOS_[Conc.Sal.04]))))),
0)</f>
        <v>0</v>
      </c>
      <c r="J52" s="111">
        <f t="array" ref="J52">IFERROR(
MEDIAN((IF(DATOS_[[Sexo]:[Sexo]]=$B52,IF(DATOS_[[AGRUP. CLAS. PROF.]:[AGRUP. CLAS. PROF.]]=$B51,IF(DATOS_[[Check Periodo Ref.]:[Check Periodo Ref.]]="Dentro",DATOS_[Conc.Sal.05]))))),
0)</f>
        <v>0</v>
      </c>
      <c r="K52" s="111">
        <f t="array" ref="K52">IFERROR(
MEDIAN((IF(DATOS_[[Sexo]:[Sexo]]=$B52,IF(DATOS_[[AGRUP. CLAS. PROF.]:[AGRUP. CLAS. PROF.]]=$B51,IF(DATOS_[[Check Periodo Ref.]:[Check Periodo Ref.]]="Dentro",DATOS_[Conc.Sal.06]))))),
0)</f>
        <v>0</v>
      </c>
      <c r="L52" s="111">
        <f t="array" ref="L52">IFERROR(
MEDIAN((IF(DATOS_[[Sexo]:[Sexo]]=$B52,IF(DATOS_[[AGRUP. CLAS. PROF.]:[AGRUP. CLAS. PROF.]]=$B51,IF(DATOS_[[Check Periodo Ref.]:[Check Periodo Ref.]]="Dentro",DATOS_[Conc.Sal.07]))))),
0)</f>
        <v>0</v>
      </c>
      <c r="M52" s="111">
        <f t="array" ref="M52">IFERROR(
MEDIAN((IF(DATOS_[[Sexo]:[Sexo]]=$B52,IF(DATOS_[[AGRUP. CLAS. PROF.]:[AGRUP. CLAS. PROF.]]=$B51,IF(DATOS_[[Check Periodo Ref.]:[Check Periodo Ref.]]="Dentro",DATOS_[Conc.Sal.08]))))),
0)</f>
        <v>0</v>
      </c>
      <c r="N52" s="111">
        <f t="array" ref="N52">IFERROR(
MEDIAN((IF(DATOS_[[Sexo]:[Sexo]]=$B52,IF(DATOS_[[AGRUP. CLAS. PROF.]:[AGRUP. CLAS. PROF.]]=$B51,IF(DATOS_[[Check Periodo Ref.]:[Check Periodo Ref.]]="Dentro",DATOS_[Conc.Sal.09]))))),
0)</f>
        <v>0</v>
      </c>
      <c r="O52" s="111">
        <f t="array" ref="O52">IFERROR(
MEDIAN((IF(DATOS_[[Sexo]:[Sexo]]=$B52,IF(DATOS_[[AGRUP. CLAS. PROF.]:[AGRUP. CLAS. PROF.]]=$B51,IF(DATOS_[[Check Periodo Ref.]:[Check Periodo Ref.]]="Dentro",DATOS_[Conc.Sal.10]))))),
0)</f>
        <v>0</v>
      </c>
      <c r="P52" s="111">
        <f t="array" ref="P52">IFERROR(
MEDIAN((IF(DATOS_[[Sexo]:[Sexo]]=$B52,IF(DATOS_[[AGRUP. CLAS. PROF.]:[AGRUP. CLAS. PROF.]]=$B51,IF(DATOS_[[Check Periodo Ref.]:[Check Periodo Ref.]]="Dentro",DATOS_[Conc.Sal.11]))))),
0)</f>
        <v>0</v>
      </c>
      <c r="Q52" s="111">
        <f t="array" ref="Q52">IFERROR(
MEDIAN((IF(DATOS_[[Sexo]:[Sexo]]=$B52,IF(DATOS_[[AGRUP. CLAS. PROF.]:[AGRUP. CLAS. PROF.]]=$B51,IF(DATOS_[[Check Periodo Ref.]:[Check Periodo Ref.]]="Dentro",DATOS_[Conc.Sal.12]))))),
0)</f>
        <v>0</v>
      </c>
      <c r="R52" s="111">
        <f t="array" ref="R52">IFERROR(
MEDIAN((IF(DATOS_[[Sexo]:[Sexo]]=$B52,IF(DATOS_[[AGRUP. CLAS. PROF.]:[AGRUP. CLAS. PROF.]]=$B51,IF(DATOS_[[Check Periodo Ref.]:[Check Periodo Ref.]]="Dentro",DATOS_[Conc.Sal.13]))))),
0)</f>
        <v>0</v>
      </c>
      <c r="S52" s="111">
        <f t="array" ref="S52">IFERROR(
MEDIAN((IF(DATOS_[[Sexo]:[Sexo]]=$B52,IF(DATOS_[[AGRUP. CLAS. PROF.]:[AGRUP. CLAS. PROF.]]=$B51,IF(DATOS_[[Check Periodo Ref.]:[Check Periodo Ref.]]="Dentro",DATOS_[Conc.Sal.14]))))),
0)</f>
        <v>0</v>
      </c>
      <c r="T52" s="111">
        <f t="array" ref="T52">IFERROR(
MEDIAN((IF(DATOS_[[Sexo]:[Sexo]]=$B52,IF(DATOS_[[AGRUP. CLAS. PROF.]:[AGRUP. CLAS. PROF.]]=$B51,IF(DATOS_[[Check Periodo Ref.]:[Check Periodo Ref.]]="Dentro",DATOS_[Conc.Sal.15]))))),
0)</f>
        <v>0</v>
      </c>
      <c r="U52" s="111">
        <f t="array" ref="U52">IFERROR(
MEDIAN((IF(DATOS_[[Sexo]:[Sexo]]=$B52,IF(DATOS_[[AGRUP. CLAS. PROF.]:[AGRUP. CLAS. PROF.]]=$B51,IF(DATOS_[[Check Periodo Ref.]:[Check Periodo Ref.]]="Dentro",DATOS_[Conc.Sal.16]))))),
0)</f>
        <v>0</v>
      </c>
      <c r="V52" s="111">
        <f t="array" ref="V52">IFERROR(
MEDIAN((IF(DATOS_[[Sexo]:[Sexo]]=$B52,IF(DATOS_[[AGRUP. CLAS. PROF.]:[AGRUP. CLAS. PROF.]]=$B51,IF(DATOS_[[Check Periodo Ref.]:[Check Periodo Ref.]]="Dentro",DATOS_[Conc.Sal.17]))))),
0)</f>
        <v>0</v>
      </c>
      <c r="W52" s="111">
        <f t="array" ref="W52">IFERROR(
MEDIAN((IF(DATOS_[[Sexo]:[Sexo]]=$B52,IF(DATOS_[[AGRUP. CLAS. PROF.]:[AGRUP. CLAS. PROF.]]=$B51,IF(DATOS_[[Check Periodo Ref.]:[Check Periodo Ref.]]="Dentro",DATOS_[Conc.Sal.18]))))),
0)</f>
        <v>0</v>
      </c>
      <c r="X52" s="111">
        <f t="array" ref="X52">IFERROR(
MEDIAN((IF(DATOS_[[Sexo]:[Sexo]]=$B52,IF(DATOS_[[AGRUP. CLAS. PROF.]:[AGRUP. CLAS. PROF.]]=$B51,IF(DATOS_[[Check Periodo Ref.]:[Check Periodo Ref.]]="Dentro",DATOS_[Conc.Sal.19]))))),
0)</f>
        <v>0</v>
      </c>
      <c r="Y52" s="111">
        <f t="array" ref="Y52">IFERROR(
MEDIAN((IF(DATOS_[[Sexo]:[Sexo]]=$B52,IF(DATOS_[[AGRUP. CLAS. PROF.]:[AGRUP. CLAS. PROF.]]=$B51,IF(DATOS_[[Check Periodo Ref.]:[Check Periodo Ref.]]="Dentro",DATOS_[Conc.Sal.20]))))),
0)</f>
        <v>0</v>
      </c>
      <c r="Z52" s="111">
        <f t="array" ref="Z52">IFERROR(
MEDIAN((IF(DATOS_[[Sexo]:[Sexo]]=$B52,IF(DATOS_[[AGRUP. CLAS. PROF.]:[AGRUP. CLAS. PROF.]]=$B51,IF(DATOS_[[Check Periodo Ref.]:[Check Periodo Ref.]]="Dentro",DATOS_[Conc.Sal.21]))))),
0)</f>
        <v>0</v>
      </c>
      <c r="AA52" s="111">
        <f t="array" ref="AA52">IFERROR(
MEDIAN((IF(DATOS_[[Sexo]:[Sexo]]=$B52,IF(DATOS_[[AGRUP. CLAS. PROF.]:[AGRUP. CLAS. PROF.]]=$B51,IF(DATOS_[[Check Periodo Ref.]:[Check Periodo Ref.]]="Dentro",DATOS_[Conc.Sal.22]))))),
0)</f>
        <v>0</v>
      </c>
      <c r="AB52" s="111">
        <f t="array" ref="AB52">IFERROR(
MEDIAN((IF(DATOS_[[Sexo]:[Sexo]]=$B52,IF(DATOS_[[AGRUP. CLAS. PROF.]:[AGRUP. CLAS. PROF.]]=$B51,IF(DATOS_[[Check Periodo Ref.]:[Check Periodo Ref.]]="Dentro",DATOS_[Conc.Sal.23]))))),
0)</f>
        <v>0</v>
      </c>
      <c r="AC52" s="111">
        <f t="array" ref="AC52">IFERROR(
MEDIAN((IF(DATOS_[[Sexo]:[Sexo]]=$B52,IF(DATOS_[[AGRUP. CLAS. PROF.]:[AGRUP. CLAS. PROF.]]=$B51,IF(DATOS_[[Check Periodo Ref.]:[Check Periodo Ref.]]="Dentro",DATOS_[Conc.Sal.24]))))),
0)</f>
        <v>0</v>
      </c>
      <c r="AD52" s="111">
        <f t="array" ref="AD52">IFERROR(
MEDIAN((IF(DATOS_[[Sexo]:[Sexo]]=$B52,IF(DATOS_[[AGRUP. CLAS. PROF.]:[AGRUP. CLAS. PROF.]]=$B51,IF(DATOS_[[Check Periodo Ref.]:[Check Periodo Ref.]]="Dentro",DATOS_[Conc.Sal.25]))))),
0)</f>
        <v>0</v>
      </c>
      <c r="AE52" s="111">
        <f t="array" ref="AE52">IFERROR(
MEDIAN((IF(DATOS_[[Sexo]:[Sexo]]=$B52,IF(DATOS_[[AGRUP. CLAS. PROF.]:[AGRUP. CLAS. PROF.]]=$B51,IF(DATOS_[[Check Periodo Ref.]:[Check Periodo Ref.]]="Dentro",DATOS_[Conc.Sal.26]))))),
0)</f>
        <v>0</v>
      </c>
      <c r="AF52" s="111">
        <f t="array" ref="AF52">IFERROR(
MEDIAN((IF(DATOS_[[Sexo]:[Sexo]]=$B52,IF(DATOS_[[AGRUP. CLAS. PROF.]:[AGRUP. CLAS. PROF.]]=$B51,IF(DATOS_[[Check Periodo Ref.]:[Check Periodo Ref.]]="Dentro",DATOS_[Conc.Sal.27]))))),
0)</f>
        <v>0</v>
      </c>
      <c r="AG52" s="111">
        <f t="array" ref="AG52">IFERROR(
MEDIAN((IF(DATOS_[[Sexo]:[Sexo]]=$B52,IF(DATOS_[[AGRUP. CLAS. PROF.]:[AGRUP. CLAS. PROF.]]=$B51,IF(DATOS_[[Check Periodo Ref.]:[Check Periodo Ref.]]="Dentro",DATOS_[Conc.Sal.28]))))),
0)</f>
        <v>0</v>
      </c>
      <c r="AH52" s="111">
        <f t="array" ref="AH52">IFERROR(
MEDIAN((IF(DATOS_[[Sexo]:[Sexo]]=$B52,IF(DATOS_[[AGRUP. CLAS. PROF.]:[AGRUP. CLAS. PROF.]]=$B51,IF(DATOS_[[Check Periodo Ref.]:[Check Periodo Ref.]]="Dentro",DATOS_[Conc.Sal.29]))))),
0)</f>
        <v>0</v>
      </c>
      <c r="AI52" s="111">
        <f t="array" ref="AI52">IFERROR(
MEDIAN((IF(DATOS_[[Sexo]:[Sexo]]=$B52,IF(DATOS_[[AGRUP. CLAS. PROF.]:[AGRUP. CLAS. PROF.]]=$B51,IF(DATOS_[[Check Periodo Ref.]:[Check Periodo Ref.]]="Dentro",DATOS_[Conc.Sal.30]))))),
0)</f>
        <v>0</v>
      </c>
      <c r="AJ52" s="112">
        <f t="array" ref="AJ52">IFERROR(
MEDIAN(IF(DATOS_[Sexo]=$B52,IF(DATOS_[AGRUP. CLAS. PROF.]=$B51,IF(DATOS_[Check Periodo Ref.]="Dentro",DATOS_[Tot COMPL.SAL Ef],FALSE)))),
0)</f>
        <v>0</v>
      </c>
      <c r="AK52" s="113">
        <f t="array" ref="AK52">IFERROR(
MEDIAN(IF(DATOS_[Sexo]=$B52,IF(DATOS_[AGRUP. CLAS. PROF.]=$B51,IF(DATOS_[Check Periodo Ref.]="Dentro",DATOS_[TOTAL SALARIO Ef],FALSE)))),
0)</f>
        <v>0</v>
      </c>
      <c r="AL52" s="114">
        <f t="array" ref="AL52">IFERROR(
MEDIAN((IF(DATOS_[[Sexo]:[Sexo]]=$B52,IF(DATOS_[[AGRUP. CLAS. PROF.]:[AGRUP. CLAS. PROF.]]=$B51,IF(DATOS_[[Check Periodo Ref.]:[Check Periodo Ref.]]="Dentro",DATOS_[C.Extra.01]))))),
0)</f>
        <v>0</v>
      </c>
      <c r="AM52" s="114">
        <f t="array" ref="AM52">IFERROR(
MEDIAN((IF(DATOS_[[Sexo]:[Sexo]]=$B52,IF(DATOS_[[AGRUP. CLAS. PROF.]:[AGRUP. CLAS. PROF.]]=$B51,IF(DATOS_[[Check Periodo Ref.]:[Check Periodo Ref.]]="Dentro",DATOS_[C.Extra.02]))))),
0)</f>
        <v>0</v>
      </c>
      <c r="AN52" s="114">
        <f t="array" ref="AN52">IFERROR(
MEDIAN((IF(DATOS_[[Sexo]:[Sexo]]=$B52,IF(DATOS_[[AGRUP. CLAS. PROF.]:[AGRUP. CLAS. PROF.]]=$B51,IF(DATOS_[[Check Periodo Ref.]:[Check Periodo Ref.]]="Dentro",DATOS_[C.Extra.03]))))),
0)</f>
        <v>0</v>
      </c>
      <c r="AO52" s="114">
        <f t="array" ref="AO52">IFERROR(
MEDIAN((IF(DATOS_[[Sexo]:[Sexo]]=$B52,IF(DATOS_[[AGRUP. CLAS. PROF.]:[AGRUP. CLAS. PROF.]]=$B51,IF(DATOS_[[Check Periodo Ref.]:[Check Periodo Ref.]]="Dentro",DATOS_[C.Extra.04]))))),
0)</f>
        <v>0</v>
      </c>
      <c r="AP52" s="114">
        <f t="array" ref="AP52">IFERROR(
MEDIAN((IF(DATOS_[[Sexo]:[Sexo]]=$B52,IF(DATOS_[[AGRUP. CLAS. PROF.]:[AGRUP. CLAS. PROF.]]=$B51,IF(DATOS_[[Check Periodo Ref.]:[Check Periodo Ref.]]="Dentro",DATOS_[C.Extra.05]))))),
0)</f>
        <v>0</v>
      </c>
      <c r="AQ52" s="115">
        <f t="array" ref="AQ52">IFERROR(
MEDIAN(IF(DATOS_[Sexo]=$B52,IF(DATOS_[AGRUP. CLAS. PROF.]=$B51,IF(DATOS_[Check Periodo Ref.]="Dentro",DATOS_[Tot Extrasalarial Ef],FALSE)))),
0)</f>
        <v>0</v>
      </c>
      <c r="AR52" s="116">
        <f t="array" ref="AR52">IFERROR(
MEDIAN(IF(DATOS_[Sexo]=$B52,IF(DATOS_[AGRUP. CLAS. PROF.]=$B51,IF(DATOS_[Check Periodo Ref.]="Dentro",DATOS_[TOTAL Retrib Ef],FALSE)))),
0)</f>
        <v>0</v>
      </c>
    </row>
    <row r="53" spans="1:44" hidden="1" x14ac:dyDescent="0.3">
      <c r="A53" s="42" t="str">
        <f t="shared" ref="A53" si="54">+A52</f>
        <v>[ocultar]</v>
      </c>
      <c r="B53" s="34" t="s">
        <v>163</v>
      </c>
      <c r="C53" s="33">
        <f t="array" ref="C53">SUM(IF($B53=DATOS_[Sexo],
IF($B51=DATOS_[AGRUP. CLAS. PROF.],
IF("Dentro"=DATOS_[Check Periodo Ref.],
1/(COUNTIFS(DATOS_[Sexo],$B53,DATOS_[AGRUP. CLAS. PROF.],$B51,DATOS_[Check Periodo Ref.],"Dentro",DATOS_[id],DATOS_[id]))))))</f>
        <v>0</v>
      </c>
      <c r="D53" s="35">
        <f>COUNTIFS(DATOS_[AGRUP. CLAS. PROF.],$B51,DATOS_[Sexo],$B53,DATOS_[Check Periodo Ref.],"Dentro")</f>
        <v>0</v>
      </c>
      <c r="E53" s="110">
        <f t="array" ref="E53">IFERROR(
MEDIAN(IF(DATOS_[Sexo]=$B53,IF(DATOS_[AGRUP. CLAS. PROF.]=$B51,IF(DATOS_[Check Periodo Ref.]="Dentro",DATOS_[SALARIO BASE Ef],FALSE)))),
0)</f>
        <v>0</v>
      </c>
      <c r="F53" s="111">
        <f t="array" ref="F53">IFERROR(
MEDIAN((IF(DATOS_[[Sexo]:[Sexo]]=$B53,IF(DATOS_[[AGRUP. CLAS. PROF.]:[AGRUP. CLAS. PROF.]]=$B51,IF(DATOS_[[Check Periodo Ref.]:[Check Periodo Ref.]]="Dentro",DATOS_[Conc.Sal.01]))))),
0)</f>
        <v>0</v>
      </c>
      <c r="G53" s="111">
        <f t="array" ref="G53">IFERROR(
MEDIAN((IF(DATOS_[[Sexo]:[Sexo]]=$B53,IF(DATOS_[[AGRUP. CLAS. PROF.]:[AGRUP. CLAS. PROF.]]=$B51,IF(DATOS_[[Check Periodo Ref.]:[Check Periodo Ref.]]="Dentro",DATOS_[Conc.Sal.02]))))),
0)</f>
        <v>0</v>
      </c>
      <c r="H53" s="111">
        <f t="array" ref="H53">IFERROR(
MEDIAN((IF(DATOS_[[Sexo]:[Sexo]]=$B53,IF(DATOS_[[AGRUP. CLAS. PROF.]:[AGRUP. CLAS. PROF.]]=$B51,IF(DATOS_[[Check Periodo Ref.]:[Check Periodo Ref.]]="Dentro",DATOS_[Conc.Sal.03]))))),
0)</f>
        <v>0</v>
      </c>
      <c r="I53" s="111">
        <f t="array" ref="I53">IFERROR(
MEDIAN((IF(DATOS_[[Sexo]:[Sexo]]=$B53,IF(DATOS_[[AGRUP. CLAS. PROF.]:[AGRUP. CLAS. PROF.]]=$B51,IF(DATOS_[[Check Periodo Ref.]:[Check Periodo Ref.]]="Dentro",DATOS_[Conc.Sal.04]))))),
0)</f>
        <v>0</v>
      </c>
      <c r="J53" s="111">
        <f t="array" ref="J53">IFERROR(
MEDIAN((IF(DATOS_[[Sexo]:[Sexo]]=$B53,IF(DATOS_[[AGRUP. CLAS. PROF.]:[AGRUP. CLAS. PROF.]]=$B51,IF(DATOS_[[Check Periodo Ref.]:[Check Periodo Ref.]]="Dentro",DATOS_[Conc.Sal.05]))))),
0)</f>
        <v>0</v>
      </c>
      <c r="K53" s="111">
        <f t="array" ref="K53">IFERROR(
MEDIAN((IF(DATOS_[[Sexo]:[Sexo]]=$B53,IF(DATOS_[[AGRUP. CLAS. PROF.]:[AGRUP. CLAS. PROF.]]=$B51,IF(DATOS_[[Check Periodo Ref.]:[Check Periodo Ref.]]="Dentro",DATOS_[Conc.Sal.06]))))),
0)</f>
        <v>0</v>
      </c>
      <c r="L53" s="111">
        <f t="array" ref="L53">IFERROR(
MEDIAN((IF(DATOS_[[Sexo]:[Sexo]]=$B53,IF(DATOS_[[AGRUP. CLAS. PROF.]:[AGRUP. CLAS. PROF.]]=$B51,IF(DATOS_[[Check Periodo Ref.]:[Check Periodo Ref.]]="Dentro",DATOS_[Conc.Sal.07]))))),
0)</f>
        <v>0</v>
      </c>
      <c r="M53" s="111">
        <f t="array" ref="M53">IFERROR(
MEDIAN((IF(DATOS_[[Sexo]:[Sexo]]=$B53,IF(DATOS_[[AGRUP. CLAS. PROF.]:[AGRUP. CLAS. PROF.]]=$B51,IF(DATOS_[[Check Periodo Ref.]:[Check Periodo Ref.]]="Dentro",DATOS_[Conc.Sal.08]))))),
0)</f>
        <v>0</v>
      </c>
      <c r="N53" s="111">
        <f t="array" ref="N53">IFERROR(
MEDIAN((IF(DATOS_[[Sexo]:[Sexo]]=$B53,IF(DATOS_[[AGRUP. CLAS. PROF.]:[AGRUP. CLAS. PROF.]]=$B51,IF(DATOS_[[Check Periodo Ref.]:[Check Periodo Ref.]]="Dentro",DATOS_[Conc.Sal.09]))))),
0)</f>
        <v>0</v>
      </c>
      <c r="O53" s="111">
        <f t="array" ref="O53">IFERROR(
MEDIAN((IF(DATOS_[[Sexo]:[Sexo]]=$B53,IF(DATOS_[[AGRUP. CLAS. PROF.]:[AGRUP. CLAS. PROF.]]=$B51,IF(DATOS_[[Check Periodo Ref.]:[Check Periodo Ref.]]="Dentro",DATOS_[Conc.Sal.10]))))),
0)</f>
        <v>0</v>
      </c>
      <c r="P53" s="111">
        <f t="array" ref="P53">IFERROR(
MEDIAN((IF(DATOS_[[Sexo]:[Sexo]]=$B53,IF(DATOS_[[AGRUP. CLAS. PROF.]:[AGRUP. CLAS. PROF.]]=$B51,IF(DATOS_[[Check Periodo Ref.]:[Check Periodo Ref.]]="Dentro",DATOS_[Conc.Sal.11]))))),
0)</f>
        <v>0</v>
      </c>
      <c r="Q53" s="111">
        <f t="array" ref="Q53">IFERROR(
MEDIAN((IF(DATOS_[[Sexo]:[Sexo]]=$B53,IF(DATOS_[[AGRUP. CLAS. PROF.]:[AGRUP. CLAS. PROF.]]=$B51,IF(DATOS_[[Check Periodo Ref.]:[Check Periodo Ref.]]="Dentro",DATOS_[Conc.Sal.12]))))),
0)</f>
        <v>0</v>
      </c>
      <c r="R53" s="111">
        <f t="array" ref="R53">IFERROR(
MEDIAN((IF(DATOS_[[Sexo]:[Sexo]]=$B53,IF(DATOS_[[AGRUP. CLAS. PROF.]:[AGRUP. CLAS. PROF.]]=$B51,IF(DATOS_[[Check Periodo Ref.]:[Check Periodo Ref.]]="Dentro",DATOS_[Conc.Sal.13]))))),
0)</f>
        <v>0</v>
      </c>
      <c r="S53" s="111">
        <f t="array" ref="S53">IFERROR(
MEDIAN((IF(DATOS_[[Sexo]:[Sexo]]=$B53,IF(DATOS_[[AGRUP. CLAS. PROF.]:[AGRUP. CLAS. PROF.]]=$B51,IF(DATOS_[[Check Periodo Ref.]:[Check Periodo Ref.]]="Dentro",DATOS_[Conc.Sal.14]))))),
0)</f>
        <v>0</v>
      </c>
      <c r="T53" s="111">
        <f t="array" ref="T53">IFERROR(
MEDIAN((IF(DATOS_[[Sexo]:[Sexo]]=$B53,IF(DATOS_[[AGRUP. CLAS. PROF.]:[AGRUP. CLAS. PROF.]]=$B51,IF(DATOS_[[Check Periodo Ref.]:[Check Periodo Ref.]]="Dentro",DATOS_[Conc.Sal.15]))))),
0)</f>
        <v>0</v>
      </c>
      <c r="U53" s="111">
        <f t="array" ref="U53">IFERROR(
MEDIAN((IF(DATOS_[[Sexo]:[Sexo]]=$B53,IF(DATOS_[[AGRUP. CLAS. PROF.]:[AGRUP. CLAS. PROF.]]=$B51,IF(DATOS_[[Check Periodo Ref.]:[Check Periodo Ref.]]="Dentro",DATOS_[Conc.Sal.16]))))),
0)</f>
        <v>0</v>
      </c>
      <c r="V53" s="111">
        <f t="array" ref="V53">IFERROR(
MEDIAN((IF(DATOS_[[Sexo]:[Sexo]]=$B53,IF(DATOS_[[AGRUP. CLAS. PROF.]:[AGRUP. CLAS. PROF.]]=$B51,IF(DATOS_[[Check Periodo Ref.]:[Check Periodo Ref.]]="Dentro",DATOS_[Conc.Sal.17]))))),
0)</f>
        <v>0</v>
      </c>
      <c r="W53" s="111">
        <f t="array" ref="W53">IFERROR(
MEDIAN((IF(DATOS_[[Sexo]:[Sexo]]=$B53,IF(DATOS_[[AGRUP. CLAS. PROF.]:[AGRUP. CLAS. PROF.]]=$B51,IF(DATOS_[[Check Periodo Ref.]:[Check Periodo Ref.]]="Dentro",DATOS_[Conc.Sal.18]))))),
0)</f>
        <v>0</v>
      </c>
      <c r="X53" s="111">
        <f t="array" ref="X53">IFERROR(
MEDIAN((IF(DATOS_[[Sexo]:[Sexo]]=$B53,IF(DATOS_[[AGRUP. CLAS. PROF.]:[AGRUP. CLAS. PROF.]]=$B51,IF(DATOS_[[Check Periodo Ref.]:[Check Periodo Ref.]]="Dentro",DATOS_[Conc.Sal.19]))))),
0)</f>
        <v>0</v>
      </c>
      <c r="Y53" s="111">
        <f t="array" ref="Y53">IFERROR(
MEDIAN((IF(DATOS_[[Sexo]:[Sexo]]=$B53,IF(DATOS_[[AGRUP. CLAS. PROF.]:[AGRUP. CLAS. PROF.]]=$B51,IF(DATOS_[[Check Periodo Ref.]:[Check Periodo Ref.]]="Dentro",DATOS_[Conc.Sal.20]))))),
0)</f>
        <v>0</v>
      </c>
      <c r="Z53" s="111">
        <f t="array" ref="Z53">IFERROR(
MEDIAN((IF(DATOS_[[Sexo]:[Sexo]]=$B53,IF(DATOS_[[AGRUP. CLAS. PROF.]:[AGRUP. CLAS. PROF.]]=$B51,IF(DATOS_[[Check Periodo Ref.]:[Check Periodo Ref.]]="Dentro",DATOS_[Conc.Sal.21]))))),
0)</f>
        <v>0</v>
      </c>
      <c r="AA53" s="111">
        <f t="array" ref="AA53">IFERROR(
MEDIAN((IF(DATOS_[[Sexo]:[Sexo]]=$B53,IF(DATOS_[[AGRUP. CLAS. PROF.]:[AGRUP. CLAS. PROF.]]=$B51,IF(DATOS_[[Check Periodo Ref.]:[Check Periodo Ref.]]="Dentro",DATOS_[Conc.Sal.22]))))),
0)</f>
        <v>0</v>
      </c>
      <c r="AB53" s="111">
        <f t="array" ref="AB53">IFERROR(
MEDIAN((IF(DATOS_[[Sexo]:[Sexo]]=$B53,IF(DATOS_[[AGRUP. CLAS. PROF.]:[AGRUP. CLAS. PROF.]]=$B51,IF(DATOS_[[Check Periodo Ref.]:[Check Periodo Ref.]]="Dentro",DATOS_[Conc.Sal.23]))))),
0)</f>
        <v>0</v>
      </c>
      <c r="AC53" s="111">
        <f t="array" ref="AC53">IFERROR(
MEDIAN((IF(DATOS_[[Sexo]:[Sexo]]=$B53,IF(DATOS_[[AGRUP. CLAS. PROF.]:[AGRUP. CLAS. PROF.]]=$B51,IF(DATOS_[[Check Periodo Ref.]:[Check Periodo Ref.]]="Dentro",DATOS_[Conc.Sal.24]))))),
0)</f>
        <v>0</v>
      </c>
      <c r="AD53" s="111">
        <f t="array" ref="AD53">IFERROR(
MEDIAN((IF(DATOS_[[Sexo]:[Sexo]]=$B53,IF(DATOS_[[AGRUP. CLAS. PROF.]:[AGRUP. CLAS. PROF.]]=$B51,IF(DATOS_[[Check Periodo Ref.]:[Check Periodo Ref.]]="Dentro",DATOS_[Conc.Sal.25]))))),
0)</f>
        <v>0</v>
      </c>
      <c r="AE53" s="111">
        <f t="array" ref="AE53">IFERROR(
MEDIAN((IF(DATOS_[[Sexo]:[Sexo]]=$B53,IF(DATOS_[[AGRUP. CLAS. PROF.]:[AGRUP. CLAS. PROF.]]=$B51,IF(DATOS_[[Check Periodo Ref.]:[Check Periodo Ref.]]="Dentro",DATOS_[Conc.Sal.26]))))),
0)</f>
        <v>0</v>
      </c>
      <c r="AF53" s="111">
        <f t="array" ref="AF53">IFERROR(
MEDIAN((IF(DATOS_[[Sexo]:[Sexo]]=$B53,IF(DATOS_[[AGRUP. CLAS. PROF.]:[AGRUP. CLAS. PROF.]]=$B51,IF(DATOS_[[Check Periodo Ref.]:[Check Periodo Ref.]]="Dentro",DATOS_[Conc.Sal.27]))))),
0)</f>
        <v>0</v>
      </c>
      <c r="AG53" s="111">
        <f t="array" ref="AG53">IFERROR(
MEDIAN((IF(DATOS_[[Sexo]:[Sexo]]=$B53,IF(DATOS_[[AGRUP. CLAS. PROF.]:[AGRUP. CLAS. PROF.]]=$B51,IF(DATOS_[[Check Periodo Ref.]:[Check Periodo Ref.]]="Dentro",DATOS_[Conc.Sal.28]))))),
0)</f>
        <v>0</v>
      </c>
      <c r="AH53" s="111">
        <f t="array" ref="AH53">IFERROR(
MEDIAN((IF(DATOS_[[Sexo]:[Sexo]]=$B53,IF(DATOS_[[AGRUP. CLAS. PROF.]:[AGRUP. CLAS. PROF.]]=$B51,IF(DATOS_[[Check Periodo Ref.]:[Check Periodo Ref.]]="Dentro",DATOS_[Conc.Sal.29]))))),
0)</f>
        <v>0</v>
      </c>
      <c r="AI53" s="111">
        <f t="array" ref="AI53">IFERROR(
MEDIAN((IF(DATOS_[[Sexo]:[Sexo]]=$B53,IF(DATOS_[[AGRUP. CLAS. PROF.]:[AGRUP. CLAS. PROF.]]=$B51,IF(DATOS_[[Check Periodo Ref.]:[Check Periodo Ref.]]="Dentro",DATOS_[Conc.Sal.30]))))),
0)</f>
        <v>0</v>
      </c>
      <c r="AJ53" s="112">
        <f t="array" ref="AJ53">IFERROR(
MEDIAN(IF(DATOS_[Sexo]=$B53,IF(DATOS_[AGRUP. CLAS. PROF.]=$B51,IF(DATOS_[Check Periodo Ref.]="Dentro",DATOS_[Tot COMPL.SAL Ef],FALSE)))),
0)</f>
        <v>0</v>
      </c>
      <c r="AK53" s="113">
        <f t="array" ref="AK53">IFERROR(
MEDIAN(IF(DATOS_[Sexo]=$B53,IF(DATOS_[AGRUP. CLAS. PROF.]=$B51,IF(DATOS_[Check Periodo Ref.]="Dentro",DATOS_[TOTAL SALARIO Ef],FALSE)))),
0)</f>
        <v>0</v>
      </c>
      <c r="AL53" s="114">
        <f t="array" ref="AL53">IFERROR(
MEDIAN((IF(DATOS_[[Sexo]:[Sexo]]=$B53,IF(DATOS_[[AGRUP. CLAS. PROF.]:[AGRUP. CLAS. PROF.]]=$B51,IF(DATOS_[[Check Periodo Ref.]:[Check Periodo Ref.]]="Dentro",DATOS_[C.Extra.01]))))),
0)</f>
        <v>0</v>
      </c>
      <c r="AM53" s="114">
        <f t="array" ref="AM53">IFERROR(
MEDIAN((IF(DATOS_[[Sexo]:[Sexo]]=$B53,IF(DATOS_[[AGRUP. CLAS. PROF.]:[AGRUP. CLAS. PROF.]]=$B51,IF(DATOS_[[Check Periodo Ref.]:[Check Periodo Ref.]]="Dentro",DATOS_[C.Extra.02]))))),
0)</f>
        <v>0</v>
      </c>
      <c r="AN53" s="114">
        <f t="array" ref="AN53">IFERROR(
MEDIAN((IF(DATOS_[[Sexo]:[Sexo]]=$B53,IF(DATOS_[[AGRUP. CLAS. PROF.]:[AGRUP. CLAS. PROF.]]=$B51,IF(DATOS_[[Check Periodo Ref.]:[Check Periodo Ref.]]="Dentro",DATOS_[C.Extra.03]))))),
0)</f>
        <v>0</v>
      </c>
      <c r="AO53" s="114">
        <f t="array" ref="AO53">IFERROR(
MEDIAN((IF(DATOS_[[Sexo]:[Sexo]]=$B53,IF(DATOS_[[AGRUP. CLAS. PROF.]:[AGRUP. CLAS. PROF.]]=$B51,IF(DATOS_[[Check Periodo Ref.]:[Check Periodo Ref.]]="Dentro",DATOS_[C.Extra.04]))))),
0)</f>
        <v>0</v>
      </c>
      <c r="AP53" s="114">
        <f t="array" ref="AP53">IFERROR(
MEDIAN((IF(DATOS_[[Sexo]:[Sexo]]=$B53,IF(DATOS_[[AGRUP. CLAS. PROF.]:[AGRUP. CLAS. PROF.]]=$B51,IF(DATOS_[[Check Periodo Ref.]:[Check Periodo Ref.]]="Dentro",DATOS_[C.Extra.05]))))),
0)</f>
        <v>0</v>
      </c>
      <c r="AQ53" s="115">
        <f t="array" ref="AQ53">IFERROR(
MEDIAN(IF(DATOS_[Sexo]=$B53,IF(DATOS_[AGRUP. CLAS. PROF.]=$B51,IF(DATOS_[Check Periodo Ref.]="Dentro",DATOS_[Tot Extrasalarial Ef],FALSE)))),
0)</f>
        <v>0</v>
      </c>
      <c r="AR53" s="116">
        <f t="array" ref="AR53">IFERROR(
MEDIAN(IF(DATOS_[Sexo]=$B53,IF(DATOS_[AGRUP. CLAS. PROF.]=$B51,IF(DATOS_[Check Periodo Ref.]="Dentro",DATOS_[TOTAL Retrib Ef],FALSE)))),
0)</f>
        <v>0</v>
      </c>
    </row>
    <row r="54" spans="1:44" ht="17.25" hidden="1" thickBot="1" x14ac:dyDescent="0.35">
      <c r="A54" s="42" t="str">
        <f t="shared" ref="A54" si="55">+A55</f>
        <v>[ocultar]</v>
      </c>
      <c r="B54" s="40" t="s">
        <v>230</v>
      </c>
      <c r="C54" s="109"/>
      <c r="D54" s="41"/>
      <c r="E54" s="119" t="str">
        <f t="shared" ref="E54:AR54" si="56">IFERROR((E55-E56)/E55,"")</f>
        <v/>
      </c>
      <c r="F54" s="123" t="str">
        <f t="shared" si="56"/>
        <v/>
      </c>
      <c r="G54" s="123" t="str">
        <f t="shared" si="56"/>
        <v/>
      </c>
      <c r="H54" s="123" t="str">
        <f t="shared" si="56"/>
        <v/>
      </c>
      <c r="I54" s="123" t="str">
        <f t="shared" si="56"/>
        <v/>
      </c>
      <c r="J54" s="123" t="str">
        <f t="shared" si="56"/>
        <v/>
      </c>
      <c r="K54" s="123" t="str">
        <f t="shared" si="56"/>
        <v/>
      </c>
      <c r="L54" s="123" t="str">
        <f t="shared" si="56"/>
        <v/>
      </c>
      <c r="M54" s="123" t="str">
        <f t="shared" si="56"/>
        <v/>
      </c>
      <c r="N54" s="123" t="str">
        <f t="shared" si="56"/>
        <v/>
      </c>
      <c r="O54" s="123" t="str">
        <f t="shared" si="56"/>
        <v/>
      </c>
      <c r="P54" s="123" t="str">
        <f t="shared" si="56"/>
        <v/>
      </c>
      <c r="Q54" s="123" t="str">
        <f t="shared" si="56"/>
        <v/>
      </c>
      <c r="R54" s="123" t="str">
        <f t="shared" si="56"/>
        <v/>
      </c>
      <c r="S54" s="123" t="str">
        <f t="shared" si="56"/>
        <v/>
      </c>
      <c r="T54" s="123" t="str">
        <f t="shared" si="56"/>
        <v/>
      </c>
      <c r="U54" s="123" t="str">
        <f t="shared" si="56"/>
        <v/>
      </c>
      <c r="V54" s="122" t="str">
        <f t="shared" si="56"/>
        <v/>
      </c>
      <c r="W54" s="122" t="str">
        <f t="shared" si="56"/>
        <v/>
      </c>
      <c r="X54" s="122" t="str">
        <f t="shared" si="56"/>
        <v/>
      </c>
      <c r="Y54" s="122" t="str">
        <f t="shared" si="56"/>
        <v/>
      </c>
      <c r="Z54" s="122" t="str">
        <f t="shared" si="56"/>
        <v/>
      </c>
      <c r="AA54" s="122" t="str">
        <f t="shared" si="56"/>
        <v/>
      </c>
      <c r="AB54" s="122" t="str">
        <f t="shared" si="56"/>
        <v/>
      </c>
      <c r="AC54" s="122" t="str">
        <f t="shared" si="56"/>
        <v/>
      </c>
      <c r="AD54" s="122" t="str">
        <f t="shared" si="56"/>
        <v/>
      </c>
      <c r="AE54" s="122" t="str">
        <f t="shared" si="56"/>
        <v/>
      </c>
      <c r="AF54" s="122" t="str">
        <f t="shared" si="56"/>
        <v/>
      </c>
      <c r="AG54" s="122" t="str">
        <f t="shared" si="56"/>
        <v/>
      </c>
      <c r="AH54" s="122" t="str">
        <f t="shared" si="56"/>
        <v/>
      </c>
      <c r="AI54" s="122" t="str">
        <f t="shared" si="56"/>
        <v/>
      </c>
      <c r="AJ54" s="124" t="str">
        <f t="shared" si="56"/>
        <v/>
      </c>
      <c r="AK54" s="128" t="str">
        <f t="shared" si="56"/>
        <v/>
      </c>
      <c r="AL54" s="125" t="str">
        <f t="shared" si="56"/>
        <v/>
      </c>
      <c r="AM54" s="125" t="str">
        <f t="shared" si="56"/>
        <v/>
      </c>
      <c r="AN54" s="125" t="str">
        <f t="shared" si="56"/>
        <v/>
      </c>
      <c r="AO54" s="125" t="str">
        <f t="shared" si="56"/>
        <v/>
      </c>
      <c r="AP54" s="125" t="str">
        <f t="shared" si="56"/>
        <v/>
      </c>
      <c r="AQ54" s="126" t="str">
        <f t="shared" si="56"/>
        <v/>
      </c>
      <c r="AR54" s="127" t="str">
        <f t="shared" si="56"/>
        <v/>
      </c>
    </row>
    <row r="55" spans="1:44" hidden="1" x14ac:dyDescent="0.3">
      <c r="A55" s="42" t="str">
        <f t="shared" ref="A55" si="57">+IF(C55+C56=0,"[ocultar]","")</f>
        <v>[ocultar]</v>
      </c>
      <c r="B55" s="34" t="s">
        <v>162</v>
      </c>
      <c r="C55" s="33">
        <f t="array" ref="C55">SUM(IF($B55=DATOS_[Sexo],
IF($B54=DATOS_[AGRUP. CLAS. PROF.],
IF("Dentro"=DATOS_[Check Periodo Ref.],
1/(COUNTIFS(DATOS_[Sexo],$B55,DATOS_[AGRUP. CLAS. PROF.],$B54,DATOS_[Check Periodo Ref.],"Dentro",DATOS_[id],DATOS_[id]))))))</f>
        <v>0</v>
      </c>
      <c r="D55" s="35">
        <f>COUNTIFS(DATOS_[AGRUP. CLAS. PROF.],$B54,DATOS_[Sexo],$B55,DATOS_[Check Periodo Ref.],"Dentro")</f>
        <v>0</v>
      </c>
      <c r="E55" s="110">
        <f t="array" ref="E55">IFERROR(
MEDIAN(IF(DATOS_[Sexo]=$B55,IF(DATOS_[AGRUP. CLAS. PROF.]=$B54,IF(DATOS_[Check Periodo Ref.]="Dentro",DATOS_[SALARIO BASE Ef],FALSE)))),
0)</f>
        <v>0</v>
      </c>
      <c r="F55" s="111">
        <f t="array" ref="F55">IFERROR(
MEDIAN((IF(DATOS_[[Sexo]:[Sexo]]=$B55,IF(DATOS_[[AGRUP. CLAS. PROF.]:[AGRUP. CLAS. PROF.]]=$B54,IF(DATOS_[[Check Periodo Ref.]:[Check Periodo Ref.]]="Dentro",DATOS_[Conc.Sal.01]))))),
0)</f>
        <v>0</v>
      </c>
      <c r="G55" s="111">
        <f t="array" ref="G55">IFERROR(
MEDIAN((IF(DATOS_[[Sexo]:[Sexo]]=$B55,IF(DATOS_[[AGRUP. CLAS. PROF.]:[AGRUP. CLAS. PROF.]]=$B54,IF(DATOS_[[Check Periodo Ref.]:[Check Periodo Ref.]]="Dentro",DATOS_[Conc.Sal.02]))))),
0)</f>
        <v>0</v>
      </c>
      <c r="H55" s="111">
        <f t="array" ref="H55">IFERROR(
MEDIAN((IF(DATOS_[[Sexo]:[Sexo]]=$B55,IF(DATOS_[[AGRUP. CLAS. PROF.]:[AGRUP. CLAS. PROF.]]=$B54,IF(DATOS_[[Check Periodo Ref.]:[Check Periodo Ref.]]="Dentro",DATOS_[Conc.Sal.03]))))),
0)</f>
        <v>0</v>
      </c>
      <c r="I55" s="111">
        <f t="array" ref="I55">IFERROR(
MEDIAN((IF(DATOS_[[Sexo]:[Sexo]]=$B55,IF(DATOS_[[AGRUP. CLAS. PROF.]:[AGRUP. CLAS. PROF.]]=$B54,IF(DATOS_[[Check Periodo Ref.]:[Check Periodo Ref.]]="Dentro",DATOS_[Conc.Sal.04]))))),
0)</f>
        <v>0</v>
      </c>
      <c r="J55" s="111">
        <f t="array" ref="J55">IFERROR(
MEDIAN((IF(DATOS_[[Sexo]:[Sexo]]=$B55,IF(DATOS_[[AGRUP. CLAS. PROF.]:[AGRUP. CLAS. PROF.]]=$B54,IF(DATOS_[[Check Periodo Ref.]:[Check Periodo Ref.]]="Dentro",DATOS_[Conc.Sal.05]))))),
0)</f>
        <v>0</v>
      </c>
      <c r="K55" s="111">
        <f t="array" ref="K55">IFERROR(
MEDIAN((IF(DATOS_[[Sexo]:[Sexo]]=$B55,IF(DATOS_[[AGRUP. CLAS. PROF.]:[AGRUP. CLAS. PROF.]]=$B54,IF(DATOS_[[Check Periodo Ref.]:[Check Periodo Ref.]]="Dentro",DATOS_[Conc.Sal.06]))))),
0)</f>
        <v>0</v>
      </c>
      <c r="L55" s="111">
        <f t="array" ref="L55">IFERROR(
MEDIAN((IF(DATOS_[[Sexo]:[Sexo]]=$B55,IF(DATOS_[[AGRUP. CLAS. PROF.]:[AGRUP. CLAS. PROF.]]=$B54,IF(DATOS_[[Check Periodo Ref.]:[Check Periodo Ref.]]="Dentro",DATOS_[Conc.Sal.07]))))),
0)</f>
        <v>0</v>
      </c>
      <c r="M55" s="111">
        <f t="array" ref="M55">IFERROR(
MEDIAN((IF(DATOS_[[Sexo]:[Sexo]]=$B55,IF(DATOS_[[AGRUP. CLAS. PROF.]:[AGRUP. CLAS. PROF.]]=$B54,IF(DATOS_[[Check Periodo Ref.]:[Check Periodo Ref.]]="Dentro",DATOS_[Conc.Sal.08]))))),
0)</f>
        <v>0</v>
      </c>
      <c r="N55" s="111">
        <f t="array" ref="N55">IFERROR(
MEDIAN((IF(DATOS_[[Sexo]:[Sexo]]=$B55,IF(DATOS_[[AGRUP. CLAS. PROF.]:[AGRUP. CLAS. PROF.]]=$B54,IF(DATOS_[[Check Periodo Ref.]:[Check Periodo Ref.]]="Dentro",DATOS_[Conc.Sal.09]))))),
0)</f>
        <v>0</v>
      </c>
      <c r="O55" s="111">
        <f t="array" ref="O55">IFERROR(
MEDIAN((IF(DATOS_[[Sexo]:[Sexo]]=$B55,IF(DATOS_[[AGRUP. CLAS. PROF.]:[AGRUP. CLAS. PROF.]]=$B54,IF(DATOS_[[Check Periodo Ref.]:[Check Periodo Ref.]]="Dentro",DATOS_[Conc.Sal.10]))))),
0)</f>
        <v>0</v>
      </c>
      <c r="P55" s="111">
        <f t="array" ref="P55">IFERROR(
MEDIAN((IF(DATOS_[[Sexo]:[Sexo]]=$B55,IF(DATOS_[[AGRUP. CLAS. PROF.]:[AGRUP. CLAS. PROF.]]=$B54,IF(DATOS_[[Check Periodo Ref.]:[Check Periodo Ref.]]="Dentro",DATOS_[Conc.Sal.11]))))),
0)</f>
        <v>0</v>
      </c>
      <c r="Q55" s="111">
        <f t="array" ref="Q55">IFERROR(
MEDIAN((IF(DATOS_[[Sexo]:[Sexo]]=$B55,IF(DATOS_[[AGRUP. CLAS. PROF.]:[AGRUP. CLAS. PROF.]]=$B54,IF(DATOS_[[Check Periodo Ref.]:[Check Periodo Ref.]]="Dentro",DATOS_[Conc.Sal.12]))))),
0)</f>
        <v>0</v>
      </c>
      <c r="R55" s="111">
        <f t="array" ref="R55">IFERROR(
MEDIAN((IF(DATOS_[[Sexo]:[Sexo]]=$B55,IF(DATOS_[[AGRUP. CLAS. PROF.]:[AGRUP. CLAS. PROF.]]=$B54,IF(DATOS_[[Check Periodo Ref.]:[Check Periodo Ref.]]="Dentro",DATOS_[Conc.Sal.13]))))),
0)</f>
        <v>0</v>
      </c>
      <c r="S55" s="111">
        <f t="array" ref="S55">IFERROR(
MEDIAN((IF(DATOS_[[Sexo]:[Sexo]]=$B55,IF(DATOS_[[AGRUP. CLAS. PROF.]:[AGRUP. CLAS. PROF.]]=$B54,IF(DATOS_[[Check Periodo Ref.]:[Check Periodo Ref.]]="Dentro",DATOS_[Conc.Sal.14]))))),
0)</f>
        <v>0</v>
      </c>
      <c r="T55" s="111">
        <f t="array" ref="T55">IFERROR(
MEDIAN((IF(DATOS_[[Sexo]:[Sexo]]=$B55,IF(DATOS_[[AGRUP. CLAS. PROF.]:[AGRUP. CLAS. PROF.]]=$B54,IF(DATOS_[[Check Periodo Ref.]:[Check Periodo Ref.]]="Dentro",DATOS_[Conc.Sal.15]))))),
0)</f>
        <v>0</v>
      </c>
      <c r="U55" s="111">
        <f t="array" ref="U55">IFERROR(
MEDIAN((IF(DATOS_[[Sexo]:[Sexo]]=$B55,IF(DATOS_[[AGRUP. CLAS. PROF.]:[AGRUP. CLAS. PROF.]]=$B54,IF(DATOS_[[Check Periodo Ref.]:[Check Periodo Ref.]]="Dentro",DATOS_[Conc.Sal.16]))))),
0)</f>
        <v>0</v>
      </c>
      <c r="V55" s="111">
        <f t="array" ref="V55">IFERROR(
MEDIAN((IF(DATOS_[[Sexo]:[Sexo]]=$B55,IF(DATOS_[[AGRUP. CLAS. PROF.]:[AGRUP. CLAS. PROF.]]=$B54,IF(DATOS_[[Check Periodo Ref.]:[Check Periodo Ref.]]="Dentro",DATOS_[Conc.Sal.17]))))),
0)</f>
        <v>0</v>
      </c>
      <c r="W55" s="111">
        <f t="array" ref="W55">IFERROR(
MEDIAN((IF(DATOS_[[Sexo]:[Sexo]]=$B55,IF(DATOS_[[AGRUP. CLAS. PROF.]:[AGRUP. CLAS. PROF.]]=$B54,IF(DATOS_[[Check Periodo Ref.]:[Check Periodo Ref.]]="Dentro",DATOS_[Conc.Sal.18]))))),
0)</f>
        <v>0</v>
      </c>
      <c r="X55" s="111">
        <f t="array" ref="X55">IFERROR(
MEDIAN((IF(DATOS_[[Sexo]:[Sexo]]=$B55,IF(DATOS_[[AGRUP. CLAS. PROF.]:[AGRUP. CLAS. PROF.]]=$B54,IF(DATOS_[[Check Periodo Ref.]:[Check Periodo Ref.]]="Dentro",DATOS_[Conc.Sal.19]))))),
0)</f>
        <v>0</v>
      </c>
      <c r="Y55" s="111">
        <f t="array" ref="Y55">IFERROR(
MEDIAN((IF(DATOS_[[Sexo]:[Sexo]]=$B55,IF(DATOS_[[AGRUP. CLAS. PROF.]:[AGRUP. CLAS. PROF.]]=$B54,IF(DATOS_[[Check Periodo Ref.]:[Check Periodo Ref.]]="Dentro",DATOS_[Conc.Sal.20]))))),
0)</f>
        <v>0</v>
      </c>
      <c r="Z55" s="111">
        <f t="array" ref="Z55">IFERROR(
MEDIAN((IF(DATOS_[[Sexo]:[Sexo]]=$B55,IF(DATOS_[[AGRUP. CLAS. PROF.]:[AGRUP. CLAS. PROF.]]=$B54,IF(DATOS_[[Check Periodo Ref.]:[Check Periodo Ref.]]="Dentro",DATOS_[Conc.Sal.21]))))),
0)</f>
        <v>0</v>
      </c>
      <c r="AA55" s="111">
        <f t="array" ref="AA55">IFERROR(
MEDIAN((IF(DATOS_[[Sexo]:[Sexo]]=$B55,IF(DATOS_[[AGRUP. CLAS. PROF.]:[AGRUP. CLAS. PROF.]]=$B54,IF(DATOS_[[Check Periodo Ref.]:[Check Periodo Ref.]]="Dentro",DATOS_[Conc.Sal.22]))))),
0)</f>
        <v>0</v>
      </c>
      <c r="AB55" s="111">
        <f t="array" ref="AB55">IFERROR(
MEDIAN((IF(DATOS_[[Sexo]:[Sexo]]=$B55,IF(DATOS_[[AGRUP. CLAS. PROF.]:[AGRUP. CLAS. PROF.]]=$B54,IF(DATOS_[[Check Periodo Ref.]:[Check Periodo Ref.]]="Dentro",DATOS_[Conc.Sal.23]))))),
0)</f>
        <v>0</v>
      </c>
      <c r="AC55" s="111">
        <f t="array" ref="AC55">IFERROR(
MEDIAN((IF(DATOS_[[Sexo]:[Sexo]]=$B55,IF(DATOS_[[AGRUP. CLAS. PROF.]:[AGRUP. CLAS. PROF.]]=$B54,IF(DATOS_[[Check Periodo Ref.]:[Check Periodo Ref.]]="Dentro",DATOS_[Conc.Sal.24]))))),
0)</f>
        <v>0</v>
      </c>
      <c r="AD55" s="111">
        <f t="array" ref="AD55">IFERROR(
MEDIAN((IF(DATOS_[[Sexo]:[Sexo]]=$B55,IF(DATOS_[[AGRUP. CLAS. PROF.]:[AGRUP. CLAS. PROF.]]=$B54,IF(DATOS_[[Check Periodo Ref.]:[Check Periodo Ref.]]="Dentro",DATOS_[Conc.Sal.25]))))),
0)</f>
        <v>0</v>
      </c>
      <c r="AE55" s="111">
        <f t="array" ref="AE55">IFERROR(
MEDIAN((IF(DATOS_[[Sexo]:[Sexo]]=$B55,IF(DATOS_[[AGRUP. CLAS. PROF.]:[AGRUP. CLAS. PROF.]]=$B54,IF(DATOS_[[Check Periodo Ref.]:[Check Periodo Ref.]]="Dentro",DATOS_[Conc.Sal.26]))))),
0)</f>
        <v>0</v>
      </c>
      <c r="AF55" s="111">
        <f t="array" ref="AF55">IFERROR(
MEDIAN((IF(DATOS_[[Sexo]:[Sexo]]=$B55,IF(DATOS_[[AGRUP. CLAS. PROF.]:[AGRUP. CLAS. PROF.]]=$B54,IF(DATOS_[[Check Periodo Ref.]:[Check Periodo Ref.]]="Dentro",DATOS_[Conc.Sal.27]))))),
0)</f>
        <v>0</v>
      </c>
      <c r="AG55" s="111">
        <f t="array" ref="AG55">IFERROR(
MEDIAN((IF(DATOS_[[Sexo]:[Sexo]]=$B55,IF(DATOS_[[AGRUP. CLAS. PROF.]:[AGRUP. CLAS. PROF.]]=$B54,IF(DATOS_[[Check Periodo Ref.]:[Check Periodo Ref.]]="Dentro",DATOS_[Conc.Sal.28]))))),
0)</f>
        <v>0</v>
      </c>
      <c r="AH55" s="111">
        <f t="array" ref="AH55">IFERROR(
MEDIAN((IF(DATOS_[[Sexo]:[Sexo]]=$B55,IF(DATOS_[[AGRUP. CLAS. PROF.]:[AGRUP. CLAS. PROF.]]=$B54,IF(DATOS_[[Check Periodo Ref.]:[Check Periodo Ref.]]="Dentro",DATOS_[Conc.Sal.29]))))),
0)</f>
        <v>0</v>
      </c>
      <c r="AI55" s="111">
        <f t="array" ref="AI55">IFERROR(
MEDIAN((IF(DATOS_[[Sexo]:[Sexo]]=$B55,IF(DATOS_[[AGRUP. CLAS. PROF.]:[AGRUP. CLAS. PROF.]]=$B54,IF(DATOS_[[Check Periodo Ref.]:[Check Periodo Ref.]]="Dentro",DATOS_[Conc.Sal.30]))))),
0)</f>
        <v>0</v>
      </c>
      <c r="AJ55" s="112">
        <f t="array" ref="AJ55">IFERROR(
MEDIAN(IF(DATOS_[Sexo]=$B55,IF(DATOS_[AGRUP. CLAS. PROF.]=$B54,IF(DATOS_[Check Periodo Ref.]="Dentro",DATOS_[Tot COMPL.SAL Ef],FALSE)))),
0)</f>
        <v>0</v>
      </c>
      <c r="AK55" s="113">
        <f t="array" ref="AK55">IFERROR(
MEDIAN(IF(DATOS_[Sexo]=$B55,IF(DATOS_[AGRUP. CLAS. PROF.]=$B54,IF(DATOS_[Check Periodo Ref.]="Dentro",DATOS_[TOTAL SALARIO Ef],FALSE)))),
0)</f>
        <v>0</v>
      </c>
      <c r="AL55" s="114">
        <f t="array" ref="AL55">IFERROR(
MEDIAN((IF(DATOS_[[Sexo]:[Sexo]]=$B55,IF(DATOS_[[AGRUP. CLAS. PROF.]:[AGRUP. CLAS. PROF.]]=$B54,IF(DATOS_[[Check Periodo Ref.]:[Check Periodo Ref.]]="Dentro",DATOS_[C.Extra.01]))))),
0)</f>
        <v>0</v>
      </c>
      <c r="AM55" s="114">
        <f t="array" ref="AM55">IFERROR(
MEDIAN((IF(DATOS_[[Sexo]:[Sexo]]=$B55,IF(DATOS_[[AGRUP. CLAS. PROF.]:[AGRUP. CLAS. PROF.]]=$B54,IF(DATOS_[[Check Periodo Ref.]:[Check Periodo Ref.]]="Dentro",DATOS_[C.Extra.02]))))),
0)</f>
        <v>0</v>
      </c>
      <c r="AN55" s="114">
        <f t="array" ref="AN55">IFERROR(
MEDIAN((IF(DATOS_[[Sexo]:[Sexo]]=$B55,IF(DATOS_[[AGRUP. CLAS. PROF.]:[AGRUP. CLAS. PROF.]]=$B54,IF(DATOS_[[Check Periodo Ref.]:[Check Periodo Ref.]]="Dentro",DATOS_[C.Extra.03]))))),
0)</f>
        <v>0</v>
      </c>
      <c r="AO55" s="114">
        <f t="array" ref="AO55">IFERROR(
MEDIAN((IF(DATOS_[[Sexo]:[Sexo]]=$B55,IF(DATOS_[[AGRUP. CLAS. PROF.]:[AGRUP. CLAS. PROF.]]=$B54,IF(DATOS_[[Check Periodo Ref.]:[Check Periodo Ref.]]="Dentro",DATOS_[C.Extra.04]))))),
0)</f>
        <v>0</v>
      </c>
      <c r="AP55" s="114">
        <f t="array" ref="AP55">IFERROR(
MEDIAN((IF(DATOS_[[Sexo]:[Sexo]]=$B55,IF(DATOS_[[AGRUP. CLAS. PROF.]:[AGRUP. CLAS. PROF.]]=$B54,IF(DATOS_[[Check Periodo Ref.]:[Check Periodo Ref.]]="Dentro",DATOS_[C.Extra.05]))))),
0)</f>
        <v>0</v>
      </c>
      <c r="AQ55" s="115">
        <f t="array" ref="AQ55">IFERROR(
MEDIAN(IF(DATOS_[Sexo]=$B55,IF(DATOS_[AGRUP. CLAS. PROF.]=$B54,IF(DATOS_[Check Periodo Ref.]="Dentro",DATOS_[Tot Extrasalarial Ef],FALSE)))),
0)</f>
        <v>0</v>
      </c>
      <c r="AR55" s="116">
        <f t="array" ref="AR55">IFERROR(
MEDIAN(IF(DATOS_[Sexo]=$B55,IF(DATOS_[AGRUP. CLAS. PROF.]=$B54,IF(DATOS_[Check Periodo Ref.]="Dentro",DATOS_[TOTAL Retrib Ef],FALSE)))),
0)</f>
        <v>0</v>
      </c>
    </row>
    <row r="56" spans="1:44" hidden="1" x14ac:dyDescent="0.3">
      <c r="A56" s="42" t="str">
        <f t="shared" ref="A56" si="58">+A55</f>
        <v>[ocultar]</v>
      </c>
      <c r="B56" s="34" t="s">
        <v>163</v>
      </c>
      <c r="C56" s="33">
        <f t="array" ref="C56">SUM(IF($B56=DATOS_[Sexo],
IF($B54=DATOS_[AGRUP. CLAS. PROF.],
IF("Dentro"=DATOS_[Check Periodo Ref.],
1/(COUNTIFS(DATOS_[Sexo],$B56,DATOS_[AGRUP. CLAS. PROF.],$B54,DATOS_[Check Periodo Ref.],"Dentro",DATOS_[id],DATOS_[id]))))))</f>
        <v>0</v>
      </c>
      <c r="D56" s="35">
        <f>COUNTIFS(DATOS_[AGRUP. CLAS. PROF.],$B54,DATOS_[Sexo],$B56,DATOS_[Check Periodo Ref.],"Dentro")</f>
        <v>0</v>
      </c>
      <c r="E56" s="110">
        <f t="array" ref="E56">IFERROR(
MEDIAN(IF(DATOS_[Sexo]=$B56,IF(DATOS_[AGRUP. CLAS. PROF.]=$B54,IF(DATOS_[Check Periodo Ref.]="Dentro",DATOS_[SALARIO BASE Ef],FALSE)))),
0)</f>
        <v>0</v>
      </c>
      <c r="F56" s="111">
        <f t="array" ref="F56">IFERROR(
MEDIAN((IF(DATOS_[[Sexo]:[Sexo]]=$B56,IF(DATOS_[[AGRUP. CLAS. PROF.]:[AGRUP. CLAS. PROF.]]=$B54,IF(DATOS_[[Check Periodo Ref.]:[Check Periodo Ref.]]="Dentro",DATOS_[Conc.Sal.01]))))),
0)</f>
        <v>0</v>
      </c>
      <c r="G56" s="111">
        <f t="array" ref="G56">IFERROR(
MEDIAN((IF(DATOS_[[Sexo]:[Sexo]]=$B56,IF(DATOS_[[AGRUP. CLAS. PROF.]:[AGRUP. CLAS. PROF.]]=$B54,IF(DATOS_[[Check Periodo Ref.]:[Check Periodo Ref.]]="Dentro",DATOS_[Conc.Sal.02]))))),
0)</f>
        <v>0</v>
      </c>
      <c r="H56" s="111">
        <f t="array" ref="H56">IFERROR(
MEDIAN((IF(DATOS_[[Sexo]:[Sexo]]=$B56,IF(DATOS_[[AGRUP. CLAS. PROF.]:[AGRUP. CLAS. PROF.]]=$B54,IF(DATOS_[[Check Periodo Ref.]:[Check Periodo Ref.]]="Dentro",DATOS_[Conc.Sal.03]))))),
0)</f>
        <v>0</v>
      </c>
      <c r="I56" s="111">
        <f t="array" ref="I56">IFERROR(
MEDIAN((IF(DATOS_[[Sexo]:[Sexo]]=$B56,IF(DATOS_[[AGRUP. CLAS. PROF.]:[AGRUP. CLAS. PROF.]]=$B54,IF(DATOS_[[Check Periodo Ref.]:[Check Periodo Ref.]]="Dentro",DATOS_[Conc.Sal.04]))))),
0)</f>
        <v>0</v>
      </c>
      <c r="J56" s="111">
        <f t="array" ref="J56">IFERROR(
MEDIAN((IF(DATOS_[[Sexo]:[Sexo]]=$B56,IF(DATOS_[[AGRUP. CLAS. PROF.]:[AGRUP. CLAS. PROF.]]=$B54,IF(DATOS_[[Check Periodo Ref.]:[Check Periodo Ref.]]="Dentro",DATOS_[Conc.Sal.05]))))),
0)</f>
        <v>0</v>
      </c>
      <c r="K56" s="111">
        <f t="array" ref="K56">IFERROR(
MEDIAN((IF(DATOS_[[Sexo]:[Sexo]]=$B56,IF(DATOS_[[AGRUP. CLAS. PROF.]:[AGRUP. CLAS. PROF.]]=$B54,IF(DATOS_[[Check Periodo Ref.]:[Check Periodo Ref.]]="Dentro",DATOS_[Conc.Sal.06]))))),
0)</f>
        <v>0</v>
      </c>
      <c r="L56" s="111">
        <f t="array" ref="L56">IFERROR(
MEDIAN((IF(DATOS_[[Sexo]:[Sexo]]=$B56,IF(DATOS_[[AGRUP. CLAS. PROF.]:[AGRUP. CLAS. PROF.]]=$B54,IF(DATOS_[[Check Periodo Ref.]:[Check Periodo Ref.]]="Dentro",DATOS_[Conc.Sal.07]))))),
0)</f>
        <v>0</v>
      </c>
      <c r="M56" s="111">
        <f t="array" ref="M56">IFERROR(
MEDIAN((IF(DATOS_[[Sexo]:[Sexo]]=$B56,IF(DATOS_[[AGRUP. CLAS. PROF.]:[AGRUP. CLAS. PROF.]]=$B54,IF(DATOS_[[Check Periodo Ref.]:[Check Periodo Ref.]]="Dentro",DATOS_[Conc.Sal.08]))))),
0)</f>
        <v>0</v>
      </c>
      <c r="N56" s="111">
        <f t="array" ref="N56">IFERROR(
MEDIAN((IF(DATOS_[[Sexo]:[Sexo]]=$B56,IF(DATOS_[[AGRUP. CLAS. PROF.]:[AGRUP. CLAS. PROF.]]=$B54,IF(DATOS_[[Check Periodo Ref.]:[Check Periodo Ref.]]="Dentro",DATOS_[Conc.Sal.09]))))),
0)</f>
        <v>0</v>
      </c>
      <c r="O56" s="111">
        <f t="array" ref="O56">IFERROR(
MEDIAN((IF(DATOS_[[Sexo]:[Sexo]]=$B56,IF(DATOS_[[AGRUP. CLAS. PROF.]:[AGRUP. CLAS. PROF.]]=$B54,IF(DATOS_[[Check Periodo Ref.]:[Check Periodo Ref.]]="Dentro",DATOS_[Conc.Sal.10]))))),
0)</f>
        <v>0</v>
      </c>
      <c r="P56" s="111">
        <f t="array" ref="P56">IFERROR(
MEDIAN((IF(DATOS_[[Sexo]:[Sexo]]=$B56,IF(DATOS_[[AGRUP. CLAS. PROF.]:[AGRUP. CLAS. PROF.]]=$B54,IF(DATOS_[[Check Periodo Ref.]:[Check Periodo Ref.]]="Dentro",DATOS_[Conc.Sal.11]))))),
0)</f>
        <v>0</v>
      </c>
      <c r="Q56" s="111">
        <f t="array" ref="Q56">IFERROR(
MEDIAN((IF(DATOS_[[Sexo]:[Sexo]]=$B56,IF(DATOS_[[AGRUP. CLAS. PROF.]:[AGRUP. CLAS. PROF.]]=$B54,IF(DATOS_[[Check Periodo Ref.]:[Check Periodo Ref.]]="Dentro",DATOS_[Conc.Sal.12]))))),
0)</f>
        <v>0</v>
      </c>
      <c r="R56" s="111">
        <f t="array" ref="R56">IFERROR(
MEDIAN((IF(DATOS_[[Sexo]:[Sexo]]=$B56,IF(DATOS_[[AGRUP. CLAS. PROF.]:[AGRUP. CLAS. PROF.]]=$B54,IF(DATOS_[[Check Periodo Ref.]:[Check Periodo Ref.]]="Dentro",DATOS_[Conc.Sal.13]))))),
0)</f>
        <v>0</v>
      </c>
      <c r="S56" s="111">
        <f t="array" ref="S56">IFERROR(
MEDIAN((IF(DATOS_[[Sexo]:[Sexo]]=$B56,IF(DATOS_[[AGRUP. CLAS. PROF.]:[AGRUP. CLAS. PROF.]]=$B54,IF(DATOS_[[Check Periodo Ref.]:[Check Periodo Ref.]]="Dentro",DATOS_[Conc.Sal.14]))))),
0)</f>
        <v>0</v>
      </c>
      <c r="T56" s="111">
        <f t="array" ref="T56">IFERROR(
MEDIAN((IF(DATOS_[[Sexo]:[Sexo]]=$B56,IF(DATOS_[[AGRUP. CLAS. PROF.]:[AGRUP. CLAS. PROF.]]=$B54,IF(DATOS_[[Check Periodo Ref.]:[Check Periodo Ref.]]="Dentro",DATOS_[Conc.Sal.15]))))),
0)</f>
        <v>0</v>
      </c>
      <c r="U56" s="111">
        <f t="array" ref="U56">IFERROR(
MEDIAN((IF(DATOS_[[Sexo]:[Sexo]]=$B56,IF(DATOS_[[AGRUP. CLAS. PROF.]:[AGRUP. CLAS. PROF.]]=$B54,IF(DATOS_[[Check Periodo Ref.]:[Check Periodo Ref.]]="Dentro",DATOS_[Conc.Sal.16]))))),
0)</f>
        <v>0</v>
      </c>
      <c r="V56" s="111">
        <f t="array" ref="V56">IFERROR(
MEDIAN((IF(DATOS_[[Sexo]:[Sexo]]=$B56,IF(DATOS_[[AGRUP. CLAS. PROF.]:[AGRUP. CLAS. PROF.]]=$B54,IF(DATOS_[[Check Periodo Ref.]:[Check Periodo Ref.]]="Dentro",DATOS_[Conc.Sal.17]))))),
0)</f>
        <v>0</v>
      </c>
      <c r="W56" s="111">
        <f t="array" ref="W56">IFERROR(
MEDIAN((IF(DATOS_[[Sexo]:[Sexo]]=$B56,IF(DATOS_[[AGRUP. CLAS. PROF.]:[AGRUP. CLAS. PROF.]]=$B54,IF(DATOS_[[Check Periodo Ref.]:[Check Periodo Ref.]]="Dentro",DATOS_[Conc.Sal.18]))))),
0)</f>
        <v>0</v>
      </c>
      <c r="X56" s="111">
        <f t="array" ref="X56">IFERROR(
MEDIAN((IF(DATOS_[[Sexo]:[Sexo]]=$B56,IF(DATOS_[[AGRUP. CLAS. PROF.]:[AGRUP. CLAS. PROF.]]=$B54,IF(DATOS_[[Check Periodo Ref.]:[Check Periodo Ref.]]="Dentro",DATOS_[Conc.Sal.19]))))),
0)</f>
        <v>0</v>
      </c>
      <c r="Y56" s="111">
        <f t="array" ref="Y56">IFERROR(
MEDIAN((IF(DATOS_[[Sexo]:[Sexo]]=$B56,IF(DATOS_[[AGRUP. CLAS. PROF.]:[AGRUP. CLAS. PROF.]]=$B54,IF(DATOS_[[Check Periodo Ref.]:[Check Periodo Ref.]]="Dentro",DATOS_[Conc.Sal.20]))))),
0)</f>
        <v>0</v>
      </c>
      <c r="Z56" s="111">
        <f t="array" ref="Z56">IFERROR(
MEDIAN((IF(DATOS_[[Sexo]:[Sexo]]=$B56,IF(DATOS_[[AGRUP. CLAS. PROF.]:[AGRUP. CLAS. PROF.]]=$B54,IF(DATOS_[[Check Periodo Ref.]:[Check Periodo Ref.]]="Dentro",DATOS_[Conc.Sal.21]))))),
0)</f>
        <v>0</v>
      </c>
      <c r="AA56" s="111">
        <f t="array" ref="AA56">IFERROR(
MEDIAN((IF(DATOS_[[Sexo]:[Sexo]]=$B56,IF(DATOS_[[AGRUP. CLAS. PROF.]:[AGRUP. CLAS. PROF.]]=$B54,IF(DATOS_[[Check Periodo Ref.]:[Check Periodo Ref.]]="Dentro",DATOS_[Conc.Sal.22]))))),
0)</f>
        <v>0</v>
      </c>
      <c r="AB56" s="111">
        <f t="array" ref="AB56">IFERROR(
MEDIAN((IF(DATOS_[[Sexo]:[Sexo]]=$B56,IF(DATOS_[[AGRUP. CLAS. PROF.]:[AGRUP. CLAS. PROF.]]=$B54,IF(DATOS_[[Check Periodo Ref.]:[Check Periodo Ref.]]="Dentro",DATOS_[Conc.Sal.23]))))),
0)</f>
        <v>0</v>
      </c>
      <c r="AC56" s="111">
        <f t="array" ref="AC56">IFERROR(
MEDIAN((IF(DATOS_[[Sexo]:[Sexo]]=$B56,IF(DATOS_[[AGRUP. CLAS. PROF.]:[AGRUP. CLAS. PROF.]]=$B54,IF(DATOS_[[Check Periodo Ref.]:[Check Periodo Ref.]]="Dentro",DATOS_[Conc.Sal.24]))))),
0)</f>
        <v>0</v>
      </c>
      <c r="AD56" s="111">
        <f t="array" ref="AD56">IFERROR(
MEDIAN((IF(DATOS_[[Sexo]:[Sexo]]=$B56,IF(DATOS_[[AGRUP. CLAS. PROF.]:[AGRUP. CLAS. PROF.]]=$B54,IF(DATOS_[[Check Periodo Ref.]:[Check Periodo Ref.]]="Dentro",DATOS_[Conc.Sal.25]))))),
0)</f>
        <v>0</v>
      </c>
      <c r="AE56" s="111">
        <f t="array" ref="AE56">IFERROR(
MEDIAN((IF(DATOS_[[Sexo]:[Sexo]]=$B56,IF(DATOS_[[AGRUP. CLAS. PROF.]:[AGRUP. CLAS. PROF.]]=$B54,IF(DATOS_[[Check Periodo Ref.]:[Check Periodo Ref.]]="Dentro",DATOS_[Conc.Sal.26]))))),
0)</f>
        <v>0</v>
      </c>
      <c r="AF56" s="111">
        <f t="array" ref="AF56">IFERROR(
MEDIAN((IF(DATOS_[[Sexo]:[Sexo]]=$B56,IF(DATOS_[[AGRUP. CLAS. PROF.]:[AGRUP. CLAS. PROF.]]=$B54,IF(DATOS_[[Check Periodo Ref.]:[Check Periodo Ref.]]="Dentro",DATOS_[Conc.Sal.27]))))),
0)</f>
        <v>0</v>
      </c>
      <c r="AG56" s="111">
        <f t="array" ref="AG56">IFERROR(
MEDIAN((IF(DATOS_[[Sexo]:[Sexo]]=$B56,IF(DATOS_[[AGRUP. CLAS. PROF.]:[AGRUP. CLAS. PROF.]]=$B54,IF(DATOS_[[Check Periodo Ref.]:[Check Periodo Ref.]]="Dentro",DATOS_[Conc.Sal.28]))))),
0)</f>
        <v>0</v>
      </c>
      <c r="AH56" s="111">
        <f t="array" ref="AH56">IFERROR(
MEDIAN((IF(DATOS_[[Sexo]:[Sexo]]=$B56,IF(DATOS_[[AGRUP. CLAS. PROF.]:[AGRUP. CLAS. PROF.]]=$B54,IF(DATOS_[[Check Periodo Ref.]:[Check Periodo Ref.]]="Dentro",DATOS_[Conc.Sal.29]))))),
0)</f>
        <v>0</v>
      </c>
      <c r="AI56" s="111">
        <f t="array" ref="AI56">IFERROR(
MEDIAN((IF(DATOS_[[Sexo]:[Sexo]]=$B56,IF(DATOS_[[AGRUP. CLAS. PROF.]:[AGRUP. CLAS. PROF.]]=$B54,IF(DATOS_[[Check Periodo Ref.]:[Check Periodo Ref.]]="Dentro",DATOS_[Conc.Sal.30]))))),
0)</f>
        <v>0</v>
      </c>
      <c r="AJ56" s="112">
        <f t="array" ref="AJ56">IFERROR(
MEDIAN(IF(DATOS_[Sexo]=$B56,IF(DATOS_[AGRUP. CLAS. PROF.]=$B54,IF(DATOS_[Check Periodo Ref.]="Dentro",DATOS_[Tot COMPL.SAL Ef],FALSE)))),
0)</f>
        <v>0</v>
      </c>
      <c r="AK56" s="113">
        <f t="array" ref="AK56">IFERROR(
MEDIAN(IF(DATOS_[Sexo]=$B56,IF(DATOS_[AGRUP. CLAS. PROF.]=$B54,IF(DATOS_[Check Periodo Ref.]="Dentro",DATOS_[TOTAL SALARIO Ef],FALSE)))),
0)</f>
        <v>0</v>
      </c>
      <c r="AL56" s="114">
        <f t="array" ref="AL56">IFERROR(
MEDIAN((IF(DATOS_[[Sexo]:[Sexo]]=$B56,IF(DATOS_[[AGRUP. CLAS. PROF.]:[AGRUP. CLAS. PROF.]]=$B54,IF(DATOS_[[Check Periodo Ref.]:[Check Periodo Ref.]]="Dentro",DATOS_[C.Extra.01]))))),
0)</f>
        <v>0</v>
      </c>
      <c r="AM56" s="114">
        <f t="array" ref="AM56">IFERROR(
MEDIAN((IF(DATOS_[[Sexo]:[Sexo]]=$B56,IF(DATOS_[[AGRUP. CLAS. PROF.]:[AGRUP. CLAS. PROF.]]=$B54,IF(DATOS_[[Check Periodo Ref.]:[Check Periodo Ref.]]="Dentro",DATOS_[C.Extra.02]))))),
0)</f>
        <v>0</v>
      </c>
      <c r="AN56" s="114">
        <f t="array" ref="AN56">IFERROR(
MEDIAN((IF(DATOS_[[Sexo]:[Sexo]]=$B56,IF(DATOS_[[AGRUP. CLAS. PROF.]:[AGRUP. CLAS. PROF.]]=$B54,IF(DATOS_[[Check Periodo Ref.]:[Check Periodo Ref.]]="Dentro",DATOS_[C.Extra.03]))))),
0)</f>
        <v>0</v>
      </c>
      <c r="AO56" s="114">
        <f t="array" ref="AO56">IFERROR(
MEDIAN((IF(DATOS_[[Sexo]:[Sexo]]=$B56,IF(DATOS_[[AGRUP. CLAS. PROF.]:[AGRUP. CLAS. PROF.]]=$B54,IF(DATOS_[[Check Periodo Ref.]:[Check Periodo Ref.]]="Dentro",DATOS_[C.Extra.04]))))),
0)</f>
        <v>0</v>
      </c>
      <c r="AP56" s="114">
        <f t="array" ref="AP56">IFERROR(
MEDIAN((IF(DATOS_[[Sexo]:[Sexo]]=$B56,IF(DATOS_[[AGRUP. CLAS. PROF.]:[AGRUP. CLAS. PROF.]]=$B54,IF(DATOS_[[Check Periodo Ref.]:[Check Periodo Ref.]]="Dentro",DATOS_[C.Extra.05]))))),
0)</f>
        <v>0</v>
      </c>
      <c r="AQ56" s="115">
        <f t="array" ref="AQ56">IFERROR(
MEDIAN(IF(DATOS_[Sexo]=$B56,IF(DATOS_[AGRUP. CLAS. PROF.]=$B54,IF(DATOS_[Check Periodo Ref.]="Dentro",DATOS_[Tot Extrasalarial Ef],FALSE)))),
0)</f>
        <v>0</v>
      </c>
      <c r="AR56" s="116">
        <f t="array" ref="AR56">IFERROR(
MEDIAN(IF(DATOS_[Sexo]=$B56,IF(DATOS_[AGRUP. CLAS. PROF.]=$B54,IF(DATOS_[Check Periodo Ref.]="Dentro",DATOS_[TOTAL Retrib Ef],FALSE)))),
0)</f>
        <v>0</v>
      </c>
    </row>
    <row r="57" spans="1:44" ht="17.25" hidden="1" thickBot="1" x14ac:dyDescent="0.35">
      <c r="A57" s="42" t="str">
        <f t="shared" ref="A57" si="59">+A58</f>
        <v>[ocultar]</v>
      </c>
      <c r="B57" s="40" t="s">
        <v>231</v>
      </c>
      <c r="C57" s="109"/>
      <c r="D57" s="41"/>
      <c r="E57" s="119" t="str">
        <f t="shared" ref="E57:AR57" si="60">IFERROR((E58-E59)/E58,"")</f>
        <v/>
      </c>
      <c r="F57" s="123" t="str">
        <f t="shared" si="60"/>
        <v/>
      </c>
      <c r="G57" s="123" t="str">
        <f t="shared" si="60"/>
        <v/>
      </c>
      <c r="H57" s="123" t="str">
        <f t="shared" si="60"/>
        <v/>
      </c>
      <c r="I57" s="123" t="str">
        <f t="shared" si="60"/>
        <v/>
      </c>
      <c r="J57" s="123" t="str">
        <f t="shared" si="60"/>
        <v/>
      </c>
      <c r="K57" s="123" t="str">
        <f t="shared" si="60"/>
        <v/>
      </c>
      <c r="L57" s="123" t="str">
        <f t="shared" si="60"/>
        <v/>
      </c>
      <c r="M57" s="123" t="str">
        <f t="shared" si="60"/>
        <v/>
      </c>
      <c r="N57" s="123" t="str">
        <f t="shared" si="60"/>
        <v/>
      </c>
      <c r="O57" s="123" t="str">
        <f t="shared" si="60"/>
        <v/>
      </c>
      <c r="P57" s="123" t="str">
        <f t="shared" si="60"/>
        <v/>
      </c>
      <c r="Q57" s="123" t="str">
        <f t="shared" si="60"/>
        <v/>
      </c>
      <c r="R57" s="123" t="str">
        <f t="shared" si="60"/>
        <v/>
      </c>
      <c r="S57" s="123" t="str">
        <f t="shared" si="60"/>
        <v/>
      </c>
      <c r="T57" s="123" t="str">
        <f t="shared" si="60"/>
        <v/>
      </c>
      <c r="U57" s="123" t="str">
        <f t="shared" si="60"/>
        <v/>
      </c>
      <c r="V57" s="122" t="str">
        <f t="shared" si="60"/>
        <v/>
      </c>
      <c r="W57" s="122" t="str">
        <f t="shared" si="60"/>
        <v/>
      </c>
      <c r="X57" s="122" t="str">
        <f t="shared" si="60"/>
        <v/>
      </c>
      <c r="Y57" s="122" t="str">
        <f t="shared" si="60"/>
        <v/>
      </c>
      <c r="Z57" s="122" t="str">
        <f t="shared" si="60"/>
        <v/>
      </c>
      <c r="AA57" s="122" t="str">
        <f t="shared" si="60"/>
        <v/>
      </c>
      <c r="AB57" s="122" t="str">
        <f t="shared" si="60"/>
        <v/>
      </c>
      <c r="AC57" s="122" t="str">
        <f t="shared" si="60"/>
        <v/>
      </c>
      <c r="AD57" s="122" t="str">
        <f t="shared" si="60"/>
        <v/>
      </c>
      <c r="AE57" s="122" t="str">
        <f t="shared" si="60"/>
        <v/>
      </c>
      <c r="AF57" s="122" t="str">
        <f t="shared" si="60"/>
        <v/>
      </c>
      <c r="AG57" s="122" t="str">
        <f t="shared" si="60"/>
        <v/>
      </c>
      <c r="AH57" s="122" t="str">
        <f t="shared" si="60"/>
        <v/>
      </c>
      <c r="AI57" s="122" t="str">
        <f t="shared" si="60"/>
        <v/>
      </c>
      <c r="AJ57" s="124" t="str">
        <f t="shared" si="60"/>
        <v/>
      </c>
      <c r="AK57" s="128" t="str">
        <f t="shared" si="60"/>
        <v/>
      </c>
      <c r="AL57" s="125" t="str">
        <f t="shared" si="60"/>
        <v/>
      </c>
      <c r="AM57" s="125" t="str">
        <f t="shared" si="60"/>
        <v/>
      </c>
      <c r="AN57" s="125" t="str">
        <f t="shared" si="60"/>
        <v/>
      </c>
      <c r="AO57" s="125" t="str">
        <f t="shared" si="60"/>
        <v/>
      </c>
      <c r="AP57" s="125" t="str">
        <f t="shared" si="60"/>
        <v/>
      </c>
      <c r="AQ57" s="126" t="str">
        <f t="shared" si="60"/>
        <v/>
      </c>
      <c r="AR57" s="127" t="str">
        <f t="shared" si="60"/>
        <v/>
      </c>
    </row>
    <row r="58" spans="1:44" hidden="1" x14ac:dyDescent="0.3">
      <c r="A58" s="42" t="str">
        <f t="shared" ref="A58" si="61">+IF(C58+C59=0,"[ocultar]","")</f>
        <v>[ocultar]</v>
      </c>
      <c r="B58" s="34" t="s">
        <v>162</v>
      </c>
      <c r="C58" s="33">
        <f t="array" ref="C58">SUM(IF($B58=DATOS_[Sexo],
IF($B57=DATOS_[AGRUP. CLAS. PROF.],
IF("Dentro"=DATOS_[Check Periodo Ref.],
1/(COUNTIFS(DATOS_[Sexo],$B58,DATOS_[AGRUP. CLAS. PROF.],$B57,DATOS_[Check Periodo Ref.],"Dentro",DATOS_[id],DATOS_[id]))))))</f>
        <v>0</v>
      </c>
      <c r="D58" s="35">
        <f>COUNTIFS(DATOS_[AGRUP. CLAS. PROF.],$B57,DATOS_[Sexo],$B58,DATOS_[Check Periodo Ref.],"Dentro")</f>
        <v>0</v>
      </c>
      <c r="E58" s="110">
        <f t="array" ref="E58">IFERROR(
MEDIAN(IF(DATOS_[Sexo]=$B58,IF(DATOS_[AGRUP. CLAS. PROF.]=$B57,IF(DATOS_[Check Periodo Ref.]="Dentro",DATOS_[SALARIO BASE Ef],FALSE)))),
0)</f>
        <v>0</v>
      </c>
      <c r="F58" s="111">
        <f t="array" ref="F58">IFERROR(
MEDIAN((IF(DATOS_[[Sexo]:[Sexo]]=$B58,IF(DATOS_[[AGRUP. CLAS. PROF.]:[AGRUP. CLAS. PROF.]]=$B57,IF(DATOS_[[Check Periodo Ref.]:[Check Periodo Ref.]]="Dentro",DATOS_[Conc.Sal.01]))))),
0)</f>
        <v>0</v>
      </c>
      <c r="G58" s="111">
        <f t="array" ref="G58">IFERROR(
MEDIAN((IF(DATOS_[[Sexo]:[Sexo]]=$B58,IF(DATOS_[[AGRUP. CLAS. PROF.]:[AGRUP. CLAS. PROF.]]=$B57,IF(DATOS_[[Check Periodo Ref.]:[Check Periodo Ref.]]="Dentro",DATOS_[Conc.Sal.02]))))),
0)</f>
        <v>0</v>
      </c>
      <c r="H58" s="111">
        <f t="array" ref="H58">IFERROR(
MEDIAN((IF(DATOS_[[Sexo]:[Sexo]]=$B58,IF(DATOS_[[AGRUP. CLAS. PROF.]:[AGRUP. CLAS. PROF.]]=$B57,IF(DATOS_[[Check Periodo Ref.]:[Check Periodo Ref.]]="Dentro",DATOS_[Conc.Sal.03]))))),
0)</f>
        <v>0</v>
      </c>
      <c r="I58" s="111">
        <f t="array" ref="I58">IFERROR(
MEDIAN((IF(DATOS_[[Sexo]:[Sexo]]=$B58,IF(DATOS_[[AGRUP. CLAS. PROF.]:[AGRUP. CLAS. PROF.]]=$B57,IF(DATOS_[[Check Periodo Ref.]:[Check Periodo Ref.]]="Dentro",DATOS_[Conc.Sal.04]))))),
0)</f>
        <v>0</v>
      </c>
      <c r="J58" s="111">
        <f t="array" ref="J58">IFERROR(
MEDIAN((IF(DATOS_[[Sexo]:[Sexo]]=$B58,IF(DATOS_[[AGRUP. CLAS. PROF.]:[AGRUP. CLAS. PROF.]]=$B57,IF(DATOS_[[Check Periodo Ref.]:[Check Periodo Ref.]]="Dentro",DATOS_[Conc.Sal.05]))))),
0)</f>
        <v>0</v>
      </c>
      <c r="K58" s="111">
        <f t="array" ref="K58">IFERROR(
MEDIAN((IF(DATOS_[[Sexo]:[Sexo]]=$B58,IF(DATOS_[[AGRUP. CLAS. PROF.]:[AGRUP. CLAS. PROF.]]=$B57,IF(DATOS_[[Check Periodo Ref.]:[Check Periodo Ref.]]="Dentro",DATOS_[Conc.Sal.06]))))),
0)</f>
        <v>0</v>
      </c>
      <c r="L58" s="111">
        <f t="array" ref="L58">IFERROR(
MEDIAN((IF(DATOS_[[Sexo]:[Sexo]]=$B58,IF(DATOS_[[AGRUP. CLAS. PROF.]:[AGRUP. CLAS. PROF.]]=$B57,IF(DATOS_[[Check Periodo Ref.]:[Check Periodo Ref.]]="Dentro",DATOS_[Conc.Sal.07]))))),
0)</f>
        <v>0</v>
      </c>
      <c r="M58" s="111">
        <f t="array" ref="M58">IFERROR(
MEDIAN((IF(DATOS_[[Sexo]:[Sexo]]=$B58,IF(DATOS_[[AGRUP. CLAS. PROF.]:[AGRUP. CLAS. PROF.]]=$B57,IF(DATOS_[[Check Periodo Ref.]:[Check Periodo Ref.]]="Dentro",DATOS_[Conc.Sal.08]))))),
0)</f>
        <v>0</v>
      </c>
      <c r="N58" s="111">
        <f t="array" ref="N58">IFERROR(
MEDIAN((IF(DATOS_[[Sexo]:[Sexo]]=$B58,IF(DATOS_[[AGRUP. CLAS. PROF.]:[AGRUP. CLAS. PROF.]]=$B57,IF(DATOS_[[Check Periodo Ref.]:[Check Periodo Ref.]]="Dentro",DATOS_[Conc.Sal.09]))))),
0)</f>
        <v>0</v>
      </c>
      <c r="O58" s="111">
        <f t="array" ref="O58">IFERROR(
MEDIAN((IF(DATOS_[[Sexo]:[Sexo]]=$B58,IF(DATOS_[[AGRUP. CLAS. PROF.]:[AGRUP. CLAS. PROF.]]=$B57,IF(DATOS_[[Check Periodo Ref.]:[Check Periodo Ref.]]="Dentro",DATOS_[Conc.Sal.10]))))),
0)</f>
        <v>0</v>
      </c>
      <c r="P58" s="111">
        <f t="array" ref="P58">IFERROR(
MEDIAN((IF(DATOS_[[Sexo]:[Sexo]]=$B58,IF(DATOS_[[AGRUP. CLAS. PROF.]:[AGRUP. CLAS. PROF.]]=$B57,IF(DATOS_[[Check Periodo Ref.]:[Check Periodo Ref.]]="Dentro",DATOS_[Conc.Sal.11]))))),
0)</f>
        <v>0</v>
      </c>
      <c r="Q58" s="111">
        <f t="array" ref="Q58">IFERROR(
MEDIAN((IF(DATOS_[[Sexo]:[Sexo]]=$B58,IF(DATOS_[[AGRUP. CLAS. PROF.]:[AGRUP. CLAS. PROF.]]=$B57,IF(DATOS_[[Check Periodo Ref.]:[Check Periodo Ref.]]="Dentro",DATOS_[Conc.Sal.12]))))),
0)</f>
        <v>0</v>
      </c>
      <c r="R58" s="111">
        <f t="array" ref="R58">IFERROR(
MEDIAN((IF(DATOS_[[Sexo]:[Sexo]]=$B58,IF(DATOS_[[AGRUP. CLAS. PROF.]:[AGRUP. CLAS. PROF.]]=$B57,IF(DATOS_[[Check Periodo Ref.]:[Check Periodo Ref.]]="Dentro",DATOS_[Conc.Sal.13]))))),
0)</f>
        <v>0</v>
      </c>
      <c r="S58" s="111">
        <f t="array" ref="S58">IFERROR(
MEDIAN((IF(DATOS_[[Sexo]:[Sexo]]=$B58,IF(DATOS_[[AGRUP. CLAS. PROF.]:[AGRUP. CLAS. PROF.]]=$B57,IF(DATOS_[[Check Periodo Ref.]:[Check Periodo Ref.]]="Dentro",DATOS_[Conc.Sal.14]))))),
0)</f>
        <v>0</v>
      </c>
      <c r="T58" s="111">
        <f t="array" ref="T58">IFERROR(
MEDIAN((IF(DATOS_[[Sexo]:[Sexo]]=$B58,IF(DATOS_[[AGRUP. CLAS. PROF.]:[AGRUP. CLAS. PROF.]]=$B57,IF(DATOS_[[Check Periodo Ref.]:[Check Periodo Ref.]]="Dentro",DATOS_[Conc.Sal.15]))))),
0)</f>
        <v>0</v>
      </c>
      <c r="U58" s="111">
        <f t="array" ref="U58">IFERROR(
MEDIAN((IF(DATOS_[[Sexo]:[Sexo]]=$B58,IF(DATOS_[[AGRUP. CLAS. PROF.]:[AGRUP. CLAS. PROF.]]=$B57,IF(DATOS_[[Check Periodo Ref.]:[Check Periodo Ref.]]="Dentro",DATOS_[Conc.Sal.16]))))),
0)</f>
        <v>0</v>
      </c>
      <c r="V58" s="111">
        <f t="array" ref="V58">IFERROR(
MEDIAN((IF(DATOS_[[Sexo]:[Sexo]]=$B58,IF(DATOS_[[AGRUP. CLAS. PROF.]:[AGRUP. CLAS. PROF.]]=$B57,IF(DATOS_[[Check Periodo Ref.]:[Check Periodo Ref.]]="Dentro",DATOS_[Conc.Sal.17]))))),
0)</f>
        <v>0</v>
      </c>
      <c r="W58" s="111">
        <f t="array" ref="W58">IFERROR(
MEDIAN((IF(DATOS_[[Sexo]:[Sexo]]=$B58,IF(DATOS_[[AGRUP. CLAS. PROF.]:[AGRUP. CLAS. PROF.]]=$B57,IF(DATOS_[[Check Periodo Ref.]:[Check Periodo Ref.]]="Dentro",DATOS_[Conc.Sal.18]))))),
0)</f>
        <v>0</v>
      </c>
      <c r="X58" s="111">
        <f t="array" ref="X58">IFERROR(
MEDIAN((IF(DATOS_[[Sexo]:[Sexo]]=$B58,IF(DATOS_[[AGRUP. CLAS. PROF.]:[AGRUP. CLAS. PROF.]]=$B57,IF(DATOS_[[Check Periodo Ref.]:[Check Periodo Ref.]]="Dentro",DATOS_[Conc.Sal.19]))))),
0)</f>
        <v>0</v>
      </c>
      <c r="Y58" s="111">
        <f t="array" ref="Y58">IFERROR(
MEDIAN((IF(DATOS_[[Sexo]:[Sexo]]=$B58,IF(DATOS_[[AGRUP. CLAS. PROF.]:[AGRUP. CLAS. PROF.]]=$B57,IF(DATOS_[[Check Periodo Ref.]:[Check Periodo Ref.]]="Dentro",DATOS_[Conc.Sal.20]))))),
0)</f>
        <v>0</v>
      </c>
      <c r="Z58" s="111">
        <f t="array" ref="Z58">IFERROR(
MEDIAN((IF(DATOS_[[Sexo]:[Sexo]]=$B58,IF(DATOS_[[AGRUP. CLAS. PROF.]:[AGRUP. CLAS. PROF.]]=$B57,IF(DATOS_[[Check Periodo Ref.]:[Check Periodo Ref.]]="Dentro",DATOS_[Conc.Sal.21]))))),
0)</f>
        <v>0</v>
      </c>
      <c r="AA58" s="111">
        <f t="array" ref="AA58">IFERROR(
MEDIAN((IF(DATOS_[[Sexo]:[Sexo]]=$B58,IF(DATOS_[[AGRUP. CLAS. PROF.]:[AGRUP. CLAS. PROF.]]=$B57,IF(DATOS_[[Check Periodo Ref.]:[Check Periodo Ref.]]="Dentro",DATOS_[Conc.Sal.22]))))),
0)</f>
        <v>0</v>
      </c>
      <c r="AB58" s="111">
        <f t="array" ref="AB58">IFERROR(
MEDIAN((IF(DATOS_[[Sexo]:[Sexo]]=$B58,IF(DATOS_[[AGRUP. CLAS. PROF.]:[AGRUP. CLAS. PROF.]]=$B57,IF(DATOS_[[Check Periodo Ref.]:[Check Periodo Ref.]]="Dentro",DATOS_[Conc.Sal.23]))))),
0)</f>
        <v>0</v>
      </c>
      <c r="AC58" s="111">
        <f t="array" ref="AC58">IFERROR(
MEDIAN((IF(DATOS_[[Sexo]:[Sexo]]=$B58,IF(DATOS_[[AGRUP. CLAS. PROF.]:[AGRUP. CLAS. PROF.]]=$B57,IF(DATOS_[[Check Periodo Ref.]:[Check Periodo Ref.]]="Dentro",DATOS_[Conc.Sal.24]))))),
0)</f>
        <v>0</v>
      </c>
      <c r="AD58" s="111">
        <f t="array" ref="AD58">IFERROR(
MEDIAN((IF(DATOS_[[Sexo]:[Sexo]]=$B58,IF(DATOS_[[AGRUP. CLAS. PROF.]:[AGRUP. CLAS. PROF.]]=$B57,IF(DATOS_[[Check Periodo Ref.]:[Check Periodo Ref.]]="Dentro",DATOS_[Conc.Sal.25]))))),
0)</f>
        <v>0</v>
      </c>
      <c r="AE58" s="111">
        <f t="array" ref="AE58">IFERROR(
MEDIAN((IF(DATOS_[[Sexo]:[Sexo]]=$B58,IF(DATOS_[[AGRUP. CLAS. PROF.]:[AGRUP. CLAS. PROF.]]=$B57,IF(DATOS_[[Check Periodo Ref.]:[Check Periodo Ref.]]="Dentro",DATOS_[Conc.Sal.26]))))),
0)</f>
        <v>0</v>
      </c>
      <c r="AF58" s="111">
        <f t="array" ref="AF58">IFERROR(
MEDIAN((IF(DATOS_[[Sexo]:[Sexo]]=$B58,IF(DATOS_[[AGRUP. CLAS. PROF.]:[AGRUP. CLAS. PROF.]]=$B57,IF(DATOS_[[Check Periodo Ref.]:[Check Periodo Ref.]]="Dentro",DATOS_[Conc.Sal.27]))))),
0)</f>
        <v>0</v>
      </c>
      <c r="AG58" s="111">
        <f t="array" ref="AG58">IFERROR(
MEDIAN((IF(DATOS_[[Sexo]:[Sexo]]=$B58,IF(DATOS_[[AGRUP. CLAS. PROF.]:[AGRUP. CLAS. PROF.]]=$B57,IF(DATOS_[[Check Periodo Ref.]:[Check Periodo Ref.]]="Dentro",DATOS_[Conc.Sal.28]))))),
0)</f>
        <v>0</v>
      </c>
      <c r="AH58" s="111">
        <f t="array" ref="AH58">IFERROR(
MEDIAN((IF(DATOS_[[Sexo]:[Sexo]]=$B58,IF(DATOS_[[AGRUP. CLAS. PROF.]:[AGRUP. CLAS. PROF.]]=$B57,IF(DATOS_[[Check Periodo Ref.]:[Check Periodo Ref.]]="Dentro",DATOS_[Conc.Sal.29]))))),
0)</f>
        <v>0</v>
      </c>
      <c r="AI58" s="111">
        <f t="array" ref="AI58">IFERROR(
MEDIAN((IF(DATOS_[[Sexo]:[Sexo]]=$B58,IF(DATOS_[[AGRUP. CLAS. PROF.]:[AGRUP. CLAS. PROF.]]=$B57,IF(DATOS_[[Check Periodo Ref.]:[Check Periodo Ref.]]="Dentro",DATOS_[Conc.Sal.30]))))),
0)</f>
        <v>0</v>
      </c>
      <c r="AJ58" s="112">
        <f t="array" ref="AJ58">IFERROR(
MEDIAN(IF(DATOS_[Sexo]=$B58,IF(DATOS_[AGRUP. CLAS. PROF.]=$B57,IF(DATOS_[Check Periodo Ref.]="Dentro",DATOS_[Tot COMPL.SAL Ef],FALSE)))),
0)</f>
        <v>0</v>
      </c>
      <c r="AK58" s="113">
        <f t="array" ref="AK58">IFERROR(
MEDIAN(IF(DATOS_[Sexo]=$B58,IF(DATOS_[AGRUP. CLAS. PROF.]=$B57,IF(DATOS_[Check Periodo Ref.]="Dentro",DATOS_[TOTAL SALARIO Ef],FALSE)))),
0)</f>
        <v>0</v>
      </c>
      <c r="AL58" s="114">
        <f t="array" ref="AL58">IFERROR(
MEDIAN((IF(DATOS_[[Sexo]:[Sexo]]=$B58,IF(DATOS_[[AGRUP. CLAS. PROF.]:[AGRUP. CLAS. PROF.]]=$B57,IF(DATOS_[[Check Periodo Ref.]:[Check Periodo Ref.]]="Dentro",DATOS_[C.Extra.01]))))),
0)</f>
        <v>0</v>
      </c>
      <c r="AM58" s="114">
        <f t="array" ref="AM58">IFERROR(
MEDIAN((IF(DATOS_[[Sexo]:[Sexo]]=$B58,IF(DATOS_[[AGRUP. CLAS. PROF.]:[AGRUP. CLAS. PROF.]]=$B57,IF(DATOS_[[Check Periodo Ref.]:[Check Periodo Ref.]]="Dentro",DATOS_[C.Extra.02]))))),
0)</f>
        <v>0</v>
      </c>
      <c r="AN58" s="114">
        <f t="array" ref="AN58">IFERROR(
MEDIAN((IF(DATOS_[[Sexo]:[Sexo]]=$B58,IF(DATOS_[[AGRUP. CLAS. PROF.]:[AGRUP. CLAS. PROF.]]=$B57,IF(DATOS_[[Check Periodo Ref.]:[Check Periodo Ref.]]="Dentro",DATOS_[C.Extra.03]))))),
0)</f>
        <v>0</v>
      </c>
      <c r="AO58" s="114">
        <f t="array" ref="AO58">IFERROR(
MEDIAN((IF(DATOS_[[Sexo]:[Sexo]]=$B58,IF(DATOS_[[AGRUP. CLAS. PROF.]:[AGRUP. CLAS. PROF.]]=$B57,IF(DATOS_[[Check Periodo Ref.]:[Check Periodo Ref.]]="Dentro",DATOS_[C.Extra.04]))))),
0)</f>
        <v>0</v>
      </c>
      <c r="AP58" s="114">
        <f t="array" ref="AP58">IFERROR(
MEDIAN((IF(DATOS_[[Sexo]:[Sexo]]=$B58,IF(DATOS_[[AGRUP. CLAS. PROF.]:[AGRUP. CLAS. PROF.]]=$B57,IF(DATOS_[[Check Periodo Ref.]:[Check Periodo Ref.]]="Dentro",DATOS_[C.Extra.05]))))),
0)</f>
        <v>0</v>
      </c>
      <c r="AQ58" s="115">
        <f t="array" ref="AQ58">IFERROR(
MEDIAN(IF(DATOS_[Sexo]=$B58,IF(DATOS_[AGRUP. CLAS. PROF.]=$B57,IF(DATOS_[Check Periodo Ref.]="Dentro",DATOS_[Tot Extrasalarial Ef],FALSE)))),
0)</f>
        <v>0</v>
      </c>
      <c r="AR58" s="116">
        <f t="array" ref="AR58">IFERROR(
MEDIAN(IF(DATOS_[Sexo]=$B58,IF(DATOS_[AGRUP. CLAS. PROF.]=$B57,IF(DATOS_[Check Periodo Ref.]="Dentro",DATOS_[TOTAL Retrib Ef],FALSE)))),
0)</f>
        <v>0</v>
      </c>
    </row>
    <row r="59" spans="1:44" hidden="1" x14ac:dyDescent="0.3">
      <c r="A59" s="42" t="str">
        <f t="shared" ref="A59" si="62">+A58</f>
        <v>[ocultar]</v>
      </c>
      <c r="B59" s="34" t="s">
        <v>163</v>
      </c>
      <c r="C59" s="33">
        <f t="array" ref="C59">SUM(IF($B59=DATOS_[Sexo],
IF($B57=DATOS_[AGRUP. CLAS. PROF.],
IF("Dentro"=DATOS_[Check Periodo Ref.],
1/(COUNTIFS(DATOS_[Sexo],$B59,DATOS_[AGRUP. CLAS. PROF.],$B57,DATOS_[Check Periodo Ref.],"Dentro",DATOS_[id],DATOS_[id]))))))</f>
        <v>0</v>
      </c>
      <c r="D59" s="35">
        <f>COUNTIFS(DATOS_[AGRUP. CLAS. PROF.],$B57,DATOS_[Sexo],$B59,DATOS_[Check Periodo Ref.],"Dentro")</f>
        <v>0</v>
      </c>
      <c r="E59" s="110">
        <f t="array" ref="E59">IFERROR(
MEDIAN(IF(DATOS_[Sexo]=$B59,IF(DATOS_[AGRUP. CLAS. PROF.]=$B57,IF(DATOS_[Check Periodo Ref.]="Dentro",DATOS_[SALARIO BASE Ef],FALSE)))),
0)</f>
        <v>0</v>
      </c>
      <c r="F59" s="111">
        <f t="array" ref="F59">IFERROR(
MEDIAN((IF(DATOS_[[Sexo]:[Sexo]]=$B59,IF(DATOS_[[AGRUP. CLAS. PROF.]:[AGRUP. CLAS. PROF.]]=$B57,IF(DATOS_[[Check Periodo Ref.]:[Check Periodo Ref.]]="Dentro",DATOS_[Conc.Sal.01]))))),
0)</f>
        <v>0</v>
      </c>
      <c r="G59" s="111">
        <f t="array" ref="G59">IFERROR(
MEDIAN((IF(DATOS_[[Sexo]:[Sexo]]=$B59,IF(DATOS_[[AGRUP. CLAS. PROF.]:[AGRUP. CLAS. PROF.]]=$B57,IF(DATOS_[[Check Periodo Ref.]:[Check Periodo Ref.]]="Dentro",DATOS_[Conc.Sal.02]))))),
0)</f>
        <v>0</v>
      </c>
      <c r="H59" s="111">
        <f t="array" ref="H59">IFERROR(
MEDIAN((IF(DATOS_[[Sexo]:[Sexo]]=$B59,IF(DATOS_[[AGRUP. CLAS. PROF.]:[AGRUP. CLAS. PROF.]]=$B57,IF(DATOS_[[Check Periodo Ref.]:[Check Periodo Ref.]]="Dentro",DATOS_[Conc.Sal.03]))))),
0)</f>
        <v>0</v>
      </c>
      <c r="I59" s="111">
        <f t="array" ref="I59">IFERROR(
MEDIAN((IF(DATOS_[[Sexo]:[Sexo]]=$B59,IF(DATOS_[[AGRUP. CLAS. PROF.]:[AGRUP. CLAS. PROF.]]=$B57,IF(DATOS_[[Check Periodo Ref.]:[Check Periodo Ref.]]="Dentro",DATOS_[Conc.Sal.04]))))),
0)</f>
        <v>0</v>
      </c>
      <c r="J59" s="111">
        <f t="array" ref="J59">IFERROR(
MEDIAN((IF(DATOS_[[Sexo]:[Sexo]]=$B59,IF(DATOS_[[AGRUP. CLAS. PROF.]:[AGRUP. CLAS. PROF.]]=$B57,IF(DATOS_[[Check Periodo Ref.]:[Check Periodo Ref.]]="Dentro",DATOS_[Conc.Sal.05]))))),
0)</f>
        <v>0</v>
      </c>
      <c r="K59" s="111">
        <f t="array" ref="K59">IFERROR(
MEDIAN((IF(DATOS_[[Sexo]:[Sexo]]=$B59,IF(DATOS_[[AGRUP. CLAS. PROF.]:[AGRUP. CLAS. PROF.]]=$B57,IF(DATOS_[[Check Periodo Ref.]:[Check Periodo Ref.]]="Dentro",DATOS_[Conc.Sal.06]))))),
0)</f>
        <v>0</v>
      </c>
      <c r="L59" s="111">
        <f t="array" ref="L59">IFERROR(
MEDIAN((IF(DATOS_[[Sexo]:[Sexo]]=$B59,IF(DATOS_[[AGRUP. CLAS. PROF.]:[AGRUP. CLAS. PROF.]]=$B57,IF(DATOS_[[Check Periodo Ref.]:[Check Periodo Ref.]]="Dentro",DATOS_[Conc.Sal.07]))))),
0)</f>
        <v>0</v>
      </c>
      <c r="M59" s="111">
        <f t="array" ref="M59">IFERROR(
MEDIAN((IF(DATOS_[[Sexo]:[Sexo]]=$B59,IF(DATOS_[[AGRUP. CLAS. PROF.]:[AGRUP. CLAS. PROF.]]=$B57,IF(DATOS_[[Check Periodo Ref.]:[Check Periodo Ref.]]="Dentro",DATOS_[Conc.Sal.08]))))),
0)</f>
        <v>0</v>
      </c>
      <c r="N59" s="111">
        <f t="array" ref="N59">IFERROR(
MEDIAN((IF(DATOS_[[Sexo]:[Sexo]]=$B59,IF(DATOS_[[AGRUP. CLAS. PROF.]:[AGRUP. CLAS. PROF.]]=$B57,IF(DATOS_[[Check Periodo Ref.]:[Check Periodo Ref.]]="Dentro",DATOS_[Conc.Sal.09]))))),
0)</f>
        <v>0</v>
      </c>
      <c r="O59" s="111">
        <f t="array" ref="O59">IFERROR(
MEDIAN((IF(DATOS_[[Sexo]:[Sexo]]=$B59,IF(DATOS_[[AGRUP. CLAS. PROF.]:[AGRUP. CLAS. PROF.]]=$B57,IF(DATOS_[[Check Periodo Ref.]:[Check Periodo Ref.]]="Dentro",DATOS_[Conc.Sal.10]))))),
0)</f>
        <v>0</v>
      </c>
      <c r="P59" s="111">
        <f t="array" ref="P59">IFERROR(
MEDIAN((IF(DATOS_[[Sexo]:[Sexo]]=$B59,IF(DATOS_[[AGRUP. CLAS. PROF.]:[AGRUP. CLAS. PROF.]]=$B57,IF(DATOS_[[Check Periodo Ref.]:[Check Periodo Ref.]]="Dentro",DATOS_[Conc.Sal.11]))))),
0)</f>
        <v>0</v>
      </c>
      <c r="Q59" s="111">
        <f t="array" ref="Q59">IFERROR(
MEDIAN((IF(DATOS_[[Sexo]:[Sexo]]=$B59,IF(DATOS_[[AGRUP. CLAS. PROF.]:[AGRUP. CLAS. PROF.]]=$B57,IF(DATOS_[[Check Periodo Ref.]:[Check Periodo Ref.]]="Dentro",DATOS_[Conc.Sal.12]))))),
0)</f>
        <v>0</v>
      </c>
      <c r="R59" s="111">
        <f t="array" ref="R59">IFERROR(
MEDIAN((IF(DATOS_[[Sexo]:[Sexo]]=$B59,IF(DATOS_[[AGRUP. CLAS. PROF.]:[AGRUP. CLAS. PROF.]]=$B57,IF(DATOS_[[Check Periodo Ref.]:[Check Periodo Ref.]]="Dentro",DATOS_[Conc.Sal.13]))))),
0)</f>
        <v>0</v>
      </c>
      <c r="S59" s="111">
        <f t="array" ref="S59">IFERROR(
MEDIAN((IF(DATOS_[[Sexo]:[Sexo]]=$B59,IF(DATOS_[[AGRUP. CLAS. PROF.]:[AGRUP. CLAS. PROF.]]=$B57,IF(DATOS_[[Check Periodo Ref.]:[Check Periodo Ref.]]="Dentro",DATOS_[Conc.Sal.14]))))),
0)</f>
        <v>0</v>
      </c>
      <c r="T59" s="111">
        <f t="array" ref="T59">IFERROR(
MEDIAN((IF(DATOS_[[Sexo]:[Sexo]]=$B59,IF(DATOS_[[AGRUP. CLAS. PROF.]:[AGRUP. CLAS. PROF.]]=$B57,IF(DATOS_[[Check Periodo Ref.]:[Check Periodo Ref.]]="Dentro",DATOS_[Conc.Sal.15]))))),
0)</f>
        <v>0</v>
      </c>
      <c r="U59" s="111">
        <f t="array" ref="U59">IFERROR(
MEDIAN((IF(DATOS_[[Sexo]:[Sexo]]=$B59,IF(DATOS_[[AGRUP. CLAS. PROF.]:[AGRUP. CLAS. PROF.]]=$B57,IF(DATOS_[[Check Periodo Ref.]:[Check Periodo Ref.]]="Dentro",DATOS_[Conc.Sal.16]))))),
0)</f>
        <v>0</v>
      </c>
      <c r="V59" s="111">
        <f t="array" ref="V59">IFERROR(
MEDIAN((IF(DATOS_[[Sexo]:[Sexo]]=$B59,IF(DATOS_[[AGRUP. CLAS. PROF.]:[AGRUP. CLAS. PROF.]]=$B57,IF(DATOS_[[Check Periodo Ref.]:[Check Periodo Ref.]]="Dentro",DATOS_[Conc.Sal.17]))))),
0)</f>
        <v>0</v>
      </c>
      <c r="W59" s="111">
        <f t="array" ref="W59">IFERROR(
MEDIAN((IF(DATOS_[[Sexo]:[Sexo]]=$B59,IF(DATOS_[[AGRUP. CLAS. PROF.]:[AGRUP. CLAS. PROF.]]=$B57,IF(DATOS_[[Check Periodo Ref.]:[Check Periodo Ref.]]="Dentro",DATOS_[Conc.Sal.18]))))),
0)</f>
        <v>0</v>
      </c>
      <c r="X59" s="111">
        <f t="array" ref="X59">IFERROR(
MEDIAN((IF(DATOS_[[Sexo]:[Sexo]]=$B59,IF(DATOS_[[AGRUP. CLAS. PROF.]:[AGRUP. CLAS. PROF.]]=$B57,IF(DATOS_[[Check Periodo Ref.]:[Check Periodo Ref.]]="Dentro",DATOS_[Conc.Sal.19]))))),
0)</f>
        <v>0</v>
      </c>
      <c r="Y59" s="111">
        <f t="array" ref="Y59">IFERROR(
MEDIAN((IF(DATOS_[[Sexo]:[Sexo]]=$B59,IF(DATOS_[[AGRUP. CLAS. PROF.]:[AGRUP. CLAS. PROF.]]=$B57,IF(DATOS_[[Check Periodo Ref.]:[Check Periodo Ref.]]="Dentro",DATOS_[Conc.Sal.20]))))),
0)</f>
        <v>0</v>
      </c>
      <c r="Z59" s="111">
        <f t="array" ref="Z59">IFERROR(
MEDIAN((IF(DATOS_[[Sexo]:[Sexo]]=$B59,IF(DATOS_[[AGRUP. CLAS. PROF.]:[AGRUP. CLAS. PROF.]]=$B57,IF(DATOS_[[Check Periodo Ref.]:[Check Periodo Ref.]]="Dentro",DATOS_[Conc.Sal.21]))))),
0)</f>
        <v>0</v>
      </c>
      <c r="AA59" s="111">
        <f t="array" ref="AA59">IFERROR(
MEDIAN((IF(DATOS_[[Sexo]:[Sexo]]=$B59,IF(DATOS_[[AGRUP. CLAS. PROF.]:[AGRUP. CLAS. PROF.]]=$B57,IF(DATOS_[[Check Periodo Ref.]:[Check Periodo Ref.]]="Dentro",DATOS_[Conc.Sal.22]))))),
0)</f>
        <v>0</v>
      </c>
      <c r="AB59" s="111">
        <f t="array" ref="AB59">IFERROR(
MEDIAN((IF(DATOS_[[Sexo]:[Sexo]]=$B59,IF(DATOS_[[AGRUP. CLAS. PROF.]:[AGRUP. CLAS. PROF.]]=$B57,IF(DATOS_[[Check Periodo Ref.]:[Check Periodo Ref.]]="Dentro",DATOS_[Conc.Sal.23]))))),
0)</f>
        <v>0</v>
      </c>
      <c r="AC59" s="111">
        <f t="array" ref="AC59">IFERROR(
MEDIAN((IF(DATOS_[[Sexo]:[Sexo]]=$B59,IF(DATOS_[[AGRUP. CLAS. PROF.]:[AGRUP. CLAS. PROF.]]=$B57,IF(DATOS_[[Check Periodo Ref.]:[Check Periodo Ref.]]="Dentro",DATOS_[Conc.Sal.24]))))),
0)</f>
        <v>0</v>
      </c>
      <c r="AD59" s="111">
        <f t="array" ref="AD59">IFERROR(
MEDIAN((IF(DATOS_[[Sexo]:[Sexo]]=$B59,IF(DATOS_[[AGRUP. CLAS. PROF.]:[AGRUP. CLAS. PROF.]]=$B57,IF(DATOS_[[Check Periodo Ref.]:[Check Periodo Ref.]]="Dentro",DATOS_[Conc.Sal.25]))))),
0)</f>
        <v>0</v>
      </c>
      <c r="AE59" s="111">
        <f t="array" ref="AE59">IFERROR(
MEDIAN((IF(DATOS_[[Sexo]:[Sexo]]=$B59,IF(DATOS_[[AGRUP. CLAS. PROF.]:[AGRUP. CLAS. PROF.]]=$B57,IF(DATOS_[[Check Periodo Ref.]:[Check Periodo Ref.]]="Dentro",DATOS_[Conc.Sal.26]))))),
0)</f>
        <v>0</v>
      </c>
      <c r="AF59" s="111">
        <f t="array" ref="AF59">IFERROR(
MEDIAN((IF(DATOS_[[Sexo]:[Sexo]]=$B59,IF(DATOS_[[AGRUP. CLAS. PROF.]:[AGRUP. CLAS. PROF.]]=$B57,IF(DATOS_[[Check Periodo Ref.]:[Check Periodo Ref.]]="Dentro",DATOS_[Conc.Sal.27]))))),
0)</f>
        <v>0</v>
      </c>
      <c r="AG59" s="111">
        <f t="array" ref="AG59">IFERROR(
MEDIAN((IF(DATOS_[[Sexo]:[Sexo]]=$B59,IF(DATOS_[[AGRUP. CLAS. PROF.]:[AGRUP. CLAS. PROF.]]=$B57,IF(DATOS_[[Check Periodo Ref.]:[Check Periodo Ref.]]="Dentro",DATOS_[Conc.Sal.28]))))),
0)</f>
        <v>0</v>
      </c>
      <c r="AH59" s="111">
        <f t="array" ref="AH59">IFERROR(
MEDIAN((IF(DATOS_[[Sexo]:[Sexo]]=$B59,IF(DATOS_[[AGRUP. CLAS. PROF.]:[AGRUP. CLAS. PROF.]]=$B57,IF(DATOS_[[Check Periodo Ref.]:[Check Periodo Ref.]]="Dentro",DATOS_[Conc.Sal.29]))))),
0)</f>
        <v>0</v>
      </c>
      <c r="AI59" s="111">
        <f t="array" ref="AI59">IFERROR(
MEDIAN((IF(DATOS_[[Sexo]:[Sexo]]=$B59,IF(DATOS_[[AGRUP. CLAS. PROF.]:[AGRUP. CLAS. PROF.]]=$B57,IF(DATOS_[[Check Periodo Ref.]:[Check Periodo Ref.]]="Dentro",DATOS_[Conc.Sal.30]))))),
0)</f>
        <v>0</v>
      </c>
      <c r="AJ59" s="112">
        <f t="array" ref="AJ59">IFERROR(
MEDIAN(IF(DATOS_[Sexo]=$B59,IF(DATOS_[AGRUP. CLAS. PROF.]=$B57,IF(DATOS_[Check Periodo Ref.]="Dentro",DATOS_[Tot COMPL.SAL Ef],FALSE)))),
0)</f>
        <v>0</v>
      </c>
      <c r="AK59" s="113">
        <f t="array" ref="AK59">IFERROR(
MEDIAN(IF(DATOS_[Sexo]=$B59,IF(DATOS_[AGRUP. CLAS. PROF.]=$B57,IF(DATOS_[Check Periodo Ref.]="Dentro",DATOS_[TOTAL SALARIO Ef],FALSE)))),
0)</f>
        <v>0</v>
      </c>
      <c r="AL59" s="114">
        <f t="array" ref="AL59">IFERROR(
MEDIAN((IF(DATOS_[[Sexo]:[Sexo]]=$B59,IF(DATOS_[[AGRUP. CLAS. PROF.]:[AGRUP. CLAS. PROF.]]=$B57,IF(DATOS_[[Check Periodo Ref.]:[Check Periodo Ref.]]="Dentro",DATOS_[C.Extra.01]))))),
0)</f>
        <v>0</v>
      </c>
      <c r="AM59" s="114">
        <f t="array" ref="AM59">IFERROR(
MEDIAN((IF(DATOS_[[Sexo]:[Sexo]]=$B59,IF(DATOS_[[AGRUP. CLAS. PROF.]:[AGRUP. CLAS. PROF.]]=$B57,IF(DATOS_[[Check Periodo Ref.]:[Check Periodo Ref.]]="Dentro",DATOS_[C.Extra.02]))))),
0)</f>
        <v>0</v>
      </c>
      <c r="AN59" s="114">
        <f t="array" ref="AN59">IFERROR(
MEDIAN((IF(DATOS_[[Sexo]:[Sexo]]=$B59,IF(DATOS_[[AGRUP. CLAS. PROF.]:[AGRUP. CLAS. PROF.]]=$B57,IF(DATOS_[[Check Periodo Ref.]:[Check Periodo Ref.]]="Dentro",DATOS_[C.Extra.03]))))),
0)</f>
        <v>0</v>
      </c>
      <c r="AO59" s="114">
        <f t="array" ref="AO59">IFERROR(
MEDIAN((IF(DATOS_[[Sexo]:[Sexo]]=$B59,IF(DATOS_[[AGRUP. CLAS. PROF.]:[AGRUP. CLAS. PROF.]]=$B57,IF(DATOS_[[Check Periodo Ref.]:[Check Periodo Ref.]]="Dentro",DATOS_[C.Extra.04]))))),
0)</f>
        <v>0</v>
      </c>
      <c r="AP59" s="114">
        <f t="array" ref="AP59">IFERROR(
MEDIAN((IF(DATOS_[[Sexo]:[Sexo]]=$B59,IF(DATOS_[[AGRUP. CLAS. PROF.]:[AGRUP. CLAS. PROF.]]=$B57,IF(DATOS_[[Check Periodo Ref.]:[Check Periodo Ref.]]="Dentro",DATOS_[C.Extra.05]))))),
0)</f>
        <v>0</v>
      </c>
      <c r="AQ59" s="115">
        <f t="array" ref="AQ59">IFERROR(
MEDIAN(IF(DATOS_[Sexo]=$B59,IF(DATOS_[AGRUP. CLAS. PROF.]=$B57,IF(DATOS_[Check Periodo Ref.]="Dentro",DATOS_[Tot Extrasalarial Ef],FALSE)))),
0)</f>
        <v>0</v>
      </c>
      <c r="AR59" s="116">
        <f t="array" ref="AR59">IFERROR(
MEDIAN(IF(DATOS_[Sexo]=$B59,IF(DATOS_[AGRUP. CLAS. PROF.]=$B57,IF(DATOS_[Check Periodo Ref.]="Dentro",DATOS_[TOTAL Retrib Ef],FALSE)))),
0)</f>
        <v>0</v>
      </c>
    </row>
    <row r="60" spans="1:44" ht="17.25" hidden="1" thickBot="1" x14ac:dyDescent="0.35">
      <c r="A60" s="42" t="str">
        <f t="shared" ref="A60" si="63">+A61</f>
        <v>[ocultar]</v>
      </c>
      <c r="B60" s="40" t="s">
        <v>232</v>
      </c>
      <c r="C60" s="109"/>
      <c r="D60" s="41"/>
      <c r="E60" s="119" t="str">
        <f t="shared" ref="E60:AR60" si="64">IFERROR((E61-E62)/E61,"")</f>
        <v/>
      </c>
      <c r="F60" s="123" t="str">
        <f t="shared" si="64"/>
        <v/>
      </c>
      <c r="G60" s="123" t="str">
        <f t="shared" si="64"/>
        <v/>
      </c>
      <c r="H60" s="123" t="str">
        <f t="shared" si="64"/>
        <v/>
      </c>
      <c r="I60" s="123" t="str">
        <f t="shared" si="64"/>
        <v/>
      </c>
      <c r="J60" s="123" t="str">
        <f t="shared" si="64"/>
        <v/>
      </c>
      <c r="K60" s="123" t="str">
        <f t="shared" si="64"/>
        <v/>
      </c>
      <c r="L60" s="123" t="str">
        <f t="shared" si="64"/>
        <v/>
      </c>
      <c r="M60" s="123" t="str">
        <f t="shared" si="64"/>
        <v/>
      </c>
      <c r="N60" s="123" t="str">
        <f t="shared" si="64"/>
        <v/>
      </c>
      <c r="O60" s="123" t="str">
        <f t="shared" si="64"/>
        <v/>
      </c>
      <c r="P60" s="123" t="str">
        <f t="shared" si="64"/>
        <v/>
      </c>
      <c r="Q60" s="123" t="str">
        <f t="shared" si="64"/>
        <v/>
      </c>
      <c r="R60" s="123" t="str">
        <f t="shared" si="64"/>
        <v/>
      </c>
      <c r="S60" s="123" t="str">
        <f t="shared" si="64"/>
        <v/>
      </c>
      <c r="T60" s="123" t="str">
        <f t="shared" si="64"/>
        <v/>
      </c>
      <c r="U60" s="123" t="str">
        <f t="shared" si="64"/>
        <v/>
      </c>
      <c r="V60" s="122" t="str">
        <f t="shared" si="64"/>
        <v/>
      </c>
      <c r="W60" s="122" t="str">
        <f t="shared" si="64"/>
        <v/>
      </c>
      <c r="X60" s="122" t="str">
        <f t="shared" si="64"/>
        <v/>
      </c>
      <c r="Y60" s="122" t="str">
        <f t="shared" si="64"/>
        <v/>
      </c>
      <c r="Z60" s="122" t="str">
        <f t="shared" si="64"/>
        <v/>
      </c>
      <c r="AA60" s="122" t="str">
        <f t="shared" si="64"/>
        <v/>
      </c>
      <c r="AB60" s="122" t="str">
        <f t="shared" si="64"/>
        <v/>
      </c>
      <c r="AC60" s="122" t="str">
        <f t="shared" si="64"/>
        <v/>
      </c>
      <c r="AD60" s="122" t="str">
        <f t="shared" si="64"/>
        <v/>
      </c>
      <c r="AE60" s="122" t="str">
        <f t="shared" si="64"/>
        <v/>
      </c>
      <c r="AF60" s="122" t="str">
        <f t="shared" si="64"/>
        <v/>
      </c>
      <c r="AG60" s="122" t="str">
        <f t="shared" si="64"/>
        <v/>
      </c>
      <c r="AH60" s="122" t="str">
        <f t="shared" si="64"/>
        <v/>
      </c>
      <c r="AI60" s="122" t="str">
        <f t="shared" si="64"/>
        <v/>
      </c>
      <c r="AJ60" s="124" t="str">
        <f t="shared" si="64"/>
        <v/>
      </c>
      <c r="AK60" s="128" t="str">
        <f t="shared" si="64"/>
        <v/>
      </c>
      <c r="AL60" s="125" t="str">
        <f t="shared" si="64"/>
        <v/>
      </c>
      <c r="AM60" s="125" t="str">
        <f t="shared" si="64"/>
        <v/>
      </c>
      <c r="AN60" s="125" t="str">
        <f t="shared" si="64"/>
        <v/>
      </c>
      <c r="AO60" s="125" t="str">
        <f t="shared" si="64"/>
        <v/>
      </c>
      <c r="AP60" s="125" t="str">
        <f t="shared" si="64"/>
        <v/>
      </c>
      <c r="AQ60" s="126" t="str">
        <f t="shared" si="64"/>
        <v/>
      </c>
      <c r="AR60" s="127" t="str">
        <f t="shared" si="64"/>
        <v/>
      </c>
    </row>
    <row r="61" spans="1:44" hidden="1" x14ac:dyDescent="0.3">
      <c r="A61" s="42" t="str">
        <f t="shared" ref="A61" si="65">+IF(C61+C62=0,"[ocultar]","")</f>
        <v>[ocultar]</v>
      </c>
      <c r="B61" s="34" t="s">
        <v>162</v>
      </c>
      <c r="C61" s="33">
        <f t="array" ref="C61">SUM(IF($B61=DATOS_[Sexo],
IF($B60=DATOS_[AGRUP. CLAS. PROF.],
IF("Dentro"=DATOS_[Check Periodo Ref.],
1/(COUNTIFS(DATOS_[Sexo],$B61,DATOS_[AGRUP. CLAS. PROF.],$B60,DATOS_[Check Periodo Ref.],"Dentro",DATOS_[id],DATOS_[id]))))))</f>
        <v>0</v>
      </c>
      <c r="D61" s="35">
        <f>COUNTIFS(DATOS_[AGRUP. CLAS. PROF.],$B60,DATOS_[Sexo],$B61,DATOS_[Check Periodo Ref.],"Dentro")</f>
        <v>0</v>
      </c>
      <c r="E61" s="110">
        <f t="array" ref="E61">IFERROR(
MEDIAN(IF(DATOS_[Sexo]=$B61,IF(DATOS_[AGRUP. CLAS. PROF.]=$B60,IF(DATOS_[Check Periodo Ref.]="Dentro",DATOS_[SALARIO BASE Ef],FALSE)))),
0)</f>
        <v>0</v>
      </c>
      <c r="F61" s="111">
        <f t="array" ref="F61">IFERROR(
MEDIAN((IF(DATOS_[[Sexo]:[Sexo]]=$B61,IF(DATOS_[[AGRUP. CLAS. PROF.]:[AGRUP. CLAS. PROF.]]=$B60,IF(DATOS_[[Check Periodo Ref.]:[Check Periodo Ref.]]="Dentro",DATOS_[Conc.Sal.01]))))),
0)</f>
        <v>0</v>
      </c>
      <c r="G61" s="111">
        <f t="array" ref="G61">IFERROR(
MEDIAN((IF(DATOS_[[Sexo]:[Sexo]]=$B61,IF(DATOS_[[AGRUP. CLAS. PROF.]:[AGRUP. CLAS. PROF.]]=$B60,IF(DATOS_[[Check Periodo Ref.]:[Check Periodo Ref.]]="Dentro",DATOS_[Conc.Sal.02]))))),
0)</f>
        <v>0</v>
      </c>
      <c r="H61" s="111">
        <f t="array" ref="H61">IFERROR(
MEDIAN((IF(DATOS_[[Sexo]:[Sexo]]=$B61,IF(DATOS_[[AGRUP. CLAS. PROF.]:[AGRUP. CLAS. PROF.]]=$B60,IF(DATOS_[[Check Periodo Ref.]:[Check Periodo Ref.]]="Dentro",DATOS_[Conc.Sal.03]))))),
0)</f>
        <v>0</v>
      </c>
      <c r="I61" s="111">
        <f t="array" ref="I61">IFERROR(
MEDIAN((IF(DATOS_[[Sexo]:[Sexo]]=$B61,IF(DATOS_[[AGRUP. CLAS. PROF.]:[AGRUP. CLAS. PROF.]]=$B60,IF(DATOS_[[Check Periodo Ref.]:[Check Periodo Ref.]]="Dentro",DATOS_[Conc.Sal.04]))))),
0)</f>
        <v>0</v>
      </c>
      <c r="J61" s="111">
        <f t="array" ref="J61">IFERROR(
MEDIAN((IF(DATOS_[[Sexo]:[Sexo]]=$B61,IF(DATOS_[[AGRUP. CLAS. PROF.]:[AGRUP. CLAS. PROF.]]=$B60,IF(DATOS_[[Check Periodo Ref.]:[Check Periodo Ref.]]="Dentro",DATOS_[Conc.Sal.05]))))),
0)</f>
        <v>0</v>
      </c>
      <c r="K61" s="111">
        <f t="array" ref="K61">IFERROR(
MEDIAN((IF(DATOS_[[Sexo]:[Sexo]]=$B61,IF(DATOS_[[AGRUP. CLAS. PROF.]:[AGRUP. CLAS. PROF.]]=$B60,IF(DATOS_[[Check Periodo Ref.]:[Check Periodo Ref.]]="Dentro",DATOS_[Conc.Sal.06]))))),
0)</f>
        <v>0</v>
      </c>
      <c r="L61" s="111">
        <f t="array" ref="L61">IFERROR(
MEDIAN((IF(DATOS_[[Sexo]:[Sexo]]=$B61,IF(DATOS_[[AGRUP. CLAS. PROF.]:[AGRUP. CLAS. PROF.]]=$B60,IF(DATOS_[[Check Periodo Ref.]:[Check Periodo Ref.]]="Dentro",DATOS_[Conc.Sal.07]))))),
0)</f>
        <v>0</v>
      </c>
      <c r="M61" s="111">
        <f t="array" ref="M61">IFERROR(
MEDIAN((IF(DATOS_[[Sexo]:[Sexo]]=$B61,IF(DATOS_[[AGRUP. CLAS. PROF.]:[AGRUP. CLAS. PROF.]]=$B60,IF(DATOS_[[Check Periodo Ref.]:[Check Periodo Ref.]]="Dentro",DATOS_[Conc.Sal.08]))))),
0)</f>
        <v>0</v>
      </c>
      <c r="N61" s="111">
        <f t="array" ref="N61">IFERROR(
MEDIAN((IF(DATOS_[[Sexo]:[Sexo]]=$B61,IF(DATOS_[[AGRUP. CLAS. PROF.]:[AGRUP. CLAS. PROF.]]=$B60,IF(DATOS_[[Check Periodo Ref.]:[Check Periodo Ref.]]="Dentro",DATOS_[Conc.Sal.09]))))),
0)</f>
        <v>0</v>
      </c>
      <c r="O61" s="111">
        <f t="array" ref="O61">IFERROR(
MEDIAN((IF(DATOS_[[Sexo]:[Sexo]]=$B61,IF(DATOS_[[AGRUP. CLAS. PROF.]:[AGRUP. CLAS. PROF.]]=$B60,IF(DATOS_[[Check Periodo Ref.]:[Check Periodo Ref.]]="Dentro",DATOS_[Conc.Sal.10]))))),
0)</f>
        <v>0</v>
      </c>
      <c r="P61" s="111">
        <f t="array" ref="P61">IFERROR(
MEDIAN((IF(DATOS_[[Sexo]:[Sexo]]=$B61,IF(DATOS_[[AGRUP. CLAS. PROF.]:[AGRUP. CLAS. PROF.]]=$B60,IF(DATOS_[[Check Periodo Ref.]:[Check Periodo Ref.]]="Dentro",DATOS_[Conc.Sal.11]))))),
0)</f>
        <v>0</v>
      </c>
      <c r="Q61" s="111">
        <f t="array" ref="Q61">IFERROR(
MEDIAN((IF(DATOS_[[Sexo]:[Sexo]]=$B61,IF(DATOS_[[AGRUP. CLAS. PROF.]:[AGRUP. CLAS. PROF.]]=$B60,IF(DATOS_[[Check Periodo Ref.]:[Check Periodo Ref.]]="Dentro",DATOS_[Conc.Sal.12]))))),
0)</f>
        <v>0</v>
      </c>
      <c r="R61" s="111">
        <f t="array" ref="R61">IFERROR(
MEDIAN((IF(DATOS_[[Sexo]:[Sexo]]=$B61,IF(DATOS_[[AGRUP. CLAS. PROF.]:[AGRUP. CLAS. PROF.]]=$B60,IF(DATOS_[[Check Periodo Ref.]:[Check Periodo Ref.]]="Dentro",DATOS_[Conc.Sal.13]))))),
0)</f>
        <v>0</v>
      </c>
      <c r="S61" s="111">
        <f t="array" ref="S61">IFERROR(
MEDIAN((IF(DATOS_[[Sexo]:[Sexo]]=$B61,IF(DATOS_[[AGRUP. CLAS. PROF.]:[AGRUP. CLAS. PROF.]]=$B60,IF(DATOS_[[Check Periodo Ref.]:[Check Periodo Ref.]]="Dentro",DATOS_[Conc.Sal.14]))))),
0)</f>
        <v>0</v>
      </c>
      <c r="T61" s="111">
        <f t="array" ref="T61">IFERROR(
MEDIAN((IF(DATOS_[[Sexo]:[Sexo]]=$B61,IF(DATOS_[[AGRUP. CLAS. PROF.]:[AGRUP. CLAS. PROF.]]=$B60,IF(DATOS_[[Check Periodo Ref.]:[Check Periodo Ref.]]="Dentro",DATOS_[Conc.Sal.15]))))),
0)</f>
        <v>0</v>
      </c>
      <c r="U61" s="111">
        <f t="array" ref="U61">IFERROR(
MEDIAN((IF(DATOS_[[Sexo]:[Sexo]]=$B61,IF(DATOS_[[AGRUP. CLAS. PROF.]:[AGRUP. CLAS. PROF.]]=$B60,IF(DATOS_[[Check Periodo Ref.]:[Check Periodo Ref.]]="Dentro",DATOS_[Conc.Sal.16]))))),
0)</f>
        <v>0</v>
      </c>
      <c r="V61" s="111">
        <f t="array" ref="V61">IFERROR(
MEDIAN((IF(DATOS_[[Sexo]:[Sexo]]=$B61,IF(DATOS_[[AGRUP. CLAS. PROF.]:[AGRUP. CLAS. PROF.]]=$B60,IF(DATOS_[[Check Periodo Ref.]:[Check Periodo Ref.]]="Dentro",DATOS_[Conc.Sal.17]))))),
0)</f>
        <v>0</v>
      </c>
      <c r="W61" s="111">
        <f t="array" ref="W61">IFERROR(
MEDIAN((IF(DATOS_[[Sexo]:[Sexo]]=$B61,IF(DATOS_[[AGRUP. CLAS. PROF.]:[AGRUP. CLAS. PROF.]]=$B60,IF(DATOS_[[Check Periodo Ref.]:[Check Periodo Ref.]]="Dentro",DATOS_[Conc.Sal.18]))))),
0)</f>
        <v>0</v>
      </c>
      <c r="X61" s="111">
        <f t="array" ref="X61">IFERROR(
MEDIAN((IF(DATOS_[[Sexo]:[Sexo]]=$B61,IF(DATOS_[[AGRUP. CLAS. PROF.]:[AGRUP. CLAS. PROF.]]=$B60,IF(DATOS_[[Check Periodo Ref.]:[Check Periodo Ref.]]="Dentro",DATOS_[Conc.Sal.19]))))),
0)</f>
        <v>0</v>
      </c>
      <c r="Y61" s="111">
        <f t="array" ref="Y61">IFERROR(
MEDIAN((IF(DATOS_[[Sexo]:[Sexo]]=$B61,IF(DATOS_[[AGRUP. CLAS. PROF.]:[AGRUP. CLAS. PROF.]]=$B60,IF(DATOS_[[Check Periodo Ref.]:[Check Periodo Ref.]]="Dentro",DATOS_[Conc.Sal.20]))))),
0)</f>
        <v>0</v>
      </c>
      <c r="Z61" s="111">
        <f t="array" ref="Z61">IFERROR(
MEDIAN((IF(DATOS_[[Sexo]:[Sexo]]=$B61,IF(DATOS_[[AGRUP. CLAS. PROF.]:[AGRUP. CLAS. PROF.]]=$B60,IF(DATOS_[[Check Periodo Ref.]:[Check Periodo Ref.]]="Dentro",DATOS_[Conc.Sal.21]))))),
0)</f>
        <v>0</v>
      </c>
      <c r="AA61" s="111">
        <f t="array" ref="AA61">IFERROR(
MEDIAN((IF(DATOS_[[Sexo]:[Sexo]]=$B61,IF(DATOS_[[AGRUP. CLAS. PROF.]:[AGRUP. CLAS. PROF.]]=$B60,IF(DATOS_[[Check Periodo Ref.]:[Check Periodo Ref.]]="Dentro",DATOS_[Conc.Sal.22]))))),
0)</f>
        <v>0</v>
      </c>
      <c r="AB61" s="111">
        <f t="array" ref="AB61">IFERROR(
MEDIAN((IF(DATOS_[[Sexo]:[Sexo]]=$B61,IF(DATOS_[[AGRUP. CLAS. PROF.]:[AGRUP. CLAS. PROF.]]=$B60,IF(DATOS_[[Check Periodo Ref.]:[Check Periodo Ref.]]="Dentro",DATOS_[Conc.Sal.23]))))),
0)</f>
        <v>0</v>
      </c>
      <c r="AC61" s="111">
        <f t="array" ref="AC61">IFERROR(
MEDIAN((IF(DATOS_[[Sexo]:[Sexo]]=$B61,IF(DATOS_[[AGRUP. CLAS. PROF.]:[AGRUP. CLAS. PROF.]]=$B60,IF(DATOS_[[Check Periodo Ref.]:[Check Periodo Ref.]]="Dentro",DATOS_[Conc.Sal.24]))))),
0)</f>
        <v>0</v>
      </c>
      <c r="AD61" s="111">
        <f t="array" ref="AD61">IFERROR(
MEDIAN((IF(DATOS_[[Sexo]:[Sexo]]=$B61,IF(DATOS_[[AGRUP. CLAS. PROF.]:[AGRUP. CLAS. PROF.]]=$B60,IF(DATOS_[[Check Periodo Ref.]:[Check Periodo Ref.]]="Dentro",DATOS_[Conc.Sal.25]))))),
0)</f>
        <v>0</v>
      </c>
      <c r="AE61" s="111">
        <f t="array" ref="AE61">IFERROR(
MEDIAN((IF(DATOS_[[Sexo]:[Sexo]]=$B61,IF(DATOS_[[AGRUP. CLAS. PROF.]:[AGRUP. CLAS. PROF.]]=$B60,IF(DATOS_[[Check Periodo Ref.]:[Check Periodo Ref.]]="Dentro",DATOS_[Conc.Sal.26]))))),
0)</f>
        <v>0</v>
      </c>
      <c r="AF61" s="111">
        <f t="array" ref="AF61">IFERROR(
MEDIAN((IF(DATOS_[[Sexo]:[Sexo]]=$B61,IF(DATOS_[[AGRUP. CLAS. PROF.]:[AGRUP. CLAS. PROF.]]=$B60,IF(DATOS_[[Check Periodo Ref.]:[Check Periodo Ref.]]="Dentro",DATOS_[Conc.Sal.27]))))),
0)</f>
        <v>0</v>
      </c>
      <c r="AG61" s="111">
        <f t="array" ref="AG61">IFERROR(
MEDIAN((IF(DATOS_[[Sexo]:[Sexo]]=$B61,IF(DATOS_[[AGRUP. CLAS. PROF.]:[AGRUP. CLAS. PROF.]]=$B60,IF(DATOS_[[Check Periodo Ref.]:[Check Periodo Ref.]]="Dentro",DATOS_[Conc.Sal.28]))))),
0)</f>
        <v>0</v>
      </c>
      <c r="AH61" s="111">
        <f t="array" ref="AH61">IFERROR(
MEDIAN((IF(DATOS_[[Sexo]:[Sexo]]=$B61,IF(DATOS_[[AGRUP. CLAS. PROF.]:[AGRUP. CLAS. PROF.]]=$B60,IF(DATOS_[[Check Periodo Ref.]:[Check Periodo Ref.]]="Dentro",DATOS_[Conc.Sal.29]))))),
0)</f>
        <v>0</v>
      </c>
      <c r="AI61" s="111">
        <f t="array" ref="AI61">IFERROR(
MEDIAN((IF(DATOS_[[Sexo]:[Sexo]]=$B61,IF(DATOS_[[AGRUP. CLAS. PROF.]:[AGRUP. CLAS. PROF.]]=$B60,IF(DATOS_[[Check Periodo Ref.]:[Check Periodo Ref.]]="Dentro",DATOS_[Conc.Sal.30]))))),
0)</f>
        <v>0</v>
      </c>
      <c r="AJ61" s="112">
        <f t="array" ref="AJ61">IFERROR(
MEDIAN(IF(DATOS_[Sexo]=$B61,IF(DATOS_[AGRUP. CLAS. PROF.]=$B60,IF(DATOS_[Check Periodo Ref.]="Dentro",DATOS_[Tot COMPL.SAL Ef],FALSE)))),
0)</f>
        <v>0</v>
      </c>
      <c r="AK61" s="113">
        <f t="array" ref="AK61">IFERROR(
MEDIAN(IF(DATOS_[Sexo]=$B61,IF(DATOS_[AGRUP. CLAS. PROF.]=$B60,IF(DATOS_[Check Periodo Ref.]="Dentro",DATOS_[TOTAL SALARIO Ef],FALSE)))),
0)</f>
        <v>0</v>
      </c>
      <c r="AL61" s="114">
        <f t="array" ref="AL61">IFERROR(
MEDIAN((IF(DATOS_[[Sexo]:[Sexo]]=$B61,IF(DATOS_[[AGRUP. CLAS. PROF.]:[AGRUP. CLAS. PROF.]]=$B60,IF(DATOS_[[Check Periodo Ref.]:[Check Periodo Ref.]]="Dentro",DATOS_[C.Extra.01]))))),
0)</f>
        <v>0</v>
      </c>
      <c r="AM61" s="114">
        <f t="array" ref="AM61">IFERROR(
MEDIAN((IF(DATOS_[[Sexo]:[Sexo]]=$B61,IF(DATOS_[[AGRUP. CLAS. PROF.]:[AGRUP. CLAS. PROF.]]=$B60,IF(DATOS_[[Check Periodo Ref.]:[Check Periodo Ref.]]="Dentro",DATOS_[C.Extra.02]))))),
0)</f>
        <v>0</v>
      </c>
      <c r="AN61" s="114">
        <f t="array" ref="AN61">IFERROR(
MEDIAN((IF(DATOS_[[Sexo]:[Sexo]]=$B61,IF(DATOS_[[AGRUP. CLAS. PROF.]:[AGRUP. CLAS. PROF.]]=$B60,IF(DATOS_[[Check Periodo Ref.]:[Check Periodo Ref.]]="Dentro",DATOS_[C.Extra.03]))))),
0)</f>
        <v>0</v>
      </c>
      <c r="AO61" s="114">
        <f t="array" ref="AO61">IFERROR(
MEDIAN((IF(DATOS_[[Sexo]:[Sexo]]=$B61,IF(DATOS_[[AGRUP. CLAS. PROF.]:[AGRUP. CLAS. PROF.]]=$B60,IF(DATOS_[[Check Periodo Ref.]:[Check Periodo Ref.]]="Dentro",DATOS_[C.Extra.04]))))),
0)</f>
        <v>0</v>
      </c>
      <c r="AP61" s="114">
        <f t="array" ref="AP61">IFERROR(
MEDIAN((IF(DATOS_[[Sexo]:[Sexo]]=$B61,IF(DATOS_[[AGRUP. CLAS. PROF.]:[AGRUP. CLAS. PROF.]]=$B60,IF(DATOS_[[Check Periodo Ref.]:[Check Periodo Ref.]]="Dentro",DATOS_[C.Extra.05]))))),
0)</f>
        <v>0</v>
      </c>
      <c r="AQ61" s="115">
        <f t="array" ref="AQ61">IFERROR(
MEDIAN(IF(DATOS_[Sexo]=$B61,IF(DATOS_[AGRUP. CLAS. PROF.]=$B60,IF(DATOS_[Check Periodo Ref.]="Dentro",DATOS_[Tot Extrasalarial Ef],FALSE)))),
0)</f>
        <v>0</v>
      </c>
      <c r="AR61" s="116">
        <f t="array" ref="AR61">IFERROR(
MEDIAN(IF(DATOS_[Sexo]=$B61,IF(DATOS_[AGRUP. CLAS. PROF.]=$B60,IF(DATOS_[Check Periodo Ref.]="Dentro",DATOS_[TOTAL Retrib Ef],FALSE)))),
0)</f>
        <v>0</v>
      </c>
    </row>
    <row r="62" spans="1:44" hidden="1" x14ac:dyDescent="0.3">
      <c r="A62" s="42" t="str">
        <f t="shared" ref="A62" si="66">+A61</f>
        <v>[ocultar]</v>
      </c>
      <c r="B62" s="34" t="s">
        <v>163</v>
      </c>
      <c r="C62" s="33">
        <f t="array" ref="C62">SUM(IF($B62=DATOS_[Sexo],
IF($B60=DATOS_[AGRUP. CLAS. PROF.],
IF("Dentro"=DATOS_[Check Periodo Ref.],
1/(COUNTIFS(DATOS_[Sexo],$B62,DATOS_[AGRUP. CLAS. PROF.],$B60,DATOS_[Check Periodo Ref.],"Dentro",DATOS_[id],DATOS_[id]))))))</f>
        <v>0</v>
      </c>
      <c r="D62" s="35">
        <f>COUNTIFS(DATOS_[AGRUP. CLAS. PROF.],$B60,DATOS_[Sexo],$B62,DATOS_[Check Periodo Ref.],"Dentro")</f>
        <v>0</v>
      </c>
      <c r="E62" s="110">
        <f t="array" ref="E62">IFERROR(
MEDIAN(IF(DATOS_[Sexo]=$B62,IF(DATOS_[AGRUP. CLAS. PROF.]=$B60,IF(DATOS_[Check Periodo Ref.]="Dentro",DATOS_[SALARIO BASE Ef],FALSE)))),
0)</f>
        <v>0</v>
      </c>
      <c r="F62" s="111">
        <f t="array" ref="F62">IFERROR(
MEDIAN((IF(DATOS_[[Sexo]:[Sexo]]=$B62,IF(DATOS_[[AGRUP. CLAS. PROF.]:[AGRUP. CLAS. PROF.]]=$B60,IF(DATOS_[[Check Periodo Ref.]:[Check Periodo Ref.]]="Dentro",DATOS_[Conc.Sal.01]))))),
0)</f>
        <v>0</v>
      </c>
      <c r="G62" s="111">
        <f t="array" ref="G62">IFERROR(
MEDIAN((IF(DATOS_[[Sexo]:[Sexo]]=$B62,IF(DATOS_[[AGRUP. CLAS. PROF.]:[AGRUP. CLAS. PROF.]]=$B60,IF(DATOS_[[Check Periodo Ref.]:[Check Periodo Ref.]]="Dentro",DATOS_[Conc.Sal.02]))))),
0)</f>
        <v>0</v>
      </c>
      <c r="H62" s="111">
        <f t="array" ref="H62">IFERROR(
MEDIAN((IF(DATOS_[[Sexo]:[Sexo]]=$B62,IF(DATOS_[[AGRUP. CLAS. PROF.]:[AGRUP. CLAS. PROF.]]=$B60,IF(DATOS_[[Check Periodo Ref.]:[Check Periodo Ref.]]="Dentro",DATOS_[Conc.Sal.03]))))),
0)</f>
        <v>0</v>
      </c>
      <c r="I62" s="111">
        <f t="array" ref="I62">IFERROR(
MEDIAN((IF(DATOS_[[Sexo]:[Sexo]]=$B62,IF(DATOS_[[AGRUP. CLAS. PROF.]:[AGRUP. CLAS. PROF.]]=$B60,IF(DATOS_[[Check Periodo Ref.]:[Check Periodo Ref.]]="Dentro",DATOS_[Conc.Sal.04]))))),
0)</f>
        <v>0</v>
      </c>
      <c r="J62" s="111">
        <f t="array" ref="J62">IFERROR(
MEDIAN((IF(DATOS_[[Sexo]:[Sexo]]=$B62,IF(DATOS_[[AGRUP. CLAS. PROF.]:[AGRUP. CLAS. PROF.]]=$B60,IF(DATOS_[[Check Periodo Ref.]:[Check Periodo Ref.]]="Dentro",DATOS_[Conc.Sal.05]))))),
0)</f>
        <v>0</v>
      </c>
      <c r="K62" s="111">
        <f t="array" ref="K62">IFERROR(
MEDIAN((IF(DATOS_[[Sexo]:[Sexo]]=$B62,IF(DATOS_[[AGRUP. CLAS. PROF.]:[AGRUP. CLAS. PROF.]]=$B60,IF(DATOS_[[Check Periodo Ref.]:[Check Periodo Ref.]]="Dentro",DATOS_[Conc.Sal.06]))))),
0)</f>
        <v>0</v>
      </c>
      <c r="L62" s="111">
        <f t="array" ref="L62">IFERROR(
MEDIAN((IF(DATOS_[[Sexo]:[Sexo]]=$B62,IF(DATOS_[[AGRUP. CLAS. PROF.]:[AGRUP. CLAS. PROF.]]=$B60,IF(DATOS_[[Check Periodo Ref.]:[Check Periodo Ref.]]="Dentro",DATOS_[Conc.Sal.07]))))),
0)</f>
        <v>0</v>
      </c>
      <c r="M62" s="111">
        <f t="array" ref="M62">IFERROR(
MEDIAN((IF(DATOS_[[Sexo]:[Sexo]]=$B62,IF(DATOS_[[AGRUP. CLAS. PROF.]:[AGRUP. CLAS. PROF.]]=$B60,IF(DATOS_[[Check Periodo Ref.]:[Check Periodo Ref.]]="Dentro",DATOS_[Conc.Sal.08]))))),
0)</f>
        <v>0</v>
      </c>
      <c r="N62" s="111">
        <f t="array" ref="N62">IFERROR(
MEDIAN((IF(DATOS_[[Sexo]:[Sexo]]=$B62,IF(DATOS_[[AGRUP. CLAS. PROF.]:[AGRUP. CLAS. PROF.]]=$B60,IF(DATOS_[[Check Periodo Ref.]:[Check Periodo Ref.]]="Dentro",DATOS_[Conc.Sal.09]))))),
0)</f>
        <v>0</v>
      </c>
      <c r="O62" s="111">
        <f t="array" ref="O62">IFERROR(
MEDIAN((IF(DATOS_[[Sexo]:[Sexo]]=$B62,IF(DATOS_[[AGRUP. CLAS. PROF.]:[AGRUP. CLAS. PROF.]]=$B60,IF(DATOS_[[Check Periodo Ref.]:[Check Periodo Ref.]]="Dentro",DATOS_[Conc.Sal.10]))))),
0)</f>
        <v>0</v>
      </c>
      <c r="P62" s="111">
        <f t="array" ref="P62">IFERROR(
MEDIAN((IF(DATOS_[[Sexo]:[Sexo]]=$B62,IF(DATOS_[[AGRUP. CLAS. PROF.]:[AGRUP. CLAS. PROF.]]=$B60,IF(DATOS_[[Check Periodo Ref.]:[Check Periodo Ref.]]="Dentro",DATOS_[Conc.Sal.11]))))),
0)</f>
        <v>0</v>
      </c>
      <c r="Q62" s="111">
        <f t="array" ref="Q62">IFERROR(
MEDIAN((IF(DATOS_[[Sexo]:[Sexo]]=$B62,IF(DATOS_[[AGRUP. CLAS. PROF.]:[AGRUP. CLAS. PROF.]]=$B60,IF(DATOS_[[Check Periodo Ref.]:[Check Periodo Ref.]]="Dentro",DATOS_[Conc.Sal.12]))))),
0)</f>
        <v>0</v>
      </c>
      <c r="R62" s="111">
        <f t="array" ref="R62">IFERROR(
MEDIAN((IF(DATOS_[[Sexo]:[Sexo]]=$B62,IF(DATOS_[[AGRUP. CLAS. PROF.]:[AGRUP. CLAS. PROF.]]=$B60,IF(DATOS_[[Check Periodo Ref.]:[Check Periodo Ref.]]="Dentro",DATOS_[Conc.Sal.13]))))),
0)</f>
        <v>0</v>
      </c>
      <c r="S62" s="111">
        <f t="array" ref="S62">IFERROR(
MEDIAN((IF(DATOS_[[Sexo]:[Sexo]]=$B62,IF(DATOS_[[AGRUP. CLAS. PROF.]:[AGRUP. CLAS. PROF.]]=$B60,IF(DATOS_[[Check Periodo Ref.]:[Check Periodo Ref.]]="Dentro",DATOS_[Conc.Sal.14]))))),
0)</f>
        <v>0</v>
      </c>
      <c r="T62" s="111">
        <f t="array" ref="T62">IFERROR(
MEDIAN((IF(DATOS_[[Sexo]:[Sexo]]=$B62,IF(DATOS_[[AGRUP. CLAS. PROF.]:[AGRUP. CLAS. PROF.]]=$B60,IF(DATOS_[[Check Periodo Ref.]:[Check Periodo Ref.]]="Dentro",DATOS_[Conc.Sal.15]))))),
0)</f>
        <v>0</v>
      </c>
      <c r="U62" s="111">
        <f t="array" ref="U62">IFERROR(
MEDIAN((IF(DATOS_[[Sexo]:[Sexo]]=$B62,IF(DATOS_[[AGRUP. CLAS. PROF.]:[AGRUP. CLAS. PROF.]]=$B60,IF(DATOS_[[Check Periodo Ref.]:[Check Periodo Ref.]]="Dentro",DATOS_[Conc.Sal.16]))))),
0)</f>
        <v>0</v>
      </c>
      <c r="V62" s="111">
        <f t="array" ref="V62">IFERROR(
MEDIAN((IF(DATOS_[[Sexo]:[Sexo]]=$B62,IF(DATOS_[[AGRUP. CLAS. PROF.]:[AGRUP. CLAS. PROF.]]=$B60,IF(DATOS_[[Check Periodo Ref.]:[Check Periodo Ref.]]="Dentro",DATOS_[Conc.Sal.17]))))),
0)</f>
        <v>0</v>
      </c>
      <c r="W62" s="111">
        <f t="array" ref="W62">IFERROR(
MEDIAN((IF(DATOS_[[Sexo]:[Sexo]]=$B62,IF(DATOS_[[AGRUP. CLAS. PROF.]:[AGRUP. CLAS. PROF.]]=$B60,IF(DATOS_[[Check Periodo Ref.]:[Check Periodo Ref.]]="Dentro",DATOS_[Conc.Sal.18]))))),
0)</f>
        <v>0</v>
      </c>
      <c r="X62" s="111">
        <f t="array" ref="X62">IFERROR(
MEDIAN((IF(DATOS_[[Sexo]:[Sexo]]=$B62,IF(DATOS_[[AGRUP. CLAS. PROF.]:[AGRUP. CLAS. PROF.]]=$B60,IF(DATOS_[[Check Periodo Ref.]:[Check Periodo Ref.]]="Dentro",DATOS_[Conc.Sal.19]))))),
0)</f>
        <v>0</v>
      </c>
      <c r="Y62" s="111">
        <f t="array" ref="Y62">IFERROR(
MEDIAN((IF(DATOS_[[Sexo]:[Sexo]]=$B62,IF(DATOS_[[AGRUP. CLAS. PROF.]:[AGRUP. CLAS. PROF.]]=$B60,IF(DATOS_[[Check Periodo Ref.]:[Check Periodo Ref.]]="Dentro",DATOS_[Conc.Sal.20]))))),
0)</f>
        <v>0</v>
      </c>
      <c r="Z62" s="111">
        <f t="array" ref="Z62">IFERROR(
MEDIAN((IF(DATOS_[[Sexo]:[Sexo]]=$B62,IF(DATOS_[[AGRUP. CLAS. PROF.]:[AGRUP. CLAS. PROF.]]=$B60,IF(DATOS_[[Check Periodo Ref.]:[Check Periodo Ref.]]="Dentro",DATOS_[Conc.Sal.21]))))),
0)</f>
        <v>0</v>
      </c>
      <c r="AA62" s="111">
        <f t="array" ref="AA62">IFERROR(
MEDIAN((IF(DATOS_[[Sexo]:[Sexo]]=$B62,IF(DATOS_[[AGRUP. CLAS. PROF.]:[AGRUP. CLAS. PROF.]]=$B60,IF(DATOS_[[Check Periodo Ref.]:[Check Periodo Ref.]]="Dentro",DATOS_[Conc.Sal.22]))))),
0)</f>
        <v>0</v>
      </c>
      <c r="AB62" s="111">
        <f t="array" ref="AB62">IFERROR(
MEDIAN((IF(DATOS_[[Sexo]:[Sexo]]=$B62,IF(DATOS_[[AGRUP. CLAS. PROF.]:[AGRUP. CLAS. PROF.]]=$B60,IF(DATOS_[[Check Periodo Ref.]:[Check Periodo Ref.]]="Dentro",DATOS_[Conc.Sal.23]))))),
0)</f>
        <v>0</v>
      </c>
      <c r="AC62" s="111">
        <f t="array" ref="AC62">IFERROR(
MEDIAN((IF(DATOS_[[Sexo]:[Sexo]]=$B62,IF(DATOS_[[AGRUP. CLAS. PROF.]:[AGRUP. CLAS. PROF.]]=$B60,IF(DATOS_[[Check Periodo Ref.]:[Check Periodo Ref.]]="Dentro",DATOS_[Conc.Sal.24]))))),
0)</f>
        <v>0</v>
      </c>
      <c r="AD62" s="111">
        <f t="array" ref="AD62">IFERROR(
MEDIAN((IF(DATOS_[[Sexo]:[Sexo]]=$B62,IF(DATOS_[[AGRUP. CLAS. PROF.]:[AGRUP. CLAS. PROF.]]=$B60,IF(DATOS_[[Check Periodo Ref.]:[Check Periodo Ref.]]="Dentro",DATOS_[Conc.Sal.25]))))),
0)</f>
        <v>0</v>
      </c>
      <c r="AE62" s="111">
        <f t="array" ref="AE62">IFERROR(
MEDIAN((IF(DATOS_[[Sexo]:[Sexo]]=$B62,IF(DATOS_[[AGRUP. CLAS. PROF.]:[AGRUP. CLAS. PROF.]]=$B60,IF(DATOS_[[Check Periodo Ref.]:[Check Periodo Ref.]]="Dentro",DATOS_[Conc.Sal.26]))))),
0)</f>
        <v>0</v>
      </c>
      <c r="AF62" s="111">
        <f t="array" ref="AF62">IFERROR(
MEDIAN((IF(DATOS_[[Sexo]:[Sexo]]=$B62,IF(DATOS_[[AGRUP. CLAS. PROF.]:[AGRUP. CLAS. PROF.]]=$B60,IF(DATOS_[[Check Periodo Ref.]:[Check Periodo Ref.]]="Dentro",DATOS_[Conc.Sal.27]))))),
0)</f>
        <v>0</v>
      </c>
      <c r="AG62" s="111">
        <f t="array" ref="AG62">IFERROR(
MEDIAN((IF(DATOS_[[Sexo]:[Sexo]]=$B62,IF(DATOS_[[AGRUP. CLAS. PROF.]:[AGRUP. CLAS. PROF.]]=$B60,IF(DATOS_[[Check Periodo Ref.]:[Check Periodo Ref.]]="Dentro",DATOS_[Conc.Sal.28]))))),
0)</f>
        <v>0</v>
      </c>
      <c r="AH62" s="111">
        <f t="array" ref="AH62">IFERROR(
MEDIAN((IF(DATOS_[[Sexo]:[Sexo]]=$B62,IF(DATOS_[[AGRUP. CLAS. PROF.]:[AGRUP. CLAS. PROF.]]=$B60,IF(DATOS_[[Check Periodo Ref.]:[Check Periodo Ref.]]="Dentro",DATOS_[Conc.Sal.29]))))),
0)</f>
        <v>0</v>
      </c>
      <c r="AI62" s="111">
        <f t="array" ref="AI62">IFERROR(
MEDIAN((IF(DATOS_[[Sexo]:[Sexo]]=$B62,IF(DATOS_[[AGRUP. CLAS. PROF.]:[AGRUP. CLAS. PROF.]]=$B60,IF(DATOS_[[Check Periodo Ref.]:[Check Periodo Ref.]]="Dentro",DATOS_[Conc.Sal.30]))))),
0)</f>
        <v>0</v>
      </c>
      <c r="AJ62" s="112">
        <f t="array" ref="AJ62">IFERROR(
MEDIAN(IF(DATOS_[Sexo]=$B62,IF(DATOS_[AGRUP. CLAS. PROF.]=$B60,IF(DATOS_[Check Periodo Ref.]="Dentro",DATOS_[Tot COMPL.SAL Ef],FALSE)))),
0)</f>
        <v>0</v>
      </c>
      <c r="AK62" s="113">
        <f t="array" ref="AK62">IFERROR(
MEDIAN(IF(DATOS_[Sexo]=$B62,IF(DATOS_[AGRUP. CLAS. PROF.]=$B60,IF(DATOS_[Check Periodo Ref.]="Dentro",DATOS_[TOTAL SALARIO Ef],FALSE)))),
0)</f>
        <v>0</v>
      </c>
      <c r="AL62" s="114">
        <f t="array" ref="AL62">IFERROR(
MEDIAN((IF(DATOS_[[Sexo]:[Sexo]]=$B62,IF(DATOS_[[AGRUP. CLAS. PROF.]:[AGRUP. CLAS. PROF.]]=$B60,IF(DATOS_[[Check Periodo Ref.]:[Check Periodo Ref.]]="Dentro",DATOS_[C.Extra.01]))))),
0)</f>
        <v>0</v>
      </c>
      <c r="AM62" s="114">
        <f t="array" ref="AM62">IFERROR(
MEDIAN((IF(DATOS_[[Sexo]:[Sexo]]=$B62,IF(DATOS_[[AGRUP. CLAS. PROF.]:[AGRUP. CLAS. PROF.]]=$B60,IF(DATOS_[[Check Periodo Ref.]:[Check Periodo Ref.]]="Dentro",DATOS_[C.Extra.02]))))),
0)</f>
        <v>0</v>
      </c>
      <c r="AN62" s="114">
        <f t="array" ref="AN62">IFERROR(
MEDIAN((IF(DATOS_[[Sexo]:[Sexo]]=$B62,IF(DATOS_[[AGRUP. CLAS. PROF.]:[AGRUP. CLAS. PROF.]]=$B60,IF(DATOS_[[Check Periodo Ref.]:[Check Periodo Ref.]]="Dentro",DATOS_[C.Extra.03]))))),
0)</f>
        <v>0</v>
      </c>
      <c r="AO62" s="114">
        <f t="array" ref="AO62">IFERROR(
MEDIAN((IF(DATOS_[[Sexo]:[Sexo]]=$B62,IF(DATOS_[[AGRUP. CLAS. PROF.]:[AGRUP. CLAS. PROF.]]=$B60,IF(DATOS_[[Check Periodo Ref.]:[Check Periodo Ref.]]="Dentro",DATOS_[C.Extra.04]))))),
0)</f>
        <v>0</v>
      </c>
      <c r="AP62" s="114">
        <f t="array" ref="AP62">IFERROR(
MEDIAN((IF(DATOS_[[Sexo]:[Sexo]]=$B62,IF(DATOS_[[AGRUP. CLAS. PROF.]:[AGRUP. CLAS. PROF.]]=$B60,IF(DATOS_[[Check Periodo Ref.]:[Check Periodo Ref.]]="Dentro",DATOS_[C.Extra.05]))))),
0)</f>
        <v>0</v>
      </c>
      <c r="AQ62" s="115">
        <f t="array" ref="AQ62">IFERROR(
MEDIAN(IF(DATOS_[Sexo]=$B62,IF(DATOS_[AGRUP. CLAS. PROF.]=$B60,IF(DATOS_[Check Periodo Ref.]="Dentro",DATOS_[Tot Extrasalarial Ef],FALSE)))),
0)</f>
        <v>0</v>
      </c>
      <c r="AR62" s="116">
        <f t="array" ref="AR62">IFERROR(
MEDIAN(IF(DATOS_[Sexo]=$B62,IF(DATOS_[AGRUP. CLAS. PROF.]=$B60,IF(DATOS_[Check Periodo Ref.]="Dentro",DATOS_[TOTAL Retrib Ef],FALSE)))),
0)</f>
        <v>0</v>
      </c>
    </row>
    <row r="63" spans="1:44" ht="17.25" hidden="1" thickBot="1" x14ac:dyDescent="0.35">
      <c r="A63" s="42" t="str">
        <f t="shared" ref="A63" si="67">+A64</f>
        <v>[ocultar]</v>
      </c>
      <c r="B63" s="40" t="s">
        <v>233</v>
      </c>
      <c r="C63" s="109"/>
      <c r="D63" s="41"/>
      <c r="E63" s="119" t="str">
        <f t="shared" ref="E63:AR63" si="68">IFERROR((E64-E65)/E64,"")</f>
        <v/>
      </c>
      <c r="F63" s="123" t="str">
        <f t="shared" si="68"/>
        <v/>
      </c>
      <c r="G63" s="123" t="str">
        <f t="shared" si="68"/>
        <v/>
      </c>
      <c r="H63" s="123" t="str">
        <f t="shared" si="68"/>
        <v/>
      </c>
      <c r="I63" s="123" t="str">
        <f t="shared" si="68"/>
        <v/>
      </c>
      <c r="J63" s="123" t="str">
        <f t="shared" si="68"/>
        <v/>
      </c>
      <c r="K63" s="123" t="str">
        <f t="shared" si="68"/>
        <v/>
      </c>
      <c r="L63" s="123" t="str">
        <f t="shared" si="68"/>
        <v/>
      </c>
      <c r="M63" s="123" t="str">
        <f t="shared" si="68"/>
        <v/>
      </c>
      <c r="N63" s="123" t="str">
        <f t="shared" si="68"/>
        <v/>
      </c>
      <c r="O63" s="123" t="str">
        <f t="shared" si="68"/>
        <v/>
      </c>
      <c r="P63" s="123" t="str">
        <f t="shared" si="68"/>
        <v/>
      </c>
      <c r="Q63" s="123" t="str">
        <f t="shared" si="68"/>
        <v/>
      </c>
      <c r="R63" s="123" t="str">
        <f t="shared" si="68"/>
        <v/>
      </c>
      <c r="S63" s="123" t="str">
        <f t="shared" si="68"/>
        <v/>
      </c>
      <c r="T63" s="123" t="str">
        <f t="shared" si="68"/>
        <v/>
      </c>
      <c r="U63" s="123" t="str">
        <f t="shared" si="68"/>
        <v/>
      </c>
      <c r="V63" s="122" t="str">
        <f t="shared" si="68"/>
        <v/>
      </c>
      <c r="W63" s="122" t="str">
        <f t="shared" si="68"/>
        <v/>
      </c>
      <c r="X63" s="122" t="str">
        <f t="shared" si="68"/>
        <v/>
      </c>
      <c r="Y63" s="122" t="str">
        <f t="shared" si="68"/>
        <v/>
      </c>
      <c r="Z63" s="122" t="str">
        <f t="shared" si="68"/>
        <v/>
      </c>
      <c r="AA63" s="122" t="str">
        <f t="shared" si="68"/>
        <v/>
      </c>
      <c r="AB63" s="122" t="str">
        <f t="shared" si="68"/>
        <v/>
      </c>
      <c r="AC63" s="122" t="str">
        <f t="shared" si="68"/>
        <v/>
      </c>
      <c r="AD63" s="122" t="str">
        <f t="shared" si="68"/>
        <v/>
      </c>
      <c r="AE63" s="122" t="str">
        <f t="shared" si="68"/>
        <v/>
      </c>
      <c r="AF63" s="122" t="str">
        <f t="shared" si="68"/>
        <v/>
      </c>
      <c r="AG63" s="122" t="str">
        <f t="shared" si="68"/>
        <v/>
      </c>
      <c r="AH63" s="122" t="str">
        <f t="shared" si="68"/>
        <v/>
      </c>
      <c r="AI63" s="122" t="str">
        <f t="shared" si="68"/>
        <v/>
      </c>
      <c r="AJ63" s="124" t="str">
        <f t="shared" si="68"/>
        <v/>
      </c>
      <c r="AK63" s="128" t="str">
        <f t="shared" si="68"/>
        <v/>
      </c>
      <c r="AL63" s="125" t="str">
        <f t="shared" si="68"/>
        <v/>
      </c>
      <c r="AM63" s="125" t="str">
        <f t="shared" si="68"/>
        <v/>
      </c>
      <c r="AN63" s="125" t="str">
        <f t="shared" si="68"/>
        <v/>
      </c>
      <c r="AO63" s="125" t="str">
        <f t="shared" si="68"/>
        <v/>
      </c>
      <c r="AP63" s="125" t="str">
        <f t="shared" si="68"/>
        <v/>
      </c>
      <c r="AQ63" s="126" t="str">
        <f t="shared" si="68"/>
        <v/>
      </c>
      <c r="AR63" s="127" t="str">
        <f t="shared" si="68"/>
        <v/>
      </c>
    </row>
    <row r="64" spans="1:44" hidden="1" x14ac:dyDescent="0.3">
      <c r="A64" s="42" t="str">
        <f t="shared" ref="A64" si="69">+IF(C64+C65=0,"[ocultar]","")</f>
        <v>[ocultar]</v>
      </c>
      <c r="B64" s="34" t="s">
        <v>162</v>
      </c>
      <c r="C64" s="33">
        <f t="array" ref="C64">SUM(IF($B64=DATOS_[Sexo],
IF($B63=DATOS_[AGRUP. CLAS. PROF.],
IF("Dentro"=DATOS_[Check Periodo Ref.],
1/(COUNTIFS(DATOS_[Sexo],$B64,DATOS_[AGRUP. CLAS. PROF.],$B63,DATOS_[Check Periodo Ref.],"Dentro",DATOS_[id],DATOS_[id]))))))</f>
        <v>0</v>
      </c>
      <c r="D64" s="35">
        <f>COUNTIFS(DATOS_[AGRUP. CLAS. PROF.],$B63,DATOS_[Sexo],$B64,DATOS_[Check Periodo Ref.],"Dentro")</f>
        <v>0</v>
      </c>
      <c r="E64" s="110">
        <f t="array" ref="E64">IFERROR(
MEDIAN(IF(DATOS_[Sexo]=$B64,IF(DATOS_[AGRUP. CLAS. PROF.]=$B63,IF(DATOS_[Check Periodo Ref.]="Dentro",DATOS_[SALARIO BASE Ef],FALSE)))),
0)</f>
        <v>0</v>
      </c>
      <c r="F64" s="111">
        <f t="array" ref="F64">IFERROR(
MEDIAN((IF(DATOS_[[Sexo]:[Sexo]]=$B64,IF(DATOS_[[AGRUP. CLAS. PROF.]:[AGRUP. CLAS. PROF.]]=$B63,IF(DATOS_[[Check Periodo Ref.]:[Check Periodo Ref.]]="Dentro",DATOS_[Conc.Sal.01]))))),
0)</f>
        <v>0</v>
      </c>
      <c r="G64" s="111">
        <f t="array" ref="G64">IFERROR(
MEDIAN((IF(DATOS_[[Sexo]:[Sexo]]=$B64,IF(DATOS_[[AGRUP. CLAS. PROF.]:[AGRUP. CLAS. PROF.]]=$B63,IF(DATOS_[[Check Periodo Ref.]:[Check Periodo Ref.]]="Dentro",DATOS_[Conc.Sal.02]))))),
0)</f>
        <v>0</v>
      </c>
      <c r="H64" s="111">
        <f t="array" ref="H64">IFERROR(
MEDIAN((IF(DATOS_[[Sexo]:[Sexo]]=$B64,IF(DATOS_[[AGRUP. CLAS. PROF.]:[AGRUP. CLAS. PROF.]]=$B63,IF(DATOS_[[Check Periodo Ref.]:[Check Periodo Ref.]]="Dentro",DATOS_[Conc.Sal.03]))))),
0)</f>
        <v>0</v>
      </c>
      <c r="I64" s="111">
        <f t="array" ref="I64">IFERROR(
MEDIAN((IF(DATOS_[[Sexo]:[Sexo]]=$B64,IF(DATOS_[[AGRUP. CLAS. PROF.]:[AGRUP. CLAS. PROF.]]=$B63,IF(DATOS_[[Check Periodo Ref.]:[Check Periodo Ref.]]="Dentro",DATOS_[Conc.Sal.04]))))),
0)</f>
        <v>0</v>
      </c>
      <c r="J64" s="111">
        <f t="array" ref="J64">IFERROR(
MEDIAN((IF(DATOS_[[Sexo]:[Sexo]]=$B64,IF(DATOS_[[AGRUP. CLAS. PROF.]:[AGRUP. CLAS. PROF.]]=$B63,IF(DATOS_[[Check Periodo Ref.]:[Check Periodo Ref.]]="Dentro",DATOS_[Conc.Sal.05]))))),
0)</f>
        <v>0</v>
      </c>
      <c r="K64" s="111">
        <f t="array" ref="K64">IFERROR(
MEDIAN((IF(DATOS_[[Sexo]:[Sexo]]=$B64,IF(DATOS_[[AGRUP. CLAS. PROF.]:[AGRUP. CLAS. PROF.]]=$B63,IF(DATOS_[[Check Periodo Ref.]:[Check Periodo Ref.]]="Dentro",DATOS_[Conc.Sal.06]))))),
0)</f>
        <v>0</v>
      </c>
      <c r="L64" s="111">
        <f t="array" ref="L64">IFERROR(
MEDIAN((IF(DATOS_[[Sexo]:[Sexo]]=$B64,IF(DATOS_[[AGRUP. CLAS. PROF.]:[AGRUP. CLAS. PROF.]]=$B63,IF(DATOS_[[Check Periodo Ref.]:[Check Periodo Ref.]]="Dentro",DATOS_[Conc.Sal.07]))))),
0)</f>
        <v>0</v>
      </c>
      <c r="M64" s="111">
        <f t="array" ref="M64">IFERROR(
MEDIAN((IF(DATOS_[[Sexo]:[Sexo]]=$B64,IF(DATOS_[[AGRUP. CLAS. PROF.]:[AGRUP. CLAS. PROF.]]=$B63,IF(DATOS_[[Check Periodo Ref.]:[Check Periodo Ref.]]="Dentro",DATOS_[Conc.Sal.08]))))),
0)</f>
        <v>0</v>
      </c>
      <c r="N64" s="111">
        <f t="array" ref="N64">IFERROR(
MEDIAN((IF(DATOS_[[Sexo]:[Sexo]]=$B64,IF(DATOS_[[AGRUP. CLAS. PROF.]:[AGRUP. CLAS. PROF.]]=$B63,IF(DATOS_[[Check Periodo Ref.]:[Check Periodo Ref.]]="Dentro",DATOS_[Conc.Sal.09]))))),
0)</f>
        <v>0</v>
      </c>
      <c r="O64" s="111">
        <f t="array" ref="O64">IFERROR(
MEDIAN((IF(DATOS_[[Sexo]:[Sexo]]=$B64,IF(DATOS_[[AGRUP. CLAS. PROF.]:[AGRUP. CLAS. PROF.]]=$B63,IF(DATOS_[[Check Periodo Ref.]:[Check Periodo Ref.]]="Dentro",DATOS_[Conc.Sal.10]))))),
0)</f>
        <v>0</v>
      </c>
      <c r="P64" s="111">
        <f t="array" ref="P64">IFERROR(
MEDIAN((IF(DATOS_[[Sexo]:[Sexo]]=$B64,IF(DATOS_[[AGRUP. CLAS. PROF.]:[AGRUP. CLAS. PROF.]]=$B63,IF(DATOS_[[Check Periodo Ref.]:[Check Periodo Ref.]]="Dentro",DATOS_[Conc.Sal.11]))))),
0)</f>
        <v>0</v>
      </c>
      <c r="Q64" s="111">
        <f t="array" ref="Q64">IFERROR(
MEDIAN((IF(DATOS_[[Sexo]:[Sexo]]=$B64,IF(DATOS_[[AGRUP. CLAS. PROF.]:[AGRUP. CLAS. PROF.]]=$B63,IF(DATOS_[[Check Periodo Ref.]:[Check Periodo Ref.]]="Dentro",DATOS_[Conc.Sal.12]))))),
0)</f>
        <v>0</v>
      </c>
      <c r="R64" s="111">
        <f t="array" ref="R64">IFERROR(
MEDIAN((IF(DATOS_[[Sexo]:[Sexo]]=$B64,IF(DATOS_[[AGRUP. CLAS. PROF.]:[AGRUP. CLAS. PROF.]]=$B63,IF(DATOS_[[Check Periodo Ref.]:[Check Periodo Ref.]]="Dentro",DATOS_[Conc.Sal.13]))))),
0)</f>
        <v>0</v>
      </c>
      <c r="S64" s="111">
        <f t="array" ref="S64">IFERROR(
MEDIAN((IF(DATOS_[[Sexo]:[Sexo]]=$B64,IF(DATOS_[[AGRUP. CLAS. PROF.]:[AGRUP. CLAS. PROF.]]=$B63,IF(DATOS_[[Check Periodo Ref.]:[Check Periodo Ref.]]="Dentro",DATOS_[Conc.Sal.14]))))),
0)</f>
        <v>0</v>
      </c>
      <c r="T64" s="111">
        <f t="array" ref="T64">IFERROR(
MEDIAN((IF(DATOS_[[Sexo]:[Sexo]]=$B64,IF(DATOS_[[AGRUP. CLAS. PROF.]:[AGRUP. CLAS. PROF.]]=$B63,IF(DATOS_[[Check Periodo Ref.]:[Check Periodo Ref.]]="Dentro",DATOS_[Conc.Sal.15]))))),
0)</f>
        <v>0</v>
      </c>
      <c r="U64" s="111">
        <f t="array" ref="U64">IFERROR(
MEDIAN((IF(DATOS_[[Sexo]:[Sexo]]=$B64,IF(DATOS_[[AGRUP. CLAS. PROF.]:[AGRUP. CLAS. PROF.]]=$B63,IF(DATOS_[[Check Periodo Ref.]:[Check Periodo Ref.]]="Dentro",DATOS_[Conc.Sal.16]))))),
0)</f>
        <v>0</v>
      </c>
      <c r="V64" s="111">
        <f t="array" ref="V64">IFERROR(
MEDIAN((IF(DATOS_[[Sexo]:[Sexo]]=$B64,IF(DATOS_[[AGRUP. CLAS. PROF.]:[AGRUP. CLAS. PROF.]]=$B63,IF(DATOS_[[Check Periodo Ref.]:[Check Periodo Ref.]]="Dentro",DATOS_[Conc.Sal.17]))))),
0)</f>
        <v>0</v>
      </c>
      <c r="W64" s="111">
        <f t="array" ref="W64">IFERROR(
MEDIAN((IF(DATOS_[[Sexo]:[Sexo]]=$B64,IF(DATOS_[[AGRUP. CLAS. PROF.]:[AGRUP. CLAS. PROF.]]=$B63,IF(DATOS_[[Check Periodo Ref.]:[Check Periodo Ref.]]="Dentro",DATOS_[Conc.Sal.18]))))),
0)</f>
        <v>0</v>
      </c>
      <c r="X64" s="111">
        <f t="array" ref="X64">IFERROR(
MEDIAN((IF(DATOS_[[Sexo]:[Sexo]]=$B64,IF(DATOS_[[AGRUP. CLAS. PROF.]:[AGRUP. CLAS. PROF.]]=$B63,IF(DATOS_[[Check Periodo Ref.]:[Check Periodo Ref.]]="Dentro",DATOS_[Conc.Sal.19]))))),
0)</f>
        <v>0</v>
      </c>
      <c r="Y64" s="111">
        <f t="array" ref="Y64">IFERROR(
MEDIAN((IF(DATOS_[[Sexo]:[Sexo]]=$B64,IF(DATOS_[[AGRUP. CLAS. PROF.]:[AGRUP. CLAS. PROF.]]=$B63,IF(DATOS_[[Check Periodo Ref.]:[Check Periodo Ref.]]="Dentro",DATOS_[Conc.Sal.20]))))),
0)</f>
        <v>0</v>
      </c>
      <c r="Z64" s="111">
        <f t="array" ref="Z64">IFERROR(
MEDIAN((IF(DATOS_[[Sexo]:[Sexo]]=$B64,IF(DATOS_[[AGRUP. CLAS. PROF.]:[AGRUP. CLAS. PROF.]]=$B63,IF(DATOS_[[Check Periodo Ref.]:[Check Periodo Ref.]]="Dentro",DATOS_[Conc.Sal.21]))))),
0)</f>
        <v>0</v>
      </c>
      <c r="AA64" s="111">
        <f t="array" ref="AA64">IFERROR(
MEDIAN((IF(DATOS_[[Sexo]:[Sexo]]=$B64,IF(DATOS_[[AGRUP. CLAS. PROF.]:[AGRUP. CLAS. PROF.]]=$B63,IF(DATOS_[[Check Periodo Ref.]:[Check Periodo Ref.]]="Dentro",DATOS_[Conc.Sal.22]))))),
0)</f>
        <v>0</v>
      </c>
      <c r="AB64" s="111">
        <f t="array" ref="AB64">IFERROR(
MEDIAN((IF(DATOS_[[Sexo]:[Sexo]]=$B64,IF(DATOS_[[AGRUP. CLAS. PROF.]:[AGRUP. CLAS. PROF.]]=$B63,IF(DATOS_[[Check Periodo Ref.]:[Check Periodo Ref.]]="Dentro",DATOS_[Conc.Sal.23]))))),
0)</f>
        <v>0</v>
      </c>
      <c r="AC64" s="111">
        <f t="array" ref="AC64">IFERROR(
MEDIAN((IF(DATOS_[[Sexo]:[Sexo]]=$B64,IF(DATOS_[[AGRUP. CLAS. PROF.]:[AGRUP. CLAS. PROF.]]=$B63,IF(DATOS_[[Check Periodo Ref.]:[Check Periodo Ref.]]="Dentro",DATOS_[Conc.Sal.24]))))),
0)</f>
        <v>0</v>
      </c>
      <c r="AD64" s="111">
        <f t="array" ref="AD64">IFERROR(
MEDIAN((IF(DATOS_[[Sexo]:[Sexo]]=$B64,IF(DATOS_[[AGRUP. CLAS. PROF.]:[AGRUP. CLAS. PROF.]]=$B63,IF(DATOS_[[Check Periodo Ref.]:[Check Periodo Ref.]]="Dentro",DATOS_[Conc.Sal.25]))))),
0)</f>
        <v>0</v>
      </c>
      <c r="AE64" s="111">
        <f t="array" ref="AE64">IFERROR(
MEDIAN((IF(DATOS_[[Sexo]:[Sexo]]=$B64,IF(DATOS_[[AGRUP. CLAS. PROF.]:[AGRUP. CLAS. PROF.]]=$B63,IF(DATOS_[[Check Periodo Ref.]:[Check Periodo Ref.]]="Dentro",DATOS_[Conc.Sal.26]))))),
0)</f>
        <v>0</v>
      </c>
      <c r="AF64" s="111">
        <f t="array" ref="AF64">IFERROR(
MEDIAN((IF(DATOS_[[Sexo]:[Sexo]]=$B64,IF(DATOS_[[AGRUP. CLAS. PROF.]:[AGRUP. CLAS. PROF.]]=$B63,IF(DATOS_[[Check Periodo Ref.]:[Check Periodo Ref.]]="Dentro",DATOS_[Conc.Sal.27]))))),
0)</f>
        <v>0</v>
      </c>
      <c r="AG64" s="111">
        <f t="array" ref="AG64">IFERROR(
MEDIAN((IF(DATOS_[[Sexo]:[Sexo]]=$B64,IF(DATOS_[[AGRUP. CLAS. PROF.]:[AGRUP. CLAS. PROF.]]=$B63,IF(DATOS_[[Check Periodo Ref.]:[Check Periodo Ref.]]="Dentro",DATOS_[Conc.Sal.28]))))),
0)</f>
        <v>0</v>
      </c>
      <c r="AH64" s="111">
        <f t="array" ref="AH64">IFERROR(
MEDIAN((IF(DATOS_[[Sexo]:[Sexo]]=$B64,IF(DATOS_[[AGRUP. CLAS. PROF.]:[AGRUP. CLAS. PROF.]]=$B63,IF(DATOS_[[Check Periodo Ref.]:[Check Periodo Ref.]]="Dentro",DATOS_[Conc.Sal.29]))))),
0)</f>
        <v>0</v>
      </c>
      <c r="AI64" s="111">
        <f t="array" ref="AI64">IFERROR(
MEDIAN((IF(DATOS_[[Sexo]:[Sexo]]=$B64,IF(DATOS_[[AGRUP. CLAS. PROF.]:[AGRUP. CLAS. PROF.]]=$B63,IF(DATOS_[[Check Periodo Ref.]:[Check Periodo Ref.]]="Dentro",DATOS_[Conc.Sal.30]))))),
0)</f>
        <v>0</v>
      </c>
      <c r="AJ64" s="112">
        <f t="array" ref="AJ64">IFERROR(
MEDIAN(IF(DATOS_[Sexo]=$B64,IF(DATOS_[AGRUP. CLAS. PROF.]=$B63,IF(DATOS_[Check Periodo Ref.]="Dentro",DATOS_[Tot COMPL.SAL Ef],FALSE)))),
0)</f>
        <v>0</v>
      </c>
      <c r="AK64" s="113">
        <f t="array" ref="AK64">IFERROR(
MEDIAN(IF(DATOS_[Sexo]=$B64,IF(DATOS_[AGRUP. CLAS. PROF.]=$B63,IF(DATOS_[Check Periodo Ref.]="Dentro",DATOS_[TOTAL SALARIO Ef],FALSE)))),
0)</f>
        <v>0</v>
      </c>
      <c r="AL64" s="114">
        <f t="array" ref="AL64">IFERROR(
MEDIAN((IF(DATOS_[[Sexo]:[Sexo]]=$B64,IF(DATOS_[[AGRUP. CLAS. PROF.]:[AGRUP. CLAS. PROF.]]=$B63,IF(DATOS_[[Check Periodo Ref.]:[Check Periodo Ref.]]="Dentro",DATOS_[C.Extra.01]))))),
0)</f>
        <v>0</v>
      </c>
      <c r="AM64" s="114">
        <f t="array" ref="AM64">IFERROR(
MEDIAN((IF(DATOS_[[Sexo]:[Sexo]]=$B64,IF(DATOS_[[AGRUP. CLAS. PROF.]:[AGRUP. CLAS. PROF.]]=$B63,IF(DATOS_[[Check Periodo Ref.]:[Check Periodo Ref.]]="Dentro",DATOS_[C.Extra.02]))))),
0)</f>
        <v>0</v>
      </c>
      <c r="AN64" s="114">
        <f t="array" ref="AN64">IFERROR(
MEDIAN((IF(DATOS_[[Sexo]:[Sexo]]=$B64,IF(DATOS_[[AGRUP. CLAS. PROF.]:[AGRUP. CLAS. PROF.]]=$B63,IF(DATOS_[[Check Periodo Ref.]:[Check Periodo Ref.]]="Dentro",DATOS_[C.Extra.03]))))),
0)</f>
        <v>0</v>
      </c>
      <c r="AO64" s="114">
        <f t="array" ref="AO64">IFERROR(
MEDIAN((IF(DATOS_[[Sexo]:[Sexo]]=$B64,IF(DATOS_[[AGRUP. CLAS. PROF.]:[AGRUP. CLAS. PROF.]]=$B63,IF(DATOS_[[Check Periodo Ref.]:[Check Periodo Ref.]]="Dentro",DATOS_[C.Extra.04]))))),
0)</f>
        <v>0</v>
      </c>
      <c r="AP64" s="114">
        <f t="array" ref="AP64">IFERROR(
MEDIAN((IF(DATOS_[[Sexo]:[Sexo]]=$B64,IF(DATOS_[[AGRUP. CLAS. PROF.]:[AGRUP. CLAS. PROF.]]=$B63,IF(DATOS_[[Check Periodo Ref.]:[Check Periodo Ref.]]="Dentro",DATOS_[C.Extra.05]))))),
0)</f>
        <v>0</v>
      </c>
      <c r="AQ64" s="115">
        <f t="array" ref="AQ64">IFERROR(
MEDIAN(IF(DATOS_[Sexo]=$B64,IF(DATOS_[AGRUP. CLAS. PROF.]=$B63,IF(DATOS_[Check Periodo Ref.]="Dentro",DATOS_[Tot Extrasalarial Ef],FALSE)))),
0)</f>
        <v>0</v>
      </c>
      <c r="AR64" s="116">
        <f t="array" ref="AR64">IFERROR(
MEDIAN(IF(DATOS_[Sexo]=$B64,IF(DATOS_[AGRUP. CLAS. PROF.]=$B63,IF(DATOS_[Check Periodo Ref.]="Dentro",DATOS_[TOTAL Retrib Ef],FALSE)))),
0)</f>
        <v>0</v>
      </c>
    </row>
    <row r="65" spans="1:44" hidden="1" x14ac:dyDescent="0.3">
      <c r="A65" s="42" t="str">
        <f t="shared" ref="A65" si="70">+A64</f>
        <v>[ocultar]</v>
      </c>
      <c r="B65" s="34" t="s">
        <v>163</v>
      </c>
      <c r="C65" s="33">
        <f t="array" ref="C65">SUM(IF($B65=DATOS_[Sexo],
IF($B63=DATOS_[AGRUP. CLAS. PROF.],
IF("Dentro"=DATOS_[Check Periodo Ref.],
1/(COUNTIFS(DATOS_[Sexo],$B65,DATOS_[AGRUP. CLAS. PROF.],$B63,DATOS_[Check Periodo Ref.],"Dentro",DATOS_[id],DATOS_[id]))))))</f>
        <v>0</v>
      </c>
      <c r="D65" s="35">
        <f>COUNTIFS(DATOS_[AGRUP. CLAS. PROF.],$B63,DATOS_[Sexo],$B65,DATOS_[Check Periodo Ref.],"Dentro")</f>
        <v>0</v>
      </c>
      <c r="E65" s="110">
        <f t="array" ref="E65">IFERROR(
MEDIAN(IF(DATOS_[Sexo]=$B65,IF(DATOS_[AGRUP. CLAS. PROF.]=$B63,IF(DATOS_[Check Periodo Ref.]="Dentro",DATOS_[SALARIO BASE Ef],FALSE)))),
0)</f>
        <v>0</v>
      </c>
      <c r="F65" s="111">
        <f t="array" ref="F65">IFERROR(
MEDIAN((IF(DATOS_[[Sexo]:[Sexo]]=$B65,IF(DATOS_[[AGRUP. CLAS. PROF.]:[AGRUP. CLAS. PROF.]]=$B63,IF(DATOS_[[Check Periodo Ref.]:[Check Periodo Ref.]]="Dentro",DATOS_[Conc.Sal.01]))))),
0)</f>
        <v>0</v>
      </c>
      <c r="G65" s="111">
        <f t="array" ref="G65">IFERROR(
MEDIAN((IF(DATOS_[[Sexo]:[Sexo]]=$B65,IF(DATOS_[[AGRUP. CLAS. PROF.]:[AGRUP. CLAS. PROF.]]=$B63,IF(DATOS_[[Check Periodo Ref.]:[Check Periodo Ref.]]="Dentro",DATOS_[Conc.Sal.02]))))),
0)</f>
        <v>0</v>
      </c>
      <c r="H65" s="111">
        <f t="array" ref="H65">IFERROR(
MEDIAN((IF(DATOS_[[Sexo]:[Sexo]]=$B65,IF(DATOS_[[AGRUP. CLAS. PROF.]:[AGRUP. CLAS. PROF.]]=$B63,IF(DATOS_[[Check Periodo Ref.]:[Check Periodo Ref.]]="Dentro",DATOS_[Conc.Sal.03]))))),
0)</f>
        <v>0</v>
      </c>
      <c r="I65" s="111">
        <f t="array" ref="I65">IFERROR(
MEDIAN((IF(DATOS_[[Sexo]:[Sexo]]=$B65,IF(DATOS_[[AGRUP. CLAS. PROF.]:[AGRUP. CLAS. PROF.]]=$B63,IF(DATOS_[[Check Periodo Ref.]:[Check Periodo Ref.]]="Dentro",DATOS_[Conc.Sal.04]))))),
0)</f>
        <v>0</v>
      </c>
      <c r="J65" s="111">
        <f t="array" ref="J65">IFERROR(
MEDIAN((IF(DATOS_[[Sexo]:[Sexo]]=$B65,IF(DATOS_[[AGRUP. CLAS. PROF.]:[AGRUP. CLAS. PROF.]]=$B63,IF(DATOS_[[Check Periodo Ref.]:[Check Periodo Ref.]]="Dentro",DATOS_[Conc.Sal.05]))))),
0)</f>
        <v>0</v>
      </c>
      <c r="K65" s="111">
        <f t="array" ref="K65">IFERROR(
MEDIAN((IF(DATOS_[[Sexo]:[Sexo]]=$B65,IF(DATOS_[[AGRUP. CLAS. PROF.]:[AGRUP. CLAS. PROF.]]=$B63,IF(DATOS_[[Check Periodo Ref.]:[Check Periodo Ref.]]="Dentro",DATOS_[Conc.Sal.06]))))),
0)</f>
        <v>0</v>
      </c>
      <c r="L65" s="111">
        <f t="array" ref="L65">IFERROR(
MEDIAN((IF(DATOS_[[Sexo]:[Sexo]]=$B65,IF(DATOS_[[AGRUP. CLAS. PROF.]:[AGRUP. CLAS. PROF.]]=$B63,IF(DATOS_[[Check Periodo Ref.]:[Check Periodo Ref.]]="Dentro",DATOS_[Conc.Sal.07]))))),
0)</f>
        <v>0</v>
      </c>
      <c r="M65" s="111">
        <f t="array" ref="M65">IFERROR(
MEDIAN((IF(DATOS_[[Sexo]:[Sexo]]=$B65,IF(DATOS_[[AGRUP. CLAS. PROF.]:[AGRUP. CLAS. PROF.]]=$B63,IF(DATOS_[[Check Periodo Ref.]:[Check Periodo Ref.]]="Dentro",DATOS_[Conc.Sal.08]))))),
0)</f>
        <v>0</v>
      </c>
      <c r="N65" s="111">
        <f t="array" ref="N65">IFERROR(
MEDIAN((IF(DATOS_[[Sexo]:[Sexo]]=$B65,IF(DATOS_[[AGRUP. CLAS. PROF.]:[AGRUP. CLAS. PROF.]]=$B63,IF(DATOS_[[Check Periodo Ref.]:[Check Periodo Ref.]]="Dentro",DATOS_[Conc.Sal.09]))))),
0)</f>
        <v>0</v>
      </c>
      <c r="O65" s="111">
        <f t="array" ref="O65">IFERROR(
MEDIAN((IF(DATOS_[[Sexo]:[Sexo]]=$B65,IF(DATOS_[[AGRUP. CLAS. PROF.]:[AGRUP. CLAS. PROF.]]=$B63,IF(DATOS_[[Check Periodo Ref.]:[Check Periodo Ref.]]="Dentro",DATOS_[Conc.Sal.10]))))),
0)</f>
        <v>0</v>
      </c>
      <c r="P65" s="111">
        <f t="array" ref="P65">IFERROR(
MEDIAN((IF(DATOS_[[Sexo]:[Sexo]]=$B65,IF(DATOS_[[AGRUP. CLAS. PROF.]:[AGRUP. CLAS. PROF.]]=$B63,IF(DATOS_[[Check Periodo Ref.]:[Check Periodo Ref.]]="Dentro",DATOS_[Conc.Sal.11]))))),
0)</f>
        <v>0</v>
      </c>
      <c r="Q65" s="111">
        <f t="array" ref="Q65">IFERROR(
MEDIAN((IF(DATOS_[[Sexo]:[Sexo]]=$B65,IF(DATOS_[[AGRUP. CLAS. PROF.]:[AGRUP. CLAS. PROF.]]=$B63,IF(DATOS_[[Check Periodo Ref.]:[Check Periodo Ref.]]="Dentro",DATOS_[Conc.Sal.12]))))),
0)</f>
        <v>0</v>
      </c>
      <c r="R65" s="111">
        <f t="array" ref="R65">IFERROR(
MEDIAN((IF(DATOS_[[Sexo]:[Sexo]]=$B65,IF(DATOS_[[AGRUP. CLAS. PROF.]:[AGRUP. CLAS. PROF.]]=$B63,IF(DATOS_[[Check Periodo Ref.]:[Check Periodo Ref.]]="Dentro",DATOS_[Conc.Sal.13]))))),
0)</f>
        <v>0</v>
      </c>
      <c r="S65" s="111">
        <f t="array" ref="S65">IFERROR(
MEDIAN((IF(DATOS_[[Sexo]:[Sexo]]=$B65,IF(DATOS_[[AGRUP. CLAS. PROF.]:[AGRUP. CLAS. PROF.]]=$B63,IF(DATOS_[[Check Periodo Ref.]:[Check Periodo Ref.]]="Dentro",DATOS_[Conc.Sal.14]))))),
0)</f>
        <v>0</v>
      </c>
      <c r="T65" s="111">
        <f t="array" ref="T65">IFERROR(
MEDIAN((IF(DATOS_[[Sexo]:[Sexo]]=$B65,IF(DATOS_[[AGRUP. CLAS. PROF.]:[AGRUP. CLAS. PROF.]]=$B63,IF(DATOS_[[Check Periodo Ref.]:[Check Periodo Ref.]]="Dentro",DATOS_[Conc.Sal.15]))))),
0)</f>
        <v>0</v>
      </c>
      <c r="U65" s="111">
        <f t="array" ref="U65">IFERROR(
MEDIAN((IF(DATOS_[[Sexo]:[Sexo]]=$B65,IF(DATOS_[[AGRUP. CLAS. PROF.]:[AGRUP. CLAS. PROF.]]=$B63,IF(DATOS_[[Check Periodo Ref.]:[Check Periodo Ref.]]="Dentro",DATOS_[Conc.Sal.16]))))),
0)</f>
        <v>0</v>
      </c>
      <c r="V65" s="111">
        <f t="array" ref="V65">IFERROR(
MEDIAN((IF(DATOS_[[Sexo]:[Sexo]]=$B65,IF(DATOS_[[AGRUP. CLAS. PROF.]:[AGRUP. CLAS. PROF.]]=$B63,IF(DATOS_[[Check Periodo Ref.]:[Check Periodo Ref.]]="Dentro",DATOS_[Conc.Sal.17]))))),
0)</f>
        <v>0</v>
      </c>
      <c r="W65" s="111">
        <f t="array" ref="W65">IFERROR(
MEDIAN((IF(DATOS_[[Sexo]:[Sexo]]=$B65,IF(DATOS_[[AGRUP. CLAS. PROF.]:[AGRUP. CLAS. PROF.]]=$B63,IF(DATOS_[[Check Periodo Ref.]:[Check Periodo Ref.]]="Dentro",DATOS_[Conc.Sal.18]))))),
0)</f>
        <v>0</v>
      </c>
      <c r="X65" s="111">
        <f t="array" ref="X65">IFERROR(
MEDIAN((IF(DATOS_[[Sexo]:[Sexo]]=$B65,IF(DATOS_[[AGRUP. CLAS. PROF.]:[AGRUP. CLAS. PROF.]]=$B63,IF(DATOS_[[Check Periodo Ref.]:[Check Periodo Ref.]]="Dentro",DATOS_[Conc.Sal.19]))))),
0)</f>
        <v>0</v>
      </c>
      <c r="Y65" s="111">
        <f t="array" ref="Y65">IFERROR(
MEDIAN((IF(DATOS_[[Sexo]:[Sexo]]=$B65,IF(DATOS_[[AGRUP. CLAS. PROF.]:[AGRUP. CLAS. PROF.]]=$B63,IF(DATOS_[[Check Periodo Ref.]:[Check Periodo Ref.]]="Dentro",DATOS_[Conc.Sal.20]))))),
0)</f>
        <v>0</v>
      </c>
      <c r="Z65" s="111">
        <f t="array" ref="Z65">IFERROR(
MEDIAN((IF(DATOS_[[Sexo]:[Sexo]]=$B65,IF(DATOS_[[AGRUP. CLAS. PROF.]:[AGRUP. CLAS. PROF.]]=$B63,IF(DATOS_[[Check Periodo Ref.]:[Check Periodo Ref.]]="Dentro",DATOS_[Conc.Sal.21]))))),
0)</f>
        <v>0</v>
      </c>
      <c r="AA65" s="111">
        <f t="array" ref="AA65">IFERROR(
MEDIAN((IF(DATOS_[[Sexo]:[Sexo]]=$B65,IF(DATOS_[[AGRUP. CLAS. PROF.]:[AGRUP. CLAS. PROF.]]=$B63,IF(DATOS_[[Check Periodo Ref.]:[Check Periodo Ref.]]="Dentro",DATOS_[Conc.Sal.22]))))),
0)</f>
        <v>0</v>
      </c>
      <c r="AB65" s="111">
        <f t="array" ref="AB65">IFERROR(
MEDIAN((IF(DATOS_[[Sexo]:[Sexo]]=$B65,IF(DATOS_[[AGRUP. CLAS. PROF.]:[AGRUP. CLAS. PROF.]]=$B63,IF(DATOS_[[Check Periodo Ref.]:[Check Periodo Ref.]]="Dentro",DATOS_[Conc.Sal.23]))))),
0)</f>
        <v>0</v>
      </c>
      <c r="AC65" s="111">
        <f t="array" ref="AC65">IFERROR(
MEDIAN((IF(DATOS_[[Sexo]:[Sexo]]=$B65,IF(DATOS_[[AGRUP. CLAS. PROF.]:[AGRUP. CLAS. PROF.]]=$B63,IF(DATOS_[[Check Periodo Ref.]:[Check Periodo Ref.]]="Dentro",DATOS_[Conc.Sal.24]))))),
0)</f>
        <v>0</v>
      </c>
      <c r="AD65" s="111">
        <f t="array" ref="AD65">IFERROR(
MEDIAN((IF(DATOS_[[Sexo]:[Sexo]]=$B65,IF(DATOS_[[AGRUP. CLAS. PROF.]:[AGRUP. CLAS. PROF.]]=$B63,IF(DATOS_[[Check Periodo Ref.]:[Check Periodo Ref.]]="Dentro",DATOS_[Conc.Sal.25]))))),
0)</f>
        <v>0</v>
      </c>
      <c r="AE65" s="111">
        <f t="array" ref="AE65">IFERROR(
MEDIAN((IF(DATOS_[[Sexo]:[Sexo]]=$B65,IF(DATOS_[[AGRUP. CLAS. PROF.]:[AGRUP. CLAS. PROF.]]=$B63,IF(DATOS_[[Check Periodo Ref.]:[Check Periodo Ref.]]="Dentro",DATOS_[Conc.Sal.26]))))),
0)</f>
        <v>0</v>
      </c>
      <c r="AF65" s="111">
        <f t="array" ref="AF65">IFERROR(
MEDIAN((IF(DATOS_[[Sexo]:[Sexo]]=$B65,IF(DATOS_[[AGRUP. CLAS. PROF.]:[AGRUP. CLAS. PROF.]]=$B63,IF(DATOS_[[Check Periodo Ref.]:[Check Periodo Ref.]]="Dentro",DATOS_[Conc.Sal.27]))))),
0)</f>
        <v>0</v>
      </c>
      <c r="AG65" s="111">
        <f t="array" ref="AG65">IFERROR(
MEDIAN((IF(DATOS_[[Sexo]:[Sexo]]=$B65,IF(DATOS_[[AGRUP. CLAS. PROF.]:[AGRUP. CLAS. PROF.]]=$B63,IF(DATOS_[[Check Periodo Ref.]:[Check Periodo Ref.]]="Dentro",DATOS_[Conc.Sal.28]))))),
0)</f>
        <v>0</v>
      </c>
      <c r="AH65" s="111">
        <f t="array" ref="AH65">IFERROR(
MEDIAN((IF(DATOS_[[Sexo]:[Sexo]]=$B65,IF(DATOS_[[AGRUP. CLAS. PROF.]:[AGRUP. CLAS. PROF.]]=$B63,IF(DATOS_[[Check Periodo Ref.]:[Check Periodo Ref.]]="Dentro",DATOS_[Conc.Sal.29]))))),
0)</f>
        <v>0</v>
      </c>
      <c r="AI65" s="111">
        <f t="array" ref="AI65">IFERROR(
MEDIAN((IF(DATOS_[[Sexo]:[Sexo]]=$B65,IF(DATOS_[[AGRUP. CLAS. PROF.]:[AGRUP. CLAS. PROF.]]=$B63,IF(DATOS_[[Check Periodo Ref.]:[Check Periodo Ref.]]="Dentro",DATOS_[Conc.Sal.30]))))),
0)</f>
        <v>0</v>
      </c>
      <c r="AJ65" s="112">
        <f t="array" ref="AJ65">IFERROR(
MEDIAN(IF(DATOS_[Sexo]=$B65,IF(DATOS_[AGRUP. CLAS. PROF.]=$B63,IF(DATOS_[Check Periodo Ref.]="Dentro",DATOS_[Tot COMPL.SAL Ef],FALSE)))),
0)</f>
        <v>0</v>
      </c>
      <c r="AK65" s="113">
        <f t="array" ref="AK65">IFERROR(
MEDIAN(IF(DATOS_[Sexo]=$B65,IF(DATOS_[AGRUP. CLAS. PROF.]=$B63,IF(DATOS_[Check Periodo Ref.]="Dentro",DATOS_[TOTAL SALARIO Ef],FALSE)))),
0)</f>
        <v>0</v>
      </c>
      <c r="AL65" s="114">
        <f t="array" ref="AL65">IFERROR(
MEDIAN((IF(DATOS_[[Sexo]:[Sexo]]=$B65,IF(DATOS_[[AGRUP. CLAS. PROF.]:[AGRUP. CLAS. PROF.]]=$B63,IF(DATOS_[[Check Periodo Ref.]:[Check Periodo Ref.]]="Dentro",DATOS_[C.Extra.01]))))),
0)</f>
        <v>0</v>
      </c>
      <c r="AM65" s="114">
        <f t="array" ref="AM65">IFERROR(
MEDIAN((IF(DATOS_[[Sexo]:[Sexo]]=$B65,IF(DATOS_[[AGRUP. CLAS. PROF.]:[AGRUP. CLAS. PROF.]]=$B63,IF(DATOS_[[Check Periodo Ref.]:[Check Periodo Ref.]]="Dentro",DATOS_[C.Extra.02]))))),
0)</f>
        <v>0</v>
      </c>
      <c r="AN65" s="114">
        <f t="array" ref="AN65">IFERROR(
MEDIAN((IF(DATOS_[[Sexo]:[Sexo]]=$B65,IF(DATOS_[[AGRUP. CLAS. PROF.]:[AGRUP. CLAS. PROF.]]=$B63,IF(DATOS_[[Check Periodo Ref.]:[Check Periodo Ref.]]="Dentro",DATOS_[C.Extra.03]))))),
0)</f>
        <v>0</v>
      </c>
      <c r="AO65" s="114">
        <f t="array" ref="AO65">IFERROR(
MEDIAN((IF(DATOS_[[Sexo]:[Sexo]]=$B65,IF(DATOS_[[AGRUP. CLAS. PROF.]:[AGRUP. CLAS. PROF.]]=$B63,IF(DATOS_[[Check Periodo Ref.]:[Check Periodo Ref.]]="Dentro",DATOS_[C.Extra.04]))))),
0)</f>
        <v>0</v>
      </c>
      <c r="AP65" s="114">
        <f t="array" ref="AP65">IFERROR(
MEDIAN((IF(DATOS_[[Sexo]:[Sexo]]=$B65,IF(DATOS_[[AGRUP. CLAS. PROF.]:[AGRUP. CLAS. PROF.]]=$B63,IF(DATOS_[[Check Periodo Ref.]:[Check Periodo Ref.]]="Dentro",DATOS_[C.Extra.05]))))),
0)</f>
        <v>0</v>
      </c>
      <c r="AQ65" s="115">
        <f t="array" ref="AQ65">IFERROR(
MEDIAN(IF(DATOS_[Sexo]=$B65,IF(DATOS_[AGRUP. CLAS. PROF.]=$B63,IF(DATOS_[Check Periodo Ref.]="Dentro",DATOS_[Tot Extrasalarial Ef],FALSE)))),
0)</f>
        <v>0</v>
      </c>
      <c r="AR65" s="116">
        <f t="array" ref="AR65">IFERROR(
MEDIAN(IF(DATOS_[Sexo]=$B65,IF(DATOS_[AGRUP. CLAS. PROF.]=$B63,IF(DATOS_[Check Periodo Ref.]="Dentro",DATOS_[TOTAL Retrib Ef],FALSE)))),
0)</f>
        <v>0</v>
      </c>
    </row>
    <row r="66" spans="1:44" ht="17.25" hidden="1" thickBot="1" x14ac:dyDescent="0.35">
      <c r="A66" s="42" t="str">
        <f t="shared" ref="A66" si="71">+A67</f>
        <v>[ocultar]</v>
      </c>
      <c r="B66" s="40" t="s">
        <v>234</v>
      </c>
      <c r="C66" s="109"/>
      <c r="D66" s="41"/>
      <c r="E66" s="119" t="str">
        <f t="shared" ref="E66:AR66" si="72">IFERROR((E67-E68)/E67,"")</f>
        <v/>
      </c>
      <c r="F66" s="123" t="str">
        <f t="shared" si="72"/>
        <v/>
      </c>
      <c r="G66" s="123" t="str">
        <f t="shared" si="72"/>
        <v/>
      </c>
      <c r="H66" s="123" t="str">
        <f t="shared" si="72"/>
        <v/>
      </c>
      <c r="I66" s="123" t="str">
        <f t="shared" si="72"/>
        <v/>
      </c>
      <c r="J66" s="123" t="str">
        <f t="shared" si="72"/>
        <v/>
      </c>
      <c r="K66" s="123" t="str">
        <f t="shared" si="72"/>
        <v/>
      </c>
      <c r="L66" s="123" t="str">
        <f t="shared" si="72"/>
        <v/>
      </c>
      <c r="M66" s="123" t="str">
        <f t="shared" si="72"/>
        <v/>
      </c>
      <c r="N66" s="123" t="str">
        <f t="shared" si="72"/>
        <v/>
      </c>
      <c r="O66" s="123" t="str">
        <f t="shared" si="72"/>
        <v/>
      </c>
      <c r="P66" s="123" t="str">
        <f t="shared" si="72"/>
        <v/>
      </c>
      <c r="Q66" s="123" t="str">
        <f t="shared" si="72"/>
        <v/>
      </c>
      <c r="R66" s="123" t="str">
        <f t="shared" si="72"/>
        <v/>
      </c>
      <c r="S66" s="123" t="str">
        <f t="shared" si="72"/>
        <v/>
      </c>
      <c r="T66" s="123" t="str">
        <f t="shared" si="72"/>
        <v/>
      </c>
      <c r="U66" s="123" t="str">
        <f t="shared" si="72"/>
        <v/>
      </c>
      <c r="V66" s="122" t="str">
        <f t="shared" si="72"/>
        <v/>
      </c>
      <c r="W66" s="122" t="str">
        <f t="shared" si="72"/>
        <v/>
      </c>
      <c r="X66" s="122" t="str">
        <f t="shared" si="72"/>
        <v/>
      </c>
      <c r="Y66" s="122" t="str">
        <f t="shared" si="72"/>
        <v/>
      </c>
      <c r="Z66" s="122" t="str">
        <f t="shared" si="72"/>
        <v/>
      </c>
      <c r="AA66" s="122" t="str">
        <f t="shared" si="72"/>
        <v/>
      </c>
      <c r="AB66" s="122" t="str">
        <f t="shared" si="72"/>
        <v/>
      </c>
      <c r="AC66" s="122" t="str">
        <f t="shared" si="72"/>
        <v/>
      </c>
      <c r="AD66" s="122" t="str">
        <f t="shared" si="72"/>
        <v/>
      </c>
      <c r="AE66" s="122" t="str">
        <f t="shared" si="72"/>
        <v/>
      </c>
      <c r="AF66" s="122" t="str">
        <f t="shared" si="72"/>
        <v/>
      </c>
      <c r="AG66" s="122" t="str">
        <f t="shared" si="72"/>
        <v/>
      </c>
      <c r="AH66" s="122" t="str">
        <f t="shared" si="72"/>
        <v/>
      </c>
      <c r="AI66" s="122" t="str">
        <f t="shared" si="72"/>
        <v/>
      </c>
      <c r="AJ66" s="124" t="str">
        <f t="shared" si="72"/>
        <v/>
      </c>
      <c r="AK66" s="128" t="str">
        <f t="shared" si="72"/>
        <v/>
      </c>
      <c r="AL66" s="125" t="str">
        <f t="shared" si="72"/>
        <v/>
      </c>
      <c r="AM66" s="125" t="str">
        <f t="shared" si="72"/>
        <v/>
      </c>
      <c r="AN66" s="125" t="str">
        <f t="shared" si="72"/>
        <v/>
      </c>
      <c r="AO66" s="125" t="str">
        <f t="shared" si="72"/>
        <v/>
      </c>
      <c r="AP66" s="125" t="str">
        <f t="shared" si="72"/>
        <v/>
      </c>
      <c r="AQ66" s="126" t="str">
        <f t="shared" si="72"/>
        <v/>
      </c>
      <c r="AR66" s="127" t="str">
        <f t="shared" si="72"/>
        <v/>
      </c>
    </row>
    <row r="67" spans="1:44" hidden="1" x14ac:dyDescent="0.3">
      <c r="A67" s="42" t="str">
        <f t="shared" ref="A67" si="73">+IF(C67+C68=0,"[ocultar]","")</f>
        <v>[ocultar]</v>
      </c>
      <c r="B67" s="34" t="s">
        <v>162</v>
      </c>
      <c r="C67" s="33">
        <f t="array" ref="C67">SUM(IF($B67=DATOS_[Sexo],
IF($B66=DATOS_[AGRUP. CLAS. PROF.],
IF("Dentro"=DATOS_[Check Periodo Ref.],
1/(COUNTIFS(DATOS_[Sexo],$B67,DATOS_[AGRUP. CLAS. PROF.],$B66,DATOS_[Check Periodo Ref.],"Dentro",DATOS_[id],DATOS_[id]))))))</f>
        <v>0</v>
      </c>
      <c r="D67" s="35">
        <f>COUNTIFS(DATOS_[AGRUP. CLAS. PROF.],$B66,DATOS_[Sexo],$B67,DATOS_[Check Periodo Ref.],"Dentro")</f>
        <v>0</v>
      </c>
      <c r="E67" s="110">
        <f t="array" ref="E67">IFERROR(
MEDIAN(IF(DATOS_[Sexo]=$B67,IF(DATOS_[AGRUP. CLAS. PROF.]=$B66,IF(DATOS_[Check Periodo Ref.]="Dentro",DATOS_[SALARIO BASE Ef],FALSE)))),
0)</f>
        <v>0</v>
      </c>
      <c r="F67" s="111">
        <f t="array" ref="F67">IFERROR(
MEDIAN((IF(DATOS_[[Sexo]:[Sexo]]=$B67,IF(DATOS_[[AGRUP. CLAS. PROF.]:[AGRUP. CLAS. PROF.]]=$B66,IF(DATOS_[[Check Periodo Ref.]:[Check Periodo Ref.]]="Dentro",DATOS_[Conc.Sal.01]))))),
0)</f>
        <v>0</v>
      </c>
      <c r="G67" s="111">
        <f t="array" ref="G67">IFERROR(
MEDIAN((IF(DATOS_[[Sexo]:[Sexo]]=$B67,IF(DATOS_[[AGRUP. CLAS. PROF.]:[AGRUP. CLAS. PROF.]]=$B66,IF(DATOS_[[Check Periodo Ref.]:[Check Periodo Ref.]]="Dentro",DATOS_[Conc.Sal.02]))))),
0)</f>
        <v>0</v>
      </c>
      <c r="H67" s="111">
        <f t="array" ref="H67">IFERROR(
MEDIAN((IF(DATOS_[[Sexo]:[Sexo]]=$B67,IF(DATOS_[[AGRUP. CLAS. PROF.]:[AGRUP. CLAS. PROF.]]=$B66,IF(DATOS_[[Check Periodo Ref.]:[Check Periodo Ref.]]="Dentro",DATOS_[Conc.Sal.03]))))),
0)</f>
        <v>0</v>
      </c>
      <c r="I67" s="111">
        <f t="array" ref="I67">IFERROR(
MEDIAN((IF(DATOS_[[Sexo]:[Sexo]]=$B67,IF(DATOS_[[AGRUP. CLAS. PROF.]:[AGRUP. CLAS. PROF.]]=$B66,IF(DATOS_[[Check Periodo Ref.]:[Check Periodo Ref.]]="Dentro",DATOS_[Conc.Sal.04]))))),
0)</f>
        <v>0</v>
      </c>
      <c r="J67" s="111">
        <f t="array" ref="J67">IFERROR(
MEDIAN((IF(DATOS_[[Sexo]:[Sexo]]=$B67,IF(DATOS_[[AGRUP. CLAS. PROF.]:[AGRUP. CLAS. PROF.]]=$B66,IF(DATOS_[[Check Periodo Ref.]:[Check Periodo Ref.]]="Dentro",DATOS_[Conc.Sal.05]))))),
0)</f>
        <v>0</v>
      </c>
      <c r="K67" s="111">
        <f t="array" ref="K67">IFERROR(
MEDIAN((IF(DATOS_[[Sexo]:[Sexo]]=$B67,IF(DATOS_[[AGRUP. CLAS. PROF.]:[AGRUP. CLAS. PROF.]]=$B66,IF(DATOS_[[Check Periodo Ref.]:[Check Periodo Ref.]]="Dentro",DATOS_[Conc.Sal.06]))))),
0)</f>
        <v>0</v>
      </c>
      <c r="L67" s="111">
        <f t="array" ref="L67">IFERROR(
MEDIAN((IF(DATOS_[[Sexo]:[Sexo]]=$B67,IF(DATOS_[[AGRUP. CLAS. PROF.]:[AGRUP. CLAS. PROF.]]=$B66,IF(DATOS_[[Check Periodo Ref.]:[Check Periodo Ref.]]="Dentro",DATOS_[Conc.Sal.07]))))),
0)</f>
        <v>0</v>
      </c>
      <c r="M67" s="111">
        <f t="array" ref="M67">IFERROR(
MEDIAN((IF(DATOS_[[Sexo]:[Sexo]]=$B67,IF(DATOS_[[AGRUP. CLAS. PROF.]:[AGRUP. CLAS. PROF.]]=$B66,IF(DATOS_[[Check Periodo Ref.]:[Check Periodo Ref.]]="Dentro",DATOS_[Conc.Sal.08]))))),
0)</f>
        <v>0</v>
      </c>
      <c r="N67" s="111">
        <f t="array" ref="N67">IFERROR(
MEDIAN((IF(DATOS_[[Sexo]:[Sexo]]=$B67,IF(DATOS_[[AGRUP. CLAS. PROF.]:[AGRUP. CLAS. PROF.]]=$B66,IF(DATOS_[[Check Periodo Ref.]:[Check Periodo Ref.]]="Dentro",DATOS_[Conc.Sal.09]))))),
0)</f>
        <v>0</v>
      </c>
      <c r="O67" s="111">
        <f t="array" ref="O67">IFERROR(
MEDIAN((IF(DATOS_[[Sexo]:[Sexo]]=$B67,IF(DATOS_[[AGRUP. CLAS. PROF.]:[AGRUP. CLAS. PROF.]]=$B66,IF(DATOS_[[Check Periodo Ref.]:[Check Periodo Ref.]]="Dentro",DATOS_[Conc.Sal.10]))))),
0)</f>
        <v>0</v>
      </c>
      <c r="P67" s="111">
        <f t="array" ref="P67">IFERROR(
MEDIAN((IF(DATOS_[[Sexo]:[Sexo]]=$B67,IF(DATOS_[[AGRUP. CLAS. PROF.]:[AGRUP. CLAS. PROF.]]=$B66,IF(DATOS_[[Check Periodo Ref.]:[Check Periodo Ref.]]="Dentro",DATOS_[Conc.Sal.11]))))),
0)</f>
        <v>0</v>
      </c>
      <c r="Q67" s="111">
        <f t="array" ref="Q67">IFERROR(
MEDIAN((IF(DATOS_[[Sexo]:[Sexo]]=$B67,IF(DATOS_[[AGRUP. CLAS. PROF.]:[AGRUP. CLAS. PROF.]]=$B66,IF(DATOS_[[Check Periodo Ref.]:[Check Periodo Ref.]]="Dentro",DATOS_[Conc.Sal.12]))))),
0)</f>
        <v>0</v>
      </c>
      <c r="R67" s="111">
        <f t="array" ref="R67">IFERROR(
MEDIAN((IF(DATOS_[[Sexo]:[Sexo]]=$B67,IF(DATOS_[[AGRUP. CLAS. PROF.]:[AGRUP. CLAS. PROF.]]=$B66,IF(DATOS_[[Check Periodo Ref.]:[Check Periodo Ref.]]="Dentro",DATOS_[Conc.Sal.13]))))),
0)</f>
        <v>0</v>
      </c>
      <c r="S67" s="111">
        <f t="array" ref="S67">IFERROR(
MEDIAN((IF(DATOS_[[Sexo]:[Sexo]]=$B67,IF(DATOS_[[AGRUP. CLAS. PROF.]:[AGRUP. CLAS. PROF.]]=$B66,IF(DATOS_[[Check Periodo Ref.]:[Check Periodo Ref.]]="Dentro",DATOS_[Conc.Sal.14]))))),
0)</f>
        <v>0</v>
      </c>
      <c r="T67" s="111">
        <f t="array" ref="T67">IFERROR(
MEDIAN((IF(DATOS_[[Sexo]:[Sexo]]=$B67,IF(DATOS_[[AGRUP. CLAS. PROF.]:[AGRUP. CLAS. PROF.]]=$B66,IF(DATOS_[[Check Periodo Ref.]:[Check Periodo Ref.]]="Dentro",DATOS_[Conc.Sal.15]))))),
0)</f>
        <v>0</v>
      </c>
      <c r="U67" s="111">
        <f t="array" ref="U67">IFERROR(
MEDIAN((IF(DATOS_[[Sexo]:[Sexo]]=$B67,IF(DATOS_[[AGRUP. CLAS. PROF.]:[AGRUP. CLAS. PROF.]]=$B66,IF(DATOS_[[Check Periodo Ref.]:[Check Periodo Ref.]]="Dentro",DATOS_[Conc.Sal.16]))))),
0)</f>
        <v>0</v>
      </c>
      <c r="V67" s="111">
        <f t="array" ref="V67">IFERROR(
MEDIAN((IF(DATOS_[[Sexo]:[Sexo]]=$B67,IF(DATOS_[[AGRUP. CLAS. PROF.]:[AGRUP. CLAS. PROF.]]=$B66,IF(DATOS_[[Check Periodo Ref.]:[Check Periodo Ref.]]="Dentro",DATOS_[Conc.Sal.17]))))),
0)</f>
        <v>0</v>
      </c>
      <c r="W67" s="111">
        <f t="array" ref="W67">IFERROR(
MEDIAN((IF(DATOS_[[Sexo]:[Sexo]]=$B67,IF(DATOS_[[AGRUP. CLAS. PROF.]:[AGRUP. CLAS. PROF.]]=$B66,IF(DATOS_[[Check Periodo Ref.]:[Check Periodo Ref.]]="Dentro",DATOS_[Conc.Sal.18]))))),
0)</f>
        <v>0</v>
      </c>
      <c r="X67" s="111">
        <f t="array" ref="X67">IFERROR(
MEDIAN((IF(DATOS_[[Sexo]:[Sexo]]=$B67,IF(DATOS_[[AGRUP. CLAS. PROF.]:[AGRUP. CLAS. PROF.]]=$B66,IF(DATOS_[[Check Periodo Ref.]:[Check Periodo Ref.]]="Dentro",DATOS_[Conc.Sal.19]))))),
0)</f>
        <v>0</v>
      </c>
      <c r="Y67" s="111">
        <f t="array" ref="Y67">IFERROR(
MEDIAN((IF(DATOS_[[Sexo]:[Sexo]]=$B67,IF(DATOS_[[AGRUP. CLAS. PROF.]:[AGRUP. CLAS. PROF.]]=$B66,IF(DATOS_[[Check Periodo Ref.]:[Check Periodo Ref.]]="Dentro",DATOS_[Conc.Sal.20]))))),
0)</f>
        <v>0</v>
      </c>
      <c r="Z67" s="111">
        <f t="array" ref="Z67">IFERROR(
MEDIAN((IF(DATOS_[[Sexo]:[Sexo]]=$B67,IF(DATOS_[[AGRUP. CLAS. PROF.]:[AGRUP. CLAS. PROF.]]=$B66,IF(DATOS_[[Check Periodo Ref.]:[Check Periodo Ref.]]="Dentro",DATOS_[Conc.Sal.21]))))),
0)</f>
        <v>0</v>
      </c>
      <c r="AA67" s="111">
        <f t="array" ref="AA67">IFERROR(
MEDIAN((IF(DATOS_[[Sexo]:[Sexo]]=$B67,IF(DATOS_[[AGRUP. CLAS. PROF.]:[AGRUP. CLAS. PROF.]]=$B66,IF(DATOS_[[Check Periodo Ref.]:[Check Periodo Ref.]]="Dentro",DATOS_[Conc.Sal.22]))))),
0)</f>
        <v>0</v>
      </c>
      <c r="AB67" s="111">
        <f t="array" ref="AB67">IFERROR(
MEDIAN((IF(DATOS_[[Sexo]:[Sexo]]=$B67,IF(DATOS_[[AGRUP. CLAS. PROF.]:[AGRUP. CLAS. PROF.]]=$B66,IF(DATOS_[[Check Periodo Ref.]:[Check Periodo Ref.]]="Dentro",DATOS_[Conc.Sal.23]))))),
0)</f>
        <v>0</v>
      </c>
      <c r="AC67" s="111">
        <f t="array" ref="AC67">IFERROR(
MEDIAN((IF(DATOS_[[Sexo]:[Sexo]]=$B67,IF(DATOS_[[AGRUP. CLAS. PROF.]:[AGRUP. CLAS. PROF.]]=$B66,IF(DATOS_[[Check Periodo Ref.]:[Check Periodo Ref.]]="Dentro",DATOS_[Conc.Sal.24]))))),
0)</f>
        <v>0</v>
      </c>
      <c r="AD67" s="111">
        <f t="array" ref="AD67">IFERROR(
MEDIAN((IF(DATOS_[[Sexo]:[Sexo]]=$B67,IF(DATOS_[[AGRUP. CLAS. PROF.]:[AGRUP. CLAS. PROF.]]=$B66,IF(DATOS_[[Check Periodo Ref.]:[Check Periodo Ref.]]="Dentro",DATOS_[Conc.Sal.25]))))),
0)</f>
        <v>0</v>
      </c>
      <c r="AE67" s="111">
        <f t="array" ref="AE67">IFERROR(
MEDIAN((IF(DATOS_[[Sexo]:[Sexo]]=$B67,IF(DATOS_[[AGRUP. CLAS. PROF.]:[AGRUP. CLAS. PROF.]]=$B66,IF(DATOS_[[Check Periodo Ref.]:[Check Periodo Ref.]]="Dentro",DATOS_[Conc.Sal.26]))))),
0)</f>
        <v>0</v>
      </c>
      <c r="AF67" s="111">
        <f t="array" ref="AF67">IFERROR(
MEDIAN((IF(DATOS_[[Sexo]:[Sexo]]=$B67,IF(DATOS_[[AGRUP. CLAS. PROF.]:[AGRUP. CLAS. PROF.]]=$B66,IF(DATOS_[[Check Periodo Ref.]:[Check Periodo Ref.]]="Dentro",DATOS_[Conc.Sal.27]))))),
0)</f>
        <v>0</v>
      </c>
      <c r="AG67" s="111">
        <f t="array" ref="AG67">IFERROR(
MEDIAN((IF(DATOS_[[Sexo]:[Sexo]]=$B67,IF(DATOS_[[AGRUP. CLAS. PROF.]:[AGRUP. CLAS. PROF.]]=$B66,IF(DATOS_[[Check Periodo Ref.]:[Check Periodo Ref.]]="Dentro",DATOS_[Conc.Sal.28]))))),
0)</f>
        <v>0</v>
      </c>
      <c r="AH67" s="111">
        <f t="array" ref="AH67">IFERROR(
MEDIAN((IF(DATOS_[[Sexo]:[Sexo]]=$B67,IF(DATOS_[[AGRUP. CLAS. PROF.]:[AGRUP. CLAS. PROF.]]=$B66,IF(DATOS_[[Check Periodo Ref.]:[Check Periodo Ref.]]="Dentro",DATOS_[Conc.Sal.29]))))),
0)</f>
        <v>0</v>
      </c>
      <c r="AI67" s="111">
        <f t="array" ref="AI67">IFERROR(
MEDIAN((IF(DATOS_[[Sexo]:[Sexo]]=$B67,IF(DATOS_[[AGRUP. CLAS. PROF.]:[AGRUP. CLAS. PROF.]]=$B66,IF(DATOS_[[Check Periodo Ref.]:[Check Periodo Ref.]]="Dentro",DATOS_[Conc.Sal.30]))))),
0)</f>
        <v>0</v>
      </c>
      <c r="AJ67" s="112">
        <f t="array" ref="AJ67">IFERROR(
MEDIAN(IF(DATOS_[Sexo]=$B67,IF(DATOS_[AGRUP. CLAS. PROF.]=$B66,IF(DATOS_[Check Periodo Ref.]="Dentro",DATOS_[Tot COMPL.SAL Ef],FALSE)))),
0)</f>
        <v>0</v>
      </c>
      <c r="AK67" s="113">
        <f t="array" ref="AK67">IFERROR(
MEDIAN(IF(DATOS_[Sexo]=$B67,IF(DATOS_[AGRUP. CLAS. PROF.]=$B66,IF(DATOS_[Check Periodo Ref.]="Dentro",DATOS_[TOTAL SALARIO Ef],FALSE)))),
0)</f>
        <v>0</v>
      </c>
      <c r="AL67" s="114">
        <f t="array" ref="AL67">IFERROR(
MEDIAN((IF(DATOS_[[Sexo]:[Sexo]]=$B67,IF(DATOS_[[AGRUP. CLAS. PROF.]:[AGRUP. CLAS. PROF.]]=$B66,IF(DATOS_[[Check Periodo Ref.]:[Check Periodo Ref.]]="Dentro",DATOS_[C.Extra.01]))))),
0)</f>
        <v>0</v>
      </c>
      <c r="AM67" s="114">
        <f t="array" ref="AM67">IFERROR(
MEDIAN((IF(DATOS_[[Sexo]:[Sexo]]=$B67,IF(DATOS_[[AGRUP. CLAS. PROF.]:[AGRUP. CLAS. PROF.]]=$B66,IF(DATOS_[[Check Periodo Ref.]:[Check Periodo Ref.]]="Dentro",DATOS_[C.Extra.02]))))),
0)</f>
        <v>0</v>
      </c>
      <c r="AN67" s="114">
        <f t="array" ref="AN67">IFERROR(
MEDIAN((IF(DATOS_[[Sexo]:[Sexo]]=$B67,IF(DATOS_[[AGRUP. CLAS. PROF.]:[AGRUP. CLAS. PROF.]]=$B66,IF(DATOS_[[Check Periodo Ref.]:[Check Periodo Ref.]]="Dentro",DATOS_[C.Extra.03]))))),
0)</f>
        <v>0</v>
      </c>
      <c r="AO67" s="114">
        <f t="array" ref="AO67">IFERROR(
MEDIAN((IF(DATOS_[[Sexo]:[Sexo]]=$B67,IF(DATOS_[[AGRUP. CLAS. PROF.]:[AGRUP. CLAS. PROF.]]=$B66,IF(DATOS_[[Check Periodo Ref.]:[Check Periodo Ref.]]="Dentro",DATOS_[C.Extra.04]))))),
0)</f>
        <v>0</v>
      </c>
      <c r="AP67" s="114">
        <f t="array" ref="AP67">IFERROR(
MEDIAN((IF(DATOS_[[Sexo]:[Sexo]]=$B67,IF(DATOS_[[AGRUP. CLAS. PROF.]:[AGRUP. CLAS. PROF.]]=$B66,IF(DATOS_[[Check Periodo Ref.]:[Check Periodo Ref.]]="Dentro",DATOS_[C.Extra.05]))))),
0)</f>
        <v>0</v>
      </c>
      <c r="AQ67" s="115">
        <f t="array" ref="AQ67">IFERROR(
MEDIAN(IF(DATOS_[Sexo]=$B67,IF(DATOS_[AGRUP. CLAS. PROF.]=$B66,IF(DATOS_[Check Periodo Ref.]="Dentro",DATOS_[Tot Extrasalarial Ef],FALSE)))),
0)</f>
        <v>0</v>
      </c>
      <c r="AR67" s="116">
        <f t="array" ref="AR67">IFERROR(
MEDIAN(IF(DATOS_[Sexo]=$B67,IF(DATOS_[AGRUP. CLAS. PROF.]=$B66,IF(DATOS_[Check Periodo Ref.]="Dentro",DATOS_[TOTAL Retrib Ef],FALSE)))),
0)</f>
        <v>0</v>
      </c>
    </row>
    <row r="68" spans="1:44" hidden="1" x14ac:dyDescent="0.3">
      <c r="A68" s="42" t="str">
        <f t="shared" ref="A68" si="74">+A67</f>
        <v>[ocultar]</v>
      </c>
      <c r="B68" s="34" t="s">
        <v>163</v>
      </c>
      <c r="C68" s="33">
        <f t="array" ref="C68">SUM(IF($B68=DATOS_[Sexo],
IF($B66=DATOS_[AGRUP. CLAS. PROF.],
IF("Dentro"=DATOS_[Check Periodo Ref.],
1/(COUNTIFS(DATOS_[Sexo],$B68,DATOS_[AGRUP. CLAS. PROF.],$B66,DATOS_[Check Periodo Ref.],"Dentro",DATOS_[id],DATOS_[id]))))))</f>
        <v>0</v>
      </c>
      <c r="D68" s="35">
        <f>COUNTIFS(DATOS_[AGRUP. CLAS. PROF.],$B66,DATOS_[Sexo],$B68,DATOS_[Check Periodo Ref.],"Dentro")</f>
        <v>0</v>
      </c>
      <c r="E68" s="110">
        <f t="array" ref="E68">IFERROR(
MEDIAN(IF(DATOS_[Sexo]=$B68,IF(DATOS_[AGRUP. CLAS. PROF.]=$B66,IF(DATOS_[Check Periodo Ref.]="Dentro",DATOS_[SALARIO BASE Ef],FALSE)))),
0)</f>
        <v>0</v>
      </c>
      <c r="F68" s="111">
        <f t="array" ref="F68">IFERROR(
MEDIAN((IF(DATOS_[[Sexo]:[Sexo]]=$B68,IF(DATOS_[[AGRUP. CLAS. PROF.]:[AGRUP. CLAS. PROF.]]=$B66,IF(DATOS_[[Check Periodo Ref.]:[Check Periodo Ref.]]="Dentro",DATOS_[Conc.Sal.01]))))),
0)</f>
        <v>0</v>
      </c>
      <c r="G68" s="111">
        <f t="array" ref="G68">IFERROR(
MEDIAN((IF(DATOS_[[Sexo]:[Sexo]]=$B68,IF(DATOS_[[AGRUP. CLAS. PROF.]:[AGRUP. CLAS. PROF.]]=$B66,IF(DATOS_[[Check Periodo Ref.]:[Check Periodo Ref.]]="Dentro",DATOS_[Conc.Sal.02]))))),
0)</f>
        <v>0</v>
      </c>
      <c r="H68" s="111">
        <f t="array" ref="H68">IFERROR(
MEDIAN((IF(DATOS_[[Sexo]:[Sexo]]=$B68,IF(DATOS_[[AGRUP. CLAS. PROF.]:[AGRUP. CLAS. PROF.]]=$B66,IF(DATOS_[[Check Periodo Ref.]:[Check Periodo Ref.]]="Dentro",DATOS_[Conc.Sal.03]))))),
0)</f>
        <v>0</v>
      </c>
      <c r="I68" s="111">
        <f t="array" ref="I68">IFERROR(
MEDIAN((IF(DATOS_[[Sexo]:[Sexo]]=$B68,IF(DATOS_[[AGRUP. CLAS. PROF.]:[AGRUP. CLAS. PROF.]]=$B66,IF(DATOS_[[Check Periodo Ref.]:[Check Periodo Ref.]]="Dentro",DATOS_[Conc.Sal.04]))))),
0)</f>
        <v>0</v>
      </c>
      <c r="J68" s="111">
        <f t="array" ref="J68">IFERROR(
MEDIAN((IF(DATOS_[[Sexo]:[Sexo]]=$B68,IF(DATOS_[[AGRUP. CLAS. PROF.]:[AGRUP. CLAS. PROF.]]=$B66,IF(DATOS_[[Check Periodo Ref.]:[Check Periodo Ref.]]="Dentro",DATOS_[Conc.Sal.05]))))),
0)</f>
        <v>0</v>
      </c>
      <c r="K68" s="111">
        <f t="array" ref="K68">IFERROR(
MEDIAN((IF(DATOS_[[Sexo]:[Sexo]]=$B68,IF(DATOS_[[AGRUP. CLAS. PROF.]:[AGRUP. CLAS. PROF.]]=$B66,IF(DATOS_[[Check Periodo Ref.]:[Check Periodo Ref.]]="Dentro",DATOS_[Conc.Sal.06]))))),
0)</f>
        <v>0</v>
      </c>
      <c r="L68" s="111">
        <f t="array" ref="L68">IFERROR(
MEDIAN((IF(DATOS_[[Sexo]:[Sexo]]=$B68,IF(DATOS_[[AGRUP. CLAS. PROF.]:[AGRUP. CLAS. PROF.]]=$B66,IF(DATOS_[[Check Periodo Ref.]:[Check Periodo Ref.]]="Dentro",DATOS_[Conc.Sal.07]))))),
0)</f>
        <v>0</v>
      </c>
      <c r="M68" s="111">
        <f t="array" ref="M68">IFERROR(
MEDIAN((IF(DATOS_[[Sexo]:[Sexo]]=$B68,IF(DATOS_[[AGRUP. CLAS. PROF.]:[AGRUP. CLAS. PROF.]]=$B66,IF(DATOS_[[Check Periodo Ref.]:[Check Periodo Ref.]]="Dentro",DATOS_[Conc.Sal.08]))))),
0)</f>
        <v>0</v>
      </c>
      <c r="N68" s="111">
        <f t="array" ref="N68">IFERROR(
MEDIAN((IF(DATOS_[[Sexo]:[Sexo]]=$B68,IF(DATOS_[[AGRUP. CLAS. PROF.]:[AGRUP. CLAS. PROF.]]=$B66,IF(DATOS_[[Check Periodo Ref.]:[Check Periodo Ref.]]="Dentro",DATOS_[Conc.Sal.09]))))),
0)</f>
        <v>0</v>
      </c>
      <c r="O68" s="111">
        <f t="array" ref="O68">IFERROR(
MEDIAN((IF(DATOS_[[Sexo]:[Sexo]]=$B68,IF(DATOS_[[AGRUP. CLAS. PROF.]:[AGRUP. CLAS. PROF.]]=$B66,IF(DATOS_[[Check Periodo Ref.]:[Check Periodo Ref.]]="Dentro",DATOS_[Conc.Sal.10]))))),
0)</f>
        <v>0</v>
      </c>
      <c r="P68" s="111">
        <f t="array" ref="P68">IFERROR(
MEDIAN((IF(DATOS_[[Sexo]:[Sexo]]=$B68,IF(DATOS_[[AGRUP. CLAS. PROF.]:[AGRUP. CLAS. PROF.]]=$B66,IF(DATOS_[[Check Periodo Ref.]:[Check Periodo Ref.]]="Dentro",DATOS_[Conc.Sal.11]))))),
0)</f>
        <v>0</v>
      </c>
      <c r="Q68" s="111">
        <f t="array" ref="Q68">IFERROR(
MEDIAN((IF(DATOS_[[Sexo]:[Sexo]]=$B68,IF(DATOS_[[AGRUP. CLAS. PROF.]:[AGRUP. CLAS. PROF.]]=$B66,IF(DATOS_[[Check Periodo Ref.]:[Check Periodo Ref.]]="Dentro",DATOS_[Conc.Sal.12]))))),
0)</f>
        <v>0</v>
      </c>
      <c r="R68" s="111">
        <f t="array" ref="R68">IFERROR(
MEDIAN((IF(DATOS_[[Sexo]:[Sexo]]=$B68,IF(DATOS_[[AGRUP. CLAS. PROF.]:[AGRUP. CLAS. PROF.]]=$B66,IF(DATOS_[[Check Periodo Ref.]:[Check Periodo Ref.]]="Dentro",DATOS_[Conc.Sal.13]))))),
0)</f>
        <v>0</v>
      </c>
      <c r="S68" s="111">
        <f t="array" ref="S68">IFERROR(
MEDIAN((IF(DATOS_[[Sexo]:[Sexo]]=$B68,IF(DATOS_[[AGRUP. CLAS. PROF.]:[AGRUP. CLAS. PROF.]]=$B66,IF(DATOS_[[Check Periodo Ref.]:[Check Periodo Ref.]]="Dentro",DATOS_[Conc.Sal.14]))))),
0)</f>
        <v>0</v>
      </c>
      <c r="T68" s="111">
        <f t="array" ref="T68">IFERROR(
MEDIAN((IF(DATOS_[[Sexo]:[Sexo]]=$B68,IF(DATOS_[[AGRUP. CLAS. PROF.]:[AGRUP. CLAS. PROF.]]=$B66,IF(DATOS_[[Check Periodo Ref.]:[Check Periodo Ref.]]="Dentro",DATOS_[Conc.Sal.15]))))),
0)</f>
        <v>0</v>
      </c>
      <c r="U68" s="111">
        <f t="array" ref="U68">IFERROR(
MEDIAN((IF(DATOS_[[Sexo]:[Sexo]]=$B68,IF(DATOS_[[AGRUP. CLAS. PROF.]:[AGRUP. CLAS. PROF.]]=$B66,IF(DATOS_[[Check Periodo Ref.]:[Check Periodo Ref.]]="Dentro",DATOS_[Conc.Sal.16]))))),
0)</f>
        <v>0</v>
      </c>
      <c r="V68" s="111">
        <f t="array" ref="V68">IFERROR(
MEDIAN((IF(DATOS_[[Sexo]:[Sexo]]=$B68,IF(DATOS_[[AGRUP. CLAS. PROF.]:[AGRUP. CLAS. PROF.]]=$B66,IF(DATOS_[[Check Periodo Ref.]:[Check Periodo Ref.]]="Dentro",DATOS_[Conc.Sal.17]))))),
0)</f>
        <v>0</v>
      </c>
      <c r="W68" s="111">
        <f t="array" ref="W68">IFERROR(
MEDIAN((IF(DATOS_[[Sexo]:[Sexo]]=$B68,IF(DATOS_[[AGRUP. CLAS. PROF.]:[AGRUP. CLAS. PROF.]]=$B66,IF(DATOS_[[Check Periodo Ref.]:[Check Periodo Ref.]]="Dentro",DATOS_[Conc.Sal.18]))))),
0)</f>
        <v>0</v>
      </c>
      <c r="X68" s="111">
        <f t="array" ref="X68">IFERROR(
MEDIAN((IF(DATOS_[[Sexo]:[Sexo]]=$B68,IF(DATOS_[[AGRUP. CLAS. PROF.]:[AGRUP. CLAS. PROF.]]=$B66,IF(DATOS_[[Check Periodo Ref.]:[Check Periodo Ref.]]="Dentro",DATOS_[Conc.Sal.19]))))),
0)</f>
        <v>0</v>
      </c>
      <c r="Y68" s="111">
        <f t="array" ref="Y68">IFERROR(
MEDIAN((IF(DATOS_[[Sexo]:[Sexo]]=$B68,IF(DATOS_[[AGRUP. CLAS. PROF.]:[AGRUP. CLAS. PROF.]]=$B66,IF(DATOS_[[Check Periodo Ref.]:[Check Periodo Ref.]]="Dentro",DATOS_[Conc.Sal.20]))))),
0)</f>
        <v>0</v>
      </c>
      <c r="Z68" s="111">
        <f t="array" ref="Z68">IFERROR(
MEDIAN((IF(DATOS_[[Sexo]:[Sexo]]=$B68,IF(DATOS_[[AGRUP. CLAS. PROF.]:[AGRUP. CLAS. PROF.]]=$B66,IF(DATOS_[[Check Periodo Ref.]:[Check Periodo Ref.]]="Dentro",DATOS_[Conc.Sal.21]))))),
0)</f>
        <v>0</v>
      </c>
      <c r="AA68" s="111">
        <f t="array" ref="AA68">IFERROR(
MEDIAN((IF(DATOS_[[Sexo]:[Sexo]]=$B68,IF(DATOS_[[AGRUP. CLAS. PROF.]:[AGRUP. CLAS. PROF.]]=$B66,IF(DATOS_[[Check Periodo Ref.]:[Check Periodo Ref.]]="Dentro",DATOS_[Conc.Sal.22]))))),
0)</f>
        <v>0</v>
      </c>
      <c r="AB68" s="111">
        <f t="array" ref="AB68">IFERROR(
MEDIAN((IF(DATOS_[[Sexo]:[Sexo]]=$B68,IF(DATOS_[[AGRUP. CLAS. PROF.]:[AGRUP. CLAS. PROF.]]=$B66,IF(DATOS_[[Check Periodo Ref.]:[Check Periodo Ref.]]="Dentro",DATOS_[Conc.Sal.23]))))),
0)</f>
        <v>0</v>
      </c>
      <c r="AC68" s="111">
        <f t="array" ref="AC68">IFERROR(
MEDIAN((IF(DATOS_[[Sexo]:[Sexo]]=$B68,IF(DATOS_[[AGRUP. CLAS. PROF.]:[AGRUP. CLAS. PROF.]]=$B66,IF(DATOS_[[Check Periodo Ref.]:[Check Periodo Ref.]]="Dentro",DATOS_[Conc.Sal.24]))))),
0)</f>
        <v>0</v>
      </c>
      <c r="AD68" s="111">
        <f t="array" ref="AD68">IFERROR(
MEDIAN((IF(DATOS_[[Sexo]:[Sexo]]=$B68,IF(DATOS_[[AGRUP. CLAS. PROF.]:[AGRUP. CLAS. PROF.]]=$B66,IF(DATOS_[[Check Periodo Ref.]:[Check Periodo Ref.]]="Dentro",DATOS_[Conc.Sal.25]))))),
0)</f>
        <v>0</v>
      </c>
      <c r="AE68" s="111">
        <f t="array" ref="AE68">IFERROR(
MEDIAN((IF(DATOS_[[Sexo]:[Sexo]]=$B68,IF(DATOS_[[AGRUP. CLAS. PROF.]:[AGRUP. CLAS. PROF.]]=$B66,IF(DATOS_[[Check Periodo Ref.]:[Check Periodo Ref.]]="Dentro",DATOS_[Conc.Sal.26]))))),
0)</f>
        <v>0</v>
      </c>
      <c r="AF68" s="111">
        <f t="array" ref="AF68">IFERROR(
MEDIAN((IF(DATOS_[[Sexo]:[Sexo]]=$B68,IF(DATOS_[[AGRUP. CLAS. PROF.]:[AGRUP. CLAS. PROF.]]=$B66,IF(DATOS_[[Check Periodo Ref.]:[Check Periodo Ref.]]="Dentro",DATOS_[Conc.Sal.27]))))),
0)</f>
        <v>0</v>
      </c>
      <c r="AG68" s="111">
        <f t="array" ref="AG68">IFERROR(
MEDIAN((IF(DATOS_[[Sexo]:[Sexo]]=$B68,IF(DATOS_[[AGRUP. CLAS. PROF.]:[AGRUP. CLAS. PROF.]]=$B66,IF(DATOS_[[Check Periodo Ref.]:[Check Periodo Ref.]]="Dentro",DATOS_[Conc.Sal.28]))))),
0)</f>
        <v>0</v>
      </c>
      <c r="AH68" s="111">
        <f t="array" ref="AH68">IFERROR(
MEDIAN((IF(DATOS_[[Sexo]:[Sexo]]=$B68,IF(DATOS_[[AGRUP. CLAS. PROF.]:[AGRUP. CLAS. PROF.]]=$B66,IF(DATOS_[[Check Periodo Ref.]:[Check Periodo Ref.]]="Dentro",DATOS_[Conc.Sal.29]))))),
0)</f>
        <v>0</v>
      </c>
      <c r="AI68" s="111">
        <f t="array" ref="AI68">IFERROR(
MEDIAN((IF(DATOS_[[Sexo]:[Sexo]]=$B68,IF(DATOS_[[AGRUP. CLAS. PROF.]:[AGRUP. CLAS. PROF.]]=$B66,IF(DATOS_[[Check Periodo Ref.]:[Check Periodo Ref.]]="Dentro",DATOS_[Conc.Sal.30]))))),
0)</f>
        <v>0</v>
      </c>
      <c r="AJ68" s="112">
        <f t="array" ref="AJ68">IFERROR(
MEDIAN(IF(DATOS_[Sexo]=$B68,IF(DATOS_[AGRUP. CLAS. PROF.]=$B66,IF(DATOS_[Check Periodo Ref.]="Dentro",DATOS_[Tot COMPL.SAL Ef],FALSE)))),
0)</f>
        <v>0</v>
      </c>
      <c r="AK68" s="113">
        <f t="array" ref="AK68">IFERROR(
MEDIAN(IF(DATOS_[Sexo]=$B68,IF(DATOS_[AGRUP. CLAS. PROF.]=$B66,IF(DATOS_[Check Periodo Ref.]="Dentro",DATOS_[TOTAL SALARIO Ef],FALSE)))),
0)</f>
        <v>0</v>
      </c>
      <c r="AL68" s="114">
        <f t="array" ref="AL68">IFERROR(
MEDIAN((IF(DATOS_[[Sexo]:[Sexo]]=$B68,IF(DATOS_[[AGRUP. CLAS. PROF.]:[AGRUP. CLAS. PROF.]]=$B66,IF(DATOS_[[Check Periodo Ref.]:[Check Periodo Ref.]]="Dentro",DATOS_[C.Extra.01]))))),
0)</f>
        <v>0</v>
      </c>
      <c r="AM68" s="114">
        <f t="array" ref="AM68">IFERROR(
MEDIAN((IF(DATOS_[[Sexo]:[Sexo]]=$B68,IF(DATOS_[[AGRUP. CLAS. PROF.]:[AGRUP. CLAS. PROF.]]=$B66,IF(DATOS_[[Check Periodo Ref.]:[Check Periodo Ref.]]="Dentro",DATOS_[C.Extra.02]))))),
0)</f>
        <v>0</v>
      </c>
      <c r="AN68" s="114">
        <f t="array" ref="AN68">IFERROR(
MEDIAN((IF(DATOS_[[Sexo]:[Sexo]]=$B68,IF(DATOS_[[AGRUP. CLAS. PROF.]:[AGRUP. CLAS. PROF.]]=$B66,IF(DATOS_[[Check Periodo Ref.]:[Check Periodo Ref.]]="Dentro",DATOS_[C.Extra.03]))))),
0)</f>
        <v>0</v>
      </c>
      <c r="AO68" s="114">
        <f t="array" ref="AO68">IFERROR(
MEDIAN((IF(DATOS_[[Sexo]:[Sexo]]=$B68,IF(DATOS_[[AGRUP. CLAS. PROF.]:[AGRUP. CLAS. PROF.]]=$B66,IF(DATOS_[[Check Periodo Ref.]:[Check Periodo Ref.]]="Dentro",DATOS_[C.Extra.04]))))),
0)</f>
        <v>0</v>
      </c>
      <c r="AP68" s="114">
        <f t="array" ref="AP68">IFERROR(
MEDIAN((IF(DATOS_[[Sexo]:[Sexo]]=$B68,IF(DATOS_[[AGRUP. CLAS. PROF.]:[AGRUP. CLAS. PROF.]]=$B66,IF(DATOS_[[Check Periodo Ref.]:[Check Periodo Ref.]]="Dentro",DATOS_[C.Extra.05]))))),
0)</f>
        <v>0</v>
      </c>
      <c r="AQ68" s="115">
        <f t="array" ref="AQ68">IFERROR(
MEDIAN(IF(DATOS_[Sexo]=$B68,IF(DATOS_[AGRUP. CLAS. PROF.]=$B66,IF(DATOS_[Check Periodo Ref.]="Dentro",DATOS_[Tot Extrasalarial Ef],FALSE)))),
0)</f>
        <v>0</v>
      </c>
      <c r="AR68" s="116">
        <f t="array" ref="AR68">IFERROR(
MEDIAN(IF(DATOS_[Sexo]=$B68,IF(DATOS_[AGRUP. CLAS. PROF.]=$B66,IF(DATOS_[Check Periodo Ref.]="Dentro",DATOS_[TOTAL Retrib Ef],FALSE)))),
0)</f>
        <v>0</v>
      </c>
    </row>
    <row r="69" spans="1:44" ht="17.25" hidden="1" thickBot="1" x14ac:dyDescent="0.35">
      <c r="A69" s="42" t="str">
        <f t="shared" ref="A69" si="75">+A70</f>
        <v>[ocultar]</v>
      </c>
      <c r="B69" s="40" t="s">
        <v>235</v>
      </c>
      <c r="C69" s="109"/>
      <c r="D69" s="41"/>
      <c r="E69" s="119" t="str">
        <f t="shared" ref="E69:AR69" si="76">IFERROR((E70-E71)/E70,"")</f>
        <v/>
      </c>
      <c r="F69" s="123" t="str">
        <f t="shared" si="76"/>
        <v/>
      </c>
      <c r="G69" s="123" t="str">
        <f t="shared" si="76"/>
        <v/>
      </c>
      <c r="H69" s="123" t="str">
        <f t="shared" si="76"/>
        <v/>
      </c>
      <c r="I69" s="123" t="str">
        <f t="shared" si="76"/>
        <v/>
      </c>
      <c r="J69" s="123" t="str">
        <f t="shared" si="76"/>
        <v/>
      </c>
      <c r="K69" s="123" t="str">
        <f t="shared" si="76"/>
        <v/>
      </c>
      <c r="L69" s="123" t="str">
        <f t="shared" si="76"/>
        <v/>
      </c>
      <c r="M69" s="123" t="str">
        <f t="shared" si="76"/>
        <v/>
      </c>
      <c r="N69" s="123" t="str">
        <f t="shared" si="76"/>
        <v/>
      </c>
      <c r="O69" s="123" t="str">
        <f t="shared" si="76"/>
        <v/>
      </c>
      <c r="P69" s="123" t="str">
        <f t="shared" si="76"/>
        <v/>
      </c>
      <c r="Q69" s="123" t="str">
        <f t="shared" si="76"/>
        <v/>
      </c>
      <c r="R69" s="123" t="str">
        <f t="shared" si="76"/>
        <v/>
      </c>
      <c r="S69" s="123" t="str">
        <f t="shared" si="76"/>
        <v/>
      </c>
      <c r="T69" s="123" t="str">
        <f t="shared" si="76"/>
        <v/>
      </c>
      <c r="U69" s="123" t="str">
        <f t="shared" si="76"/>
        <v/>
      </c>
      <c r="V69" s="122" t="str">
        <f t="shared" si="76"/>
        <v/>
      </c>
      <c r="W69" s="122" t="str">
        <f t="shared" si="76"/>
        <v/>
      </c>
      <c r="X69" s="122" t="str">
        <f t="shared" si="76"/>
        <v/>
      </c>
      <c r="Y69" s="122" t="str">
        <f t="shared" si="76"/>
        <v/>
      </c>
      <c r="Z69" s="122" t="str">
        <f t="shared" si="76"/>
        <v/>
      </c>
      <c r="AA69" s="122" t="str">
        <f t="shared" si="76"/>
        <v/>
      </c>
      <c r="AB69" s="122" t="str">
        <f t="shared" si="76"/>
        <v/>
      </c>
      <c r="AC69" s="122" t="str">
        <f t="shared" si="76"/>
        <v/>
      </c>
      <c r="AD69" s="122" t="str">
        <f t="shared" si="76"/>
        <v/>
      </c>
      <c r="AE69" s="122" t="str">
        <f t="shared" si="76"/>
        <v/>
      </c>
      <c r="AF69" s="122" t="str">
        <f t="shared" si="76"/>
        <v/>
      </c>
      <c r="AG69" s="122" t="str">
        <f t="shared" si="76"/>
        <v/>
      </c>
      <c r="AH69" s="122" t="str">
        <f t="shared" si="76"/>
        <v/>
      </c>
      <c r="AI69" s="122" t="str">
        <f t="shared" si="76"/>
        <v/>
      </c>
      <c r="AJ69" s="124" t="str">
        <f t="shared" si="76"/>
        <v/>
      </c>
      <c r="AK69" s="128" t="str">
        <f t="shared" si="76"/>
        <v/>
      </c>
      <c r="AL69" s="125" t="str">
        <f t="shared" si="76"/>
        <v/>
      </c>
      <c r="AM69" s="125" t="str">
        <f t="shared" si="76"/>
        <v/>
      </c>
      <c r="AN69" s="125" t="str">
        <f t="shared" si="76"/>
        <v/>
      </c>
      <c r="AO69" s="125" t="str">
        <f t="shared" si="76"/>
        <v/>
      </c>
      <c r="AP69" s="125" t="str">
        <f t="shared" si="76"/>
        <v/>
      </c>
      <c r="AQ69" s="126" t="str">
        <f t="shared" si="76"/>
        <v/>
      </c>
      <c r="AR69" s="127" t="str">
        <f t="shared" si="76"/>
        <v/>
      </c>
    </row>
    <row r="70" spans="1:44" hidden="1" x14ac:dyDescent="0.3">
      <c r="A70" s="42" t="str">
        <f t="shared" ref="A70" si="77">+IF(C70+C71=0,"[ocultar]","")</f>
        <v>[ocultar]</v>
      </c>
      <c r="B70" s="34" t="s">
        <v>162</v>
      </c>
      <c r="C70" s="33">
        <f t="array" ref="C70">SUM(IF($B70=DATOS_[Sexo],
IF($B69=DATOS_[AGRUP. CLAS. PROF.],
IF("Dentro"=DATOS_[Check Periodo Ref.],
1/(COUNTIFS(DATOS_[Sexo],$B70,DATOS_[AGRUP. CLAS. PROF.],$B69,DATOS_[Check Periodo Ref.],"Dentro",DATOS_[id],DATOS_[id]))))))</f>
        <v>0</v>
      </c>
      <c r="D70" s="35">
        <f>COUNTIFS(DATOS_[AGRUP. CLAS. PROF.],$B69,DATOS_[Sexo],$B70,DATOS_[Check Periodo Ref.],"Dentro")</f>
        <v>0</v>
      </c>
      <c r="E70" s="110">
        <f t="array" ref="E70">IFERROR(
MEDIAN(IF(DATOS_[Sexo]=$B70,IF(DATOS_[AGRUP. CLAS. PROF.]=$B69,IF(DATOS_[Check Periodo Ref.]="Dentro",DATOS_[SALARIO BASE Ef],FALSE)))),
0)</f>
        <v>0</v>
      </c>
      <c r="F70" s="111">
        <f t="array" ref="F70">IFERROR(
MEDIAN((IF(DATOS_[[Sexo]:[Sexo]]=$B70,IF(DATOS_[[AGRUP. CLAS. PROF.]:[AGRUP. CLAS. PROF.]]=$B69,IF(DATOS_[[Check Periodo Ref.]:[Check Periodo Ref.]]="Dentro",DATOS_[Conc.Sal.01]))))),
0)</f>
        <v>0</v>
      </c>
      <c r="G70" s="111">
        <f t="array" ref="G70">IFERROR(
MEDIAN((IF(DATOS_[[Sexo]:[Sexo]]=$B70,IF(DATOS_[[AGRUP. CLAS. PROF.]:[AGRUP. CLAS. PROF.]]=$B69,IF(DATOS_[[Check Periodo Ref.]:[Check Periodo Ref.]]="Dentro",DATOS_[Conc.Sal.02]))))),
0)</f>
        <v>0</v>
      </c>
      <c r="H70" s="111">
        <f t="array" ref="H70">IFERROR(
MEDIAN((IF(DATOS_[[Sexo]:[Sexo]]=$B70,IF(DATOS_[[AGRUP. CLAS. PROF.]:[AGRUP. CLAS. PROF.]]=$B69,IF(DATOS_[[Check Periodo Ref.]:[Check Periodo Ref.]]="Dentro",DATOS_[Conc.Sal.03]))))),
0)</f>
        <v>0</v>
      </c>
      <c r="I70" s="111">
        <f t="array" ref="I70">IFERROR(
MEDIAN((IF(DATOS_[[Sexo]:[Sexo]]=$B70,IF(DATOS_[[AGRUP. CLAS. PROF.]:[AGRUP. CLAS. PROF.]]=$B69,IF(DATOS_[[Check Periodo Ref.]:[Check Periodo Ref.]]="Dentro",DATOS_[Conc.Sal.04]))))),
0)</f>
        <v>0</v>
      </c>
      <c r="J70" s="111">
        <f t="array" ref="J70">IFERROR(
MEDIAN((IF(DATOS_[[Sexo]:[Sexo]]=$B70,IF(DATOS_[[AGRUP. CLAS. PROF.]:[AGRUP. CLAS. PROF.]]=$B69,IF(DATOS_[[Check Periodo Ref.]:[Check Periodo Ref.]]="Dentro",DATOS_[Conc.Sal.05]))))),
0)</f>
        <v>0</v>
      </c>
      <c r="K70" s="111">
        <f t="array" ref="K70">IFERROR(
MEDIAN((IF(DATOS_[[Sexo]:[Sexo]]=$B70,IF(DATOS_[[AGRUP. CLAS. PROF.]:[AGRUP. CLAS. PROF.]]=$B69,IF(DATOS_[[Check Periodo Ref.]:[Check Periodo Ref.]]="Dentro",DATOS_[Conc.Sal.06]))))),
0)</f>
        <v>0</v>
      </c>
      <c r="L70" s="111">
        <f t="array" ref="L70">IFERROR(
MEDIAN((IF(DATOS_[[Sexo]:[Sexo]]=$B70,IF(DATOS_[[AGRUP. CLAS. PROF.]:[AGRUP. CLAS. PROF.]]=$B69,IF(DATOS_[[Check Periodo Ref.]:[Check Periodo Ref.]]="Dentro",DATOS_[Conc.Sal.07]))))),
0)</f>
        <v>0</v>
      </c>
      <c r="M70" s="111">
        <f t="array" ref="M70">IFERROR(
MEDIAN((IF(DATOS_[[Sexo]:[Sexo]]=$B70,IF(DATOS_[[AGRUP. CLAS. PROF.]:[AGRUP. CLAS. PROF.]]=$B69,IF(DATOS_[[Check Periodo Ref.]:[Check Periodo Ref.]]="Dentro",DATOS_[Conc.Sal.08]))))),
0)</f>
        <v>0</v>
      </c>
      <c r="N70" s="111">
        <f t="array" ref="N70">IFERROR(
MEDIAN((IF(DATOS_[[Sexo]:[Sexo]]=$B70,IF(DATOS_[[AGRUP. CLAS. PROF.]:[AGRUP. CLAS. PROF.]]=$B69,IF(DATOS_[[Check Periodo Ref.]:[Check Periodo Ref.]]="Dentro",DATOS_[Conc.Sal.09]))))),
0)</f>
        <v>0</v>
      </c>
      <c r="O70" s="111">
        <f t="array" ref="O70">IFERROR(
MEDIAN((IF(DATOS_[[Sexo]:[Sexo]]=$B70,IF(DATOS_[[AGRUP. CLAS. PROF.]:[AGRUP. CLAS. PROF.]]=$B69,IF(DATOS_[[Check Periodo Ref.]:[Check Periodo Ref.]]="Dentro",DATOS_[Conc.Sal.10]))))),
0)</f>
        <v>0</v>
      </c>
      <c r="P70" s="111">
        <f t="array" ref="P70">IFERROR(
MEDIAN((IF(DATOS_[[Sexo]:[Sexo]]=$B70,IF(DATOS_[[AGRUP. CLAS. PROF.]:[AGRUP. CLAS. PROF.]]=$B69,IF(DATOS_[[Check Periodo Ref.]:[Check Periodo Ref.]]="Dentro",DATOS_[Conc.Sal.11]))))),
0)</f>
        <v>0</v>
      </c>
      <c r="Q70" s="111">
        <f t="array" ref="Q70">IFERROR(
MEDIAN((IF(DATOS_[[Sexo]:[Sexo]]=$B70,IF(DATOS_[[AGRUP. CLAS. PROF.]:[AGRUP. CLAS. PROF.]]=$B69,IF(DATOS_[[Check Periodo Ref.]:[Check Periodo Ref.]]="Dentro",DATOS_[Conc.Sal.12]))))),
0)</f>
        <v>0</v>
      </c>
      <c r="R70" s="111">
        <f t="array" ref="R70">IFERROR(
MEDIAN((IF(DATOS_[[Sexo]:[Sexo]]=$B70,IF(DATOS_[[AGRUP. CLAS. PROF.]:[AGRUP. CLAS. PROF.]]=$B69,IF(DATOS_[[Check Periodo Ref.]:[Check Periodo Ref.]]="Dentro",DATOS_[Conc.Sal.13]))))),
0)</f>
        <v>0</v>
      </c>
      <c r="S70" s="111">
        <f t="array" ref="S70">IFERROR(
MEDIAN((IF(DATOS_[[Sexo]:[Sexo]]=$B70,IF(DATOS_[[AGRUP. CLAS. PROF.]:[AGRUP. CLAS. PROF.]]=$B69,IF(DATOS_[[Check Periodo Ref.]:[Check Periodo Ref.]]="Dentro",DATOS_[Conc.Sal.14]))))),
0)</f>
        <v>0</v>
      </c>
      <c r="T70" s="111">
        <f t="array" ref="T70">IFERROR(
MEDIAN((IF(DATOS_[[Sexo]:[Sexo]]=$B70,IF(DATOS_[[AGRUP. CLAS. PROF.]:[AGRUP. CLAS. PROF.]]=$B69,IF(DATOS_[[Check Periodo Ref.]:[Check Periodo Ref.]]="Dentro",DATOS_[Conc.Sal.15]))))),
0)</f>
        <v>0</v>
      </c>
      <c r="U70" s="111">
        <f t="array" ref="U70">IFERROR(
MEDIAN((IF(DATOS_[[Sexo]:[Sexo]]=$B70,IF(DATOS_[[AGRUP. CLAS. PROF.]:[AGRUP. CLAS. PROF.]]=$B69,IF(DATOS_[[Check Periodo Ref.]:[Check Periodo Ref.]]="Dentro",DATOS_[Conc.Sal.16]))))),
0)</f>
        <v>0</v>
      </c>
      <c r="V70" s="111">
        <f t="array" ref="V70">IFERROR(
MEDIAN((IF(DATOS_[[Sexo]:[Sexo]]=$B70,IF(DATOS_[[AGRUP. CLAS. PROF.]:[AGRUP. CLAS. PROF.]]=$B69,IF(DATOS_[[Check Periodo Ref.]:[Check Periodo Ref.]]="Dentro",DATOS_[Conc.Sal.17]))))),
0)</f>
        <v>0</v>
      </c>
      <c r="W70" s="111">
        <f t="array" ref="W70">IFERROR(
MEDIAN((IF(DATOS_[[Sexo]:[Sexo]]=$B70,IF(DATOS_[[AGRUP. CLAS. PROF.]:[AGRUP. CLAS. PROF.]]=$B69,IF(DATOS_[[Check Periodo Ref.]:[Check Periodo Ref.]]="Dentro",DATOS_[Conc.Sal.18]))))),
0)</f>
        <v>0</v>
      </c>
      <c r="X70" s="111">
        <f t="array" ref="X70">IFERROR(
MEDIAN((IF(DATOS_[[Sexo]:[Sexo]]=$B70,IF(DATOS_[[AGRUP. CLAS. PROF.]:[AGRUP. CLAS. PROF.]]=$B69,IF(DATOS_[[Check Periodo Ref.]:[Check Periodo Ref.]]="Dentro",DATOS_[Conc.Sal.19]))))),
0)</f>
        <v>0</v>
      </c>
      <c r="Y70" s="111">
        <f t="array" ref="Y70">IFERROR(
MEDIAN((IF(DATOS_[[Sexo]:[Sexo]]=$B70,IF(DATOS_[[AGRUP. CLAS. PROF.]:[AGRUP. CLAS. PROF.]]=$B69,IF(DATOS_[[Check Periodo Ref.]:[Check Periodo Ref.]]="Dentro",DATOS_[Conc.Sal.20]))))),
0)</f>
        <v>0</v>
      </c>
      <c r="Z70" s="111">
        <f t="array" ref="Z70">IFERROR(
MEDIAN((IF(DATOS_[[Sexo]:[Sexo]]=$B70,IF(DATOS_[[AGRUP. CLAS. PROF.]:[AGRUP. CLAS. PROF.]]=$B69,IF(DATOS_[[Check Periodo Ref.]:[Check Periodo Ref.]]="Dentro",DATOS_[Conc.Sal.21]))))),
0)</f>
        <v>0</v>
      </c>
      <c r="AA70" s="111">
        <f t="array" ref="AA70">IFERROR(
MEDIAN((IF(DATOS_[[Sexo]:[Sexo]]=$B70,IF(DATOS_[[AGRUP. CLAS. PROF.]:[AGRUP. CLAS. PROF.]]=$B69,IF(DATOS_[[Check Periodo Ref.]:[Check Periodo Ref.]]="Dentro",DATOS_[Conc.Sal.22]))))),
0)</f>
        <v>0</v>
      </c>
      <c r="AB70" s="111">
        <f t="array" ref="AB70">IFERROR(
MEDIAN((IF(DATOS_[[Sexo]:[Sexo]]=$B70,IF(DATOS_[[AGRUP. CLAS. PROF.]:[AGRUP. CLAS. PROF.]]=$B69,IF(DATOS_[[Check Periodo Ref.]:[Check Periodo Ref.]]="Dentro",DATOS_[Conc.Sal.23]))))),
0)</f>
        <v>0</v>
      </c>
      <c r="AC70" s="111">
        <f t="array" ref="AC70">IFERROR(
MEDIAN((IF(DATOS_[[Sexo]:[Sexo]]=$B70,IF(DATOS_[[AGRUP. CLAS. PROF.]:[AGRUP. CLAS. PROF.]]=$B69,IF(DATOS_[[Check Periodo Ref.]:[Check Periodo Ref.]]="Dentro",DATOS_[Conc.Sal.24]))))),
0)</f>
        <v>0</v>
      </c>
      <c r="AD70" s="111">
        <f t="array" ref="AD70">IFERROR(
MEDIAN((IF(DATOS_[[Sexo]:[Sexo]]=$B70,IF(DATOS_[[AGRUP. CLAS. PROF.]:[AGRUP. CLAS. PROF.]]=$B69,IF(DATOS_[[Check Periodo Ref.]:[Check Periodo Ref.]]="Dentro",DATOS_[Conc.Sal.25]))))),
0)</f>
        <v>0</v>
      </c>
      <c r="AE70" s="111">
        <f t="array" ref="AE70">IFERROR(
MEDIAN((IF(DATOS_[[Sexo]:[Sexo]]=$B70,IF(DATOS_[[AGRUP. CLAS. PROF.]:[AGRUP. CLAS. PROF.]]=$B69,IF(DATOS_[[Check Periodo Ref.]:[Check Periodo Ref.]]="Dentro",DATOS_[Conc.Sal.26]))))),
0)</f>
        <v>0</v>
      </c>
      <c r="AF70" s="111">
        <f t="array" ref="AF70">IFERROR(
MEDIAN((IF(DATOS_[[Sexo]:[Sexo]]=$B70,IF(DATOS_[[AGRUP. CLAS. PROF.]:[AGRUP. CLAS. PROF.]]=$B69,IF(DATOS_[[Check Periodo Ref.]:[Check Periodo Ref.]]="Dentro",DATOS_[Conc.Sal.27]))))),
0)</f>
        <v>0</v>
      </c>
      <c r="AG70" s="111">
        <f t="array" ref="AG70">IFERROR(
MEDIAN((IF(DATOS_[[Sexo]:[Sexo]]=$B70,IF(DATOS_[[AGRUP. CLAS. PROF.]:[AGRUP. CLAS. PROF.]]=$B69,IF(DATOS_[[Check Periodo Ref.]:[Check Periodo Ref.]]="Dentro",DATOS_[Conc.Sal.28]))))),
0)</f>
        <v>0</v>
      </c>
      <c r="AH70" s="111">
        <f t="array" ref="AH70">IFERROR(
MEDIAN((IF(DATOS_[[Sexo]:[Sexo]]=$B70,IF(DATOS_[[AGRUP. CLAS. PROF.]:[AGRUP. CLAS. PROF.]]=$B69,IF(DATOS_[[Check Periodo Ref.]:[Check Periodo Ref.]]="Dentro",DATOS_[Conc.Sal.29]))))),
0)</f>
        <v>0</v>
      </c>
      <c r="AI70" s="111">
        <f t="array" ref="AI70">IFERROR(
MEDIAN((IF(DATOS_[[Sexo]:[Sexo]]=$B70,IF(DATOS_[[AGRUP. CLAS. PROF.]:[AGRUP. CLAS. PROF.]]=$B69,IF(DATOS_[[Check Periodo Ref.]:[Check Periodo Ref.]]="Dentro",DATOS_[Conc.Sal.30]))))),
0)</f>
        <v>0</v>
      </c>
      <c r="AJ70" s="112">
        <f t="array" ref="AJ70">IFERROR(
MEDIAN(IF(DATOS_[Sexo]=$B70,IF(DATOS_[AGRUP. CLAS. PROF.]=$B69,IF(DATOS_[Check Periodo Ref.]="Dentro",DATOS_[Tot COMPL.SAL Ef],FALSE)))),
0)</f>
        <v>0</v>
      </c>
      <c r="AK70" s="113">
        <f t="array" ref="AK70">IFERROR(
MEDIAN(IF(DATOS_[Sexo]=$B70,IF(DATOS_[AGRUP. CLAS. PROF.]=$B69,IF(DATOS_[Check Periodo Ref.]="Dentro",DATOS_[TOTAL SALARIO Ef],FALSE)))),
0)</f>
        <v>0</v>
      </c>
      <c r="AL70" s="114">
        <f t="array" ref="AL70">IFERROR(
MEDIAN((IF(DATOS_[[Sexo]:[Sexo]]=$B70,IF(DATOS_[[AGRUP. CLAS. PROF.]:[AGRUP. CLAS. PROF.]]=$B69,IF(DATOS_[[Check Periodo Ref.]:[Check Periodo Ref.]]="Dentro",DATOS_[C.Extra.01]))))),
0)</f>
        <v>0</v>
      </c>
      <c r="AM70" s="114">
        <f t="array" ref="AM70">IFERROR(
MEDIAN((IF(DATOS_[[Sexo]:[Sexo]]=$B70,IF(DATOS_[[AGRUP. CLAS. PROF.]:[AGRUP. CLAS. PROF.]]=$B69,IF(DATOS_[[Check Periodo Ref.]:[Check Periodo Ref.]]="Dentro",DATOS_[C.Extra.02]))))),
0)</f>
        <v>0</v>
      </c>
      <c r="AN70" s="114">
        <f t="array" ref="AN70">IFERROR(
MEDIAN((IF(DATOS_[[Sexo]:[Sexo]]=$B70,IF(DATOS_[[AGRUP. CLAS. PROF.]:[AGRUP. CLAS. PROF.]]=$B69,IF(DATOS_[[Check Periodo Ref.]:[Check Periodo Ref.]]="Dentro",DATOS_[C.Extra.03]))))),
0)</f>
        <v>0</v>
      </c>
      <c r="AO70" s="114">
        <f t="array" ref="AO70">IFERROR(
MEDIAN((IF(DATOS_[[Sexo]:[Sexo]]=$B70,IF(DATOS_[[AGRUP. CLAS. PROF.]:[AGRUP. CLAS. PROF.]]=$B69,IF(DATOS_[[Check Periodo Ref.]:[Check Periodo Ref.]]="Dentro",DATOS_[C.Extra.04]))))),
0)</f>
        <v>0</v>
      </c>
      <c r="AP70" s="114">
        <f t="array" ref="AP70">IFERROR(
MEDIAN((IF(DATOS_[[Sexo]:[Sexo]]=$B70,IF(DATOS_[[AGRUP. CLAS. PROF.]:[AGRUP. CLAS. PROF.]]=$B69,IF(DATOS_[[Check Periodo Ref.]:[Check Periodo Ref.]]="Dentro",DATOS_[C.Extra.05]))))),
0)</f>
        <v>0</v>
      </c>
      <c r="AQ70" s="115">
        <f t="array" ref="AQ70">IFERROR(
MEDIAN(IF(DATOS_[Sexo]=$B70,IF(DATOS_[AGRUP. CLAS. PROF.]=$B69,IF(DATOS_[Check Periodo Ref.]="Dentro",DATOS_[Tot Extrasalarial Ef],FALSE)))),
0)</f>
        <v>0</v>
      </c>
      <c r="AR70" s="116">
        <f t="array" ref="AR70">IFERROR(
MEDIAN(IF(DATOS_[Sexo]=$B70,IF(DATOS_[AGRUP. CLAS. PROF.]=$B69,IF(DATOS_[Check Periodo Ref.]="Dentro",DATOS_[TOTAL Retrib Ef],FALSE)))),
0)</f>
        <v>0</v>
      </c>
    </row>
    <row r="71" spans="1:44" hidden="1" x14ac:dyDescent="0.3">
      <c r="A71" s="42" t="str">
        <f t="shared" ref="A71" si="78">+A70</f>
        <v>[ocultar]</v>
      </c>
      <c r="B71" s="34" t="s">
        <v>163</v>
      </c>
      <c r="C71" s="33">
        <f t="array" ref="C71">SUM(IF($B71=DATOS_[Sexo],
IF($B69=DATOS_[AGRUP. CLAS. PROF.],
IF("Dentro"=DATOS_[Check Periodo Ref.],
1/(COUNTIFS(DATOS_[Sexo],$B71,DATOS_[AGRUP. CLAS. PROF.],$B69,DATOS_[Check Periodo Ref.],"Dentro",DATOS_[id],DATOS_[id]))))))</f>
        <v>0</v>
      </c>
      <c r="D71" s="35">
        <f>COUNTIFS(DATOS_[AGRUP. CLAS. PROF.],$B69,DATOS_[Sexo],$B71,DATOS_[Check Periodo Ref.],"Dentro")</f>
        <v>0</v>
      </c>
      <c r="E71" s="110">
        <f t="array" ref="E71">IFERROR(
MEDIAN(IF(DATOS_[Sexo]=$B71,IF(DATOS_[AGRUP. CLAS. PROF.]=$B69,IF(DATOS_[Check Periodo Ref.]="Dentro",DATOS_[SALARIO BASE Ef],FALSE)))),
0)</f>
        <v>0</v>
      </c>
      <c r="F71" s="111">
        <f t="array" ref="F71">IFERROR(
MEDIAN((IF(DATOS_[[Sexo]:[Sexo]]=$B71,IF(DATOS_[[AGRUP. CLAS. PROF.]:[AGRUP. CLAS. PROF.]]=$B69,IF(DATOS_[[Check Periodo Ref.]:[Check Periodo Ref.]]="Dentro",DATOS_[Conc.Sal.01]))))),
0)</f>
        <v>0</v>
      </c>
      <c r="G71" s="111">
        <f t="array" ref="G71">IFERROR(
MEDIAN((IF(DATOS_[[Sexo]:[Sexo]]=$B71,IF(DATOS_[[AGRUP. CLAS. PROF.]:[AGRUP. CLAS. PROF.]]=$B69,IF(DATOS_[[Check Periodo Ref.]:[Check Periodo Ref.]]="Dentro",DATOS_[Conc.Sal.02]))))),
0)</f>
        <v>0</v>
      </c>
      <c r="H71" s="111">
        <f t="array" ref="H71">IFERROR(
MEDIAN((IF(DATOS_[[Sexo]:[Sexo]]=$B71,IF(DATOS_[[AGRUP. CLAS. PROF.]:[AGRUP. CLAS. PROF.]]=$B69,IF(DATOS_[[Check Periodo Ref.]:[Check Periodo Ref.]]="Dentro",DATOS_[Conc.Sal.03]))))),
0)</f>
        <v>0</v>
      </c>
      <c r="I71" s="111">
        <f t="array" ref="I71">IFERROR(
MEDIAN((IF(DATOS_[[Sexo]:[Sexo]]=$B71,IF(DATOS_[[AGRUP. CLAS. PROF.]:[AGRUP. CLAS. PROF.]]=$B69,IF(DATOS_[[Check Periodo Ref.]:[Check Periodo Ref.]]="Dentro",DATOS_[Conc.Sal.04]))))),
0)</f>
        <v>0</v>
      </c>
      <c r="J71" s="111">
        <f t="array" ref="J71">IFERROR(
MEDIAN((IF(DATOS_[[Sexo]:[Sexo]]=$B71,IF(DATOS_[[AGRUP. CLAS. PROF.]:[AGRUP. CLAS. PROF.]]=$B69,IF(DATOS_[[Check Periodo Ref.]:[Check Periodo Ref.]]="Dentro",DATOS_[Conc.Sal.05]))))),
0)</f>
        <v>0</v>
      </c>
      <c r="K71" s="111">
        <f t="array" ref="K71">IFERROR(
MEDIAN((IF(DATOS_[[Sexo]:[Sexo]]=$B71,IF(DATOS_[[AGRUP. CLAS. PROF.]:[AGRUP. CLAS. PROF.]]=$B69,IF(DATOS_[[Check Periodo Ref.]:[Check Periodo Ref.]]="Dentro",DATOS_[Conc.Sal.06]))))),
0)</f>
        <v>0</v>
      </c>
      <c r="L71" s="111">
        <f t="array" ref="L71">IFERROR(
MEDIAN((IF(DATOS_[[Sexo]:[Sexo]]=$B71,IF(DATOS_[[AGRUP. CLAS. PROF.]:[AGRUP. CLAS. PROF.]]=$B69,IF(DATOS_[[Check Periodo Ref.]:[Check Periodo Ref.]]="Dentro",DATOS_[Conc.Sal.07]))))),
0)</f>
        <v>0</v>
      </c>
      <c r="M71" s="111">
        <f t="array" ref="M71">IFERROR(
MEDIAN((IF(DATOS_[[Sexo]:[Sexo]]=$B71,IF(DATOS_[[AGRUP. CLAS. PROF.]:[AGRUP. CLAS. PROF.]]=$B69,IF(DATOS_[[Check Periodo Ref.]:[Check Periodo Ref.]]="Dentro",DATOS_[Conc.Sal.08]))))),
0)</f>
        <v>0</v>
      </c>
      <c r="N71" s="111">
        <f t="array" ref="N71">IFERROR(
MEDIAN((IF(DATOS_[[Sexo]:[Sexo]]=$B71,IF(DATOS_[[AGRUP. CLAS. PROF.]:[AGRUP. CLAS. PROF.]]=$B69,IF(DATOS_[[Check Periodo Ref.]:[Check Periodo Ref.]]="Dentro",DATOS_[Conc.Sal.09]))))),
0)</f>
        <v>0</v>
      </c>
      <c r="O71" s="111">
        <f t="array" ref="O71">IFERROR(
MEDIAN((IF(DATOS_[[Sexo]:[Sexo]]=$B71,IF(DATOS_[[AGRUP. CLAS. PROF.]:[AGRUP. CLAS. PROF.]]=$B69,IF(DATOS_[[Check Periodo Ref.]:[Check Periodo Ref.]]="Dentro",DATOS_[Conc.Sal.10]))))),
0)</f>
        <v>0</v>
      </c>
      <c r="P71" s="111">
        <f t="array" ref="P71">IFERROR(
MEDIAN((IF(DATOS_[[Sexo]:[Sexo]]=$B71,IF(DATOS_[[AGRUP. CLAS. PROF.]:[AGRUP. CLAS. PROF.]]=$B69,IF(DATOS_[[Check Periodo Ref.]:[Check Periodo Ref.]]="Dentro",DATOS_[Conc.Sal.11]))))),
0)</f>
        <v>0</v>
      </c>
      <c r="Q71" s="111">
        <f t="array" ref="Q71">IFERROR(
MEDIAN((IF(DATOS_[[Sexo]:[Sexo]]=$B71,IF(DATOS_[[AGRUP. CLAS. PROF.]:[AGRUP. CLAS. PROF.]]=$B69,IF(DATOS_[[Check Periodo Ref.]:[Check Periodo Ref.]]="Dentro",DATOS_[Conc.Sal.12]))))),
0)</f>
        <v>0</v>
      </c>
      <c r="R71" s="111">
        <f t="array" ref="R71">IFERROR(
MEDIAN((IF(DATOS_[[Sexo]:[Sexo]]=$B71,IF(DATOS_[[AGRUP. CLAS. PROF.]:[AGRUP. CLAS. PROF.]]=$B69,IF(DATOS_[[Check Periodo Ref.]:[Check Periodo Ref.]]="Dentro",DATOS_[Conc.Sal.13]))))),
0)</f>
        <v>0</v>
      </c>
      <c r="S71" s="111">
        <f t="array" ref="S71">IFERROR(
MEDIAN((IF(DATOS_[[Sexo]:[Sexo]]=$B71,IF(DATOS_[[AGRUP. CLAS. PROF.]:[AGRUP. CLAS. PROF.]]=$B69,IF(DATOS_[[Check Periodo Ref.]:[Check Periodo Ref.]]="Dentro",DATOS_[Conc.Sal.14]))))),
0)</f>
        <v>0</v>
      </c>
      <c r="T71" s="111">
        <f t="array" ref="T71">IFERROR(
MEDIAN((IF(DATOS_[[Sexo]:[Sexo]]=$B71,IF(DATOS_[[AGRUP. CLAS. PROF.]:[AGRUP. CLAS. PROF.]]=$B69,IF(DATOS_[[Check Periodo Ref.]:[Check Periodo Ref.]]="Dentro",DATOS_[Conc.Sal.15]))))),
0)</f>
        <v>0</v>
      </c>
      <c r="U71" s="111">
        <f t="array" ref="U71">IFERROR(
MEDIAN((IF(DATOS_[[Sexo]:[Sexo]]=$B71,IF(DATOS_[[AGRUP. CLAS. PROF.]:[AGRUP. CLAS. PROF.]]=$B69,IF(DATOS_[[Check Periodo Ref.]:[Check Periodo Ref.]]="Dentro",DATOS_[Conc.Sal.16]))))),
0)</f>
        <v>0</v>
      </c>
      <c r="V71" s="111">
        <f t="array" ref="V71">IFERROR(
MEDIAN((IF(DATOS_[[Sexo]:[Sexo]]=$B71,IF(DATOS_[[AGRUP. CLAS. PROF.]:[AGRUP. CLAS. PROF.]]=$B69,IF(DATOS_[[Check Periodo Ref.]:[Check Periodo Ref.]]="Dentro",DATOS_[Conc.Sal.17]))))),
0)</f>
        <v>0</v>
      </c>
      <c r="W71" s="111">
        <f t="array" ref="W71">IFERROR(
MEDIAN((IF(DATOS_[[Sexo]:[Sexo]]=$B71,IF(DATOS_[[AGRUP. CLAS. PROF.]:[AGRUP. CLAS. PROF.]]=$B69,IF(DATOS_[[Check Periodo Ref.]:[Check Periodo Ref.]]="Dentro",DATOS_[Conc.Sal.18]))))),
0)</f>
        <v>0</v>
      </c>
      <c r="X71" s="111">
        <f t="array" ref="X71">IFERROR(
MEDIAN((IF(DATOS_[[Sexo]:[Sexo]]=$B71,IF(DATOS_[[AGRUP. CLAS. PROF.]:[AGRUP. CLAS. PROF.]]=$B69,IF(DATOS_[[Check Periodo Ref.]:[Check Periodo Ref.]]="Dentro",DATOS_[Conc.Sal.19]))))),
0)</f>
        <v>0</v>
      </c>
      <c r="Y71" s="111">
        <f t="array" ref="Y71">IFERROR(
MEDIAN((IF(DATOS_[[Sexo]:[Sexo]]=$B71,IF(DATOS_[[AGRUP. CLAS. PROF.]:[AGRUP. CLAS. PROF.]]=$B69,IF(DATOS_[[Check Periodo Ref.]:[Check Periodo Ref.]]="Dentro",DATOS_[Conc.Sal.20]))))),
0)</f>
        <v>0</v>
      </c>
      <c r="Z71" s="111">
        <f t="array" ref="Z71">IFERROR(
MEDIAN((IF(DATOS_[[Sexo]:[Sexo]]=$B71,IF(DATOS_[[AGRUP. CLAS. PROF.]:[AGRUP. CLAS. PROF.]]=$B69,IF(DATOS_[[Check Periodo Ref.]:[Check Periodo Ref.]]="Dentro",DATOS_[Conc.Sal.21]))))),
0)</f>
        <v>0</v>
      </c>
      <c r="AA71" s="111">
        <f t="array" ref="AA71">IFERROR(
MEDIAN((IF(DATOS_[[Sexo]:[Sexo]]=$B71,IF(DATOS_[[AGRUP. CLAS. PROF.]:[AGRUP. CLAS. PROF.]]=$B69,IF(DATOS_[[Check Periodo Ref.]:[Check Periodo Ref.]]="Dentro",DATOS_[Conc.Sal.22]))))),
0)</f>
        <v>0</v>
      </c>
      <c r="AB71" s="111">
        <f t="array" ref="AB71">IFERROR(
MEDIAN((IF(DATOS_[[Sexo]:[Sexo]]=$B71,IF(DATOS_[[AGRUP. CLAS. PROF.]:[AGRUP. CLAS. PROF.]]=$B69,IF(DATOS_[[Check Periodo Ref.]:[Check Periodo Ref.]]="Dentro",DATOS_[Conc.Sal.23]))))),
0)</f>
        <v>0</v>
      </c>
      <c r="AC71" s="111">
        <f t="array" ref="AC71">IFERROR(
MEDIAN((IF(DATOS_[[Sexo]:[Sexo]]=$B71,IF(DATOS_[[AGRUP. CLAS. PROF.]:[AGRUP. CLAS. PROF.]]=$B69,IF(DATOS_[[Check Periodo Ref.]:[Check Periodo Ref.]]="Dentro",DATOS_[Conc.Sal.24]))))),
0)</f>
        <v>0</v>
      </c>
      <c r="AD71" s="111">
        <f t="array" ref="AD71">IFERROR(
MEDIAN((IF(DATOS_[[Sexo]:[Sexo]]=$B71,IF(DATOS_[[AGRUP. CLAS. PROF.]:[AGRUP. CLAS. PROF.]]=$B69,IF(DATOS_[[Check Periodo Ref.]:[Check Periodo Ref.]]="Dentro",DATOS_[Conc.Sal.25]))))),
0)</f>
        <v>0</v>
      </c>
      <c r="AE71" s="111">
        <f t="array" ref="AE71">IFERROR(
MEDIAN((IF(DATOS_[[Sexo]:[Sexo]]=$B71,IF(DATOS_[[AGRUP. CLAS. PROF.]:[AGRUP. CLAS. PROF.]]=$B69,IF(DATOS_[[Check Periodo Ref.]:[Check Periodo Ref.]]="Dentro",DATOS_[Conc.Sal.26]))))),
0)</f>
        <v>0</v>
      </c>
      <c r="AF71" s="111">
        <f t="array" ref="AF71">IFERROR(
MEDIAN((IF(DATOS_[[Sexo]:[Sexo]]=$B71,IF(DATOS_[[AGRUP. CLAS. PROF.]:[AGRUP. CLAS. PROF.]]=$B69,IF(DATOS_[[Check Periodo Ref.]:[Check Periodo Ref.]]="Dentro",DATOS_[Conc.Sal.27]))))),
0)</f>
        <v>0</v>
      </c>
      <c r="AG71" s="111">
        <f t="array" ref="AG71">IFERROR(
MEDIAN((IF(DATOS_[[Sexo]:[Sexo]]=$B71,IF(DATOS_[[AGRUP. CLAS. PROF.]:[AGRUP. CLAS. PROF.]]=$B69,IF(DATOS_[[Check Periodo Ref.]:[Check Periodo Ref.]]="Dentro",DATOS_[Conc.Sal.28]))))),
0)</f>
        <v>0</v>
      </c>
      <c r="AH71" s="111">
        <f t="array" ref="AH71">IFERROR(
MEDIAN((IF(DATOS_[[Sexo]:[Sexo]]=$B71,IF(DATOS_[[AGRUP. CLAS. PROF.]:[AGRUP. CLAS. PROF.]]=$B69,IF(DATOS_[[Check Periodo Ref.]:[Check Periodo Ref.]]="Dentro",DATOS_[Conc.Sal.29]))))),
0)</f>
        <v>0</v>
      </c>
      <c r="AI71" s="111">
        <f t="array" ref="AI71">IFERROR(
MEDIAN((IF(DATOS_[[Sexo]:[Sexo]]=$B71,IF(DATOS_[[AGRUP. CLAS. PROF.]:[AGRUP. CLAS. PROF.]]=$B69,IF(DATOS_[[Check Periodo Ref.]:[Check Periodo Ref.]]="Dentro",DATOS_[Conc.Sal.30]))))),
0)</f>
        <v>0</v>
      </c>
      <c r="AJ71" s="112">
        <f t="array" ref="AJ71">IFERROR(
MEDIAN(IF(DATOS_[Sexo]=$B71,IF(DATOS_[AGRUP. CLAS. PROF.]=$B69,IF(DATOS_[Check Periodo Ref.]="Dentro",DATOS_[Tot COMPL.SAL Ef],FALSE)))),
0)</f>
        <v>0</v>
      </c>
      <c r="AK71" s="113">
        <f t="array" ref="AK71">IFERROR(
MEDIAN(IF(DATOS_[Sexo]=$B71,IF(DATOS_[AGRUP. CLAS. PROF.]=$B69,IF(DATOS_[Check Periodo Ref.]="Dentro",DATOS_[TOTAL SALARIO Ef],FALSE)))),
0)</f>
        <v>0</v>
      </c>
      <c r="AL71" s="114">
        <f t="array" ref="AL71">IFERROR(
MEDIAN((IF(DATOS_[[Sexo]:[Sexo]]=$B71,IF(DATOS_[[AGRUP. CLAS. PROF.]:[AGRUP. CLAS. PROF.]]=$B69,IF(DATOS_[[Check Periodo Ref.]:[Check Periodo Ref.]]="Dentro",DATOS_[C.Extra.01]))))),
0)</f>
        <v>0</v>
      </c>
      <c r="AM71" s="114">
        <f t="array" ref="AM71">IFERROR(
MEDIAN((IF(DATOS_[[Sexo]:[Sexo]]=$B71,IF(DATOS_[[AGRUP. CLAS. PROF.]:[AGRUP. CLAS. PROF.]]=$B69,IF(DATOS_[[Check Periodo Ref.]:[Check Periodo Ref.]]="Dentro",DATOS_[C.Extra.02]))))),
0)</f>
        <v>0</v>
      </c>
      <c r="AN71" s="114">
        <f t="array" ref="AN71">IFERROR(
MEDIAN((IF(DATOS_[[Sexo]:[Sexo]]=$B71,IF(DATOS_[[AGRUP. CLAS. PROF.]:[AGRUP. CLAS. PROF.]]=$B69,IF(DATOS_[[Check Periodo Ref.]:[Check Periodo Ref.]]="Dentro",DATOS_[C.Extra.03]))))),
0)</f>
        <v>0</v>
      </c>
      <c r="AO71" s="114">
        <f t="array" ref="AO71">IFERROR(
MEDIAN((IF(DATOS_[[Sexo]:[Sexo]]=$B71,IF(DATOS_[[AGRUP. CLAS. PROF.]:[AGRUP. CLAS. PROF.]]=$B69,IF(DATOS_[[Check Periodo Ref.]:[Check Periodo Ref.]]="Dentro",DATOS_[C.Extra.04]))))),
0)</f>
        <v>0</v>
      </c>
      <c r="AP71" s="114">
        <f t="array" ref="AP71">IFERROR(
MEDIAN((IF(DATOS_[[Sexo]:[Sexo]]=$B71,IF(DATOS_[[AGRUP. CLAS. PROF.]:[AGRUP. CLAS. PROF.]]=$B69,IF(DATOS_[[Check Periodo Ref.]:[Check Periodo Ref.]]="Dentro",DATOS_[C.Extra.05]))))),
0)</f>
        <v>0</v>
      </c>
      <c r="AQ71" s="115">
        <f t="array" ref="AQ71">IFERROR(
MEDIAN(IF(DATOS_[Sexo]=$B71,IF(DATOS_[AGRUP. CLAS. PROF.]=$B69,IF(DATOS_[Check Periodo Ref.]="Dentro",DATOS_[Tot Extrasalarial Ef],FALSE)))),
0)</f>
        <v>0</v>
      </c>
      <c r="AR71" s="116">
        <f t="array" ref="AR71">IFERROR(
MEDIAN(IF(DATOS_[Sexo]=$B71,IF(DATOS_[AGRUP. CLAS. PROF.]=$B69,IF(DATOS_[Check Periodo Ref.]="Dentro",DATOS_[TOTAL Retrib Ef],FALSE)))),
0)</f>
        <v>0</v>
      </c>
    </row>
    <row r="72" spans="1:44" ht="17.25" hidden="1" thickBot="1" x14ac:dyDescent="0.35">
      <c r="A72" s="42" t="str">
        <f t="shared" ref="A72" si="79">+A73</f>
        <v>[ocultar]</v>
      </c>
      <c r="B72" s="40" t="s">
        <v>236</v>
      </c>
      <c r="C72" s="109"/>
      <c r="D72" s="41"/>
      <c r="E72" s="119" t="str">
        <f t="shared" ref="E72:AR72" si="80">IFERROR((E73-E74)/E73,"")</f>
        <v/>
      </c>
      <c r="F72" s="123" t="str">
        <f t="shared" si="80"/>
        <v/>
      </c>
      <c r="G72" s="123" t="str">
        <f t="shared" si="80"/>
        <v/>
      </c>
      <c r="H72" s="123" t="str">
        <f t="shared" si="80"/>
        <v/>
      </c>
      <c r="I72" s="123" t="str">
        <f t="shared" si="80"/>
        <v/>
      </c>
      <c r="J72" s="123" t="str">
        <f t="shared" si="80"/>
        <v/>
      </c>
      <c r="K72" s="123" t="str">
        <f t="shared" si="80"/>
        <v/>
      </c>
      <c r="L72" s="123" t="str">
        <f t="shared" si="80"/>
        <v/>
      </c>
      <c r="M72" s="123" t="str">
        <f t="shared" si="80"/>
        <v/>
      </c>
      <c r="N72" s="123" t="str">
        <f t="shared" si="80"/>
        <v/>
      </c>
      <c r="O72" s="123" t="str">
        <f t="shared" si="80"/>
        <v/>
      </c>
      <c r="P72" s="123" t="str">
        <f t="shared" si="80"/>
        <v/>
      </c>
      <c r="Q72" s="123" t="str">
        <f t="shared" si="80"/>
        <v/>
      </c>
      <c r="R72" s="123" t="str">
        <f t="shared" si="80"/>
        <v/>
      </c>
      <c r="S72" s="123" t="str">
        <f t="shared" si="80"/>
        <v/>
      </c>
      <c r="T72" s="123" t="str">
        <f t="shared" si="80"/>
        <v/>
      </c>
      <c r="U72" s="123" t="str">
        <f t="shared" si="80"/>
        <v/>
      </c>
      <c r="V72" s="122" t="str">
        <f t="shared" si="80"/>
        <v/>
      </c>
      <c r="W72" s="122" t="str">
        <f t="shared" si="80"/>
        <v/>
      </c>
      <c r="X72" s="122" t="str">
        <f t="shared" si="80"/>
        <v/>
      </c>
      <c r="Y72" s="122" t="str">
        <f t="shared" si="80"/>
        <v/>
      </c>
      <c r="Z72" s="122" t="str">
        <f t="shared" si="80"/>
        <v/>
      </c>
      <c r="AA72" s="122" t="str">
        <f t="shared" si="80"/>
        <v/>
      </c>
      <c r="AB72" s="122" t="str">
        <f t="shared" si="80"/>
        <v/>
      </c>
      <c r="AC72" s="122" t="str">
        <f t="shared" si="80"/>
        <v/>
      </c>
      <c r="AD72" s="122" t="str">
        <f t="shared" si="80"/>
        <v/>
      </c>
      <c r="AE72" s="122" t="str">
        <f t="shared" si="80"/>
        <v/>
      </c>
      <c r="AF72" s="122" t="str">
        <f t="shared" si="80"/>
        <v/>
      </c>
      <c r="AG72" s="122" t="str">
        <f t="shared" si="80"/>
        <v/>
      </c>
      <c r="AH72" s="122" t="str">
        <f t="shared" si="80"/>
        <v/>
      </c>
      <c r="AI72" s="122" t="str">
        <f t="shared" si="80"/>
        <v/>
      </c>
      <c r="AJ72" s="124" t="str">
        <f t="shared" si="80"/>
        <v/>
      </c>
      <c r="AK72" s="128" t="str">
        <f t="shared" si="80"/>
        <v/>
      </c>
      <c r="AL72" s="125" t="str">
        <f t="shared" si="80"/>
        <v/>
      </c>
      <c r="AM72" s="125" t="str">
        <f t="shared" si="80"/>
        <v/>
      </c>
      <c r="AN72" s="125" t="str">
        <f t="shared" si="80"/>
        <v/>
      </c>
      <c r="AO72" s="125" t="str">
        <f t="shared" si="80"/>
        <v/>
      </c>
      <c r="AP72" s="125" t="str">
        <f t="shared" si="80"/>
        <v/>
      </c>
      <c r="AQ72" s="126" t="str">
        <f t="shared" si="80"/>
        <v/>
      </c>
      <c r="AR72" s="127" t="str">
        <f t="shared" si="80"/>
        <v/>
      </c>
    </row>
    <row r="73" spans="1:44" hidden="1" x14ac:dyDescent="0.3">
      <c r="A73" s="42" t="str">
        <f t="shared" ref="A73" si="81">+IF(C73+C74=0,"[ocultar]","")</f>
        <v>[ocultar]</v>
      </c>
      <c r="B73" s="34" t="s">
        <v>162</v>
      </c>
      <c r="C73" s="33">
        <f t="array" ref="C73">SUM(IF($B73=DATOS_[Sexo],
IF($B72=DATOS_[AGRUP. CLAS. PROF.],
IF("Dentro"=DATOS_[Check Periodo Ref.],
1/(COUNTIFS(DATOS_[Sexo],$B73,DATOS_[AGRUP. CLAS. PROF.],$B72,DATOS_[Check Periodo Ref.],"Dentro",DATOS_[id],DATOS_[id]))))))</f>
        <v>0</v>
      </c>
      <c r="D73" s="35">
        <f>COUNTIFS(DATOS_[AGRUP. CLAS. PROF.],$B72,DATOS_[Sexo],$B73,DATOS_[Check Periodo Ref.],"Dentro")</f>
        <v>0</v>
      </c>
      <c r="E73" s="110">
        <f t="array" ref="E73">IFERROR(
MEDIAN(IF(DATOS_[Sexo]=$B73,IF(DATOS_[AGRUP. CLAS. PROF.]=$B72,IF(DATOS_[Check Periodo Ref.]="Dentro",DATOS_[SALARIO BASE Ef],FALSE)))),
0)</f>
        <v>0</v>
      </c>
      <c r="F73" s="111">
        <f t="array" ref="F73">IFERROR(
MEDIAN((IF(DATOS_[[Sexo]:[Sexo]]=$B73,IF(DATOS_[[AGRUP. CLAS. PROF.]:[AGRUP. CLAS. PROF.]]=$B72,IF(DATOS_[[Check Periodo Ref.]:[Check Periodo Ref.]]="Dentro",DATOS_[Conc.Sal.01]))))),
0)</f>
        <v>0</v>
      </c>
      <c r="G73" s="111">
        <f t="array" ref="G73">IFERROR(
MEDIAN((IF(DATOS_[[Sexo]:[Sexo]]=$B73,IF(DATOS_[[AGRUP. CLAS. PROF.]:[AGRUP. CLAS. PROF.]]=$B72,IF(DATOS_[[Check Periodo Ref.]:[Check Periodo Ref.]]="Dentro",DATOS_[Conc.Sal.02]))))),
0)</f>
        <v>0</v>
      </c>
      <c r="H73" s="111">
        <f t="array" ref="H73">IFERROR(
MEDIAN((IF(DATOS_[[Sexo]:[Sexo]]=$B73,IF(DATOS_[[AGRUP. CLAS. PROF.]:[AGRUP. CLAS. PROF.]]=$B72,IF(DATOS_[[Check Periodo Ref.]:[Check Periodo Ref.]]="Dentro",DATOS_[Conc.Sal.03]))))),
0)</f>
        <v>0</v>
      </c>
      <c r="I73" s="111">
        <f t="array" ref="I73">IFERROR(
MEDIAN((IF(DATOS_[[Sexo]:[Sexo]]=$B73,IF(DATOS_[[AGRUP. CLAS. PROF.]:[AGRUP. CLAS. PROF.]]=$B72,IF(DATOS_[[Check Periodo Ref.]:[Check Periodo Ref.]]="Dentro",DATOS_[Conc.Sal.04]))))),
0)</f>
        <v>0</v>
      </c>
      <c r="J73" s="111">
        <f t="array" ref="J73">IFERROR(
MEDIAN((IF(DATOS_[[Sexo]:[Sexo]]=$B73,IF(DATOS_[[AGRUP. CLAS. PROF.]:[AGRUP. CLAS. PROF.]]=$B72,IF(DATOS_[[Check Periodo Ref.]:[Check Periodo Ref.]]="Dentro",DATOS_[Conc.Sal.05]))))),
0)</f>
        <v>0</v>
      </c>
      <c r="K73" s="111">
        <f t="array" ref="K73">IFERROR(
MEDIAN((IF(DATOS_[[Sexo]:[Sexo]]=$B73,IF(DATOS_[[AGRUP. CLAS. PROF.]:[AGRUP. CLAS. PROF.]]=$B72,IF(DATOS_[[Check Periodo Ref.]:[Check Periodo Ref.]]="Dentro",DATOS_[Conc.Sal.06]))))),
0)</f>
        <v>0</v>
      </c>
      <c r="L73" s="111">
        <f t="array" ref="L73">IFERROR(
MEDIAN((IF(DATOS_[[Sexo]:[Sexo]]=$B73,IF(DATOS_[[AGRUP. CLAS. PROF.]:[AGRUP. CLAS. PROF.]]=$B72,IF(DATOS_[[Check Periodo Ref.]:[Check Periodo Ref.]]="Dentro",DATOS_[Conc.Sal.07]))))),
0)</f>
        <v>0</v>
      </c>
      <c r="M73" s="111">
        <f t="array" ref="M73">IFERROR(
MEDIAN((IF(DATOS_[[Sexo]:[Sexo]]=$B73,IF(DATOS_[[AGRUP. CLAS. PROF.]:[AGRUP. CLAS. PROF.]]=$B72,IF(DATOS_[[Check Periodo Ref.]:[Check Periodo Ref.]]="Dentro",DATOS_[Conc.Sal.08]))))),
0)</f>
        <v>0</v>
      </c>
      <c r="N73" s="111">
        <f t="array" ref="N73">IFERROR(
MEDIAN((IF(DATOS_[[Sexo]:[Sexo]]=$B73,IF(DATOS_[[AGRUP. CLAS. PROF.]:[AGRUP. CLAS. PROF.]]=$B72,IF(DATOS_[[Check Periodo Ref.]:[Check Periodo Ref.]]="Dentro",DATOS_[Conc.Sal.09]))))),
0)</f>
        <v>0</v>
      </c>
      <c r="O73" s="111">
        <f t="array" ref="O73">IFERROR(
MEDIAN((IF(DATOS_[[Sexo]:[Sexo]]=$B73,IF(DATOS_[[AGRUP. CLAS. PROF.]:[AGRUP. CLAS. PROF.]]=$B72,IF(DATOS_[[Check Periodo Ref.]:[Check Periodo Ref.]]="Dentro",DATOS_[Conc.Sal.10]))))),
0)</f>
        <v>0</v>
      </c>
      <c r="P73" s="111">
        <f t="array" ref="P73">IFERROR(
MEDIAN((IF(DATOS_[[Sexo]:[Sexo]]=$B73,IF(DATOS_[[AGRUP. CLAS. PROF.]:[AGRUP. CLAS. PROF.]]=$B72,IF(DATOS_[[Check Periodo Ref.]:[Check Periodo Ref.]]="Dentro",DATOS_[Conc.Sal.11]))))),
0)</f>
        <v>0</v>
      </c>
      <c r="Q73" s="111">
        <f t="array" ref="Q73">IFERROR(
MEDIAN((IF(DATOS_[[Sexo]:[Sexo]]=$B73,IF(DATOS_[[AGRUP. CLAS. PROF.]:[AGRUP. CLAS. PROF.]]=$B72,IF(DATOS_[[Check Periodo Ref.]:[Check Periodo Ref.]]="Dentro",DATOS_[Conc.Sal.12]))))),
0)</f>
        <v>0</v>
      </c>
      <c r="R73" s="111">
        <f t="array" ref="R73">IFERROR(
MEDIAN((IF(DATOS_[[Sexo]:[Sexo]]=$B73,IF(DATOS_[[AGRUP. CLAS. PROF.]:[AGRUP. CLAS. PROF.]]=$B72,IF(DATOS_[[Check Periodo Ref.]:[Check Periodo Ref.]]="Dentro",DATOS_[Conc.Sal.13]))))),
0)</f>
        <v>0</v>
      </c>
      <c r="S73" s="111">
        <f t="array" ref="S73">IFERROR(
MEDIAN((IF(DATOS_[[Sexo]:[Sexo]]=$B73,IF(DATOS_[[AGRUP. CLAS. PROF.]:[AGRUP. CLAS. PROF.]]=$B72,IF(DATOS_[[Check Periodo Ref.]:[Check Periodo Ref.]]="Dentro",DATOS_[Conc.Sal.14]))))),
0)</f>
        <v>0</v>
      </c>
      <c r="T73" s="111">
        <f t="array" ref="T73">IFERROR(
MEDIAN((IF(DATOS_[[Sexo]:[Sexo]]=$B73,IF(DATOS_[[AGRUP. CLAS. PROF.]:[AGRUP. CLAS. PROF.]]=$B72,IF(DATOS_[[Check Periodo Ref.]:[Check Periodo Ref.]]="Dentro",DATOS_[Conc.Sal.15]))))),
0)</f>
        <v>0</v>
      </c>
      <c r="U73" s="111">
        <f t="array" ref="U73">IFERROR(
MEDIAN((IF(DATOS_[[Sexo]:[Sexo]]=$B73,IF(DATOS_[[AGRUP. CLAS. PROF.]:[AGRUP. CLAS. PROF.]]=$B72,IF(DATOS_[[Check Periodo Ref.]:[Check Periodo Ref.]]="Dentro",DATOS_[Conc.Sal.16]))))),
0)</f>
        <v>0</v>
      </c>
      <c r="V73" s="111">
        <f t="array" ref="V73">IFERROR(
MEDIAN((IF(DATOS_[[Sexo]:[Sexo]]=$B73,IF(DATOS_[[AGRUP. CLAS. PROF.]:[AGRUP. CLAS. PROF.]]=$B72,IF(DATOS_[[Check Periodo Ref.]:[Check Periodo Ref.]]="Dentro",DATOS_[Conc.Sal.17]))))),
0)</f>
        <v>0</v>
      </c>
      <c r="W73" s="111">
        <f t="array" ref="W73">IFERROR(
MEDIAN((IF(DATOS_[[Sexo]:[Sexo]]=$B73,IF(DATOS_[[AGRUP. CLAS. PROF.]:[AGRUP. CLAS. PROF.]]=$B72,IF(DATOS_[[Check Periodo Ref.]:[Check Periodo Ref.]]="Dentro",DATOS_[Conc.Sal.18]))))),
0)</f>
        <v>0</v>
      </c>
      <c r="X73" s="111">
        <f t="array" ref="X73">IFERROR(
MEDIAN((IF(DATOS_[[Sexo]:[Sexo]]=$B73,IF(DATOS_[[AGRUP. CLAS. PROF.]:[AGRUP. CLAS. PROF.]]=$B72,IF(DATOS_[[Check Periodo Ref.]:[Check Periodo Ref.]]="Dentro",DATOS_[Conc.Sal.19]))))),
0)</f>
        <v>0</v>
      </c>
      <c r="Y73" s="111">
        <f t="array" ref="Y73">IFERROR(
MEDIAN((IF(DATOS_[[Sexo]:[Sexo]]=$B73,IF(DATOS_[[AGRUP. CLAS. PROF.]:[AGRUP. CLAS. PROF.]]=$B72,IF(DATOS_[[Check Periodo Ref.]:[Check Periodo Ref.]]="Dentro",DATOS_[Conc.Sal.20]))))),
0)</f>
        <v>0</v>
      </c>
      <c r="Z73" s="111">
        <f t="array" ref="Z73">IFERROR(
MEDIAN((IF(DATOS_[[Sexo]:[Sexo]]=$B73,IF(DATOS_[[AGRUP. CLAS. PROF.]:[AGRUP. CLAS. PROF.]]=$B72,IF(DATOS_[[Check Periodo Ref.]:[Check Periodo Ref.]]="Dentro",DATOS_[Conc.Sal.21]))))),
0)</f>
        <v>0</v>
      </c>
      <c r="AA73" s="111">
        <f t="array" ref="AA73">IFERROR(
MEDIAN((IF(DATOS_[[Sexo]:[Sexo]]=$B73,IF(DATOS_[[AGRUP. CLAS. PROF.]:[AGRUP. CLAS. PROF.]]=$B72,IF(DATOS_[[Check Periodo Ref.]:[Check Periodo Ref.]]="Dentro",DATOS_[Conc.Sal.22]))))),
0)</f>
        <v>0</v>
      </c>
      <c r="AB73" s="111">
        <f t="array" ref="AB73">IFERROR(
MEDIAN((IF(DATOS_[[Sexo]:[Sexo]]=$B73,IF(DATOS_[[AGRUP. CLAS. PROF.]:[AGRUP. CLAS. PROF.]]=$B72,IF(DATOS_[[Check Periodo Ref.]:[Check Periodo Ref.]]="Dentro",DATOS_[Conc.Sal.23]))))),
0)</f>
        <v>0</v>
      </c>
      <c r="AC73" s="111">
        <f t="array" ref="AC73">IFERROR(
MEDIAN((IF(DATOS_[[Sexo]:[Sexo]]=$B73,IF(DATOS_[[AGRUP. CLAS. PROF.]:[AGRUP. CLAS. PROF.]]=$B72,IF(DATOS_[[Check Periodo Ref.]:[Check Periodo Ref.]]="Dentro",DATOS_[Conc.Sal.24]))))),
0)</f>
        <v>0</v>
      </c>
      <c r="AD73" s="111">
        <f t="array" ref="AD73">IFERROR(
MEDIAN((IF(DATOS_[[Sexo]:[Sexo]]=$B73,IF(DATOS_[[AGRUP. CLAS. PROF.]:[AGRUP. CLAS. PROF.]]=$B72,IF(DATOS_[[Check Periodo Ref.]:[Check Periodo Ref.]]="Dentro",DATOS_[Conc.Sal.25]))))),
0)</f>
        <v>0</v>
      </c>
      <c r="AE73" s="111">
        <f t="array" ref="AE73">IFERROR(
MEDIAN((IF(DATOS_[[Sexo]:[Sexo]]=$B73,IF(DATOS_[[AGRUP. CLAS. PROF.]:[AGRUP. CLAS. PROF.]]=$B72,IF(DATOS_[[Check Periodo Ref.]:[Check Periodo Ref.]]="Dentro",DATOS_[Conc.Sal.26]))))),
0)</f>
        <v>0</v>
      </c>
      <c r="AF73" s="111">
        <f t="array" ref="AF73">IFERROR(
MEDIAN((IF(DATOS_[[Sexo]:[Sexo]]=$B73,IF(DATOS_[[AGRUP. CLAS. PROF.]:[AGRUP. CLAS. PROF.]]=$B72,IF(DATOS_[[Check Periodo Ref.]:[Check Periodo Ref.]]="Dentro",DATOS_[Conc.Sal.27]))))),
0)</f>
        <v>0</v>
      </c>
      <c r="AG73" s="111">
        <f t="array" ref="AG73">IFERROR(
MEDIAN((IF(DATOS_[[Sexo]:[Sexo]]=$B73,IF(DATOS_[[AGRUP. CLAS. PROF.]:[AGRUP. CLAS. PROF.]]=$B72,IF(DATOS_[[Check Periodo Ref.]:[Check Periodo Ref.]]="Dentro",DATOS_[Conc.Sal.28]))))),
0)</f>
        <v>0</v>
      </c>
      <c r="AH73" s="111">
        <f t="array" ref="AH73">IFERROR(
MEDIAN((IF(DATOS_[[Sexo]:[Sexo]]=$B73,IF(DATOS_[[AGRUP. CLAS. PROF.]:[AGRUP. CLAS. PROF.]]=$B72,IF(DATOS_[[Check Periodo Ref.]:[Check Periodo Ref.]]="Dentro",DATOS_[Conc.Sal.29]))))),
0)</f>
        <v>0</v>
      </c>
      <c r="AI73" s="111">
        <f t="array" ref="AI73">IFERROR(
MEDIAN((IF(DATOS_[[Sexo]:[Sexo]]=$B73,IF(DATOS_[[AGRUP. CLAS. PROF.]:[AGRUP. CLAS. PROF.]]=$B72,IF(DATOS_[[Check Periodo Ref.]:[Check Periodo Ref.]]="Dentro",DATOS_[Conc.Sal.30]))))),
0)</f>
        <v>0</v>
      </c>
      <c r="AJ73" s="112">
        <f t="array" ref="AJ73">IFERROR(
MEDIAN(IF(DATOS_[Sexo]=$B73,IF(DATOS_[AGRUP. CLAS. PROF.]=$B72,IF(DATOS_[Check Periodo Ref.]="Dentro",DATOS_[Tot COMPL.SAL Ef],FALSE)))),
0)</f>
        <v>0</v>
      </c>
      <c r="AK73" s="113">
        <f t="array" ref="AK73">IFERROR(
MEDIAN(IF(DATOS_[Sexo]=$B73,IF(DATOS_[AGRUP. CLAS. PROF.]=$B72,IF(DATOS_[Check Periodo Ref.]="Dentro",DATOS_[TOTAL SALARIO Ef],FALSE)))),
0)</f>
        <v>0</v>
      </c>
      <c r="AL73" s="114">
        <f t="array" ref="AL73">IFERROR(
MEDIAN((IF(DATOS_[[Sexo]:[Sexo]]=$B73,IF(DATOS_[[AGRUP. CLAS. PROF.]:[AGRUP. CLAS. PROF.]]=$B72,IF(DATOS_[[Check Periodo Ref.]:[Check Periodo Ref.]]="Dentro",DATOS_[C.Extra.01]))))),
0)</f>
        <v>0</v>
      </c>
      <c r="AM73" s="114">
        <f t="array" ref="AM73">IFERROR(
MEDIAN((IF(DATOS_[[Sexo]:[Sexo]]=$B73,IF(DATOS_[[AGRUP. CLAS. PROF.]:[AGRUP. CLAS. PROF.]]=$B72,IF(DATOS_[[Check Periodo Ref.]:[Check Periodo Ref.]]="Dentro",DATOS_[C.Extra.02]))))),
0)</f>
        <v>0</v>
      </c>
      <c r="AN73" s="114">
        <f t="array" ref="AN73">IFERROR(
MEDIAN((IF(DATOS_[[Sexo]:[Sexo]]=$B73,IF(DATOS_[[AGRUP. CLAS. PROF.]:[AGRUP. CLAS. PROF.]]=$B72,IF(DATOS_[[Check Periodo Ref.]:[Check Periodo Ref.]]="Dentro",DATOS_[C.Extra.03]))))),
0)</f>
        <v>0</v>
      </c>
      <c r="AO73" s="114">
        <f t="array" ref="AO73">IFERROR(
MEDIAN((IF(DATOS_[[Sexo]:[Sexo]]=$B73,IF(DATOS_[[AGRUP. CLAS. PROF.]:[AGRUP. CLAS. PROF.]]=$B72,IF(DATOS_[[Check Periodo Ref.]:[Check Periodo Ref.]]="Dentro",DATOS_[C.Extra.04]))))),
0)</f>
        <v>0</v>
      </c>
      <c r="AP73" s="114">
        <f t="array" ref="AP73">IFERROR(
MEDIAN((IF(DATOS_[[Sexo]:[Sexo]]=$B73,IF(DATOS_[[AGRUP. CLAS. PROF.]:[AGRUP. CLAS. PROF.]]=$B72,IF(DATOS_[[Check Periodo Ref.]:[Check Periodo Ref.]]="Dentro",DATOS_[C.Extra.05]))))),
0)</f>
        <v>0</v>
      </c>
      <c r="AQ73" s="115">
        <f t="array" ref="AQ73">IFERROR(
MEDIAN(IF(DATOS_[Sexo]=$B73,IF(DATOS_[AGRUP. CLAS. PROF.]=$B72,IF(DATOS_[Check Periodo Ref.]="Dentro",DATOS_[Tot Extrasalarial Ef],FALSE)))),
0)</f>
        <v>0</v>
      </c>
      <c r="AR73" s="116">
        <f t="array" ref="AR73">IFERROR(
MEDIAN(IF(DATOS_[Sexo]=$B73,IF(DATOS_[AGRUP. CLAS. PROF.]=$B72,IF(DATOS_[Check Periodo Ref.]="Dentro",DATOS_[TOTAL Retrib Ef],FALSE)))),
0)</f>
        <v>0</v>
      </c>
    </row>
    <row r="74" spans="1:44" hidden="1" x14ac:dyDescent="0.3">
      <c r="A74" s="42" t="str">
        <f t="shared" ref="A74" si="82">+A73</f>
        <v>[ocultar]</v>
      </c>
      <c r="B74" s="34" t="s">
        <v>163</v>
      </c>
      <c r="C74" s="33">
        <f t="array" ref="C74">SUM(IF($B74=DATOS_[Sexo],
IF($B72=DATOS_[AGRUP. CLAS. PROF.],
IF("Dentro"=DATOS_[Check Periodo Ref.],
1/(COUNTIFS(DATOS_[Sexo],$B74,DATOS_[AGRUP. CLAS. PROF.],$B72,DATOS_[Check Periodo Ref.],"Dentro",DATOS_[id],DATOS_[id]))))))</f>
        <v>0</v>
      </c>
      <c r="D74" s="35">
        <f>COUNTIFS(DATOS_[AGRUP. CLAS. PROF.],$B72,DATOS_[Sexo],$B74,DATOS_[Check Periodo Ref.],"Dentro")</f>
        <v>0</v>
      </c>
      <c r="E74" s="110">
        <f t="array" ref="E74">IFERROR(
MEDIAN(IF(DATOS_[Sexo]=$B74,IF(DATOS_[AGRUP. CLAS. PROF.]=$B72,IF(DATOS_[Check Periodo Ref.]="Dentro",DATOS_[SALARIO BASE Ef],FALSE)))),
0)</f>
        <v>0</v>
      </c>
      <c r="F74" s="111">
        <f t="array" ref="F74">IFERROR(
MEDIAN((IF(DATOS_[[Sexo]:[Sexo]]=$B74,IF(DATOS_[[AGRUP. CLAS. PROF.]:[AGRUP. CLAS. PROF.]]=$B72,IF(DATOS_[[Check Periodo Ref.]:[Check Periodo Ref.]]="Dentro",DATOS_[Conc.Sal.01]))))),
0)</f>
        <v>0</v>
      </c>
      <c r="G74" s="111">
        <f t="array" ref="G74">IFERROR(
MEDIAN((IF(DATOS_[[Sexo]:[Sexo]]=$B74,IF(DATOS_[[AGRUP. CLAS. PROF.]:[AGRUP. CLAS. PROF.]]=$B72,IF(DATOS_[[Check Periodo Ref.]:[Check Periodo Ref.]]="Dentro",DATOS_[Conc.Sal.02]))))),
0)</f>
        <v>0</v>
      </c>
      <c r="H74" s="111">
        <f t="array" ref="H74">IFERROR(
MEDIAN((IF(DATOS_[[Sexo]:[Sexo]]=$B74,IF(DATOS_[[AGRUP. CLAS. PROF.]:[AGRUP. CLAS. PROF.]]=$B72,IF(DATOS_[[Check Periodo Ref.]:[Check Periodo Ref.]]="Dentro",DATOS_[Conc.Sal.03]))))),
0)</f>
        <v>0</v>
      </c>
      <c r="I74" s="111">
        <f t="array" ref="I74">IFERROR(
MEDIAN((IF(DATOS_[[Sexo]:[Sexo]]=$B74,IF(DATOS_[[AGRUP. CLAS. PROF.]:[AGRUP. CLAS. PROF.]]=$B72,IF(DATOS_[[Check Periodo Ref.]:[Check Periodo Ref.]]="Dentro",DATOS_[Conc.Sal.04]))))),
0)</f>
        <v>0</v>
      </c>
      <c r="J74" s="111">
        <f t="array" ref="J74">IFERROR(
MEDIAN((IF(DATOS_[[Sexo]:[Sexo]]=$B74,IF(DATOS_[[AGRUP. CLAS. PROF.]:[AGRUP. CLAS. PROF.]]=$B72,IF(DATOS_[[Check Periodo Ref.]:[Check Periodo Ref.]]="Dentro",DATOS_[Conc.Sal.05]))))),
0)</f>
        <v>0</v>
      </c>
      <c r="K74" s="111">
        <f t="array" ref="K74">IFERROR(
MEDIAN((IF(DATOS_[[Sexo]:[Sexo]]=$B74,IF(DATOS_[[AGRUP. CLAS. PROF.]:[AGRUP. CLAS. PROF.]]=$B72,IF(DATOS_[[Check Periodo Ref.]:[Check Periodo Ref.]]="Dentro",DATOS_[Conc.Sal.06]))))),
0)</f>
        <v>0</v>
      </c>
      <c r="L74" s="111">
        <f t="array" ref="L74">IFERROR(
MEDIAN((IF(DATOS_[[Sexo]:[Sexo]]=$B74,IF(DATOS_[[AGRUP. CLAS. PROF.]:[AGRUP. CLAS. PROF.]]=$B72,IF(DATOS_[[Check Periodo Ref.]:[Check Periodo Ref.]]="Dentro",DATOS_[Conc.Sal.07]))))),
0)</f>
        <v>0</v>
      </c>
      <c r="M74" s="111">
        <f t="array" ref="M74">IFERROR(
MEDIAN((IF(DATOS_[[Sexo]:[Sexo]]=$B74,IF(DATOS_[[AGRUP. CLAS. PROF.]:[AGRUP. CLAS. PROF.]]=$B72,IF(DATOS_[[Check Periodo Ref.]:[Check Periodo Ref.]]="Dentro",DATOS_[Conc.Sal.08]))))),
0)</f>
        <v>0</v>
      </c>
      <c r="N74" s="111">
        <f t="array" ref="N74">IFERROR(
MEDIAN((IF(DATOS_[[Sexo]:[Sexo]]=$B74,IF(DATOS_[[AGRUP. CLAS. PROF.]:[AGRUP. CLAS. PROF.]]=$B72,IF(DATOS_[[Check Periodo Ref.]:[Check Periodo Ref.]]="Dentro",DATOS_[Conc.Sal.09]))))),
0)</f>
        <v>0</v>
      </c>
      <c r="O74" s="111">
        <f t="array" ref="O74">IFERROR(
MEDIAN((IF(DATOS_[[Sexo]:[Sexo]]=$B74,IF(DATOS_[[AGRUP. CLAS. PROF.]:[AGRUP. CLAS. PROF.]]=$B72,IF(DATOS_[[Check Periodo Ref.]:[Check Periodo Ref.]]="Dentro",DATOS_[Conc.Sal.10]))))),
0)</f>
        <v>0</v>
      </c>
      <c r="P74" s="111">
        <f t="array" ref="P74">IFERROR(
MEDIAN((IF(DATOS_[[Sexo]:[Sexo]]=$B74,IF(DATOS_[[AGRUP. CLAS. PROF.]:[AGRUP. CLAS. PROF.]]=$B72,IF(DATOS_[[Check Periodo Ref.]:[Check Periodo Ref.]]="Dentro",DATOS_[Conc.Sal.11]))))),
0)</f>
        <v>0</v>
      </c>
      <c r="Q74" s="111">
        <f t="array" ref="Q74">IFERROR(
MEDIAN((IF(DATOS_[[Sexo]:[Sexo]]=$B74,IF(DATOS_[[AGRUP. CLAS. PROF.]:[AGRUP. CLAS. PROF.]]=$B72,IF(DATOS_[[Check Periodo Ref.]:[Check Periodo Ref.]]="Dentro",DATOS_[Conc.Sal.12]))))),
0)</f>
        <v>0</v>
      </c>
      <c r="R74" s="111">
        <f t="array" ref="R74">IFERROR(
MEDIAN((IF(DATOS_[[Sexo]:[Sexo]]=$B74,IF(DATOS_[[AGRUP. CLAS. PROF.]:[AGRUP. CLAS. PROF.]]=$B72,IF(DATOS_[[Check Periodo Ref.]:[Check Periodo Ref.]]="Dentro",DATOS_[Conc.Sal.13]))))),
0)</f>
        <v>0</v>
      </c>
      <c r="S74" s="111">
        <f t="array" ref="S74">IFERROR(
MEDIAN((IF(DATOS_[[Sexo]:[Sexo]]=$B74,IF(DATOS_[[AGRUP. CLAS. PROF.]:[AGRUP. CLAS. PROF.]]=$B72,IF(DATOS_[[Check Periodo Ref.]:[Check Periodo Ref.]]="Dentro",DATOS_[Conc.Sal.14]))))),
0)</f>
        <v>0</v>
      </c>
      <c r="T74" s="111">
        <f t="array" ref="T74">IFERROR(
MEDIAN((IF(DATOS_[[Sexo]:[Sexo]]=$B74,IF(DATOS_[[AGRUP. CLAS. PROF.]:[AGRUP. CLAS. PROF.]]=$B72,IF(DATOS_[[Check Periodo Ref.]:[Check Periodo Ref.]]="Dentro",DATOS_[Conc.Sal.15]))))),
0)</f>
        <v>0</v>
      </c>
      <c r="U74" s="111">
        <f t="array" ref="U74">IFERROR(
MEDIAN((IF(DATOS_[[Sexo]:[Sexo]]=$B74,IF(DATOS_[[AGRUP. CLAS. PROF.]:[AGRUP. CLAS. PROF.]]=$B72,IF(DATOS_[[Check Periodo Ref.]:[Check Periodo Ref.]]="Dentro",DATOS_[Conc.Sal.16]))))),
0)</f>
        <v>0</v>
      </c>
      <c r="V74" s="111">
        <f t="array" ref="V74">IFERROR(
MEDIAN((IF(DATOS_[[Sexo]:[Sexo]]=$B74,IF(DATOS_[[AGRUP. CLAS. PROF.]:[AGRUP. CLAS. PROF.]]=$B72,IF(DATOS_[[Check Periodo Ref.]:[Check Periodo Ref.]]="Dentro",DATOS_[Conc.Sal.17]))))),
0)</f>
        <v>0</v>
      </c>
      <c r="W74" s="111">
        <f t="array" ref="W74">IFERROR(
MEDIAN((IF(DATOS_[[Sexo]:[Sexo]]=$B74,IF(DATOS_[[AGRUP. CLAS. PROF.]:[AGRUP. CLAS. PROF.]]=$B72,IF(DATOS_[[Check Periodo Ref.]:[Check Periodo Ref.]]="Dentro",DATOS_[Conc.Sal.18]))))),
0)</f>
        <v>0</v>
      </c>
      <c r="X74" s="111">
        <f t="array" ref="X74">IFERROR(
MEDIAN((IF(DATOS_[[Sexo]:[Sexo]]=$B74,IF(DATOS_[[AGRUP. CLAS. PROF.]:[AGRUP. CLAS. PROF.]]=$B72,IF(DATOS_[[Check Periodo Ref.]:[Check Periodo Ref.]]="Dentro",DATOS_[Conc.Sal.19]))))),
0)</f>
        <v>0</v>
      </c>
      <c r="Y74" s="111">
        <f t="array" ref="Y74">IFERROR(
MEDIAN((IF(DATOS_[[Sexo]:[Sexo]]=$B74,IF(DATOS_[[AGRUP. CLAS. PROF.]:[AGRUP. CLAS. PROF.]]=$B72,IF(DATOS_[[Check Periodo Ref.]:[Check Periodo Ref.]]="Dentro",DATOS_[Conc.Sal.20]))))),
0)</f>
        <v>0</v>
      </c>
      <c r="Z74" s="111">
        <f t="array" ref="Z74">IFERROR(
MEDIAN((IF(DATOS_[[Sexo]:[Sexo]]=$B74,IF(DATOS_[[AGRUP. CLAS. PROF.]:[AGRUP. CLAS. PROF.]]=$B72,IF(DATOS_[[Check Periodo Ref.]:[Check Periodo Ref.]]="Dentro",DATOS_[Conc.Sal.21]))))),
0)</f>
        <v>0</v>
      </c>
      <c r="AA74" s="111">
        <f t="array" ref="AA74">IFERROR(
MEDIAN((IF(DATOS_[[Sexo]:[Sexo]]=$B74,IF(DATOS_[[AGRUP. CLAS. PROF.]:[AGRUP. CLAS. PROF.]]=$B72,IF(DATOS_[[Check Periodo Ref.]:[Check Periodo Ref.]]="Dentro",DATOS_[Conc.Sal.22]))))),
0)</f>
        <v>0</v>
      </c>
      <c r="AB74" s="111">
        <f t="array" ref="AB74">IFERROR(
MEDIAN((IF(DATOS_[[Sexo]:[Sexo]]=$B74,IF(DATOS_[[AGRUP. CLAS. PROF.]:[AGRUP. CLAS. PROF.]]=$B72,IF(DATOS_[[Check Periodo Ref.]:[Check Periodo Ref.]]="Dentro",DATOS_[Conc.Sal.23]))))),
0)</f>
        <v>0</v>
      </c>
      <c r="AC74" s="111">
        <f t="array" ref="AC74">IFERROR(
MEDIAN((IF(DATOS_[[Sexo]:[Sexo]]=$B74,IF(DATOS_[[AGRUP. CLAS. PROF.]:[AGRUP. CLAS. PROF.]]=$B72,IF(DATOS_[[Check Periodo Ref.]:[Check Periodo Ref.]]="Dentro",DATOS_[Conc.Sal.24]))))),
0)</f>
        <v>0</v>
      </c>
      <c r="AD74" s="111">
        <f t="array" ref="AD74">IFERROR(
MEDIAN((IF(DATOS_[[Sexo]:[Sexo]]=$B74,IF(DATOS_[[AGRUP. CLAS. PROF.]:[AGRUP. CLAS. PROF.]]=$B72,IF(DATOS_[[Check Periodo Ref.]:[Check Periodo Ref.]]="Dentro",DATOS_[Conc.Sal.25]))))),
0)</f>
        <v>0</v>
      </c>
      <c r="AE74" s="111">
        <f t="array" ref="AE74">IFERROR(
MEDIAN((IF(DATOS_[[Sexo]:[Sexo]]=$B74,IF(DATOS_[[AGRUP. CLAS. PROF.]:[AGRUP. CLAS. PROF.]]=$B72,IF(DATOS_[[Check Periodo Ref.]:[Check Periodo Ref.]]="Dentro",DATOS_[Conc.Sal.26]))))),
0)</f>
        <v>0</v>
      </c>
      <c r="AF74" s="111">
        <f t="array" ref="AF74">IFERROR(
MEDIAN((IF(DATOS_[[Sexo]:[Sexo]]=$B74,IF(DATOS_[[AGRUP. CLAS. PROF.]:[AGRUP. CLAS. PROF.]]=$B72,IF(DATOS_[[Check Periodo Ref.]:[Check Periodo Ref.]]="Dentro",DATOS_[Conc.Sal.27]))))),
0)</f>
        <v>0</v>
      </c>
      <c r="AG74" s="111">
        <f t="array" ref="AG74">IFERROR(
MEDIAN((IF(DATOS_[[Sexo]:[Sexo]]=$B74,IF(DATOS_[[AGRUP. CLAS. PROF.]:[AGRUP. CLAS. PROF.]]=$B72,IF(DATOS_[[Check Periodo Ref.]:[Check Periodo Ref.]]="Dentro",DATOS_[Conc.Sal.28]))))),
0)</f>
        <v>0</v>
      </c>
      <c r="AH74" s="111">
        <f t="array" ref="AH74">IFERROR(
MEDIAN((IF(DATOS_[[Sexo]:[Sexo]]=$B74,IF(DATOS_[[AGRUP. CLAS. PROF.]:[AGRUP. CLAS. PROF.]]=$B72,IF(DATOS_[[Check Periodo Ref.]:[Check Periodo Ref.]]="Dentro",DATOS_[Conc.Sal.29]))))),
0)</f>
        <v>0</v>
      </c>
      <c r="AI74" s="111">
        <f t="array" ref="AI74">IFERROR(
MEDIAN((IF(DATOS_[[Sexo]:[Sexo]]=$B74,IF(DATOS_[[AGRUP. CLAS. PROF.]:[AGRUP. CLAS. PROF.]]=$B72,IF(DATOS_[[Check Periodo Ref.]:[Check Periodo Ref.]]="Dentro",DATOS_[Conc.Sal.30]))))),
0)</f>
        <v>0</v>
      </c>
      <c r="AJ74" s="112">
        <f t="array" ref="AJ74">IFERROR(
MEDIAN(IF(DATOS_[Sexo]=$B74,IF(DATOS_[AGRUP. CLAS. PROF.]=$B72,IF(DATOS_[Check Periodo Ref.]="Dentro",DATOS_[Tot COMPL.SAL Ef],FALSE)))),
0)</f>
        <v>0</v>
      </c>
      <c r="AK74" s="113">
        <f t="array" ref="AK74">IFERROR(
MEDIAN(IF(DATOS_[Sexo]=$B74,IF(DATOS_[AGRUP. CLAS. PROF.]=$B72,IF(DATOS_[Check Periodo Ref.]="Dentro",DATOS_[TOTAL SALARIO Ef],FALSE)))),
0)</f>
        <v>0</v>
      </c>
      <c r="AL74" s="114">
        <f t="array" ref="AL74">IFERROR(
MEDIAN((IF(DATOS_[[Sexo]:[Sexo]]=$B74,IF(DATOS_[[AGRUP. CLAS. PROF.]:[AGRUP. CLAS. PROF.]]=$B72,IF(DATOS_[[Check Periodo Ref.]:[Check Periodo Ref.]]="Dentro",DATOS_[C.Extra.01]))))),
0)</f>
        <v>0</v>
      </c>
      <c r="AM74" s="114">
        <f t="array" ref="AM74">IFERROR(
MEDIAN((IF(DATOS_[[Sexo]:[Sexo]]=$B74,IF(DATOS_[[AGRUP. CLAS. PROF.]:[AGRUP. CLAS. PROF.]]=$B72,IF(DATOS_[[Check Periodo Ref.]:[Check Periodo Ref.]]="Dentro",DATOS_[C.Extra.02]))))),
0)</f>
        <v>0</v>
      </c>
      <c r="AN74" s="114">
        <f t="array" ref="AN74">IFERROR(
MEDIAN((IF(DATOS_[[Sexo]:[Sexo]]=$B74,IF(DATOS_[[AGRUP. CLAS. PROF.]:[AGRUP. CLAS. PROF.]]=$B72,IF(DATOS_[[Check Periodo Ref.]:[Check Periodo Ref.]]="Dentro",DATOS_[C.Extra.03]))))),
0)</f>
        <v>0</v>
      </c>
      <c r="AO74" s="114">
        <f t="array" ref="AO74">IFERROR(
MEDIAN((IF(DATOS_[[Sexo]:[Sexo]]=$B74,IF(DATOS_[[AGRUP. CLAS. PROF.]:[AGRUP. CLAS. PROF.]]=$B72,IF(DATOS_[[Check Periodo Ref.]:[Check Periodo Ref.]]="Dentro",DATOS_[C.Extra.04]))))),
0)</f>
        <v>0</v>
      </c>
      <c r="AP74" s="114">
        <f t="array" ref="AP74">IFERROR(
MEDIAN((IF(DATOS_[[Sexo]:[Sexo]]=$B74,IF(DATOS_[[AGRUP. CLAS. PROF.]:[AGRUP. CLAS. PROF.]]=$B72,IF(DATOS_[[Check Periodo Ref.]:[Check Periodo Ref.]]="Dentro",DATOS_[C.Extra.05]))))),
0)</f>
        <v>0</v>
      </c>
      <c r="AQ74" s="115">
        <f t="array" ref="AQ74">IFERROR(
MEDIAN(IF(DATOS_[Sexo]=$B74,IF(DATOS_[AGRUP. CLAS. PROF.]=$B72,IF(DATOS_[Check Periodo Ref.]="Dentro",DATOS_[Tot Extrasalarial Ef],FALSE)))),
0)</f>
        <v>0</v>
      </c>
      <c r="AR74" s="116">
        <f t="array" ref="AR74">IFERROR(
MEDIAN(IF(DATOS_[Sexo]=$B74,IF(DATOS_[AGRUP. CLAS. PROF.]=$B72,IF(DATOS_[Check Periodo Ref.]="Dentro",DATOS_[TOTAL Retrib Ef],FALSE)))),
0)</f>
        <v>0</v>
      </c>
    </row>
    <row r="75" spans="1:44" ht="17.25" hidden="1" thickBot="1" x14ac:dyDescent="0.35">
      <c r="A75" s="42" t="str">
        <f t="shared" ref="A75" si="83">+A76</f>
        <v>[ocultar]</v>
      </c>
      <c r="B75" s="40" t="s">
        <v>237</v>
      </c>
      <c r="C75" s="109"/>
      <c r="D75" s="41"/>
      <c r="E75" s="119" t="str">
        <f t="shared" ref="E75:AR75" si="84">IFERROR((E76-E77)/E76,"")</f>
        <v/>
      </c>
      <c r="F75" s="123" t="str">
        <f t="shared" si="84"/>
        <v/>
      </c>
      <c r="G75" s="123" t="str">
        <f t="shared" si="84"/>
        <v/>
      </c>
      <c r="H75" s="123" t="str">
        <f t="shared" si="84"/>
        <v/>
      </c>
      <c r="I75" s="123" t="str">
        <f t="shared" si="84"/>
        <v/>
      </c>
      <c r="J75" s="123" t="str">
        <f t="shared" si="84"/>
        <v/>
      </c>
      <c r="K75" s="123" t="str">
        <f t="shared" si="84"/>
        <v/>
      </c>
      <c r="L75" s="123" t="str">
        <f t="shared" si="84"/>
        <v/>
      </c>
      <c r="M75" s="123" t="str">
        <f t="shared" si="84"/>
        <v/>
      </c>
      <c r="N75" s="123" t="str">
        <f t="shared" si="84"/>
        <v/>
      </c>
      <c r="O75" s="123" t="str">
        <f t="shared" si="84"/>
        <v/>
      </c>
      <c r="P75" s="123" t="str">
        <f t="shared" si="84"/>
        <v/>
      </c>
      <c r="Q75" s="123" t="str">
        <f t="shared" si="84"/>
        <v/>
      </c>
      <c r="R75" s="123" t="str">
        <f t="shared" si="84"/>
        <v/>
      </c>
      <c r="S75" s="123" t="str">
        <f t="shared" si="84"/>
        <v/>
      </c>
      <c r="T75" s="123" t="str">
        <f t="shared" si="84"/>
        <v/>
      </c>
      <c r="U75" s="123" t="str">
        <f t="shared" si="84"/>
        <v/>
      </c>
      <c r="V75" s="122" t="str">
        <f t="shared" si="84"/>
        <v/>
      </c>
      <c r="W75" s="122" t="str">
        <f t="shared" si="84"/>
        <v/>
      </c>
      <c r="X75" s="122" t="str">
        <f t="shared" si="84"/>
        <v/>
      </c>
      <c r="Y75" s="122" t="str">
        <f t="shared" si="84"/>
        <v/>
      </c>
      <c r="Z75" s="122" t="str">
        <f t="shared" si="84"/>
        <v/>
      </c>
      <c r="AA75" s="122" t="str">
        <f t="shared" si="84"/>
        <v/>
      </c>
      <c r="AB75" s="122" t="str">
        <f t="shared" si="84"/>
        <v/>
      </c>
      <c r="AC75" s="122" t="str">
        <f t="shared" si="84"/>
        <v/>
      </c>
      <c r="AD75" s="122" t="str">
        <f t="shared" si="84"/>
        <v/>
      </c>
      <c r="AE75" s="122" t="str">
        <f t="shared" si="84"/>
        <v/>
      </c>
      <c r="AF75" s="122" t="str">
        <f t="shared" si="84"/>
        <v/>
      </c>
      <c r="AG75" s="122" t="str">
        <f t="shared" si="84"/>
        <v/>
      </c>
      <c r="AH75" s="122" t="str">
        <f t="shared" si="84"/>
        <v/>
      </c>
      <c r="AI75" s="122" t="str">
        <f t="shared" si="84"/>
        <v/>
      </c>
      <c r="AJ75" s="124" t="str">
        <f t="shared" si="84"/>
        <v/>
      </c>
      <c r="AK75" s="128" t="str">
        <f t="shared" si="84"/>
        <v/>
      </c>
      <c r="AL75" s="125" t="str">
        <f t="shared" si="84"/>
        <v/>
      </c>
      <c r="AM75" s="125" t="str">
        <f t="shared" si="84"/>
        <v/>
      </c>
      <c r="AN75" s="125" t="str">
        <f t="shared" si="84"/>
        <v/>
      </c>
      <c r="AO75" s="125" t="str">
        <f t="shared" si="84"/>
        <v/>
      </c>
      <c r="AP75" s="125" t="str">
        <f t="shared" si="84"/>
        <v/>
      </c>
      <c r="AQ75" s="126" t="str">
        <f t="shared" si="84"/>
        <v/>
      </c>
      <c r="AR75" s="127" t="str">
        <f t="shared" si="84"/>
        <v/>
      </c>
    </row>
    <row r="76" spans="1:44" hidden="1" x14ac:dyDescent="0.3">
      <c r="A76" s="42" t="str">
        <f t="shared" ref="A76" si="85">+IF(C76+C77=0,"[ocultar]","")</f>
        <v>[ocultar]</v>
      </c>
      <c r="B76" s="34" t="s">
        <v>162</v>
      </c>
      <c r="C76" s="33">
        <f t="array" ref="C76">SUM(IF($B76=DATOS_[Sexo],
IF($B75=DATOS_[AGRUP. CLAS. PROF.],
IF("Dentro"=DATOS_[Check Periodo Ref.],
1/(COUNTIFS(DATOS_[Sexo],$B76,DATOS_[AGRUP. CLAS. PROF.],$B75,DATOS_[Check Periodo Ref.],"Dentro",DATOS_[id],DATOS_[id]))))))</f>
        <v>0</v>
      </c>
      <c r="D76" s="35">
        <f>COUNTIFS(DATOS_[AGRUP. CLAS. PROF.],$B75,DATOS_[Sexo],$B76,DATOS_[Check Periodo Ref.],"Dentro")</f>
        <v>0</v>
      </c>
      <c r="E76" s="110">
        <f t="array" ref="E76">IFERROR(
MEDIAN(IF(DATOS_[Sexo]=$B76,IF(DATOS_[AGRUP. CLAS. PROF.]=$B75,IF(DATOS_[Check Periodo Ref.]="Dentro",DATOS_[SALARIO BASE Ef],FALSE)))),
0)</f>
        <v>0</v>
      </c>
      <c r="F76" s="111">
        <f t="array" ref="F76">IFERROR(
MEDIAN((IF(DATOS_[[Sexo]:[Sexo]]=$B76,IF(DATOS_[[AGRUP. CLAS. PROF.]:[AGRUP. CLAS. PROF.]]=$B75,IF(DATOS_[[Check Periodo Ref.]:[Check Periodo Ref.]]="Dentro",DATOS_[Conc.Sal.01]))))),
0)</f>
        <v>0</v>
      </c>
      <c r="G76" s="111">
        <f t="array" ref="G76">IFERROR(
MEDIAN((IF(DATOS_[[Sexo]:[Sexo]]=$B76,IF(DATOS_[[AGRUP. CLAS. PROF.]:[AGRUP. CLAS. PROF.]]=$B75,IF(DATOS_[[Check Periodo Ref.]:[Check Periodo Ref.]]="Dentro",DATOS_[Conc.Sal.02]))))),
0)</f>
        <v>0</v>
      </c>
      <c r="H76" s="111">
        <f t="array" ref="H76">IFERROR(
MEDIAN((IF(DATOS_[[Sexo]:[Sexo]]=$B76,IF(DATOS_[[AGRUP. CLAS. PROF.]:[AGRUP. CLAS. PROF.]]=$B75,IF(DATOS_[[Check Periodo Ref.]:[Check Periodo Ref.]]="Dentro",DATOS_[Conc.Sal.03]))))),
0)</f>
        <v>0</v>
      </c>
      <c r="I76" s="111">
        <f t="array" ref="I76">IFERROR(
MEDIAN((IF(DATOS_[[Sexo]:[Sexo]]=$B76,IF(DATOS_[[AGRUP. CLAS. PROF.]:[AGRUP. CLAS. PROF.]]=$B75,IF(DATOS_[[Check Periodo Ref.]:[Check Periodo Ref.]]="Dentro",DATOS_[Conc.Sal.04]))))),
0)</f>
        <v>0</v>
      </c>
      <c r="J76" s="111">
        <f t="array" ref="J76">IFERROR(
MEDIAN((IF(DATOS_[[Sexo]:[Sexo]]=$B76,IF(DATOS_[[AGRUP. CLAS. PROF.]:[AGRUP. CLAS. PROF.]]=$B75,IF(DATOS_[[Check Periodo Ref.]:[Check Periodo Ref.]]="Dentro",DATOS_[Conc.Sal.05]))))),
0)</f>
        <v>0</v>
      </c>
      <c r="K76" s="111">
        <f t="array" ref="K76">IFERROR(
MEDIAN((IF(DATOS_[[Sexo]:[Sexo]]=$B76,IF(DATOS_[[AGRUP. CLAS. PROF.]:[AGRUP. CLAS. PROF.]]=$B75,IF(DATOS_[[Check Periodo Ref.]:[Check Periodo Ref.]]="Dentro",DATOS_[Conc.Sal.06]))))),
0)</f>
        <v>0</v>
      </c>
      <c r="L76" s="111">
        <f t="array" ref="L76">IFERROR(
MEDIAN((IF(DATOS_[[Sexo]:[Sexo]]=$B76,IF(DATOS_[[AGRUP. CLAS. PROF.]:[AGRUP. CLAS. PROF.]]=$B75,IF(DATOS_[[Check Periodo Ref.]:[Check Periodo Ref.]]="Dentro",DATOS_[Conc.Sal.07]))))),
0)</f>
        <v>0</v>
      </c>
      <c r="M76" s="111">
        <f t="array" ref="M76">IFERROR(
MEDIAN((IF(DATOS_[[Sexo]:[Sexo]]=$B76,IF(DATOS_[[AGRUP. CLAS. PROF.]:[AGRUP. CLAS. PROF.]]=$B75,IF(DATOS_[[Check Periodo Ref.]:[Check Periodo Ref.]]="Dentro",DATOS_[Conc.Sal.08]))))),
0)</f>
        <v>0</v>
      </c>
      <c r="N76" s="111">
        <f t="array" ref="N76">IFERROR(
MEDIAN((IF(DATOS_[[Sexo]:[Sexo]]=$B76,IF(DATOS_[[AGRUP. CLAS. PROF.]:[AGRUP. CLAS. PROF.]]=$B75,IF(DATOS_[[Check Periodo Ref.]:[Check Periodo Ref.]]="Dentro",DATOS_[Conc.Sal.09]))))),
0)</f>
        <v>0</v>
      </c>
      <c r="O76" s="111">
        <f t="array" ref="O76">IFERROR(
MEDIAN((IF(DATOS_[[Sexo]:[Sexo]]=$B76,IF(DATOS_[[AGRUP. CLAS. PROF.]:[AGRUP. CLAS. PROF.]]=$B75,IF(DATOS_[[Check Periodo Ref.]:[Check Periodo Ref.]]="Dentro",DATOS_[Conc.Sal.10]))))),
0)</f>
        <v>0</v>
      </c>
      <c r="P76" s="111">
        <f t="array" ref="P76">IFERROR(
MEDIAN((IF(DATOS_[[Sexo]:[Sexo]]=$B76,IF(DATOS_[[AGRUP. CLAS. PROF.]:[AGRUP. CLAS. PROF.]]=$B75,IF(DATOS_[[Check Periodo Ref.]:[Check Periodo Ref.]]="Dentro",DATOS_[Conc.Sal.11]))))),
0)</f>
        <v>0</v>
      </c>
      <c r="Q76" s="111">
        <f t="array" ref="Q76">IFERROR(
MEDIAN((IF(DATOS_[[Sexo]:[Sexo]]=$B76,IF(DATOS_[[AGRUP. CLAS. PROF.]:[AGRUP. CLAS. PROF.]]=$B75,IF(DATOS_[[Check Periodo Ref.]:[Check Periodo Ref.]]="Dentro",DATOS_[Conc.Sal.12]))))),
0)</f>
        <v>0</v>
      </c>
      <c r="R76" s="111">
        <f t="array" ref="R76">IFERROR(
MEDIAN((IF(DATOS_[[Sexo]:[Sexo]]=$B76,IF(DATOS_[[AGRUP. CLAS. PROF.]:[AGRUP. CLAS. PROF.]]=$B75,IF(DATOS_[[Check Periodo Ref.]:[Check Periodo Ref.]]="Dentro",DATOS_[Conc.Sal.13]))))),
0)</f>
        <v>0</v>
      </c>
      <c r="S76" s="111">
        <f t="array" ref="S76">IFERROR(
MEDIAN((IF(DATOS_[[Sexo]:[Sexo]]=$B76,IF(DATOS_[[AGRUP. CLAS. PROF.]:[AGRUP. CLAS. PROF.]]=$B75,IF(DATOS_[[Check Periodo Ref.]:[Check Periodo Ref.]]="Dentro",DATOS_[Conc.Sal.14]))))),
0)</f>
        <v>0</v>
      </c>
      <c r="T76" s="111">
        <f t="array" ref="T76">IFERROR(
MEDIAN((IF(DATOS_[[Sexo]:[Sexo]]=$B76,IF(DATOS_[[AGRUP. CLAS. PROF.]:[AGRUP. CLAS. PROF.]]=$B75,IF(DATOS_[[Check Periodo Ref.]:[Check Periodo Ref.]]="Dentro",DATOS_[Conc.Sal.15]))))),
0)</f>
        <v>0</v>
      </c>
      <c r="U76" s="111">
        <f t="array" ref="U76">IFERROR(
MEDIAN((IF(DATOS_[[Sexo]:[Sexo]]=$B76,IF(DATOS_[[AGRUP. CLAS. PROF.]:[AGRUP. CLAS. PROF.]]=$B75,IF(DATOS_[[Check Periodo Ref.]:[Check Periodo Ref.]]="Dentro",DATOS_[Conc.Sal.16]))))),
0)</f>
        <v>0</v>
      </c>
      <c r="V76" s="111">
        <f t="array" ref="V76">IFERROR(
MEDIAN((IF(DATOS_[[Sexo]:[Sexo]]=$B76,IF(DATOS_[[AGRUP. CLAS. PROF.]:[AGRUP. CLAS. PROF.]]=$B75,IF(DATOS_[[Check Periodo Ref.]:[Check Periodo Ref.]]="Dentro",DATOS_[Conc.Sal.17]))))),
0)</f>
        <v>0</v>
      </c>
      <c r="W76" s="111">
        <f t="array" ref="W76">IFERROR(
MEDIAN((IF(DATOS_[[Sexo]:[Sexo]]=$B76,IF(DATOS_[[AGRUP. CLAS. PROF.]:[AGRUP. CLAS. PROF.]]=$B75,IF(DATOS_[[Check Periodo Ref.]:[Check Periodo Ref.]]="Dentro",DATOS_[Conc.Sal.18]))))),
0)</f>
        <v>0</v>
      </c>
      <c r="X76" s="111">
        <f t="array" ref="X76">IFERROR(
MEDIAN((IF(DATOS_[[Sexo]:[Sexo]]=$B76,IF(DATOS_[[AGRUP. CLAS. PROF.]:[AGRUP. CLAS. PROF.]]=$B75,IF(DATOS_[[Check Periodo Ref.]:[Check Periodo Ref.]]="Dentro",DATOS_[Conc.Sal.19]))))),
0)</f>
        <v>0</v>
      </c>
      <c r="Y76" s="111">
        <f t="array" ref="Y76">IFERROR(
MEDIAN((IF(DATOS_[[Sexo]:[Sexo]]=$B76,IF(DATOS_[[AGRUP. CLAS. PROF.]:[AGRUP. CLAS. PROF.]]=$B75,IF(DATOS_[[Check Periodo Ref.]:[Check Periodo Ref.]]="Dentro",DATOS_[Conc.Sal.20]))))),
0)</f>
        <v>0</v>
      </c>
      <c r="Z76" s="111">
        <f t="array" ref="Z76">IFERROR(
MEDIAN((IF(DATOS_[[Sexo]:[Sexo]]=$B76,IF(DATOS_[[AGRUP. CLAS. PROF.]:[AGRUP. CLAS. PROF.]]=$B75,IF(DATOS_[[Check Periodo Ref.]:[Check Periodo Ref.]]="Dentro",DATOS_[Conc.Sal.21]))))),
0)</f>
        <v>0</v>
      </c>
      <c r="AA76" s="111">
        <f t="array" ref="AA76">IFERROR(
MEDIAN((IF(DATOS_[[Sexo]:[Sexo]]=$B76,IF(DATOS_[[AGRUP. CLAS. PROF.]:[AGRUP. CLAS. PROF.]]=$B75,IF(DATOS_[[Check Periodo Ref.]:[Check Periodo Ref.]]="Dentro",DATOS_[Conc.Sal.22]))))),
0)</f>
        <v>0</v>
      </c>
      <c r="AB76" s="111">
        <f t="array" ref="AB76">IFERROR(
MEDIAN((IF(DATOS_[[Sexo]:[Sexo]]=$B76,IF(DATOS_[[AGRUP. CLAS. PROF.]:[AGRUP. CLAS. PROF.]]=$B75,IF(DATOS_[[Check Periodo Ref.]:[Check Periodo Ref.]]="Dentro",DATOS_[Conc.Sal.23]))))),
0)</f>
        <v>0</v>
      </c>
      <c r="AC76" s="111">
        <f t="array" ref="AC76">IFERROR(
MEDIAN((IF(DATOS_[[Sexo]:[Sexo]]=$B76,IF(DATOS_[[AGRUP. CLAS. PROF.]:[AGRUP. CLAS. PROF.]]=$B75,IF(DATOS_[[Check Periodo Ref.]:[Check Periodo Ref.]]="Dentro",DATOS_[Conc.Sal.24]))))),
0)</f>
        <v>0</v>
      </c>
      <c r="AD76" s="111">
        <f t="array" ref="AD76">IFERROR(
MEDIAN((IF(DATOS_[[Sexo]:[Sexo]]=$B76,IF(DATOS_[[AGRUP. CLAS. PROF.]:[AGRUP. CLAS. PROF.]]=$B75,IF(DATOS_[[Check Periodo Ref.]:[Check Periodo Ref.]]="Dentro",DATOS_[Conc.Sal.25]))))),
0)</f>
        <v>0</v>
      </c>
      <c r="AE76" s="111">
        <f t="array" ref="AE76">IFERROR(
MEDIAN((IF(DATOS_[[Sexo]:[Sexo]]=$B76,IF(DATOS_[[AGRUP. CLAS. PROF.]:[AGRUP. CLAS. PROF.]]=$B75,IF(DATOS_[[Check Periodo Ref.]:[Check Periodo Ref.]]="Dentro",DATOS_[Conc.Sal.26]))))),
0)</f>
        <v>0</v>
      </c>
      <c r="AF76" s="111">
        <f t="array" ref="AF76">IFERROR(
MEDIAN((IF(DATOS_[[Sexo]:[Sexo]]=$B76,IF(DATOS_[[AGRUP. CLAS. PROF.]:[AGRUP. CLAS. PROF.]]=$B75,IF(DATOS_[[Check Periodo Ref.]:[Check Periodo Ref.]]="Dentro",DATOS_[Conc.Sal.27]))))),
0)</f>
        <v>0</v>
      </c>
      <c r="AG76" s="111">
        <f t="array" ref="AG76">IFERROR(
MEDIAN((IF(DATOS_[[Sexo]:[Sexo]]=$B76,IF(DATOS_[[AGRUP. CLAS. PROF.]:[AGRUP. CLAS. PROF.]]=$B75,IF(DATOS_[[Check Periodo Ref.]:[Check Periodo Ref.]]="Dentro",DATOS_[Conc.Sal.28]))))),
0)</f>
        <v>0</v>
      </c>
      <c r="AH76" s="111">
        <f t="array" ref="AH76">IFERROR(
MEDIAN((IF(DATOS_[[Sexo]:[Sexo]]=$B76,IF(DATOS_[[AGRUP. CLAS. PROF.]:[AGRUP. CLAS. PROF.]]=$B75,IF(DATOS_[[Check Periodo Ref.]:[Check Periodo Ref.]]="Dentro",DATOS_[Conc.Sal.29]))))),
0)</f>
        <v>0</v>
      </c>
      <c r="AI76" s="111">
        <f t="array" ref="AI76">IFERROR(
MEDIAN((IF(DATOS_[[Sexo]:[Sexo]]=$B76,IF(DATOS_[[AGRUP. CLAS. PROF.]:[AGRUP. CLAS. PROF.]]=$B75,IF(DATOS_[[Check Periodo Ref.]:[Check Periodo Ref.]]="Dentro",DATOS_[Conc.Sal.30]))))),
0)</f>
        <v>0</v>
      </c>
      <c r="AJ76" s="112">
        <f t="array" ref="AJ76">IFERROR(
MEDIAN(IF(DATOS_[Sexo]=$B76,IF(DATOS_[AGRUP. CLAS. PROF.]=$B75,IF(DATOS_[Check Periodo Ref.]="Dentro",DATOS_[Tot COMPL.SAL Ef],FALSE)))),
0)</f>
        <v>0</v>
      </c>
      <c r="AK76" s="113">
        <f t="array" ref="AK76">IFERROR(
MEDIAN(IF(DATOS_[Sexo]=$B76,IF(DATOS_[AGRUP. CLAS. PROF.]=$B75,IF(DATOS_[Check Periodo Ref.]="Dentro",DATOS_[TOTAL SALARIO Ef],FALSE)))),
0)</f>
        <v>0</v>
      </c>
      <c r="AL76" s="114">
        <f t="array" ref="AL76">IFERROR(
MEDIAN((IF(DATOS_[[Sexo]:[Sexo]]=$B76,IF(DATOS_[[AGRUP. CLAS. PROF.]:[AGRUP. CLAS. PROF.]]=$B75,IF(DATOS_[[Check Periodo Ref.]:[Check Periodo Ref.]]="Dentro",DATOS_[C.Extra.01]))))),
0)</f>
        <v>0</v>
      </c>
      <c r="AM76" s="114">
        <f t="array" ref="AM76">IFERROR(
MEDIAN((IF(DATOS_[[Sexo]:[Sexo]]=$B76,IF(DATOS_[[AGRUP. CLAS. PROF.]:[AGRUP. CLAS. PROF.]]=$B75,IF(DATOS_[[Check Periodo Ref.]:[Check Periodo Ref.]]="Dentro",DATOS_[C.Extra.02]))))),
0)</f>
        <v>0</v>
      </c>
      <c r="AN76" s="114">
        <f t="array" ref="AN76">IFERROR(
MEDIAN((IF(DATOS_[[Sexo]:[Sexo]]=$B76,IF(DATOS_[[AGRUP. CLAS. PROF.]:[AGRUP. CLAS. PROF.]]=$B75,IF(DATOS_[[Check Periodo Ref.]:[Check Periodo Ref.]]="Dentro",DATOS_[C.Extra.03]))))),
0)</f>
        <v>0</v>
      </c>
      <c r="AO76" s="114">
        <f t="array" ref="AO76">IFERROR(
MEDIAN((IF(DATOS_[[Sexo]:[Sexo]]=$B76,IF(DATOS_[[AGRUP. CLAS. PROF.]:[AGRUP. CLAS. PROF.]]=$B75,IF(DATOS_[[Check Periodo Ref.]:[Check Periodo Ref.]]="Dentro",DATOS_[C.Extra.04]))))),
0)</f>
        <v>0</v>
      </c>
      <c r="AP76" s="114">
        <f t="array" ref="AP76">IFERROR(
MEDIAN((IF(DATOS_[[Sexo]:[Sexo]]=$B76,IF(DATOS_[[AGRUP. CLAS. PROF.]:[AGRUP. CLAS. PROF.]]=$B75,IF(DATOS_[[Check Periodo Ref.]:[Check Periodo Ref.]]="Dentro",DATOS_[C.Extra.05]))))),
0)</f>
        <v>0</v>
      </c>
      <c r="AQ76" s="115">
        <f t="array" ref="AQ76">IFERROR(
MEDIAN(IF(DATOS_[Sexo]=$B76,IF(DATOS_[AGRUP. CLAS. PROF.]=$B75,IF(DATOS_[Check Periodo Ref.]="Dentro",DATOS_[Tot Extrasalarial Ef],FALSE)))),
0)</f>
        <v>0</v>
      </c>
      <c r="AR76" s="116">
        <f t="array" ref="AR76">IFERROR(
MEDIAN(IF(DATOS_[Sexo]=$B76,IF(DATOS_[AGRUP. CLAS. PROF.]=$B75,IF(DATOS_[Check Periodo Ref.]="Dentro",DATOS_[TOTAL Retrib Ef],FALSE)))),
0)</f>
        <v>0</v>
      </c>
    </row>
    <row r="77" spans="1:44" hidden="1" x14ac:dyDescent="0.3">
      <c r="A77" s="42" t="str">
        <f t="shared" ref="A77" si="86">+A76</f>
        <v>[ocultar]</v>
      </c>
      <c r="B77" s="34" t="s">
        <v>163</v>
      </c>
      <c r="C77" s="33">
        <f t="array" ref="C77">SUM(IF($B77=DATOS_[Sexo],
IF($B75=DATOS_[AGRUP. CLAS. PROF.],
IF("Dentro"=DATOS_[Check Periodo Ref.],
1/(COUNTIFS(DATOS_[Sexo],$B77,DATOS_[AGRUP. CLAS. PROF.],$B75,DATOS_[Check Periodo Ref.],"Dentro",DATOS_[id],DATOS_[id]))))))</f>
        <v>0</v>
      </c>
      <c r="D77" s="35">
        <f>COUNTIFS(DATOS_[AGRUP. CLAS. PROF.],$B75,DATOS_[Sexo],$B77,DATOS_[Check Periodo Ref.],"Dentro")</f>
        <v>0</v>
      </c>
      <c r="E77" s="110">
        <f t="array" ref="E77">IFERROR(
MEDIAN(IF(DATOS_[Sexo]=$B77,IF(DATOS_[AGRUP. CLAS. PROF.]=$B75,IF(DATOS_[Check Periodo Ref.]="Dentro",DATOS_[SALARIO BASE Ef],FALSE)))),
0)</f>
        <v>0</v>
      </c>
      <c r="F77" s="111">
        <f t="array" ref="F77">IFERROR(
MEDIAN((IF(DATOS_[[Sexo]:[Sexo]]=$B77,IF(DATOS_[[AGRUP. CLAS. PROF.]:[AGRUP. CLAS. PROF.]]=$B75,IF(DATOS_[[Check Periodo Ref.]:[Check Periodo Ref.]]="Dentro",DATOS_[Conc.Sal.01]))))),
0)</f>
        <v>0</v>
      </c>
      <c r="G77" s="111">
        <f t="array" ref="G77">IFERROR(
MEDIAN((IF(DATOS_[[Sexo]:[Sexo]]=$B77,IF(DATOS_[[AGRUP. CLAS. PROF.]:[AGRUP. CLAS. PROF.]]=$B75,IF(DATOS_[[Check Periodo Ref.]:[Check Periodo Ref.]]="Dentro",DATOS_[Conc.Sal.02]))))),
0)</f>
        <v>0</v>
      </c>
      <c r="H77" s="111">
        <f t="array" ref="H77">IFERROR(
MEDIAN((IF(DATOS_[[Sexo]:[Sexo]]=$B77,IF(DATOS_[[AGRUP. CLAS. PROF.]:[AGRUP. CLAS. PROF.]]=$B75,IF(DATOS_[[Check Periodo Ref.]:[Check Periodo Ref.]]="Dentro",DATOS_[Conc.Sal.03]))))),
0)</f>
        <v>0</v>
      </c>
      <c r="I77" s="111">
        <f t="array" ref="I77">IFERROR(
MEDIAN((IF(DATOS_[[Sexo]:[Sexo]]=$B77,IF(DATOS_[[AGRUP. CLAS. PROF.]:[AGRUP. CLAS. PROF.]]=$B75,IF(DATOS_[[Check Periodo Ref.]:[Check Periodo Ref.]]="Dentro",DATOS_[Conc.Sal.04]))))),
0)</f>
        <v>0</v>
      </c>
      <c r="J77" s="111">
        <f t="array" ref="J77">IFERROR(
MEDIAN((IF(DATOS_[[Sexo]:[Sexo]]=$B77,IF(DATOS_[[AGRUP. CLAS. PROF.]:[AGRUP. CLAS. PROF.]]=$B75,IF(DATOS_[[Check Periodo Ref.]:[Check Periodo Ref.]]="Dentro",DATOS_[Conc.Sal.05]))))),
0)</f>
        <v>0</v>
      </c>
      <c r="K77" s="111">
        <f t="array" ref="K77">IFERROR(
MEDIAN((IF(DATOS_[[Sexo]:[Sexo]]=$B77,IF(DATOS_[[AGRUP. CLAS. PROF.]:[AGRUP. CLAS. PROF.]]=$B75,IF(DATOS_[[Check Periodo Ref.]:[Check Periodo Ref.]]="Dentro",DATOS_[Conc.Sal.06]))))),
0)</f>
        <v>0</v>
      </c>
      <c r="L77" s="111">
        <f t="array" ref="L77">IFERROR(
MEDIAN((IF(DATOS_[[Sexo]:[Sexo]]=$B77,IF(DATOS_[[AGRUP. CLAS. PROF.]:[AGRUP. CLAS. PROF.]]=$B75,IF(DATOS_[[Check Periodo Ref.]:[Check Periodo Ref.]]="Dentro",DATOS_[Conc.Sal.07]))))),
0)</f>
        <v>0</v>
      </c>
      <c r="M77" s="111">
        <f t="array" ref="M77">IFERROR(
MEDIAN((IF(DATOS_[[Sexo]:[Sexo]]=$B77,IF(DATOS_[[AGRUP. CLAS. PROF.]:[AGRUP. CLAS. PROF.]]=$B75,IF(DATOS_[[Check Periodo Ref.]:[Check Periodo Ref.]]="Dentro",DATOS_[Conc.Sal.08]))))),
0)</f>
        <v>0</v>
      </c>
      <c r="N77" s="111">
        <f t="array" ref="N77">IFERROR(
MEDIAN((IF(DATOS_[[Sexo]:[Sexo]]=$B77,IF(DATOS_[[AGRUP. CLAS. PROF.]:[AGRUP. CLAS. PROF.]]=$B75,IF(DATOS_[[Check Periodo Ref.]:[Check Periodo Ref.]]="Dentro",DATOS_[Conc.Sal.09]))))),
0)</f>
        <v>0</v>
      </c>
      <c r="O77" s="111">
        <f t="array" ref="O77">IFERROR(
MEDIAN((IF(DATOS_[[Sexo]:[Sexo]]=$B77,IF(DATOS_[[AGRUP. CLAS. PROF.]:[AGRUP. CLAS. PROF.]]=$B75,IF(DATOS_[[Check Periodo Ref.]:[Check Periodo Ref.]]="Dentro",DATOS_[Conc.Sal.10]))))),
0)</f>
        <v>0</v>
      </c>
      <c r="P77" s="111">
        <f t="array" ref="P77">IFERROR(
MEDIAN((IF(DATOS_[[Sexo]:[Sexo]]=$B77,IF(DATOS_[[AGRUP. CLAS. PROF.]:[AGRUP. CLAS. PROF.]]=$B75,IF(DATOS_[[Check Periodo Ref.]:[Check Periodo Ref.]]="Dentro",DATOS_[Conc.Sal.11]))))),
0)</f>
        <v>0</v>
      </c>
      <c r="Q77" s="111">
        <f t="array" ref="Q77">IFERROR(
MEDIAN((IF(DATOS_[[Sexo]:[Sexo]]=$B77,IF(DATOS_[[AGRUP. CLAS. PROF.]:[AGRUP. CLAS. PROF.]]=$B75,IF(DATOS_[[Check Periodo Ref.]:[Check Periodo Ref.]]="Dentro",DATOS_[Conc.Sal.12]))))),
0)</f>
        <v>0</v>
      </c>
      <c r="R77" s="111">
        <f t="array" ref="R77">IFERROR(
MEDIAN((IF(DATOS_[[Sexo]:[Sexo]]=$B77,IF(DATOS_[[AGRUP. CLAS. PROF.]:[AGRUP. CLAS. PROF.]]=$B75,IF(DATOS_[[Check Periodo Ref.]:[Check Periodo Ref.]]="Dentro",DATOS_[Conc.Sal.13]))))),
0)</f>
        <v>0</v>
      </c>
      <c r="S77" s="111">
        <f t="array" ref="S77">IFERROR(
MEDIAN((IF(DATOS_[[Sexo]:[Sexo]]=$B77,IF(DATOS_[[AGRUP. CLAS. PROF.]:[AGRUP. CLAS. PROF.]]=$B75,IF(DATOS_[[Check Periodo Ref.]:[Check Periodo Ref.]]="Dentro",DATOS_[Conc.Sal.14]))))),
0)</f>
        <v>0</v>
      </c>
      <c r="T77" s="111">
        <f t="array" ref="T77">IFERROR(
MEDIAN((IF(DATOS_[[Sexo]:[Sexo]]=$B77,IF(DATOS_[[AGRUP. CLAS. PROF.]:[AGRUP. CLAS. PROF.]]=$B75,IF(DATOS_[[Check Periodo Ref.]:[Check Periodo Ref.]]="Dentro",DATOS_[Conc.Sal.15]))))),
0)</f>
        <v>0</v>
      </c>
      <c r="U77" s="111">
        <f t="array" ref="U77">IFERROR(
MEDIAN((IF(DATOS_[[Sexo]:[Sexo]]=$B77,IF(DATOS_[[AGRUP. CLAS. PROF.]:[AGRUP. CLAS. PROF.]]=$B75,IF(DATOS_[[Check Periodo Ref.]:[Check Periodo Ref.]]="Dentro",DATOS_[Conc.Sal.16]))))),
0)</f>
        <v>0</v>
      </c>
      <c r="V77" s="111">
        <f t="array" ref="V77">IFERROR(
MEDIAN((IF(DATOS_[[Sexo]:[Sexo]]=$B77,IF(DATOS_[[AGRUP. CLAS. PROF.]:[AGRUP. CLAS. PROF.]]=$B75,IF(DATOS_[[Check Periodo Ref.]:[Check Periodo Ref.]]="Dentro",DATOS_[Conc.Sal.17]))))),
0)</f>
        <v>0</v>
      </c>
      <c r="W77" s="111">
        <f t="array" ref="W77">IFERROR(
MEDIAN((IF(DATOS_[[Sexo]:[Sexo]]=$B77,IF(DATOS_[[AGRUP. CLAS. PROF.]:[AGRUP. CLAS. PROF.]]=$B75,IF(DATOS_[[Check Periodo Ref.]:[Check Periodo Ref.]]="Dentro",DATOS_[Conc.Sal.18]))))),
0)</f>
        <v>0</v>
      </c>
      <c r="X77" s="111">
        <f t="array" ref="X77">IFERROR(
MEDIAN((IF(DATOS_[[Sexo]:[Sexo]]=$B77,IF(DATOS_[[AGRUP. CLAS. PROF.]:[AGRUP. CLAS. PROF.]]=$B75,IF(DATOS_[[Check Periodo Ref.]:[Check Periodo Ref.]]="Dentro",DATOS_[Conc.Sal.19]))))),
0)</f>
        <v>0</v>
      </c>
      <c r="Y77" s="111">
        <f t="array" ref="Y77">IFERROR(
MEDIAN((IF(DATOS_[[Sexo]:[Sexo]]=$B77,IF(DATOS_[[AGRUP. CLAS. PROF.]:[AGRUP. CLAS. PROF.]]=$B75,IF(DATOS_[[Check Periodo Ref.]:[Check Periodo Ref.]]="Dentro",DATOS_[Conc.Sal.20]))))),
0)</f>
        <v>0</v>
      </c>
      <c r="Z77" s="111">
        <f t="array" ref="Z77">IFERROR(
MEDIAN((IF(DATOS_[[Sexo]:[Sexo]]=$B77,IF(DATOS_[[AGRUP. CLAS. PROF.]:[AGRUP. CLAS. PROF.]]=$B75,IF(DATOS_[[Check Periodo Ref.]:[Check Periodo Ref.]]="Dentro",DATOS_[Conc.Sal.21]))))),
0)</f>
        <v>0</v>
      </c>
      <c r="AA77" s="111">
        <f t="array" ref="AA77">IFERROR(
MEDIAN((IF(DATOS_[[Sexo]:[Sexo]]=$B77,IF(DATOS_[[AGRUP. CLAS. PROF.]:[AGRUP. CLAS. PROF.]]=$B75,IF(DATOS_[[Check Periodo Ref.]:[Check Periodo Ref.]]="Dentro",DATOS_[Conc.Sal.22]))))),
0)</f>
        <v>0</v>
      </c>
      <c r="AB77" s="111">
        <f t="array" ref="AB77">IFERROR(
MEDIAN((IF(DATOS_[[Sexo]:[Sexo]]=$B77,IF(DATOS_[[AGRUP. CLAS. PROF.]:[AGRUP. CLAS. PROF.]]=$B75,IF(DATOS_[[Check Periodo Ref.]:[Check Periodo Ref.]]="Dentro",DATOS_[Conc.Sal.23]))))),
0)</f>
        <v>0</v>
      </c>
      <c r="AC77" s="111">
        <f t="array" ref="AC77">IFERROR(
MEDIAN((IF(DATOS_[[Sexo]:[Sexo]]=$B77,IF(DATOS_[[AGRUP. CLAS. PROF.]:[AGRUP. CLAS. PROF.]]=$B75,IF(DATOS_[[Check Periodo Ref.]:[Check Periodo Ref.]]="Dentro",DATOS_[Conc.Sal.24]))))),
0)</f>
        <v>0</v>
      </c>
      <c r="AD77" s="111">
        <f t="array" ref="AD77">IFERROR(
MEDIAN((IF(DATOS_[[Sexo]:[Sexo]]=$B77,IF(DATOS_[[AGRUP. CLAS. PROF.]:[AGRUP. CLAS. PROF.]]=$B75,IF(DATOS_[[Check Periodo Ref.]:[Check Periodo Ref.]]="Dentro",DATOS_[Conc.Sal.25]))))),
0)</f>
        <v>0</v>
      </c>
      <c r="AE77" s="111">
        <f t="array" ref="AE77">IFERROR(
MEDIAN((IF(DATOS_[[Sexo]:[Sexo]]=$B77,IF(DATOS_[[AGRUP. CLAS. PROF.]:[AGRUP. CLAS. PROF.]]=$B75,IF(DATOS_[[Check Periodo Ref.]:[Check Periodo Ref.]]="Dentro",DATOS_[Conc.Sal.26]))))),
0)</f>
        <v>0</v>
      </c>
      <c r="AF77" s="111">
        <f t="array" ref="AF77">IFERROR(
MEDIAN((IF(DATOS_[[Sexo]:[Sexo]]=$B77,IF(DATOS_[[AGRUP. CLAS. PROF.]:[AGRUP. CLAS. PROF.]]=$B75,IF(DATOS_[[Check Periodo Ref.]:[Check Periodo Ref.]]="Dentro",DATOS_[Conc.Sal.27]))))),
0)</f>
        <v>0</v>
      </c>
      <c r="AG77" s="111">
        <f t="array" ref="AG77">IFERROR(
MEDIAN((IF(DATOS_[[Sexo]:[Sexo]]=$B77,IF(DATOS_[[AGRUP. CLAS. PROF.]:[AGRUP. CLAS. PROF.]]=$B75,IF(DATOS_[[Check Periodo Ref.]:[Check Periodo Ref.]]="Dentro",DATOS_[Conc.Sal.28]))))),
0)</f>
        <v>0</v>
      </c>
      <c r="AH77" s="111">
        <f t="array" ref="AH77">IFERROR(
MEDIAN((IF(DATOS_[[Sexo]:[Sexo]]=$B77,IF(DATOS_[[AGRUP. CLAS. PROF.]:[AGRUP. CLAS. PROF.]]=$B75,IF(DATOS_[[Check Periodo Ref.]:[Check Periodo Ref.]]="Dentro",DATOS_[Conc.Sal.29]))))),
0)</f>
        <v>0</v>
      </c>
      <c r="AI77" s="111">
        <f t="array" ref="AI77">IFERROR(
MEDIAN((IF(DATOS_[[Sexo]:[Sexo]]=$B77,IF(DATOS_[[AGRUP. CLAS. PROF.]:[AGRUP. CLAS. PROF.]]=$B75,IF(DATOS_[[Check Periodo Ref.]:[Check Periodo Ref.]]="Dentro",DATOS_[Conc.Sal.30]))))),
0)</f>
        <v>0</v>
      </c>
      <c r="AJ77" s="112">
        <f t="array" ref="AJ77">IFERROR(
MEDIAN(IF(DATOS_[Sexo]=$B77,IF(DATOS_[AGRUP. CLAS. PROF.]=$B75,IF(DATOS_[Check Periodo Ref.]="Dentro",DATOS_[Tot COMPL.SAL Ef],FALSE)))),
0)</f>
        <v>0</v>
      </c>
      <c r="AK77" s="113">
        <f t="array" ref="AK77">IFERROR(
MEDIAN(IF(DATOS_[Sexo]=$B77,IF(DATOS_[AGRUP. CLAS. PROF.]=$B75,IF(DATOS_[Check Periodo Ref.]="Dentro",DATOS_[TOTAL SALARIO Ef],FALSE)))),
0)</f>
        <v>0</v>
      </c>
      <c r="AL77" s="114">
        <f t="array" ref="AL77">IFERROR(
MEDIAN((IF(DATOS_[[Sexo]:[Sexo]]=$B77,IF(DATOS_[[AGRUP. CLAS. PROF.]:[AGRUP. CLAS. PROF.]]=$B75,IF(DATOS_[[Check Periodo Ref.]:[Check Periodo Ref.]]="Dentro",DATOS_[C.Extra.01]))))),
0)</f>
        <v>0</v>
      </c>
      <c r="AM77" s="114">
        <f t="array" ref="AM77">IFERROR(
MEDIAN((IF(DATOS_[[Sexo]:[Sexo]]=$B77,IF(DATOS_[[AGRUP. CLAS. PROF.]:[AGRUP. CLAS. PROF.]]=$B75,IF(DATOS_[[Check Periodo Ref.]:[Check Periodo Ref.]]="Dentro",DATOS_[C.Extra.02]))))),
0)</f>
        <v>0</v>
      </c>
      <c r="AN77" s="114">
        <f t="array" ref="AN77">IFERROR(
MEDIAN((IF(DATOS_[[Sexo]:[Sexo]]=$B77,IF(DATOS_[[AGRUP. CLAS. PROF.]:[AGRUP. CLAS. PROF.]]=$B75,IF(DATOS_[[Check Periodo Ref.]:[Check Periodo Ref.]]="Dentro",DATOS_[C.Extra.03]))))),
0)</f>
        <v>0</v>
      </c>
      <c r="AO77" s="114">
        <f t="array" ref="AO77">IFERROR(
MEDIAN((IF(DATOS_[[Sexo]:[Sexo]]=$B77,IF(DATOS_[[AGRUP. CLAS. PROF.]:[AGRUP. CLAS. PROF.]]=$B75,IF(DATOS_[[Check Periodo Ref.]:[Check Periodo Ref.]]="Dentro",DATOS_[C.Extra.04]))))),
0)</f>
        <v>0</v>
      </c>
      <c r="AP77" s="114">
        <f t="array" ref="AP77">IFERROR(
MEDIAN((IF(DATOS_[[Sexo]:[Sexo]]=$B77,IF(DATOS_[[AGRUP. CLAS. PROF.]:[AGRUP. CLAS. PROF.]]=$B75,IF(DATOS_[[Check Periodo Ref.]:[Check Periodo Ref.]]="Dentro",DATOS_[C.Extra.05]))))),
0)</f>
        <v>0</v>
      </c>
      <c r="AQ77" s="115">
        <f t="array" ref="AQ77">IFERROR(
MEDIAN(IF(DATOS_[Sexo]=$B77,IF(DATOS_[AGRUP. CLAS. PROF.]=$B75,IF(DATOS_[Check Periodo Ref.]="Dentro",DATOS_[Tot Extrasalarial Ef],FALSE)))),
0)</f>
        <v>0</v>
      </c>
      <c r="AR77" s="116">
        <f t="array" ref="AR77">IFERROR(
MEDIAN(IF(DATOS_[Sexo]=$B77,IF(DATOS_[AGRUP. CLAS. PROF.]=$B75,IF(DATOS_[Check Periodo Ref.]="Dentro",DATOS_[TOTAL Retrib Ef],FALSE)))),
0)</f>
        <v>0</v>
      </c>
    </row>
    <row r="78" spans="1:44" ht="17.25" hidden="1" thickBot="1" x14ac:dyDescent="0.35">
      <c r="A78" s="42" t="str">
        <f t="shared" ref="A78" si="87">+A79</f>
        <v>[ocultar]</v>
      </c>
      <c r="B78" s="40" t="s">
        <v>238</v>
      </c>
      <c r="C78" s="109"/>
      <c r="D78" s="41"/>
      <c r="E78" s="119" t="str">
        <f t="shared" ref="E78:AR78" si="88">IFERROR((E79-E80)/E79,"")</f>
        <v/>
      </c>
      <c r="F78" s="123" t="str">
        <f t="shared" si="88"/>
        <v/>
      </c>
      <c r="G78" s="123" t="str">
        <f t="shared" si="88"/>
        <v/>
      </c>
      <c r="H78" s="123" t="str">
        <f t="shared" si="88"/>
        <v/>
      </c>
      <c r="I78" s="123" t="str">
        <f t="shared" si="88"/>
        <v/>
      </c>
      <c r="J78" s="123" t="str">
        <f t="shared" si="88"/>
        <v/>
      </c>
      <c r="K78" s="123" t="str">
        <f t="shared" si="88"/>
        <v/>
      </c>
      <c r="L78" s="123" t="str">
        <f t="shared" si="88"/>
        <v/>
      </c>
      <c r="M78" s="123" t="str">
        <f t="shared" si="88"/>
        <v/>
      </c>
      <c r="N78" s="123" t="str">
        <f t="shared" si="88"/>
        <v/>
      </c>
      <c r="O78" s="123" t="str">
        <f t="shared" si="88"/>
        <v/>
      </c>
      <c r="P78" s="123" t="str">
        <f t="shared" si="88"/>
        <v/>
      </c>
      <c r="Q78" s="123" t="str">
        <f t="shared" si="88"/>
        <v/>
      </c>
      <c r="R78" s="123" t="str">
        <f t="shared" si="88"/>
        <v/>
      </c>
      <c r="S78" s="123" t="str">
        <f t="shared" si="88"/>
        <v/>
      </c>
      <c r="T78" s="123" t="str">
        <f t="shared" si="88"/>
        <v/>
      </c>
      <c r="U78" s="123" t="str">
        <f t="shared" si="88"/>
        <v/>
      </c>
      <c r="V78" s="122" t="str">
        <f t="shared" si="88"/>
        <v/>
      </c>
      <c r="W78" s="122" t="str">
        <f t="shared" si="88"/>
        <v/>
      </c>
      <c r="X78" s="122" t="str">
        <f t="shared" si="88"/>
        <v/>
      </c>
      <c r="Y78" s="122" t="str">
        <f t="shared" si="88"/>
        <v/>
      </c>
      <c r="Z78" s="122" t="str">
        <f t="shared" si="88"/>
        <v/>
      </c>
      <c r="AA78" s="122" t="str">
        <f t="shared" si="88"/>
        <v/>
      </c>
      <c r="AB78" s="122" t="str">
        <f t="shared" si="88"/>
        <v/>
      </c>
      <c r="AC78" s="122" t="str">
        <f t="shared" si="88"/>
        <v/>
      </c>
      <c r="AD78" s="122" t="str">
        <f t="shared" si="88"/>
        <v/>
      </c>
      <c r="AE78" s="122" t="str">
        <f t="shared" si="88"/>
        <v/>
      </c>
      <c r="AF78" s="122" t="str">
        <f t="shared" si="88"/>
        <v/>
      </c>
      <c r="AG78" s="122" t="str">
        <f t="shared" si="88"/>
        <v/>
      </c>
      <c r="AH78" s="122" t="str">
        <f t="shared" si="88"/>
        <v/>
      </c>
      <c r="AI78" s="122" t="str">
        <f t="shared" si="88"/>
        <v/>
      </c>
      <c r="AJ78" s="124" t="str">
        <f t="shared" si="88"/>
        <v/>
      </c>
      <c r="AK78" s="128" t="str">
        <f t="shared" si="88"/>
        <v/>
      </c>
      <c r="AL78" s="125" t="str">
        <f t="shared" si="88"/>
        <v/>
      </c>
      <c r="AM78" s="125" t="str">
        <f t="shared" si="88"/>
        <v/>
      </c>
      <c r="AN78" s="125" t="str">
        <f t="shared" si="88"/>
        <v/>
      </c>
      <c r="AO78" s="125" t="str">
        <f t="shared" si="88"/>
        <v/>
      </c>
      <c r="AP78" s="125" t="str">
        <f t="shared" si="88"/>
        <v/>
      </c>
      <c r="AQ78" s="126" t="str">
        <f t="shared" si="88"/>
        <v/>
      </c>
      <c r="AR78" s="127" t="str">
        <f t="shared" si="88"/>
        <v/>
      </c>
    </row>
    <row r="79" spans="1:44" hidden="1" x14ac:dyDescent="0.3">
      <c r="A79" s="42" t="str">
        <f t="shared" ref="A79" si="89">+IF(C79+C80=0,"[ocultar]","")</f>
        <v>[ocultar]</v>
      </c>
      <c r="B79" s="34" t="s">
        <v>162</v>
      </c>
      <c r="C79" s="33">
        <f t="array" ref="C79">SUM(IF($B79=DATOS_[Sexo],
IF($B78=DATOS_[AGRUP. CLAS. PROF.],
IF("Dentro"=DATOS_[Check Periodo Ref.],
1/(COUNTIFS(DATOS_[Sexo],$B79,DATOS_[AGRUP. CLAS. PROF.],$B78,DATOS_[Check Periodo Ref.],"Dentro",DATOS_[id],DATOS_[id]))))))</f>
        <v>0</v>
      </c>
      <c r="D79" s="35">
        <f>COUNTIFS(DATOS_[AGRUP. CLAS. PROF.],$B78,DATOS_[Sexo],$B79,DATOS_[Check Periodo Ref.],"Dentro")</f>
        <v>0</v>
      </c>
      <c r="E79" s="110">
        <f t="array" ref="E79">IFERROR(
MEDIAN(IF(DATOS_[Sexo]=$B79,IF(DATOS_[AGRUP. CLAS. PROF.]=$B78,IF(DATOS_[Check Periodo Ref.]="Dentro",DATOS_[SALARIO BASE Ef],FALSE)))),
0)</f>
        <v>0</v>
      </c>
      <c r="F79" s="111">
        <f t="array" ref="F79">IFERROR(
MEDIAN((IF(DATOS_[[Sexo]:[Sexo]]=$B79,IF(DATOS_[[AGRUP. CLAS. PROF.]:[AGRUP. CLAS. PROF.]]=$B78,IF(DATOS_[[Check Periodo Ref.]:[Check Periodo Ref.]]="Dentro",DATOS_[Conc.Sal.01]))))),
0)</f>
        <v>0</v>
      </c>
      <c r="G79" s="111">
        <f t="array" ref="G79">IFERROR(
MEDIAN((IF(DATOS_[[Sexo]:[Sexo]]=$B79,IF(DATOS_[[AGRUP. CLAS. PROF.]:[AGRUP. CLAS. PROF.]]=$B78,IF(DATOS_[[Check Periodo Ref.]:[Check Periodo Ref.]]="Dentro",DATOS_[Conc.Sal.02]))))),
0)</f>
        <v>0</v>
      </c>
      <c r="H79" s="111">
        <f t="array" ref="H79">IFERROR(
MEDIAN((IF(DATOS_[[Sexo]:[Sexo]]=$B79,IF(DATOS_[[AGRUP. CLAS. PROF.]:[AGRUP. CLAS. PROF.]]=$B78,IF(DATOS_[[Check Periodo Ref.]:[Check Periodo Ref.]]="Dentro",DATOS_[Conc.Sal.03]))))),
0)</f>
        <v>0</v>
      </c>
      <c r="I79" s="111">
        <f t="array" ref="I79">IFERROR(
MEDIAN((IF(DATOS_[[Sexo]:[Sexo]]=$B79,IF(DATOS_[[AGRUP. CLAS. PROF.]:[AGRUP. CLAS. PROF.]]=$B78,IF(DATOS_[[Check Periodo Ref.]:[Check Periodo Ref.]]="Dentro",DATOS_[Conc.Sal.04]))))),
0)</f>
        <v>0</v>
      </c>
      <c r="J79" s="111">
        <f t="array" ref="J79">IFERROR(
MEDIAN((IF(DATOS_[[Sexo]:[Sexo]]=$B79,IF(DATOS_[[AGRUP. CLAS. PROF.]:[AGRUP. CLAS. PROF.]]=$B78,IF(DATOS_[[Check Periodo Ref.]:[Check Periodo Ref.]]="Dentro",DATOS_[Conc.Sal.05]))))),
0)</f>
        <v>0</v>
      </c>
      <c r="K79" s="111">
        <f t="array" ref="K79">IFERROR(
MEDIAN((IF(DATOS_[[Sexo]:[Sexo]]=$B79,IF(DATOS_[[AGRUP. CLAS. PROF.]:[AGRUP. CLAS. PROF.]]=$B78,IF(DATOS_[[Check Periodo Ref.]:[Check Periodo Ref.]]="Dentro",DATOS_[Conc.Sal.06]))))),
0)</f>
        <v>0</v>
      </c>
      <c r="L79" s="111">
        <f t="array" ref="L79">IFERROR(
MEDIAN((IF(DATOS_[[Sexo]:[Sexo]]=$B79,IF(DATOS_[[AGRUP. CLAS. PROF.]:[AGRUP. CLAS. PROF.]]=$B78,IF(DATOS_[[Check Periodo Ref.]:[Check Periodo Ref.]]="Dentro",DATOS_[Conc.Sal.07]))))),
0)</f>
        <v>0</v>
      </c>
      <c r="M79" s="111">
        <f t="array" ref="M79">IFERROR(
MEDIAN((IF(DATOS_[[Sexo]:[Sexo]]=$B79,IF(DATOS_[[AGRUP. CLAS. PROF.]:[AGRUP. CLAS. PROF.]]=$B78,IF(DATOS_[[Check Periodo Ref.]:[Check Periodo Ref.]]="Dentro",DATOS_[Conc.Sal.08]))))),
0)</f>
        <v>0</v>
      </c>
      <c r="N79" s="111">
        <f t="array" ref="N79">IFERROR(
MEDIAN((IF(DATOS_[[Sexo]:[Sexo]]=$B79,IF(DATOS_[[AGRUP. CLAS. PROF.]:[AGRUP. CLAS. PROF.]]=$B78,IF(DATOS_[[Check Periodo Ref.]:[Check Periodo Ref.]]="Dentro",DATOS_[Conc.Sal.09]))))),
0)</f>
        <v>0</v>
      </c>
      <c r="O79" s="111">
        <f t="array" ref="O79">IFERROR(
MEDIAN((IF(DATOS_[[Sexo]:[Sexo]]=$B79,IF(DATOS_[[AGRUP. CLAS. PROF.]:[AGRUP. CLAS. PROF.]]=$B78,IF(DATOS_[[Check Periodo Ref.]:[Check Periodo Ref.]]="Dentro",DATOS_[Conc.Sal.10]))))),
0)</f>
        <v>0</v>
      </c>
      <c r="P79" s="111">
        <f t="array" ref="P79">IFERROR(
MEDIAN((IF(DATOS_[[Sexo]:[Sexo]]=$B79,IF(DATOS_[[AGRUP. CLAS. PROF.]:[AGRUP. CLAS. PROF.]]=$B78,IF(DATOS_[[Check Periodo Ref.]:[Check Periodo Ref.]]="Dentro",DATOS_[Conc.Sal.11]))))),
0)</f>
        <v>0</v>
      </c>
      <c r="Q79" s="111">
        <f t="array" ref="Q79">IFERROR(
MEDIAN((IF(DATOS_[[Sexo]:[Sexo]]=$B79,IF(DATOS_[[AGRUP. CLAS. PROF.]:[AGRUP. CLAS. PROF.]]=$B78,IF(DATOS_[[Check Periodo Ref.]:[Check Periodo Ref.]]="Dentro",DATOS_[Conc.Sal.12]))))),
0)</f>
        <v>0</v>
      </c>
      <c r="R79" s="111">
        <f t="array" ref="R79">IFERROR(
MEDIAN((IF(DATOS_[[Sexo]:[Sexo]]=$B79,IF(DATOS_[[AGRUP. CLAS. PROF.]:[AGRUP. CLAS. PROF.]]=$B78,IF(DATOS_[[Check Periodo Ref.]:[Check Periodo Ref.]]="Dentro",DATOS_[Conc.Sal.13]))))),
0)</f>
        <v>0</v>
      </c>
      <c r="S79" s="111">
        <f t="array" ref="S79">IFERROR(
MEDIAN((IF(DATOS_[[Sexo]:[Sexo]]=$B79,IF(DATOS_[[AGRUP. CLAS. PROF.]:[AGRUP. CLAS. PROF.]]=$B78,IF(DATOS_[[Check Periodo Ref.]:[Check Periodo Ref.]]="Dentro",DATOS_[Conc.Sal.14]))))),
0)</f>
        <v>0</v>
      </c>
      <c r="T79" s="111">
        <f t="array" ref="T79">IFERROR(
MEDIAN((IF(DATOS_[[Sexo]:[Sexo]]=$B79,IF(DATOS_[[AGRUP. CLAS. PROF.]:[AGRUP. CLAS. PROF.]]=$B78,IF(DATOS_[[Check Periodo Ref.]:[Check Periodo Ref.]]="Dentro",DATOS_[Conc.Sal.15]))))),
0)</f>
        <v>0</v>
      </c>
      <c r="U79" s="111">
        <f t="array" ref="U79">IFERROR(
MEDIAN((IF(DATOS_[[Sexo]:[Sexo]]=$B79,IF(DATOS_[[AGRUP. CLAS. PROF.]:[AGRUP. CLAS. PROF.]]=$B78,IF(DATOS_[[Check Periodo Ref.]:[Check Periodo Ref.]]="Dentro",DATOS_[Conc.Sal.16]))))),
0)</f>
        <v>0</v>
      </c>
      <c r="V79" s="111">
        <f t="array" ref="V79">IFERROR(
MEDIAN((IF(DATOS_[[Sexo]:[Sexo]]=$B79,IF(DATOS_[[AGRUP. CLAS. PROF.]:[AGRUP. CLAS. PROF.]]=$B78,IF(DATOS_[[Check Periodo Ref.]:[Check Periodo Ref.]]="Dentro",DATOS_[Conc.Sal.17]))))),
0)</f>
        <v>0</v>
      </c>
      <c r="W79" s="111">
        <f t="array" ref="W79">IFERROR(
MEDIAN((IF(DATOS_[[Sexo]:[Sexo]]=$B79,IF(DATOS_[[AGRUP. CLAS. PROF.]:[AGRUP. CLAS. PROF.]]=$B78,IF(DATOS_[[Check Periodo Ref.]:[Check Periodo Ref.]]="Dentro",DATOS_[Conc.Sal.18]))))),
0)</f>
        <v>0</v>
      </c>
      <c r="X79" s="111">
        <f t="array" ref="X79">IFERROR(
MEDIAN((IF(DATOS_[[Sexo]:[Sexo]]=$B79,IF(DATOS_[[AGRUP. CLAS. PROF.]:[AGRUP. CLAS. PROF.]]=$B78,IF(DATOS_[[Check Periodo Ref.]:[Check Periodo Ref.]]="Dentro",DATOS_[Conc.Sal.19]))))),
0)</f>
        <v>0</v>
      </c>
      <c r="Y79" s="111">
        <f t="array" ref="Y79">IFERROR(
MEDIAN((IF(DATOS_[[Sexo]:[Sexo]]=$B79,IF(DATOS_[[AGRUP. CLAS. PROF.]:[AGRUP. CLAS. PROF.]]=$B78,IF(DATOS_[[Check Periodo Ref.]:[Check Periodo Ref.]]="Dentro",DATOS_[Conc.Sal.20]))))),
0)</f>
        <v>0</v>
      </c>
      <c r="Z79" s="111">
        <f t="array" ref="Z79">IFERROR(
MEDIAN((IF(DATOS_[[Sexo]:[Sexo]]=$B79,IF(DATOS_[[AGRUP. CLAS. PROF.]:[AGRUP. CLAS. PROF.]]=$B78,IF(DATOS_[[Check Periodo Ref.]:[Check Periodo Ref.]]="Dentro",DATOS_[Conc.Sal.21]))))),
0)</f>
        <v>0</v>
      </c>
      <c r="AA79" s="111">
        <f t="array" ref="AA79">IFERROR(
MEDIAN((IF(DATOS_[[Sexo]:[Sexo]]=$B79,IF(DATOS_[[AGRUP. CLAS. PROF.]:[AGRUP. CLAS. PROF.]]=$B78,IF(DATOS_[[Check Periodo Ref.]:[Check Periodo Ref.]]="Dentro",DATOS_[Conc.Sal.22]))))),
0)</f>
        <v>0</v>
      </c>
      <c r="AB79" s="111">
        <f t="array" ref="AB79">IFERROR(
MEDIAN((IF(DATOS_[[Sexo]:[Sexo]]=$B79,IF(DATOS_[[AGRUP. CLAS. PROF.]:[AGRUP. CLAS. PROF.]]=$B78,IF(DATOS_[[Check Periodo Ref.]:[Check Periodo Ref.]]="Dentro",DATOS_[Conc.Sal.23]))))),
0)</f>
        <v>0</v>
      </c>
      <c r="AC79" s="111">
        <f t="array" ref="AC79">IFERROR(
MEDIAN((IF(DATOS_[[Sexo]:[Sexo]]=$B79,IF(DATOS_[[AGRUP. CLAS. PROF.]:[AGRUP. CLAS. PROF.]]=$B78,IF(DATOS_[[Check Periodo Ref.]:[Check Periodo Ref.]]="Dentro",DATOS_[Conc.Sal.24]))))),
0)</f>
        <v>0</v>
      </c>
      <c r="AD79" s="111">
        <f t="array" ref="AD79">IFERROR(
MEDIAN((IF(DATOS_[[Sexo]:[Sexo]]=$B79,IF(DATOS_[[AGRUP. CLAS. PROF.]:[AGRUP. CLAS. PROF.]]=$B78,IF(DATOS_[[Check Periodo Ref.]:[Check Periodo Ref.]]="Dentro",DATOS_[Conc.Sal.25]))))),
0)</f>
        <v>0</v>
      </c>
      <c r="AE79" s="111">
        <f t="array" ref="AE79">IFERROR(
MEDIAN((IF(DATOS_[[Sexo]:[Sexo]]=$B79,IF(DATOS_[[AGRUP. CLAS. PROF.]:[AGRUP. CLAS. PROF.]]=$B78,IF(DATOS_[[Check Periodo Ref.]:[Check Periodo Ref.]]="Dentro",DATOS_[Conc.Sal.26]))))),
0)</f>
        <v>0</v>
      </c>
      <c r="AF79" s="111">
        <f t="array" ref="AF79">IFERROR(
MEDIAN((IF(DATOS_[[Sexo]:[Sexo]]=$B79,IF(DATOS_[[AGRUP. CLAS. PROF.]:[AGRUP. CLAS. PROF.]]=$B78,IF(DATOS_[[Check Periodo Ref.]:[Check Periodo Ref.]]="Dentro",DATOS_[Conc.Sal.27]))))),
0)</f>
        <v>0</v>
      </c>
      <c r="AG79" s="111">
        <f t="array" ref="AG79">IFERROR(
MEDIAN((IF(DATOS_[[Sexo]:[Sexo]]=$B79,IF(DATOS_[[AGRUP. CLAS. PROF.]:[AGRUP. CLAS. PROF.]]=$B78,IF(DATOS_[[Check Periodo Ref.]:[Check Periodo Ref.]]="Dentro",DATOS_[Conc.Sal.28]))))),
0)</f>
        <v>0</v>
      </c>
      <c r="AH79" s="111">
        <f t="array" ref="AH79">IFERROR(
MEDIAN((IF(DATOS_[[Sexo]:[Sexo]]=$B79,IF(DATOS_[[AGRUP. CLAS. PROF.]:[AGRUP. CLAS. PROF.]]=$B78,IF(DATOS_[[Check Periodo Ref.]:[Check Periodo Ref.]]="Dentro",DATOS_[Conc.Sal.29]))))),
0)</f>
        <v>0</v>
      </c>
      <c r="AI79" s="111">
        <f t="array" ref="AI79">IFERROR(
MEDIAN((IF(DATOS_[[Sexo]:[Sexo]]=$B79,IF(DATOS_[[AGRUP. CLAS. PROF.]:[AGRUP. CLAS. PROF.]]=$B78,IF(DATOS_[[Check Periodo Ref.]:[Check Periodo Ref.]]="Dentro",DATOS_[Conc.Sal.30]))))),
0)</f>
        <v>0</v>
      </c>
      <c r="AJ79" s="112">
        <f t="array" ref="AJ79">IFERROR(
MEDIAN(IF(DATOS_[Sexo]=$B79,IF(DATOS_[AGRUP. CLAS. PROF.]=$B78,IF(DATOS_[Check Periodo Ref.]="Dentro",DATOS_[Tot COMPL.SAL Ef],FALSE)))),
0)</f>
        <v>0</v>
      </c>
      <c r="AK79" s="113">
        <f t="array" ref="AK79">IFERROR(
MEDIAN(IF(DATOS_[Sexo]=$B79,IF(DATOS_[AGRUP. CLAS. PROF.]=$B78,IF(DATOS_[Check Periodo Ref.]="Dentro",DATOS_[TOTAL SALARIO Ef],FALSE)))),
0)</f>
        <v>0</v>
      </c>
      <c r="AL79" s="114">
        <f t="array" ref="AL79">IFERROR(
MEDIAN((IF(DATOS_[[Sexo]:[Sexo]]=$B79,IF(DATOS_[[AGRUP. CLAS. PROF.]:[AGRUP. CLAS. PROF.]]=$B78,IF(DATOS_[[Check Periodo Ref.]:[Check Periodo Ref.]]="Dentro",DATOS_[C.Extra.01]))))),
0)</f>
        <v>0</v>
      </c>
      <c r="AM79" s="114">
        <f t="array" ref="AM79">IFERROR(
MEDIAN((IF(DATOS_[[Sexo]:[Sexo]]=$B79,IF(DATOS_[[AGRUP. CLAS. PROF.]:[AGRUP. CLAS. PROF.]]=$B78,IF(DATOS_[[Check Periodo Ref.]:[Check Periodo Ref.]]="Dentro",DATOS_[C.Extra.02]))))),
0)</f>
        <v>0</v>
      </c>
      <c r="AN79" s="114">
        <f t="array" ref="AN79">IFERROR(
MEDIAN((IF(DATOS_[[Sexo]:[Sexo]]=$B79,IF(DATOS_[[AGRUP. CLAS. PROF.]:[AGRUP. CLAS. PROF.]]=$B78,IF(DATOS_[[Check Periodo Ref.]:[Check Periodo Ref.]]="Dentro",DATOS_[C.Extra.03]))))),
0)</f>
        <v>0</v>
      </c>
      <c r="AO79" s="114">
        <f t="array" ref="AO79">IFERROR(
MEDIAN((IF(DATOS_[[Sexo]:[Sexo]]=$B79,IF(DATOS_[[AGRUP. CLAS. PROF.]:[AGRUP. CLAS. PROF.]]=$B78,IF(DATOS_[[Check Periodo Ref.]:[Check Periodo Ref.]]="Dentro",DATOS_[C.Extra.04]))))),
0)</f>
        <v>0</v>
      </c>
      <c r="AP79" s="114">
        <f t="array" ref="AP79">IFERROR(
MEDIAN((IF(DATOS_[[Sexo]:[Sexo]]=$B79,IF(DATOS_[[AGRUP. CLAS. PROF.]:[AGRUP. CLAS. PROF.]]=$B78,IF(DATOS_[[Check Periodo Ref.]:[Check Periodo Ref.]]="Dentro",DATOS_[C.Extra.05]))))),
0)</f>
        <v>0</v>
      </c>
      <c r="AQ79" s="115">
        <f t="array" ref="AQ79">IFERROR(
MEDIAN(IF(DATOS_[Sexo]=$B79,IF(DATOS_[AGRUP. CLAS. PROF.]=$B78,IF(DATOS_[Check Periodo Ref.]="Dentro",DATOS_[Tot Extrasalarial Ef],FALSE)))),
0)</f>
        <v>0</v>
      </c>
      <c r="AR79" s="116">
        <f t="array" ref="AR79">IFERROR(
MEDIAN(IF(DATOS_[Sexo]=$B79,IF(DATOS_[AGRUP. CLAS. PROF.]=$B78,IF(DATOS_[Check Periodo Ref.]="Dentro",DATOS_[TOTAL Retrib Ef],FALSE)))),
0)</f>
        <v>0</v>
      </c>
    </row>
    <row r="80" spans="1:44" hidden="1" x14ac:dyDescent="0.3">
      <c r="A80" s="42" t="str">
        <f t="shared" ref="A80" si="90">+A79</f>
        <v>[ocultar]</v>
      </c>
      <c r="B80" s="34" t="s">
        <v>163</v>
      </c>
      <c r="C80" s="33">
        <f t="array" ref="C80">SUM(IF($B80=DATOS_[Sexo],
IF($B78=DATOS_[AGRUP. CLAS. PROF.],
IF("Dentro"=DATOS_[Check Periodo Ref.],
1/(COUNTIFS(DATOS_[Sexo],$B80,DATOS_[AGRUP. CLAS. PROF.],$B78,DATOS_[Check Periodo Ref.],"Dentro",DATOS_[id],DATOS_[id]))))))</f>
        <v>0</v>
      </c>
      <c r="D80" s="35">
        <f>COUNTIFS(DATOS_[AGRUP. CLAS. PROF.],$B78,DATOS_[Sexo],$B80,DATOS_[Check Periodo Ref.],"Dentro")</f>
        <v>0</v>
      </c>
      <c r="E80" s="110">
        <f t="array" ref="E80">IFERROR(
MEDIAN(IF(DATOS_[Sexo]=$B80,IF(DATOS_[AGRUP. CLAS. PROF.]=$B78,IF(DATOS_[Check Periodo Ref.]="Dentro",DATOS_[SALARIO BASE Ef],FALSE)))),
0)</f>
        <v>0</v>
      </c>
      <c r="F80" s="111">
        <f t="array" ref="F80">IFERROR(
MEDIAN((IF(DATOS_[[Sexo]:[Sexo]]=$B80,IF(DATOS_[[AGRUP. CLAS. PROF.]:[AGRUP. CLAS. PROF.]]=$B78,IF(DATOS_[[Check Periodo Ref.]:[Check Periodo Ref.]]="Dentro",DATOS_[Conc.Sal.01]))))),
0)</f>
        <v>0</v>
      </c>
      <c r="G80" s="111">
        <f t="array" ref="G80">IFERROR(
MEDIAN((IF(DATOS_[[Sexo]:[Sexo]]=$B80,IF(DATOS_[[AGRUP. CLAS. PROF.]:[AGRUP. CLAS. PROF.]]=$B78,IF(DATOS_[[Check Periodo Ref.]:[Check Periodo Ref.]]="Dentro",DATOS_[Conc.Sal.02]))))),
0)</f>
        <v>0</v>
      </c>
      <c r="H80" s="111">
        <f t="array" ref="H80">IFERROR(
MEDIAN((IF(DATOS_[[Sexo]:[Sexo]]=$B80,IF(DATOS_[[AGRUP. CLAS. PROF.]:[AGRUP. CLAS. PROF.]]=$B78,IF(DATOS_[[Check Periodo Ref.]:[Check Periodo Ref.]]="Dentro",DATOS_[Conc.Sal.03]))))),
0)</f>
        <v>0</v>
      </c>
      <c r="I80" s="111">
        <f t="array" ref="I80">IFERROR(
MEDIAN((IF(DATOS_[[Sexo]:[Sexo]]=$B80,IF(DATOS_[[AGRUP. CLAS. PROF.]:[AGRUP. CLAS. PROF.]]=$B78,IF(DATOS_[[Check Periodo Ref.]:[Check Periodo Ref.]]="Dentro",DATOS_[Conc.Sal.04]))))),
0)</f>
        <v>0</v>
      </c>
      <c r="J80" s="111">
        <f t="array" ref="J80">IFERROR(
MEDIAN((IF(DATOS_[[Sexo]:[Sexo]]=$B80,IF(DATOS_[[AGRUP. CLAS. PROF.]:[AGRUP. CLAS. PROF.]]=$B78,IF(DATOS_[[Check Periodo Ref.]:[Check Periodo Ref.]]="Dentro",DATOS_[Conc.Sal.05]))))),
0)</f>
        <v>0</v>
      </c>
      <c r="K80" s="111">
        <f t="array" ref="K80">IFERROR(
MEDIAN((IF(DATOS_[[Sexo]:[Sexo]]=$B80,IF(DATOS_[[AGRUP. CLAS. PROF.]:[AGRUP. CLAS. PROF.]]=$B78,IF(DATOS_[[Check Periodo Ref.]:[Check Periodo Ref.]]="Dentro",DATOS_[Conc.Sal.06]))))),
0)</f>
        <v>0</v>
      </c>
      <c r="L80" s="111">
        <f t="array" ref="L80">IFERROR(
MEDIAN((IF(DATOS_[[Sexo]:[Sexo]]=$B80,IF(DATOS_[[AGRUP. CLAS. PROF.]:[AGRUP. CLAS. PROF.]]=$B78,IF(DATOS_[[Check Periodo Ref.]:[Check Periodo Ref.]]="Dentro",DATOS_[Conc.Sal.07]))))),
0)</f>
        <v>0</v>
      </c>
      <c r="M80" s="111">
        <f t="array" ref="M80">IFERROR(
MEDIAN((IF(DATOS_[[Sexo]:[Sexo]]=$B80,IF(DATOS_[[AGRUP. CLAS. PROF.]:[AGRUP. CLAS. PROF.]]=$B78,IF(DATOS_[[Check Periodo Ref.]:[Check Periodo Ref.]]="Dentro",DATOS_[Conc.Sal.08]))))),
0)</f>
        <v>0</v>
      </c>
      <c r="N80" s="111">
        <f t="array" ref="N80">IFERROR(
MEDIAN((IF(DATOS_[[Sexo]:[Sexo]]=$B80,IF(DATOS_[[AGRUP. CLAS. PROF.]:[AGRUP. CLAS. PROF.]]=$B78,IF(DATOS_[[Check Periodo Ref.]:[Check Periodo Ref.]]="Dentro",DATOS_[Conc.Sal.09]))))),
0)</f>
        <v>0</v>
      </c>
      <c r="O80" s="111">
        <f t="array" ref="O80">IFERROR(
MEDIAN((IF(DATOS_[[Sexo]:[Sexo]]=$B80,IF(DATOS_[[AGRUP. CLAS. PROF.]:[AGRUP. CLAS. PROF.]]=$B78,IF(DATOS_[[Check Periodo Ref.]:[Check Periodo Ref.]]="Dentro",DATOS_[Conc.Sal.10]))))),
0)</f>
        <v>0</v>
      </c>
      <c r="P80" s="111">
        <f t="array" ref="P80">IFERROR(
MEDIAN((IF(DATOS_[[Sexo]:[Sexo]]=$B80,IF(DATOS_[[AGRUP. CLAS. PROF.]:[AGRUP. CLAS. PROF.]]=$B78,IF(DATOS_[[Check Periodo Ref.]:[Check Periodo Ref.]]="Dentro",DATOS_[Conc.Sal.11]))))),
0)</f>
        <v>0</v>
      </c>
      <c r="Q80" s="111">
        <f t="array" ref="Q80">IFERROR(
MEDIAN((IF(DATOS_[[Sexo]:[Sexo]]=$B80,IF(DATOS_[[AGRUP. CLAS. PROF.]:[AGRUP. CLAS. PROF.]]=$B78,IF(DATOS_[[Check Periodo Ref.]:[Check Periodo Ref.]]="Dentro",DATOS_[Conc.Sal.12]))))),
0)</f>
        <v>0</v>
      </c>
      <c r="R80" s="111">
        <f t="array" ref="R80">IFERROR(
MEDIAN((IF(DATOS_[[Sexo]:[Sexo]]=$B80,IF(DATOS_[[AGRUP. CLAS. PROF.]:[AGRUP. CLAS. PROF.]]=$B78,IF(DATOS_[[Check Periodo Ref.]:[Check Periodo Ref.]]="Dentro",DATOS_[Conc.Sal.13]))))),
0)</f>
        <v>0</v>
      </c>
      <c r="S80" s="111">
        <f t="array" ref="S80">IFERROR(
MEDIAN((IF(DATOS_[[Sexo]:[Sexo]]=$B80,IF(DATOS_[[AGRUP. CLAS. PROF.]:[AGRUP. CLAS. PROF.]]=$B78,IF(DATOS_[[Check Periodo Ref.]:[Check Periodo Ref.]]="Dentro",DATOS_[Conc.Sal.14]))))),
0)</f>
        <v>0</v>
      </c>
      <c r="T80" s="111">
        <f t="array" ref="T80">IFERROR(
MEDIAN((IF(DATOS_[[Sexo]:[Sexo]]=$B80,IF(DATOS_[[AGRUP. CLAS. PROF.]:[AGRUP. CLAS. PROF.]]=$B78,IF(DATOS_[[Check Periodo Ref.]:[Check Periodo Ref.]]="Dentro",DATOS_[Conc.Sal.15]))))),
0)</f>
        <v>0</v>
      </c>
      <c r="U80" s="111">
        <f t="array" ref="U80">IFERROR(
MEDIAN((IF(DATOS_[[Sexo]:[Sexo]]=$B80,IF(DATOS_[[AGRUP. CLAS. PROF.]:[AGRUP. CLAS. PROF.]]=$B78,IF(DATOS_[[Check Periodo Ref.]:[Check Periodo Ref.]]="Dentro",DATOS_[Conc.Sal.16]))))),
0)</f>
        <v>0</v>
      </c>
      <c r="V80" s="111">
        <f t="array" ref="V80">IFERROR(
MEDIAN((IF(DATOS_[[Sexo]:[Sexo]]=$B80,IF(DATOS_[[AGRUP. CLAS. PROF.]:[AGRUP. CLAS. PROF.]]=$B78,IF(DATOS_[[Check Periodo Ref.]:[Check Periodo Ref.]]="Dentro",DATOS_[Conc.Sal.17]))))),
0)</f>
        <v>0</v>
      </c>
      <c r="W80" s="111">
        <f t="array" ref="W80">IFERROR(
MEDIAN((IF(DATOS_[[Sexo]:[Sexo]]=$B80,IF(DATOS_[[AGRUP. CLAS. PROF.]:[AGRUP. CLAS. PROF.]]=$B78,IF(DATOS_[[Check Periodo Ref.]:[Check Periodo Ref.]]="Dentro",DATOS_[Conc.Sal.18]))))),
0)</f>
        <v>0</v>
      </c>
      <c r="X80" s="111">
        <f t="array" ref="X80">IFERROR(
MEDIAN((IF(DATOS_[[Sexo]:[Sexo]]=$B80,IF(DATOS_[[AGRUP. CLAS. PROF.]:[AGRUP. CLAS. PROF.]]=$B78,IF(DATOS_[[Check Periodo Ref.]:[Check Periodo Ref.]]="Dentro",DATOS_[Conc.Sal.19]))))),
0)</f>
        <v>0</v>
      </c>
      <c r="Y80" s="111">
        <f t="array" ref="Y80">IFERROR(
MEDIAN((IF(DATOS_[[Sexo]:[Sexo]]=$B80,IF(DATOS_[[AGRUP. CLAS. PROF.]:[AGRUP. CLAS. PROF.]]=$B78,IF(DATOS_[[Check Periodo Ref.]:[Check Periodo Ref.]]="Dentro",DATOS_[Conc.Sal.20]))))),
0)</f>
        <v>0</v>
      </c>
      <c r="Z80" s="111">
        <f t="array" ref="Z80">IFERROR(
MEDIAN((IF(DATOS_[[Sexo]:[Sexo]]=$B80,IF(DATOS_[[AGRUP. CLAS. PROF.]:[AGRUP. CLAS. PROF.]]=$B78,IF(DATOS_[[Check Periodo Ref.]:[Check Periodo Ref.]]="Dentro",DATOS_[Conc.Sal.21]))))),
0)</f>
        <v>0</v>
      </c>
      <c r="AA80" s="111">
        <f t="array" ref="AA80">IFERROR(
MEDIAN((IF(DATOS_[[Sexo]:[Sexo]]=$B80,IF(DATOS_[[AGRUP. CLAS. PROF.]:[AGRUP. CLAS. PROF.]]=$B78,IF(DATOS_[[Check Periodo Ref.]:[Check Periodo Ref.]]="Dentro",DATOS_[Conc.Sal.22]))))),
0)</f>
        <v>0</v>
      </c>
      <c r="AB80" s="111">
        <f t="array" ref="AB80">IFERROR(
MEDIAN((IF(DATOS_[[Sexo]:[Sexo]]=$B80,IF(DATOS_[[AGRUP. CLAS. PROF.]:[AGRUP. CLAS. PROF.]]=$B78,IF(DATOS_[[Check Periodo Ref.]:[Check Periodo Ref.]]="Dentro",DATOS_[Conc.Sal.23]))))),
0)</f>
        <v>0</v>
      </c>
      <c r="AC80" s="111">
        <f t="array" ref="AC80">IFERROR(
MEDIAN((IF(DATOS_[[Sexo]:[Sexo]]=$B80,IF(DATOS_[[AGRUP. CLAS. PROF.]:[AGRUP. CLAS. PROF.]]=$B78,IF(DATOS_[[Check Periodo Ref.]:[Check Periodo Ref.]]="Dentro",DATOS_[Conc.Sal.24]))))),
0)</f>
        <v>0</v>
      </c>
      <c r="AD80" s="111">
        <f t="array" ref="AD80">IFERROR(
MEDIAN((IF(DATOS_[[Sexo]:[Sexo]]=$B80,IF(DATOS_[[AGRUP. CLAS. PROF.]:[AGRUP. CLAS. PROF.]]=$B78,IF(DATOS_[[Check Periodo Ref.]:[Check Periodo Ref.]]="Dentro",DATOS_[Conc.Sal.25]))))),
0)</f>
        <v>0</v>
      </c>
      <c r="AE80" s="111">
        <f t="array" ref="AE80">IFERROR(
MEDIAN((IF(DATOS_[[Sexo]:[Sexo]]=$B80,IF(DATOS_[[AGRUP. CLAS. PROF.]:[AGRUP. CLAS. PROF.]]=$B78,IF(DATOS_[[Check Periodo Ref.]:[Check Periodo Ref.]]="Dentro",DATOS_[Conc.Sal.26]))))),
0)</f>
        <v>0</v>
      </c>
      <c r="AF80" s="111">
        <f t="array" ref="AF80">IFERROR(
MEDIAN((IF(DATOS_[[Sexo]:[Sexo]]=$B80,IF(DATOS_[[AGRUP. CLAS. PROF.]:[AGRUP. CLAS. PROF.]]=$B78,IF(DATOS_[[Check Periodo Ref.]:[Check Periodo Ref.]]="Dentro",DATOS_[Conc.Sal.27]))))),
0)</f>
        <v>0</v>
      </c>
      <c r="AG80" s="111">
        <f t="array" ref="AG80">IFERROR(
MEDIAN((IF(DATOS_[[Sexo]:[Sexo]]=$B80,IF(DATOS_[[AGRUP. CLAS. PROF.]:[AGRUP. CLAS. PROF.]]=$B78,IF(DATOS_[[Check Periodo Ref.]:[Check Periodo Ref.]]="Dentro",DATOS_[Conc.Sal.28]))))),
0)</f>
        <v>0</v>
      </c>
      <c r="AH80" s="111">
        <f t="array" ref="AH80">IFERROR(
MEDIAN((IF(DATOS_[[Sexo]:[Sexo]]=$B80,IF(DATOS_[[AGRUP. CLAS. PROF.]:[AGRUP. CLAS. PROF.]]=$B78,IF(DATOS_[[Check Periodo Ref.]:[Check Periodo Ref.]]="Dentro",DATOS_[Conc.Sal.29]))))),
0)</f>
        <v>0</v>
      </c>
      <c r="AI80" s="111">
        <f t="array" ref="AI80">IFERROR(
MEDIAN((IF(DATOS_[[Sexo]:[Sexo]]=$B80,IF(DATOS_[[AGRUP. CLAS. PROF.]:[AGRUP. CLAS. PROF.]]=$B78,IF(DATOS_[[Check Periodo Ref.]:[Check Periodo Ref.]]="Dentro",DATOS_[Conc.Sal.30]))))),
0)</f>
        <v>0</v>
      </c>
      <c r="AJ80" s="112">
        <f t="array" ref="AJ80">IFERROR(
MEDIAN(IF(DATOS_[Sexo]=$B80,IF(DATOS_[AGRUP. CLAS. PROF.]=$B78,IF(DATOS_[Check Periodo Ref.]="Dentro",DATOS_[Tot COMPL.SAL Ef],FALSE)))),
0)</f>
        <v>0</v>
      </c>
      <c r="AK80" s="113">
        <f t="array" ref="AK80">IFERROR(
MEDIAN(IF(DATOS_[Sexo]=$B80,IF(DATOS_[AGRUP. CLAS. PROF.]=$B78,IF(DATOS_[Check Periodo Ref.]="Dentro",DATOS_[TOTAL SALARIO Ef],FALSE)))),
0)</f>
        <v>0</v>
      </c>
      <c r="AL80" s="114">
        <f t="array" ref="AL80">IFERROR(
MEDIAN((IF(DATOS_[[Sexo]:[Sexo]]=$B80,IF(DATOS_[[AGRUP. CLAS. PROF.]:[AGRUP. CLAS. PROF.]]=$B78,IF(DATOS_[[Check Periodo Ref.]:[Check Periodo Ref.]]="Dentro",DATOS_[C.Extra.01]))))),
0)</f>
        <v>0</v>
      </c>
      <c r="AM80" s="114">
        <f t="array" ref="AM80">IFERROR(
MEDIAN((IF(DATOS_[[Sexo]:[Sexo]]=$B80,IF(DATOS_[[AGRUP. CLAS. PROF.]:[AGRUP. CLAS. PROF.]]=$B78,IF(DATOS_[[Check Periodo Ref.]:[Check Periodo Ref.]]="Dentro",DATOS_[C.Extra.02]))))),
0)</f>
        <v>0</v>
      </c>
      <c r="AN80" s="114">
        <f t="array" ref="AN80">IFERROR(
MEDIAN((IF(DATOS_[[Sexo]:[Sexo]]=$B80,IF(DATOS_[[AGRUP. CLAS. PROF.]:[AGRUP. CLAS. PROF.]]=$B78,IF(DATOS_[[Check Periodo Ref.]:[Check Periodo Ref.]]="Dentro",DATOS_[C.Extra.03]))))),
0)</f>
        <v>0</v>
      </c>
      <c r="AO80" s="114">
        <f t="array" ref="AO80">IFERROR(
MEDIAN((IF(DATOS_[[Sexo]:[Sexo]]=$B80,IF(DATOS_[[AGRUP. CLAS. PROF.]:[AGRUP. CLAS. PROF.]]=$B78,IF(DATOS_[[Check Periodo Ref.]:[Check Periodo Ref.]]="Dentro",DATOS_[C.Extra.04]))))),
0)</f>
        <v>0</v>
      </c>
      <c r="AP80" s="114">
        <f t="array" ref="AP80">IFERROR(
MEDIAN((IF(DATOS_[[Sexo]:[Sexo]]=$B80,IF(DATOS_[[AGRUP. CLAS. PROF.]:[AGRUP. CLAS. PROF.]]=$B78,IF(DATOS_[[Check Periodo Ref.]:[Check Periodo Ref.]]="Dentro",DATOS_[C.Extra.05]))))),
0)</f>
        <v>0</v>
      </c>
      <c r="AQ80" s="115">
        <f t="array" ref="AQ80">IFERROR(
MEDIAN(IF(DATOS_[Sexo]=$B80,IF(DATOS_[AGRUP. CLAS. PROF.]=$B78,IF(DATOS_[Check Periodo Ref.]="Dentro",DATOS_[Tot Extrasalarial Ef],FALSE)))),
0)</f>
        <v>0</v>
      </c>
      <c r="AR80" s="116">
        <f t="array" ref="AR80">IFERROR(
MEDIAN(IF(DATOS_[Sexo]=$B80,IF(DATOS_[AGRUP. CLAS. PROF.]=$B78,IF(DATOS_[Check Periodo Ref.]="Dentro",DATOS_[TOTAL Retrib Ef],FALSE)))),
0)</f>
        <v>0</v>
      </c>
    </row>
    <row r="81" spans="1:44" ht="17.25" hidden="1" thickBot="1" x14ac:dyDescent="0.35">
      <c r="A81" s="42" t="str">
        <f t="shared" ref="A81" si="91">+A82</f>
        <v>[ocultar]</v>
      </c>
      <c r="B81" s="40" t="s">
        <v>239</v>
      </c>
      <c r="C81" s="109"/>
      <c r="D81" s="41"/>
      <c r="E81" s="119" t="str">
        <f t="shared" ref="E81:AR81" si="92">IFERROR((E82-E83)/E82,"")</f>
        <v/>
      </c>
      <c r="F81" s="123" t="str">
        <f t="shared" si="92"/>
        <v/>
      </c>
      <c r="G81" s="123" t="str">
        <f t="shared" si="92"/>
        <v/>
      </c>
      <c r="H81" s="123" t="str">
        <f t="shared" si="92"/>
        <v/>
      </c>
      <c r="I81" s="123" t="str">
        <f t="shared" si="92"/>
        <v/>
      </c>
      <c r="J81" s="123" t="str">
        <f t="shared" si="92"/>
        <v/>
      </c>
      <c r="K81" s="123" t="str">
        <f t="shared" si="92"/>
        <v/>
      </c>
      <c r="L81" s="123" t="str">
        <f t="shared" si="92"/>
        <v/>
      </c>
      <c r="M81" s="123" t="str">
        <f t="shared" si="92"/>
        <v/>
      </c>
      <c r="N81" s="123" t="str">
        <f t="shared" si="92"/>
        <v/>
      </c>
      <c r="O81" s="123" t="str">
        <f t="shared" si="92"/>
        <v/>
      </c>
      <c r="P81" s="123" t="str">
        <f t="shared" si="92"/>
        <v/>
      </c>
      <c r="Q81" s="123" t="str">
        <f t="shared" si="92"/>
        <v/>
      </c>
      <c r="R81" s="123" t="str">
        <f t="shared" si="92"/>
        <v/>
      </c>
      <c r="S81" s="123" t="str">
        <f t="shared" si="92"/>
        <v/>
      </c>
      <c r="T81" s="123" t="str">
        <f t="shared" si="92"/>
        <v/>
      </c>
      <c r="U81" s="123" t="str">
        <f t="shared" si="92"/>
        <v/>
      </c>
      <c r="V81" s="122" t="str">
        <f t="shared" si="92"/>
        <v/>
      </c>
      <c r="W81" s="122" t="str">
        <f t="shared" si="92"/>
        <v/>
      </c>
      <c r="X81" s="122" t="str">
        <f t="shared" si="92"/>
        <v/>
      </c>
      <c r="Y81" s="122" t="str">
        <f t="shared" si="92"/>
        <v/>
      </c>
      <c r="Z81" s="122" t="str">
        <f t="shared" si="92"/>
        <v/>
      </c>
      <c r="AA81" s="122" t="str">
        <f t="shared" si="92"/>
        <v/>
      </c>
      <c r="AB81" s="122" t="str">
        <f t="shared" si="92"/>
        <v/>
      </c>
      <c r="AC81" s="122" t="str">
        <f t="shared" si="92"/>
        <v/>
      </c>
      <c r="AD81" s="122" t="str">
        <f t="shared" si="92"/>
        <v/>
      </c>
      <c r="AE81" s="122" t="str">
        <f t="shared" si="92"/>
        <v/>
      </c>
      <c r="AF81" s="122" t="str">
        <f t="shared" si="92"/>
        <v/>
      </c>
      <c r="AG81" s="122" t="str">
        <f t="shared" si="92"/>
        <v/>
      </c>
      <c r="AH81" s="122" t="str">
        <f t="shared" si="92"/>
        <v/>
      </c>
      <c r="AI81" s="122" t="str">
        <f t="shared" si="92"/>
        <v/>
      </c>
      <c r="AJ81" s="124" t="str">
        <f t="shared" si="92"/>
        <v/>
      </c>
      <c r="AK81" s="128" t="str">
        <f t="shared" si="92"/>
        <v/>
      </c>
      <c r="AL81" s="125" t="str">
        <f t="shared" si="92"/>
        <v/>
      </c>
      <c r="AM81" s="125" t="str">
        <f t="shared" si="92"/>
        <v/>
      </c>
      <c r="AN81" s="125" t="str">
        <f t="shared" si="92"/>
        <v/>
      </c>
      <c r="AO81" s="125" t="str">
        <f t="shared" si="92"/>
        <v/>
      </c>
      <c r="AP81" s="125" t="str">
        <f t="shared" si="92"/>
        <v/>
      </c>
      <c r="AQ81" s="126" t="str">
        <f t="shared" si="92"/>
        <v/>
      </c>
      <c r="AR81" s="127" t="str">
        <f t="shared" si="92"/>
        <v/>
      </c>
    </row>
    <row r="82" spans="1:44" hidden="1" x14ac:dyDescent="0.3">
      <c r="A82" s="42" t="str">
        <f t="shared" ref="A82" si="93">+IF(C82+C83=0,"[ocultar]","")</f>
        <v>[ocultar]</v>
      </c>
      <c r="B82" s="34" t="s">
        <v>162</v>
      </c>
      <c r="C82" s="33">
        <f t="array" ref="C82">SUM(IF($B82=DATOS_[Sexo],
IF($B81=DATOS_[AGRUP. CLAS. PROF.],
IF("Dentro"=DATOS_[Check Periodo Ref.],
1/(COUNTIFS(DATOS_[Sexo],$B82,DATOS_[AGRUP. CLAS. PROF.],$B81,DATOS_[Check Periodo Ref.],"Dentro",DATOS_[id],DATOS_[id]))))))</f>
        <v>0</v>
      </c>
      <c r="D82" s="35">
        <f>COUNTIFS(DATOS_[AGRUP. CLAS. PROF.],$B81,DATOS_[Sexo],$B82,DATOS_[Check Periodo Ref.],"Dentro")</f>
        <v>0</v>
      </c>
      <c r="E82" s="110">
        <f t="array" ref="E82">IFERROR(
MEDIAN(IF(DATOS_[Sexo]=$B82,IF(DATOS_[AGRUP. CLAS. PROF.]=$B81,IF(DATOS_[Check Periodo Ref.]="Dentro",DATOS_[SALARIO BASE Ef],FALSE)))),
0)</f>
        <v>0</v>
      </c>
      <c r="F82" s="111">
        <f t="array" ref="F82">IFERROR(
MEDIAN((IF(DATOS_[[Sexo]:[Sexo]]=$B82,IF(DATOS_[[AGRUP. CLAS. PROF.]:[AGRUP. CLAS. PROF.]]=$B81,IF(DATOS_[[Check Periodo Ref.]:[Check Periodo Ref.]]="Dentro",DATOS_[Conc.Sal.01]))))),
0)</f>
        <v>0</v>
      </c>
      <c r="G82" s="111">
        <f t="array" ref="G82">IFERROR(
MEDIAN((IF(DATOS_[[Sexo]:[Sexo]]=$B82,IF(DATOS_[[AGRUP. CLAS. PROF.]:[AGRUP. CLAS. PROF.]]=$B81,IF(DATOS_[[Check Periodo Ref.]:[Check Periodo Ref.]]="Dentro",DATOS_[Conc.Sal.02]))))),
0)</f>
        <v>0</v>
      </c>
      <c r="H82" s="111">
        <f t="array" ref="H82">IFERROR(
MEDIAN((IF(DATOS_[[Sexo]:[Sexo]]=$B82,IF(DATOS_[[AGRUP. CLAS. PROF.]:[AGRUP. CLAS. PROF.]]=$B81,IF(DATOS_[[Check Periodo Ref.]:[Check Periodo Ref.]]="Dentro",DATOS_[Conc.Sal.03]))))),
0)</f>
        <v>0</v>
      </c>
      <c r="I82" s="111">
        <f t="array" ref="I82">IFERROR(
MEDIAN((IF(DATOS_[[Sexo]:[Sexo]]=$B82,IF(DATOS_[[AGRUP. CLAS. PROF.]:[AGRUP. CLAS. PROF.]]=$B81,IF(DATOS_[[Check Periodo Ref.]:[Check Periodo Ref.]]="Dentro",DATOS_[Conc.Sal.04]))))),
0)</f>
        <v>0</v>
      </c>
      <c r="J82" s="111">
        <f t="array" ref="J82">IFERROR(
MEDIAN((IF(DATOS_[[Sexo]:[Sexo]]=$B82,IF(DATOS_[[AGRUP. CLAS. PROF.]:[AGRUP. CLAS. PROF.]]=$B81,IF(DATOS_[[Check Periodo Ref.]:[Check Periodo Ref.]]="Dentro",DATOS_[Conc.Sal.05]))))),
0)</f>
        <v>0</v>
      </c>
      <c r="K82" s="111">
        <f t="array" ref="K82">IFERROR(
MEDIAN((IF(DATOS_[[Sexo]:[Sexo]]=$B82,IF(DATOS_[[AGRUP. CLAS. PROF.]:[AGRUP. CLAS. PROF.]]=$B81,IF(DATOS_[[Check Periodo Ref.]:[Check Periodo Ref.]]="Dentro",DATOS_[Conc.Sal.06]))))),
0)</f>
        <v>0</v>
      </c>
      <c r="L82" s="111">
        <f t="array" ref="L82">IFERROR(
MEDIAN((IF(DATOS_[[Sexo]:[Sexo]]=$B82,IF(DATOS_[[AGRUP. CLAS. PROF.]:[AGRUP. CLAS. PROF.]]=$B81,IF(DATOS_[[Check Periodo Ref.]:[Check Periodo Ref.]]="Dentro",DATOS_[Conc.Sal.07]))))),
0)</f>
        <v>0</v>
      </c>
      <c r="M82" s="111">
        <f t="array" ref="M82">IFERROR(
MEDIAN((IF(DATOS_[[Sexo]:[Sexo]]=$B82,IF(DATOS_[[AGRUP. CLAS. PROF.]:[AGRUP. CLAS. PROF.]]=$B81,IF(DATOS_[[Check Periodo Ref.]:[Check Periodo Ref.]]="Dentro",DATOS_[Conc.Sal.08]))))),
0)</f>
        <v>0</v>
      </c>
      <c r="N82" s="111">
        <f t="array" ref="N82">IFERROR(
MEDIAN((IF(DATOS_[[Sexo]:[Sexo]]=$B82,IF(DATOS_[[AGRUP. CLAS. PROF.]:[AGRUP. CLAS. PROF.]]=$B81,IF(DATOS_[[Check Periodo Ref.]:[Check Periodo Ref.]]="Dentro",DATOS_[Conc.Sal.09]))))),
0)</f>
        <v>0</v>
      </c>
      <c r="O82" s="111">
        <f t="array" ref="O82">IFERROR(
MEDIAN((IF(DATOS_[[Sexo]:[Sexo]]=$B82,IF(DATOS_[[AGRUP. CLAS. PROF.]:[AGRUP. CLAS. PROF.]]=$B81,IF(DATOS_[[Check Periodo Ref.]:[Check Periodo Ref.]]="Dentro",DATOS_[Conc.Sal.10]))))),
0)</f>
        <v>0</v>
      </c>
      <c r="P82" s="111">
        <f t="array" ref="P82">IFERROR(
MEDIAN((IF(DATOS_[[Sexo]:[Sexo]]=$B82,IF(DATOS_[[AGRUP. CLAS. PROF.]:[AGRUP. CLAS. PROF.]]=$B81,IF(DATOS_[[Check Periodo Ref.]:[Check Periodo Ref.]]="Dentro",DATOS_[Conc.Sal.11]))))),
0)</f>
        <v>0</v>
      </c>
      <c r="Q82" s="111">
        <f t="array" ref="Q82">IFERROR(
MEDIAN((IF(DATOS_[[Sexo]:[Sexo]]=$B82,IF(DATOS_[[AGRUP. CLAS. PROF.]:[AGRUP. CLAS. PROF.]]=$B81,IF(DATOS_[[Check Periodo Ref.]:[Check Periodo Ref.]]="Dentro",DATOS_[Conc.Sal.12]))))),
0)</f>
        <v>0</v>
      </c>
      <c r="R82" s="111">
        <f t="array" ref="R82">IFERROR(
MEDIAN((IF(DATOS_[[Sexo]:[Sexo]]=$B82,IF(DATOS_[[AGRUP. CLAS. PROF.]:[AGRUP. CLAS. PROF.]]=$B81,IF(DATOS_[[Check Periodo Ref.]:[Check Periodo Ref.]]="Dentro",DATOS_[Conc.Sal.13]))))),
0)</f>
        <v>0</v>
      </c>
      <c r="S82" s="111">
        <f t="array" ref="S82">IFERROR(
MEDIAN((IF(DATOS_[[Sexo]:[Sexo]]=$B82,IF(DATOS_[[AGRUP. CLAS. PROF.]:[AGRUP. CLAS. PROF.]]=$B81,IF(DATOS_[[Check Periodo Ref.]:[Check Periodo Ref.]]="Dentro",DATOS_[Conc.Sal.14]))))),
0)</f>
        <v>0</v>
      </c>
      <c r="T82" s="111">
        <f t="array" ref="T82">IFERROR(
MEDIAN((IF(DATOS_[[Sexo]:[Sexo]]=$B82,IF(DATOS_[[AGRUP. CLAS. PROF.]:[AGRUP. CLAS. PROF.]]=$B81,IF(DATOS_[[Check Periodo Ref.]:[Check Periodo Ref.]]="Dentro",DATOS_[Conc.Sal.15]))))),
0)</f>
        <v>0</v>
      </c>
      <c r="U82" s="111">
        <f t="array" ref="U82">IFERROR(
MEDIAN((IF(DATOS_[[Sexo]:[Sexo]]=$B82,IF(DATOS_[[AGRUP. CLAS. PROF.]:[AGRUP. CLAS. PROF.]]=$B81,IF(DATOS_[[Check Periodo Ref.]:[Check Periodo Ref.]]="Dentro",DATOS_[Conc.Sal.16]))))),
0)</f>
        <v>0</v>
      </c>
      <c r="V82" s="111">
        <f t="array" ref="V82">IFERROR(
MEDIAN((IF(DATOS_[[Sexo]:[Sexo]]=$B82,IF(DATOS_[[AGRUP. CLAS. PROF.]:[AGRUP. CLAS. PROF.]]=$B81,IF(DATOS_[[Check Periodo Ref.]:[Check Periodo Ref.]]="Dentro",DATOS_[Conc.Sal.17]))))),
0)</f>
        <v>0</v>
      </c>
      <c r="W82" s="111">
        <f t="array" ref="W82">IFERROR(
MEDIAN((IF(DATOS_[[Sexo]:[Sexo]]=$B82,IF(DATOS_[[AGRUP. CLAS. PROF.]:[AGRUP. CLAS. PROF.]]=$B81,IF(DATOS_[[Check Periodo Ref.]:[Check Periodo Ref.]]="Dentro",DATOS_[Conc.Sal.18]))))),
0)</f>
        <v>0</v>
      </c>
      <c r="X82" s="111">
        <f t="array" ref="X82">IFERROR(
MEDIAN((IF(DATOS_[[Sexo]:[Sexo]]=$B82,IF(DATOS_[[AGRUP. CLAS. PROF.]:[AGRUP. CLAS. PROF.]]=$B81,IF(DATOS_[[Check Periodo Ref.]:[Check Periodo Ref.]]="Dentro",DATOS_[Conc.Sal.19]))))),
0)</f>
        <v>0</v>
      </c>
      <c r="Y82" s="111">
        <f t="array" ref="Y82">IFERROR(
MEDIAN((IF(DATOS_[[Sexo]:[Sexo]]=$B82,IF(DATOS_[[AGRUP. CLAS. PROF.]:[AGRUP. CLAS. PROF.]]=$B81,IF(DATOS_[[Check Periodo Ref.]:[Check Periodo Ref.]]="Dentro",DATOS_[Conc.Sal.20]))))),
0)</f>
        <v>0</v>
      </c>
      <c r="Z82" s="111">
        <f t="array" ref="Z82">IFERROR(
MEDIAN((IF(DATOS_[[Sexo]:[Sexo]]=$B82,IF(DATOS_[[AGRUP. CLAS. PROF.]:[AGRUP. CLAS. PROF.]]=$B81,IF(DATOS_[[Check Periodo Ref.]:[Check Periodo Ref.]]="Dentro",DATOS_[Conc.Sal.21]))))),
0)</f>
        <v>0</v>
      </c>
      <c r="AA82" s="111">
        <f t="array" ref="AA82">IFERROR(
MEDIAN((IF(DATOS_[[Sexo]:[Sexo]]=$B82,IF(DATOS_[[AGRUP. CLAS. PROF.]:[AGRUP. CLAS. PROF.]]=$B81,IF(DATOS_[[Check Periodo Ref.]:[Check Periodo Ref.]]="Dentro",DATOS_[Conc.Sal.22]))))),
0)</f>
        <v>0</v>
      </c>
      <c r="AB82" s="111">
        <f t="array" ref="AB82">IFERROR(
MEDIAN((IF(DATOS_[[Sexo]:[Sexo]]=$B82,IF(DATOS_[[AGRUP. CLAS. PROF.]:[AGRUP. CLAS. PROF.]]=$B81,IF(DATOS_[[Check Periodo Ref.]:[Check Periodo Ref.]]="Dentro",DATOS_[Conc.Sal.23]))))),
0)</f>
        <v>0</v>
      </c>
      <c r="AC82" s="111">
        <f t="array" ref="AC82">IFERROR(
MEDIAN((IF(DATOS_[[Sexo]:[Sexo]]=$B82,IF(DATOS_[[AGRUP. CLAS. PROF.]:[AGRUP. CLAS. PROF.]]=$B81,IF(DATOS_[[Check Periodo Ref.]:[Check Periodo Ref.]]="Dentro",DATOS_[Conc.Sal.24]))))),
0)</f>
        <v>0</v>
      </c>
      <c r="AD82" s="111">
        <f t="array" ref="AD82">IFERROR(
MEDIAN((IF(DATOS_[[Sexo]:[Sexo]]=$B82,IF(DATOS_[[AGRUP. CLAS. PROF.]:[AGRUP. CLAS. PROF.]]=$B81,IF(DATOS_[[Check Periodo Ref.]:[Check Periodo Ref.]]="Dentro",DATOS_[Conc.Sal.25]))))),
0)</f>
        <v>0</v>
      </c>
      <c r="AE82" s="111">
        <f t="array" ref="AE82">IFERROR(
MEDIAN((IF(DATOS_[[Sexo]:[Sexo]]=$B82,IF(DATOS_[[AGRUP. CLAS. PROF.]:[AGRUP. CLAS. PROF.]]=$B81,IF(DATOS_[[Check Periodo Ref.]:[Check Periodo Ref.]]="Dentro",DATOS_[Conc.Sal.26]))))),
0)</f>
        <v>0</v>
      </c>
      <c r="AF82" s="111">
        <f t="array" ref="AF82">IFERROR(
MEDIAN((IF(DATOS_[[Sexo]:[Sexo]]=$B82,IF(DATOS_[[AGRUP. CLAS. PROF.]:[AGRUP. CLAS. PROF.]]=$B81,IF(DATOS_[[Check Periodo Ref.]:[Check Periodo Ref.]]="Dentro",DATOS_[Conc.Sal.27]))))),
0)</f>
        <v>0</v>
      </c>
      <c r="AG82" s="111">
        <f t="array" ref="AG82">IFERROR(
MEDIAN((IF(DATOS_[[Sexo]:[Sexo]]=$B82,IF(DATOS_[[AGRUP. CLAS. PROF.]:[AGRUP. CLAS. PROF.]]=$B81,IF(DATOS_[[Check Periodo Ref.]:[Check Periodo Ref.]]="Dentro",DATOS_[Conc.Sal.28]))))),
0)</f>
        <v>0</v>
      </c>
      <c r="AH82" s="111">
        <f t="array" ref="AH82">IFERROR(
MEDIAN((IF(DATOS_[[Sexo]:[Sexo]]=$B82,IF(DATOS_[[AGRUP. CLAS. PROF.]:[AGRUP. CLAS. PROF.]]=$B81,IF(DATOS_[[Check Periodo Ref.]:[Check Periodo Ref.]]="Dentro",DATOS_[Conc.Sal.29]))))),
0)</f>
        <v>0</v>
      </c>
      <c r="AI82" s="111">
        <f t="array" ref="AI82">IFERROR(
MEDIAN((IF(DATOS_[[Sexo]:[Sexo]]=$B82,IF(DATOS_[[AGRUP. CLAS. PROF.]:[AGRUP. CLAS. PROF.]]=$B81,IF(DATOS_[[Check Periodo Ref.]:[Check Periodo Ref.]]="Dentro",DATOS_[Conc.Sal.30]))))),
0)</f>
        <v>0</v>
      </c>
      <c r="AJ82" s="112">
        <f t="array" ref="AJ82">IFERROR(
MEDIAN(IF(DATOS_[Sexo]=$B82,IF(DATOS_[AGRUP. CLAS. PROF.]=$B81,IF(DATOS_[Check Periodo Ref.]="Dentro",DATOS_[Tot COMPL.SAL Ef],FALSE)))),
0)</f>
        <v>0</v>
      </c>
      <c r="AK82" s="113">
        <f t="array" ref="AK82">IFERROR(
MEDIAN(IF(DATOS_[Sexo]=$B82,IF(DATOS_[AGRUP. CLAS. PROF.]=$B81,IF(DATOS_[Check Periodo Ref.]="Dentro",DATOS_[TOTAL SALARIO Ef],FALSE)))),
0)</f>
        <v>0</v>
      </c>
      <c r="AL82" s="114">
        <f t="array" ref="AL82">IFERROR(
MEDIAN((IF(DATOS_[[Sexo]:[Sexo]]=$B82,IF(DATOS_[[AGRUP. CLAS. PROF.]:[AGRUP. CLAS. PROF.]]=$B81,IF(DATOS_[[Check Periodo Ref.]:[Check Periodo Ref.]]="Dentro",DATOS_[C.Extra.01]))))),
0)</f>
        <v>0</v>
      </c>
      <c r="AM82" s="114">
        <f t="array" ref="AM82">IFERROR(
MEDIAN((IF(DATOS_[[Sexo]:[Sexo]]=$B82,IF(DATOS_[[AGRUP. CLAS. PROF.]:[AGRUP. CLAS. PROF.]]=$B81,IF(DATOS_[[Check Periodo Ref.]:[Check Periodo Ref.]]="Dentro",DATOS_[C.Extra.02]))))),
0)</f>
        <v>0</v>
      </c>
      <c r="AN82" s="114">
        <f t="array" ref="AN82">IFERROR(
MEDIAN((IF(DATOS_[[Sexo]:[Sexo]]=$B82,IF(DATOS_[[AGRUP. CLAS. PROF.]:[AGRUP. CLAS. PROF.]]=$B81,IF(DATOS_[[Check Periodo Ref.]:[Check Periodo Ref.]]="Dentro",DATOS_[C.Extra.03]))))),
0)</f>
        <v>0</v>
      </c>
      <c r="AO82" s="114">
        <f t="array" ref="AO82">IFERROR(
MEDIAN((IF(DATOS_[[Sexo]:[Sexo]]=$B82,IF(DATOS_[[AGRUP. CLAS. PROF.]:[AGRUP. CLAS. PROF.]]=$B81,IF(DATOS_[[Check Periodo Ref.]:[Check Periodo Ref.]]="Dentro",DATOS_[C.Extra.04]))))),
0)</f>
        <v>0</v>
      </c>
      <c r="AP82" s="114">
        <f t="array" ref="AP82">IFERROR(
MEDIAN((IF(DATOS_[[Sexo]:[Sexo]]=$B82,IF(DATOS_[[AGRUP. CLAS. PROF.]:[AGRUP. CLAS. PROF.]]=$B81,IF(DATOS_[[Check Periodo Ref.]:[Check Periodo Ref.]]="Dentro",DATOS_[C.Extra.05]))))),
0)</f>
        <v>0</v>
      </c>
      <c r="AQ82" s="115">
        <f t="array" ref="AQ82">IFERROR(
MEDIAN(IF(DATOS_[Sexo]=$B82,IF(DATOS_[AGRUP. CLAS. PROF.]=$B81,IF(DATOS_[Check Periodo Ref.]="Dentro",DATOS_[Tot Extrasalarial Ef],FALSE)))),
0)</f>
        <v>0</v>
      </c>
      <c r="AR82" s="116">
        <f t="array" ref="AR82">IFERROR(
MEDIAN(IF(DATOS_[Sexo]=$B82,IF(DATOS_[AGRUP. CLAS. PROF.]=$B81,IF(DATOS_[Check Periodo Ref.]="Dentro",DATOS_[TOTAL Retrib Ef],FALSE)))),
0)</f>
        <v>0</v>
      </c>
    </row>
    <row r="83" spans="1:44" hidden="1" x14ac:dyDescent="0.3">
      <c r="A83" s="42" t="str">
        <f t="shared" ref="A83" si="94">+A82</f>
        <v>[ocultar]</v>
      </c>
      <c r="B83" s="34" t="s">
        <v>163</v>
      </c>
      <c r="C83" s="33">
        <f t="array" ref="C83">SUM(IF($B83=DATOS_[Sexo],
IF($B81=DATOS_[AGRUP. CLAS. PROF.],
IF("Dentro"=DATOS_[Check Periodo Ref.],
1/(COUNTIFS(DATOS_[Sexo],$B83,DATOS_[AGRUP. CLAS. PROF.],$B81,DATOS_[Check Periodo Ref.],"Dentro",DATOS_[id],DATOS_[id]))))))</f>
        <v>0</v>
      </c>
      <c r="D83" s="35">
        <f>COUNTIFS(DATOS_[AGRUP. CLAS. PROF.],$B81,DATOS_[Sexo],$B83,DATOS_[Check Periodo Ref.],"Dentro")</f>
        <v>0</v>
      </c>
      <c r="E83" s="110">
        <f t="array" ref="E83">IFERROR(
MEDIAN(IF(DATOS_[Sexo]=$B83,IF(DATOS_[AGRUP. CLAS. PROF.]=$B81,IF(DATOS_[Check Periodo Ref.]="Dentro",DATOS_[SALARIO BASE Ef],FALSE)))),
0)</f>
        <v>0</v>
      </c>
      <c r="F83" s="111">
        <f t="array" ref="F83">IFERROR(
MEDIAN((IF(DATOS_[[Sexo]:[Sexo]]=$B83,IF(DATOS_[[AGRUP. CLAS. PROF.]:[AGRUP. CLAS. PROF.]]=$B81,IF(DATOS_[[Check Periodo Ref.]:[Check Periodo Ref.]]="Dentro",DATOS_[Conc.Sal.01]))))),
0)</f>
        <v>0</v>
      </c>
      <c r="G83" s="111">
        <f t="array" ref="G83">IFERROR(
MEDIAN((IF(DATOS_[[Sexo]:[Sexo]]=$B83,IF(DATOS_[[AGRUP. CLAS. PROF.]:[AGRUP. CLAS. PROF.]]=$B81,IF(DATOS_[[Check Periodo Ref.]:[Check Periodo Ref.]]="Dentro",DATOS_[Conc.Sal.02]))))),
0)</f>
        <v>0</v>
      </c>
      <c r="H83" s="111">
        <f t="array" ref="H83">IFERROR(
MEDIAN((IF(DATOS_[[Sexo]:[Sexo]]=$B83,IF(DATOS_[[AGRUP. CLAS. PROF.]:[AGRUP. CLAS. PROF.]]=$B81,IF(DATOS_[[Check Periodo Ref.]:[Check Periodo Ref.]]="Dentro",DATOS_[Conc.Sal.03]))))),
0)</f>
        <v>0</v>
      </c>
      <c r="I83" s="111">
        <f t="array" ref="I83">IFERROR(
MEDIAN((IF(DATOS_[[Sexo]:[Sexo]]=$B83,IF(DATOS_[[AGRUP. CLAS. PROF.]:[AGRUP. CLAS. PROF.]]=$B81,IF(DATOS_[[Check Periodo Ref.]:[Check Periodo Ref.]]="Dentro",DATOS_[Conc.Sal.04]))))),
0)</f>
        <v>0</v>
      </c>
      <c r="J83" s="111">
        <f t="array" ref="J83">IFERROR(
MEDIAN((IF(DATOS_[[Sexo]:[Sexo]]=$B83,IF(DATOS_[[AGRUP. CLAS. PROF.]:[AGRUP. CLAS. PROF.]]=$B81,IF(DATOS_[[Check Periodo Ref.]:[Check Periodo Ref.]]="Dentro",DATOS_[Conc.Sal.05]))))),
0)</f>
        <v>0</v>
      </c>
      <c r="K83" s="111">
        <f t="array" ref="K83">IFERROR(
MEDIAN((IF(DATOS_[[Sexo]:[Sexo]]=$B83,IF(DATOS_[[AGRUP. CLAS. PROF.]:[AGRUP. CLAS. PROF.]]=$B81,IF(DATOS_[[Check Periodo Ref.]:[Check Periodo Ref.]]="Dentro",DATOS_[Conc.Sal.06]))))),
0)</f>
        <v>0</v>
      </c>
      <c r="L83" s="111">
        <f t="array" ref="L83">IFERROR(
MEDIAN((IF(DATOS_[[Sexo]:[Sexo]]=$B83,IF(DATOS_[[AGRUP. CLAS. PROF.]:[AGRUP. CLAS. PROF.]]=$B81,IF(DATOS_[[Check Periodo Ref.]:[Check Periodo Ref.]]="Dentro",DATOS_[Conc.Sal.07]))))),
0)</f>
        <v>0</v>
      </c>
      <c r="M83" s="111">
        <f t="array" ref="M83">IFERROR(
MEDIAN((IF(DATOS_[[Sexo]:[Sexo]]=$B83,IF(DATOS_[[AGRUP. CLAS. PROF.]:[AGRUP. CLAS. PROF.]]=$B81,IF(DATOS_[[Check Periodo Ref.]:[Check Periodo Ref.]]="Dentro",DATOS_[Conc.Sal.08]))))),
0)</f>
        <v>0</v>
      </c>
      <c r="N83" s="111">
        <f t="array" ref="N83">IFERROR(
MEDIAN((IF(DATOS_[[Sexo]:[Sexo]]=$B83,IF(DATOS_[[AGRUP. CLAS. PROF.]:[AGRUP. CLAS. PROF.]]=$B81,IF(DATOS_[[Check Periodo Ref.]:[Check Periodo Ref.]]="Dentro",DATOS_[Conc.Sal.09]))))),
0)</f>
        <v>0</v>
      </c>
      <c r="O83" s="111">
        <f t="array" ref="O83">IFERROR(
MEDIAN((IF(DATOS_[[Sexo]:[Sexo]]=$B83,IF(DATOS_[[AGRUP. CLAS. PROF.]:[AGRUP. CLAS. PROF.]]=$B81,IF(DATOS_[[Check Periodo Ref.]:[Check Periodo Ref.]]="Dentro",DATOS_[Conc.Sal.10]))))),
0)</f>
        <v>0</v>
      </c>
      <c r="P83" s="111">
        <f t="array" ref="P83">IFERROR(
MEDIAN((IF(DATOS_[[Sexo]:[Sexo]]=$B83,IF(DATOS_[[AGRUP. CLAS. PROF.]:[AGRUP. CLAS. PROF.]]=$B81,IF(DATOS_[[Check Periodo Ref.]:[Check Periodo Ref.]]="Dentro",DATOS_[Conc.Sal.11]))))),
0)</f>
        <v>0</v>
      </c>
      <c r="Q83" s="111">
        <f t="array" ref="Q83">IFERROR(
MEDIAN((IF(DATOS_[[Sexo]:[Sexo]]=$B83,IF(DATOS_[[AGRUP. CLAS. PROF.]:[AGRUP. CLAS. PROF.]]=$B81,IF(DATOS_[[Check Periodo Ref.]:[Check Periodo Ref.]]="Dentro",DATOS_[Conc.Sal.12]))))),
0)</f>
        <v>0</v>
      </c>
      <c r="R83" s="111">
        <f t="array" ref="R83">IFERROR(
MEDIAN((IF(DATOS_[[Sexo]:[Sexo]]=$B83,IF(DATOS_[[AGRUP. CLAS. PROF.]:[AGRUP. CLAS. PROF.]]=$B81,IF(DATOS_[[Check Periodo Ref.]:[Check Periodo Ref.]]="Dentro",DATOS_[Conc.Sal.13]))))),
0)</f>
        <v>0</v>
      </c>
      <c r="S83" s="111">
        <f t="array" ref="S83">IFERROR(
MEDIAN((IF(DATOS_[[Sexo]:[Sexo]]=$B83,IF(DATOS_[[AGRUP. CLAS. PROF.]:[AGRUP. CLAS. PROF.]]=$B81,IF(DATOS_[[Check Periodo Ref.]:[Check Periodo Ref.]]="Dentro",DATOS_[Conc.Sal.14]))))),
0)</f>
        <v>0</v>
      </c>
      <c r="T83" s="111">
        <f t="array" ref="T83">IFERROR(
MEDIAN((IF(DATOS_[[Sexo]:[Sexo]]=$B83,IF(DATOS_[[AGRUP. CLAS. PROF.]:[AGRUP. CLAS. PROF.]]=$B81,IF(DATOS_[[Check Periodo Ref.]:[Check Periodo Ref.]]="Dentro",DATOS_[Conc.Sal.15]))))),
0)</f>
        <v>0</v>
      </c>
      <c r="U83" s="111">
        <f t="array" ref="U83">IFERROR(
MEDIAN((IF(DATOS_[[Sexo]:[Sexo]]=$B83,IF(DATOS_[[AGRUP. CLAS. PROF.]:[AGRUP. CLAS. PROF.]]=$B81,IF(DATOS_[[Check Periodo Ref.]:[Check Periodo Ref.]]="Dentro",DATOS_[Conc.Sal.16]))))),
0)</f>
        <v>0</v>
      </c>
      <c r="V83" s="111">
        <f t="array" ref="V83">IFERROR(
MEDIAN((IF(DATOS_[[Sexo]:[Sexo]]=$B83,IF(DATOS_[[AGRUP. CLAS. PROF.]:[AGRUP. CLAS. PROF.]]=$B81,IF(DATOS_[[Check Periodo Ref.]:[Check Periodo Ref.]]="Dentro",DATOS_[Conc.Sal.17]))))),
0)</f>
        <v>0</v>
      </c>
      <c r="W83" s="111">
        <f t="array" ref="W83">IFERROR(
MEDIAN((IF(DATOS_[[Sexo]:[Sexo]]=$B83,IF(DATOS_[[AGRUP. CLAS. PROF.]:[AGRUP. CLAS. PROF.]]=$B81,IF(DATOS_[[Check Periodo Ref.]:[Check Periodo Ref.]]="Dentro",DATOS_[Conc.Sal.18]))))),
0)</f>
        <v>0</v>
      </c>
      <c r="X83" s="111">
        <f t="array" ref="X83">IFERROR(
MEDIAN((IF(DATOS_[[Sexo]:[Sexo]]=$B83,IF(DATOS_[[AGRUP. CLAS. PROF.]:[AGRUP. CLAS. PROF.]]=$B81,IF(DATOS_[[Check Periodo Ref.]:[Check Periodo Ref.]]="Dentro",DATOS_[Conc.Sal.19]))))),
0)</f>
        <v>0</v>
      </c>
      <c r="Y83" s="111">
        <f t="array" ref="Y83">IFERROR(
MEDIAN((IF(DATOS_[[Sexo]:[Sexo]]=$B83,IF(DATOS_[[AGRUP. CLAS. PROF.]:[AGRUP. CLAS. PROF.]]=$B81,IF(DATOS_[[Check Periodo Ref.]:[Check Periodo Ref.]]="Dentro",DATOS_[Conc.Sal.20]))))),
0)</f>
        <v>0</v>
      </c>
      <c r="Z83" s="111">
        <f t="array" ref="Z83">IFERROR(
MEDIAN((IF(DATOS_[[Sexo]:[Sexo]]=$B83,IF(DATOS_[[AGRUP. CLAS. PROF.]:[AGRUP. CLAS. PROF.]]=$B81,IF(DATOS_[[Check Periodo Ref.]:[Check Periodo Ref.]]="Dentro",DATOS_[Conc.Sal.21]))))),
0)</f>
        <v>0</v>
      </c>
      <c r="AA83" s="111">
        <f t="array" ref="AA83">IFERROR(
MEDIAN((IF(DATOS_[[Sexo]:[Sexo]]=$B83,IF(DATOS_[[AGRUP. CLAS. PROF.]:[AGRUP. CLAS. PROF.]]=$B81,IF(DATOS_[[Check Periodo Ref.]:[Check Periodo Ref.]]="Dentro",DATOS_[Conc.Sal.22]))))),
0)</f>
        <v>0</v>
      </c>
      <c r="AB83" s="111">
        <f t="array" ref="AB83">IFERROR(
MEDIAN((IF(DATOS_[[Sexo]:[Sexo]]=$B83,IF(DATOS_[[AGRUP. CLAS. PROF.]:[AGRUP. CLAS. PROF.]]=$B81,IF(DATOS_[[Check Periodo Ref.]:[Check Periodo Ref.]]="Dentro",DATOS_[Conc.Sal.23]))))),
0)</f>
        <v>0</v>
      </c>
      <c r="AC83" s="111">
        <f t="array" ref="AC83">IFERROR(
MEDIAN((IF(DATOS_[[Sexo]:[Sexo]]=$B83,IF(DATOS_[[AGRUP. CLAS. PROF.]:[AGRUP. CLAS. PROF.]]=$B81,IF(DATOS_[[Check Periodo Ref.]:[Check Periodo Ref.]]="Dentro",DATOS_[Conc.Sal.24]))))),
0)</f>
        <v>0</v>
      </c>
      <c r="AD83" s="111">
        <f t="array" ref="AD83">IFERROR(
MEDIAN((IF(DATOS_[[Sexo]:[Sexo]]=$B83,IF(DATOS_[[AGRUP. CLAS. PROF.]:[AGRUP. CLAS. PROF.]]=$B81,IF(DATOS_[[Check Periodo Ref.]:[Check Periodo Ref.]]="Dentro",DATOS_[Conc.Sal.25]))))),
0)</f>
        <v>0</v>
      </c>
      <c r="AE83" s="111">
        <f t="array" ref="AE83">IFERROR(
MEDIAN((IF(DATOS_[[Sexo]:[Sexo]]=$B83,IF(DATOS_[[AGRUP. CLAS. PROF.]:[AGRUP. CLAS. PROF.]]=$B81,IF(DATOS_[[Check Periodo Ref.]:[Check Periodo Ref.]]="Dentro",DATOS_[Conc.Sal.26]))))),
0)</f>
        <v>0</v>
      </c>
      <c r="AF83" s="111">
        <f t="array" ref="AF83">IFERROR(
MEDIAN((IF(DATOS_[[Sexo]:[Sexo]]=$B83,IF(DATOS_[[AGRUP. CLAS. PROF.]:[AGRUP. CLAS. PROF.]]=$B81,IF(DATOS_[[Check Periodo Ref.]:[Check Periodo Ref.]]="Dentro",DATOS_[Conc.Sal.27]))))),
0)</f>
        <v>0</v>
      </c>
      <c r="AG83" s="111">
        <f t="array" ref="AG83">IFERROR(
MEDIAN((IF(DATOS_[[Sexo]:[Sexo]]=$B83,IF(DATOS_[[AGRUP. CLAS. PROF.]:[AGRUP. CLAS. PROF.]]=$B81,IF(DATOS_[[Check Periodo Ref.]:[Check Periodo Ref.]]="Dentro",DATOS_[Conc.Sal.28]))))),
0)</f>
        <v>0</v>
      </c>
      <c r="AH83" s="111">
        <f t="array" ref="AH83">IFERROR(
MEDIAN((IF(DATOS_[[Sexo]:[Sexo]]=$B83,IF(DATOS_[[AGRUP. CLAS. PROF.]:[AGRUP. CLAS. PROF.]]=$B81,IF(DATOS_[[Check Periodo Ref.]:[Check Periodo Ref.]]="Dentro",DATOS_[Conc.Sal.29]))))),
0)</f>
        <v>0</v>
      </c>
      <c r="AI83" s="111">
        <f t="array" ref="AI83">IFERROR(
MEDIAN((IF(DATOS_[[Sexo]:[Sexo]]=$B83,IF(DATOS_[[AGRUP. CLAS. PROF.]:[AGRUP. CLAS. PROF.]]=$B81,IF(DATOS_[[Check Periodo Ref.]:[Check Periodo Ref.]]="Dentro",DATOS_[Conc.Sal.30]))))),
0)</f>
        <v>0</v>
      </c>
      <c r="AJ83" s="112">
        <f t="array" ref="AJ83">IFERROR(
MEDIAN(IF(DATOS_[Sexo]=$B83,IF(DATOS_[AGRUP. CLAS. PROF.]=$B81,IF(DATOS_[Check Periodo Ref.]="Dentro",DATOS_[Tot COMPL.SAL Ef],FALSE)))),
0)</f>
        <v>0</v>
      </c>
      <c r="AK83" s="113">
        <f t="array" ref="AK83">IFERROR(
MEDIAN(IF(DATOS_[Sexo]=$B83,IF(DATOS_[AGRUP. CLAS. PROF.]=$B81,IF(DATOS_[Check Periodo Ref.]="Dentro",DATOS_[TOTAL SALARIO Ef],FALSE)))),
0)</f>
        <v>0</v>
      </c>
      <c r="AL83" s="114">
        <f t="array" ref="AL83">IFERROR(
MEDIAN((IF(DATOS_[[Sexo]:[Sexo]]=$B83,IF(DATOS_[[AGRUP. CLAS. PROF.]:[AGRUP. CLAS. PROF.]]=$B81,IF(DATOS_[[Check Periodo Ref.]:[Check Periodo Ref.]]="Dentro",DATOS_[C.Extra.01]))))),
0)</f>
        <v>0</v>
      </c>
      <c r="AM83" s="114">
        <f t="array" ref="AM83">IFERROR(
MEDIAN((IF(DATOS_[[Sexo]:[Sexo]]=$B83,IF(DATOS_[[AGRUP. CLAS. PROF.]:[AGRUP. CLAS. PROF.]]=$B81,IF(DATOS_[[Check Periodo Ref.]:[Check Periodo Ref.]]="Dentro",DATOS_[C.Extra.02]))))),
0)</f>
        <v>0</v>
      </c>
      <c r="AN83" s="114">
        <f t="array" ref="AN83">IFERROR(
MEDIAN((IF(DATOS_[[Sexo]:[Sexo]]=$B83,IF(DATOS_[[AGRUP. CLAS. PROF.]:[AGRUP. CLAS. PROF.]]=$B81,IF(DATOS_[[Check Periodo Ref.]:[Check Periodo Ref.]]="Dentro",DATOS_[C.Extra.03]))))),
0)</f>
        <v>0</v>
      </c>
      <c r="AO83" s="114">
        <f t="array" ref="AO83">IFERROR(
MEDIAN((IF(DATOS_[[Sexo]:[Sexo]]=$B83,IF(DATOS_[[AGRUP. CLAS. PROF.]:[AGRUP. CLAS. PROF.]]=$B81,IF(DATOS_[[Check Periodo Ref.]:[Check Periodo Ref.]]="Dentro",DATOS_[C.Extra.04]))))),
0)</f>
        <v>0</v>
      </c>
      <c r="AP83" s="114">
        <f t="array" ref="AP83">IFERROR(
MEDIAN((IF(DATOS_[[Sexo]:[Sexo]]=$B83,IF(DATOS_[[AGRUP. CLAS. PROF.]:[AGRUP. CLAS. PROF.]]=$B81,IF(DATOS_[[Check Periodo Ref.]:[Check Periodo Ref.]]="Dentro",DATOS_[C.Extra.05]))))),
0)</f>
        <v>0</v>
      </c>
      <c r="AQ83" s="115">
        <f t="array" ref="AQ83">IFERROR(
MEDIAN(IF(DATOS_[Sexo]=$B83,IF(DATOS_[AGRUP. CLAS. PROF.]=$B81,IF(DATOS_[Check Periodo Ref.]="Dentro",DATOS_[Tot Extrasalarial Ef],FALSE)))),
0)</f>
        <v>0</v>
      </c>
      <c r="AR83" s="116">
        <f t="array" ref="AR83">IFERROR(
MEDIAN(IF(DATOS_[Sexo]=$B83,IF(DATOS_[AGRUP. CLAS. PROF.]=$B81,IF(DATOS_[Check Periodo Ref.]="Dentro",DATOS_[TOTAL Retrib Ef],FALSE)))),
0)</f>
        <v>0</v>
      </c>
    </row>
    <row r="84" spans="1:44" ht="17.25" hidden="1" thickBot="1" x14ac:dyDescent="0.35">
      <c r="A84" s="42" t="str">
        <f t="shared" ref="A84" si="95">+A85</f>
        <v>[ocultar]</v>
      </c>
      <c r="B84" s="40" t="s">
        <v>240</v>
      </c>
      <c r="C84" s="109"/>
      <c r="D84" s="41"/>
      <c r="E84" s="119" t="str">
        <f t="shared" ref="E84:AR84" si="96">IFERROR((E85-E86)/E85,"")</f>
        <v/>
      </c>
      <c r="F84" s="123" t="str">
        <f t="shared" si="96"/>
        <v/>
      </c>
      <c r="G84" s="123" t="str">
        <f t="shared" si="96"/>
        <v/>
      </c>
      <c r="H84" s="123" t="str">
        <f t="shared" si="96"/>
        <v/>
      </c>
      <c r="I84" s="123" t="str">
        <f t="shared" si="96"/>
        <v/>
      </c>
      <c r="J84" s="123" t="str">
        <f t="shared" si="96"/>
        <v/>
      </c>
      <c r="K84" s="123" t="str">
        <f t="shared" si="96"/>
        <v/>
      </c>
      <c r="L84" s="123" t="str">
        <f t="shared" si="96"/>
        <v/>
      </c>
      <c r="M84" s="123" t="str">
        <f t="shared" si="96"/>
        <v/>
      </c>
      <c r="N84" s="123" t="str">
        <f t="shared" si="96"/>
        <v/>
      </c>
      <c r="O84" s="123" t="str">
        <f t="shared" si="96"/>
        <v/>
      </c>
      <c r="P84" s="123" t="str">
        <f t="shared" si="96"/>
        <v/>
      </c>
      <c r="Q84" s="123" t="str">
        <f t="shared" si="96"/>
        <v/>
      </c>
      <c r="R84" s="123" t="str">
        <f t="shared" si="96"/>
        <v/>
      </c>
      <c r="S84" s="123" t="str">
        <f t="shared" si="96"/>
        <v/>
      </c>
      <c r="T84" s="123" t="str">
        <f t="shared" si="96"/>
        <v/>
      </c>
      <c r="U84" s="123" t="str">
        <f t="shared" si="96"/>
        <v/>
      </c>
      <c r="V84" s="122" t="str">
        <f t="shared" si="96"/>
        <v/>
      </c>
      <c r="W84" s="122" t="str">
        <f t="shared" si="96"/>
        <v/>
      </c>
      <c r="X84" s="122" t="str">
        <f t="shared" si="96"/>
        <v/>
      </c>
      <c r="Y84" s="122" t="str">
        <f t="shared" si="96"/>
        <v/>
      </c>
      <c r="Z84" s="122" t="str">
        <f t="shared" si="96"/>
        <v/>
      </c>
      <c r="AA84" s="122" t="str">
        <f t="shared" si="96"/>
        <v/>
      </c>
      <c r="AB84" s="122" t="str">
        <f t="shared" si="96"/>
        <v/>
      </c>
      <c r="AC84" s="122" t="str">
        <f t="shared" si="96"/>
        <v/>
      </c>
      <c r="AD84" s="122" t="str">
        <f t="shared" si="96"/>
        <v/>
      </c>
      <c r="AE84" s="122" t="str">
        <f t="shared" si="96"/>
        <v/>
      </c>
      <c r="AF84" s="122" t="str">
        <f t="shared" si="96"/>
        <v/>
      </c>
      <c r="AG84" s="122" t="str">
        <f t="shared" si="96"/>
        <v/>
      </c>
      <c r="AH84" s="122" t="str">
        <f t="shared" si="96"/>
        <v/>
      </c>
      <c r="AI84" s="122" t="str">
        <f t="shared" si="96"/>
        <v/>
      </c>
      <c r="AJ84" s="124" t="str">
        <f t="shared" si="96"/>
        <v/>
      </c>
      <c r="AK84" s="128" t="str">
        <f t="shared" si="96"/>
        <v/>
      </c>
      <c r="AL84" s="125" t="str">
        <f t="shared" si="96"/>
        <v/>
      </c>
      <c r="AM84" s="125" t="str">
        <f t="shared" si="96"/>
        <v/>
      </c>
      <c r="AN84" s="125" t="str">
        <f t="shared" si="96"/>
        <v/>
      </c>
      <c r="AO84" s="125" t="str">
        <f t="shared" si="96"/>
        <v/>
      </c>
      <c r="AP84" s="125" t="str">
        <f t="shared" si="96"/>
        <v/>
      </c>
      <c r="AQ84" s="126" t="str">
        <f t="shared" si="96"/>
        <v/>
      </c>
      <c r="AR84" s="127" t="str">
        <f t="shared" si="96"/>
        <v/>
      </c>
    </row>
    <row r="85" spans="1:44" hidden="1" x14ac:dyDescent="0.3">
      <c r="A85" s="42" t="str">
        <f t="shared" ref="A85" si="97">+IF(C85+C86=0,"[ocultar]","")</f>
        <v>[ocultar]</v>
      </c>
      <c r="B85" s="34" t="s">
        <v>162</v>
      </c>
      <c r="C85" s="33">
        <f t="array" ref="C85">SUM(IF($B85=DATOS_[Sexo],
IF($B84=DATOS_[AGRUP. CLAS. PROF.],
IF("Dentro"=DATOS_[Check Periodo Ref.],
1/(COUNTIFS(DATOS_[Sexo],$B85,DATOS_[AGRUP. CLAS. PROF.],$B84,DATOS_[Check Periodo Ref.],"Dentro",DATOS_[id],DATOS_[id]))))))</f>
        <v>0</v>
      </c>
      <c r="D85" s="35">
        <f>COUNTIFS(DATOS_[AGRUP. CLAS. PROF.],$B84,DATOS_[Sexo],$B85,DATOS_[Check Periodo Ref.],"Dentro")</f>
        <v>0</v>
      </c>
      <c r="E85" s="110">
        <f t="array" ref="E85">IFERROR(
MEDIAN(IF(DATOS_[Sexo]=$B85,IF(DATOS_[AGRUP. CLAS. PROF.]=$B84,IF(DATOS_[Check Periodo Ref.]="Dentro",DATOS_[SALARIO BASE Ef],FALSE)))),
0)</f>
        <v>0</v>
      </c>
      <c r="F85" s="111">
        <f t="array" ref="F85">IFERROR(
MEDIAN((IF(DATOS_[[Sexo]:[Sexo]]=$B85,IF(DATOS_[[AGRUP. CLAS. PROF.]:[AGRUP. CLAS. PROF.]]=$B84,IF(DATOS_[[Check Periodo Ref.]:[Check Periodo Ref.]]="Dentro",DATOS_[Conc.Sal.01]))))),
0)</f>
        <v>0</v>
      </c>
      <c r="G85" s="111">
        <f t="array" ref="G85">IFERROR(
MEDIAN((IF(DATOS_[[Sexo]:[Sexo]]=$B85,IF(DATOS_[[AGRUP. CLAS. PROF.]:[AGRUP. CLAS. PROF.]]=$B84,IF(DATOS_[[Check Periodo Ref.]:[Check Periodo Ref.]]="Dentro",DATOS_[Conc.Sal.02]))))),
0)</f>
        <v>0</v>
      </c>
      <c r="H85" s="111">
        <f t="array" ref="H85">IFERROR(
MEDIAN((IF(DATOS_[[Sexo]:[Sexo]]=$B85,IF(DATOS_[[AGRUP. CLAS. PROF.]:[AGRUP. CLAS. PROF.]]=$B84,IF(DATOS_[[Check Periodo Ref.]:[Check Periodo Ref.]]="Dentro",DATOS_[Conc.Sal.03]))))),
0)</f>
        <v>0</v>
      </c>
      <c r="I85" s="111">
        <f t="array" ref="I85">IFERROR(
MEDIAN((IF(DATOS_[[Sexo]:[Sexo]]=$B85,IF(DATOS_[[AGRUP. CLAS. PROF.]:[AGRUP. CLAS. PROF.]]=$B84,IF(DATOS_[[Check Periodo Ref.]:[Check Periodo Ref.]]="Dentro",DATOS_[Conc.Sal.04]))))),
0)</f>
        <v>0</v>
      </c>
      <c r="J85" s="111">
        <f t="array" ref="J85">IFERROR(
MEDIAN((IF(DATOS_[[Sexo]:[Sexo]]=$B85,IF(DATOS_[[AGRUP. CLAS. PROF.]:[AGRUP. CLAS. PROF.]]=$B84,IF(DATOS_[[Check Periodo Ref.]:[Check Periodo Ref.]]="Dentro",DATOS_[Conc.Sal.05]))))),
0)</f>
        <v>0</v>
      </c>
      <c r="K85" s="111">
        <f t="array" ref="K85">IFERROR(
MEDIAN((IF(DATOS_[[Sexo]:[Sexo]]=$B85,IF(DATOS_[[AGRUP. CLAS. PROF.]:[AGRUP. CLAS. PROF.]]=$B84,IF(DATOS_[[Check Periodo Ref.]:[Check Periodo Ref.]]="Dentro",DATOS_[Conc.Sal.06]))))),
0)</f>
        <v>0</v>
      </c>
      <c r="L85" s="111">
        <f t="array" ref="L85">IFERROR(
MEDIAN((IF(DATOS_[[Sexo]:[Sexo]]=$B85,IF(DATOS_[[AGRUP. CLAS. PROF.]:[AGRUP. CLAS. PROF.]]=$B84,IF(DATOS_[[Check Periodo Ref.]:[Check Periodo Ref.]]="Dentro",DATOS_[Conc.Sal.07]))))),
0)</f>
        <v>0</v>
      </c>
      <c r="M85" s="111">
        <f t="array" ref="M85">IFERROR(
MEDIAN((IF(DATOS_[[Sexo]:[Sexo]]=$B85,IF(DATOS_[[AGRUP. CLAS. PROF.]:[AGRUP. CLAS. PROF.]]=$B84,IF(DATOS_[[Check Periodo Ref.]:[Check Periodo Ref.]]="Dentro",DATOS_[Conc.Sal.08]))))),
0)</f>
        <v>0</v>
      </c>
      <c r="N85" s="111">
        <f t="array" ref="N85">IFERROR(
MEDIAN((IF(DATOS_[[Sexo]:[Sexo]]=$B85,IF(DATOS_[[AGRUP. CLAS. PROF.]:[AGRUP. CLAS. PROF.]]=$B84,IF(DATOS_[[Check Periodo Ref.]:[Check Periodo Ref.]]="Dentro",DATOS_[Conc.Sal.09]))))),
0)</f>
        <v>0</v>
      </c>
      <c r="O85" s="111">
        <f t="array" ref="O85">IFERROR(
MEDIAN((IF(DATOS_[[Sexo]:[Sexo]]=$B85,IF(DATOS_[[AGRUP. CLAS. PROF.]:[AGRUP. CLAS. PROF.]]=$B84,IF(DATOS_[[Check Periodo Ref.]:[Check Periodo Ref.]]="Dentro",DATOS_[Conc.Sal.10]))))),
0)</f>
        <v>0</v>
      </c>
      <c r="P85" s="111">
        <f t="array" ref="P85">IFERROR(
MEDIAN((IF(DATOS_[[Sexo]:[Sexo]]=$B85,IF(DATOS_[[AGRUP. CLAS. PROF.]:[AGRUP. CLAS. PROF.]]=$B84,IF(DATOS_[[Check Periodo Ref.]:[Check Periodo Ref.]]="Dentro",DATOS_[Conc.Sal.11]))))),
0)</f>
        <v>0</v>
      </c>
      <c r="Q85" s="111">
        <f t="array" ref="Q85">IFERROR(
MEDIAN((IF(DATOS_[[Sexo]:[Sexo]]=$B85,IF(DATOS_[[AGRUP. CLAS. PROF.]:[AGRUP. CLAS. PROF.]]=$B84,IF(DATOS_[[Check Periodo Ref.]:[Check Periodo Ref.]]="Dentro",DATOS_[Conc.Sal.12]))))),
0)</f>
        <v>0</v>
      </c>
      <c r="R85" s="111">
        <f t="array" ref="R85">IFERROR(
MEDIAN((IF(DATOS_[[Sexo]:[Sexo]]=$B85,IF(DATOS_[[AGRUP. CLAS. PROF.]:[AGRUP. CLAS. PROF.]]=$B84,IF(DATOS_[[Check Periodo Ref.]:[Check Periodo Ref.]]="Dentro",DATOS_[Conc.Sal.13]))))),
0)</f>
        <v>0</v>
      </c>
      <c r="S85" s="111">
        <f t="array" ref="S85">IFERROR(
MEDIAN((IF(DATOS_[[Sexo]:[Sexo]]=$B85,IF(DATOS_[[AGRUP. CLAS. PROF.]:[AGRUP. CLAS. PROF.]]=$B84,IF(DATOS_[[Check Periodo Ref.]:[Check Periodo Ref.]]="Dentro",DATOS_[Conc.Sal.14]))))),
0)</f>
        <v>0</v>
      </c>
      <c r="T85" s="111">
        <f t="array" ref="T85">IFERROR(
MEDIAN((IF(DATOS_[[Sexo]:[Sexo]]=$B85,IF(DATOS_[[AGRUP. CLAS. PROF.]:[AGRUP. CLAS. PROF.]]=$B84,IF(DATOS_[[Check Periodo Ref.]:[Check Periodo Ref.]]="Dentro",DATOS_[Conc.Sal.15]))))),
0)</f>
        <v>0</v>
      </c>
      <c r="U85" s="111">
        <f t="array" ref="U85">IFERROR(
MEDIAN((IF(DATOS_[[Sexo]:[Sexo]]=$B85,IF(DATOS_[[AGRUP. CLAS. PROF.]:[AGRUP. CLAS. PROF.]]=$B84,IF(DATOS_[[Check Periodo Ref.]:[Check Periodo Ref.]]="Dentro",DATOS_[Conc.Sal.16]))))),
0)</f>
        <v>0</v>
      </c>
      <c r="V85" s="111">
        <f t="array" ref="V85">IFERROR(
MEDIAN((IF(DATOS_[[Sexo]:[Sexo]]=$B85,IF(DATOS_[[AGRUP. CLAS. PROF.]:[AGRUP. CLAS. PROF.]]=$B84,IF(DATOS_[[Check Periodo Ref.]:[Check Periodo Ref.]]="Dentro",DATOS_[Conc.Sal.17]))))),
0)</f>
        <v>0</v>
      </c>
      <c r="W85" s="111">
        <f t="array" ref="W85">IFERROR(
MEDIAN((IF(DATOS_[[Sexo]:[Sexo]]=$B85,IF(DATOS_[[AGRUP. CLAS. PROF.]:[AGRUP. CLAS. PROF.]]=$B84,IF(DATOS_[[Check Periodo Ref.]:[Check Periodo Ref.]]="Dentro",DATOS_[Conc.Sal.18]))))),
0)</f>
        <v>0</v>
      </c>
      <c r="X85" s="111">
        <f t="array" ref="X85">IFERROR(
MEDIAN((IF(DATOS_[[Sexo]:[Sexo]]=$B85,IF(DATOS_[[AGRUP. CLAS. PROF.]:[AGRUP. CLAS. PROF.]]=$B84,IF(DATOS_[[Check Periodo Ref.]:[Check Periodo Ref.]]="Dentro",DATOS_[Conc.Sal.19]))))),
0)</f>
        <v>0</v>
      </c>
      <c r="Y85" s="111">
        <f t="array" ref="Y85">IFERROR(
MEDIAN((IF(DATOS_[[Sexo]:[Sexo]]=$B85,IF(DATOS_[[AGRUP. CLAS. PROF.]:[AGRUP. CLAS. PROF.]]=$B84,IF(DATOS_[[Check Periodo Ref.]:[Check Periodo Ref.]]="Dentro",DATOS_[Conc.Sal.20]))))),
0)</f>
        <v>0</v>
      </c>
      <c r="Z85" s="111">
        <f t="array" ref="Z85">IFERROR(
MEDIAN((IF(DATOS_[[Sexo]:[Sexo]]=$B85,IF(DATOS_[[AGRUP. CLAS. PROF.]:[AGRUP. CLAS. PROF.]]=$B84,IF(DATOS_[[Check Periodo Ref.]:[Check Periodo Ref.]]="Dentro",DATOS_[Conc.Sal.21]))))),
0)</f>
        <v>0</v>
      </c>
      <c r="AA85" s="111">
        <f t="array" ref="AA85">IFERROR(
MEDIAN((IF(DATOS_[[Sexo]:[Sexo]]=$B85,IF(DATOS_[[AGRUP. CLAS. PROF.]:[AGRUP. CLAS. PROF.]]=$B84,IF(DATOS_[[Check Periodo Ref.]:[Check Periodo Ref.]]="Dentro",DATOS_[Conc.Sal.22]))))),
0)</f>
        <v>0</v>
      </c>
      <c r="AB85" s="111">
        <f t="array" ref="AB85">IFERROR(
MEDIAN((IF(DATOS_[[Sexo]:[Sexo]]=$B85,IF(DATOS_[[AGRUP. CLAS. PROF.]:[AGRUP. CLAS. PROF.]]=$B84,IF(DATOS_[[Check Periodo Ref.]:[Check Periodo Ref.]]="Dentro",DATOS_[Conc.Sal.23]))))),
0)</f>
        <v>0</v>
      </c>
      <c r="AC85" s="111">
        <f t="array" ref="AC85">IFERROR(
MEDIAN((IF(DATOS_[[Sexo]:[Sexo]]=$B85,IF(DATOS_[[AGRUP. CLAS. PROF.]:[AGRUP. CLAS. PROF.]]=$B84,IF(DATOS_[[Check Periodo Ref.]:[Check Periodo Ref.]]="Dentro",DATOS_[Conc.Sal.24]))))),
0)</f>
        <v>0</v>
      </c>
      <c r="AD85" s="111">
        <f t="array" ref="AD85">IFERROR(
MEDIAN((IF(DATOS_[[Sexo]:[Sexo]]=$B85,IF(DATOS_[[AGRUP. CLAS. PROF.]:[AGRUP. CLAS. PROF.]]=$B84,IF(DATOS_[[Check Periodo Ref.]:[Check Periodo Ref.]]="Dentro",DATOS_[Conc.Sal.25]))))),
0)</f>
        <v>0</v>
      </c>
      <c r="AE85" s="111">
        <f t="array" ref="AE85">IFERROR(
MEDIAN((IF(DATOS_[[Sexo]:[Sexo]]=$B85,IF(DATOS_[[AGRUP. CLAS. PROF.]:[AGRUP. CLAS. PROF.]]=$B84,IF(DATOS_[[Check Periodo Ref.]:[Check Periodo Ref.]]="Dentro",DATOS_[Conc.Sal.26]))))),
0)</f>
        <v>0</v>
      </c>
      <c r="AF85" s="111">
        <f t="array" ref="AF85">IFERROR(
MEDIAN((IF(DATOS_[[Sexo]:[Sexo]]=$B85,IF(DATOS_[[AGRUP. CLAS. PROF.]:[AGRUP. CLAS. PROF.]]=$B84,IF(DATOS_[[Check Periodo Ref.]:[Check Periodo Ref.]]="Dentro",DATOS_[Conc.Sal.27]))))),
0)</f>
        <v>0</v>
      </c>
      <c r="AG85" s="111">
        <f t="array" ref="AG85">IFERROR(
MEDIAN((IF(DATOS_[[Sexo]:[Sexo]]=$B85,IF(DATOS_[[AGRUP. CLAS. PROF.]:[AGRUP. CLAS. PROF.]]=$B84,IF(DATOS_[[Check Periodo Ref.]:[Check Periodo Ref.]]="Dentro",DATOS_[Conc.Sal.28]))))),
0)</f>
        <v>0</v>
      </c>
      <c r="AH85" s="111">
        <f t="array" ref="AH85">IFERROR(
MEDIAN((IF(DATOS_[[Sexo]:[Sexo]]=$B85,IF(DATOS_[[AGRUP. CLAS. PROF.]:[AGRUP. CLAS. PROF.]]=$B84,IF(DATOS_[[Check Periodo Ref.]:[Check Periodo Ref.]]="Dentro",DATOS_[Conc.Sal.29]))))),
0)</f>
        <v>0</v>
      </c>
      <c r="AI85" s="111">
        <f t="array" ref="AI85">IFERROR(
MEDIAN((IF(DATOS_[[Sexo]:[Sexo]]=$B85,IF(DATOS_[[AGRUP. CLAS. PROF.]:[AGRUP. CLAS. PROF.]]=$B84,IF(DATOS_[[Check Periodo Ref.]:[Check Periodo Ref.]]="Dentro",DATOS_[Conc.Sal.30]))))),
0)</f>
        <v>0</v>
      </c>
      <c r="AJ85" s="112">
        <f t="array" ref="AJ85">IFERROR(
MEDIAN(IF(DATOS_[Sexo]=$B85,IF(DATOS_[AGRUP. CLAS. PROF.]=$B84,IF(DATOS_[Check Periodo Ref.]="Dentro",DATOS_[Tot COMPL.SAL Ef],FALSE)))),
0)</f>
        <v>0</v>
      </c>
      <c r="AK85" s="113">
        <f t="array" ref="AK85">IFERROR(
MEDIAN(IF(DATOS_[Sexo]=$B85,IF(DATOS_[AGRUP. CLAS. PROF.]=$B84,IF(DATOS_[Check Periodo Ref.]="Dentro",DATOS_[TOTAL SALARIO Ef],FALSE)))),
0)</f>
        <v>0</v>
      </c>
      <c r="AL85" s="114">
        <f t="array" ref="AL85">IFERROR(
MEDIAN((IF(DATOS_[[Sexo]:[Sexo]]=$B85,IF(DATOS_[[AGRUP. CLAS. PROF.]:[AGRUP. CLAS. PROF.]]=$B84,IF(DATOS_[[Check Periodo Ref.]:[Check Periodo Ref.]]="Dentro",DATOS_[C.Extra.01]))))),
0)</f>
        <v>0</v>
      </c>
      <c r="AM85" s="114">
        <f t="array" ref="AM85">IFERROR(
MEDIAN((IF(DATOS_[[Sexo]:[Sexo]]=$B85,IF(DATOS_[[AGRUP. CLAS. PROF.]:[AGRUP. CLAS. PROF.]]=$B84,IF(DATOS_[[Check Periodo Ref.]:[Check Periodo Ref.]]="Dentro",DATOS_[C.Extra.02]))))),
0)</f>
        <v>0</v>
      </c>
      <c r="AN85" s="114">
        <f t="array" ref="AN85">IFERROR(
MEDIAN((IF(DATOS_[[Sexo]:[Sexo]]=$B85,IF(DATOS_[[AGRUP. CLAS. PROF.]:[AGRUP. CLAS. PROF.]]=$B84,IF(DATOS_[[Check Periodo Ref.]:[Check Periodo Ref.]]="Dentro",DATOS_[C.Extra.03]))))),
0)</f>
        <v>0</v>
      </c>
      <c r="AO85" s="114">
        <f t="array" ref="AO85">IFERROR(
MEDIAN((IF(DATOS_[[Sexo]:[Sexo]]=$B85,IF(DATOS_[[AGRUP. CLAS. PROF.]:[AGRUP. CLAS. PROF.]]=$B84,IF(DATOS_[[Check Periodo Ref.]:[Check Periodo Ref.]]="Dentro",DATOS_[C.Extra.04]))))),
0)</f>
        <v>0</v>
      </c>
      <c r="AP85" s="114">
        <f t="array" ref="AP85">IFERROR(
MEDIAN((IF(DATOS_[[Sexo]:[Sexo]]=$B85,IF(DATOS_[[AGRUP. CLAS. PROF.]:[AGRUP. CLAS. PROF.]]=$B84,IF(DATOS_[[Check Periodo Ref.]:[Check Periodo Ref.]]="Dentro",DATOS_[C.Extra.05]))))),
0)</f>
        <v>0</v>
      </c>
      <c r="AQ85" s="115">
        <f t="array" ref="AQ85">IFERROR(
MEDIAN(IF(DATOS_[Sexo]=$B85,IF(DATOS_[AGRUP. CLAS. PROF.]=$B84,IF(DATOS_[Check Periodo Ref.]="Dentro",DATOS_[Tot Extrasalarial Ef],FALSE)))),
0)</f>
        <v>0</v>
      </c>
      <c r="AR85" s="116">
        <f t="array" ref="AR85">IFERROR(
MEDIAN(IF(DATOS_[Sexo]=$B85,IF(DATOS_[AGRUP. CLAS. PROF.]=$B84,IF(DATOS_[Check Periodo Ref.]="Dentro",DATOS_[TOTAL Retrib Ef],FALSE)))),
0)</f>
        <v>0</v>
      </c>
    </row>
    <row r="86" spans="1:44" hidden="1" x14ac:dyDescent="0.3">
      <c r="A86" s="42" t="str">
        <f t="shared" ref="A86" si="98">+A85</f>
        <v>[ocultar]</v>
      </c>
      <c r="B86" s="34" t="s">
        <v>163</v>
      </c>
      <c r="C86" s="33">
        <f t="array" ref="C86">SUM(IF($B86=DATOS_[Sexo],
IF($B84=DATOS_[AGRUP. CLAS. PROF.],
IF("Dentro"=DATOS_[Check Periodo Ref.],
1/(COUNTIFS(DATOS_[Sexo],$B86,DATOS_[AGRUP. CLAS. PROF.],$B84,DATOS_[Check Periodo Ref.],"Dentro",DATOS_[id],DATOS_[id]))))))</f>
        <v>0</v>
      </c>
      <c r="D86" s="35">
        <f>COUNTIFS(DATOS_[AGRUP. CLAS. PROF.],$B84,DATOS_[Sexo],$B86,DATOS_[Check Periodo Ref.],"Dentro")</f>
        <v>0</v>
      </c>
      <c r="E86" s="110">
        <f t="array" ref="E86">IFERROR(
MEDIAN(IF(DATOS_[Sexo]=$B86,IF(DATOS_[AGRUP. CLAS. PROF.]=$B84,IF(DATOS_[Check Periodo Ref.]="Dentro",DATOS_[SALARIO BASE Ef],FALSE)))),
0)</f>
        <v>0</v>
      </c>
      <c r="F86" s="111">
        <f t="array" ref="F86">IFERROR(
MEDIAN((IF(DATOS_[[Sexo]:[Sexo]]=$B86,IF(DATOS_[[AGRUP. CLAS. PROF.]:[AGRUP. CLAS. PROF.]]=$B84,IF(DATOS_[[Check Periodo Ref.]:[Check Periodo Ref.]]="Dentro",DATOS_[Conc.Sal.01]))))),
0)</f>
        <v>0</v>
      </c>
      <c r="G86" s="111">
        <f t="array" ref="G86">IFERROR(
MEDIAN((IF(DATOS_[[Sexo]:[Sexo]]=$B86,IF(DATOS_[[AGRUP. CLAS. PROF.]:[AGRUP. CLAS. PROF.]]=$B84,IF(DATOS_[[Check Periodo Ref.]:[Check Periodo Ref.]]="Dentro",DATOS_[Conc.Sal.02]))))),
0)</f>
        <v>0</v>
      </c>
      <c r="H86" s="111">
        <f t="array" ref="H86">IFERROR(
MEDIAN((IF(DATOS_[[Sexo]:[Sexo]]=$B86,IF(DATOS_[[AGRUP. CLAS. PROF.]:[AGRUP. CLAS. PROF.]]=$B84,IF(DATOS_[[Check Periodo Ref.]:[Check Periodo Ref.]]="Dentro",DATOS_[Conc.Sal.03]))))),
0)</f>
        <v>0</v>
      </c>
      <c r="I86" s="111">
        <f t="array" ref="I86">IFERROR(
MEDIAN((IF(DATOS_[[Sexo]:[Sexo]]=$B86,IF(DATOS_[[AGRUP. CLAS. PROF.]:[AGRUP. CLAS. PROF.]]=$B84,IF(DATOS_[[Check Periodo Ref.]:[Check Periodo Ref.]]="Dentro",DATOS_[Conc.Sal.04]))))),
0)</f>
        <v>0</v>
      </c>
      <c r="J86" s="111">
        <f t="array" ref="J86">IFERROR(
MEDIAN((IF(DATOS_[[Sexo]:[Sexo]]=$B86,IF(DATOS_[[AGRUP. CLAS. PROF.]:[AGRUP. CLAS. PROF.]]=$B84,IF(DATOS_[[Check Periodo Ref.]:[Check Periodo Ref.]]="Dentro",DATOS_[Conc.Sal.05]))))),
0)</f>
        <v>0</v>
      </c>
      <c r="K86" s="111">
        <f t="array" ref="K86">IFERROR(
MEDIAN((IF(DATOS_[[Sexo]:[Sexo]]=$B86,IF(DATOS_[[AGRUP. CLAS. PROF.]:[AGRUP. CLAS. PROF.]]=$B84,IF(DATOS_[[Check Periodo Ref.]:[Check Periodo Ref.]]="Dentro",DATOS_[Conc.Sal.06]))))),
0)</f>
        <v>0</v>
      </c>
      <c r="L86" s="111">
        <f t="array" ref="L86">IFERROR(
MEDIAN((IF(DATOS_[[Sexo]:[Sexo]]=$B86,IF(DATOS_[[AGRUP. CLAS. PROF.]:[AGRUP. CLAS. PROF.]]=$B84,IF(DATOS_[[Check Periodo Ref.]:[Check Periodo Ref.]]="Dentro",DATOS_[Conc.Sal.07]))))),
0)</f>
        <v>0</v>
      </c>
      <c r="M86" s="111">
        <f t="array" ref="M86">IFERROR(
MEDIAN((IF(DATOS_[[Sexo]:[Sexo]]=$B86,IF(DATOS_[[AGRUP. CLAS. PROF.]:[AGRUP. CLAS. PROF.]]=$B84,IF(DATOS_[[Check Periodo Ref.]:[Check Periodo Ref.]]="Dentro",DATOS_[Conc.Sal.08]))))),
0)</f>
        <v>0</v>
      </c>
      <c r="N86" s="111">
        <f t="array" ref="N86">IFERROR(
MEDIAN((IF(DATOS_[[Sexo]:[Sexo]]=$B86,IF(DATOS_[[AGRUP. CLAS. PROF.]:[AGRUP. CLAS. PROF.]]=$B84,IF(DATOS_[[Check Periodo Ref.]:[Check Periodo Ref.]]="Dentro",DATOS_[Conc.Sal.09]))))),
0)</f>
        <v>0</v>
      </c>
      <c r="O86" s="111">
        <f t="array" ref="O86">IFERROR(
MEDIAN((IF(DATOS_[[Sexo]:[Sexo]]=$B86,IF(DATOS_[[AGRUP. CLAS. PROF.]:[AGRUP. CLAS. PROF.]]=$B84,IF(DATOS_[[Check Periodo Ref.]:[Check Periodo Ref.]]="Dentro",DATOS_[Conc.Sal.10]))))),
0)</f>
        <v>0</v>
      </c>
      <c r="P86" s="111">
        <f t="array" ref="P86">IFERROR(
MEDIAN((IF(DATOS_[[Sexo]:[Sexo]]=$B86,IF(DATOS_[[AGRUP. CLAS. PROF.]:[AGRUP. CLAS. PROF.]]=$B84,IF(DATOS_[[Check Periodo Ref.]:[Check Periodo Ref.]]="Dentro",DATOS_[Conc.Sal.11]))))),
0)</f>
        <v>0</v>
      </c>
      <c r="Q86" s="111">
        <f t="array" ref="Q86">IFERROR(
MEDIAN((IF(DATOS_[[Sexo]:[Sexo]]=$B86,IF(DATOS_[[AGRUP. CLAS. PROF.]:[AGRUP. CLAS. PROF.]]=$B84,IF(DATOS_[[Check Periodo Ref.]:[Check Periodo Ref.]]="Dentro",DATOS_[Conc.Sal.12]))))),
0)</f>
        <v>0</v>
      </c>
      <c r="R86" s="111">
        <f t="array" ref="R86">IFERROR(
MEDIAN((IF(DATOS_[[Sexo]:[Sexo]]=$B86,IF(DATOS_[[AGRUP. CLAS. PROF.]:[AGRUP. CLAS. PROF.]]=$B84,IF(DATOS_[[Check Periodo Ref.]:[Check Periodo Ref.]]="Dentro",DATOS_[Conc.Sal.13]))))),
0)</f>
        <v>0</v>
      </c>
      <c r="S86" s="111">
        <f t="array" ref="S86">IFERROR(
MEDIAN((IF(DATOS_[[Sexo]:[Sexo]]=$B86,IF(DATOS_[[AGRUP. CLAS. PROF.]:[AGRUP. CLAS. PROF.]]=$B84,IF(DATOS_[[Check Periodo Ref.]:[Check Periodo Ref.]]="Dentro",DATOS_[Conc.Sal.14]))))),
0)</f>
        <v>0</v>
      </c>
      <c r="T86" s="111">
        <f t="array" ref="T86">IFERROR(
MEDIAN((IF(DATOS_[[Sexo]:[Sexo]]=$B86,IF(DATOS_[[AGRUP. CLAS. PROF.]:[AGRUP. CLAS. PROF.]]=$B84,IF(DATOS_[[Check Periodo Ref.]:[Check Periodo Ref.]]="Dentro",DATOS_[Conc.Sal.15]))))),
0)</f>
        <v>0</v>
      </c>
      <c r="U86" s="111">
        <f t="array" ref="U86">IFERROR(
MEDIAN((IF(DATOS_[[Sexo]:[Sexo]]=$B86,IF(DATOS_[[AGRUP. CLAS. PROF.]:[AGRUP. CLAS. PROF.]]=$B84,IF(DATOS_[[Check Periodo Ref.]:[Check Periodo Ref.]]="Dentro",DATOS_[Conc.Sal.16]))))),
0)</f>
        <v>0</v>
      </c>
      <c r="V86" s="111">
        <f t="array" ref="V86">IFERROR(
MEDIAN((IF(DATOS_[[Sexo]:[Sexo]]=$B86,IF(DATOS_[[AGRUP. CLAS. PROF.]:[AGRUP. CLAS. PROF.]]=$B84,IF(DATOS_[[Check Periodo Ref.]:[Check Periodo Ref.]]="Dentro",DATOS_[Conc.Sal.17]))))),
0)</f>
        <v>0</v>
      </c>
      <c r="W86" s="111">
        <f t="array" ref="W86">IFERROR(
MEDIAN((IF(DATOS_[[Sexo]:[Sexo]]=$B86,IF(DATOS_[[AGRUP. CLAS. PROF.]:[AGRUP. CLAS. PROF.]]=$B84,IF(DATOS_[[Check Periodo Ref.]:[Check Periodo Ref.]]="Dentro",DATOS_[Conc.Sal.18]))))),
0)</f>
        <v>0</v>
      </c>
      <c r="X86" s="111">
        <f t="array" ref="X86">IFERROR(
MEDIAN((IF(DATOS_[[Sexo]:[Sexo]]=$B86,IF(DATOS_[[AGRUP. CLAS. PROF.]:[AGRUP. CLAS. PROF.]]=$B84,IF(DATOS_[[Check Periodo Ref.]:[Check Periodo Ref.]]="Dentro",DATOS_[Conc.Sal.19]))))),
0)</f>
        <v>0</v>
      </c>
      <c r="Y86" s="111">
        <f t="array" ref="Y86">IFERROR(
MEDIAN((IF(DATOS_[[Sexo]:[Sexo]]=$B86,IF(DATOS_[[AGRUP. CLAS. PROF.]:[AGRUP. CLAS. PROF.]]=$B84,IF(DATOS_[[Check Periodo Ref.]:[Check Periodo Ref.]]="Dentro",DATOS_[Conc.Sal.20]))))),
0)</f>
        <v>0</v>
      </c>
      <c r="Z86" s="111">
        <f t="array" ref="Z86">IFERROR(
MEDIAN((IF(DATOS_[[Sexo]:[Sexo]]=$B86,IF(DATOS_[[AGRUP. CLAS. PROF.]:[AGRUP. CLAS. PROF.]]=$B84,IF(DATOS_[[Check Periodo Ref.]:[Check Periodo Ref.]]="Dentro",DATOS_[Conc.Sal.21]))))),
0)</f>
        <v>0</v>
      </c>
      <c r="AA86" s="111">
        <f t="array" ref="AA86">IFERROR(
MEDIAN((IF(DATOS_[[Sexo]:[Sexo]]=$B86,IF(DATOS_[[AGRUP. CLAS. PROF.]:[AGRUP. CLAS. PROF.]]=$B84,IF(DATOS_[[Check Periodo Ref.]:[Check Periodo Ref.]]="Dentro",DATOS_[Conc.Sal.22]))))),
0)</f>
        <v>0</v>
      </c>
      <c r="AB86" s="111">
        <f t="array" ref="AB86">IFERROR(
MEDIAN((IF(DATOS_[[Sexo]:[Sexo]]=$B86,IF(DATOS_[[AGRUP. CLAS. PROF.]:[AGRUP. CLAS. PROF.]]=$B84,IF(DATOS_[[Check Periodo Ref.]:[Check Periodo Ref.]]="Dentro",DATOS_[Conc.Sal.23]))))),
0)</f>
        <v>0</v>
      </c>
      <c r="AC86" s="111">
        <f t="array" ref="AC86">IFERROR(
MEDIAN((IF(DATOS_[[Sexo]:[Sexo]]=$B86,IF(DATOS_[[AGRUP. CLAS. PROF.]:[AGRUP. CLAS. PROF.]]=$B84,IF(DATOS_[[Check Periodo Ref.]:[Check Periodo Ref.]]="Dentro",DATOS_[Conc.Sal.24]))))),
0)</f>
        <v>0</v>
      </c>
      <c r="AD86" s="111">
        <f t="array" ref="AD86">IFERROR(
MEDIAN((IF(DATOS_[[Sexo]:[Sexo]]=$B86,IF(DATOS_[[AGRUP. CLAS. PROF.]:[AGRUP. CLAS. PROF.]]=$B84,IF(DATOS_[[Check Periodo Ref.]:[Check Periodo Ref.]]="Dentro",DATOS_[Conc.Sal.25]))))),
0)</f>
        <v>0</v>
      </c>
      <c r="AE86" s="111">
        <f t="array" ref="AE86">IFERROR(
MEDIAN((IF(DATOS_[[Sexo]:[Sexo]]=$B86,IF(DATOS_[[AGRUP. CLAS. PROF.]:[AGRUP. CLAS. PROF.]]=$B84,IF(DATOS_[[Check Periodo Ref.]:[Check Periodo Ref.]]="Dentro",DATOS_[Conc.Sal.26]))))),
0)</f>
        <v>0</v>
      </c>
      <c r="AF86" s="111">
        <f t="array" ref="AF86">IFERROR(
MEDIAN((IF(DATOS_[[Sexo]:[Sexo]]=$B86,IF(DATOS_[[AGRUP. CLAS. PROF.]:[AGRUP. CLAS. PROF.]]=$B84,IF(DATOS_[[Check Periodo Ref.]:[Check Periodo Ref.]]="Dentro",DATOS_[Conc.Sal.27]))))),
0)</f>
        <v>0</v>
      </c>
      <c r="AG86" s="111">
        <f t="array" ref="AG86">IFERROR(
MEDIAN((IF(DATOS_[[Sexo]:[Sexo]]=$B86,IF(DATOS_[[AGRUP. CLAS. PROF.]:[AGRUP. CLAS. PROF.]]=$B84,IF(DATOS_[[Check Periodo Ref.]:[Check Periodo Ref.]]="Dentro",DATOS_[Conc.Sal.28]))))),
0)</f>
        <v>0</v>
      </c>
      <c r="AH86" s="111">
        <f t="array" ref="AH86">IFERROR(
MEDIAN((IF(DATOS_[[Sexo]:[Sexo]]=$B86,IF(DATOS_[[AGRUP. CLAS. PROF.]:[AGRUP. CLAS. PROF.]]=$B84,IF(DATOS_[[Check Periodo Ref.]:[Check Periodo Ref.]]="Dentro",DATOS_[Conc.Sal.29]))))),
0)</f>
        <v>0</v>
      </c>
      <c r="AI86" s="111">
        <f t="array" ref="AI86">IFERROR(
MEDIAN((IF(DATOS_[[Sexo]:[Sexo]]=$B86,IF(DATOS_[[AGRUP. CLAS. PROF.]:[AGRUP. CLAS. PROF.]]=$B84,IF(DATOS_[[Check Periodo Ref.]:[Check Periodo Ref.]]="Dentro",DATOS_[Conc.Sal.30]))))),
0)</f>
        <v>0</v>
      </c>
      <c r="AJ86" s="112">
        <f t="array" ref="AJ86">IFERROR(
MEDIAN(IF(DATOS_[Sexo]=$B86,IF(DATOS_[AGRUP. CLAS. PROF.]=$B84,IF(DATOS_[Check Periodo Ref.]="Dentro",DATOS_[Tot COMPL.SAL Ef],FALSE)))),
0)</f>
        <v>0</v>
      </c>
      <c r="AK86" s="113">
        <f t="array" ref="AK86">IFERROR(
MEDIAN(IF(DATOS_[Sexo]=$B86,IF(DATOS_[AGRUP. CLAS. PROF.]=$B84,IF(DATOS_[Check Periodo Ref.]="Dentro",DATOS_[TOTAL SALARIO Ef],FALSE)))),
0)</f>
        <v>0</v>
      </c>
      <c r="AL86" s="114">
        <f t="array" ref="AL86">IFERROR(
MEDIAN((IF(DATOS_[[Sexo]:[Sexo]]=$B86,IF(DATOS_[[AGRUP. CLAS. PROF.]:[AGRUP. CLAS. PROF.]]=$B84,IF(DATOS_[[Check Periodo Ref.]:[Check Periodo Ref.]]="Dentro",DATOS_[C.Extra.01]))))),
0)</f>
        <v>0</v>
      </c>
      <c r="AM86" s="114">
        <f t="array" ref="AM86">IFERROR(
MEDIAN((IF(DATOS_[[Sexo]:[Sexo]]=$B86,IF(DATOS_[[AGRUP. CLAS. PROF.]:[AGRUP. CLAS. PROF.]]=$B84,IF(DATOS_[[Check Periodo Ref.]:[Check Periodo Ref.]]="Dentro",DATOS_[C.Extra.02]))))),
0)</f>
        <v>0</v>
      </c>
      <c r="AN86" s="114">
        <f t="array" ref="AN86">IFERROR(
MEDIAN((IF(DATOS_[[Sexo]:[Sexo]]=$B86,IF(DATOS_[[AGRUP. CLAS. PROF.]:[AGRUP. CLAS. PROF.]]=$B84,IF(DATOS_[[Check Periodo Ref.]:[Check Periodo Ref.]]="Dentro",DATOS_[C.Extra.03]))))),
0)</f>
        <v>0</v>
      </c>
      <c r="AO86" s="114">
        <f t="array" ref="AO86">IFERROR(
MEDIAN((IF(DATOS_[[Sexo]:[Sexo]]=$B86,IF(DATOS_[[AGRUP. CLAS. PROF.]:[AGRUP. CLAS. PROF.]]=$B84,IF(DATOS_[[Check Periodo Ref.]:[Check Periodo Ref.]]="Dentro",DATOS_[C.Extra.04]))))),
0)</f>
        <v>0</v>
      </c>
      <c r="AP86" s="114">
        <f t="array" ref="AP86">IFERROR(
MEDIAN((IF(DATOS_[[Sexo]:[Sexo]]=$B86,IF(DATOS_[[AGRUP. CLAS. PROF.]:[AGRUP. CLAS. PROF.]]=$B84,IF(DATOS_[[Check Periodo Ref.]:[Check Periodo Ref.]]="Dentro",DATOS_[C.Extra.05]))))),
0)</f>
        <v>0</v>
      </c>
      <c r="AQ86" s="115">
        <f t="array" ref="AQ86">IFERROR(
MEDIAN(IF(DATOS_[Sexo]=$B86,IF(DATOS_[AGRUP. CLAS. PROF.]=$B84,IF(DATOS_[Check Periodo Ref.]="Dentro",DATOS_[Tot Extrasalarial Ef],FALSE)))),
0)</f>
        <v>0</v>
      </c>
      <c r="AR86" s="116">
        <f t="array" ref="AR86">IFERROR(
MEDIAN(IF(DATOS_[Sexo]=$B86,IF(DATOS_[AGRUP. CLAS. PROF.]=$B84,IF(DATOS_[Check Periodo Ref.]="Dentro",DATOS_[TOTAL Retrib Ef],FALSE)))),
0)</f>
        <v>0</v>
      </c>
    </row>
    <row r="87" spans="1:44" ht="17.25" hidden="1" thickBot="1" x14ac:dyDescent="0.35">
      <c r="A87" s="42" t="str">
        <f t="shared" ref="A87" si="99">+A88</f>
        <v>[ocultar]</v>
      </c>
      <c r="B87" s="40" t="s">
        <v>241</v>
      </c>
      <c r="C87" s="109"/>
      <c r="D87" s="41"/>
      <c r="E87" s="119" t="str">
        <f t="shared" ref="E87:AR87" si="100">IFERROR((E88-E89)/E88,"")</f>
        <v/>
      </c>
      <c r="F87" s="123" t="str">
        <f t="shared" si="100"/>
        <v/>
      </c>
      <c r="G87" s="123" t="str">
        <f t="shared" si="100"/>
        <v/>
      </c>
      <c r="H87" s="123" t="str">
        <f t="shared" si="100"/>
        <v/>
      </c>
      <c r="I87" s="123" t="str">
        <f t="shared" si="100"/>
        <v/>
      </c>
      <c r="J87" s="123" t="str">
        <f t="shared" si="100"/>
        <v/>
      </c>
      <c r="K87" s="123" t="str">
        <f t="shared" si="100"/>
        <v/>
      </c>
      <c r="L87" s="123" t="str">
        <f t="shared" si="100"/>
        <v/>
      </c>
      <c r="M87" s="123" t="str">
        <f t="shared" si="100"/>
        <v/>
      </c>
      <c r="N87" s="123" t="str">
        <f t="shared" si="100"/>
        <v/>
      </c>
      <c r="O87" s="123" t="str">
        <f t="shared" si="100"/>
        <v/>
      </c>
      <c r="P87" s="123" t="str">
        <f t="shared" si="100"/>
        <v/>
      </c>
      <c r="Q87" s="123" t="str">
        <f t="shared" si="100"/>
        <v/>
      </c>
      <c r="R87" s="123" t="str">
        <f t="shared" si="100"/>
        <v/>
      </c>
      <c r="S87" s="123" t="str">
        <f t="shared" si="100"/>
        <v/>
      </c>
      <c r="T87" s="123" t="str">
        <f t="shared" si="100"/>
        <v/>
      </c>
      <c r="U87" s="123" t="str">
        <f t="shared" si="100"/>
        <v/>
      </c>
      <c r="V87" s="122" t="str">
        <f t="shared" si="100"/>
        <v/>
      </c>
      <c r="W87" s="122" t="str">
        <f t="shared" si="100"/>
        <v/>
      </c>
      <c r="X87" s="122" t="str">
        <f t="shared" si="100"/>
        <v/>
      </c>
      <c r="Y87" s="122" t="str">
        <f t="shared" si="100"/>
        <v/>
      </c>
      <c r="Z87" s="122" t="str">
        <f t="shared" si="100"/>
        <v/>
      </c>
      <c r="AA87" s="122" t="str">
        <f t="shared" si="100"/>
        <v/>
      </c>
      <c r="AB87" s="122" t="str">
        <f t="shared" si="100"/>
        <v/>
      </c>
      <c r="AC87" s="122" t="str">
        <f t="shared" si="100"/>
        <v/>
      </c>
      <c r="AD87" s="122" t="str">
        <f t="shared" si="100"/>
        <v/>
      </c>
      <c r="AE87" s="122" t="str">
        <f t="shared" si="100"/>
        <v/>
      </c>
      <c r="AF87" s="122" t="str">
        <f t="shared" si="100"/>
        <v/>
      </c>
      <c r="AG87" s="122" t="str">
        <f t="shared" si="100"/>
        <v/>
      </c>
      <c r="AH87" s="122" t="str">
        <f t="shared" si="100"/>
        <v/>
      </c>
      <c r="AI87" s="122" t="str">
        <f t="shared" si="100"/>
        <v/>
      </c>
      <c r="AJ87" s="124" t="str">
        <f t="shared" si="100"/>
        <v/>
      </c>
      <c r="AK87" s="128" t="str">
        <f t="shared" si="100"/>
        <v/>
      </c>
      <c r="AL87" s="125" t="str">
        <f t="shared" si="100"/>
        <v/>
      </c>
      <c r="AM87" s="125" t="str">
        <f t="shared" si="100"/>
        <v/>
      </c>
      <c r="AN87" s="125" t="str">
        <f t="shared" si="100"/>
        <v/>
      </c>
      <c r="AO87" s="125" t="str">
        <f t="shared" si="100"/>
        <v/>
      </c>
      <c r="AP87" s="125" t="str">
        <f t="shared" si="100"/>
        <v/>
      </c>
      <c r="AQ87" s="126" t="str">
        <f t="shared" si="100"/>
        <v/>
      </c>
      <c r="AR87" s="127" t="str">
        <f t="shared" si="100"/>
        <v/>
      </c>
    </row>
    <row r="88" spans="1:44" hidden="1" x14ac:dyDescent="0.3">
      <c r="A88" s="42" t="str">
        <f t="shared" ref="A88" si="101">+IF(C88+C89=0,"[ocultar]","")</f>
        <v>[ocultar]</v>
      </c>
      <c r="B88" s="34" t="s">
        <v>162</v>
      </c>
      <c r="C88" s="33">
        <f t="array" ref="C88">SUM(IF($B88=DATOS_[Sexo],
IF($B87=DATOS_[AGRUP. CLAS. PROF.],
IF("Dentro"=DATOS_[Check Periodo Ref.],
1/(COUNTIFS(DATOS_[Sexo],$B88,DATOS_[AGRUP. CLAS. PROF.],$B87,DATOS_[Check Periodo Ref.],"Dentro",DATOS_[id],DATOS_[id]))))))</f>
        <v>0</v>
      </c>
      <c r="D88" s="35">
        <f>COUNTIFS(DATOS_[AGRUP. CLAS. PROF.],$B87,DATOS_[Sexo],$B88,DATOS_[Check Periodo Ref.],"Dentro")</f>
        <v>0</v>
      </c>
      <c r="E88" s="110">
        <f t="array" ref="E88">IFERROR(
MEDIAN(IF(DATOS_[Sexo]=$B88,IF(DATOS_[AGRUP. CLAS. PROF.]=$B87,IF(DATOS_[Check Periodo Ref.]="Dentro",DATOS_[SALARIO BASE Ef],FALSE)))),
0)</f>
        <v>0</v>
      </c>
      <c r="F88" s="111">
        <f t="array" ref="F88">IFERROR(
MEDIAN((IF(DATOS_[[Sexo]:[Sexo]]=$B88,IF(DATOS_[[AGRUP. CLAS. PROF.]:[AGRUP. CLAS. PROF.]]=$B87,IF(DATOS_[[Check Periodo Ref.]:[Check Periodo Ref.]]="Dentro",DATOS_[Conc.Sal.01]))))),
0)</f>
        <v>0</v>
      </c>
      <c r="G88" s="111">
        <f t="array" ref="G88">IFERROR(
MEDIAN((IF(DATOS_[[Sexo]:[Sexo]]=$B88,IF(DATOS_[[AGRUP. CLAS. PROF.]:[AGRUP. CLAS. PROF.]]=$B87,IF(DATOS_[[Check Periodo Ref.]:[Check Periodo Ref.]]="Dentro",DATOS_[Conc.Sal.02]))))),
0)</f>
        <v>0</v>
      </c>
      <c r="H88" s="111">
        <f t="array" ref="H88">IFERROR(
MEDIAN((IF(DATOS_[[Sexo]:[Sexo]]=$B88,IF(DATOS_[[AGRUP. CLAS. PROF.]:[AGRUP. CLAS. PROF.]]=$B87,IF(DATOS_[[Check Periodo Ref.]:[Check Periodo Ref.]]="Dentro",DATOS_[Conc.Sal.03]))))),
0)</f>
        <v>0</v>
      </c>
      <c r="I88" s="111">
        <f t="array" ref="I88">IFERROR(
MEDIAN((IF(DATOS_[[Sexo]:[Sexo]]=$B88,IF(DATOS_[[AGRUP. CLAS. PROF.]:[AGRUP. CLAS. PROF.]]=$B87,IF(DATOS_[[Check Periodo Ref.]:[Check Periodo Ref.]]="Dentro",DATOS_[Conc.Sal.04]))))),
0)</f>
        <v>0</v>
      </c>
      <c r="J88" s="111">
        <f t="array" ref="J88">IFERROR(
MEDIAN((IF(DATOS_[[Sexo]:[Sexo]]=$B88,IF(DATOS_[[AGRUP. CLAS. PROF.]:[AGRUP. CLAS. PROF.]]=$B87,IF(DATOS_[[Check Periodo Ref.]:[Check Periodo Ref.]]="Dentro",DATOS_[Conc.Sal.05]))))),
0)</f>
        <v>0</v>
      </c>
      <c r="K88" s="111">
        <f t="array" ref="K88">IFERROR(
MEDIAN((IF(DATOS_[[Sexo]:[Sexo]]=$B88,IF(DATOS_[[AGRUP. CLAS. PROF.]:[AGRUP. CLAS. PROF.]]=$B87,IF(DATOS_[[Check Periodo Ref.]:[Check Periodo Ref.]]="Dentro",DATOS_[Conc.Sal.06]))))),
0)</f>
        <v>0</v>
      </c>
      <c r="L88" s="111">
        <f t="array" ref="L88">IFERROR(
MEDIAN((IF(DATOS_[[Sexo]:[Sexo]]=$B88,IF(DATOS_[[AGRUP. CLAS. PROF.]:[AGRUP. CLAS. PROF.]]=$B87,IF(DATOS_[[Check Periodo Ref.]:[Check Periodo Ref.]]="Dentro",DATOS_[Conc.Sal.07]))))),
0)</f>
        <v>0</v>
      </c>
      <c r="M88" s="111">
        <f t="array" ref="M88">IFERROR(
MEDIAN((IF(DATOS_[[Sexo]:[Sexo]]=$B88,IF(DATOS_[[AGRUP. CLAS. PROF.]:[AGRUP. CLAS. PROF.]]=$B87,IF(DATOS_[[Check Periodo Ref.]:[Check Periodo Ref.]]="Dentro",DATOS_[Conc.Sal.08]))))),
0)</f>
        <v>0</v>
      </c>
      <c r="N88" s="111">
        <f t="array" ref="N88">IFERROR(
MEDIAN((IF(DATOS_[[Sexo]:[Sexo]]=$B88,IF(DATOS_[[AGRUP. CLAS. PROF.]:[AGRUP. CLAS. PROF.]]=$B87,IF(DATOS_[[Check Periodo Ref.]:[Check Periodo Ref.]]="Dentro",DATOS_[Conc.Sal.09]))))),
0)</f>
        <v>0</v>
      </c>
      <c r="O88" s="111">
        <f t="array" ref="O88">IFERROR(
MEDIAN((IF(DATOS_[[Sexo]:[Sexo]]=$B88,IF(DATOS_[[AGRUP. CLAS. PROF.]:[AGRUP. CLAS. PROF.]]=$B87,IF(DATOS_[[Check Periodo Ref.]:[Check Periodo Ref.]]="Dentro",DATOS_[Conc.Sal.10]))))),
0)</f>
        <v>0</v>
      </c>
      <c r="P88" s="111">
        <f t="array" ref="P88">IFERROR(
MEDIAN((IF(DATOS_[[Sexo]:[Sexo]]=$B88,IF(DATOS_[[AGRUP. CLAS. PROF.]:[AGRUP. CLAS. PROF.]]=$B87,IF(DATOS_[[Check Periodo Ref.]:[Check Periodo Ref.]]="Dentro",DATOS_[Conc.Sal.11]))))),
0)</f>
        <v>0</v>
      </c>
      <c r="Q88" s="111">
        <f t="array" ref="Q88">IFERROR(
MEDIAN((IF(DATOS_[[Sexo]:[Sexo]]=$B88,IF(DATOS_[[AGRUP. CLAS. PROF.]:[AGRUP. CLAS. PROF.]]=$B87,IF(DATOS_[[Check Periodo Ref.]:[Check Periodo Ref.]]="Dentro",DATOS_[Conc.Sal.12]))))),
0)</f>
        <v>0</v>
      </c>
      <c r="R88" s="111">
        <f t="array" ref="R88">IFERROR(
MEDIAN((IF(DATOS_[[Sexo]:[Sexo]]=$B88,IF(DATOS_[[AGRUP. CLAS. PROF.]:[AGRUP. CLAS. PROF.]]=$B87,IF(DATOS_[[Check Periodo Ref.]:[Check Periodo Ref.]]="Dentro",DATOS_[Conc.Sal.13]))))),
0)</f>
        <v>0</v>
      </c>
      <c r="S88" s="111">
        <f t="array" ref="S88">IFERROR(
MEDIAN((IF(DATOS_[[Sexo]:[Sexo]]=$B88,IF(DATOS_[[AGRUP. CLAS. PROF.]:[AGRUP. CLAS. PROF.]]=$B87,IF(DATOS_[[Check Periodo Ref.]:[Check Periodo Ref.]]="Dentro",DATOS_[Conc.Sal.14]))))),
0)</f>
        <v>0</v>
      </c>
      <c r="T88" s="111">
        <f t="array" ref="T88">IFERROR(
MEDIAN((IF(DATOS_[[Sexo]:[Sexo]]=$B88,IF(DATOS_[[AGRUP. CLAS. PROF.]:[AGRUP. CLAS. PROF.]]=$B87,IF(DATOS_[[Check Periodo Ref.]:[Check Periodo Ref.]]="Dentro",DATOS_[Conc.Sal.15]))))),
0)</f>
        <v>0</v>
      </c>
      <c r="U88" s="111">
        <f t="array" ref="U88">IFERROR(
MEDIAN((IF(DATOS_[[Sexo]:[Sexo]]=$B88,IF(DATOS_[[AGRUP. CLAS. PROF.]:[AGRUP. CLAS. PROF.]]=$B87,IF(DATOS_[[Check Periodo Ref.]:[Check Periodo Ref.]]="Dentro",DATOS_[Conc.Sal.16]))))),
0)</f>
        <v>0</v>
      </c>
      <c r="V88" s="111">
        <f t="array" ref="V88">IFERROR(
MEDIAN((IF(DATOS_[[Sexo]:[Sexo]]=$B88,IF(DATOS_[[AGRUP. CLAS. PROF.]:[AGRUP. CLAS. PROF.]]=$B87,IF(DATOS_[[Check Periodo Ref.]:[Check Periodo Ref.]]="Dentro",DATOS_[Conc.Sal.17]))))),
0)</f>
        <v>0</v>
      </c>
      <c r="W88" s="111">
        <f t="array" ref="W88">IFERROR(
MEDIAN((IF(DATOS_[[Sexo]:[Sexo]]=$B88,IF(DATOS_[[AGRUP. CLAS. PROF.]:[AGRUP. CLAS. PROF.]]=$B87,IF(DATOS_[[Check Periodo Ref.]:[Check Periodo Ref.]]="Dentro",DATOS_[Conc.Sal.18]))))),
0)</f>
        <v>0</v>
      </c>
      <c r="X88" s="111">
        <f t="array" ref="X88">IFERROR(
MEDIAN((IF(DATOS_[[Sexo]:[Sexo]]=$B88,IF(DATOS_[[AGRUP. CLAS. PROF.]:[AGRUP. CLAS. PROF.]]=$B87,IF(DATOS_[[Check Periodo Ref.]:[Check Periodo Ref.]]="Dentro",DATOS_[Conc.Sal.19]))))),
0)</f>
        <v>0</v>
      </c>
      <c r="Y88" s="111">
        <f t="array" ref="Y88">IFERROR(
MEDIAN((IF(DATOS_[[Sexo]:[Sexo]]=$B88,IF(DATOS_[[AGRUP. CLAS. PROF.]:[AGRUP. CLAS. PROF.]]=$B87,IF(DATOS_[[Check Periodo Ref.]:[Check Periodo Ref.]]="Dentro",DATOS_[Conc.Sal.20]))))),
0)</f>
        <v>0</v>
      </c>
      <c r="Z88" s="111">
        <f t="array" ref="Z88">IFERROR(
MEDIAN((IF(DATOS_[[Sexo]:[Sexo]]=$B88,IF(DATOS_[[AGRUP. CLAS. PROF.]:[AGRUP. CLAS. PROF.]]=$B87,IF(DATOS_[[Check Periodo Ref.]:[Check Periodo Ref.]]="Dentro",DATOS_[Conc.Sal.21]))))),
0)</f>
        <v>0</v>
      </c>
      <c r="AA88" s="111">
        <f t="array" ref="AA88">IFERROR(
MEDIAN((IF(DATOS_[[Sexo]:[Sexo]]=$B88,IF(DATOS_[[AGRUP. CLAS. PROF.]:[AGRUP. CLAS. PROF.]]=$B87,IF(DATOS_[[Check Periodo Ref.]:[Check Periodo Ref.]]="Dentro",DATOS_[Conc.Sal.22]))))),
0)</f>
        <v>0</v>
      </c>
      <c r="AB88" s="111">
        <f t="array" ref="AB88">IFERROR(
MEDIAN((IF(DATOS_[[Sexo]:[Sexo]]=$B88,IF(DATOS_[[AGRUP. CLAS. PROF.]:[AGRUP. CLAS. PROF.]]=$B87,IF(DATOS_[[Check Periodo Ref.]:[Check Periodo Ref.]]="Dentro",DATOS_[Conc.Sal.23]))))),
0)</f>
        <v>0</v>
      </c>
      <c r="AC88" s="111">
        <f t="array" ref="AC88">IFERROR(
MEDIAN((IF(DATOS_[[Sexo]:[Sexo]]=$B88,IF(DATOS_[[AGRUP. CLAS. PROF.]:[AGRUP. CLAS. PROF.]]=$B87,IF(DATOS_[[Check Periodo Ref.]:[Check Periodo Ref.]]="Dentro",DATOS_[Conc.Sal.24]))))),
0)</f>
        <v>0</v>
      </c>
      <c r="AD88" s="111">
        <f t="array" ref="AD88">IFERROR(
MEDIAN((IF(DATOS_[[Sexo]:[Sexo]]=$B88,IF(DATOS_[[AGRUP. CLAS. PROF.]:[AGRUP. CLAS. PROF.]]=$B87,IF(DATOS_[[Check Periodo Ref.]:[Check Periodo Ref.]]="Dentro",DATOS_[Conc.Sal.25]))))),
0)</f>
        <v>0</v>
      </c>
      <c r="AE88" s="111">
        <f t="array" ref="AE88">IFERROR(
MEDIAN((IF(DATOS_[[Sexo]:[Sexo]]=$B88,IF(DATOS_[[AGRUP. CLAS. PROF.]:[AGRUP. CLAS. PROF.]]=$B87,IF(DATOS_[[Check Periodo Ref.]:[Check Periodo Ref.]]="Dentro",DATOS_[Conc.Sal.26]))))),
0)</f>
        <v>0</v>
      </c>
      <c r="AF88" s="111">
        <f t="array" ref="AF88">IFERROR(
MEDIAN((IF(DATOS_[[Sexo]:[Sexo]]=$B88,IF(DATOS_[[AGRUP. CLAS. PROF.]:[AGRUP. CLAS. PROF.]]=$B87,IF(DATOS_[[Check Periodo Ref.]:[Check Periodo Ref.]]="Dentro",DATOS_[Conc.Sal.27]))))),
0)</f>
        <v>0</v>
      </c>
      <c r="AG88" s="111">
        <f t="array" ref="AG88">IFERROR(
MEDIAN((IF(DATOS_[[Sexo]:[Sexo]]=$B88,IF(DATOS_[[AGRUP. CLAS. PROF.]:[AGRUP. CLAS. PROF.]]=$B87,IF(DATOS_[[Check Periodo Ref.]:[Check Periodo Ref.]]="Dentro",DATOS_[Conc.Sal.28]))))),
0)</f>
        <v>0</v>
      </c>
      <c r="AH88" s="111">
        <f t="array" ref="AH88">IFERROR(
MEDIAN((IF(DATOS_[[Sexo]:[Sexo]]=$B88,IF(DATOS_[[AGRUP. CLAS. PROF.]:[AGRUP. CLAS. PROF.]]=$B87,IF(DATOS_[[Check Periodo Ref.]:[Check Periodo Ref.]]="Dentro",DATOS_[Conc.Sal.29]))))),
0)</f>
        <v>0</v>
      </c>
      <c r="AI88" s="111">
        <f t="array" ref="AI88">IFERROR(
MEDIAN((IF(DATOS_[[Sexo]:[Sexo]]=$B88,IF(DATOS_[[AGRUP. CLAS. PROF.]:[AGRUP. CLAS. PROF.]]=$B87,IF(DATOS_[[Check Periodo Ref.]:[Check Periodo Ref.]]="Dentro",DATOS_[Conc.Sal.30]))))),
0)</f>
        <v>0</v>
      </c>
      <c r="AJ88" s="112">
        <f t="array" ref="AJ88">IFERROR(
MEDIAN(IF(DATOS_[Sexo]=$B88,IF(DATOS_[AGRUP. CLAS. PROF.]=$B87,IF(DATOS_[Check Periodo Ref.]="Dentro",DATOS_[Tot COMPL.SAL Ef],FALSE)))),
0)</f>
        <v>0</v>
      </c>
      <c r="AK88" s="113">
        <f t="array" ref="AK88">IFERROR(
MEDIAN(IF(DATOS_[Sexo]=$B88,IF(DATOS_[AGRUP. CLAS. PROF.]=$B87,IF(DATOS_[Check Periodo Ref.]="Dentro",DATOS_[TOTAL SALARIO Ef],FALSE)))),
0)</f>
        <v>0</v>
      </c>
      <c r="AL88" s="114">
        <f t="array" ref="AL88">IFERROR(
MEDIAN((IF(DATOS_[[Sexo]:[Sexo]]=$B88,IF(DATOS_[[AGRUP. CLAS. PROF.]:[AGRUP. CLAS. PROF.]]=$B87,IF(DATOS_[[Check Periodo Ref.]:[Check Periodo Ref.]]="Dentro",DATOS_[C.Extra.01]))))),
0)</f>
        <v>0</v>
      </c>
      <c r="AM88" s="114">
        <f t="array" ref="AM88">IFERROR(
MEDIAN((IF(DATOS_[[Sexo]:[Sexo]]=$B88,IF(DATOS_[[AGRUP. CLAS. PROF.]:[AGRUP. CLAS. PROF.]]=$B87,IF(DATOS_[[Check Periodo Ref.]:[Check Periodo Ref.]]="Dentro",DATOS_[C.Extra.02]))))),
0)</f>
        <v>0</v>
      </c>
      <c r="AN88" s="114">
        <f t="array" ref="AN88">IFERROR(
MEDIAN((IF(DATOS_[[Sexo]:[Sexo]]=$B88,IF(DATOS_[[AGRUP. CLAS. PROF.]:[AGRUP. CLAS. PROF.]]=$B87,IF(DATOS_[[Check Periodo Ref.]:[Check Periodo Ref.]]="Dentro",DATOS_[C.Extra.03]))))),
0)</f>
        <v>0</v>
      </c>
      <c r="AO88" s="114">
        <f t="array" ref="AO88">IFERROR(
MEDIAN((IF(DATOS_[[Sexo]:[Sexo]]=$B88,IF(DATOS_[[AGRUP. CLAS. PROF.]:[AGRUP. CLAS. PROF.]]=$B87,IF(DATOS_[[Check Periodo Ref.]:[Check Periodo Ref.]]="Dentro",DATOS_[C.Extra.04]))))),
0)</f>
        <v>0</v>
      </c>
      <c r="AP88" s="114">
        <f t="array" ref="AP88">IFERROR(
MEDIAN((IF(DATOS_[[Sexo]:[Sexo]]=$B88,IF(DATOS_[[AGRUP. CLAS. PROF.]:[AGRUP. CLAS. PROF.]]=$B87,IF(DATOS_[[Check Periodo Ref.]:[Check Periodo Ref.]]="Dentro",DATOS_[C.Extra.05]))))),
0)</f>
        <v>0</v>
      </c>
      <c r="AQ88" s="115">
        <f t="array" ref="AQ88">IFERROR(
MEDIAN(IF(DATOS_[Sexo]=$B88,IF(DATOS_[AGRUP. CLAS. PROF.]=$B87,IF(DATOS_[Check Periodo Ref.]="Dentro",DATOS_[Tot Extrasalarial Ef],FALSE)))),
0)</f>
        <v>0</v>
      </c>
      <c r="AR88" s="116">
        <f t="array" ref="AR88">IFERROR(
MEDIAN(IF(DATOS_[Sexo]=$B88,IF(DATOS_[AGRUP. CLAS. PROF.]=$B87,IF(DATOS_[Check Periodo Ref.]="Dentro",DATOS_[TOTAL Retrib Ef],FALSE)))),
0)</f>
        <v>0</v>
      </c>
    </row>
    <row r="89" spans="1:44" hidden="1" x14ac:dyDescent="0.3">
      <c r="A89" s="42" t="str">
        <f t="shared" ref="A89" si="102">+A88</f>
        <v>[ocultar]</v>
      </c>
      <c r="B89" s="34" t="s">
        <v>163</v>
      </c>
      <c r="C89" s="33">
        <f t="array" ref="C89">SUM(IF($B89=DATOS_[Sexo],
IF($B87=DATOS_[AGRUP. CLAS. PROF.],
IF("Dentro"=DATOS_[Check Periodo Ref.],
1/(COUNTIFS(DATOS_[Sexo],$B89,DATOS_[AGRUP. CLAS. PROF.],$B87,DATOS_[Check Periodo Ref.],"Dentro",DATOS_[id],DATOS_[id]))))))</f>
        <v>0</v>
      </c>
      <c r="D89" s="35">
        <f>COUNTIFS(DATOS_[AGRUP. CLAS. PROF.],$B87,DATOS_[Sexo],$B89,DATOS_[Check Periodo Ref.],"Dentro")</f>
        <v>0</v>
      </c>
      <c r="E89" s="110">
        <f t="array" ref="E89">IFERROR(
MEDIAN(IF(DATOS_[Sexo]=$B89,IF(DATOS_[AGRUP. CLAS. PROF.]=$B87,IF(DATOS_[Check Periodo Ref.]="Dentro",DATOS_[SALARIO BASE Ef],FALSE)))),
0)</f>
        <v>0</v>
      </c>
      <c r="F89" s="111">
        <f t="array" ref="F89">IFERROR(
MEDIAN((IF(DATOS_[[Sexo]:[Sexo]]=$B89,IF(DATOS_[[AGRUP. CLAS. PROF.]:[AGRUP. CLAS. PROF.]]=$B87,IF(DATOS_[[Check Periodo Ref.]:[Check Periodo Ref.]]="Dentro",DATOS_[Conc.Sal.01]))))),
0)</f>
        <v>0</v>
      </c>
      <c r="G89" s="111">
        <f t="array" ref="G89">IFERROR(
MEDIAN((IF(DATOS_[[Sexo]:[Sexo]]=$B89,IF(DATOS_[[AGRUP. CLAS. PROF.]:[AGRUP. CLAS. PROF.]]=$B87,IF(DATOS_[[Check Periodo Ref.]:[Check Periodo Ref.]]="Dentro",DATOS_[Conc.Sal.02]))))),
0)</f>
        <v>0</v>
      </c>
      <c r="H89" s="111">
        <f t="array" ref="H89">IFERROR(
MEDIAN((IF(DATOS_[[Sexo]:[Sexo]]=$B89,IF(DATOS_[[AGRUP. CLAS. PROF.]:[AGRUP. CLAS. PROF.]]=$B87,IF(DATOS_[[Check Periodo Ref.]:[Check Periodo Ref.]]="Dentro",DATOS_[Conc.Sal.03]))))),
0)</f>
        <v>0</v>
      </c>
      <c r="I89" s="111">
        <f t="array" ref="I89">IFERROR(
MEDIAN((IF(DATOS_[[Sexo]:[Sexo]]=$B89,IF(DATOS_[[AGRUP. CLAS. PROF.]:[AGRUP. CLAS. PROF.]]=$B87,IF(DATOS_[[Check Periodo Ref.]:[Check Periodo Ref.]]="Dentro",DATOS_[Conc.Sal.04]))))),
0)</f>
        <v>0</v>
      </c>
      <c r="J89" s="111">
        <f t="array" ref="J89">IFERROR(
MEDIAN((IF(DATOS_[[Sexo]:[Sexo]]=$B89,IF(DATOS_[[AGRUP. CLAS. PROF.]:[AGRUP. CLAS. PROF.]]=$B87,IF(DATOS_[[Check Periodo Ref.]:[Check Periodo Ref.]]="Dentro",DATOS_[Conc.Sal.05]))))),
0)</f>
        <v>0</v>
      </c>
      <c r="K89" s="111">
        <f t="array" ref="K89">IFERROR(
MEDIAN((IF(DATOS_[[Sexo]:[Sexo]]=$B89,IF(DATOS_[[AGRUP. CLAS. PROF.]:[AGRUP. CLAS. PROF.]]=$B87,IF(DATOS_[[Check Periodo Ref.]:[Check Periodo Ref.]]="Dentro",DATOS_[Conc.Sal.06]))))),
0)</f>
        <v>0</v>
      </c>
      <c r="L89" s="111">
        <f t="array" ref="L89">IFERROR(
MEDIAN((IF(DATOS_[[Sexo]:[Sexo]]=$B89,IF(DATOS_[[AGRUP. CLAS. PROF.]:[AGRUP. CLAS. PROF.]]=$B87,IF(DATOS_[[Check Periodo Ref.]:[Check Periodo Ref.]]="Dentro",DATOS_[Conc.Sal.07]))))),
0)</f>
        <v>0</v>
      </c>
      <c r="M89" s="111">
        <f t="array" ref="M89">IFERROR(
MEDIAN((IF(DATOS_[[Sexo]:[Sexo]]=$B89,IF(DATOS_[[AGRUP. CLAS. PROF.]:[AGRUP. CLAS. PROF.]]=$B87,IF(DATOS_[[Check Periodo Ref.]:[Check Periodo Ref.]]="Dentro",DATOS_[Conc.Sal.08]))))),
0)</f>
        <v>0</v>
      </c>
      <c r="N89" s="111">
        <f t="array" ref="N89">IFERROR(
MEDIAN((IF(DATOS_[[Sexo]:[Sexo]]=$B89,IF(DATOS_[[AGRUP. CLAS. PROF.]:[AGRUP. CLAS. PROF.]]=$B87,IF(DATOS_[[Check Periodo Ref.]:[Check Periodo Ref.]]="Dentro",DATOS_[Conc.Sal.09]))))),
0)</f>
        <v>0</v>
      </c>
      <c r="O89" s="111">
        <f t="array" ref="O89">IFERROR(
MEDIAN((IF(DATOS_[[Sexo]:[Sexo]]=$B89,IF(DATOS_[[AGRUP. CLAS. PROF.]:[AGRUP. CLAS. PROF.]]=$B87,IF(DATOS_[[Check Periodo Ref.]:[Check Periodo Ref.]]="Dentro",DATOS_[Conc.Sal.10]))))),
0)</f>
        <v>0</v>
      </c>
      <c r="P89" s="111">
        <f t="array" ref="P89">IFERROR(
MEDIAN((IF(DATOS_[[Sexo]:[Sexo]]=$B89,IF(DATOS_[[AGRUP. CLAS. PROF.]:[AGRUP. CLAS. PROF.]]=$B87,IF(DATOS_[[Check Periodo Ref.]:[Check Periodo Ref.]]="Dentro",DATOS_[Conc.Sal.11]))))),
0)</f>
        <v>0</v>
      </c>
      <c r="Q89" s="111">
        <f t="array" ref="Q89">IFERROR(
MEDIAN((IF(DATOS_[[Sexo]:[Sexo]]=$B89,IF(DATOS_[[AGRUP. CLAS. PROF.]:[AGRUP. CLAS. PROF.]]=$B87,IF(DATOS_[[Check Periodo Ref.]:[Check Periodo Ref.]]="Dentro",DATOS_[Conc.Sal.12]))))),
0)</f>
        <v>0</v>
      </c>
      <c r="R89" s="111">
        <f t="array" ref="R89">IFERROR(
MEDIAN((IF(DATOS_[[Sexo]:[Sexo]]=$B89,IF(DATOS_[[AGRUP. CLAS. PROF.]:[AGRUP. CLAS. PROF.]]=$B87,IF(DATOS_[[Check Periodo Ref.]:[Check Periodo Ref.]]="Dentro",DATOS_[Conc.Sal.13]))))),
0)</f>
        <v>0</v>
      </c>
      <c r="S89" s="111">
        <f t="array" ref="S89">IFERROR(
MEDIAN((IF(DATOS_[[Sexo]:[Sexo]]=$B89,IF(DATOS_[[AGRUP. CLAS. PROF.]:[AGRUP. CLAS. PROF.]]=$B87,IF(DATOS_[[Check Periodo Ref.]:[Check Periodo Ref.]]="Dentro",DATOS_[Conc.Sal.14]))))),
0)</f>
        <v>0</v>
      </c>
      <c r="T89" s="111">
        <f t="array" ref="T89">IFERROR(
MEDIAN((IF(DATOS_[[Sexo]:[Sexo]]=$B89,IF(DATOS_[[AGRUP. CLAS. PROF.]:[AGRUP. CLAS. PROF.]]=$B87,IF(DATOS_[[Check Periodo Ref.]:[Check Periodo Ref.]]="Dentro",DATOS_[Conc.Sal.15]))))),
0)</f>
        <v>0</v>
      </c>
      <c r="U89" s="111">
        <f t="array" ref="U89">IFERROR(
MEDIAN((IF(DATOS_[[Sexo]:[Sexo]]=$B89,IF(DATOS_[[AGRUP. CLAS. PROF.]:[AGRUP. CLAS. PROF.]]=$B87,IF(DATOS_[[Check Periodo Ref.]:[Check Periodo Ref.]]="Dentro",DATOS_[Conc.Sal.16]))))),
0)</f>
        <v>0</v>
      </c>
      <c r="V89" s="111">
        <f t="array" ref="V89">IFERROR(
MEDIAN((IF(DATOS_[[Sexo]:[Sexo]]=$B89,IF(DATOS_[[AGRUP. CLAS. PROF.]:[AGRUP. CLAS. PROF.]]=$B87,IF(DATOS_[[Check Periodo Ref.]:[Check Periodo Ref.]]="Dentro",DATOS_[Conc.Sal.17]))))),
0)</f>
        <v>0</v>
      </c>
      <c r="W89" s="111">
        <f t="array" ref="W89">IFERROR(
MEDIAN((IF(DATOS_[[Sexo]:[Sexo]]=$B89,IF(DATOS_[[AGRUP. CLAS. PROF.]:[AGRUP. CLAS. PROF.]]=$B87,IF(DATOS_[[Check Periodo Ref.]:[Check Periodo Ref.]]="Dentro",DATOS_[Conc.Sal.18]))))),
0)</f>
        <v>0</v>
      </c>
      <c r="X89" s="111">
        <f t="array" ref="X89">IFERROR(
MEDIAN((IF(DATOS_[[Sexo]:[Sexo]]=$B89,IF(DATOS_[[AGRUP. CLAS. PROF.]:[AGRUP. CLAS. PROF.]]=$B87,IF(DATOS_[[Check Periodo Ref.]:[Check Periodo Ref.]]="Dentro",DATOS_[Conc.Sal.19]))))),
0)</f>
        <v>0</v>
      </c>
      <c r="Y89" s="111">
        <f t="array" ref="Y89">IFERROR(
MEDIAN((IF(DATOS_[[Sexo]:[Sexo]]=$B89,IF(DATOS_[[AGRUP. CLAS. PROF.]:[AGRUP. CLAS. PROF.]]=$B87,IF(DATOS_[[Check Periodo Ref.]:[Check Periodo Ref.]]="Dentro",DATOS_[Conc.Sal.20]))))),
0)</f>
        <v>0</v>
      </c>
      <c r="Z89" s="111">
        <f t="array" ref="Z89">IFERROR(
MEDIAN((IF(DATOS_[[Sexo]:[Sexo]]=$B89,IF(DATOS_[[AGRUP. CLAS. PROF.]:[AGRUP. CLAS. PROF.]]=$B87,IF(DATOS_[[Check Periodo Ref.]:[Check Periodo Ref.]]="Dentro",DATOS_[Conc.Sal.21]))))),
0)</f>
        <v>0</v>
      </c>
      <c r="AA89" s="111">
        <f t="array" ref="AA89">IFERROR(
MEDIAN((IF(DATOS_[[Sexo]:[Sexo]]=$B89,IF(DATOS_[[AGRUP. CLAS. PROF.]:[AGRUP. CLAS. PROF.]]=$B87,IF(DATOS_[[Check Periodo Ref.]:[Check Periodo Ref.]]="Dentro",DATOS_[Conc.Sal.22]))))),
0)</f>
        <v>0</v>
      </c>
      <c r="AB89" s="111">
        <f t="array" ref="AB89">IFERROR(
MEDIAN((IF(DATOS_[[Sexo]:[Sexo]]=$B89,IF(DATOS_[[AGRUP. CLAS. PROF.]:[AGRUP. CLAS. PROF.]]=$B87,IF(DATOS_[[Check Periodo Ref.]:[Check Periodo Ref.]]="Dentro",DATOS_[Conc.Sal.23]))))),
0)</f>
        <v>0</v>
      </c>
      <c r="AC89" s="111">
        <f t="array" ref="AC89">IFERROR(
MEDIAN((IF(DATOS_[[Sexo]:[Sexo]]=$B89,IF(DATOS_[[AGRUP. CLAS. PROF.]:[AGRUP. CLAS. PROF.]]=$B87,IF(DATOS_[[Check Periodo Ref.]:[Check Periodo Ref.]]="Dentro",DATOS_[Conc.Sal.24]))))),
0)</f>
        <v>0</v>
      </c>
      <c r="AD89" s="111">
        <f t="array" ref="AD89">IFERROR(
MEDIAN((IF(DATOS_[[Sexo]:[Sexo]]=$B89,IF(DATOS_[[AGRUP. CLAS. PROF.]:[AGRUP. CLAS. PROF.]]=$B87,IF(DATOS_[[Check Periodo Ref.]:[Check Periodo Ref.]]="Dentro",DATOS_[Conc.Sal.25]))))),
0)</f>
        <v>0</v>
      </c>
      <c r="AE89" s="111">
        <f t="array" ref="AE89">IFERROR(
MEDIAN((IF(DATOS_[[Sexo]:[Sexo]]=$B89,IF(DATOS_[[AGRUP. CLAS. PROF.]:[AGRUP. CLAS. PROF.]]=$B87,IF(DATOS_[[Check Periodo Ref.]:[Check Periodo Ref.]]="Dentro",DATOS_[Conc.Sal.26]))))),
0)</f>
        <v>0</v>
      </c>
      <c r="AF89" s="111">
        <f t="array" ref="AF89">IFERROR(
MEDIAN((IF(DATOS_[[Sexo]:[Sexo]]=$B89,IF(DATOS_[[AGRUP. CLAS. PROF.]:[AGRUP. CLAS. PROF.]]=$B87,IF(DATOS_[[Check Periodo Ref.]:[Check Periodo Ref.]]="Dentro",DATOS_[Conc.Sal.27]))))),
0)</f>
        <v>0</v>
      </c>
      <c r="AG89" s="111">
        <f t="array" ref="AG89">IFERROR(
MEDIAN((IF(DATOS_[[Sexo]:[Sexo]]=$B89,IF(DATOS_[[AGRUP. CLAS. PROF.]:[AGRUP. CLAS. PROF.]]=$B87,IF(DATOS_[[Check Periodo Ref.]:[Check Periodo Ref.]]="Dentro",DATOS_[Conc.Sal.28]))))),
0)</f>
        <v>0</v>
      </c>
      <c r="AH89" s="111">
        <f t="array" ref="AH89">IFERROR(
MEDIAN((IF(DATOS_[[Sexo]:[Sexo]]=$B89,IF(DATOS_[[AGRUP. CLAS. PROF.]:[AGRUP. CLAS. PROF.]]=$B87,IF(DATOS_[[Check Periodo Ref.]:[Check Periodo Ref.]]="Dentro",DATOS_[Conc.Sal.29]))))),
0)</f>
        <v>0</v>
      </c>
      <c r="AI89" s="111">
        <f t="array" ref="AI89">IFERROR(
MEDIAN((IF(DATOS_[[Sexo]:[Sexo]]=$B89,IF(DATOS_[[AGRUP. CLAS. PROF.]:[AGRUP. CLAS. PROF.]]=$B87,IF(DATOS_[[Check Periodo Ref.]:[Check Periodo Ref.]]="Dentro",DATOS_[Conc.Sal.30]))))),
0)</f>
        <v>0</v>
      </c>
      <c r="AJ89" s="112">
        <f t="array" ref="AJ89">IFERROR(
MEDIAN(IF(DATOS_[Sexo]=$B89,IF(DATOS_[AGRUP. CLAS. PROF.]=$B87,IF(DATOS_[Check Periodo Ref.]="Dentro",DATOS_[Tot COMPL.SAL Ef],FALSE)))),
0)</f>
        <v>0</v>
      </c>
      <c r="AK89" s="113">
        <f t="array" ref="AK89">IFERROR(
MEDIAN(IF(DATOS_[Sexo]=$B89,IF(DATOS_[AGRUP. CLAS. PROF.]=$B87,IF(DATOS_[Check Periodo Ref.]="Dentro",DATOS_[TOTAL SALARIO Ef],FALSE)))),
0)</f>
        <v>0</v>
      </c>
      <c r="AL89" s="114">
        <f t="array" ref="AL89">IFERROR(
MEDIAN((IF(DATOS_[[Sexo]:[Sexo]]=$B89,IF(DATOS_[[AGRUP. CLAS. PROF.]:[AGRUP. CLAS. PROF.]]=$B87,IF(DATOS_[[Check Periodo Ref.]:[Check Periodo Ref.]]="Dentro",DATOS_[C.Extra.01]))))),
0)</f>
        <v>0</v>
      </c>
      <c r="AM89" s="114">
        <f t="array" ref="AM89">IFERROR(
MEDIAN((IF(DATOS_[[Sexo]:[Sexo]]=$B89,IF(DATOS_[[AGRUP. CLAS. PROF.]:[AGRUP. CLAS. PROF.]]=$B87,IF(DATOS_[[Check Periodo Ref.]:[Check Periodo Ref.]]="Dentro",DATOS_[C.Extra.02]))))),
0)</f>
        <v>0</v>
      </c>
      <c r="AN89" s="114">
        <f t="array" ref="AN89">IFERROR(
MEDIAN((IF(DATOS_[[Sexo]:[Sexo]]=$B89,IF(DATOS_[[AGRUP. CLAS. PROF.]:[AGRUP. CLAS. PROF.]]=$B87,IF(DATOS_[[Check Periodo Ref.]:[Check Periodo Ref.]]="Dentro",DATOS_[C.Extra.03]))))),
0)</f>
        <v>0</v>
      </c>
      <c r="AO89" s="114">
        <f t="array" ref="AO89">IFERROR(
MEDIAN((IF(DATOS_[[Sexo]:[Sexo]]=$B89,IF(DATOS_[[AGRUP. CLAS. PROF.]:[AGRUP. CLAS. PROF.]]=$B87,IF(DATOS_[[Check Periodo Ref.]:[Check Periodo Ref.]]="Dentro",DATOS_[C.Extra.04]))))),
0)</f>
        <v>0</v>
      </c>
      <c r="AP89" s="114">
        <f t="array" ref="AP89">IFERROR(
MEDIAN((IF(DATOS_[[Sexo]:[Sexo]]=$B89,IF(DATOS_[[AGRUP. CLAS. PROF.]:[AGRUP. CLAS. PROF.]]=$B87,IF(DATOS_[[Check Periodo Ref.]:[Check Periodo Ref.]]="Dentro",DATOS_[C.Extra.05]))))),
0)</f>
        <v>0</v>
      </c>
      <c r="AQ89" s="115">
        <f t="array" ref="AQ89">IFERROR(
MEDIAN(IF(DATOS_[Sexo]=$B89,IF(DATOS_[AGRUP. CLAS. PROF.]=$B87,IF(DATOS_[Check Periodo Ref.]="Dentro",DATOS_[Tot Extrasalarial Ef],FALSE)))),
0)</f>
        <v>0</v>
      </c>
      <c r="AR89" s="116">
        <f t="array" ref="AR89">IFERROR(
MEDIAN(IF(DATOS_[Sexo]=$B89,IF(DATOS_[AGRUP. CLAS. PROF.]=$B87,IF(DATOS_[Check Periodo Ref.]="Dentro",DATOS_[TOTAL Retrib Ef],FALSE)))),
0)</f>
        <v>0</v>
      </c>
    </row>
    <row r="90" spans="1:44" ht="17.25" hidden="1" thickBot="1" x14ac:dyDescent="0.35">
      <c r="A90" s="42" t="str">
        <f t="shared" ref="A90" si="103">+A91</f>
        <v>[ocultar]</v>
      </c>
      <c r="B90" s="40" t="s">
        <v>242</v>
      </c>
      <c r="C90" s="109"/>
      <c r="D90" s="41"/>
      <c r="E90" s="119" t="str">
        <f t="shared" ref="E90:AR90" si="104">IFERROR((E91-E92)/E91,"")</f>
        <v/>
      </c>
      <c r="F90" s="123" t="str">
        <f t="shared" si="104"/>
        <v/>
      </c>
      <c r="G90" s="123" t="str">
        <f t="shared" si="104"/>
        <v/>
      </c>
      <c r="H90" s="123" t="str">
        <f t="shared" si="104"/>
        <v/>
      </c>
      <c r="I90" s="123" t="str">
        <f t="shared" si="104"/>
        <v/>
      </c>
      <c r="J90" s="123" t="str">
        <f t="shared" si="104"/>
        <v/>
      </c>
      <c r="K90" s="123" t="str">
        <f t="shared" si="104"/>
        <v/>
      </c>
      <c r="L90" s="123" t="str">
        <f t="shared" si="104"/>
        <v/>
      </c>
      <c r="M90" s="123" t="str">
        <f t="shared" si="104"/>
        <v/>
      </c>
      <c r="N90" s="123" t="str">
        <f t="shared" si="104"/>
        <v/>
      </c>
      <c r="O90" s="123" t="str">
        <f t="shared" si="104"/>
        <v/>
      </c>
      <c r="P90" s="123" t="str">
        <f t="shared" si="104"/>
        <v/>
      </c>
      <c r="Q90" s="123" t="str">
        <f t="shared" si="104"/>
        <v/>
      </c>
      <c r="R90" s="123" t="str">
        <f t="shared" si="104"/>
        <v/>
      </c>
      <c r="S90" s="123" t="str">
        <f t="shared" si="104"/>
        <v/>
      </c>
      <c r="T90" s="123" t="str">
        <f t="shared" si="104"/>
        <v/>
      </c>
      <c r="U90" s="123" t="str">
        <f t="shared" si="104"/>
        <v/>
      </c>
      <c r="V90" s="122" t="str">
        <f t="shared" si="104"/>
        <v/>
      </c>
      <c r="W90" s="122" t="str">
        <f t="shared" si="104"/>
        <v/>
      </c>
      <c r="X90" s="122" t="str">
        <f t="shared" si="104"/>
        <v/>
      </c>
      <c r="Y90" s="122" t="str">
        <f t="shared" si="104"/>
        <v/>
      </c>
      <c r="Z90" s="122" t="str">
        <f t="shared" si="104"/>
        <v/>
      </c>
      <c r="AA90" s="122" t="str">
        <f t="shared" si="104"/>
        <v/>
      </c>
      <c r="AB90" s="122" t="str">
        <f t="shared" si="104"/>
        <v/>
      </c>
      <c r="AC90" s="122" t="str">
        <f t="shared" si="104"/>
        <v/>
      </c>
      <c r="AD90" s="122" t="str">
        <f t="shared" si="104"/>
        <v/>
      </c>
      <c r="AE90" s="122" t="str">
        <f t="shared" si="104"/>
        <v/>
      </c>
      <c r="AF90" s="122" t="str">
        <f t="shared" si="104"/>
        <v/>
      </c>
      <c r="AG90" s="122" t="str">
        <f t="shared" si="104"/>
        <v/>
      </c>
      <c r="AH90" s="122" t="str">
        <f t="shared" si="104"/>
        <v/>
      </c>
      <c r="AI90" s="122" t="str">
        <f t="shared" si="104"/>
        <v/>
      </c>
      <c r="AJ90" s="124" t="str">
        <f t="shared" si="104"/>
        <v/>
      </c>
      <c r="AK90" s="128" t="str">
        <f t="shared" si="104"/>
        <v/>
      </c>
      <c r="AL90" s="125" t="str">
        <f t="shared" si="104"/>
        <v/>
      </c>
      <c r="AM90" s="125" t="str">
        <f t="shared" si="104"/>
        <v/>
      </c>
      <c r="AN90" s="125" t="str">
        <f t="shared" si="104"/>
        <v/>
      </c>
      <c r="AO90" s="125" t="str">
        <f t="shared" si="104"/>
        <v/>
      </c>
      <c r="AP90" s="125" t="str">
        <f t="shared" si="104"/>
        <v/>
      </c>
      <c r="AQ90" s="126" t="str">
        <f t="shared" si="104"/>
        <v/>
      </c>
      <c r="AR90" s="127" t="str">
        <f t="shared" si="104"/>
        <v/>
      </c>
    </row>
    <row r="91" spans="1:44" hidden="1" x14ac:dyDescent="0.3">
      <c r="A91" s="42" t="str">
        <f t="shared" ref="A91" si="105">+IF(C91+C92=0,"[ocultar]","")</f>
        <v>[ocultar]</v>
      </c>
      <c r="B91" s="34" t="s">
        <v>162</v>
      </c>
      <c r="C91" s="33">
        <f t="array" ref="C91">SUM(IF($B91=DATOS_[Sexo],
IF($B90=DATOS_[AGRUP. CLAS. PROF.],
IF("Dentro"=DATOS_[Check Periodo Ref.],
1/(COUNTIFS(DATOS_[Sexo],$B91,DATOS_[AGRUP. CLAS. PROF.],$B90,DATOS_[Check Periodo Ref.],"Dentro",DATOS_[id],DATOS_[id]))))))</f>
        <v>0</v>
      </c>
      <c r="D91" s="35">
        <f>COUNTIFS(DATOS_[AGRUP. CLAS. PROF.],$B90,DATOS_[Sexo],$B91,DATOS_[Check Periodo Ref.],"Dentro")</f>
        <v>0</v>
      </c>
      <c r="E91" s="110">
        <f t="array" ref="E91">IFERROR(
MEDIAN(IF(DATOS_[Sexo]=$B91,IF(DATOS_[AGRUP. CLAS. PROF.]=$B90,IF(DATOS_[Check Periodo Ref.]="Dentro",DATOS_[SALARIO BASE Ef],FALSE)))),
0)</f>
        <v>0</v>
      </c>
      <c r="F91" s="111">
        <f t="array" ref="F91">IFERROR(
MEDIAN((IF(DATOS_[[Sexo]:[Sexo]]=$B91,IF(DATOS_[[AGRUP. CLAS. PROF.]:[AGRUP. CLAS. PROF.]]=$B90,IF(DATOS_[[Check Periodo Ref.]:[Check Periodo Ref.]]="Dentro",DATOS_[Conc.Sal.01]))))),
0)</f>
        <v>0</v>
      </c>
      <c r="G91" s="111">
        <f t="array" ref="G91">IFERROR(
MEDIAN((IF(DATOS_[[Sexo]:[Sexo]]=$B91,IF(DATOS_[[AGRUP. CLAS. PROF.]:[AGRUP. CLAS. PROF.]]=$B90,IF(DATOS_[[Check Periodo Ref.]:[Check Periodo Ref.]]="Dentro",DATOS_[Conc.Sal.02]))))),
0)</f>
        <v>0</v>
      </c>
      <c r="H91" s="111">
        <f t="array" ref="H91">IFERROR(
MEDIAN((IF(DATOS_[[Sexo]:[Sexo]]=$B91,IF(DATOS_[[AGRUP. CLAS. PROF.]:[AGRUP. CLAS. PROF.]]=$B90,IF(DATOS_[[Check Periodo Ref.]:[Check Periodo Ref.]]="Dentro",DATOS_[Conc.Sal.03]))))),
0)</f>
        <v>0</v>
      </c>
      <c r="I91" s="111">
        <f t="array" ref="I91">IFERROR(
MEDIAN((IF(DATOS_[[Sexo]:[Sexo]]=$B91,IF(DATOS_[[AGRUP. CLAS. PROF.]:[AGRUP. CLAS. PROF.]]=$B90,IF(DATOS_[[Check Periodo Ref.]:[Check Periodo Ref.]]="Dentro",DATOS_[Conc.Sal.04]))))),
0)</f>
        <v>0</v>
      </c>
      <c r="J91" s="111">
        <f t="array" ref="J91">IFERROR(
MEDIAN((IF(DATOS_[[Sexo]:[Sexo]]=$B91,IF(DATOS_[[AGRUP. CLAS. PROF.]:[AGRUP. CLAS. PROF.]]=$B90,IF(DATOS_[[Check Periodo Ref.]:[Check Periodo Ref.]]="Dentro",DATOS_[Conc.Sal.05]))))),
0)</f>
        <v>0</v>
      </c>
      <c r="K91" s="111">
        <f t="array" ref="K91">IFERROR(
MEDIAN((IF(DATOS_[[Sexo]:[Sexo]]=$B91,IF(DATOS_[[AGRUP. CLAS. PROF.]:[AGRUP. CLAS. PROF.]]=$B90,IF(DATOS_[[Check Periodo Ref.]:[Check Periodo Ref.]]="Dentro",DATOS_[Conc.Sal.06]))))),
0)</f>
        <v>0</v>
      </c>
      <c r="L91" s="111">
        <f t="array" ref="L91">IFERROR(
MEDIAN((IF(DATOS_[[Sexo]:[Sexo]]=$B91,IF(DATOS_[[AGRUP. CLAS. PROF.]:[AGRUP. CLAS. PROF.]]=$B90,IF(DATOS_[[Check Periodo Ref.]:[Check Periodo Ref.]]="Dentro",DATOS_[Conc.Sal.07]))))),
0)</f>
        <v>0</v>
      </c>
      <c r="M91" s="111">
        <f t="array" ref="M91">IFERROR(
MEDIAN((IF(DATOS_[[Sexo]:[Sexo]]=$B91,IF(DATOS_[[AGRUP. CLAS. PROF.]:[AGRUP. CLAS. PROF.]]=$B90,IF(DATOS_[[Check Periodo Ref.]:[Check Periodo Ref.]]="Dentro",DATOS_[Conc.Sal.08]))))),
0)</f>
        <v>0</v>
      </c>
      <c r="N91" s="111">
        <f t="array" ref="N91">IFERROR(
MEDIAN((IF(DATOS_[[Sexo]:[Sexo]]=$B91,IF(DATOS_[[AGRUP. CLAS. PROF.]:[AGRUP. CLAS. PROF.]]=$B90,IF(DATOS_[[Check Periodo Ref.]:[Check Periodo Ref.]]="Dentro",DATOS_[Conc.Sal.09]))))),
0)</f>
        <v>0</v>
      </c>
      <c r="O91" s="111">
        <f t="array" ref="O91">IFERROR(
MEDIAN((IF(DATOS_[[Sexo]:[Sexo]]=$B91,IF(DATOS_[[AGRUP. CLAS. PROF.]:[AGRUP. CLAS. PROF.]]=$B90,IF(DATOS_[[Check Periodo Ref.]:[Check Periodo Ref.]]="Dentro",DATOS_[Conc.Sal.10]))))),
0)</f>
        <v>0</v>
      </c>
      <c r="P91" s="111">
        <f t="array" ref="P91">IFERROR(
MEDIAN((IF(DATOS_[[Sexo]:[Sexo]]=$B91,IF(DATOS_[[AGRUP. CLAS. PROF.]:[AGRUP. CLAS. PROF.]]=$B90,IF(DATOS_[[Check Periodo Ref.]:[Check Periodo Ref.]]="Dentro",DATOS_[Conc.Sal.11]))))),
0)</f>
        <v>0</v>
      </c>
      <c r="Q91" s="111">
        <f t="array" ref="Q91">IFERROR(
MEDIAN((IF(DATOS_[[Sexo]:[Sexo]]=$B91,IF(DATOS_[[AGRUP. CLAS. PROF.]:[AGRUP. CLAS. PROF.]]=$B90,IF(DATOS_[[Check Periodo Ref.]:[Check Periodo Ref.]]="Dentro",DATOS_[Conc.Sal.12]))))),
0)</f>
        <v>0</v>
      </c>
      <c r="R91" s="111">
        <f t="array" ref="R91">IFERROR(
MEDIAN((IF(DATOS_[[Sexo]:[Sexo]]=$B91,IF(DATOS_[[AGRUP. CLAS. PROF.]:[AGRUP. CLAS. PROF.]]=$B90,IF(DATOS_[[Check Periodo Ref.]:[Check Periodo Ref.]]="Dentro",DATOS_[Conc.Sal.13]))))),
0)</f>
        <v>0</v>
      </c>
      <c r="S91" s="111">
        <f t="array" ref="S91">IFERROR(
MEDIAN((IF(DATOS_[[Sexo]:[Sexo]]=$B91,IF(DATOS_[[AGRUP. CLAS. PROF.]:[AGRUP. CLAS. PROF.]]=$B90,IF(DATOS_[[Check Periodo Ref.]:[Check Periodo Ref.]]="Dentro",DATOS_[Conc.Sal.14]))))),
0)</f>
        <v>0</v>
      </c>
      <c r="T91" s="111">
        <f t="array" ref="T91">IFERROR(
MEDIAN((IF(DATOS_[[Sexo]:[Sexo]]=$B91,IF(DATOS_[[AGRUP. CLAS. PROF.]:[AGRUP. CLAS. PROF.]]=$B90,IF(DATOS_[[Check Periodo Ref.]:[Check Periodo Ref.]]="Dentro",DATOS_[Conc.Sal.15]))))),
0)</f>
        <v>0</v>
      </c>
      <c r="U91" s="111">
        <f t="array" ref="U91">IFERROR(
MEDIAN((IF(DATOS_[[Sexo]:[Sexo]]=$B91,IF(DATOS_[[AGRUP. CLAS. PROF.]:[AGRUP. CLAS. PROF.]]=$B90,IF(DATOS_[[Check Periodo Ref.]:[Check Periodo Ref.]]="Dentro",DATOS_[Conc.Sal.16]))))),
0)</f>
        <v>0</v>
      </c>
      <c r="V91" s="111">
        <f t="array" ref="V91">IFERROR(
MEDIAN((IF(DATOS_[[Sexo]:[Sexo]]=$B91,IF(DATOS_[[AGRUP. CLAS. PROF.]:[AGRUP. CLAS. PROF.]]=$B90,IF(DATOS_[[Check Periodo Ref.]:[Check Periodo Ref.]]="Dentro",DATOS_[Conc.Sal.17]))))),
0)</f>
        <v>0</v>
      </c>
      <c r="W91" s="111">
        <f t="array" ref="W91">IFERROR(
MEDIAN((IF(DATOS_[[Sexo]:[Sexo]]=$B91,IF(DATOS_[[AGRUP. CLAS. PROF.]:[AGRUP. CLAS. PROF.]]=$B90,IF(DATOS_[[Check Periodo Ref.]:[Check Periodo Ref.]]="Dentro",DATOS_[Conc.Sal.18]))))),
0)</f>
        <v>0</v>
      </c>
      <c r="X91" s="111">
        <f t="array" ref="X91">IFERROR(
MEDIAN((IF(DATOS_[[Sexo]:[Sexo]]=$B91,IF(DATOS_[[AGRUP. CLAS. PROF.]:[AGRUP. CLAS. PROF.]]=$B90,IF(DATOS_[[Check Periodo Ref.]:[Check Periodo Ref.]]="Dentro",DATOS_[Conc.Sal.19]))))),
0)</f>
        <v>0</v>
      </c>
      <c r="Y91" s="111">
        <f t="array" ref="Y91">IFERROR(
MEDIAN((IF(DATOS_[[Sexo]:[Sexo]]=$B91,IF(DATOS_[[AGRUP. CLAS. PROF.]:[AGRUP. CLAS. PROF.]]=$B90,IF(DATOS_[[Check Periodo Ref.]:[Check Periodo Ref.]]="Dentro",DATOS_[Conc.Sal.20]))))),
0)</f>
        <v>0</v>
      </c>
      <c r="Z91" s="111">
        <f t="array" ref="Z91">IFERROR(
MEDIAN((IF(DATOS_[[Sexo]:[Sexo]]=$B91,IF(DATOS_[[AGRUP. CLAS. PROF.]:[AGRUP. CLAS. PROF.]]=$B90,IF(DATOS_[[Check Periodo Ref.]:[Check Periodo Ref.]]="Dentro",DATOS_[Conc.Sal.21]))))),
0)</f>
        <v>0</v>
      </c>
      <c r="AA91" s="111">
        <f t="array" ref="AA91">IFERROR(
MEDIAN((IF(DATOS_[[Sexo]:[Sexo]]=$B91,IF(DATOS_[[AGRUP. CLAS. PROF.]:[AGRUP. CLAS. PROF.]]=$B90,IF(DATOS_[[Check Periodo Ref.]:[Check Periodo Ref.]]="Dentro",DATOS_[Conc.Sal.22]))))),
0)</f>
        <v>0</v>
      </c>
      <c r="AB91" s="111">
        <f t="array" ref="AB91">IFERROR(
MEDIAN((IF(DATOS_[[Sexo]:[Sexo]]=$B91,IF(DATOS_[[AGRUP. CLAS. PROF.]:[AGRUP. CLAS. PROF.]]=$B90,IF(DATOS_[[Check Periodo Ref.]:[Check Periodo Ref.]]="Dentro",DATOS_[Conc.Sal.23]))))),
0)</f>
        <v>0</v>
      </c>
      <c r="AC91" s="111">
        <f t="array" ref="AC91">IFERROR(
MEDIAN((IF(DATOS_[[Sexo]:[Sexo]]=$B91,IF(DATOS_[[AGRUP. CLAS. PROF.]:[AGRUP. CLAS. PROF.]]=$B90,IF(DATOS_[[Check Periodo Ref.]:[Check Periodo Ref.]]="Dentro",DATOS_[Conc.Sal.24]))))),
0)</f>
        <v>0</v>
      </c>
      <c r="AD91" s="111">
        <f t="array" ref="AD91">IFERROR(
MEDIAN((IF(DATOS_[[Sexo]:[Sexo]]=$B91,IF(DATOS_[[AGRUP. CLAS. PROF.]:[AGRUP. CLAS. PROF.]]=$B90,IF(DATOS_[[Check Periodo Ref.]:[Check Periodo Ref.]]="Dentro",DATOS_[Conc.Sal.25]))))),
0)</f>
        <v>0</v>
      </c>
      <c r="AE91" s="111">
        <f t="array" ref="AE91">IFERROR(
MEDIAN((IF(DATOS_[[Sexo]:[Sexo]]=$B91,IF(DATOS_[[AGRUP. CLAS. PROF.]:[AGRUP. CLAS. PROF.]]=$B90,IF(DATOS_[[Check Periodo Ref.]:[Check Periodo Ref.]]="Dentro",DATOS_[Conc.Sal.26]))))),
0)</f>
        <v>0</v>
      </c>
      <c r="AF91" s="111">
        <f t="array" ref="AF91">IFERROR(
MEDIAN((IF(DATOS_[[Sexo]:[Sexo]]=$B91,IF(DATOS_[[AGRUP. CLAS. PROF.]:[AGRUP. CLAS. PROF.]]=$B90,IF(DATOS_[[Check Periodo Ref.]:[Check Periodo Ref.]]="Dentro",DATOS_[Conc.Sal.27]))))),
0)</f>
        <v>0</v>
      </c>
      <c r="AG91" s="111">
        <f t="array" ref="AG91">IFERROR(
MEDIAN((IF(DATOS_[[Sexo]:[Sexo]]=$B91,IF(DATOS_[[AGRUP. CLAS. PROF.]:[AGRUP. CLAS. PROF.]]=$B90,IF(DATOS_[[Check Periodo Ref.]:[Check Periodo Ref.]]="Dentro",DATOS_[Conc.Sal.28]))))),
0)</f>
        <v>0</v>
      </c>
      <c r="AH91" s="111">
        <f t="array" ref="AH91">IFERROR(
MEDIAN((IF(DATOS_[[Sexo]:[Sexo]]=$B91,IF(DATOS_[[AGRUP. CLAS. PROF.]:[AGRUP. CLAS. PROF.]]=$B90,IF(DATOS_[[Check Periodo Ref.]:[Check Periodo Ref.]]="Dentro",DATOS_[Conc.Sal.29]))))),
0)</f>
        <v>0</v>
      </c>
      <c r="AI91" s="111">
        <f t="array" ref="AI91">IFERROR(
MEDIAN((IF(DATOS_[[Sexo]:[Sexo]]=$B91,IF(DATOS_[[AGRUP. CLAS. PROF.]:[AGRUP. CLAS. PROF.]]=$B90,IF(DATOS_[[Check Periodo Ref.]:[Check Periodo Ref.]]="Dentro",DATOS_[Conc.Sal.30]))))),
0)</f>
        <v>0</v>
      </c>
      <c r="AJ91" s="112">
        <f t="array" ref="AJ91">IFERROR(
MEDIAN(IF(DATOS_[Sexo]=$B91,IF(DATOS_[AGRUP. CLAS. PROF.]=$B90,IF(DATOS_[Check Periodo Ref.]="Dentro",DATOS_[Tot COMPL.SAL Ef],FALSE)))),
0)</f>
        <v>0</v>
      </c>
      <c r="AK91" s="113">
        <f t="array" ref="AK91">IFERROR(
MEDIAN(IF(DATOS_[Sexo]=$B91,IF(DATOS_[AGRUP. CLAS. PROF.]=$B90,IF(DATOS_[Check Periodo Ref.]="Dentro",DATOS_[TOTAL SALARIO Ef],FALSE)))),
0)</f>
        <v>0</v>
      </c>
      <c r="AL91" s="114">
        <f t="array" ref="AL91">IFERROR(
MEDIAN((IF(DATOS_[[Sexo]:[Sexo]]=$B91,IF(DATOS_[[AGRUP. CLAS. PROF.]:[AGRUP. CLAS. PROF.]]=$B90,IF(DATOS_[[Check Periodo Ref.]:[Check Periodo Ref.]]="Dentro",DATOS_[C.Extra.01]))))),
0)</f>
        <v>0</v>
      </c>
      <c r="AM91" s="114">
        <f t="array" ref="AM91">IFERROR(
MEDIAN((IF(DATOS_[[Sexo]:[Sexo]]=$B91,IF(DATOS_[[AGRUP. CLAS. PROF.]:[AGRUP. CLAS. PROF.]]=$B90,IF(DATOS_[[Check Periodo Ref.]:[Check Periodo Ref.]]="Dentro",DATOS_[C.Extra.02]))))),
0)</f>
        <v>0</v>
      </c>
      <c r="AN91" s="114">
        <f t="array" ref="AN91">IFERROR(
MEDIAN((IF(DATOS_[[Sexo]:[Sexo]]=$B91,IF(DATOS_[[AGRUP. CLAS. PROF.]:[AGRUP. CLAS. PROF.]]=$B90,IF(DATOS_[[Check Periodo Ref.]:[Check Periodo Ref.]]="Dentro",DATOS_[C.Extra.03]))))),
0)</f>
        <v>0</v>
      </c>
      <c r="AO91" s="114">
        <f t="array" ref="AO91">IFERROR(
MEDIAN((IF(DATOS_[[Sexo]:[Sexo]]=$B91,IF(DATOS_[[AGRUP. CLAS. PROF.]:[AGRUP. CLAS. PROF.]]=$B90,IF(DATOS_[[Check Periodo Ref.]:[Check Periodo Ref.]]="Dentro",DATOS_[C.Extra.04]))))),
0)</f>
        <v>0</v>
      </c>
      <c r="AP91" s="114">
        <f t="array" ref="AP91">IFERROR(
MEDIAN((IF(DATOS_[[Sexo]:[Sexo]]=$B91,IF(DATOS_[[AGRUP. CLAS. PROF.]:[AGRUP. CLAS. PROF.]]=$B90,IF(DATOS_[[Check Periodo Ref.]:[Check Periodo Ref.]]="Dentro",DATOS_[C.Extra.05]))))),
0)</f>
        <v>0</v>
      </c>
      <c r="AQ91" s="115">
        <f t="array" ref="AQ91">IFERROR(
MEDIAN(IF(DATOS_[Sexo]=$B91,IF(DATOS_[AGRUP. CLAS. PROF.]=$B90,IF(DATOS_[Check Periodo Ref.]="Dentro",DATOS_[Tot Extrasalarial Ef],FALSE)))),
0)</f>
        <v>0</v>
      </c>
      <c r="AR91" s="116">
        <f t="array" ref="AR91">IFERROR(
MEDIAN(IF(DATOS_[Sexo]=$B91,IF(DATOS_[AGRUP. CLAS. PROF.]=$B90,IF(DATOS_[Check Periodo Ref.]="Dentro",DATOS_[TOTAL Retrib Ef],FALSE)))),
0)</f>
        <v>0</v>
      </c>
    </row>
    <row r="92" spans="1:44" hidden="1" x14ac:dyDescent="0.3">
      <c r="A92" s="42" t="str">
        <f t="shared" ref="A92" si="106">+A91</f>
        <v>[ocultar]</v>
      </c>
      <c r="B92" s="34" t="s">
        <v>163</v>
      </c>
      <c r="C92" s="33">
        <f t="array" ref="C92">SUM(IF($B92=DATOS_[Sexo],
IF($B90=DATOS_[AGRUP. CLAS. PROF.],
IF("Dentro"=DATOS_[Check Periodo Ref.],
1/(COUNTIFS(DATOS_[Sexo],$B92,DATOS_[AGRUP. CLAS. PROF.],$B90,DATOS_[Check Periodo Ref.],"Dentro",DATOS_[id],DATOS_[id]))))))</f>
        <v>0</v>
      </c>
      <c r="D92" s="35">
        <f>COUNTIFS(DATOS_[AGRUP. CLAS. PROF.],$B90,DATOS_[Sexo],$B92,DATOS_[Check Periodo Ref.],"Dentro")</f>
        <v>0</v>
      </c>
      <c r="E92" s="110">
        <f t="array" ref="E92">IFERROR(
MEDIAN(IF(DATOS_[Sexo]=$B92,IF(DATOS_[AGRUP. CLAS. PROF.]=$B90,IF(DATOS_[Check Periodo Ref.]="Dentro",DATOS_[SALARIO BASE Ef],FALSE)))),
0)</f>
        <v>0</v>
      </c>
      <c r="F92" s="111">
        <f t="array" ref="F92">IFERROR(
MEDIAN((IF(DATOS_[[Sexo]:[Sexo]]=$B92,IF(DATOS_[[AGRUP. CLAS. PROF.]:[AGRUP. CLAS. PROF.]]=$B90,IF(DATOS_[[Check Periodo Ref.]:[Check Periodo Ref.]]="Dentro",DATOS_[Conc.Sal.01]))))),
0)</f>
        <v>0</v>
      </c>
      <c r="G92" s="111">
        <f t="array" ref="G92">IFERROR(
MEDIAN((IF(DATOS_[[Sexo]:[Sexo]]=$B92,IF(DATOS_[[AGRUP. CLAS. PROF.]:[AGRUP. CLAS. PROF.]]=$B90,IF(DATOS_[[Check Periodo Ref.]:[Check Periodo Ref.]]="Dentro",DATOS_[Conc.Sal.02]))))),
0)</f>
        <v>0</v>
      </c>
      <c r="H92" s="111">
        <f t="array" ref="H92">IFERROR(
MEDIAN((IF(DATOS_[[Sexo]:[Sexo]]=$B92,IF(DATOS_[[AGRUP. CLAS. PROF.]:[AGRUP. CLAS. PROF.]]=$B90,IF(DATOS_[[Check Periodo Ref.]:[Check Periodo Ref.]]="Dentro",DATOS_[Conc.Sal.03]))))),
0)</f>
        <v>0</v>
      </c>
      <c r="I92" s="111">
        <f t="array" ref="I92">IFERROR(
MEDIAN((IF(DATOS_[[Sexo]:[Sexo]]=$B92,IF(DATOS_[[AGRUP. CLAS. PROF.]:[AGRUP. CLAS. PROF.]]=$B90,IF(DATOS_[[Check Periodo Ref.]:[Check Periodo Ref.]]="Dentro",DATOS_[Conc.Sal.04]))))),
0)</f>
        <v>0</v>
      </c>
      <c r="J92" s="111">
        <f t="array" ref="J92">IFERROR(
MEDIAN((IF(DATOS_[[Sexo]:[Sexo]]=$B92,IF(DATOS_[[AGRUP. CLAS. PROF.]:[AGRUP. CLAS. PROF.]]=$B90,IF(DATOS_[[Check Periodo Ref.]:[Check Periodo Ref.]]="Dentro",DATOS_[Conc.Sal.05]))))),
0)</f>
        <v>0</v>
      </c>
      <c r="K92" s="111">
        <f t="array" ref="K92">IFERROR(
MEDIAN((IF(DATOS_[[Sexo]:[Sexo]]=$B92,IF(DATOS_[[AGRUP. CLAS. PROF.]:[AGRUP. CLAS. PROF.]]=$B90,IF(DATOS_[[Check Periodo Ref.]:[Check Periodo Ref.]]="Dentro",DATOS_[Conc.Sal.06]))))),
0)</f>
        <v>0</v>
      </c>
      <c r="L92" s="111">
        <f t="array" ref="L92">IFERROR(
MEDIAN((IF(DATOS_[[Sexo]:[Sexo]]=$B92,IF(DATOS_[[AGRUP. CLAS. PROF.]:[AGRUP. CLAS. PROF.]]=$B90,IF(DATOS_[[Check Periodo Ref.]:[Check Periodo Ref.]]="Dentro",DATOS_[Conc.Sal.07]))))),
0)</f>
        <v>0</v>
      </c>
      <c r="M92" s="111">
        <f t="array" ref="M92">IFERROR(
MEDIAN((IF(DATOS_[[Sexo]:[Sexo]]=$B92,IF(DATOS_[[AGRUP. CLAS. PROF.]:[AGRUP. CLAS. PROF.]]=$B90,IF(DATOS_[[Check Periodo Ref.]:[Check Periodo Ref.]]="Dentro",DATOS_[Conc.Sal.08]))))),
0)</f>
        <v>0</v>
      </c>
      <c r="N92" s="111">
        <f t="array" ref="N92">IFERROR(
MEDIAN((IF(DATOS_[[Sexo]:[Sexo]]=$B92,IF(DATOS_[[AGRUP. CLAS. PROF.]:[AGRUP. CLAS. PROF.]]=$B90,IF(DATOS_[[Check Periodo Ref.]:[Check Periodo Ref.]]="Dentro",DATOS_[Conc.Sal.09]))))),
0)</f>
        <v>0</v>
      </c>
      <c r="O92" s="111">
        <f t="array" ref="O92">IFERROR(
MEDIAN((IF(DATOS_[[Sexo]:[Sexo]]=$B92,IF(DATOS_[[AGRUP. CLAS. PROF.]:[AGRUP. CLAS. PROF.]]=$B90,IF(DATOS_[[Check Periodo Ref.]:[Check Periodo Ref.]]="Dentro",DATOS_[Conc.Sal.10]))))),
0)</f>
        <v>0</v>
      </c>
      <c r="P92" s="111">
        <f t="array" ref="P92">IFERROR(
MEDIAN((IF(DATOS_[[Sexo]:[Sexo]]=$B92,IF(DATOS_[[AGRUP. CLAS. PROF.]:[AGRUP. CLAS. PROF.]]=$B90,IF(DATOS_[[Check Periodo Ref.]:[Check Periodo Ref.]]="Dentro",DATOS_[Conc.Sal.11]))))),
0)</f>
        <v>0</v>
      </c>
      <c r="Q92" s="111">
        <f t="array" ref="Q92">IFERROR(
MEDIAN((IF(DATOS_[[Sexo]:[Sexo]]=$B92,IF(DATOS_[[AGRUP. CLAS. PROF.]:[AGRUP. CLAS. PROF.]]=$B90,IF(DATOS_[[Check Periodo Ref.]:[Check Periodo Ref.]]="Dentro",DATOS_[Conc.Sal.12]))))),
0)</f>
        <v>0</v>
      </c>
      <c r="R92" s="111">
        <f t="array" ref="R92">IFERROR(
MEDIAN((IF(DATOS_[[Sexo]:[Sexo]]=$B92,IF(DATOS_[[AGRUP. CLAS. PROF.]:[AGRUP. CLAS. PROF.]]=$B90,IF(DATOS_[[Check Periodo Ref.]:[Check Periodo Ref.]]="Dentro",DATOS_[Conc.Sal.13]))))),
0)</f>
        <v>0</v>
      </c>
      <c r="S92" s="111">
        <f t="array" ref="S92">IFERROR(
MEDIAN((IF(DATOS_[[Sexo]:[Sexo]]=$B92,IF(DATOS_[[AGRUP. CLAS. PROF.]:[AGRUP. CLAS. PROF.]]=$B90,IF(DATOS_[[Check Periodo Ref.]:[Check Periodo Ref.]]="Dentro",DATOS_[Conc.Sal.14]))))),
0)</f>
        <v>0</v>
      </c>
      <c r="T92" s="111">
        <f t="array" ref="T92">IFERROR(
MEDIAN((IF(DATOS_[[Sexo]:[Sexo]]=$B92,IF(DATOS_[[AGRUP. CLAS. PROF.]:[AGRUP. CLAS. PROF.]]=$B90,IF(DATOS_[[Check Periodo Ref.]:[Check Periodo Ref.]]="Dentro",DATOS_[Conc.Sal.15]))))),
0)</f>
        <v>0</v>
      </c>
      <c r="U92" s="111">
        <f t="array" ref="U92">IFERROR(
MEDIAN((IF(DATOS_[[Sexo]:[Sexo]]=$B92,IF(DATOS_[[AGRUP. CLAS. PROF.]:[AGRUP. CLAS. PROF.]]=$B90,IF(DATOS_[[Check Periodo Ref.]:[Check Periodo Ref.]]="Dentro",DATOS_[Conc.Sal.16]))))),
0)</f>
        <v>0</v>
      </c>
      <c r="V92" s="111">
        <f t="array" ref="V92">IFERROR(
MEDIAN((IF(DATOS_[[Sexo]:[Sexo]]=$B92,IF(DATOS_[[AGRUP. CLAS. PROF.]:[AGRUP. CLAS. PROF.]]=$B90,IF(DATOS_[[Check Periodo Ref.]:[Check Periodo Ref.]]="Dentro",DATOS_[Conc.Sal.17]))))),
0)</f>
        <v>0</v>
      </c>
      <c r="W92" s="111">
        <f t="array" ref="W92">IFERROR(
MEDIAN((IF(DATOS_[[Sexo]:[Sexo]]=$B92,IF(DATOS_[[AGRUP. CLAS. PROF.]:[AGRUP. CLAS. PROF.]]=$B90,IF(DATOS_[[Check Periodo Ref.]:[Check Periodo Ref.]]="Dentro",DATOS_[Conc.Sal.18]))))),
0)</f>
        <v>0</v>
      </c>
      <c r="X92" s="111">
        <f t="array" ref="X92">IFERROR(
MEDIAN((IF(DATOS_[[Sexo]:[Sexo]]=$B92,IF(DATOS_[[AGRUP. CLAS. PROF.]:[AGRUP. CLAS. PROF.]]=$B90,IF(DATOS_[[Check Periodo Ref.]:[Check Periodo Ref.]]="Dentro",DATOS_[Conc.Sal.19]))))),
0)</f>
        <v>0</v>
      </c>
      <c r="Y92" s="111">
        <f t="array" ref="Y92">IFERROR(
MEDIAN((IF(DATOS_[[Sexo]:[Sexo]]=$B92,IF(DATOS_[[AGRUP. CLAS. PROF.]:[AGRUP. CLAS. PROF.]]=$B90,IF(DATOS_[[Check Periodo Ref.]:[Check Periodo Ref.]]="Dentro",DATOS_[Conc.Sal.20]))))),
0)</f>
        <v>0</v>
      </c>
      <c r="Z92" s="111">
        <f t="array" ref="Z92">IFERROR(
MEDIAN((IF(DATOS_[[Sexo]:[Sexo]]=$B92,IF(DATOS_[[AGRUP. CLAS. PROF.]:[AGRUP. CLAS. PROF.]]=$B90,IF(DATOS_[[Check Periodo Ref.]:[Check Periodo Ref.]]="Dentro",DATOS_[Conc.Sal.21]))))),
0)</f>
        <v>0</v>
      </c>
      <c r="AA92" s="111">
        <f t="array" ref="AA92">IFERROR(
MEDIAN((IF(DATOS_[[Sexo]:[Sexo]]=$B92,IF(DATOS_[[AGRUP. CLAS. PROF.]:[AGRUP. CLAS. PROF.]]=$B90,IF(DATOS_[[Check Periodo Ref.]:[Check Periodo Ref.]]="Dentro",DATOS_[Conc.Sal.22]))))),
0)</f>
        <v>0</v>
      </c>
      <c r="AB92" s="111">
        <f t="array" ref="AB92">IFERROR(
MEDIAN((IF(DATOS_[[Sexo]:[Sexo]]=$B92,IF(DATOS_[[AGRUP. CLAS. PROF.]:[AGRUP. CLAS. PROF.]]=$B90,IF(DATOS_[[Check Periodo Ref.]:[Check Periodo Ref.]]="Dentro",DATOS_[Conc.Sal.23]))))),
0)</f>
        <v>0</v>
      </c>
      <c r="AC92" s="111">
        <f t="array" ref="AC92">IFERROR(
MEDIAN((IF(DATOS_[[Sexo]:[Sexo]]=$B92,IF(DATOS_[[AGRUP. CLAS. PROF.]:[AGRUP. CLAS. PROF.]]=$B90,IF(DATOS_[[Check Periodo Ref.]:[Check Periodo Ref.]]="Dentro",DATOS_[Conc.Sal.24]))))),
0)</f>
        <v>0</v>
      </c>
      <c r="AD92" s="111">
        <f t="array" ref="AD92">IFERROR(
MEDIAN((IF(DATOS_[[Sexo]:[Sexo]]=$B92,IF(DATOS_[[AGRUP. CLAS. PROF.]:[AGRUP. CLAS. PROF.]]=$B90,IF(DATOS_[[Check Periodo Ref.]:[Check Periodo Ref.]]="Dentro",DATOS_[Conc.Sal.25]))))),
0)</f>
        <v>0</v>
      </c>
      <c r="AE92" s="111">
        <f t="array" ref="AE92">IFERROR(
MEDIAN((IF(DATOS_[[Sexo]:[Sexo]]=$B92,IF(DATOS_[[AGRUP. CLAS. PROF.]:[AGRUP. CLAS. PROF.]]=$B90,IF(DATOS_[[Check Periodo Ref.]:[Check Periodo Ref.]]="Dentro",DATOS_[Conc.Sal.26]))))),
0)</f>
        <v>0</v>
      </c>
      <c r="AF92" s="111">
        <f t="array" ref="AF92">IFERROR(
MEDIAN((IF(DATOS_[[Sexo]:[Sexo]]=$B92,IF(DATOS_[[AGRUP. CLAS. PROF.]:[AGRUP. CLAS. PROF.]]=$B90,IF(DATOS_[[Check Periodo Ref.]:[Check Periodo Ref.]]="Dentro",DATOS_[Conc.Sal.27]))))),
0)</f>
        <v>0</v>
      </c>
      <c r="AG92" s="111">
        <f t="array" ref="AG92">IFERROR(
MEDIAN((IF(DATOS_[[Sexo]:[Sexo]]=$B92,IF(DATOS_[[AGRUP. CLAS. PROF.]:[AGRUP. CLAS. PROF.]]=$B90,IF(DATOS_[[Check Periodo Ref.]:[Check Periodo Ref.]]="Dentro",DATOS_[Conc.Sal.28]))))),
0)</f>
        <v>0</v>
      </c>
      <c r="AH92" s="111">
        <f t="array" ref="AH92">IFERROR(
MEDIAN((IF(DATOS_[[Sexo]:[Sexo]]=$B92,IF(DATOS_[[AGRUP. CLAS. PROF.]:[AGRUP. CLAS. PROF.]]=$B90,IF(DATOS_[[Check Periodo Ref.]:[Check Periodo Ref.]]="Dentro",DATOS_[Conc.Sal.29]))))),
0)</f>
        <v>0</v>
      </c>
      <c r="AI92" s="111">
        <f t="array" ref="AI92">IFERROR(
MEDIAN((IF(DATOS_[[Sexo]:[Sexo]]=$B92,IF(DATOS_[[AGRUP. CLAS. PROF.]:[AGRUP. CLAS. PROF.]]=$B90,IF(DATOS_[[Check Periodo Ref.]:[Check Periodo Ref.]]="Dentro",DATOS_[Conc.Sal.30]))))),
0)</f>
        <v>0</v>
      </c>
      <c r="AJ92" s="112">
        <f t="array" ref="AJ92">IFERROR(
MEDIAN(IF(DATOS_[Sexo]=$B92,IF(DATOS_[AGRUP. CLAS. PROF.]=$B90,IF(DATOS_[Check Periodo Ref.]="Dentro",DATOS_[Tot COMPL.SAL Ef],FALSE)))),
0)</f>
        <v>0</v>
      </c>
      <c r="AK92" s="113">
        <f t="array" ref="AK92">IFERROR(
MEDIAN(IF(DATOS_[Sexo]=$B92,IF(DATOS_[AGRUP. CLAS. PROF.]=$B90,IF(DATOS_[Check Periodo Ref.]="Dentro",DATOS_[TOTAL SALARIO Ef],FALSE)))),
0)</f>
        <v>0</v>
      </c>
      <c r="AL92" s="114">
        <f t="array" ref="AL92">IFERROR(
MEDIAN((IF(DATOS_[[Sexo]:[Sexo]]=$B92,IF(DATOS_[[AGRUP. CLAS. PROF.]:[AGRUP. CLAS. PROF.]]=$B90,IF(DATOS_[[Check Periodo Ref.]:[Check Periodo Ref.]]="Dentro",DATOS_[C.Extra.01]))))),
0)</f>
        <v>0</v>
      </c>
      <c r="AM92" s="114">
        <f t="array" ref="AM92">IFERROR(
MEDIAN((IF(DATOS_[[Sexo]:[Sexo]]=$B92,IF(DATOS_[[AGRUP. CLAS. PROF.]:[AGRUP. CLAS. PROF.]]=$B90,IF(DATOS_[[Check Periodo Ref.]:[Check Periodo Ref.]]="Dentro",DATOS_[C.Extra.02]))))),
0)</f>
        <v>0</v>
      </c>
      <c r="AN92" s="114">
        <f t="array" ref="AN92">IFERROR(
MEDIAN((IF(DATOS_[[Sexo]:[Sexo]]=$B92,IF(DATOS_[[AGRUP. CLAS. PROF.]:[AGRUP. CLAS. PROF.]]=$B90,IF(DATOS_[[Check Periodo Ref.]:[Check Periodo Ref.]]="Dentro",DATOS_[C.Extra.03]))))),
0)</f>
        <v>0</v>
      </c>
      <c r="AO92" s="114">
        <f t="array" ref="AO92">IFERROR(
MEDIAN((IF(DATOS_[[Sexo]:[Sexo]]=$B92,IF(DATOS_[[AGRUP. CLAS. PROF.]:[AGRUP. CLAS. PROF.]]=$B90,IF(DATOS_[[Check Periodo Ref.]:[Check Periodo Ref.]]="Dentro",DATOS_[C.Extra.04]))))),
0)</f>
        <v>0</v>
      </c>
      <c r="AP92" s="114">
        <f t="array" ref="AP92">IFERROR(
MEDIAN((IF(DATOS_[[Sexo]:[Sexo]]=$B92,IF(DATOS_[[AGRUP. CLAS. PROF.]:[AGRUP. CLAS. PROF.]]=$B90,IF(DATOS_[[Check Periodo Ref.]:[Check Periodo Ref.]]="Dentro",DATOS_[C.Extra.05]))))),
0)</f>
        <v>0</v>
      </c>
      <c r="AQ92" s="115">
        <f t="array" ref="AQ92">IFERROR(
MEDIAN(IF(DATOS_[Sexo]=$B92,IF(DATOS_[AGRUP. CLAS. PROF.]=$B90,IF(DATOS_[Check Periodo Ref.]="Dentro",DATOS_[Tot Extrasalarial Ef],FALSE)))),
0)</f>
        <v>0</v>
      </c>
      <c r="AR92" s="116">
        <f t="array" ref="AR92">IFERROR(
MEDIAN(IF(DATOS_[Sexo]=$B92,IF(DATOS_[AGRUP. CLAS. PROF.]=$B90,IF(DATOS_[Check Periodo Ref.]="Dentro",DATOS_[TOTAL Retrib Ef],FALSE)))),
0)</f>
        <v>0</v>
      </c>
    </row>
    <row r="93" spans="1:44" ht="17.25" hidden="1" thickBot="1" x14ac:dyDescent="0.35">
      <c r="A93" s="42" t="str">
        <f t="shared" ref="A93" si="107">+A94</f>
        <v>[ocultar]</v>
      </c>
      <c r="B93" s="40" t="s">
        <v>243</v>
      </c>
      <c r="C93" s="109"/>
      <c r="D93" s="41"/>
      <c r="E93" s="119" t="str">
        <f t="shared" ref="E93:AR93" si="108">IFERROR((E94-E95)/E94,"")</f>
        <v/>
      </c>
      <c r="F93" s="123" t="str">
        <f t="shared" si="108"/>
        <v/>
      </c>
      <c r="G93" s="123" t="str">
        <f t="shared" si="108"/>
        <v/>
      </c>
      <c r="H93" s="123" t="str">
        <f t="shared" si="108"/>
        <v/>
      </c>
      <c r="I93" s="123" t="str">
        <f t="shared" si="108"/>
        <v/>
      </c>
      <c r="J93" s="123" t="str">
        <f t="shared" si="108"/>
        <v/>
      </c>
      <c r="K93" s="123" t="str">
        <f t="shared" si="108"/>
        <v/>
      </c>
      <c r="L93" s="123" t="str">
        <f t="shared" si="108"/>
        <v/>
      </c>
      <c r="M93" s="123" t="str">
        <f t="shared" si="108"/>
        <v/>
      </c>
      <c r="N93" s="123" t="str">
        <f t="shared" si="108"/>
        <v/>
      </c>
      <c r="O93" s="123" t="str">
        <f t="shared" si="108"/>
        <v/>
      </c>
      <c r="P93" s="123" t="str">
        <f t="shared" si="108"/>
        <v/>
      </c>
      <c r="Q93" s="123" t="str">
        <f t="shared" si="108"/>
        <v/>
      </c>
      <c r="R93" s="123" t="str">
        <f t="shared" si="108"/>
        <v/>
      </c>
      <c r="S93" s="123" t="str">
        <f t="shared" si="108"/>
        <v/>
      </c>
      <c r="T93" s="123" t="str">
        <f t="shared" si="108"/>
        <v/>
      </c>
      <c r="U93" s="123" t="str">
        <f t="shared" si="108"/>
        <v/>
      </c>
      <c r="V93" s="122" t="str">
        <f t="shared" si="108"/>
        <v/>
      </c>
      <c r="W93" s="122" t="str">
        <f t="shared" si="108"/>
        <v/>
      </c>
      <c r="X93" s="122" t="str">
        <f t="shared" si="108"/>
        <v/>
      </c>
      <c r="Y93" s="122" t="str">
        <f t="shared" si="108"/>
        <v/>
      </c>
      <c r="Z93" s="122" t="str">
        <f t="shared" si="108"/>
        <v/>
      </c>
      <c r="AA93" s="122" t="str">
        <f t="shared" si="108"/>
        <v/>
      </c>
      <c r="AB93" s="122" t="str">
        <f t="shared" si="108"/>
        <v/>
      </c>
      <c r="AC93" s="122" t="str">
        <f t="shared" si="108"/>
        <v/>
      </c>
      <c r="AD93" s="122" t="str">
        <f t="shared" si="108"/>
        <v/>
      </c>
      <c r="AE93" s="122" t="str">
        <f t="shared" si="108"/>
        <v/>
      </c>
      <c r="AF93" s="122" t="str">
        <f t="shared" si="108"/>
        <v/>
      </c>
      <c r="AG93" s="122" t="str">
        <f t="shared" si="108"/>
        <v/>
      </c>
      <c r="AH93" s="122" t="str">
        <f t="shared" si="108"/>
        <v/>
      </c>
      <c r="AI93" s="122" t="str">
        <f t="shared" si="108"/>
        <v/>
      </c>
      <c r="AJ93" s="124" t="str">
        <f t="shared" si="108"/>
        <v/>
      </c>
      <c r="AK93" s="128" t="str">
        <f t="shared" si="108"/>
        <v/>
      </c>
      <c r="AL93" s="125" t="str">
        <f t="shared" si="108"/>
        <v/>
      </c>
      <c r="AM93" s="125" t="str">
        <f t="shared" si="108"/>
        <v/>
      </c>
      <c r="AN93" s="125" t="str">
        <f t="shared" si="108"/>
        <v/>
      </c>
      <c r="AO93" s="125" t="str">
        <f t="shared" si="108"/>
        <v/>
      </c>
      <c r="AP93" s="125" t="str">
        <f t="shared" si="108"/>
        <v/>
      </c>
      <c r="AQ93" s="126" t="str">
        <f t="shared" si="108"/>
        <v/>
      </c>
      <c r="AR93" s="127" t="str">
        <f t="shared" si="108"/>
        <v/>
      </c>
    </row>
    <row r="94" spans="1:44" hidden="1" x14ac:dyDescent="0.3">
      <c r="A94" s="42" t="str">
        <f t="shared" ref="A94" si="109">+IF(C94+C95=0,"[ocultar]","")</f>
        <v>[ocultar]</v>
      </c>
      <c r="B94" s="34" t="s">
        <v>162</v>
      </c>
      <c r="C94" s="33">
        <f t="array" ref="C94">SUM(IF($B94=DATOS_[Sexo],
IF($B93=DATOS_[AGRUP. CLAS. PROF.],
IF("Dentro"=DATOS_[Check Periodo Ref.],
1/(COUNTIFS(DATOS_[Sexo],$B94,DATOS_[AGRUP. CLAS. PROF.],$B93,DATOS_[Check Periodo Ref.],"Dentro",DATOS_[id],DATOS_[id]))))))</f>
        <v>0</v>
      </c>
      <c r="D94" s="35">
        <f>COUNTIFS(DATOS_[AGRUP. CLAS. PROF.],$B93,DATOS_[Sexo],$B94,DATOS_[Check Periodo Ref.],"Dentro")</f>
        <v>0</v>
      </c>
      <c r="E94" s="110">
        <f t="array" ref="E94">IFERROR(
MEDIAN(IF(DATOS_[Sexo]=$B94,IF(DATOS_[AGRUP. CLAS. PROF.]=$B93,IF(DATOS_[Check Periodo Ref.]="Dentro",DATOS_[SALARIO BASE Ef],FALSE)))),
0)</f>
        <v>0</v>
      </c>
      <c r="F94" s="111">
        <f t="array" ref="F94">IFERROR(
MEDIAN((IF(DATOS_[[Sexo]:[Sexo]]=$B94,IF(DATOS_[[AGRUP. CLAS. PROF.]:[AGRUP. CLAS. PROF.]]=$B93,IF(DATOS_[[Check Periodo Ref.]:[Check Periodo Ref.]]="Dentro",DATOS_[Conc.Sal.01]))))),
0)</f>
        <v>0</v>
      </c>
      <c r="G94" s="111">
        <f t="array" ref="G94">IFERROR(
MEDIAN((IF(DATOS_[[Sexo]:[Sexo]]=$B94,IF(DATOS_[[AGRUP. CLAS. PROF.]:[AGRUP. CLAS. PROF.]]=$B93,IF(DATOS_[[Check Periodo Ref.]:[Check Periodo Ref.]]="Dentro",DATOS_[Conc.Sal.02]))))),
0)</f>
        <v>0</v>
      </c>
      <c r="H94" s="111">
        <f t="array" ref="H94">IFERROR(
MEDIAN((IF(DATOS_[[Sexo]:[Sexo]]=$B94,IF(DATOS_[[AGRUP. CLAS. PROF.]:[AGRUP. CLAS. PROF.]]=$B93,IF(DATOS_[[Check Periodo Ref.]:[Check Periodo Ref.]]="Dentro",DATOS_[Conc.Sal.03]))))),
0)</f>
        <v>0</v>
      </c>
      <c r="I94" s="111">
        <f t="array" ref="I94">IFERROR(
MEDIAN((IF(DATOS_[[Sexo]:[Sexo]]=$B94,IF(DATOS_[[AGRUP. CLAS. PROF.]:[AGRUP. CLAS. PROF.]]=$B93,IF(DATOS_[[Check Periodo Ref.]:[Check Periodo Ref.]]="Dentro",DATOS_[Conc.Sal.04]))))),
0)</f>
        <v>0</v>
      </c>
      <c r="J94" s="111">
        <f t="array" ref="J94">IFERROR(
MEDIAN((IF(DATOS_[[Sexo]:[Sexo]]=$B94,IF(DATOS_[[AGRUP. CLAS. PROF.]:[AGRUP. CLAS. PROF.]]=$B93,IF(DATOS_[[Check Periodo Ref.]:[Check Periodo Ref.]]="Dentro",DATOS_[Conc.Sal.05]))))),
0)</f>
        <v>0</v>
      </c>
      <c r="K94" s="111">
        <f t="array" ref="K94">IFERROR(
MEDIAN((IF(DATOS_[[Sexo]:[Sexo]]=$B94,IF(DATOS_[[AGRUP. CLAS. PROF.]:[AGRUP. CLAS. PROF.]]=$B93,IF(DATOS_[[Check Periodo Ref.]:[Check Periodo Ref.]]="Dentro",DATOS_[Conc.Sal.06]))))),
0)</f>
        <v>0</v>
      </c>
      <c r="L94" s="111">
        <f t="array" ref="L94">IFERROR(
MEDIAN((IF(DATOS_[[Sexo]:[Sexo]]=$B94,IF(DATOS_[[AGRUP. CLAS. PROF.]:[AGRUP. CLAS. PROF.]]=$B93,IF(DATOS_[[Check Periodo Ref.]:[Check Periodo Ref.]]="Dentro",DATOS_[Conc.Sal.07]))))),
0)</f>
        <v>0</v>
      </c>
      <c r="M94" s="111">
        <f t="array" ref="M94">IFERROR(
MEDIAN((IF(DATOS_[[Sexo]:[Sexo]]=$B94,IF(DATOS_[[AGRUP. CLAS. PROF.]:[AGRUP. CLAS. PROF.]]=$B93,IF(DATOS_[[Check Periodo Ref.]:[Check Periodo Ref.]]="Dentro",DATOS_[Conc.Sal.08]))))),
0)</f>
        <v>0</v>
      </c>
      <c r="N94" s="111">
        <f t="array" ref="N94">IFERROR(
MEDIAN((IF(DATOS_[[Sexo]:[Sexo]]=$B94,IF(DATOS_[[AGRUP. CLAS. PROF.]:[AGRUP. CLAS. PROF.]]=$B93,IF(DATOS_[[Check Periodo Ref.]:[Check Periodo Ref.]]="Dentro",DATOS_[Conc.Sal.09]))))),
0)</f>
        <v>0</v>
      </c>
      <c r="O94" s="111">
        <f t="array" ref="O94">IFERROR(
MEDIAN((IF(DATOS_[[Sexo]:[Sexo]]=$B94,IF(DATOS_[[AGRUP. CLAS. PROF.]:[AGRUP. CLAS. PROF.]]=$B93,IF(DATOS_[[Check Periodo Ref.]:[Check Periodo Ref.]]="Dentro",DATOS_[Conc.Sal.10]))))),
0)</f>
        <v>0</v>
      </c>
      <c r="P94" s="111">
        <f t="array" ref="P94">IFERROR(
MEDIAN((IF(DATOS_[[Sexo]:[Sexo]]=$B94,IF(DATOS_[[AGRUP. CLAS. PROF.]:[AGRUP. CLAS. PROF.]]=$B93,IF(DATOS_[[Check Periodo Ref.]:[Check Periodo Ref.]]="Dentro",DATOS_[Conc.Sal.11]))))),
0)</f>
        <v>0</v>
      </c>
      <c r="Q94" s="111">
        <f t="array" ref="Q94">IFERROR(
MEDIAN((IF(DATOS_[[Sexo]:[Sexo]]=$B94,IF(DATOS_[[AGRUP. CLAS. PROF.]:[AGRUP. CLAS. PROF.]]=$B93,IF(DATOS_[[Check Periodo Ref.]:[Check Periodo Ref.]]="Dentro",DATOS_[Conc.Sal.12]))))),
0)</f>
        <v>0</v>
      </c>
      <c r="R94" s="111">
        <f t="array" ref="R94">IFERROR(
MEDIAN((IF(DATOS_[[Sexo]:[Sexo]]=$B94,IF(DATOS_[[AGRUP. CLAS. PROF.]:[AGRUP. CLAS. PROF.]]=$B93,IF(DATOS_[[Check Periodo Ref.]:[Check Periodo Ref.]]="Dentro",DATOS_[Conc.Sal.13]))))),
0)</f>
        <v>0</v>
      </c>
      <c r="S94" s="111">
        <f t="array" ref="S94">IFERROR(
MEDIAN((IF(DATOS_[[Sexo]:[Sexo]]=$B94,IF(DATOS_[[AGRUP. CLAS. PROF.]:[AGRUP. CLAS. PROF.]]=$B93,IF(DATOS_[[Check Periodo Ref.]:[Check Periodo Ref.]]="Dentro",DATOS_[Conc.Sal.14]))))),
0)</f>
        <v>0</v>
      </c>
      <c r="T94" s="111">
        <f t="array" ref="T94">IFERROR(
MEDIAN((IF(DATOS_[[Sexo]:[Sexo]]=$B94,IF(DATOS_[[AGRUP. CLAS. PROF.]:[AGRUP. CLAS. PROF.]]=$B93,IF(DATOS_[[Check Periodo Ref.]:[Check Periodo Ref.]]="Dentro",DATOS_[Conc.Sal.15]))))),
0)</f>
        <v>0</v>
      </c>
      <c r="U94" s="111">
        <f t="array" ref="U94">IFERROR(
MEDIAN((IF(DATOS_[[Sexo]:[Sexo]]=$B94,IF(DATOS_[[AGRUP. CLAS. PROF.]:[AGRUP. CLAS. PROF.]]=$B93,IF(DATOS_[[Check Periodo Ref.]:[Check Periodo Ref.]]="Dentro",DATOS_[Conc.Sal.16]))))),
0)</f>
        <v>0</v>
      </c>
      <c r="V94" s="111">
        <f t="array" ref="V94">IFERROR(
MEDIAN((IF(DATOS_[[Sexo]:[Sexo]]=$B94,IF(DATOS_[[AGRUP. CLAS. PROF.]:[AGRUP. CLAS. PROF.]]=$B93,IF(DATOS_[[Check Periodo Ref.]:[Check Periodo Ref.]]="Dentro",DATOS_[Conc.Sal.17]))))),
0)</f>
        <v>0</v>
      </c>
      <c r="W94" s="111">
        <f t="array" ref="W94">IFERROR(
MEDIAN((IF(DATOS_[[Sexo]:[Sexo]]=$B94,IF(DATOS_[[AGRUP. CLAS. PROF.]:[AGRUP. CLAS. PROF.]]=$B93,IF(DATOS_[[Check Periodo Ref.]:[Check Periodo Ref.]]="Dentro",DATOS_[Conc.Sal.18]))))),
0)</f>
        <v>0</v>
      </c>
      <c r="X94" s="111">
        <f t="array" ref="X94">IFERROR(
MEDIAN((IF(DATOS_[[Sexo]:[Sexo]]=$B94,IF(DATOS_[[AGRUP. CLAS. PROF.]:[AGRUP. CLAS. PROF.]]=$B93,IF(DATOS_[[Check Periodo Ref.]:[Check Periodo Ref.]]="Dentro",DATOS_[Conc.Sal.19]))))),
0)</f>
        <v>0</v>
      </c>
      <c r="Y94" s="111">
        <f t="array" ref="Y94">IFERROR(
MEDIAN((IF(DATOS_[[Sexo]:[Sexo]]=$B94,IF(DATOS_[[AGRUP. CLAS. PROF.]:[AGRUP. CLAS. PROF.]]=$B93,IF(DATOS_[[Check Periodo Ref.]:[Check Periodo Ref.]]="Dentro",DATOS_[Conc.Sal.20]))))),
0)</f>
        <v>0</v>
      </c>
      <c r="Z94" s="111">
        <f t="array" ref="Z94">IFERROR(
MEDIAN((IF(DATOS_[[Sexo]:[Sexo]]=$B94,IF(DATOS_[[AGRUP. CLAS. PROF.]:[AGRUP. CLAS. PROF.]]=$B93,IF(DATOS_[[Check Periodo Ref.]:[Check Periodo Ref.]]="Dentro",DATOS_[Conc.Sal.21]))))),
0)</f>
        <v>0</v>
      </c>
      <c r="AA94" s="111">
        <f t="array" ref="AA94">IFERROR(
MEDIAN((IF(DATOS_[[Sexo]:[Sexo]]=$B94,IF(DATOS_[[AGRUP. CLAS. PROF.]:[AGRUP. CLAS. PROF.]]=$B93,IF(DATOS_[[Check Periodo Ref.]:[Check Periodo Ref.]]="Dentro",DATOS_[Conc.Sal.22]))))),
0)</f>
        <v>0</v>
      </c>
      <c r="AB94" s="111">
        <f t="array" ref="AB94">IFERROR(
MEDIAN((IF(DATOS_[[Sexo]:[Sexo]]=$B94,IF(DATOS_[[AGRUP. CLAS. PROF.]:[AGRUP. CLAS. PROF.]]=$B93,IF(DATOS_[[Check Periodo Ref.]:[Check Periodo Ref.]]="Dentro",DATOS_[Conc.Sal.23]))))),
0)</f>
        <v>0</v>
      </c>
      <c r="AC94" s="111">
        <f t="array" ref="AC94">IFERROR(
MEDIAN((IF(DATOS_[[Sexo]:[Sexo]]=$B94,IF(DATOS_[[AGRUP. CLAS. PROF.]:[AGRUP. CLAS. PROF.]]=$B93,IF(DATOS_[[Check Periodo Ref.]:[Check Periodo Ref.]]="Dentro",DATOS_[Conc.Sal.24]))))),
0)</f>
        <v>0</v>
      </c>
      <c r="AD94" s="111">
        <f t="array" ref="AD94">IFERROR(
MEDIAN((IF(DATOS_[[Sexo]:[Sexo]]=$B94,IF(DATOS_[[AGRUP. CLAS. PROF.]:[AGRUP. CLAS. PROF.]]=$B93,IF(DATOS_[[Check Periodo Ref.]:[Check Periodo Ref.]]="Dentro",DATOS_[Conc.Sal.25]))))),
0)</f>
        <v>0</v>
      </c>
      <c r="AE94" s="111">
        <f t="array" ref="AE94">IFERROR(
MEDIAN((IF(DATOS_[[Sexo]:[Sexo]]=$B94,IF(DATOS_[[AGRUP. CLAS. PROF.]:[AGRUP. CLAS. PROF.]]=$B93,IF(DATOS_[[Check Periodo Ref.]:[Check Periodo Ref.]]="Dentro",DATOS_[Conc.Sal.26]))))),
0)</f>
        <v>0</v>
      </c>
      <c r="AF94" s="111">
        <f t="array" ref="AF94">IFERROR(
MEDIAN((IF(DATOS_[[Sexo]:[Sexo]]=$B94,IF(DATOS_[[AGRUP. CLAS. PROF.]:[AGRUP. CLAS. PROF.]]=$B93,IF(DATOS_[[Check Periodo Ref.]:[Check Periodo Ref.]]="Dentro",DATOS_[Conc.Sal.27]))))),
0)</f>
        <v>0</v>
      </c>
      <c r="AG94" s="111">
        <f t="array" ref="AG94">IFERROR(
MEDIAN((IF(DATOS_[[Sexo]:[Sexo]]=$B94,IF(DATOS_[[AGRUP. CLAS. PROF.]:[AGRUP. CLAS. PROF.]]=$B93,IF(DATOS_[[Check Periodo Ref.]:[Check Periodo Ref.]]="Dentro",DATOS_[Conc.Sal.28]))))),
0)</f>
        <v>0</v>
      </c>
      <c r="AH94" s="111">
        <f t="array" ref="AH94">IFERROR(
MEDIAN((IF(DATOS_[[Sexo]:[Sexo]]=$B94,IF(DATOS_[[AGRUP. CLAS. PROF.]:[AGRUP. CLAS. PROF.]]=$B93,IF(DATOS_[[Check Periodo Ref.]:[Check Periodo Ref.]]="Dentro",DATOS_[Conc.Sal.29]))))),
0)</f>
        <v>0</v>
      </c>
      <c r="AI94" s="111">
        <f t="array" ref="AI94">IFERROR(
MEDIAN((IF(DATOS_[[Sexo]:[Sexo]]=$B94,IF(DATOS_[[AGRUP. CLAS. PROF.]:[AGRUP. CLAS. PROF.]]=$B93,IF(DATOS_[[Check Periodo Ref.]:[Check Periodo Ref.]]="Dentro",DATOS_[Conc.Sal.30]))))),
0)</f>
        <v>0</v>
      </c>
      <c r="AJ94" s="112">
        <f t="array" ref="AJ94">IFERROR(
MEDIAN(IF(DATOS_[Sexo]=$B94,IF(DATOS_[AGRUP. CLAS. PROF.]=$B93,IF(DATOS_[Check Periodo Ref.]="Dentro",DATOS_[Tot COMPL.SAL Ef],FALSE)))),
0)</f>
        <v>0</v>
      </c>
      <c r="AK94" s="113">
        <f t="array" ref="AK94">IFERROR(
MEDIAN(IF(DATOS_[Sexo]=$B94,IF(DATOS_[AGRUP. CLAS. PROF.]=$B93,IF(DATOS_[Check Periodo Ref.]="Dentro",DATOS_[TOTAL SALARIO Ef],FALSE)))),
0)</f>
        <v>0</v>
      </c>
      <c r="AL94" s="114">
        <f t="array" ref="AL94">IFERROR(
MEDIAN((IF(DATOS_[[Sexo]:[Sexo]]=$B94,IF(DATOS_[[AGRUP. CLAS. PROF.]:[AGRUP. CLAS. PROF.]]=$B93,IF(DATOS_[[Check Periodo Ref.]:[Check Periodo Ref.]]="Dentro",DATOS_[C.Extra.01]))))),
0)</f>
        <v>0</v>
      </c>
      <c r="AM94" s="114">
        <f t="array" ref="AM94">IFERROR(
MEDIAN((IF(DATOS_[[Sexo]:[Sexo]]=$B94,IF(DATOS_[[AGRUP. CLAS. PROF.]:[AGRUP. CLAS. PROF.]]=$B93,IF(DATOS_[[Check Periodo Ref.]:[Check Periodo Ref.]]="Dentro",DATOS_[C.Extra.02]))))),
0)</f>
        <v>0</v>
      </c>
      <c r="AN94" s="114">
        <f t="array" ref="AN94">IFERROR(
MEDIAN((IF(DATOS_[[Sexo]:[Sexo]]=$B94,IF(DATOS_[[AGRUP. CLAS. PROF.]:[AGRUP. CLAS. PROF.]]=$B93,IF(DATOS_[[Check Periodo Ref.]:[Check Periodo Ref.]]="Dentro",DATOS_[C.Extra.03]))))),
0)</f>
        <v>0</v>
      </c>
      <c r="AO94" s="114">
        <f t="array" ref="AO94">IFERROR(
MEDIAN((IF(DATOS_[[Sexo]:[Sexo]]=$B94,IF(DATOS_[[AGRUP. CLAS. PROF.]:[AGRUP. CLAS. PROF.]]=$B93,IF(DATOS_[[Check Periodo Ref.]:[Check Periodo Ref.]]="Dentro",DATOS_[C.Extra.04]))))),
0)</f>
        <v>0</v>
      </c>
      <c r="AP94" s="114">
        <f t="array" ref="AP94">IFERROR(
MEDIAN((IF(DATOS_[[Sexo]:[Sexo]]=$B94,IF(DATOS_[[AGRUP. CLAS. PROF.]:[AGRUP. CLAS. PROF.]]=$B93,IF(DATOS_[[Check Periodo Ref.]:[Check Periodo Ref.]]="Dentro",DATOS_[C.Extra.05]))))),
0)</f>
        <v>0</v>
      </c>
      <c r="AQ94" s="115">
        <f t="array" ref="AQ94">IFERROR(
MEDIAN(IF(DATOS_[Sexo]=$B94,IF(DATOS_[AGRUP. CLAS. PROF.]=$B93,IF(DATOS_[Check Periodo Ref.]="Dentro",DATOS_[Tot Extrasalarial Ef],FALSE)))),
0)</f>
        <v>0</v>
      </c>
      <c r="AR94" s="116">
        <f t="array" ref="AR94">IFERROR(
MEDIAN(IF(DATOS_[Sexo]=$B94,IF(DATOS_[AGRUP. CLAS. PROF.]=$B93,IF(DATOS_[Check Periodo Ref.]="Dentro",DATOS_[TOTAL Retrib Ef],FALSE)))),
0)</f>
        <v>0</v>
      </c>
    </row>
    <row r="95" spans="1:44" hidden="1" x14ac:dyDescent="0.3">
      <c r="A95" s="42" t="str">
        <f t="shared" ref="A95" si="110">+A94</f>
        <v>[ocultar]</v>
      </c>
      <c r="B95" s="34" t="s">
        <v>163</v>
      </c>
      <c r="C95" s="33">
        <f t="array" ref="C95">SUM(IF($B95=DATOS_[Sexo],
IF($B93=DATOS_[AGRUP. CLAS. PROF.],
IF("Dentro"=DATOS_[Check Periodo Ref.],
1/(COUNTIFS(DATOS_[Sexo],$B95,DATOS_[AGRUP. CLAS. PROF.],$B93,DATOS_[Check Periodo Ref.],"Dentro",DATOS_[id],DATOS_[id]))))))</f>
        <v>0</v>
      </c>
      <c r="D95" s="35">
        <f>COUNTIFS(DATOS_[AGRUP. CLAS. PROF.],$B93,DATOS_[Sexo],$B95,DATOS_[Check Periodo Ref.],"Dentro")</f>
        <v>0</v>
      </c>
      <c r="E95" s="110">
        <f t="array" ref="E95">IFERROR(
MEDIAN(IF(DATOS_[Sexo]=$B95,IF(DATOS_[AGRUP. CLAS. PROF.]=$B93,IF(DATOS_[Check Periodo Ref.]="Dentro",DATOS_[SALARIO BASE Ef],FALSE)))),
0)</f>
        <v>0</v>
      </c>
      <c r="F95" s="111">
        <f t="array" ref="F95">IFERROR(
MEDIAN((IF(DATOS_[[Sexo]:[Sexo]]=$B95,IF(DATOS_[[AGRUP. CLAS. PROF.]:[AGRUP. CLAS. PROF.]]=$B93,IF(DATOS_[[Check Periodo Ref.]:[Check Periodo Ref.]]="Dentro",DATOS_[Conc.Sal.01]))))),
0)</f>
        <v>0</v>
      </c>
      <c r="G95" s="111">
        <f t="array" ref="G95">IFERROR(
MEDIAN((IF(DATOS_[[Sexo]:[Sexo]]=$B95,IF(DATOS_[[AGRUP. CLAS. PROF.]:[AGRUP. CLAS. PROF.]]=$B93,IF(DATOS_[[Check Periodo Ref.]:[Check Periodo Ref.]]="Dentro",DATOS_[Conc.Sal.02]))))),
0)</f>
        <v>0</v>
      </c>
      <c r="H95" s="111">
        <f t="array" ref="H95">IFERROR(
MEDIAN((IF(DATOS_[[Sexo]:[Sexo]]=$B95,IF(DATOS_[[AGRUP. CLAS. PROF.]:[AGRUP. CLAS. PROF.]]=$B93,IF(DATOS_[[Check Periodo Ref.]:[Check Periodo Ref.]]="Dentro",DATOS_[Conc.Sal.03]))))),
0)</f>
        <v>0</v>
      </c>
      <c r="I95" s="111">
        <f t="array" ref="I95">IFERROR(
MEDIAN((IF(DATOS_[[Sexo]:[Sexo]]=$B95,IF(DATOS_[[AGRUP. CLAS. PROF.]:[AGRUP. CLAS. PROF.]]=$B93,IF(DATOS_[[Check Periodo Ref.]:[Check Periodo Ref.]]="Dentro",DATOS_[Conc.Sal.04]))))),
0)</f>
        <v>0</v>
      </c>
      <c r="J95" s="111">
        <f t="array" ref="J95">IFERROR(
MEDIAN((IF(DATOS_[[Sexo]:[Sexo]]=$B95,IF(DATOS_[[AGRUP. CLAS. PROF.]:[AGRUP. CLAS. PROF.]]=$B93,IF(DATOS_[[Check Periodo Ref.]:[Check Periodo Ref.]]="Dentro",DATOS_[Conc.Sal.05]))))),
0)</f>
        <v>0</v>
      </c>
      <c r="K95" s="111">
        <f t="array" ref="K95">IFERROR(
MEDIAN((IF(DATOS_[[Sexo]:[Sexo]]=$B95,IF(DATOS_[[AGRUP. CLAS. PROF.]:[AGRUP. CLAS. PROF.]]=$B93,IF(DATOS_[[Check Periodo Ref.]:[Check Periodo Ref.]]="Dentro",DATOS_[Conc.Sal.06]))))),
0)</f>
        <v>0</v>
      </c>
      <c r="L95" s="111">
        <f t="array" ref="L95">IFERROR(
MEDIAN((IF(DATOS_[[Sexo]:[Sexo]]=$B95,IF(DATOS_[[AGRUP. CLAS. PROF.]:[AGRUP. CLAS. PROF.]]=$B93,IF(DATOS_[[Check Periodo Ref.]:[Check Periodo Ref.]]="Dentro",DATOS_[Conc.Sal.07]))))),
0)</f>
        <v>0</v>
      </c>
      <c r="M95" s="111">
        <f t="array" ref="M95">IFERROR(
MEDIAN((IF(DATOS_[[Sexo]:[Sexo]]=$B95,IF(DATOS_[[AGRUP. CLAS. PROF.]:[AGRUP. CLAS. PROF.]]=$B93,IF(DATOS_[[Check Periodo Ref.]:[Check Periodo Ref.]]="Dentro",DATOS_[Conc.Sal.08]))))),
0)</f>
        <v>0</v>
      </c>
      <c r="N95" s="111">
        <f t="array" ref="N95">IFERROR(
MEDIAN((IF(DATOS_[[Sexo]:[Sexo]]=$B95,IF(DATOS_[[AGRUP. CLAS. PROF.]:[AGRUP. CLAS. PROF.]]=$B93,IF(DATOS_[[Check Periodo Ref.]:[Check Periodo Ref.]]="Dentro",DATOS_[Conc.Sal.09]))))),
0)</f>
        <v>0</v>
      </c>
      <c r="O95" s="111">
        <f t="array" ref="O95">IFERROR(
MEDIAN((IF(DATOS_[[Sexo]:[Sexo]]=$B95,IF(DATOS_[[AGRUP. CLAS. PROF.]:[AGRUP. CLAS. PROF.]]=$B93,IF(DATOS_[[Check Periodo Ref.]:[Check Periodo Ref.]]="Dentro",DATOS_[Conc.Sal.10]))))),
0)</f>
        <v>0</v>
      </c>
      <c r="P95" s="111">
        <f t="array" ref="P95">IFERROR(
MEDIAN((IF(DATOS_[[Sexo]:[Sexo]]=$B95,IF(DATOS_[[AGRUP. CLAS. PROF.]:[AGRUP. CLAS. PROF.]]=$B93,IF(DATOS_[[Check Periodo Ref.]:[Check Periodo Ref.]]="Dentro",DATOS_[Conc.Sal.11]))))),
0)</f>
        <v>0</v>
      </c>
      <c r="Q95" s="111">
        <f t="array" ref="Q95">IFERROR(
MEDIAN((IF(DATOS_[[Sexo]:[Sexo]]=$B95,IF(DATOS_[[AGRUP. CLAS. PROF.]:[AGRUP. CLAS. PROF.]]=$B93,IF(DATOS_[[Check Periodo Ref.]:[Check Periodo Ref.]]="Dentro",DATOS_[Conc.Sal.12]))))),
0)</f>
        <v>0</v>
      </c>
      <c r="R95" s="111">
        <f t="array" ref="R95">IFERROR(
MEDIAN((IF(DATOS_[[Sexo]:[Sexo]]=$B95,IF(DATOS_[[AGRUP. CLAS. PROF.]:[AGRUP. CLAS. PROF.]]=$B93,IF(DATOS_[[Check Periodo Ref.]:[Check Periodo Ref.]]="Dentro",DATOS_[Conc.Sal.13]))))),
0)</f>
        <v>0</v>
      </c>
      <c r="S95" s="111">
        <f t="array" ref="S95">IFERROR(
MEDIAN((IF(DATOS_[[Sexo]:[Sexo]]=$B95,IF(DATOS_[[AGRUP. CLAS. PROF.]:[AGRUP. CLAS. PROF.]]=$B93,IF(DATOS_[[Check Periodo Ref.]:[Check Periodo Ref.]]="Dentro",DATOS_[Conc.Sal.14]))))),
0)</f>
        <v>0</v>
      </c>
      <c r="T95" s="111">
        <f t="array" ref="T95">IFERROR(
MEDIAN((IF(DATOS_[[Sexo]:[Sexo]]=$B95,IF(DATOS_[[AGRUP. CLAS. PROF.]:[AGRUP. CLAS. PROF.]]=$B93,IF(DATOS_[[Check Periodo Ref.]:[Check Periodo Ref.]]="Dentro",DATOS_[Conc.Sal.15]))))),
0)</f>
        <v>0</v>
      </c>
      <c r="U95" s="111">
        <f t="array" ref="U95">IFERROR(
MEDIAN((IF(DATOS_[[Sexo]:[Sexo]]=$B95,IF(DATOS_[[AGRUP. CLAS. PROF.]:[AGRUP. CLAS. PROF.]]=$B93,IF(DATOS_[[Check Periodo Ref.]:[Check Periodo Ref.]]="Dentro",DATOS_[Conc.Sal.16]))))),
0)</f>
        <v>0</v>
      </c>
      <c r="V95" s="111">
        <f t="array" ref="V95">IFERROR(
MEDIAN((IF(DATOS_[[Sexo]:[Sexo]]=$B95,IF(DATOS_[[AGRUP. CLAS. PROF.]:[AGRUP. CLAS. PROF.]]=$B93,IF(DATOS_[[Check Periodo Ref.]:[Check Periodo Ref.]]="Dentro",DATOS_[Conc.Sal.17]))))),
0)</f>
        <v>0</v>
      </c>
      <c r="W95" s="111">
        <f t="array" ref="W95">IFERROR(
MEDIAN((IF(DATOS_[[Sexo]:[Sexo]]=$B95,IF(DATOS_[[AGRUP. CLAS. PROF.]:[AGRUP. CLAS. PROF.]]=$B93,IF(DATOS_[[Check Periodo Ref.]:[Check Periodo Ref.]]="Dentro",DATOS_[Conc.Sal.18]))))),
0)</f>
        <v>0</v>
      </c>
      <c r="X95" s="111">
        <f t="array" ref="X95">IFERROR(
MEDIAN((IF(DATOS_[[Sexo]:[Sexo]]=$B95,IF(DATOS_[[AGRUP. CLAS. PROF.]:[AGRUP. CLAS. PROF.]]=$B93,IF(DATOS_[[Check Periodo Ref.]:[Check Periodo Ref.]]="Dentro",DATOS_[Conc.Sal.19]))))),
0)</f>
        <v>0</v>
      </c>
      <c r="Y95" s="111">
        <f t="array" ref="Y95">IFERROR(
MEDIAN((IF(DATOS_[[Sexo]:[Sexo]]=$B95,IF(DATOS_[[AGRUP. CLAS. PROF.]:[AGRUP. CLAS. PROF.]]=$B93,IF(DATOS_[[Check Periodo Ref.]:[Check Periodo Ref.]]="Dentro",DATOS_[Conc.Sal.20]))))),
0)</f>
        <v>0</v>
      </c>
      <c r="Z95" s="111">
        <f t="array" ref="Z95">IFERROR(
MEDIAN((IF(DATOS_[[Sexo]:[Sexo]]=$B95,IF(DATOS_[[AGRUP. CLAS. PROF.]:[AGRUP. CLAS. PROF.]]=$B93,IF(DATOS_[[Check Periodo Ref.]:[Check Periodo Ref.]]="Dentro",DATOS_[Conc.Sal.21]))))),
0)</f>
        <v>0</v>
      </c>
      <c r="AA95" s="111">
        <f t="array" ref="AA95">IFERROR(
MEDIAN((IF(DATOS_[[Sexo]:[Sexo]]=$B95,IF(DATOS_[[AGRUP. CLAS. PROF.]:[AGRUP. CLAS. PROF.]]=$B93,IF(DATOS_[[Check Periodo Ref.]:[Check Periodo Ref.]]="Dentro",DATOS_[Conc.Sal.22]))))),
0)</f>
        <v>0</v>
      </c>
      <c r="AB95" s="111">
        <f t="array" ref="AB95">IFERROR(
MEDIAN((IF(DATOS_[[Sexo]:[Sexo]]=$B95,IF(DATOS_[[AGRUP. CLAS. PROF.]:[AGRUP. CLAS. PROF.]]=$B93,IF(DATOS_[[Check Periodo Ref.]:[Check Periodo Ref.]]="Dentro",DATOS_[Conc.Sal.23]))))),
0)</f>
        <v>0</v>
      </c>
      <c r="AC95" s="111">
        <f t="array" ref="AC95">IFERROR(
MEDIAN((IF(DATOS_[[Sexo]:[Sexo]]=$B95,IF(DATOS_[[AGRUP. CLAS. PROF.]:[AGRUP. CLAS. PROF.]]=$B93,IF(DATOS_[[Check Periodo Ref.]:[Check Periodo Ref.]]="Dentro",DATOS_[Conc.Sal.24]))))),
0)</f>
        <v>0</v>
      </c>
      <c r="AD95" s="111">
        <f t="array" ref="AD95">IFERROR(
MEDIAN((IF(DATOS_[[Sexo]:[Sexo]]=$B95,IF(DATOS_[[AGRUP. CLAS. PROF.]:[AGRUP. CLAS. PROF.]]=$B93,IF(DATOS_[[Check Periodo Ref.]:[Check Periodo Ref.]]="Dentro",DATOS_[Conc.Sal.25]))))),
0)</f>
        <v>0</v>
      </c>
      <c r="AE95" s="111">
        <f t="array" ref="AE95">IFERROR(
MEDIAN((IF(DATOS_[[Sexo]:[Sexo]]=$B95,IF(DATOS_[[AGRUP. CLAS. PROF.]:[AGRUP. CLAS. PROF.]]=$B93,IF(DATOS_[[Check Periodo Ref.]:[Check Periodo Ref.]]="Dentro",DATOS_[Conc.Sal.26]))))),
0)</f>
        <v>0</v>
      </c>
      <c r="AF95" s="111">
        <f t="array" ref="AF95">IFERROR(
MEDIAN((IF(DATOS_[[Sexo]:[Sexo]]=$B95,IF(DATOS_[[AGRUP. CLAS. PROF.]:[AGRUP. CLAS. PROF.]]=$B93,IF(DATOS_[[Check Periodo Ref.]:[Check Periodo Ref.]]="Dentro",DATOS_[Conc.Sal.27]))))),
0)</f>
        <v>0</v>
      </c>
      <c r="AG95" s="111">
        <f t="array" ref="AG95">IFERROR(
MEDIAN((IF(DATOS_[[Sexo]:[Sexo]]=$B95,IF(DATOS_[[AGRUP. CLAS. PROF.]:[AGRUP. CLAS. PROF.]]=$B93,IF(DATOS_[[Check Periodo Ref.]:[Check Periodo Ref.]]="Dentro",DATOS_[Conc.Sal.28]))))),
0)</f>
        <v>0</v>
      </c>
      <c r="AH95" s="111">
        <f t="array" ref="AH95">IFERROR(
MEDIAN((IF(DATOS_[[Sexo]:[Sexo]]=$B95,IF(DATOS_[[AGRUP. CLAS. PROF.]:[AGRUP. CLAS. PROF.]]=$B93,IF(DATOS_[[Check Periodo Ref.]:[Check Periodo Ref.]]="Dentro",DATOS_[Conc.Sal.29]))))),
0)</f>
        <v>0</v>
      </c>
      <c r="AI95" s="111">
        <f t="array" ref="AI95">IFERROR(
MEDIAN((IF(DATOS_[[Sexo]:[Sexo]]=$B95,IF(DATOS_[[AGRUP. CLAS. PROF.]:[AGRUP. CLAS. PROF.]]=$B93,IF(DATOS_[[Check Periodo Ref.]:[Check Periodo Ref.]]="Dentro",DATOS_[Conc.Sal.30]))))),
0)</f>
        <v>0</v>
      </c>
      <c r="AJ95" s="112">
        <f t="array" ref="AJ95">IFERROR(
MEDIAN(IF(DATOS_[Sexo]=$B95,IF(DATOS_[AGRUP. CLAS. PROF.]=$B93,IF(DATOS_[Check Periodo Ref.]="Dentro",DATOS_[Tot COMPL.SAL Ef],FALSE)))),
0)</f>
        <v>0</v>
      </c>
      <c r="AK95" s="113">
        <f t="array" ref="AK95">IFERROR(
MEDIAN(IF(DATOS_[Sexo]=$B95,IF(DATOS_[AGRUP. CLAS. PROF.]=$B93,IF(DATOS_[Check Periodo Ref.]="Dentro",DATOS_[TOTAL SALARIO Ef],FALSE)))),
0)</f>
        <v>0</v>
      </c>
      <c r="AL95" s="114">
        <f t="array" ref="AL95">IFERROR(
MEDIAN((IF(DATOS_[[Sexo]:[Sexo]]=$B95,IF(DATOS_[[AGRUP. CLAS. PROF.]:[AGRUP. CLAS. PROF.]]=$B93,IF(DATOS_[[Check Periodo Ref.]:[Check Periodo Ref.]]="Dentro",DATOS_[C.Extra.01]))))),
0)</f>
        <v>0</v>
      </c>
      <c r="AM95" s="114">
        <f t="array" ref="AM95">IFERROR(
MEDIAN((IF(DATOS_[[Sexo]:[Sexo]]=$B95,IF(DATOS_[[AGRUP. CLAS. PROF.]:[AGRUP. CLAS. PROF.]]=$B93,IF(DATOS_[[Check Periodo Ref.]:[Check Periodo Ref.]]="Dentro",DATOS_[C.Extra.02]))))),
0)</f>
        <v>0</v>
      </c>
      <c r="AN95" s="114">
        <f t="array" ref="AN95">IFERROR(
MEDIAN((IF(DATOS_[[Sexo]:[Sexo]]=$B95,IF(DATOS_[[AGRUP. CLAS. PROF.]:[AGRUP. CLAS. PROF.]]=$B93,IF(DATOS_[[Check Periodo Ref.]:[Check Periodo Ref.]]="Dentro",DATOS_[C.Extra.03]))))),
0)</f>
        <v>0</v>
      </c>
      <c r="AO95" s="114">
        <f t="array" ref="AO95">IFERROR(
MEDIAN((IF(DATOS_[[Sexo]:[Sexo]]=$B95,IF(DATOS_[[AGRUP. CLAS. PROF.]:[AGRUP. CLAS. PROF.]]=$B93,IF(DATOS_[[Check Periodo Ref.]:[Check Periodo Ref.]]="Dentro",DATOS_[C.Extra.04]))))),
0)</f>
        <v>0</v>
      </c>
      <c r="AP95" s="114">
        <f t="array" ref="AP95">IFERROR(
MEDIAN((IF(DATOS_[[Sexo]:[Sexo]]=$B95,IF(DATOS_[[AGRUP. CLAS. PROF.]:[AGRUP. CLAS. PROF.]]=$B93,IF(DATOS_[[Check Periodo Ref.]:[Check Periodo Ref.]]="Dentro",DATOS_[C.Extra.05]))))),
0)</f>
        <v>0</v>
      </c>
      <c r="AQ95" s="115">
        <f t="array" ref="AQ95">IFERROR(
MEDIAN(IF(DATOS_[Sexo]=$B95,IF(DATOS_[AGRUP. CLAS. PROF.]=$B93,IF(DATOS_[Check Periodo Ref.]="Dentro",DATOS_[Tot Extrasalarial Ef],FALSE)))),
0)</f>
        <v>0</v>
      </c>
      <c r="AR95" s="116">
        <f t="array" ref="AR95">IFERROR(
MEDIAN(IF(DATOS_[Sexo]=$B95,IF(DATOS_[AGRUP. CLAS. PROF.]=$B93,IF(DATOS_[Check Periodo Ref.]="Dentro",DATOS_[TOTAL Retrib Ef],FALSE)))),
0)</f>
        <v>0</v>
      </c>
    </row>
    <row r="96" spans="1:44" ht="17.25" hidden="1" thickBot="1" x14ac:dyDescent="0.35">
      <c r="A96" s="42" t="str">
        <f t="shared" ref="A96" si="111">+A97</f>
        <v>[ocultar]</v>
      </c>
      <c r="B96" s="40" t="s">
        <v>244</v>
      </c>
      <c r="C96" s="109"/>
      <c r="D96" s="41"/>
      <c r="E96" s="119" t="str">
        <f t="shared" ref="E96:AR96" si="112">IFERROR((E97-E98)/E97,"")</f>
        <v/>
      </c>
      <c r="F96" s="123" t="str">
        <f t="shared" si="112"/>
        <v/>
      </c>
      <c r="G96" s="123" t="str">
        <f t="shared" si="112"/>
        <v/>
      </c>
      <c r="H96" s="123" t="str">
        <f t="shared" si="112"/>
        <v/>
      </c>
      <c r="I96" s="123" t="str">
        <f t="shared" si="112"/>
        <v/>
      </c>
      <c r="J96" s="123" t="str">
        <f t="shared" si="112"/>
        <v/>
      </c>
      <c r="K96" s="123" t="str">
        <f t="shared" si="112"/>
        <v/>
      </c>
      <c r="L96" s="123" t="str">
        <f t="shared" si="112"/>
        <v/>
      </c>
      <c r="M96" s="123" t="str">
        <f t="shared" si="112"/>
        <v/>
      </c>
      <c r="N96" s="123" t="str">
        <f t="shared" si="112"/>
        <v/>
      </c>
      <c r="O96" s="123" t="str">
        <f t="shared" si="112"/>
        <v/>
      </c>
      <c r="P96" s="123" t="str">
        <f t="shared" si="112"/>
        <v/>
      </c>
      <c r="Q96" s="123" t="str">
        <f t="shared" si="112"/>
        <v/>
      </c>
      <c r="R96" s="123" t="str">
        <f t="shared" si="112"/>
        <v/>
      </c>
      <c r="S96" s="123" t="str">
        <f t="shared" si="112"/>
        <v/>
      </c>
      <c r="T96" s="123" t="str">
        <f t="shared" si="112"/>
        <v/>
      </c>
      <c r="U96" s="123" t="str">
        <f t="shared" si="112"/>
        <v/>
      </c>
      <c r="V96" s="122" t="str">
        <f t="shared" si="112"/>
        <v/>
      </c>
      <c r="W96" s="122" t="str">
        <f t="shared" si="112"/>
        <v/>
      </c>
      <c r="X96" s="122" t="str">
        <f t="shared" si="112"/>
        <v/>
      </c>
      <c r="Y96" s="122" t="str">
        <f t="shared" si="112"/>
        <v/>
      </c>
      <c r="Z96" s="122" t="str">
        <f t="shared" si="112"/>
        <v/>
      </c>
      <c r="AA96" s="122" t="str">
        <f t="shared" si="112"/>
        <v/>
      </c>
      <c r="AB96" s="122" t="str">
        <f t="shared" si="112"/>
        <v/>
      </c>
      <c r="AC96" s="122" t="str">
        <f t="shared" si="112"/>
        <v/>
      </c>
      <c r="AD96" s="122" t="str">
        <f t="shared" si="112"/>
        <v/>
      </c>
      <c r="AE96" s="122" t="str">
        <f t="shared" si="112"/>
        <v/>
      </c>
      <c r="AF96" s="122" t="str">
        <f t="shared" si="112"/>
        <v/>
      </c>
      <c r="AG96" s="122" t="str">
        <f t="shared" si="112"/>
        <v/>
      </c>
      <c r="AH96" s="122" t="str">
        <f t="shared" si="112"/>
        <v/>
      </c>
      <c r="AI96" s="122" t="str">
        <f t="shared" si="112"/>
        <v/>
      </c>
      <c r="AJ96" s="124" t="str">
        <f t="shared" si="112"/>
        <v/>
      </c>
      <c r="AK96" s="128" t="str">
        <f t="shared" si="112"/>
        <v/>
      </c>
      <c r="AL96" s="125" t="str">
        <f t="shared" si="112"/>
        <v/>
      </c>
      <c r="AM96" s="125" t="str">
        <f t="shared" si="112"/>
        <v/>
      </c>
      <c r="AN96" s="125" t="str">
        <f t="shared" si="112"/>
        <v/>
      </c>
      <c r="AO96" s="125" t="str">
        <f t="shared" si="112"/>
        <v/>
      </c>
      <c r="AP96" s="125" t="str">
        <f t="shared" si="112"/>
        <v/>
      </c>
      <c r="AQ96" s="126" t="str">
        <f t="shared" si="112"/>
        <v/>
      </c>
      <c r="AR96" s="127" t="str">
        <f t="shared" si="112"/>
        <v/>
      </c>
    </row>
    <row r="97" spans="1:44" hidden="1" x14ac:dyDescent="0.3">
      <c r="A97" s="42" t="str">
        <f t="shared" ref="A97" si="113">+IF(C97+C98=0,"[ocultar]","")</f>
        <v>[ocultar]</v>
      </c>
      <c r="B97" s="34" t="s">
        <v>162</v>
      </c>
      <c r="C97" s="33">
        <f t="array" ref="C97">SUM(IF($B97=DATOS_[Sexo],
IF($B96=DATOS_[AGRUP. CLAS. PROF.],
IF("Dentro"=DATOS_[Check Periodo Ref.],
1/(COUNTIFS(DATOS_[Sexo],$B97,DATOS_[AGRUP. CLAS. PROF.],$B96,DATOS_[Check Periodo Ref.],"Dentro",DATOS_[id],DATOS_[id]))))))</f>
        <v>0</v>
      </c>
      <c r="D97" s="35">
        <f>COUNTIFS(DATOS_[AGRUP. CLAS. PROF.],$B96,DATOS_[Sexo],$B97,DATOS_[Check Periodo Ref.],"Dentro")</f>
        <v>0</v>
      </c>
      <c r="E97" s="110">
        <f t="array" ref="E97">IFERROR(
MEDIAN(IF(DATOS_[Sexo]=$B97,IF(DATOS_[AGRUP. CLAS. PROF.]=$B96,IF(DATOS_[Check Periodo Ref.]="Dentro",DATOS_[SALARIO BASE Ef],FALSE)))),
0)</f>
        <v>0</v>
      </c>
      <c r="F97" s="111">
        <f t="array" ref="F97">IFERROR(
MEDIAN((IF(DATOS_[[Sexo]:[Sexo]]=$B97,IF(DATOS_[[AGRUP. CLAS. PROF.]:[AGRUP. CLAS. PROF.]]=$B96,IF(DATOS_[[Check Periodo Ref.]:[Check Periodo Ref.]]="Dentro",DATOS_[Conc.Sal.01]))))),
0)</f>
        <v>0</v>
      </c>
      <c r="G97" s="111">
        <f t="array" ref="G97">IFERROR(
MEDIAN((IF(DATOS_[[Sexo]:[Sexo]]=$B97,IF(DATOS_[[AGRUP. CLAS. PROF.]:[AGRUP. CLAS. PROF.]]=$B96,IF(DATOS_[[Check Periodo Ref.]:[Check Periodo Ref.]]="Dentro",DATOS_[Conc.Sal.02]))))),
0)</f>
        <v>0</v>
      </c>
      <c r="H97" s="111">
        <f t="array" ref="H97">IFERROR(
MEDIAN((IF(DATOS_[[Sexo]:[Sexo]]=$B97,IF(DATOS_[[AGRUP. CLAS. PROF.]:[AGRUP. CLAS. PROF.]]=$B96,IF(DATOS_[[Check Periodo Ref.]:[Check Periodo Ref.]]="Dentro",DATOS_[Conc.Sal.03]))))),
0)</f>
        <v>0</v>
      </c>
      <c r="I97" s="111">
        <f t="array" ref="I97">IFERROR(
MEDIAN((IF(DATOS_[[Sexo]:[Sexo]]=$B97,IF(DATOS_[[AGRUP. CLAS. PROF.]:[AGRUP. CLAS. PROF.]]=$B96,IF(DATOS_[[Check Periodo Ref.]:[Check Periodo Ref.]]="Dentro",DATOS_[Conc.Sal.04]))))),
0)</f>
        <v>0</v>
      </c>
      <c r="J97" s="111">
        <f t="array" ref="J97">IFERROR(
MEDIAN((IF(DATOS_[[Sexo]:[Sexo]]=$B97,IF(DATOS_[[AGRUP. CLAS. PROF.]:[AGRUP. CLAS. PROF.]]=$B96,IF(DATOS_[[Check Periodo Ref.]:[Check Periodo Ref.]]="Dentro",DATOS_[Conc.Sal.05]))))),
0)</f>
        <v>0</v>
      </c>
      <c r="K97" s="111">
        <f t="array" ref="K97">IFERROR(
MEDIAN((IF(DATOS_[[Sexo]:[Sexo]]=$B97,IF(DATOS_[[AGRUP. CLAS. PROF.]:[AGRUP. CLAS. PROF.]]=$B96,IF(DATOS_[[Check Periodo Ref.]:[Check Periodo Ref.]]="Dentro",DATOS_[Conc.Sal.06]))))),
0)</f>
        <v>0</v>
      </c>
      <c r="L97" s="111">
        <f t="array" ref="L97">IFERROR(
MEDIAN((IF(DATOS_[[Sexo]:[Sexo]]=$B97,IF(DATOS_[[AGRUP. CLAS. PROF.]:[AGRUP. CLAS. PROF.]]=$B96,IF(DATOS_[[Check Periodo Ref.]:[Check Periodo Ref.]]="Dentro",DATOS_[Conc.Sal.07]))))),
0)</f>
        <v>0</v>
      </c>
      <c r="M97" s="111">
        <f t="array" ref="M97">IFERROR(
MEDIAN((IF(DATOS_[[Sexo]:[Sexo]]=$B97,IF(DATOS_[[AGRUP. CLAS. PROF.]:[AGRUP. CLAS. PROF.]]=$B96,IF(DATOS_[[Check Periodo Ref.]:[Check Periodo Ref.]]="Dentro",DATOS_[Conc.Sal.08]))))),
0)</f>
        <v>0</v>
      </c>
      <c r="N97" s="111">
        <f t="array" ref="N97">IFERROR(
MEDIAN((IF(DATOS_[[Sexo]:[Sexo]]=$B97,IF(DATOS_[[AGRUP. CLAS. PROF.]:[AGRUP. CLAS. PROF.]]=$B96,IF(DATOS_[[Check Periodo Ref.]:[Check Periodo Ref.]]="Dentro",DATOS_[Conc.Sal.09]))))),
0)</f>
        <v>0</v>
      </c>
      <c r="O97" s="111">
        <f t="array" ref="O97">IFERROR(
MEDIAN((IF(DATOS_[[Sexo]:[Sexo]]=$B97,IF(DATOS_[[AGRUP. CLAS. PROF.]:[AGRUP. CLAS. PROF.]]=$B96,IF(DATOS_[[Check Periodo Ref.]:[Check Periodo Ref.]]="Dentro",DATOS_[Conc.Sal.10]))))),
0)</f>
        <v>0</v>
      </c>
      <c r="P97" s="111">
        <f t="array" ref="P97">IFERROR(
MEDIAN((IF(DATOS_[[Sexo]:[Sexo]]=$B97,IF(DATOS_[[AGRUP. CLAS. PROF.]:[AGRUP. CLAS. PROF.]]=$B96,IF(DATOS_[[Check Periodo Ref.]:[Check Periodo Ref.]]="Dentro",DATOS_[Conc.Sal.11]))))),
0)</f>
        <v>0</v>
      </c>
      <c r="Q97" s="111">
        <f t="array" ref="Q97">IFERROR(
MEDIAN((IF(DATOS_[[Sexo]:[Sexo]]=$B97,IF(DATOS_[[AGRUP. CLAS. PROF.]:[AGRUP. CLAS. PROF.]]=$B96,IF(DATOS_[[Check Periodo Ref.]:[Check Periodo Ref.]]="Dentro",DATOS_[Conc.Sal.12]))))),
0)</f>
        <v>0</v>
      </c>
      <c r="R97" s="111">
        <f t="array" ref="R97">IFERROR(
MEDIAN((IF(DATOS_[[Sexo]:[Sexo]]=$B97,IF(DATOS_[[AGRUP. CLAS. PROF.]:[AGRUP. CLAS. PROF.]]=$B96,IF(DATOS_[[Check Periodo Ref.]:[Check Periodo Ref.]]="Dentro",DATOS_[Conc.Sal.13]))))),
0)</f>
        <v>0</v>
      </c>
      <c r="S97" s="111">
        <f t="array" ref="S97">IFERROR(
MEDIAN((IF(DATOS_[[Sexo]:[Sexo]]=$B97,IF(DATOS_[[AGRUP. CLAS. PROF.]:[AGRUP. CLAS. PROF.]]=$B96,IF(DATOS_[[Check Periodo Ref.]:[Check Periodo Ref.]]="Dentro",DATOS_[Conc.Sal.14]))))),
0)</f>
        <v>0</v>
      </c>
      <c r="T97" s="111">
        <f t="array" ref="T97">IFERROR(
MEDIAN((IF(DATOS_[[Sexo]:[Sexo]]=$B97,IF(DATOS_[[AGRUP. CLAS. PROF.]:[AGRUP. CLAS. PROF.]]=$B96,IF(DATOS_[[Check Periodo Ref.]:[Check Periodo Ref.]]="Dentro",DATOS_[Conc.Sal.15]))))),
0)</f>
        <v>0</v>
      </c>
      <c r="U97" s="111">
        <f t="array" ref="U97">IFERROR(
MEDIAN((IF(DATOS_[[Sexo]:[Sexo]]=$B97,IF(DATOS_[[AGRUP. CLAS. PROF.]:[AGRUP. CLAS. PROF.]]=$B96,IF(DATOS_[[Check Periodo Ref.]:[Check Periodo Ref.]]="Dentro",DATOS_[Conc.Sal.16]))))),
0)</f>
        <v>0</v>
      </c>
      <c r="V97" s="111">
        <f t="array" ref="V97">IFERROR(
MEDIAN((IF(DATOS_[[Sexo]:[Sexo]]=$B97,IF(DATOS_[[AGRUP. CLAS. PROF.]:[AGRUP. CLAS. PROF.]]=$B96,IF(DATOS_[[Check Periodo Ref.]:[Check Periodo Ref.]]="Dentro",DATOS_[Conc.Sal.17]))))),
0)</f>
        <v>0</v>
      </c>
      <c r="W97" s="111">
        <f t="array" ref="W97">IFERROR(
MEDIAN((IF(DATOS_[[Sexo]:[Sexo]]=$B97,IF(DATOS_[[AGRUP. CLAS. PROF.]:[AGRUP. CLAS. PROF.]]=$B96,IF(DATOS_[[Check Periodo Ref.]:[Check Periodo Ref.]]="Dentro",DATOS_[Conc.Sal.18]))))),
0)</f>
        <v>0</v>
      </c>
      <c r="X97" s="111">
        <f t="array" ref="X97">IFERROR(
MEDIAN((IF(DATOS_[[Sexo]:[Sexo]]=$B97,IF(DATOS_[[AGRUP. CLAS. PROF.]:[AGRUP. CLAS. PROF.]]=$B96,IF(DATOS_[[Check Periodo Ref.]:[Check Periodo Ref.]]="Dentro",DATOS_[Conc.Sal.19]))))),
0)</f>
        <v>0</v>
      </c>
      <c r="Y97" s="111">
        <f t="array" ref="Y97">IFERROR(
MEDIAN((IF(DATOS_[[Sexo]:[Sexo]]=$B97,IF(DATOS_[[AGRUP. CLAS. PROF.]:[AGRUP. CLAS. PROF.]]=$B96,IF(DATOS_[[Check Periodo Ref.]:[Check Periodo Ref.]]="Dentro",DATOS_[Conc.Sal.20]))))),
0)</f>
        <v>0</v>
      </c>
      <c r="Z97" s="111">
        <f t="array" ref="Z97">IFERROR(
MEDIAN((IF(DATOS_[[Sexo]:[Sexo]]=$B97,IF(DATOS_[[AGRUP. CLAS. PROF.]:[AGRUP. CLAS. PROF.]]=$B96,IF(DATOS_[[Check Periodo Ref.]:[Check Periodo Ref.]]="Dentro",DATOS_[Conc.Sal.21]))))),
0)</f>
        <v>0</v>
      </c>
      <c r="AA97" s="111">
        <f t="array" ref="AA97">IFERROR(
MEDIAN((IF(DATOS_[[Sexo]:[Sexo]]=$B97,IF(DATOS_[[AGRUP. CLAS. PROF.]:[AGRUP. CLAS. PROF.]]=$B96,IF(DATOS_[[Check Periodo Ref.]:[Check Periodo Ref.]]="Dentro",DATOS_[Conc.Sal.22]))))),
0)</f>
        <v>0</v>
      </c>
      <c r="AB97" s="111">
        <f t="array" ref="AB97">IFERROR(
MEDIAN((IF(DATOS_[[Sexo]:[Sexo]]=$B97,IF(DATOS_[[AGRUP. CLAS. PROF.]:[AGRUP. CLAS. PROF.]]=$B96,IF(DATOS_[[Check Periodo Ref.]:[Check Periodo Ref.]]="Dentro",DATOS_[Conc.Sal.23]))))),
0)</f>
        <v>0</v>
      </c>
      <c r="AC97" s="111">
        <f t="array" ref="AC97">IFERROR(
MEDIAN((IF(DATOS_[[Sexo]:[Sexo]]=$B97,IF(DATOS_[[AGRUP. CLAS. PROF.]:[AGRUP. CLAS. PROF.]]=$B96,IF(DATOS_[[Check Periodo Ref.]:[Check Periodo Ref.]]="Dentro",DATOS_[Conc.Sal.24]))))),
0)</f>
        <v>0</v>
      </c>
      <c r="AD97" s="111">
        <f t="array" ref="AD97">IFERROR(
MEDIAN((IF(DATOS_[[Sexo]:[Sexo]]=$B97,IF(DATOS_[[AGRUP. CLAS. PROF.]:[AGRUP. CLAS. PROF.]]=$B96,IF(DATOS_[[Check Periodo Ref.]:[Check Periodo Ref.]]="Dentro",DATOS_[Conc.Sal.25]))))),
0)</f>
        <v>0</v>
      </c>
      <c r="AE97" s="111">
        <f t="array" ref="AE97">IFERROR(
MEDIAN((IF(DATOS_[[Sexo]:[Sexo]]=$B97,IF(DATOS_[[AGRUP. CLAS. PROF.]:[AGRUP. CLAS. PROF.]]=$B96,IF(DATOS_[[Check Periodo Ref.]:[Check Periodo Ref.]]="Dentro",DATOS_[Conc.Sal.26]))))),
0)</f>
        <v>0</v>
      </c>
      <c r="AF97" s="111">
        <f t="array" ref="AF97">IFERROR(
MEDIAN((IF(DATOS_[[Sexo]:[Sexo]]=$B97,IF(DATOS_[[AGRUP. CLAS. PROF.]:[AGRUP. CLAS. PROF.]]=$B96,IF(DATOS_[[Check Periodo Ref.]:[Check Periodo Ref.]]="Dentro",DATOS_[Conc.Sal.27]))))),
0)</f>
        <v>0</v>
      </c>
      <c r="AG97" s="111">
        <f t="array" ref="AG97">IFERROR(
MEDIAN((IF(DATOS_[[Sexo]:[Sexo]]=$B97,IF(DATOS_[[AGRUP. CLAS. PROF.]:[AGRUP. CLAS. PROF.]]=$B96,IF(DATOS_[[Check Periodo Ref.]:[Check Periodo Ref.]]="Dentro",DATOS_[Conc.Sal.28]))))),
0)</f>
        <v>0</v>
      </c>
      <c r="AH97" s="111">
        <f t="array" ref="AH97">IFERROR(
MEDIAN((IF(DATOS_[[Sexo]:[Sexo]]=$B97,IF(DATOS_[[AGRUP. CLAS. PROF.]:[AGRUP. CLAS. PROF.]]=$B96,IF(DATOS_[[Check Periodo Ref.]:[Check Periodo Ref.]]="Dentro",DATOS_[Conc.Sal.29]))))),
0)</f>
        <v>0</v>
      </c>
      <c r="AI97" s="111">
        <f t="array" ref="AI97">IFERROR(
MEDIAN((IF(DATOS_[[Sexo]:[Sexo]]=$B97,IF(DATOS_[[AGRUP. CLAS. PROF.]:[AGRUP. CLAS. PROF.]]=$B96,IF(DATOS_[[Check Periodo Ref.]:[Check Periodo Ref.]]="Dentro",DATOS_[Conc.Sal.30]))))),
0)</f>
        <v>0</v>
      </c>
      <c r="AJ97" s="112">
        <f t="array" ref="AJ97">IFERROR(
MEDIAN(IF(DATOS_[Sexo]=$B97,IF(DATOS_[AGRUP. CLAS. PROF.]=$B96,IF(DATOS_[Check Periodo Ref.]="Dentro",DATOS_[Tot COMPL.SAL Ef],FALSE)))),
0)</f>
        <v>0</v>
      </c>
      <c r="AK97" s="113">
        <f t="array" ref="AK97">IFERROR(
MEDIAN(IF(DATOS_[Sexo]=$B97,IF(DATOS_[AGRUP. CLAS. PROF.]=$B96,IF(DATOS_[Check Periodo Ref.]="Dentro",DATOS_[TOTAL SALARIO Ef],FALSE)))),
0)</f>
        <v>0</v>
      </c>
      <c r="AL97" s="114">
        <f t="array" ref="AL97">IFERROR(
MEDIAN((IF(DATOS_[[Sexo]:[Sexo]]=$B97,IF(DATOS_[[AGRUP. CLAS. PROF.]:[AGRUP. CLAS. PROF.]]=$B96,IF(DATOS_[[Check Periodo Ref.]:[Check Periodo Ref.]]="Dentro",DATOS_[C.Extra.01]))))),
0)</f>
        <v>0</v>
      </c>
      <c r="AM97" s="114">
        <f t="array" ref="AM97">IFERROR(
MEDIAN((IF(DATOS_[[Sexo]:[Sexo]]=$B97,IF(DATOS_[[AGRUP. CLAS. PROF.]:[AGRUP. CLAS. PROF.]]=$B96,IF(DATOS_[[Check Periodo Ref.]:[Check Periodo Ref.]]="Dentro",DATOS_[C.Extra.02]))))),
0)</f>
        <v>0</v>
      </c>
      <c r="AN97" s="114">
        <f t="array" ref="AN97">IFERROR(
MEDIAN((IF(DATOS_[[Sexo]:[Sexo]]=$B97,IF(DATOS_[[AGRUP. CLAS. PROF.]:[AGRUP. CLAS. PROF.]]=$B96,IF(DATOS_[[Check Periodo Ref.]:[Check Periodo Ref.]]="Dentro",DATOS_[C.Extra.03]))))),
0)</f>
        <v>0</v>
      </c>
      <c r="AO97" s="114">
        <f t="array" ref="AO97">IFERROR(
MEDIAN((IF(DATOS_[[Sexo]:[Sexo]]=$B97,IF(DATOS_[[AGRUP. CLAS. PROF.]:[AGRUP. CLAS. PROF.]]=$B96,IF(DATOS_[[Check Periodo Ref.]:[Check Periodo Ref.]]="Dentro",DATOS_[C.Extra.04]))))),
0)</f>
        <v>0</v>
      </c>
      <c r="AP97" s="114">
        <f t="array" ref="AP97">IFERROR(
MEDIAN((IF(DATOS_[[Sexo]:[Sexo]]=$B97,IF(DATOS_[[AGRUP. CLAS. PROF.]:[AGRUP. CLAS. PROF.]]=$B96,IF(DATOS_[[Check Periodo Ref.]:[Check Periodo Ref.]]="Dentro",DATOS_[C.Extra.05]))))),
0)</f>
        <v>0</v>
      </c>
      <c r="AQ97" s="115">
        <f t="array" ref="AQ97">IFERROR(
MEDIAN(IF(DATOS_[Sexo]=$B97,IF(DATOS_[AGRUP. CLAS. PROF.]=$B96,IF(DATOS_[Check Periodo Ref.]="Dentro",DATOS_[Tot Extrasalarial Ef],FALSE)))),
0)</f>
        <v>0</v>
      </c>
      <c r="AR97" s="116">
        <f t="array" ref="AR97">IFERROR(
MEDIAN(IF(DATOS_[Sexo]=$B97,IF(DATOS_[AGRUP. CLAS. PROF.]=$B96,IF(DATOS_[Check Periodo Ref.]="Dentro",DATOS_[TOTAL Retrib Ef],FALSE)))),
0)</f>
        <v>0</v>
      </c>
    </row>
    <row r="98" spans="1:44" hidden="1" x14ac:dyDescent="0.3">
      <c r="A98" s="42" t="str">
        <f t="shared" ref="A98" si="114">+A97</f>
        <v>[ocultar]</v>
      </c>
      <c r="B98" s="34" t="s">
        <v>163</v>
      </c>
      <c r="C98" s="33">
        <f t="array" ref="C98">SUM(IF($B98=DATOS_[Sexo],
IF($B96=DATOS_[AGRUP. CLAS. PROF.],
IF("Dentro"=DATOS_[Check Periodo Ref.],
1/(COUNTIFS(DATOS_[Sexo],$B98,DATOS_[AGRUP. CLAS. PROF.],$B96,DATOS_[Check Periodo Ref.],"Dentro",DATOS_[id],DATOS_[id]))))))</f>
        <v>0</v>
      </c>
      <c r="D98" s="35">
        <f>COUNTIFS(DATOS_[AGRUP. CLAS. PROF.],$B96,DATOS_[Sexo],$B98,DATOS_[Check Periodo Ref.],"Dentro")</f>
        <v>0</v>
      </c>
      <c r="E98" s="110">
        <f t="array" ref="E98">IFERROR(
MEDIAN(IF(DATOS_[Sexo]=$B98,IF(DATOS_[AGRUP. CLAS. PROF.]=$B96,IF(DATOS_[Check Periodo Ref.]="Dentro",DATOS_[SALARIO BASE Ef],FALSE)))),
0)</f>
        <v>0</v>
      </c>
      <c r="F98" s="111">
        <f t="array" ref="F98">IFERROR(
MEDIAN((IF(DATOS_[[Sexo]:[Sexo]]=$B98,IF(DATOS_[[AGRUP. CLAS. PROF.]:[AGRUP. CLAS. PROF.]]=$B96,IF(DATOS_[[Check Periodo Ref.]:[Check Periodo Ref.]]="Dentro",DATOS_[Conc.Sal.01]))))),
0)</f>
        <v>0</v>
      </c>
      <c r="G98" s="111">
        <f t="array" ref="G98">IFERROR(
MEDIAN((IF(DATOS_[[Sexo]:[Sexo]]=$B98,IF(DATOS_[[AGRUP. CLAS. PROF.]:[AGRUP. CLAS. PROF.]]=$B96,IF(DATOS_[[Check Periodo Ref.]:[Check Periodo Ref.]]="Dentro",DATOS_[Conc.Sal.02]))))),
0)</f>
        <v>0</v>
      </c>
      <c r="H98" s="111">
        <f t="array" ref="H98">IFERROR(
MEDIAN((IF(DATOS_[[Sexo]:[Sexo]]=$B98,IF(DATOS_[[AGRUP. CLAS. PROF.]:[AGRUP. CLAS. PROF.]]=$B96,IF(DATOS_[[Check Periodo Ref.]:[Check Periodo Ref.]]="Dentro",DATOS_[Conc.Sal.03]))))),
0)</f>
        <v>0</v>
      </c>
      <c r="I98" s="111">
        <f t="array" ref="I98">IFERROR(
MEDIAN((IF(DATOS_[[Sexo]:[Sexo]]=$B98,IF(DATOS_[[AGRUP. CLAS. PROF.]:[AGRUP. CLAS. PROF.]]=$B96,IF(DATOS_[[Check Periodo Ref.]:[Check Periodo Ref.]]="Dentro",DATOS_[Conc.Sal.04]))))),
0)</f>
        <v>0</v>
      </c>
      <c r="J98" s="111">
        <f t="array" ref="J98">IFERROR(
MEDIAN((IF(DATOS_[[Sexo]:[Sexo]]=$B98,IF(DATOS_[[AGRUP. CLAS. PROF.]:[AGRUP. CLAS. PROF.]]=$B96,IF(DATOS_[[Check Periodo Ref.]:[Check Periodo Ref.]]="Dentro",DATOS_[Conc.Sal.05]))))),
0)</f>
        <v>0</v>
      </c>
      <c r="K98" s="111">
        <f t="array" ref="K98">IFERROR(
MEDIAN((IF(DATOS_[[Sexo]:[Sexo]]=$B98,IF(DATOS_[[AGRUP. CLAS. PROF.]:[AGRUP. CLAS. PROF.]]=$B96,IF(DATOS_[[Check Periodo Ref.]:[Check Periodo Ref.]]="Dentro",DATOS_[Conc.Sal.06]))))),
0)</f>
        <v>0</v>
      </c>
      <c r="L98" s="111">
        <f t="array" ref="L98">IFERROR(
MEDIAN((IF(DATOS_[[Sexo]:[Sexo]]=$B98,IF(DATOS_[[AGRUP. CLAS. PROF.]:[AGRUP. CLAS. PROF.]]=$B96,IF(DATOS_[[Check Periodo Ref.]:[Check Periodo Ref.]]="Dentro",DATOS_[Conc.Sal.07]))))),
0)</f>
        <v>0</v>
      </c>
      <c r="M98" s="111">
        <f t="array" ref="M98">IFERROR(
MEDIAN((IF(DATOS_[[Sexo]:[Sexo]]=$B98,IF(DATOS_[[AGRUP. CLAS. PROF.]:[AGRUP. CLAS. PROF.]]=$B96,IF(DATOS_[[Check Periodo Ref.]:[Check Periodo Ref.]]="Dentro",DATOS_[Conc.Sal.08]))))),
0)</f>
        <v>0</v>
      </c>
      <c r="N98" s="111">
        <f t="array" ref="N98">IFERROR(
MEDIAN((IF(DATOS_[[Sexo]:[Sexo]]=$B98,IF(DATOS_[[AGRUP. CLAS. PROF.]:[AGRUP. CLAS. PROF.]]=$B96,IF(DATOS_[[Check Periodo Ref.]:[Check Periodo Ref.]]="Dentro",DATOS_[Conc.Sal.09]))))),
0)</f>
        <v>0</v>
      </c>
      <c r="O98" s="111">
        <f t="array" ref="O98">IFERROR(
MEDIAN((IF(DATOS_[[Sexo]:[Sexo]]=$B98,IF(DATOS_[[AGRUP. CLAS. PROF.]:[AGRUP. CLAS. PROF.]]=$B96,IF(DATOS_[[Check Periodo Ref.]:[Check Periodo Ref.]]="Dentro",DATOS_[Conc.Sal.10]))))),
0)</f>
        <v>0</v>
      </c>
      <c r="P98" s="111">
        <f t="array" ref="P98">IFERROR(
MEDIAN((IF(DATOS_[[Sexo]:[Sexo]]=$B98,IF(DATOS_[[AGRUP. CLAS. PROF.]:[AGRUP. CLAS. PROF.]]=$B96,IF(DATOS_[[Check Periodo Ref.]:[Check Periodo Ref.]]="Dentro",DATOS_[Conc.Sal.11]))))),
0)</f>
        <v>0</v>
      </c>
      <c r="Q98" s="111">
        <f t="array" ref="Q98">IFERROR(
MEDIAN((IF(DATOS_[[Sexo]:[Sexo]]=$B98,IF(DATOS_[[AGRUP. CLAS. PROF.]:[AGRUP. CLAS. PROF.]]=$B96,IF(DATOS_[[Check Periodo Ref.]:[Check Periodo Ref.]]="Dentro",DATOS_[Conc.Sal.12]))))),
0)</f>
        <v>0</v>
      </c>
      <c r="R98" s="111">
        <f t="array" ref="R98">IFERROR(
MEDIAN((IF(DATOS_[[Sexo]:[Sexo]]=$B98,IF(DATOS_[[AGRUP. CLAS. PROF.]:[AGRUP. CLAS. PROF.]]=$B96,IF(DATOS_[[Check Periodo Ref.]:[Check Periodo Ref.]]="Dentro",DATOS_[Conc.Sal.13]))))),
0)</f>
        <v>0</v>
      </c>
      <c r="S98" s="111">
        <f t="array" ref="S98">IFERROR(
MEDIAN((IF(DATOS_[[Sexo]:[Sexo]]=$B98,IF(DATOS_[[AGRUP. CLAS. PROF.]:[AGRUP. CLAS. PROF.]]=$B96,IF(DATOS_[[Check Periodo Ref.]:[Check Periodo Ref.]]="Dentro",DATOS_[Conc.Sal.14]))))),
0)</f>
        <v>0</v>
      </c>
      <c r="T98" s="111">
        <f t="array" ref="T98">IFERROR(
MEDIAN((IF(DATOS_[[Sexo]:[Sexo]]=$B98,IF(DATOS_[[AGRUP. CLAS. PROF.]:[AGRUP. CLAS. PROF.]]=$B96,IF(DATOS_[[Check Periodo Ref.]:[Check Periodo Ref.]]="Dentro",DATOS_[Conc.Sal.15]))))),
0)</f>
        <v>0</v>
      </c>
      <c r="U98" s="111">
        <f t="array" ref="U98">IFERROR(
MEDIAN((IF(DATOS_[[Sexo]:[Sexo]]=$B98,IF(DATOS_[[AGRUP. CLAS. PROF.]:[AGRUP. CLAS. PROF.]]=$B96,IF(DATOS_[[Check Periodo Ref.]:[Check Periodo Ref.]]="Dentro",DATOS_[Conc.Sal.16]))))),
0)</f>
        <v>0</v>
      </c>
      <c r="V98" s="111">
        <f t="array" ref="V98">IFERROR(
MEDIAN((IF(DATOS_[[Sexo]:[Sexo]]=$B98,IF(DATOS_[[AGRUP. CLAS. PROF.]:[AGRUP. CLAS. PROF.]]=$B96,IF(DATOS_[[Check Periodo Ref.]:[Check Periodo Ref.]]="Dentro",DATOS_[Conc.Sal.17]))))),
0)</f>
        <v>0</v>
      </c>
      <c r="W98" s="111">
        <f t="array" ref="W98">IFERROR(
MEDIAN((IF(DATOS_[[Sexo]:[Sexo]]=$B98,IF(DATOS_[[AGRUP. CLAS. PROF.]:[AGRUP. CLAS. PROF.]]=$B96,IF(DATOS_[[Check Periodo Ref.]:[Check Periodo Ref.]]="Dentro",DATOS_[Conc.Sal.18]))))),
0)</f>
        <v>0</v>
      </c>
      <c r="X98" s="111">
        <f t="array" ref="X98">IFERROR(
MEDIAN((IF(DATOS_[[Sexo]:[Sexo]]=$B98,IF(DATOS_[[AGRUP. CLAS. PROF.]:[AGRUP. CLAS. PROF.]]=$B96,IF(DATOS_[[Check Periodo Ref.]:[Check Periodo Ref.]]="Dentro",DATOS_[Conc.Sal.19]))))),
0)</f>
        <v>0</v>
      </c>
      <c r="Y98" s="111">
        <f t="array" ref="Y98">IFERROR(
MEDIAN((IF(DATOS_[[Sexo]:[Sexo]]=$B98,IF(DATOS_[[AGRUP. CLAS. PROF.]:[AGRUP. CLAS. PROF.]]=$B96,IF(DATOS_[[Check Periodo Ref.]:[Check Periodo Ref.]]="Dentro",DATOS_[Conc.Sal.20]))))),
0)</f>
        <v>0</v>
      </c>
      <c r="Z98" s="111">
        <f t="array" ref="Z98">IFERROR(
MEDIAN((IF(DATOS_[[Sexo]:[Sexo]]=$B98,IF(DATOS_[[AGRUP. CLAS. PROF.]:[AGRUP. CLAS. PROF.]]=$B96,IF(DATOS_[[Check Periodo Ref.]:[Check Periodo Ref.]]="Dentro",DATOS_[Conc.Sal.21]))))),
0)</f>
        <v>0</v>
      </c>
      <c r="AA98" s="111">
        <f t="array" ref="AA98">IFERROR(
MEDIAN((IF(DATOS_[[Sexo]:[Sexo]]=$B98,IF(DATOS_[[AGRUP. CLAS. PROF.]:[AGRUP. CLAS. PROF.]]=$B96,IF(DATOS_[[Check Periodo Ref.]:[Check Periodo Ref.]]="Dentro",DATOS_[Conc.Sal.22]))))),
0)</f>
        <v>0</v>
      </c>
      <c r="AB98" s="111">
        <f t="array" ref="AB98">IFERROR(
MEDIAN((IF(DATOS_[[Sexo]:[Sexo]]=$B98,IF(DATOS_[[AGRUP. CLAS. PROF.]:[AGRUP. CLAS. PROF.]]=$B96,IF(DATOS_[[Check Periodo Ref.]:[Check Periodo Ref.]]="Dentro",DATOS_[Conc.Sal.23]))))),
0)</f>
        <v>0</v>
      </c>
      <c r="AC98" s="111">
        <f t="array" ref="AC98">IFERROR(
MEDIAN((IF(DATOS_[[Sexo]:[Sexo]]=$B98,IF(DATOS_[[AGRUP. CLAS. PROF.]:[AGRUP. CLAS. PROF.]]=$B96,IF(DATOS_[[Check Periodo Ref.]:[Check Periodo Ref.]]="Dentro",DATOS_[Conc.Sal.24]))))),
0)</f>
        <v>0</v>
      </c>
      <c r="AD98" s="111">
        <f t="array" ref="AD98">IFERROR(
MEDIAN((IF(DATOS_[[Sexo]:[Sexo]]=$B98,IF(DATOS_[[AGRUP. CLAS. PROF.]:[AGRUP. CLAS. PROF.]]=$B96,IF(DATOS_[[Check Periodo Ref.]:[Check Periodo Ref.]]="Dentro",DATOS_[Conc.Sal.25]))))),
0)</f>
        <v>0</v>
      </c>
      <c r="AE98" s="111">
        <f t="array" ref="AE98">IFERROR(
MEDIAN((IF(DATOS_[[Sexo]:[Sexo]]=$B98,IF(DATOS_[[AGRUP. CLAS. PROF.]:[AGRUP. CLAS. PROF.]]=$B96,IF(DATOS_[[Check Periodo Ref.]:[Check Periodo Ref.]]="Dentro",DATOS_[Conc.Sal.26]))))),
0)</f>
        <v>0</v>
      </c>
      <c r="AF98" s="111">
        <f t="array" ref="AF98">IFERROR(
MEDIAN((IF(DATOS_[[Sexo]:[Sexo]]=$B98,IF(DATOS_[[AGRUP. CLAS. PROF.]:[AGRUP. CLAS. PROF.]]=$B96,IF(DATOS_[[Check Periodo Ref.]:[Check Periodo Ref.]]="Dentro",DATOS_[Conc.Sal.27]))))),
0)</f>
        <v>0</v>
      </c>
      <c r="AG98" s="111">
        <f t="array" ref="AG98">IFERROR(
MEDIAN((IF(DATOS_[[Sexo]:[Sexo]]=$B98,IF(DATOS_[[AGRUP. CLAS. PROF.]:[AGRUP. CLAS. PROF.]]=$B96,IF(DATOS_[[Check Periodo Ref.]:[Check Periodo Ref.]]="Dentro",DATOS_[Conc.Sal.28]))))),
0)</f>
        <v>0</v>
      </c>
      <c r="AH98" s="111">
        <f t="array" ref="AH98">IFERROR(
MEDIAN((IF(DATOS_[[Sexo]:[Sexo]]=$B98,IF(DATOS_[[AGRUP. CLAS. PROF.]:[AGRUP. CLAS. PROF.]]=$B96,IF(DATOS_[[Check Periodo Ref.]:[Check Periodo Ref.]]="Dentro",DATOS_[Conc.Sal.29]))))),
0)</f>
        <v>0</v>
      </c>
      <c r="AI98" s="111">
        <f t="array" ref="AI98">IFERROR(
MEDIAN((IF(DATOS_[[Sexo]:[Sexo]]=$B98,IF(DATOS_[[AGRUP. CLAS. PROF.]:[AGRUP. CLAS. PROF.]]=$B96,IF(DATOS_[[Check Periodo Ref.]:[Check Periodo Ref.]]="Dentro",DATOS_[Conc.Sal.30]))))),
0)</f>
        <v>0</v>
      </c>
      <c r="AJ98" s="112">
        <f t="array" ref="AJ98">IFERROR(
MEDIAN(IF(DATOS_[Sexo]=$B98,IF(DATOS_[AGRUP. CLAS. PROF.]=$B96,IF(DATOS_[Check Periodo Ref.]="Dentro",DATOS_[Tot COMPL.SAL Ef],FALSE)))),
0)</f>
        <v>0</v>
      </c>
      <c r="AK98" s="113">
        <f t="array" ref="AK98">IFERROR(
MEDIAN(IF(DATOS_[Sexo]=$B98,IF(DATOS_[AGRUP. CLAS. PROF.]=$B96,IF(DATOS_[Check Periodo Ref.]="Dentro",DATOS_[TOTAL SALARIO Ef],FALSE)))),
0)</f>
        <v>0</v>
      </c>
      <c r="AL98" s="114">
        <f t="array" ref="AL98">IFERROR(
MEDIAN((IF(DATOS_[[Sexo]:[Sexo]]=$B98,IF(DATOS_[[AGRUP. CLAS. PROF.]:[AGRUP. CLAS. PROF.]]=$B96,IF(DATOS_[[Check Periodo Ref.]:[Check Periodo Ref.]]="Dentro",DATOS_[C.Extra.01]))))),
0)</f>
        <v>0</v>
      </c>
      <c r="AM98" s="114">
        <f t="array" ref="AM98">IFERROR(
MEDIAN((IF(DATOS_[[Sexo]:[Sexo]]=$B98,IF(DATOS_[[AGRUP. CLAS. PROF.]:[AGRUP. CLAS. PROF.]]=$B96,IF(DATOS_[[Check Periodo Ref.]:[Check Periodo Ref.]]="Dentro",DATOS_[C.Extra.02]))))),
0)</f>
        <v>0</v>
      </c>
      <c r="AN98" s="114">
        <f t="array" ref="AN98">IFERROR(
MEDIAN((IF(DATOS_[[Sexo]:[Sexo]]=$B98,IF(DATOS_[[AGRUP. CLAS. PROF.]:[AGRUP. CLAS. PROF.]]=$B96,IF(DATOS_[[Check Periodo Ref.]:[Check Periodo Ref.]]="Dentro",DATOS_[C.Extra.03]))))),
0)</f>
        <v>0</v>
      </c>
      <c r="AO98" s="114">
        <f t="array" ref="AO98">IFERROR(
MEDIAN((IF(DATOS_[[Sexo]:[Sexo]]=$B98,IF(DATOS_[[AGRUP. CLAS. PROF.]:[AGRUP. CLAS. PROF.]]=$B96,IF(DATOS_[[Check Periodo Ref.]:[Check Periodo Ref.]]="Dentro",DATOS_[C.Extra.04]))))),
0)</f>
        <v>0</v>
      </c>
      <c r="AP98" s="114">
        <f t="array" ref="AP98">IFERROR(
MEDIAN((IF(DATOS_[[Sexo]:[Sexo]]=$B98,IF(DATOS_[[AGRUP. CLAS. PROF.]:[AGRUP. CLAS. PROF.]]=$B96,IF(DATOS_[[Check Periodo Ref.]:[Check Periodo Ref.]]="Dentro",DATOS_[C.Extra.05]))))),
0)</f>
        <v>0</v>
      </c>
      <c r="AQ98" s="115">
        <f t="array" ref="AQ98">IFERROR(
MEDIAN(IF(DATOS_[Sexo]=$B98,IF(DATOS_[AGRUP. CLAS. PROF.]=$B96,IF(DATOS_[Check Periodo Ref.]="Dentro",DATOS_[Tot Extrasalarial Ef],FALSE)))),
0)</f>
        <v>0</v>
      </c>
      <c r="AR98" s="116">
        <f t="array" ref="AR98">IFERROR(
MEDIAN(IF(DATOS_[Sexo]=$B98,IF(DATOS_[AGRUP. CLAS. PROF.]=$B96,IF(DATOS_[Check Periodo Ref.]="Dentro",DATOS_[TOTAL Retrib Ef],FALSE)))),
0)</f>
        <v>0</v>
      </c>
    </row>
    <row r="99" spans="1:44" ht="17.25" hidden="1" thickBot="1" x14ac:dyDescent="0.35">
      <c r="A99" s="42" t="str">
        <f t="shared" ref="A99" si="115">+A100</f>
        <v>[ocultar]</v>
      </c>
      <c r="B99" s="40" t="s">
        <v>245</v>
      </c>
      <c r="C99" s="109"/>
      <c r="D99" s="41"/>
      <c r="E99" s="119" t="str">
        <f t="shared" ref="E99:AR99" si="116">IFERROR((E100-E101)/E100,"")</f>
        <v/>
      </c>
      <c r="F99" s="123" t="str">
        <f t="shared" si="116"/>
        <v/>
      </c>
      <c r="G99" s="123" t="str">
        <f t="shared" si="116"/>
        <v/>
      </c>
      <c r="H99" s="123" t="str">
        <f t="shared" si="116"/>
        <v/>
      </c>
      <c r="I99" s="123" t="str">
        <f t="shared" si="116"/>
        <v/>
      </c>
      <c r="J99" s="123" t="str">
        <f t="shared" si="116"/>
        <v/>
      </c>
      <c r="K99" s="123" t="str">
        <f t="shared" si="116"/>
        <v/>
      </c>
      <c r="L99" s="123" t="str">
        <f t="shared" si="116"/>
        <v/>
      </c>
      <c r="M99" s="123" t="str">
        <f t="shared" si="116"/>
        <v/>
      </c>
      <c r="N99" s="123" t="str">
        <f t="shared" si="116"/>
        <v/>
      </c>
      <c r="O99" s="123" t="str">
        <f t="shared" si="116"/>
        <v/>
      </c>
      <c r="P99" s="123" t="str">
        <f t="shared" si="116"/>
        <v/>
      </c>
      <c r="Q99" s="123" t="str">
        <f t="shared" si="116"/>
        <v/>
      </c>
      <c r="R99" s="123" t="str">
        <f t="shared" si="116"/>
        <v/>
      </c>
      <c r="S99" s="123" t="str">
        <f t="shared" si="116"/>
        <v/>
      </c>
      <c r="T99" s="123" t="str">
        <f t="shared" si="116"/>
        <v/>
      </c>
      <c r="U99" s="123" t="str">
        <f t="shared" si="116"/>
        <v/>
      </c>
      <c r="V99" s="122" t="str">
        <f t="shared" si="116"/>
        <v/>
      </c>
      <c r="W99" s="122" t="str">
        <f t="shared" si="116"/>
        <v/>
      </c>
      <c r="X99" s="122" t="str">
        <f t="shared" si="116"/>
        <v/>
      </c>
      <c r="Y99" s="122" t="str">
        <f t="shared" si="116"/>
        <v/>
      </c>
      <c r="Z99" s="122" t="str">
        <f t="shared" si="116"/>
        <v/>
      </c>
      <c r="AA99" s="122" t="str">
        <f t="shared" si="116"/>
        <v/>
      </c>
      <c r="AB99" s="122" t="str">
        <f t="shared" si="116"/>
        <v/>
      </c>
      <c r="AC99" s="122" t="str">
        <f t="shared" si="116"/>
        <v/>
      </c>
      <c r="AD99" s="122" t="str">
        <f t="shared" si="116"/>
        <v/>
      </c>
      <c r="AE99" s="122" t="str">
        <f t="shared" si="116"/>
        <v/>
      </c>
      <c r="AF99" s="122" t="str">
        <f t="shared" si="116"/>
        <v/>
      </c>
      <c r="AG99" s="122" t="str">
        <f t="shared" si="116"/>
        <v/>
      </c>
      <c r="AH99" s="122" t="str">
        <f t="shared" si="116"/>
        <v/>
      </c>
      <c r="AI99" s="122" t="str">
        <f t="shared" si="116"/>
        <v/>
      </c>
      <c r="AJ99" s="124" t="str">
        <f t="shared" si="116"/>
        <v/>
      </c>
      <c r="AK99" s="128" t="str">
        <f t="shared" si="116"/>
        <v/>
      </c>
      <c r="AL99" s="125" t="str">
        <f t="shared" si="116"/>
        <v/>
      </c>
      <c r="AM99" s="125" t="str">
        <f t="shared" si="116"/>
        <v/>
      </c>
      <c r="AN99" s="125" t="str">
        <f t="shared" si="116"/>
        <v/>
      </c>
      <c r="AO99" s="125" t="str">
        <f t="shared" si="116"/>
        <v/>
      </c>
      <c r="AP99" s="125" t="str">
        <f t="shared" si="116"/>
        <v/>
      </c>
      <c r="AQ99" s="126" t="str">
        <f t="shared" si="116"/>
        <v/>
      </c>
      <c r="AR99" s="127" t="str">
        <f t="shared" si="116"/>
        <v/>
      </c>
    </row>
    <row r="100" spans="1:44" hidden="1" x14ac:dyDescent="0.3">
      <c r="A100" s="42" t="str">
        <f t="shared" ref="A100" si="117">+IF(C100+C101=0,"[ocultar]","")</f>
        <v>[ocultar]</v>
      </c>
      <c r="B100" s="34" t="s">
        <v>162</v>
      </c>
      <c r="C100" s="33">
        <f t="array" ref="C100">SUM(IF($B100=DATOS_[Sexo],
IF($B99=DATOS_[AGRUP. CLAS. PROF.],
IF("Dentro"=DATOS_[Check Periodo Ref.],
1/(COUNTIFS(DATOS_[Sexo],$B100,DATOS_[AGRUP. CLAS. PROF.],$B99,DATOS_[Check Periodo Ref.],"Dentro",DATOS_[id],DATOS_[id]))))))</f>
        <v>0</v>
      </c>
      <c r="D100" s="35">
        <f>COUNTIFS(DATOS_[AGRUP. CLAS. PROF.],$B99,DATOS_[Sexo],$B100,DATOS_[Check Periodo Ref.],"Dentro")</f>
        <v>0</v>
      </c>
      <c r="E100" s="110">
        <f t="array" ref="E100">IFERROR(
MEDIAN(IF(DATOS_[Sexo]=$B100,IF(DATOS_[AGRUP. CLAS. PROF.]=$B99,IF(DATOS_[Check Periodo Ref.]="Dentro",DATOS_[SALARIO BASE Ef],FALSE)))),
0)</f>
        <v>0</v>
      </c>
      <c r="F100" s="111">
        <f t="array" ref="F100">IFERROR(
MEDIAN((IF(DATOS_[[Sexo]:[Sexo]]=$B100,IF(DATOS_[[AGRUP. CLAS. PROF.]:[AGRUP. CLAS. PROF.]]=$B99,IF(DATOS_[[Check Periodo Ref.]:[Check Periodo Ref.]]="Dentro",DATOS_[Conc.Sal.01]))))),
0)</f>
        <v>0</v>
      </c>
      <c r="G100" s="111">
        <f t="array" ref="G100">IFERROR(
MEDIAN((IF(DATOS_[[Sexo]:[Sexo]]=$B100,IF(DATOS_[[AGRUP. CLAS. PROF.]:[AGRUP. CLAS. PROF.]]=$B99,IF(DATOS_[[Check Periodo Ref.]:[Check Periodo Ref.]]="Dentro",DATOS_[Conc.Sal.02]))))),
0)</f>
        <v>0</v>
      </c>
      <c r="H100" s="111">
        <f t="array" ref="H100">IFERROR(
MEDIAN((IF(DATOS_[[Sexo]:[Sexo]]=$B100,IF(DATOS_[[AGRUP. CLAS. PROF.]:[AGRUP. CLAS. PROF.]]=$B99,IF(DATOS_[[Check Periodo Ref.]:[Check Periodo Ref.]]="Dentro",DATOS_[Conc.Sal.03]))))),
0)</f>
        <v>0</v>
      </c>
      <c r="I100" s="111">
        <f t="array" ref="I100">IFERROR(
MEDIAN((IF(DATOS_[[Sexo]:[Sexo]]=$B100,IF(DATOS_[[AGRUP. CLAS. PROF.]:[AGRUP. CLAS. PROF.]]=$B99,IF(DATOS_[[Check Periodo Ref.]:[Check Periodo Ref.]]="Dentro",DATOS_[Conc.Sal.04]))))),
0)</f>
        <v>0</v>
      </c>
      <c r="J100" s="111">
        <f t="array" ref="J100">IFERROR(
MEDIAN((IF(DATOS_[[Sexo]:[Sexo]]=$B100,IF(DATOS_[[AGRUP. CLAS. PROF.]:[AGRUP. CLAS. PROF.]]=$B99,IF(DATOS_[[Check Periodo Ref.]:[Check Periodo Ref.]]="Dentro",DATOS_[Conc.Sal.05]))))),
0)</f>
        <v>0</v>
      </c>
      <c r="K100" s="111">
        <f t="array" ref="K100">IFERROR(
MEDIAN((IF(DATOS_[[Sexo]:[Sexo]]=$B100,IF(DATOS_[[AGRUP. CLAS. PROF.]:[AGRUP. CLAS. PROF.]]=$B99,IF(DATOS_[[Check Periodo Ref.]:[Check Periodo Ref.]]="Dentro",DATOS_[Conc.Sal.06]))))),
0)</f>
        <v>0</v>
      </c>
      <c r="L100" s="111">
        <f t="array" ref="L100">IFERROR(
MEDIAN((IF(DATOS_[[Sexo]:[Sexo]]=$B100,IF(DATOS_[[AGRUP. CLAS. PROF.]:[AGRUP. CLAS. PROF.]]=$B99,IF(DATOS_[[Check Periodo Ref.]:[Check Periodo Ref.]]="Dentro",DATOS_[Conc.Sal.07]))))),
0)</f>
        <v>0</v>
      </c>
      <c r="M100" s="111">
        <f t="array" ref="M100">IFERROR(
MEDIAN((IF(DATOS_[[Sexo]:[Sexo]]=$B100,IF(DATOS_[[AGRUP. CLAS. PROF.]:[AGRUP. CLAS. PROF.]]=$B99,IF(DATOS_[[Check Periodo Ref.]:[Check Periodo Ref.]]="Dentro",DATOS_[Conc.Sal.08]))))),
0)</f>
        <v>0</v>
      </c>
      <c r="N100" s="111">
        <f t="array" ref="N100">IFERROR(
MEDIAN((IF(DATOS_[[Sexo]:[Sexo]]=$B100,IF(DATOS_[[AGRUP. CLAS. PROF.]:[AGRUP. CLAS. PROF.]]=$B99,IF(DATOS_[[Check Periodo Ref.]:[Check Periodo Ref.]]="Dentro",DATOS_[Conc.Sal.09]))))),
0)</f>
        <v>0</v>
      </c>
      <c r="O100" s="111">
        <f t="array" ref="O100">IFERROR(
MEDIAN((IF(DATOS_[[Sexo]:[Sexo]]=$B100,IF(DATOS_[[AGRUP. CLAS. PROF.]:[AGRUP. CLAS. PROF.]]=$B99,IF(DATOS_[[Check Periodo Ref.]:[Check Periodo Ref.]]="Dentro",DATOS_[Conc.Sal.10]))))),
0)</f>
        <v>0</v>
      </c>
      <c r="P100" s="111">
        <f t="array" ref="P100">IFERROR(
MEDIAN((IF(DATOS_[[Sexo]:[Sexo]]=$B100,IF(DATOS_[[AGRUP. CLAS. PROF.]:[AGRUP. CLAS. PROF.]]=$B99,IF(DATOS_[[Check Periodo Ref.]:[Check Periodo Ref.]]="Dentro",DATOS_[Conc.Sal.11]))))),
0)</f>
        <v>0</v>
      </c>
      <c r="Q100" s="111">
        <f t="array" ref="Q100">IFERROR(
MEDIAN((IF(DATOS_[[Sexo]:[Sexo]]=$B100,IF(DATOS_[[AGRUP. CLAS. PROF.]:[AGRUP. CLAS. PROF.]]=$B99,IF(DATOS_[[Check Periodo Ref.]:[Check Periodo Ref.]]="Dentro",DATOS_[Conc.Sal.12]))))),
0)</f>
        <v>0</v>
      </c>
      <c r="R100" s="111">
        <f t="array" ref="R100">IFERROR(
MEDIAN((IF(DATOS_[[Sexo]:[Sexo]]=$B100,IF(DATOS_[[AGRUP. CLAS. PROF.]:[AGRUP. CLAS. PROF.]]=$B99,IF(DATOS_[[Check Periodo Ref.]:[Check Periodo Ref.]]="Dentro",DATOS_[Conc.Sal.13]))))),
0)</f>
        <v>0</v>
      </c>
      <c r="S100" s="111">
        <f t="array" ref="S100">IFERROR(
MEDIAN((IF(DATOS_[[Sexo]:[Sexo]]=$B100,IF(DATOS_[[AGRUP. CLAS. PROF.]:[AGRUP. CLAS. PROF.]]=$B99,IF(DATOS_[[Check Periodo Ref.]:[Check Periodo Ref.]]="Dentro",DATOS_[Conc.Sal.14]))))),
0)</f>
        <v>0</v>
      </c>
      <c r="T100" s="111">
        <f t="array" ref="T100">IFERROR(
MEDIAN((IF(DATOS_[[Sexo]:[Sexo]]=$B100,IF(DATOS_[[AGRUP. CLAS. PROF.]:[AGRUP. CLAS. PROF.]]=$B99,IF(DATOS_[[Check Periodo Ref.]:[Check Periodo Ref.]]="Dentro",DATOS_[Conc.Sal.15]))))),
0)</f>
        <v>0</v>
      </c>
      <c r="U100" s="111">
        <f t="array" ref="U100">IFERROR(
MEDIAN((IF(DATOS_[[Sexo]:[Sexo]]=$B100,IF(DATOS_[[AGRUP. CLAS. PROF.]:[AGRUP. CLAS. PROF.]]=$B99,IF(DATOS_[[Check Periodo Ref.]:[Check Periodo Ref.]]="Dentro",DATOS_[Conc.Sal.16]))))),
0)</f>
        <v>0</v>
      </c>
      <c r="V100" s="111">
        <f t="array" ref="V100">IFERROR(
MEDIAN((IF(DATOS_[[Sexo]:[Sexo]]=$B100,IF(DATOS_[[AGRUP. CLAS. PROF.]:[AGRUP. CLAS. PROF.]]=$B99,IF(DATOS_[[Check Periodo Ref.]:[Check Periodo Ref.]]="Dentro",DATOS_[Conc.Sal.17]))))),
0)</f>
        <v>0</v>
      </c>
      <c r="W100" s="111">
        <f t="array" ref="W100">IFERROR(
MEDIAN((IF(DATOS_[[Sexo]:[Sexo]]=$B100,IF(DATOS_[[AGRUP. CLAS. PROF.]:[AGRUP. CLAS. PROF.]]=$B99,IF(DATOS_[[Check Periodo Ref.]:[Check Periodo Ref.]]="Dentro",DATOS_[Conc.Sal.18]))))),
0)</f>
        <v>0</v>
      </c>
      <c r="X100" s="111">
        <f t="array" ref="X100">IFERROR(
MEDIAN((IF(DATOS_[[Sexo]:[Sexo]]=$B100,IF(DATOS_[[AGRUP. CLAS. PROF.]:[AGRUP. CLAS. PROF.]]=$B99,IF(DATOS_[[Check Periodo Ref.]:[Check Periodo Ref.]]="Dentro",DATOS_[Conc.Sal.19]))))),
0)</f>
        <v>0</v>
      </c>
      <c r="Y100" s="111">
        <f t="array" ref="Y100">IFERROR(
MEDIAN((IF(DATOS_[[Sexo]:[Sexo]]=$B100,IF(DATOS_[[AGRUP. CLAS. PROF.]:[AGRUP. CLAS. PROF.]]=$B99,IF(DATOS_[[Check Periodo Ref.]:[Check Periodo Ref.]]="Dentro",DATOS_[Conc.Sal.20]))))),
0)</f>
        <v>0</v>
      </c>
      <c r="Z100" s="111">
        <f t="array" ref="Z100">IFERROR(
MEDIAN((IF(DATOS_[[Sexo]:[Sexo]]=$B100,IF(DATOS_[[AGRUP. CLAS. PROF.]:[AGRUP. CLAS. PROF.]]=$B99,IF(DATOS_[[Check Periodo Ref.]:[Check Periodo Ref.]]="Dentro",DATOS_[Conc.Sal.21]))))),
0)</f>
        <v>0</v>
      </c>
      <c r="AA100" s="111">
        <f t="array" ref="AA100">IFERROR(
MEDIAN((IF(DATOS_[[Sexo]:[Sexo]]=$B100,IF(DATOS_[[AGRUP. CLAS. PROF.]:[AGRUP. CLAS. PROF.]]=$B99,IF(DATOS_[[Check Periodo Ref.]:[Check Periodo Ref.]]="Dentro",DATOS_[Conc.Sal.22]))))),
0)</f>
        <v>0</v>
      </c>
      <c r="AB100" s="111">
        <f t="array" ref="AB100">IFERROR(
MEDIAN((IF(DATOS_[[Sexo]:[Sexo]]=$B100,IF(DATOS_[[AGRUP. CLAS. PROF.]:[AGRUP. CLAS. PROF.]]=$B99,IF(DATOS_[[Check Periodo Ref.]:[Check Periodo Ref.]]="Dentro",DATOS_[Conc.Sal.23]))))),
0)</f>
        <v>0</v>
      </c>
      <c r="AC100" s="111">
        <f t="array" ref="AC100">IFERROR(
MEDIAN((IF(DATOS_[[Sexo]:[Sexo]]=$B100,IF(DATOS_[[AGRUP. CLAS. PROF.]:[AGRUP. CLAS. PROF.]]=$B99,IF(DATOS_[[Check Periodo Ref.]:[Check Periodo Ref.]]="Dentro",DATOS_[Conc.Sal.24]))))),
0)</f>
        <v>0</v>
      </c>
      <c r="AD100" s="111">
        <f t="array" ref="AD100">IFERROR(
MEDIAN((IF(DATOS_[[Sexo]:[Sexo]]=$B100,IF(DATOS_[[AGRUP. CLAS. PROF.]:[AGRUP. CLAS. PROF.]]=$B99,IF(DATOS_[[Check Periodo Ref.]:[Check Periodo Ref.]]="Dentro",DATOS_[Conc.Sal.25]))))),
0)</f>
        <v>0</v>
      </c>
      <c r="AE100" s="111">
        <f t="array" ref="AE100">IFERROR(
MEDIAN((IF(DATOS_[[Sexo]:[Sexo]]=$B100,IF(DATOS_[[AGRUP. CLAS. PROF.]:[AGRUP. CLAS. PROF.]]=$B99,IF(DATOS_[[Check Periodo Ref.]:[Check Periodo Ref.]]="Dentro",DATOS_[Conc.Sal.26]))))),
0)</f>
        <v>0</v>
      </c>
      <c r="AF100" s="111">
        <f t="array" ref="AF100">IFERROR(
MEDIAN((IF(DATOS_[[Sexo]:[Sexo]]=$B100,IF(DATOS_[[AGRUP. CLAS. PROF.]:[AGRUP. CLAS. PROF.]]=$B99,IF(DATOS_[[Check Periodo Ref.]:[Check Periodo Ref.]]="Dentro",DATOS_[Conc.Sal.27]))))),
0)</f>
        <v>0</v>
      </c>
      <c r="AG100" s="111">
        <f t="array" ref="AG100">IFERROR(
MEDIAN((IF(DATOS_[[Sexo]:[Sexo]]=$B100,IF(DATOS_[[AGRUP. CLAS. PROF.]:[AGRUP. CLAS. PROF.]]=$B99,IF(DATOS_[[Check Periodo Ref.]:[Check Periodo Ref.]]="Dentro",DATOS_[Conc.Sal.28]))))),
0)</f>
        <v>0</v>
      </c>
      <c r="AH100" s="111">
        <f t="array" ref="AH100">IFERROR(
MEDIAN((IF(DATOS_[[Sexo]:[Sexo]]=$B100,IF(DATOS_[[AGRUP. CLAS. PROF.]:[AGRUP. CLAS. PROF.]]=$B99,IF(DATOS_[[Check Periodo Ref.]:[Check Periodo Ref.]]="Dentro",DATOS_[Conc.Sal.29]))))),
0)</f>
        <v>0</v>
      </c>
      <c r="AI100" s="111">
        <f t="array" ref="AI100">IFERROR(
MEDIAN((IF(DATOS_[[Sexo]:[Sexo]]=$B100,IF(DATOS_[[AGRUP. CLAS. PROF.]:[AGRUP. CLAS. PROF.]]=$B99,IF(DATOS_[[Check Periodo Ref.]:[Check Periodo Ref.]]="Dentro",DATOS_[Conc.Sal.30]))))),
0)</f>
        <v>0</v>
      </c>
      <c r="AJ100" s="112">
        <f t="array" ref="AJ100">IFERROR(
MEDIAN(IF(DATOS_[Sexo]=$B100,IF(DATOS_[AGRUP. CLAS. PROF.]=$B99,IF(DATOS_[Check Periodo Ref.]="Dentro",DATOS_[Tot COMPL.SAL Ef],FALSE)))),
0)</f>
        <v>0</v>
      </c>
      <c r="AK100" s="113">
        <f t="array" ref="AK100">IFERROR(
MEDIAN(IF(DATOS_[Sexo]=$B100,IF(DATOS_[AGRUP. CLAS. PROF.]=$B99,IF(DATOS_[Check Periodo Ref.]="Dentro",DATOS_[TOTAL SALARIO Ef],FALSE)))),
0)</f>
        <v>0</v>
      </c>
      <c r="AL100" s="114">
        <f t="array" ref="AL100">IFERROR(
MEDIAN((IF(DATOS_[[Sexo]:[Sexo]]=$B100,IF(DATOS_[[AGRUP. CLAS. PROF.]:[AGRUP. CLAS. PROF.]]=$B99,IF(DATOS_[[Check Periodo Ref.]:[Check Periodo Ref.]]="Dentro",DATOS_[C.Extra.01]))))),
0)</f>
        <v>0</v>
      </c>
      <c r="AM100" s="114">
        <f t="array" ref="AM100">IFERROR(
MEDIAN((IF(DATOS_[[Sexo]:[Sexo]]=$B100,IF(DATOS_[[AGRUP. CLAS. PROF.]:[AGRUP. CLAS. PROF.]]=$B99,IF(DATOS_[[Check Periodo Ref.]:[Check Periodo Ref.]]="Dentro",DATOS_[C.Extra.02]))))),
0)</f>
        <v>0</v>
      </c>
      <c r="AN100" s="114">
        <f t="array" ref="AN100">IFERROR(
MEDIAN((IF(DATOS_[[Sexo]:[Sexo]]=$B100,IF(DATOS_[[AGRUP. CLAS. PROF.]:[AGRUP. CLAS. PROF.]]=$B99,IF(DATOS_[[Check Periodo Ref.]:[Check Periodo Ref.]]="Dentro",DATOS_[C.Extra.03]))))),
0)</f>
        <v>0</v>
      </c>
      <c r="AO100" s="114">
        <f t="array" ref="AO100">IFERROR(
MEDIAN((IF(DATOS_[[Sexo]:[Sexo]]=$B100,IF(DATOS_[[AGRUP. CLAS. PROF.]:[AGRUP. CLAS. PROF.]]=$B99,IF(DATOS_[[Check Periodo Ref.]:[Check Periodo Ref.]]="Dentro",DATOS_[C.Extra.04]))))),
0)</f>
        <v>0</v>
      </c>
      <c r="AP100" s="114">
        <f t="array" ref="AP100">IFERROR(
MEDIAN((IF(DATOS_[[Sexo]:[Sexo]]=$B100,IF(DATOS_[[AGRUP. CLAS. PROF.]:[AGRUP. CLAS. PROF.]]=$B99,IF(DATOS_[[Check Periodo Ref.]:[Check Periodo Ref.]]="Dentro",DATOS_[C.Extra.05]))))),
0)</f>
        <v>0</v>
      </c>
      <c r="AQ100" s="115">
        <f t="array" ref="AQ100">IFERROR(
MEDIAN(IF(DATOS_[Sexo]=$B100,IF(DATOS_[AGRUP. CLAS. PROF.]=$B99,IF(DATOS_[Check Periodo Ref.]="Dentro",DATOS_[Tot Extrasalarial Ef],FALSE)))),
0)</f>
        <v>0</v>
      </c>
      <c r="AR100" s="116">
        <f t="array" ref="AR100">IFERROR(
MEDIAN(IF(DATOS_[Sexo]=$B100,IF(DATOS_[AGRUP. CLAS. PROF.]=$B99,IF(DATOS_[Check Periodo Ref.]="Dentro",DATOS_[TOTAL Retrib Ef],FALSE)))),
0)</f>
        <v>0</v>
      </c>
    </row>
    <row r="101" spans="1:44" hidden="1" x14ac:dyDescent="0.3">
      <c r="A101" s="42" t="str">
        <f t="shared" ref="A101" si="118">+A100</f>
        <v>[ocultar]</v>
      </c>
      <c r="B101" s="34" t="s">
        <v>163</v>
      </c>
      <c r="C101" s="33">
        <f t="array" ref="C101">SUM(IF($B101=DATOS_[Sexo],
IF($B99=DATOS_[AGRUP. CLAS. PROF.],
IF("Dentro"=DATOS_[Check Periodo Ref.],
1/(COUNTIFS(DATOS_[Sexo],$B101,DATOS_[AGRUP. CLAS. PROF.],$B99,DATOS_[Check Periodo Ref.],"Dentro",DATOS_[id],DATOS_[id]))))))</f>
        <v>0</v>
      </c>
      <c r="D101" s="35">
        <f>COUNTIFS(DATOS_[AGRUP. CLAS. PROF.],$B99,DATOS_[Sexo],$B101,DATOS_[Check Periodo Ref.],"Dentro")</f>
        <v>0</v>
      </c>
      <c r="E101" s="110">
        <f t="array" ref="E101">IFERROR(
MEDIAN(IF(DATOS_[Sexo]=$B101,IF(DATOS_[AGRUP. CLAS. PROF.]=$B99,IF(DATOS_[Check Periodo Ref.]="Dentro",DATOS_[SALARIO BASE Ef],FALSE)))),
0)</f>
        <v>0</v>
      </c>
      <c r="F101" s="111">
        <f t="array" ref="F101">IFERROR(
MEDIAN((IF(DATOS_[[Sexo]:[Sexo]]=$B101,IF(DATOS_[[AGRUP. CLAS. PROF.]:[AGRUP. CLAS. PROF.]]=$B99,IF(DATOS_[[Check Periodo Ref.]:[Check Periodo Ref.]]="Dentro",DATOS_[Conc.Sal.01]))))),
0)</f>
        <v>0</v>
      </c>
      <c r="G101" s="111">
        <f t="array" ref="G101">IFERROR(
MEDIAN((IF(DATOS_[[Sexo]:[Sexo]]=$B101,IF(DATOS_[[AGRUP. CLAS. PROF.]:[AGRUP. CLAS. PROF.]]=$B99,IF(DATOS_[[Check Periodo Ref.]:[Check Periodo Ref.]]="Dentro",DATOS_[Conc.Sal.02]))))),
0)</f>
        <v>0</v>
      </c>
      <c r="H101" s="111">
        <f t="array" ref="H101">IFERROR(
MEDIAN((IF(DATOS_[[Sexo]:[Sexo]]=$B101,IF(DATOS_[[AGRUP. CLAS. PROF.]:[AGRUP. CLAS. PROF.]]=$B99,IF(DATOS_[[Check Periodo Ref.]:[Check Periodo Ref.]]="Dentro",DATOS_[Conc.Sal.03]))))),
0)</f>
        <v>0</v>
      </c>
      <c r="I101" s="111">
        <f t="array" ref="I101">IFERROR(
MEDIAN((IF(DATOS_[[Sexo]:[Sexo]]=$B101,IF(DATOS_[[AGRUP. CLAS. PROF.]:[AGRUP. CLAS. PROF.]]=$B99,IF(DATOS_[[Check Periodo Ref.]:[Check Periodo Ref.]]="Dentro",DATOS_[Conc.Sal.04]))))),
0)</f>
        <v>0</v>
      </c>
      <c r="J101" s="111">
        <f t="array" ref="J101">IFERROR(
MEDIAN((IF(DATOS_[[Sexo]:[Sexo]]=$B101,IF(DATOS_[[AGRUP. CLAS. PROF.]:[AGRUP. CLAS. PROF.]]=$B99,IF(DATOS_[[Check Periodo Ref.]:[Check Periodo Ref.]]="Dentro",DATOS_[Conc.Sal.05]))))),
0)</f>
        <v>0</v>
      </c>
      <c r="K101" s="111">
        <f t="array" ref="K101">IFERROR(
MEDIAN((IF(DATOS_[[Sexo]:[Sexo]]=$B101,IF(DATOS_[[AGRUP. CLAS. PROF.]:[AGRUP. CLAS. PROF.]]=$B99,IF(DATOS_[[Check Periodo Ref.]:[Check Periodo Ref.]]="Dentro",DATOS_[Conc.Sal.06]))))),
0)</f>
        <v>0</v>
      </c>
      <c r="L101" s="111">
        <f t="array" ref="L101">IFERROR(
MEDIAN((IF(DATOS_[[Sexo]:[Sexo]]=$B101,IF(DATOS_[[AGRUP. CLAS. PROF.]:[AGRUP. CLAS. PROF.]]=$B99,IF(DATOS_[[Check Periodo Ref.]:[Check Periodo Ref.]]="Dentro",DATOS_[Conc.Sal.07]))))),
0)</f>
        <v>0</v>
      </c>
      <c r="M101" s="111">
        <f t="array" ref="M101">IFERROR(
MEDIAN((IF(DATOS_[[Sexo]:[Sexo]]=$B101,IF(DATOS_[[AGRUP. CLAS. PROF.]:[AGRUP. CLAS. PROF.]]=$B99,IF(DATOS_[[Check Periodo Ref.]:[Check Periodo Ref.]]="Dentro",DATOS_[Conc.Sal.08]))))),
0)</f>
        <v>0</v>
      </c>
      <c r="N101" s="111">
        <f t="array" ref="N101">IFERROR(
MEDIAN((IF(DATOS_[[Sexo]:[Sexo]]=$B101,IF(DATOS_[[AGRUP. CLAS. PROF.]:[AGRUP. CLAS. PROF.]]=$B99,IF(DATOS_[[Check Periodo Ref.]:[Check Periodo Ref.]]="Dentro",DATOS_[Conc.Sal.09]))))),
0)</f>
        <v>0</v>
      </c>
      <c r="O101" s="111">
        <f t="array" ref="O101">IFERROR(
MEDIAN((IF(DATOS_[[Sexo]:[Sexo]]=$B101,IF(DATOS_[[AGRUP. CLAS. PROF.]:[AGRUP. CLAS. PROF.]]=$B99,IF(DATOS_[[Check Periodo Ref.]:[Check Periodo Ref.]]="Dentro",DATOS_[Conc.Sal.10]))))),
0)</f>
        <v>0</v>
      </c>
      <c r="P101" s="111">
        <f t="array" ref="P101">IFERROR(
MEDIAN((IF(DATOS_[[Sexo]:[Sexo]]=$B101,IF(DATOS_[[AGRUP. CLAS. PROF.]:[AGRUP. CLAS. PROF.]]=$B99,IF(DATOS_[[Check Periodo Ref.]:[Check Periodo Ref.]]="Dentro",DATOS_[Conc.Sal.11]))))),
0)</f>
        <v>0</v>
      </c>
      <c r="Q101" s="111">
        <f t="array" ref="Q101">IFERROR(
MEDIAN((IF(DATOS_[[Sexo]:[Sexo]]=$B101,IF(DATOS_[[AGRUP. CLAS. PROF.]:[AGRUP. CLAS. PROF.]]=$B99,IF(DATOS_[[Check Periodo Ref.]:[Check Periodo Ref.]]="Dentro",DATOS_[Conc.Sal.12]))))),
0)</f>
        <v>0</v>
      </c>
      <c r="R101" s="111">
        <f t="array" ref="R101">IFERROR(
MEDIAN((IF(DATOS_[[Sexo]:[Sexo]]=$B101,IF(DATOS_[[AGRUP. CLAS. PROF.]:[AGRUP. CLAS. PROF.]]=$B99,IF(DATOS_[[Check Periodo Ref.]:[Check Periodo Ref.]]="Dentro",DATOS_[Conc.Sal.13]))))),
0)</f>
        <v>0</v>
      </c>
      <c r="S101" s="111">
        <f t="array" ref="S101">IFERROR(
MEDIAN((IF(DATOS_[[Sexo]:[Sexo]]=$B101,IF(DATOS_[[AGRUP. CLAS. PROF.]:[AGRUP. CLAS. PROF.]]=$B99,IF(DATOS_[[Check Periodo Ref.]:[Check Periodo Ref.]]="Dentro",DATOS_[Conc.Sal.14]))))),
0)</f>
        <v>0</v>
      </c>
      <c r="T101" s="111">
        <f t="array" ref="T101">IFERROR(
MEDIAN((IF(DATOS_[[Sexo]:[Sexo]]=$B101,IF(DATOS_[[AGRUP. CLAS. PROF.]:[AGRUP. CLAS. PROF.]]=$B99,IF(DATOS_[[Check Periodo Ref.]:[Check Periodo Ref.]]="Dentro",DATOS_[Conc.Sal.15]))))),
0)</f>
        <v>0</v>
      </c>
      <c r="U101" s="111">
        <f t="array" ref="U101">IFERROR(
MEDIAN((IF(DATOS_[[Sexo]:[Sexo]]=$B101,IF(DATOS_[[AGRUP. CLAS. PROF.]:[AGRUP. CLAS. PROF.]]=$B99,IF(DATOS_[[Check Periodo Ref.]:[Check Periodo Ref.]]="Dentro",DATOS_[Conc.Sal.16]))))),
0)</f>
        <v>0</v>
      </c>
      <c r="V101" s="111">
        <f t="array" ref="V101">IFERROR(
MEDIAN((IF(DATOS_[[Sexo]:[Sexo]]=$B101,IF(DATOS_[[AGRUP. CLAS. PROF.]:[AGRUP. CLAS. PROF.]]=$B99,IF(DATOS_[[Check Periodo Ref.]:[Check Periodo Ref.]]="Dentro",DATOS_[Conc.Sal.17]))))),
0)</f>
        <v>0</v>
      </c>
      <c r="W101" s="111">
        <f t="array" ref="W101">IFERROR(
MEDIAN((IF(DATOS_[[Sexo]:[Sexo]]=$B101,IF(DATOS_[[AGRUP. CLAS. PROF.]:[AGRUP. CLAS. PROF.]]=$B99,IF(DATOS_[[Check Periodo Ref.]:[Check Periodo Ref.]]="Dentro",DATOS_[Conc.Sal.18]))))),
0)</f>
        <v>0</v>
      </c>
      <c r="X101" s="111">
        <f t="array" ref="X101">IFERROR(
MEDIAN((IF(DATOS_[[Sexo]:[Sexo]]=$B101,IF(DATOS_[[AGRUP. CLAS. PROF.]:[AGRUP. CLAS. PROF.]]=$B99,IF(DATOS_[[Check Periodo Ref.]:[Check Periodo Ref.]]="Dentro",DATOS_[Conc.Sal.19]))))),
0)</f>
        <v>0</v>
      </c>
      <c r="Y101" s="111">
        <f t="array" ref="Y101">IFERROR(
MEDIAN((IF(DATOS_[[Sexo]:[Sexo]]=$B101,IF(DATOS_[[AGRUP. CLAS. PROF.]:[AGRUP. CLAS. PROF.]]=$B99,IF(DATOS_[[Check Periodo Ref.]:[Check Periodo Ref.]]="Dentro",DATOS_[Conc.Sal.20]))))),
0)</f>
        <v>0</v>
      </c>
      <c r="Z101" s="111">
        <f t="array" ref="Z101">IFERROR(
MEDIAN((IF(DATOS_[[Sexo]:[Sexo]]=$B101,IF(DATOS_[[AGRUP. CLAS. PROF.]:[AGRUP. CLAS. PROF.]]=$B99,IF(DATOS_[[Check Periodo Ref.]:[Check Periodo Ref.]]="Dentro",DATOS_[Conc.Sal.21]))))),
0)</f>
        <v>0</v>
      </c>
      <c r="AA101" s="111">
        <f t="array" ref="AA101">IFERROR(
MEDIAN((IF(DATOS_[[Sexo]:[Sexo]]=$B101,IF(DATOS_[[AGRUP. CLAS. PROF.]:[AGRUP. CLAS. PROF.]]=$B99,IF(DATOS_[[Check Periodo Ref.]:[Check Periodo Ref.]]="Dentro",DATOS_[Conc.Sal.22]))))),
0)</f>
        <v>0</v>
      </c>
      <c r="AB101" s="111">
        <f t="array" ref="AB101">IFERROR(
MEDIAN((IF(DATOS_[[Sexo]:[Sexo]]=$B101,IF(DATOS_[[AGRUP. CLAS. PROF.]:[AGRUP. CLAS. PROF.]]=$B99,IF(DATOS_[[Check Periodo Ref.]:[Check Periodo Ref.]]="Dentro",DATOS_[Conc.Sal.23]))))),
0)</f>
        <v>0</v>
      </c>
      <c r="AC101" s="111">
        <f t="array" ref="AC101">IFERROR(
MEDIAN((IF(DATOS_[[Sexo]:[Sexo]]=$B101,IF(DATOS_[[AGRUP. CLAS. PROF.]:[AGRUP. CLAS. PROF.]]=$B99,IF(DATOS_[[Check Periodo Ref.]:[Check Periodo Ref.]]="Dentro",DATOS_[Conc.Sal.24]))))),
0)</f>
        <v>0</v>
      </c>
      <c r="AD101" s="111">
        <f t="array" ref="AD101">IFERROR(
MEDIAN((IF(DATOS_[[Sexo]:[Sexo]]=$B101,IF(DATOS_[[AGRUP. CLAS. PROF.]:[AGRUP. CLAS. PROF.]]=$B99,IF(DATOS_[[Check Periodo Ref.]:[Check Periodo Ref.]]="Dentro",DATOS_[Conc.Sal.25]))))),
0)</f>
        <v>0</v>
      </c>
      <c r="AE101" s="111">
        <f t="array" ref="AE101">IFERROR(
MEDIAN((IF(DATOS_[[Sexo]:[Sexo]]=$B101,IF(DATOS_[[AGRUP. CLAS. PROF.]:[AGRUP. CLAS. PROF.]]=$B99,IF(DATOS_[[Check Periodo Ref.]:[Check Periodo Ref.]]="Dentro",DATOS_[Conc.Sal.26]))))),
0)</f>
        <v>0</v>
      </c>
      <c r="AF101" s="111">
        <f t="array" ref="AF101">IFERROR(
MEDIAN((IF(DATOS_[[Sexo]:[Sexo]]=$B101,IF(DATOS_[[AGRUP. CLAS. PROF.]:[AGRUP. CLAS. PROF.]]=$B99,IF(DATOS_[[Check Periodo Ref.]:[Check Periodo Ref.]]="Dentro",DATOS_[Conc.Sal.27]))))),
0)</f>
        <v>0</v>
      </c>
      <c r="AG101" s="111">
        <f t="array" ref="AG101">IFERROR(
MEDIAN((IF(DATOS_[[Sexo]:[Sexo]]=$B101,IF(DATOS_[[AGRUP. CLAS. PROF.]:[AGRUP. CLAS. PROF.]]=$B99,IF(DATOS_[[Check Periodo Ref.]:[Check Periodo Ref.]]="Dentro",DATOS_[Conc.Sal.28]))))),
0)</f>
        <v>0</v>
      </c>
      <c r="AH101" s="111">
        <f t="array" ref="AH101">IFERROR(
MEDIAN((IF(DATOS_[[Sexo]:[Sexo]]=$B101,IF(DATOS_[[AGRUP. CLAS. PROF.]:[AGRUP. CLAS. PROF.]]=$B99,IF(DATOS_[[Check Periodo Ref.]:[Check Periodo Ref.]]="Dentro",DATOS_[Conc.Sal.29]))))),
0)</f>
        <v>0</v>
      </c>
      <c r="AI101" s="111">
        <f t="array" ref="AI101">IFERROR(
MEDIAN((IF(DATOS_[[Sexo]:[Sexo]]=$B101,IF(DATOS_[[AGRUP. CLAS. PROF.]:[AGRUP. CLAS. PROF.]]=$B99,IF(DATOS_[[Check Periodo Ref.]:[Check Periodo Ref.]]="Dentro",DATOS_[Conc.Sal.30]))))),
0)</f>
        <v>0</v>
      </c>
      <c r="AJ101" s="112">
        <f t="array" ref="AJ101">IFERROR(
MEDIAN(IF(DATOS_[Sexo]=$B101,IF(DATOS_[AGRUP. CLAS. PROF.]=$B99,IF(DATOS_[Check Periodo Ref.]="Dentro",DATOS_[Tot COMPL.SAL Ef],FALSE)))),
0)</f>
        <v>0</v>
      </c>
      <c r="AK101" s="113">
        <f t="array" ref="AK101">IFERROR(
MEDIAN(IF(DATOS_[Sexo]=$B101,IF(DATOS_[AGRUP. CLAS. PROF.]=$B99,IF(DATOS_[Check Periodo Ref.]="Dentro",DATOS_[TOTAL SALARIO Ef],FALSE)))),
0)</f>
        <v>0</v>
      </c>
      <c r="AL101" s="114">
        <f t="array" ref="AL101">IFERROR(
MEDIAN((IF(DATOS_[[Sexo]:[Sexo]]=$B101,IF(DATOS_[[AGRUP. CLAS. PROF.]:[AGRUP. CLAS. PROF.]]=$B99,IF(DATOS_[[Check Periodo Ref.]:[Check Periodo Ref.]]="Dentro",DATOS_[C.Extra.01]))))),
0)</f>
        <v>0</v>
      </c>
      <c r="AM101" s="114">
        <f t="array" ref="AM101">IFERROR(
MEDIAN((IF(DATOS_[[Sexo]:[Sexo]]=$B101,IF(DATOS_[[AGRUP. CLAS. PROF.]:[AGRUP. CLAS. PROF.]]=$B99,IF(DATOS_[[Check Periodo Ref.]:[Check Periodo Ref.]]="Dentro",DATOS_[C.Extra.02]))))),
0)</f>
        <v>0</v>
      </c>
      <c r="AN101" s="114">
        <f t="array" ref="AN101">IFERROR(
MEDIAN((IF(DATOS_[[Sexo]:[Sexo]]=$B101,IF(DATOS_[[AGRUP. CLAS. PROF.]:[AGRUP. CLAS. PROF.]]=$B99,IF(DATOS_[[Check Periodo Ref.]:[Check Periodo Ref.]]="Dentro",DATOS_[C.Extra.03]))))),
0)</f>
        <v>0</v>
      </c>
      <c r="AO101" s="114">
        <f t="array" ref="AO101">IFERROR(
MEDIAN((IF(DATOS_[[Sexo]:[Sexo]]=$B101,IF(DATOS_[[AGRUP. CLAS. PROF.]:[AGRUP. CLAS. PROF.]]=$B99,IF(DATOS_[[Check Periodo Ref.]:[Check Periodo Ref.]]="Dentro",DATOS_[C.Extra.04]))))),
0)</f>
        <v>0</v>
      </c>
      <c r="AP101" s="114">
        <f t="array" ref="AP101">IFERROR(
MEDIAN((IF(DATOS_[[Sexo]:[Sexo]]=$B101,IF(DATOS_[[AGRUP. CLAS. PROF.]:[AGRUP. CLAS. PROF.]]=$B99,IF(DATOS_[[Check Periodo Ref.]:[Check Periodo Ref.]]="Dentro",DATOS_[C.Extra.05]))))),
0)</f>
        <v>0</v>
      </c>
      <c r="AQ101" s="115">
        <f t="array" ref="AQ101">IFERROR(
MEDIAN(IF(DATOS_[Sexo]=$B101,IF(DATOS_[AGRUP. CLAS. PROF.]=$B99,IF(DATOS_[Check Periodo Ref.]="Dentro",DATOS_[Tot Extrasalarial Ef],FALSE)))),
0)</f>
        <v>0</v>
      </c>
      <c r="AR101" s="116">
        <f t="array" ref="AR101">IFERROR(
MEDIAN(IF(DATOS_[Sexo]=$B101,IF(DATOS_[AGRUP. CLAS. PROF.]=$B99,IF(DATOS_[Check Periodo Ref.]="Dentro",DATOS_[TOTAL Retrib Ef],FALSE)))),
0)</f>
        <v>0</v>
      </c>
    </row>
    <row r="102" spans="1:44" ht="17.25" hidden="1" thickBot="1" x14ac:dyDescent="0.35">
      <c r="A102" s="42" t="str">
        <f t="shared" ref="A102" si="119">+A103</f>
        <v>[ocultar]</v>
      </c>
      <c r="B102" s="40" t="s">
        <v>246</v>
      </c>
      <c r="C102" s="109"/>
      <c r="D102" s="41"/>
      <c r="E102" s="119" t="str">
        <f t="shared" ref="E102:AR102" si="120">IFERROR((E103-E104)/E103,"")</f>
        <v/>
      </c>
      <c r="F102" s="123" t="str">
        <f t="shared" si="120"/>
        <v/>
      </c>
      <c r="G102" s="123" t="str">
        <f t="shared" si="120"/>
        <v/>
      </c>
      <c r="H102" s="123" t="str">
        <f t="shared" si="120"/>
        <v/>
      </c>
      <c r="I102" s="123" t="str">
        <f t="shared" si="120"/>
        <v/>
      </c>
      <c r="J102" s="123" t="str">
        <f t="shared" si="120"/>
        <v/>
      </c>
      <c r="K102" s="123" t="str">
        <f t="shared" si="120"/>
        <v/>
      </c>
      <c r="L102" s="123" t="str">
        <f t="shared" si="120"/>
        <v/>
      </c>
      <c r="M102" s="123" t="str">
        <f t="shared" si="120"/>
        <v/>
      </c>
      <c r="N102" s="123" t="str">
        <f t="shared" si="120"/>
        <v/>
      </c>
      <c r="O102" s="123" t="str">
        <f t="shared" si="120"/>
        <v/>
      </c>
      <c r="P102" s="123" t="str">
        <f t="shared" si="120"/>
        <v/>
      </c>
      <c r="Q102" s="123" t="str">
        <f t="shared" si="120"/>
        <v/>
      </c>
      <c r="R102" s="123" t="str">
        <f t="shared" si="120"/>
        <v/>
      </c>
      <c r="S102" s="123" t="str">
        <f t="shared" si="120"/>
        <v/>
      </c>
      <c r="T102" s="123" t="str">
        <f t="shared" si="120"/>
        <v/>
      </c>
      <c r="U102" s="123" t="str">
        <f t="shared" si="120"/>
        <v/>
      </c>
      <c r="V102" s="122" t="str">
        <f t="shared" si="120"/>
        <v/>
      </c>
      <c r="W102" s="122" t="str">
        <f t="shared" si="120"/>
        <v/>
      </c>
      <c r="X102" s="122" t="str">
        <f t="shared" si="120"/>
        <v/>
      </c>
      <c r="Y102" s="122" t="str">
        <f t="shared" si="120"/>
        <v/>
      </c>
      <c r="Z102" s="122" t="str">
        <f t="shared" si="120"/>
        <v/>
      </c>
      <c r="AA102" s="122" t="str">
        <f t="shared" si="120"/>
        <v/>
      </c>
      <c r="AB102" s="122" t="str">
        <f t="shared" si="120"/>
        <v/>
      </c>
      <c r="AC102" s="122" t="str">
        <f t="shared" si="120"/>
        <v/>
      </c>
      <c r="AD102" s="122" t="str">
        <f t="shared" si="120"/>
        <v/>
      </c>
      <c r="AE102" s="122" t="str">
        <f t="shared" si="120"/>
        <v/>
      </c>
      <c r="AF102" s="122" t="str">
        <f t="shared" si="120"/>
        <v/>
      </c>
      <c r="AG102" s="122" t="str">
        <f t="shared" si="120"/>
        <v/>
      </c>
      <c r="AH102" s="122" t="str">
        <f t="shared" si="120"/>
        <v/>
      </c>
      <c r="AI102" s="122" t="str">
        <f t="shared" si="120"/>
        <v/>
      </c>
      <c r="AJ102" s="124" t="str">
        <f t="shared" si="120"/>
        <v/>
      </c>
      <c r="AK102" s="128" t="str">
        <f t="shared" si="120"/>
        <v/>
      </c>
      <c r="AL102" s="125" t="str">
        <f t="shared" si="120"/>
        <v/>
      </c>
      <c r="AM102" s="125" t="str">
        <f t="shared" si="120"/>
        <v/>
      </c>
      <c r="AN102" s="125" t="str">
        <f t="shared" si="120"/>
        <v/>
      </c>
      <c r="AO102" s="125" t="str">
        <f t="shared" si="120"/>
        <v/>
      </c>
      <c r="AP102" s="125" t="str">
        <f t="shared" si="120"/>
        <v/>
      </c>
      <c r="AQ102" s="126" t="str">
        <f t="shared" si="120"/>
        <v/>
      </c>
      <c r="AR102" s="127" t="str">
        <f t="shared" si="120"/>
        <v/>
      </c>
    </row>
    <row r="103" spans="1:44" hidden="1" x14ac:dyDescent="0.3">
      <c r="A103" s="42" t="str">
        <f t="shared" ref="A103" si="121">+IF(C103+C104=0,"[ocultar]","")</f>
        <v>[ocultar]</v>
      </c>
      <c r="B103" s="34" t="s">
        <v>162</v>
      </c>
      <c r="C103" s="33">
        <f t="array" ref="C103">SUM(IF($B103=DATOS_[Sexo],
IF($B102=DATOS_[AGRUP. CLAS. PROF.],
IF("Dentro"=DATOS_[Check Periodo Ref.],
1/(COUNTIFS(DATOS_[Sexo],$B103,DATOS_[AGRUP. CLAS. PROF.],$B102,DATOS_[Check Periodo Ref.],"Dentro",DATOS_[id],DATOS_[id]))))))</f>
        <v>0</v>
      </c>
      <c r="D103" s="35">
        <f>COUNTIFS(DATOS_[AGRUP. CLAS. PROF.],$B102,DATOS_[Sexo],$B103,DATOS_[Check Periodo Ref.],"Dentro")</f>
        <v>0</v>
      </c>
      <c r="E103" s="110">
        <f t="array" ref="E103">IFERROR(
MEDIAN(IF(DATOS_[Sexo]=$B103,IF(DATOS_[AGRUP. CLAS. PROF.]=$B102,IF(DATOS_[Check Periodo Ref.]="Dentro",DATOS_[SALARIO BASE Ef],FALSE)))),
0)</f>
        <v>0</v>
      </c>
      <c r="F103" s="111">
        <f t="array" ref="F103">IFERROR(
MEDIAN((IF(DATOS_[[Sexo]:[Sexo]]=$B103,IF(DATOS_[[AGRUP. CLAS. PROF.]:[AGRUP. CLAS. PROF.]]=$B102,IF(DATOS_[[Check Periodo Ref.]:[Check Periodo Ref.]]="Dentro",DATOS_[Conc.Sal.01]))))),
0)</f>
        <v>0</v>
      </c>
      <c r="G103" s="111">
        <f t="array" ref="G103">IFERROR(
MEDIAN((IF(DATOS_[[Sexo]:[Sexo]]=$B103,IF(DATOS_[[AGRUP. CLAS. PROF.]:[AGRUP. CLAS. PROF.]]=$B102,IF(DATOS_[[Check Periodo Ref.]:[Check Periodo Ref.]]="Dentro",DATOS_[Conc.Sal.02]))))),
0)</f>
        <v>0</v>
      </c>
      <c r="H103" s="111">
        <f t="array" ref="H103">IFERROR(
MEDIAN((IF(DATOS_[[Sexo]:[Sexo]]=$B103,IF(DATOS_[[AGRUP. CLAS. PROF.]:[AGRUP. CLAS. PROF.]]=$B102,IF(DATOS_[[Check Periodo Ref.]:[Check Periodo Ref.]]="Dentro",DATOS_[Conc.Sal.03]))))),
0)</f>
        <v>0</v>
      </c>
      <c r="I103" s="111">
        <f t="array" ref="I103">IFERROR(
MEDIAN((IF(DATOS_[[Sexo]:[Sexo]]=$B103,IF(DATOS_[[AGRUP. CLAS. PROF.]:[AGRUP. CLAS. PROF.]]=$B102,IF(DATOS_[[Check Periodo Ref.]:[Check Periodo Ref.]]="Dentro",DATOS_[Conc.Sal.04]))))),
0)</f>
        <v>0</v>
      </c>
      <c r="J103" s="111">
        <f t="array" ref="J103">IFERROR(
MEDIAN((IF(DATOS_[[Sexo]:[Sexo]]=$B103,IF(DATOS_[[AGRUP. CLAS. PROF.]:[AGRUP. CLAS. PROF.]]=$B102,IF(DATOS_[[Check Periodo Ref.]:[Check Periodo Ref.]]="Dentro",DATOS_[Conc.Sal.05]))))),
0)</f>
        <v>0</v>
      </c>
      <c r="K103" s="111">
        <f t="array" ref="K103">IFERROR(
MEDIAN((IF(DATOS_[[Sexo]:[Sexo]]=$B103,IF(DATOS_[[AGRUP. CLAS. PROF.]:[AGRUP. CLAS. PROF.]]=$B102,IF(DATOS_[[Check Periodo Ref.]:[Check Periodo Ref.]]="Dentro",DATOS_[Conc.Sal.06]))))),
0)</f>
        <v>0</v>
      </c>
      <c r="L103" s="111">
        <f t="array" ref="L103">IFERROR(
MEDIAN((IF(DATOS_[[Sexo]:[Sexo]]=$B103,IF(DATOS_[[AGRUP. CLAS. PROF.]:[AGRUP. CLAS. PROF.]]=$B102,IF(DATOS_[[Check Periodo Ref.]:[Check Periodo Ref.]]="Dentro",DATOS_[Conc.Sal.07]))))),
0)</f>
        <v>0</v>
      </c>
      <c r="M103" s="111">
        <f t="array" ref="M103">IFERROR(
MEDIAN((IF(DATOS_[[Sexo]:[Sexo]]=$B103,IF(DATOS_[[AGRUP. CLAS. PROF.]:[AGRUP. CLAS. PROF.]]=$B102,IF(DATOS_[[Check Periodo Ref.]:[Check Periodo Ref.]]="Dentro",DATOS_[Conc.Sal.08]))))),
0)</f>
        <v>0</v>
      </c>
      <c r="N103" s="111">
        <f t="array" ref="N103">IFERROR(
MEDIAN((IF(DATOS_[[Sexo]:[Sexo]]=$B103,IF(DATOS_[[AGRUP. CLAS. PROF.]:[AGRUP. CLAS. PROF.]]=$B102,IF(DATOS_[[Check Periodo Ref.]:[Check Periodo Ref.]]="Dentro",DATOS_[Conc.Sal.09]))))),
0)</f>
        <v>0</v>
      </c>
      <c r="O103" s="111">
        <f t="array" ref="O103">IFERROR(
MEDIAN((IF(DATOS_[[Sexo]:[Sexo]]=$B103,IF(DATOS_[[AGRUP. CLAS. PROF.]:[AGRUP. CLAS. PROF.]]=$B102,IF(DATOS_[[Check Periodo Ref.]:[Check Periodo Ref.]]="Dentro",DATOS_[Conc.Sal.10]))))),
0)</f>
        <v>0</v>
      </c>
      <c r="P103" s="111">
        <f t="array" ref="P103">IFERROR(
MEDIAN((IF(DATOS_[[Sexo]:[Sexo]]=$B103,IF(DATOS_[[AGRUP. CLAS. PROF.]:[AGRUP. CLAS. PROF.]]=$B102,IF(DATOS_[[Check Periodo Ref.]:[Check Periodo Ref.]]="Dentro",DATOS_[Conc.Sal.11]))))),
0)</f>
        <v>0</v>
      </c>
      <c r="Q103" s="111">
        <f t="array" ref="Q103">IFERROR(
MEDIAN((IF(DATOS_[[Sexo]:[Sexo]]=$B103,IF(DATOS_[[AGRUP. CLAS. PROF.]:[AGRUP. CLAS. PROF.]]=$B102,IF(DATOS_[[Check Periodo Ref.]:[Check Periodo Ref.]]="Dentro",DATOS_[Conc.Sal.12]))))),
0)</f>
        <v>0</v>
      </c>
      <c r="R103" s="111">
        <f t="array" ref="R103">IFERROR(
MEDIAN((IF(DATOS_[[Sexo]:[Sexo]]=$B103,IF(DATOS_[[AGRUP. CLAS. PROF.]:[AGRUP. CLAS. PROF.]]=$B102,IF(DATOS_[[Check Periodo Ref.]:[Check Periodo Ref.]]="Dentro",DATOS_[Conc.Sal.13]))))),
0)</f>
        <v>0</v>
      </c>
      <c r="S103" s="111">
        <f t="array" ref="S103">IFERROR(
MEDIAN((IF(DATOS_[[Sexo]:[Sexo]]=$B103,IF(DATOS_[[AGRUP. CLAS. PROF.]:[AGRUP. CLAS. PROF.]]=$B102,IF(DATOS_[[Check Periodo Ref.]:[Check Periodo Ref.]]="Dentro",DATOS_[Conc.Sal.14]))))),
0)</f>
        <v>0</v>
      </c>
      <c r="T103" s="111">
        <f t="array" ref="T103">IFERROR(
MEDIAN((IF(DATOS_[[Sexo]:[Sexo]]=$B103,IF(DATOS_[[AGRUP. CLAS. PROF.]:[AGRUP. CLAS. PROF.]]=$B102,IF(DATOS_[[Check Periodo Ref.]:[Check Periodo Ref.]]="Dentro",DATOS_[Conc.Sal.15]))))),
0)</f>
        <v>0</v>
      </c>
      <c r="U103" s="111">
        <f t="array" ref="U103">IFERROR(
MEDIAN((IF(DATOS_[[Sexo]:[Sexo]]=$B103,IF(DATOS_[[AGRUP. CLAS. PROF.]:[AGRUP. CLAS. PROF.]]=$B102,IF(DATOS_[[Check Periodo Ref.]:[Check Periodo Ref.]]="Dentro",DATOS_[Conc.Sal.16]))))),
0)</f>
        <v>0</v>
      </c>
      <c r="V103" s="111">
        <f t="array" ref="V103">IFERROR(
MEDIAN((IF(DATOS_[[Sexo]:[Sexo]]=$B103,IF(DATOS_[[AGRUP. CLAS. PROF.]:[AGRUP. CLAS. PROF.]]=$B102,IF(DATOS_[[Check Periodo Ref.]:[Check Periodo Ref.]]="Dentro",DATOS_[Conc.Sal.17]))))),
0)</f>
        <v>0</v>
      </c>
      <c r="W103" s="111">
        <f t="array" ref="W103">IFERROR(
MEDIAN((IF(DATOS_[[Sexo]:[Sexo]]=$B103,IF(DATOS_[[AGRUP. CLAS. PROF.]:[AGRUP. CLAS. PROF.]]=$B102,IF(DATOS_[[Check Periodo Ref.]:[Check Periodo Ref.]]="Dentro",DATOS_[Conc.Sal.18]))))),
0)</f>
        <v>0</v>
      </c>
      <c r="X103" s="111">
        <f t="array" ref="X103">IFERROR(
MEDIAN((IF(DATOS_[[Sexo]:[Sexo]]=$B103,IF(DATOS_[[AGRUP. CLAS. PROF.]:[AGRUP. CLAS. PROF.]]=$B102,IF(DATOS_[[Check Periodo Ref.]:[Check Periodo Ref.]]="Dentro",DATOS_[Conc.Sal.19]))))),
0)</f>
        <v>0</v>
      </c>
      <c r="Y103" s="111">
        <f t="array" ref="Y103">IFERROR(
MEDIAN((IF(DATOS_[[Sexo]:[Sexo]]=$B103,IF(DATOS_[[AGRUP. CLAS. PROF.]:[AGRUP. CLAS. PROF.]]=$B102,IF(DATOS_[[Check Periodo Ref.]:[Check Periodo Ref.]]="Dentro",DATOS_[Conc.Sal.20]))))),
0)</f>
        <v>0</v>
      </c>
      <c r="Z103" s="111">
        <f t="array" ref="Z103">IFERROR(
MEDIAN((IF(DATOS_[[Sexo]:[Sexo]]=$B103,IF(DATOS_[[AGRUP. CLAS. PROF.]:[AGRUP. CLAS. PROF.]]=$B102,IF(DATOS_[[Check Periodo Ref.]:[Check Periodo Ref.]]="Dentro",DATOS_[Conc.Sal.21]))))),
0)</f>
        <v>0</v>
      </c>
      <c r="AA103" s="111">
        <f t="array" ref="AA103">IFERROR(
MEDIAN((IF(DATOS_[[Sexo]:[Sexo]]=$B103,IF(DATOS_[[AGRUP. CLAS. PROF.]:[AGRUP. CLAS. PROF.]]=$B102,IF(DATOS_[[Check Periodo Ref.]:[Check Periodo Ref.]]="Dentro",DATOS_[Conc.Sal.22]))))),
0)</f>
        <v>0</v>
      </c>
      <c r="AB103" s="111">
        <f t="array" ref="AB103">IFERROR(
MEDIAN((IF(DATOS_[[Sexo]:[Sexo]]=$B103,IF(DATOS_[[AGRUP. CLAS. PROF.]:[AGRUP. CLAS. PROF.]]=$B102,IF(DATOS_[[Check Periodo Ref.]:[Check Periodo Ref.]]="Dentro",DATOS_[Conc.Sal.23]))))),
0)</f>
        <v>0</v>
      </c>
      <c r="AC103" s="111">
        <f t="array" ref="AC103">IFERROR(
MEDIAN((IF(DATOS_[[Sexo]:[Sexo]]=$B103,IF(DATOS_[[AGRUP. CLAS. PROF.]:[AGRUP. CLAS. PROF.]]=$B102,IF(DATOS_[[Check Periodo Ref.]:[Check Periodo Ref.]]="Dentro",DATOS_[Conc.Sal.24]))))),
0)</f>
        <v>0</v>
      </c>
      <c r="AD103" s="111">
        <f t="array" ref="AD103">IFERROR(
MEDIAN((IF(DATOS_[[Sexo]:[Sexo]]=$B103,IF(DATOS_[[AGRUP. CLAS. PROF.]:[AGRUP. CLAS. PROF.]]=$B102,IF(DATOS_[[Check Periodo Ref.]:[Check Periodo Ref.]]="Dentro",DATOS_[Conc.Sal.25]))))),
0)</f>
        <v>0</v>
      </c>
      <c r="AE103" s="111">
        <f t="array" ref="AE103">IFERROR(
MEDIAN((IF(DATOS_[[Sexo]:[Sexo]]=$B103,IF(DATOS_[[AGRUP. CLAS. PROF.]:[AGRUP. CLAS. PROF.]]=$B102,IF(DATOS_[[Check Periodo Ref.]:[Check Periodo Ref.]]="Dentro",DATOS_[Conc.Sal.26]))))),
0)</f>
        <v>0</v>
      </c>
      <c r="AF103" s="111">
        <f t="array" ref="AF103">IFERROR(
MEDIAN((IF(DATOS_[[Sexo]:[Sexo]]=$B103,IF(DATOS_[[AGRUP. CLAS. PROF.]:[AGRUP. CLAS. PROF.]]=$B102,IF(DATOS_[[Check Periodo Ref.]:[Check Periodo Ref.]]="Dentro",DATOS_[Conc.Sal.27]))))),
0)</f>
        <v>0</v>
      </c>
      <c r="AG103" s="111">
        <f t="array" ref="AG103">IFERROR(
MEDIAN((IF(DATOS_[[Sexo]:[Sexo]]=$B103,IF(DATOS_[[AGRUP. CLAS. PROF.]:[AGRUP. CLAS. PROF.]]=$B102,IF(DATOS_[[Check Periodo Ref.]:[Check Periodo Ref.]]="Dentro",DATOS_[Conc.Sal.28]))))),
0)</f>
        <v>0</v>
      </c>
      <c r="AH103" s="111">
        <f t="array" ref="AH103">IFERROR(
MEDIAN((IF(DATOS_[[Sexo]:[Sexo]]=$B103,IF(DATOS_[[AGRUP. CLAS. PROF.]:[AGRUP. CLAS. PROF.]]=$B102,IF(DATOS_[[Check Periodo Ref.]:[Check Periodo Ref.]]="Dentro",DATOS_[Conc.Sal.29]))))),
0)</f>
        <v>0</v>
      </c>
      <c r="AI103" s="111">
        <f t="array" ref="AI103">IFERROR(
MEDIAN((IF(DATOS_[[Sexo]:[Sexo]]=$B103,IF(DATOS_[[AGRUP. CLAS. PROF.]:[AGRUP. CLAS. PROF.]]=$B102,IF(DATOS_[[Check Periodo Ref.]:[Check Periodo Ref.]]="Dentro",DATOS_[Conc.Sal.30]))))),
0)</f>
        <v>0</v>
      </c>
      <c r="AJ103" s="112">
        <f t="array" ref="AJ103">IFERROR(
MEDIAN(IF(DATOS_[Sexo]=$B103,IF(DATOS_[AGRUP. CLAS. PROF.]=$B102,IF(DATOS_[Check Periodo Ref.]="Dentro",DATOS_[Tot COMPL.SAL Ef],FALSE)))),
0)</f>
        <v>0</v>
      </c>
      <c r="AK103" s="113">
        <f t="array" ref="AK103">IFERROR(
MEDIAN(IF(DATOS_[Sexo]=$B103,IF(DATOS_[AGRUP. CLAS. PROF.]=$B102,IF(DATOS_[Check Periodo Ref.]="Dentro",DATOS_[TOTAL SALARIO Ef],FALSE)))),
0)</f>
        <v>0</v>
      </c>
      <c r="AL103" s="114">
        <f t="array" ref="AL103">IFERROR(
MEDIAN((IF(DATOS_[[Sexo]:[Sexo]]=$B103,IF(DATOS_[[AGRUP. CLAS. PROF.]:[AGRUP. CLAS. PROF.]]=$B102,IF(DATOS_[[Check Periodo Ref.]:[Check Periodo Ref.]]="Dentro",DATOS_[C.Extra.01]))))),
0)</f>
        <v>0</v>
      </c>
      <c r="AM103" s="114">
        <f t="array" ref="AM103">IFERROR(
MEDIAN((IF(DATOS_[[Sexo]:[Sexo]]=$B103,IF(DATOS_[[AGRUP. CLAS. PROF.]:[AGRUP. CLAS. PROF.]]=$B102,IF(DATOS_[[Check Periodo Ref.]:[Check Periodo Ref.]]="Dentro",DATOS_[C.Extra.02]))))),
0)</f>
        <v>0</v>
      </c>
      <c r="AN103" s="114">
        <f t="array" ref="AN103">IFERROR(
MEDIAN((IF(DATOS_[[Sexo]:[Sexo]]=$B103,IF(DATOS_[[AGRUP. CLAS. PROF.]:[AGRUP. CLAS. PROF.]]=$B102,IF(DATOS_[[Check Periodo Ref.]:[Check Periodo Ref.]]="Dentro",DATOS_[C.Extra.03]))))),
0)</f>
        <v>0</v>
      </c>
      <c r="AO103" s="114">
        <f t="array" ref="AO103">IFERROR(
MEDIAN((IF(DATOS_[[Sexo]:[Sexo]]=$B103,IF(DATOS_[[AGRUP. CLAS. PROF.]:[AGRUP. CLAS. PROF.]]=$B102,IF(DATOS_[[Check Periodo Ref.]:[Check Periodo Ref.]]="Dentro",DATOS_[C.Extra.04]))))),
0)</f>
        <v>0</v>
      </c>
      <c r="AP103" s="114">
        <f t="array" ref="AP103">IFERROR(
MEDIAN((IF(DATOS_[[Sexo]:[Sexo]]=$B103,IF(DATOS_[[AGRUP. CLAS. PROF.]:[AGRUP. CLAS. PROF.]]=$B102,IF(DATOS_[[Check Periodo Ref.]:[Check Periodo Ref.]]="Dentro",DATOS_[C.Extra.05]))))),
0)</f>
        <v>0</v>
      </c>
      <c r="AQ103" s="115">
        <f t="array" ref="AQ103">IFERROR(
MEDIAN(IF(DATOS_[Sexo]=$B103,IF(DATOS_[AGRUP. CLAS. PROF.]=$B102,IF(DATOS_[Check Periodo Ref.]="Dentro",DATOS_[Tot Extrasalarial Ef],FALSE)))),
0)</f>
        <v>0</v>
      </c>
      <c r="AR103" s="116">
        <f t="array" ref="AR103">IFERROR(
MEDIAN(IF(DATOS_[Sexo]=$B103,IF(DATOS_[AGRUP. CLAS. PROF.]=$B102,IF(DATOS_[Check Periodo Ref.]="Dentro",DATOS_[TOTAL Retrib Ef],FALSE)))),
0)</f>
        <v>0</v>
      </c>
    </row>
    <row r="104" spans="1:44" hidden="1" x14ac:dyDescent="0.3">
      <c r="A104" s="42" t="str">
        <f t="shared" ref="A104" si="122">+A103</f>
        <v>[ocultar]</v>
      </c>
      <c r="B104" s="34" t="s">
        <v>163</v>
      </c>
      <c r="C104" s="33">
        <f t="array" ref="C104">SUM(IF($B104=DATOS_[Sexo],
IF($B102=DATOS_[AGRUP. CLAS. PROF.],
IF("Dentro"=DATOS_[Check Periodo Ref.],
1/(COUNTIFS(DATOS_[Sexo],$B104,DATOS_[AGRUP. CLAS. PROF.],$B102,DATOS_[Check Periodo Ref.],"Dentro",DATOS_[id],DATOS_[id]))))))</f>
        <v>0</v>
      </c>
      <c r="D104" s="35">
        <f>COUNTIFS(DATOS_[AGRUP. CLAS. PROF.],$B102,DATOS_[Sexo],$B104,DATOS_[Check Periodo Ref.],"Dentro")</f>
        <v>0</v>
      </c>
      <c r="E104" s="110">
        <f t="array" ref="E104">IFERROR(
MEDIAN(IF(DATOS_[Sexo]=$B104,IF(DATOS_[AGRUP. CLAS. PROF.]=$B102,IF(DATOS_[Check Periodo Ref.]="Dentro",DATOS_[SALARIO BASE Ef],FALSE)))),
0)</f>
        <v>0</v>
      </c>
      <c r="F104" s="111">
        <f t="array" ref="F104">IFERROR(
MEDIAN((IF(DATOS_[[Sexo]:[Sexo]]=$B104,IF(DATOS_[[AGRUP. CLAS. PROF.]:[AGRUP. CLAS. PROF.]]=$B102,IF(DATOS_[[Check Periodo Ref.]:[Check Periodo Ref.]]="Dentro",DATOS_[Conc.Sal.01]))))),
0)</f>
        <v>0</v>
      </c>
      <c r="G104" s="111">
        <f t="array" ref="G104">IFERROR(
MEDIAN((IF(DATOS_[[Sexo]:[Sexo]]=$B104,IF(DATOS_[[AGRUP. CLAS. PROF.]:[AGRUP. CLAS. PROF.]]=$B102,IF(DATOS_[[Check Periodo Ref.]:[Check Periodo Ref.]]="Dentro",DATOS_[Conc.Sal.02]))))),
0)</f>
        <v>0</v>
      </c>
      <c r="H104" s="111">
        <f t="array" ref="H104">IFERROR(
MEDIAN((IF(DATOS_[[Sexo]:[Sexo]]=$B104,IF(DATOS_[[AGRUP. CLAS. PROF.]:[AGRUP. CLAS. PROF.]]=$B102,IF(DATOS_[[Check Periodo Ref.]:[Check Periodo Ref.]]="Dentro",DATOS_[Conc.Sal.03]))))),
0)</f>
        <v>0</v>
      </c>
      <c r="I104" s="111">
        <f t="array" ref="I104">IFERROR(
MEDIAN((IF(DATOS_[[Sexo]:[Sexo]]=$B104,IF(DATOS_[[AGRUP. CLAS. PROF.]:[AGRUP. CLAS. PROF.]]=$B102,IF(DATOS_[[Check Periodo Ref.]:[Check Periodo Ref.]]="Dentro",DATOS_[Conc.Sal.04]))))),
0)</f>
        <v>0</v>
      </c>
      <c r="J104" s="111">
        <f t="array" ref="J104">IFERROR(
MEDIAN((IF(DATOS_[[Sexo]:[Sexo]]=$B104,IF(DATOS_[[AGRUP. CLAS. PROF.]:[AGRUP. CLAS. PROF.]]=$B102,IF(DATOS_[[Check Periodo Ref.]:[Check Periodo Ref.]]="Dentro",DATOS_[Conc.Sal.05]))))),
0)</f>
        <v>0</v>
      </c>
      <c r="K104" s="111">
        <f t="array" ref="K104">IFERROR(
MEDIAN((IF(DATOS_[[Sexo]:[Sexo]]=$B104,IF(DATOS_[[AGRUP. CLAS. PROF.]:[AGRUP. CLAS. PROF.]]=$B102,IF(DATOS_[[Check Periodo Ref.]:[Check Periodo Ref.]]="Dentro",DATOS_[Conc.Sal.06]))))),
0)</f>
        <v>0</v>
      </c>
      <c r="L104" s="111">
        <f t="array" ref="L104">IFERROR(
MEDIAN((IF(DATOS_[[Sexo]:[Sexo]]=$B104,IF(DATOS_[[AGRUP. CLAS. PROF.]:[AGRUP. CLAS. PROF.]]=$B102,IF(DATOS_[[Check Periodo Ref.]:[Check Periodo Ref.]]="Dentro",DATOS_[Conc.Sal.07]))))),
0)</f>
        <v>0</v>
      </c>
      <c r="M104" s="111">
        <f t="array" ref="M104">IFERROR(
MEDIAN((IF(DATOS_[[Sexo]:[Sexo]]=$B104,IF(DATOS_[[AGRUP. CLAS. PROF.]:[AGRUP. CLAS. PROF.]]=$B102,IF(DATOS_[[Check Periodo Ref.]:[Check Periodo Ref.]]="Dentro",DATOS_[Conc.Sal.08]))))),
0)</f>
        <v>0</v>
      </c>
      <c r="N104" s="111">
        <f t="array" ref="N104">IFERROR(
MEDIAN((IF(DATOS_[[Sexo]:[Sexo]]=$B104,IF(DATOS_[[AGRUP. CLAS. PROF.]:[AGRUP. CLAS. PROF.]]=$B102,IF(DATOS_[[Check Periodo Ref.]:[Check Periodo Ref.]]="Dentro",DATOS_[Conc.Sal.09]))))),
0)</f>
        <v>0</v>
      </c>
      <c r="O104" s="111">
        <f t="array" ref="O104">IFERROR(
MEDIAN((IF(DATOS_[[Sexo]:[Sexo]]=$B104,IF(DATOS_[[AGRUP. CLAS. PROF.]:[AGRUP. CLAS. PROF.]]=$B102,IF(DATOS_[[Check Periodo Ref.]:[Check Periodo Ref.]]="Dentro",DATOS_[Conc.Sal.10]))))),
0)</f>
        <v>0</v>
      </c>
      <c r="P104" s="111">
        <f t="array" ref="P104">IFERROR(
MEDIAN((IF(DATOS_[[Sexo]:[Sexo]]=$B104,IF(DATOS_[[AGRUP. CLAS. PROF.]:[AGRUP. CLAS. PROF.]]=$B102,IF(DATOS_[[Check Periodo Ref.]:[Check Periodo Ref.]]="Dentro",DATOS_[Conc.Sal.11]))))),
0)</f>
        <v>0</v>
      </c>
      <c r="Q104" s="111">
        <f t="array" ref="Q104">IFERROR(
MEDIAN((IF(DATOS_[[Sexo]:[Sexo]]=$B104,IF(DATOS_[[AGRUP. CLAS. PROF.]:[AGRUP. CLAS. PROF.]]=$B102,IF(DATOS_[[Check Periodo Ref.]:[Check Periodo Ref.]]="Dentro",DATOS_[Conc.Sal.12]))))),
0)</f>
        <v>0</v>
      </c>
      <c r="R104" s="111">
        <f t="array" ref="R104">IFERROR(
MEDIAN((IF(DATOS_[[Sexo]:[Sexo]]=$B104,IF(DATOS_[[AGRUP. CLAS. PROF.]:[AGRUP. CLAS. PROF.]]=$B102,IF(DATOS_[[Check Periodo Ref.]:[Check Periodo Ref.]]="Dentro",DATOS_[Conc.Sal.13]))))),
0)</f>
        <v>0</v>
      </c>
      <c r="S104" s="111">
        <f t="array" ref="S104">IFERROR(
MEDIAN((IF(DATOS_[[Sexo]:[Sexo]]=$B104,IF(DATOS_[[AGRUP. CLAS. PROF.]:[AGRUP. CLAS. PROF.]]=$B102,IF(DATOS_[[Check Periodo Ref.]:[Check Periodo Ref.]]="Dentro",DATOS_[Conc.Sal.14]))))),
0)</f>
        <v>0</v>
      </c>
      <c r="T104" s="111">
        <f t="array" ref="T104">IFERROR(
MEDIAN((IF(DATOS_[[Sexo]:[Sexo]]=$B104,IF(DATOS_[[AGRUP. CLAS. PROF.]:[AGRUP. CLAS. PROF.]]=$B102,IF(DATOS_[[Check Periodo Ref.]:[Check Periodo Ref.]]="Dentro",DATOS_[Conc.Sal.15]))))),
0)</f>
        <v>0</v>
      </c>
      <c r="U104" s="111">
        <f t="array" ref="U104">IFERROR(
MEDIAN((IF(DATOS_[[Sexo]:[Sexo]]=$B104,IF(DATOS_[[AGRUP. CLAS. PROF.]:[AGRUP. CLAS. PROF.]]=$B102,IF(DATOS_[[Check Periodo Ref.]:[Check Periodo Ref.]]="Dentro",DATOS_[Conc.Sal.16]))))),
0)</f>
        <v>0</v>
      </c>
      <c r="V104" s="111">
        <f t="array" ref="V104">IFERROR(
MEDIAN((IF(DATOS_[[Sexo]:[Sexo]]=$B104,IF(DATOS_[[AGRUP. CLAS. PROF.]:[AGRUP. CLAS. PROF.]]=$B102,IF(DATOS_[[Check Periodo Ref.]:[Check Periodo Ref.]]="Dentro",DATOS_[Conc.Sal.17]))))),
0)</f>
        <v>0</v>
      </c>
      <c r="W104" s="111">
        <f t="array" ref="W104">IFERROR(
MEDIAN((IF(DATOS_[[Sexo]:[Sexo]]=$B104,IF(DATOS_[[AGRUP. CLAS. PROF.]:[AGRUP. CLAS. PROF.]]=$B102,IF(DATOS_[[Check Periodo Ref.]:[Check Periodo Ref.]]="Dentro",DATOS_[Conc.Sal.18]))))),
0)</f>
        <v>0</v>
      </c>
      <c r="X104" s="111">
        <f t="array" ref="X104">IFERROR(
MEDIAN((IF(DATOS_[[Sexo]:[Sexo]]=$B104,IF(DATOS_[[AGRUP. CLAS. PROF.]:[AGRUP. CLAS. PROF.]]=$B102,IF(DATOS_[[Check Periodo Ref.]:[Check Periodo Ref.]]="Dentro",DATOS_[Conc.Sal.19]))))),
0)</f>
        <v>0</v>
      </c>
      <c r="Y104" s="111">
        <f t="array" ref="Y104">IFERROR(
MEDIAN((IF(DATOS_[[Sexo]:[Sexo]]=$B104,IF(DATOS_[[AGRUP. CLAS. PROF.]:[AGRUP. CLAS. PROF.]]=$B102,IF(DATOS_[[Check Periodo Ref.]:[Check Periodo Ref.]]="Dentro",DATOS_[Conc.Sal.20]))))),
0)</f>
        <v>0</v>
      </c>
      <c r="Z104" s="111">
        <f t="array" ref="Z104">IFERROR(
MEDIAN((IF(DATOS_[[Sexo]:[Sexo]]=$B104,IF(DATOS_[[AGRUP. CLAS. PROF.]:[AGRUP. CLAS. PROF.]]=$B102,IF(DATOS_[[Check Periodo Ref.]:[Check Periodo Ref.]]="Dentro",DATOS_[Conc.Sal.21]))))),
0)</f>
        <v>0</v>
      </c>
      <c r="AA104" s="111">
        <f t="array" ref="AA104">IFERROR(
MEDIAN((IF(DATOS_[[Sexo]:[Sexo]]=$B104,IF(DATOS_[[AGRUP. CLAS. PROF.]:[AGRUP. CLAS. PROF.]]=$B102,IF(DATOS_[[Check Periodo Ref.]:[Check Periodo Ref.]]="Dentro",DATOS_[Conc.Sal.22]))))),
0)</f>
        <v>0</v>
      </c>
      <c r="AB104" s="111">
        <f t="array" ref="AB104">IFERROR(
MEDIAN((IF(DATOS_[[Sexo]:[Sexo]]=$B104,IF(DATOS_[[AGRUP. CLAS. PROF.]:[AGRUP. CLAS. PROF.]]=$B102,IF(DATOS_[[Check Periodo Ref.]:[Check Periodo Ref.]]="Dentro",DATOS_[Conc.Sal.23]))))),
0)</f>
        <v>0</v>
      </c>
      <c r="AC104" s="111">
        <f t="array" ref="AC104">IFERROR(
MEDIAN((IF(DATOS_[[Sexo]:[Sexo]]=$B104,IF(DATOS_[[AGRUP. CLAS. PROF.]:[AGRUP. CLAS. PROF.]]=$B102,IF(DATOS_[[Check Periodo Ref.]:[Check Periodo Ref.]]="Dentro",DATOS_[Conc.Sal.24]))))),
0)</f>
        <v>0</v>
      </c>
      <c r="AD104" s="111">
        <f t="array" ref="AD104">IFERROR(
MEDIAN((IF(DATOS_[[Sexo]:[Sexo]]=$B104,IF(DATOS_[[AGRUP. CLAS. PROF.]:[AGRUP. CLAS. PROF.]]=$B102,IF(DATOS_[[Check Periodo Ref.]:[Check Periodo Ref.]]="Dentro",DATOS_[Conc.Sal.25]))))),
0)</f>
        <v>0</v>
      </c>
      <c r="AE104" s="111">
        <f t="array" ref="AE104">IFERROR(
MEDIAN((IF(DATOS_[[Sexo]:[Sexo]]=$B104,IF(DATOS_[[AGRUP. CLAS. PROF.]:[AGRUP. CLAS. PROF.]]=$B102,IF(DATOS_[[Check Periodo Ref.]:[Check Periodo Ref.]]="Dentro",DATOS_[Conc.Sal.26]))))),
0)</f>
        <v>0</v>
      </c>
      <c r="AF104" s="111">
        <f t="array" ref="AF104">IFERROR(
MEDIAN((IF(DATOS_[[Sexo]:[Sexo]]=$B104,IF(DATOS_[[AGRUP. CLAS. PROF.]:[AGRUP. CLAS. PROF.]]=$B102,IF(DATOS_[[Check Periodo Ref.]:[Check Periodo Ref.]]="Dentro",DATOS_[Conc.Sal.27]))))),
0)</f>
        <v>0</v>
      </c>
      <c r="AG104" s="111">
        <f t="array" ref="AG104">IFERROR(
MEDIAN((IF(DATOS_[[Sexo]:[Sexo]]=$B104,IF(DATOS_[[AGRUP. CLAS. PROF.]:[AGRUP. CLAS. PROF.]]=$B102,IF(DATOS_[[Check Periodo Ref.]:[Check Periodo Ref.]]="Dentro",DATOS_[Conc.Sal.28]))))),
0)</f>
        <v>0</v>
      </c>
      <c r="AH104" s="111">
        <f t="array" ref="AH104">IFERROR(
MEDIAN((IF(DATOS_[[Sexo]:[Sexo]]=$B104,IF(DATOS_[[AGRUP. CLAS. PROF.]:[AGRUP. CLAS. PROF.]]=$B102,IF(DATOS_[[Check Periodo Ref.]:[Check Periodo Ref.]]="Dentro",DATOS_[Conc.Sal.29]))))),
0)</f>
        <v>0</v>
      </c>
      <c r="AI104" s="111">
        <f t="array" ref="AI104">IFERROR(
MEDIAN((IF(DATOS_[[Sexo]:[Sexo]]=$B104,IF(DATOS_[[AGRUP. CLAS. PROF.]:[AGRUP. CLAS. PROF.]]=$B102,IF(DATOS_[[Check Periodo Ref.]:[Check Periodo Ref.]]="Dentro",DATOS_[Conc.Sal.30]))))),
0)</f>
        <v>0</v>
      </c>
      <c r="AJ104" s="112">
        <f t="array" ref="AJ104">IFERROR(
MEDIAN(IF(DATOS_[Sexo]=$B104,IF(DATOS_[AGRUP. CLAS. PROF.]=$B102,IF(DATOS_[Check Periodo Ref.]="Dentro",DATOS_[Tot COMPL.SAL Ef],FALSE)))),
0)</f>
        <v>0</v>
      </c>
      <c r="AK104" s="113">
        <f t="array" ref="AK104">IFERROR(
MEDIAN(IF(DATOS_[Sexo]=$B104,IF(DATOS_[AGRUP. CLAS. PROF.]=$B102,IF(DATOS_[Check Periodo Ref.]="Dentro",DATOS_[TOTAL SALARIO Ef],FALSE)))),
0)</f>
        <v>0</v>
      </c>
      <c r="AL104" s="114">
        <f t="array" ref="AL104">IFERROR(
MEDIAN((IF(DATOS_[[Sexo]:[Sexo]]=$B104,IF(DATOS_[[AGRUP. CLAS. PROF.]:[AGRUP. CLAS. PROF.]]=$B102,IF(DATOS_[[Check Periodo Ref.]:[Check Periodo Ref.]]="Dentro",DATOS_[C.Extra.01]))))),
0)</f>
        <v>0</v>
      </c>
      <c r="AM104" s="114">
        <f t="array" ref="AM104">IFERROR(
MEDIAN((IF(DATOS_[[Sexo]:[Sexo]]=$B104,IF(DATOS_[[AGRUP. CLAS. PROF.]:[AGRUP. CLAS. PROF.]]=$B102,IF(DATOS_[[Check Periodo Ref.]:[Check Periodo Ref.]]="Dentro",DATOS_[C.Extra.02]))))),
0)</f>
        <v>0</v>
      </c>
      <c r="AN104" s="114">
        <f t="array" ref="AN104">IFERROR(
MEDIAN((IF(DATOS_[[Sexo]:[Sexo]]=$B104,IF(DATOS_[[AGRUP. CLAS. PROF.]:[AGRUP. CLAS. PROF.]]=$B102,IF(DATOS_[[Check Periodo Ref.]:[Check Periodo Ref.]]="Dentro",DATOS_[C.Extra.03]))))),
0)</f>
        <v>0</v>
      </c>
      <c r="AO104" s="114">
        <f t="array" ref="AO104">IFERROR(
MEDIAN((IF(DATOS_[[Sexo]:[Sexo]]=$B104,IF(DATOS_[[AGRUP. CLAS. PROF.]:[AGRUP. CLAS. PROF.]]=$B102,IF(DATOS_[[Check Periodo Ref.]:[Check Periodo Ref.]]="Dentro",DATOS_[C.Extra.04]))))),
0)</f>
        <v>0</v>
      </c>
      <c r="AP104" s="114">
        <f t="array" ref="AP104">IFERROR(
MEDIAN((IF(DATOS_[[Sexo]:[Sexo]]=$B104,IF(DATOS_[[AGRUP. CLAS. PROF.]:[AGRUP. CLAS. PROF.]]=$B102,IF(DATOS_[[Check Periodo Ref.]:[Check Periodo Ref.]]="Dentro",DATOS_[C.Extra.05]))))),
0)</f>
        <v>0</v>
      </c>
      <c r="AQ104" s="115">
        <f t="array" ref="AQ104">IFERROR(
MEDIAN(IF(DATOS_[Sexo]=$B104,IF(DATOS_[AGRUP. CLAS. PROF.]=$B102,IF(DATOS_[Check Periodo Ref.]="Dentro",DATOS_[Tot Extrasalarial Ef],FALSE)))),
0)</f>
        <v>0</v>
      </c>
      <c r="AR104" s="116">
        <f t="array" ref="AR104">IFERROR(
MEDIAN(IF(DATOS_[Sexo]=$B104,IF(DATOS_[AGRUP. CLAS. PROF.]=$B102,IF(DATOS_[Check Periodo Ref.]="Dentro",DATOS_[TOTAL Retrib Ef],FALSE)))),
0)</f>
        <v>0</v>
      </c>
    </row>
  </sheetData>
  <sheetProtection algorithmName="SHA-512" hashValue="qdSxW0SbGBGvC9UUBHA2VPyGO3/sz5JzZfC6mR/day5GpGdxFE6PpntxrLdJZVNNN6DhLNckxYbN2pvJ12UwpQ==" saltValue="HxEoJYvRpedJ8QyFCNZCcQ=="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pageSetUpPr fitToPage="1"/>
  </sheetPr>
  <dimension ref="A1:AY104"/>
  <sheetViews>
    <sheetView showGridLines="0" topLeftCell="M1" zoomScaleNormal="100" workbookViewId="0">
      <selection activeCell="AW1" sqref="AW1:AW11"/>
    </sheetView>
  </sheetViews>
  <sheetFormatPr baseColWidth="10" defaultColWidth="7.28515625" defaultRowHeight="16.5" outlineLevelCol="1" x14ac:dyDescent="0.3"/>
  <cols>
    <col min="1" max="1" width="2.28515625" style="53" customWidth="1"/>
    <col min="2" max="2" width="8.85546875" style="53" customWidth="1"/>
    <col min="3" max="8" width="7.28515625" style="53"/>
    <col min="9" max="9" width="10.42578125" style="53" customWidth="1"/>
    <col min="10" max="10" width="7.28515625" style="53" customWidth="1"/>
    <col min="11" max="11" width="7.42578125" style="53" bestFit="1" customWidth="1"/>
    <col min="12" max="12" width="7.7109375" style="53" bestFit="1" customWidth="1"/>
    <col min="13" max="13" width="7.42578125" style="53" bestFit="1" customWidth="1"/>
    <col min="14" max="14" width="7.28515625" style="53"/>
    <col min="15" max="15" width="7.42578125" style="53" bestFit="1" customWidth="1"/>
    <col min="16" max="16" width="7.7109375" style="53" bestFit="1" customWidth="1"/>
    <col min="17" max="17" width="7.42578125" style="53" customWidth="1"/>
    <col min="18" max="18" width="7.42578125" style="53" hidden="1" customWidth="1"/>
    <col min="19" max="19" width="7.28515625" style="53" hidden="1" customWidth="1"/>
    <col min="20" max="39" width="7.28515625" style="53" hidden="1" customWidth="1" outlineLevel="1"/>
    <col min="40" max="40" width="8.85546875" style="53" customWidth="1" collapsed="1"/>
    <col min="41" max="41" width="8.85546875" style="53" customWidth="1"/>
    <col min="42" max="42" width="7.42578125" style="53" bestFit="1" customWidth="1"/>
    <col min="43" max="45" width="7.28515625" style="53" customWidth="1"/>
    <col min="46" max="46" width="7.28515625" style="53" hidden="1" customWidth="1"/>
    <col min="47" max="48" width="8.85546875" style="53" customWidth="1"/>
    <col min="49" max="49" width="16.7109375" style="53" customWidth="1"/>
    <col min="50" max="16384" width="7.28515625" style="53"/>
  </cols>
  <sheetData>
    <row r="1" spans="1:51" ht="42.6" customHeight="1" x14ac:dyDescent="0.3">
      <c r="E1" s="237" t="s">
        <v>371</v>
      </c>
      <c r="AW1" s="344" t="str">
        <f>+IFERROR(IF(OR(((AV10-AV11)/AV11)&gt;=25%,((AV11-AV10)/AV10)&gt;=25%),AY1,""),"")</f>
        <v/>
      </c>
      <c r="AX1" s="305"/>
      <c r="AY1" s="332" t="s">
        <v>445</v>
      </c>
    </row>
    <row r="2" spans="1:51" ht="13.9" customHeight="1" x14ac:dyDescent="0.3">
      <c r="K2" s="53" t="str">
        <f>+IF(K8="[ocultar]",K8,"")</f>
        <v/>
      </c>
      <c r="L2" s="53" t="str">
        <f t="shared" ref="L2:AT2" si="0">+IF(L8="[ocultar]",L8,"")</f>
        <v/>
      </c>
      <c r="M2" s="53" t="str">
        <f t="shared" si="0"/>
        <v/>
      </c>
      <c r="N2" s="53" t="str">
        <f t="shared" si="0"/>
        <v/>
      </c>
      <c r="O2" s="53" t="str">
        <f t="shared" si="0"/>
        <v/>
      </c>
      <c r="P2" s="53" t="str">
        <f t="shared" si="0"/>
        <v/>
      </c>
      <c r="Q2" s="53" t="str">
        <f t="shared" si="0"/>
        <v/>
      </c>
      <c r="R2" s="53" t="str">
        <f t="shared" si="0"/>
        <v>[ocultar]</v>
      </c>
      <c r="S2" s="53" t="str">
        <f t="shared" si="0"/>
        <v>[ocultar]</v>
      </c>
      <c r="T2" s="53" t="str">
        <f t="shared" si="0"/>
        <v>[ocultar]</v>
      </c>
      <c r="U2" s="53" t="str">
        <f t="shared" si="0"/>
        <v>[ocultar]</v>
      </c>
      <c r="V2" s="53" t="str">
        <f t="shared" si="0"/>
        <v>[ocultar]</v>
      </c>
      <c r="W2" s="53" t="str">
        <f t="shared" si="0"/>
        <v>[ocultar]</v>
      </c>
      <c r="X2" s="53" t="str">
        <f t="shared" si="0"/>
        <v>[ocultar]</v>
      </c>
      <c r="Y2" s="53" t="str">
        <f t="shared" si="0"/>
        <v>[ocultar]</v>
      </c>
      <c r="Z2" s="53" t="str">
        <f t="shared" si="0"/>
        <v>[ocultar]</v>
      </c>
      <c r="AA2" s="53" t="str">
        <f t="shared" si="0"/>
        <v>[ocultar]</v>
      </c>
      <c r="AB2" s="53" t="str">
        <f t="shared" si="0"/>
        <v>[ocultar]</v>
      </c>
      <c r="AC2" s="53" t="str">
        <f t="shared" si="0"/>
        <v>[ocultar]</v>
      </c>
      <c r="AD2" s="53" t="str">
        <f t="shared" si="0"/>
        <v>[ocultar]</v>
      </c>
      <c r="AE2" s="53" t="str">
        <f t="shared" si="0"/>
        <v>[ocultar]</v>
      </c>
      <c r="AF2" s="53" t="str">
        <f t="shared" si="0"/>
        <v>[ocultar]</v>
      </c>
      <c r="AG2" s="53" t="str">
        <f t="shared" si="0"/>
        <v>[ocultar]</v>
      </c>
      <c r="AH2" s="53" t="str">
        <f t="shared" si="0"/>
        <v>[ocultar]</v>
      </c>
      <c r="AI2" s="53" t="str">
        <f t="shared" si="0"/>
        <v>[ocultar]</v>
      </c>
      <c r="AJ2" s="53" t="str">
        <f t="shared" si="0"/>
        <v>[ocultar]</v>
      </c>
      <c r="AK2" s="53" t="str">
        <f t="shared" si="0"/>
        <v>[ocultar]</v>
      </c>
      <c r="AL2" s="53" t="str">
        <f t="shared" si="0"/>
        <v>[ocultar]</v>
      </c>
      <c r="AM2" s="53" t="str">
        <f t="shared" si="0"/>
        <v>[ocultar]</v>
      </c>
      <c r="AN2" s="53" t="str">
        <f t="shared" si="0"/>
        <v/>
      </c>
      <c r="AO2" s="53" t="str">
        <f t="shared" si="0"/>
        <v/>
      </c>
      <c r="AP2" s="53" t="str">
        <f t="shared" si="0"/>
        <v/>
      </c>
      <c r="AQ2" s="53" t="str">
        <f t="shared" si="0"/>
        <v/>
      </c>
      <c r="AR2" s="53" t="str">
        <f t="shared" si="0"/>
        <v/>
      </c>
      <c r="AS2" s="53" t="str">
        <f t="shared" si="0"/>
        <v/>
      </c>
      <c r="AT2" s="53" t="str">
        <f t="shared" si="0"/>
        <v>[ocultar]</v>
      </c>
      <c r="AW2" s="344"/>
      <c r="AX2" s="305"/>
      <c r="AY2" s="305"/>
    </row>
    <row r="3" spans="1:51" ht="13.9" customHeight="1" x14ac:dyDescent="0.3">
      <c r="I3" s="167" t="str">
        <f>+"Razón Social: "&amp;Inicio!C6&amp;"  -  NIF: "&amp;Inicio!C8</f>
        <v>Razón Social: Empresa Ejemplo Ficticio 3  -  NIF: B55512345</v>
      </c>
      <c r="J3" s="155"/>
      <c r="AW3" s="344"/>
      <c r="AX3" s="305"/>
      <c r="AY3" s="305"/>
    </row>
    <row r="4" spans="1:51" ht="13.9" customHeight="1" x14ac:dyDescent="0.3">
      <c r="I4" s="168" t="s">
        <v>97</v>
      </c>
      <c r="J4" s="169"/>
      <c r="AW4" s="344"/>
      <c r="AX4" s="305"/>
      <c r="AY4" s="305"/>
    </row>
    <row r="5" spans="1:51" ht="13.9" customHeight="1" x14ac:dyDescent="0.3">
      <c r="I5" s="153">
        <f>+Inicio!E10</f>
        <v>45292</v>
      </c>
      <c r="J5" s="170" t="str">
        <f>+Inicio!D10</f>
        <v>fecha inicio</v>
      </c>
      <c r="AW5" s="344"/>
      <c r="AX5" s="305"/>
      <c r="AY5" s="305"/>
    </row>
    <row r="6" spans="1:51" ht="13.9" customHeight="1" x14ac:dyDescent="0.3">
      <c r="I6" s="153">
        <f>+Inicio!G10</f>
        <v>45657</v>
      </c>
      <c r="J6" s="170" t="s">
        <v>94</v>
      </c>
      <c r="AW6" s="344"/>
      <c r="AX6" s="305"/>
      <c r="AY6" s="305"/>
    </row>
    <row r="7" spans="1:51" s="118" customFormat="1" ht="13.9" customHeight="1" x14ac:dyDescent="0.25">
      <c r="H7"/>
      <c r="I7"/>
      <c r="J7"/>
      <c r="AW7" s="344"/>
      <c r="AX7" s="307"/>
      <c r="AY7" s="307"/>
    </row>
    <row r="8" spans="1:51" s="56" customFormat="1" ht="46.15" customHeight="1" x14ac:dyDescent="0.25">
      <c r="B8" s="54"/>
      <c r="C8" s="54" t="s">
        <v>225</v>
      </c>
      <c r="D8" s="54" t="s">
        <v>220</v>
      </c>
      <c r="E8" s="54" t="s">
        <v>293</v>
      </c>
      <c r="F8" s="54" t="s">
        <v>291</v>
      </c>
      <c r="G8" s="54" t="s">
        <v>292</v>
      </c>
      <c r="H8" s="54" t="s">
        <v>224</v>
      </c>
      <c r="I8" s="144" t="s">
        <v>217</v>
      </c>
      <c r="J8" s="55" t="str">
        <f>+IF(DATOS!AE6="","[ocultar]",DATOS!AE6)</f>
        <v>MejVol</v>
      </c>
      <c r="K8" s="55" t="str">
        <f>+IF(DATOS!AF6="","[ocultar]",DATOS!AF6)</f>
        <v>Antig.</v>
      </c>
      <c r="L8" s="55" t="str">
        <f>+IF(DATOS!AG6="","[ocultar]",DATOS!AG6)</f>
        <v>Transporte</v>
      </c>
      <c r="M8" s="55" t="str">
        <f>+IF(DATOS!AH6="","[ocultar]",DATOS!AH6)</f>
        <v>Ventas</v>
      </c>
      <c r="N8" s="55" t="str">
        <f>+IF(DATOS!AI6="","[ocultar]",DATOS!AI6)</f>
        <v>Bonus</v>
      </c>
      <c r="O8" s="55" t="str">
        <f>+IF(DATOS!AJ6="","[ocultar]",DATOS!AJ6)</f>
        <v>Coche</v>
      </c>
      <c r="P8" s="55" t="str">
        <f>+IF(DATOS!AK6="","[ocultar]",DATOS!AK6)</f>
        <v>Cesta</v>
      </c>
      <c r="Q8" s="55" t="str">
        <f>+IF(DATOS!AL6="","[ocultar]",DATOS!AL6)</f>
        <v>Nocturnidad</v>
      </c>
      <c r="R8" s="55" t="str">
        <f>+IF(DATOS!AM6="","[ocultar]",DATOS!AM6)</f>
        <v>[ocultar]</v>
      </c>
      <c r="S8" s="55" t="str">
        <f>+IF(DATOS!AN6="","[ocultar]",DATOS!AN6)</f>
        <v>[ocultar]</v>
      </c>
      <c r="T8" s="55" t="str">
        <f>+IF(DATOS!AO6="","[ocultar]",DATOS!AO6)</f>
        <v>[ocultar]</v>
      </c>
      <c r="U8" s="55" t="str">
        <f>+IF(DATOS!AP6="","[ocultar]",DATOS!AP6)</f>
        <v>[ocultar]</v>
      </c>
      <c r="V8" s="55" t="str">
        <f>+IF(DATOS!AQ6="","[ocultar]",DATOS!AQ6)</f>
        <v>[ocultar]</v>
      </c>
      <c r="W8" s="55" t="str">
        <f>+IF(DATOS!AR6="","[ocultar]",DATOS!AR6)</f>
        <v>[ocultar]</v>
      </c>
      <c r="X8" s="55" t="str">
        <f>+IF(DATOS!AS6="","[ocultar]",DATOS!AS6)</f>
        <v>[ocultar]</v>
      </c>
      <c r="Y8" s="55" t="str">
        <f>+IF(DATOS!AT6="","[ocultar]",DATOS!AT6)</f>
        <v>[ocultar]</v>
      </c>
      <c r="Z8" s="55" t="str">
        <f>+IF(DATOS!AU6="","[ocultar]",DATOS!AU6)</f>
        <v>[ocultar]</v>
      </c>
      <c r="AA8" s="55" t="str">
        <f>+IF(DATOS!AV6="","[ocultar]",DATOS!AV6)</f>
        <v>[ocultar]</v>
      </c>
      <c r="AB8" s="55" t="str">
        <f>+IF(DATOS!AW6="","[ocultar]",DATOS!AW6)</f>
        <v>[ocultar]</v>
      </c>
      <c r="AC8" s="55" t="str">
        <f>+IF(DATOS!AX6="","[ocultar]",DATOS!AX6)</f>
        <v>[ocultar]</v>
      </c>
      <c r="AD8" s="55" t="str">
        <f>+IF(DATOS!AY6="","[ocultar]",DATOS!AY6)</f>
        <v>[ocultar]</v>
      </c>
      <c r="AE8" s="55" t="str">
        <f>+IF(DATOS!AZ6="","[ocultar]",DATOS!AZ6)</f>
        <v>[ocultar]</v>
      </c>
      <c r="AF8" s="55" t="str">
        <f>+IF(DATOS!BA6="","[ocultar]",DATOS!BA6)</f>
        <v>[ocultar]</v>
      </c>
      <c r="AG8" s="55" t="str">
        <f>+IF(DATOS!BB6="","[ocultar]",DATOS!BB6)</f>
        <v>[ocultar]</v>
      </c>
      <c r="AH8" s="55" t="str">
        <f>+IF(DATOS!BC6="","[ocultar]",DATOS!BC6)</f>
        <v>[ocultar]</v>
      </c>
      <c r="AI8" s="55" t="str">
        <f>+IF(DATOS!BD6="","[ocultar]",DATOS!BD6)</f>
        <v>[ocultar]</v>
      </c>
      <c r="AJ8" s="55" t="str">
        <f>+IF(DATOS!BE6="","[ocultar]",DATOS!BE6)</f>
        <v>[ocultar]</v>
      </c>
      <c r="AK8" s="55" t="str">
        <f>+IF(DATOS!BF6="","[ocultar]",DATOS!BF6)</f>
        <v>[ocultar]</v>
      </c>
      <c r="AL8" s="55" t="str">
        <f>+IF(DATOS!BG6="","[ocultar]",DATOS!BG6)</f>
        <v>[ocultar]</v>
      </c>
      <c r="AM8" s="55" t="str">
        <f>+IF(DATOS!BH6="","[ocultar]",DATOS!BH6)</f>
        <v>[ocultar]</v>
      </c>
      <c r="AN8" s="67" t="s">
        <v>218</v>
      </c>
      <c r="AO8" s="68" t="s">
        <v>211</v>
      </c>
      <c r="AP8" s="64" t="str">
        <f>+IF(DATOS!BI6="","[ocultar]",DATOS!BI6)</f>
        <v>Dietas</v>
      </c>
      <c r="AQ8" s="64" t="str">
        <f>+IF(DATOS!BJ6="","[ocultar]",DATOS!BJ6)</f>
        <v>Indem</v>
      </c>
      <c r="AR8" s="64" t="str">
        <f>+IF(DATOS!BK6="","[ocultar]",DATOS!BK6)</f>
        <v>ERTE</v>
      </c>
      <c r="AS8" s="64" t="str">
        <f>+IF(DATOS!BL6="","[ocultar]",DATOS!BL6)</f>
        <v>IT</v>
      </c>
      <c r="AT8" s="64" t="str">
        <f>+IF(DATOS!BM6="","[ocultar]",DATOS!BM6)</f>
        <v>[ocultar]</v>
      </c>
      <c r="AU8" s="65" t="s">
        <v>219</v>
      </c>
      <c r="AV8" s="66" t="s">
        <v>212</v>
      </c>
      <c r="AW8" s="344"/>
      <c r="AX8" s="308"/>
      <c r="AY8" s="308"/>
    </row>
    <row r="9" spans="1:51" ht="17.25" thickBot="1" x14ac:dyDescent="0.35">
      <c r="B9" s="62" t="s">
        <v>247</v>
      </c>
      <c r="C9" s="99"/>
      <c r="D9" s="63"/>
      <c r="E9" s="63"/>
      <c r="F9" s="63"/>
      <c r="G9" s="63"/>
      <c r="H9" s="63"/>
      <c r="I9" s="129">
        <f t="shared" ref="I9" si="1">IFERROR((I10-I11)/I10,"")</f>
        <v>3.0399264887292585E-2</v>
      </c>
      <c r="J9" s="130">
        <f>IFERROR((J10-J11)/J10,"")</f>
        <v>0.47696862895734071</v>
      </c>
      <c r="K9" s="131">
        <f t="shared" ref="K9:AV9" si="2">IFERROR((K10-K11)/K10,"")</f>
        <v>0.17203027739821419</v>
      </c>
      <c r="L9" s="131">
        <f t="shared" si="2"/>
        <v>-0.56144307762232326</v>
      </c>
      <c r="M9" s="131">
        <f t="shared" si="2"/>
        <v>-0.16910597778169636</v>
      </c>
      <c r="N9" s="132">
        <f t="shared" si="2"/>
        <v>0.62196765498652296</v>
      </c>
      <c r="O9" s="133">
        <f t="shared" si="2"/>
        <v>0.50227716330513994</v>
      </c>
      <c r="P9" s="133">
        <f t="shared" si="2"/>
        <v>-1.3153120464441358E-2</v>
      </c>
      <c r="Q9" s="133">
        <f t="shared" si="2"/>
        <v>1</v>
      </c>
      <c r="R9" s="133" t="str">
        <f t="shared" si="2"/>
        <v/>
      </c>
      <c r="S9" s="133" t="str">
        <f t="shared" si="2"/>
        <v/>
      </c>
      <c r="T9" s="133" t="str">
        <f t="shared" si="2"/>
        <v/>
      </c>
      <c r="U9" s="133" t="str">
        <f t="shared" si="2"/>
        <v/>
      </c>
      <c r="V9" s="133" t="str">
        <f t="shared" si="2"/>
        <v/>
      </c>
      <c r="W9" s="133" t="str">
        <f t="shared" si="2"/>
        <v/>
      </c>
      <c r="X9" s="133" t="str">
        <f t="shared" si="2"/>
        <v/>
      </c>
      <c r="Y9" s="133" t="str">
        <f t="shared" si="2"/>
        <v/>
      </c>
      <c r="Z9" s="132" t="str">
        <f t="shared" si="2"/>
        <v/>
      </c>
      <c r="AA9" s="132" t="str">
        <f t="shared" si="2"/>
        <v/>
      </c>
      <c r="AB9" s="132" t="str">
        <f t="shared" si="2"/>
        <v/>
      </c>
      <c r="AC9" s="132" t="str">
        <f t="shared" si="2"/>
        <v/>
      </c>
      <c r="AD9" s="132" t="str">
        <f t="shared" si="2"/>
        <v/>
      </c>
      <c r="AE9" s="132" t="str">
        <f t="shared" si="2"/>
        <v/>
      </c>
      <c r="AF9" s="132" t="str">
        <f t="shared" si="2"/>
        <v/>
      </c>
      <c r="AG9" s="132" t="str">
        <f t="shared" si="2"/>
        <v/>
      </c>
      <c r="AH9" s="132" t="str">
        <f t="shared" si="2"/>
        <v/>
      </c>
      <c r="AI9" s="132" t="str">
        <f t="shared" si="2"/>
        <v/>
      </c>
      <c r="AJ9" s="132" t="str">
        <f t="shared" si="2"/>
        <v/>
      </c>
      <c r="AK9" s="132" t="str">
        <f t="shared" si="2"/>
        <v/>
      </c>
      <c r="AL9" s="132" t="str">
        <f t="shared" si="2"/>
        <v/>
      </c>
      <c r="AM9" s="132" t="str">
        <f t="shared" si="2"/>
        <v/>
      </c>
      <c r="AN9" s="134">
        <f t="shared" si="2"/>
        <v>0.47515280006845584</v>
      </c>
      <c r="AO9" s="138">
        <f t="shared" si="2"/>
        <v>0.17621784681686994</v>
      </c>
      <c r="AP9" s="135">
        <f t="shared" si="2"/>
        <v>0.96436058700209648</v>
      </c>
      <c r="AQ9" s="135" t="str">
        <f t="shared" si="2"/>
        <v/>
      </c>
      <c r="AR9" s="135">
        <f t="shared" si="2"/>
        <v>-0.28301886792452846</v>
      </c>
      <c r="AS9" s="135">
        <f t="shared" si="2"/>
        <v>1</v>
      </c>
      <c r="AT9" s="135" t="str">
        <f t="shared" si="2"/>
        <v/>
      </c>
      <c r="AU9" s="136">
        <f t="shared" si="2"/>
        <v>0.56998947185903848</v>
      </c>
      <c r="AV9" s="137">
        <f t="shared" si="2"/>
        <v>0.1794720909160053</v>
      </c>
      <c r="AW9" s="344"/>
      <c r="AX9" s="309"/>
      <c r="AY9" s="309"/>
    </row>
    <row r="10" spans="1:51" x14ac:dyDescent="0.3">
      <c r="B10" s="57" t="s">
        <v>162</v>
      </c>
      <c r="C10" s="56">
        <f t="array" ref="C10">SUM(IF($B10=DATOS_[Sexo],
IF("Dentro"=DATOS_[Check Periodo Ref.],
1/(COUNTIFS(DATOS_[Sexo],$B10,DATOS_[Check Periodo Ref.],"Dentro",DATOS_[id],DATOS_[id])))))</f>
        <v>102</v>
      </c>
      <c r="D10" s="58">
        <f>COUNTIFS(DATOS_[AGRUP. CLAS. PROF.],"&lt;&gt;",DATOS_[Sexo],$B10,DATOS_[Check Periodo Ref.],"Dentro")</f>
        <v>110</v>
      </c>
      <c r="E10" s="58">
        <f>COUNTIFS(DATOS_[AGRUP. CLAS. PROF.],"&lt;&gt;",DATOS_[Sexo],$B10,DATOS_[Check Periodo Ref.],"Dentro",DATOS_[Check Nº SC Norm],"Sí")</f>
        <v>9</v>
      </c>
      <c r="F10" s="58">
        <f>COUNTIFS(DATOS_[AGRUP. CLAS. PROF.],"&lt;&gt;",DATOS_[Sexo],$B10,DATOS_[Check Periodo Ref.],"Dentro",DATOS_[Check Nº SC Anualiz],"Sí")</f>
        <v>12</v>
      </c>
      <c r="G10" s="58">
        <f>COUNTIFS(DATOS_[AGRUP. CLAS. PROF.],"&lt;&gt;",DATOS_[Sexo],$B10,DATOS_[Check Periodo Ref.],"Dentro",DATOS_[Check Nº SC Norm y Anualiz],"Sí")</f>
        <v>1</v>
      </c>
      <c r="H10" s="58">
        <f>COUNTIFS(DATOS_[AGRUP. CLAS. PROF.],"&lt;&gt;",DATOS_[Sexo],$B10,DATOS_[Check Periodo Ref.],"Dentro",DATOS_[Check Equiparación],"Sí")</f>
        <v>22</v>
      </c>
      <c r="I10" s="100">
        <f t="array" ref="I10">IFERROR(
AVERAGE(IF(DATOS_[Sexo]=$B10,IF(DATOS_[Check Equiparado]="Sí",IF(DATOS_[Check Periodo Ref.]="Dentro",DATOS_[SALARIO BASE Eq],FALSE)))),
0)</f>
        <v>13165.444087376336</v>
      </c>
      <c r="J10" s="108">
        <f t="array" ref="J10">IFERROR(
(AVERAGE((IF(DATOS_[[Sexo]:[Sexo]]=$B10,IF(DATOS_[[Check Periodo Ref.]:[Check Periodo Ref.]]="Dentro",IF(DATOS_[[Check Equiparado]:[Check Equiparado]]="Sí",IF(DATOS!AE$5="Sí",(1/DATOS_[[% anualiz]:[% anualiz]]),1)*IF(DATOS!AE$4="Sí",1/DATOS_[[% normaliz]:[% normaliz]],1)*(DATOS_[Conc.Sal.01]))))))),
0)</f>
        <v>2998.1975202355547</v>
      </c>
      <c r="K10" s="108">
        <f t="array" ref="K10">IFERROR(
(AVERAGE((IF(DATOS_[[Sexo]:[Sexo]]=$B10,IF(DATOS_[[Check Periodo Ref.]:[Check Periodo Ref.]]="Dentro",IF(DATOS_[[Check Equiparado]:[Check Equiparado]]="Sí",IF(DATOS!AF$5="Sí",(1/DATOS_[[% anualiz]:[% anualiz]]),1)*IF(DATOS!AF$4="Sí",1/DATOS_[[% normaliz]:[% normaliz]],1)*(DATOS_[Conc.Sal.02]))))))),
0)</f>
        <v>1080.5705426846391</v>
      </c>
      <c r="L10" s="108">
        <f t="array" ref="L10">IFERROR(
(AVERAGE((IF(DATOS_[[Sexo]:[Sexo]]=$B10,IF(DATOS_[[Check Periodo Ref.]:[Check Periodo Ref.]]="Dentro",IF(DATOS_[[Check Equiparado]:[Check Equiparado]]="Sí",IF(DATOS!AG$5="Sí",(1/DATOS_[[% anualiz]:[% anualiz]]),1)*IF(DATOS!AG$4="Sí",1/DATOS_[[% normaliz]:[% normaliz]],1)*(DATOS_[Conc.Sal.03]))))))),
0)</f>
        <v>329.04570758379174</v>
      </c>
      <c r="M10" s="108">
        <f t="array" ref="M10">IFERROR(
(AVERAGE((IF(DATOS_[[Sexo]:[Sexo]]=$B10,IF(DATOS_[[Check Periodo Ref.]:[Check Periodo Ref.]]="Dentro",IF(DATOS_[[Check Equiparado]:[Check Equiparado]]="Sí",IF(DATOS!AH$5="Sí",(1/DATOS_[[% anualiz]:[% anualiz]]),1)*IF(DATOS!AH$4="Sí",1/DATOS_[[% normaliz]:[% normaliz]],1)*(DATOS_[Conc.Sal.04]))))))),
0)</f>
        <v>104.90196078431373</v>
      </c>
      <c r="N10" s="108">
        <f t="array" ref="N10">IFERROR(
(AVERAGE((IF(DATOS_[[Sexo]:[Sexo]]=$B10,IF(DATOS_[[Check Periodo Ref.]:[Check Periodo Ref.]]="Dentro",IF(DATOS_[[Check Equiparado]:[Check Equiparado]]="Sí",IF(DATOS!AI$5="Sí",(1/DATOS_[[% anualiz]:[% anualiz]]),1)*IF(DATOS!AI$4="Sí",1/DATOS_[[% normaliz]:[% normaliz]],1)*(DATOS_[Conc.Sal.05]))))))),
0)</f>
        <v>274.50980392156862</v>
      </c>
      <c r="O10" s="108">
        <f t="array" ref="O10">IFERROR(
(AVERAGE((IF(DATOS_[[Sexo]:[Sexo]]=$B10,IF(DATOS_[[Check Periodo Ref.]:[Check Periodo Ref.]]="Dentro",IF(DATOS_[[Check Equiparado]:[Check Equiparado]]="Sí",IF(DATOS!AJ$5="Sí",(1/DATOS_[[% anualiz]:[% anualiz]]),1)*IF(DATOS!AJ$4="Sí",1/DATOS_[[% normaliz]:[% normaliz]],1)*(DATOS_[Conc.Sal.06]))))))),
0)</f>
        <v>170.58823529411765</v>
      </c>
      <c r="P10" s="108">
        <f t="array" ref="P10">IFERROR(
(AVERAGE((IF(DATOS_[[Sexo]:[Sexo]]=$B10,IF(DATOS_[[Check Periodo Ref.]:[Check Periodo Ref.]]="Dentro",IF(DATOS_[[Check Equiparado]:[Check Equiparado]]="Sí",IF(DATOS!AK$5="Sí",(1/DATOS_[[% anualiz]:[% anualiz]]),1)*IF(DATOS!AK$4="Sí",1/DATOS_[[% normaliz]:[% normaliz]],1)*(DATOS_[Conc.Sal.07]))))))),
0)</f>
        <v>81.568627450980387</v>
      </c>
      <c r="Q10" s="108">
        <f t="array" ref="Q10">IFERROR(
(AVERAGE((IF(DATOS_[[Sexo]:[Sexo]]=$B10,IF(DATOS_[[Check Periodo Ref.]:[Check Periodo Ref.]]="Dentro",IF(DATOS_[[Check Equiparado]:[Check Equiparado]]="Sí",IF(DATOS!AL$5="Sí",(1/DATOS_[[% anualiz]:[% anualiz]]),1)*IF(DATOS!AL$4="Sí",1/DATOS_[[% normaliz]:[% normaliz]],1)*(DATOS_[Conc.Sal.08]))))))),
0)</f>
        <v>1382.6380664056687</v>
      </c>
      <c r="R10" s="108">
        <f t="array" ref="R10">IFERROR(
(AVERAGE((IF(DATOS_[[Sexo]:[Sexo]]=$B10,IF(DATOS_[[Check Periodo Ref.]:[Check Periodo Ref.]]="Dentro",IF(DATOS_[[Check Equiparado]:[Check Equiparado]]="Sí",IF(DATOS!AM$5="Sí",(1/DATOS_[[% anualiz]:[% anualiz]]),1)*IF(DATOS!AM$4="Sí",1/DATOS_[[% normaliz]:[% normaliz]],1)*(DATOS_[Conc.Sal.09]))))))),
0)</f>
        <v>0</v>
      </c>
      <c r="S10" s="108">
        <f t="array" ref="S10">IFERROR(
(AVERAGE((IF(DATOS_[[Sexo]:[Sexo]]=$B10,IF(DATOS_[[Check Periodo Ref.]:[Check Periodo Ref.]]="Dentro",IF(DATOS_[[Check Equiparado]:[Check Equiparado]]="Sí",IF(DATOS!AN$5="Sí",(1/DATOS_[[% anualiz]:[% anualiz]]),1)*IF(DATOS!AN$4="Sí",1/DATOS_[[% normaliz]:[% normaliz]],1)*(DATOS_[Conc.Sal.10]))))))),
0)</f>
        <v>0</v>
      </c>
      <c r="T10" s="108">
        <f t="array" ref="T10">IFERROR(
(AVERAGE((IF(DATOS_[[Sexo]:[Sexo]]=$B10,IF(DATOS_[[Check Periodo Ref.]:[Check Periodo Ref.]]="Dentro",IF(DATOS_[[Check Equiparado]:[Check Equiparado]]="Sí",IF(DATOS!AO$5="Sí",(1/DATOS_[[% anualiz]:[% anualiz]]),1)*IF(DATOS!AO$4="Sí",1/DATOS_[[% normaliz]:[% normaliz]],1)*(DATOS_[Conc.Sal.11]))))))),
0)</f>
        <v>0</v>
      </c>
      <c r="U10" s="108">
        <f t="array" ref="U10">IFERROR(
(AVERAGE((IF(DATOS_[[Sexo]:[Sexo]]=$B10,IF(DATOS_[[Check Periodo Ref.]:[Check Periodo Ref.]]="Dentro",IF(DATOS_[[Check Equiparado]:[Check Equiparado]]="Sí",IF(DATOS!AP$5="Sí",(1/DATOS_[[% anualiz]:[% anualiz]]),1)*IF(DATOS!AP$4="Sí",1/DATOS_[[% normaliz]:[% normaliz]],1)*(DATOS_[Conc.Sal.12]))))))),
0)</f>
        <v>0</v>
      </c>
      <c r="V10" s="108">
        <f t="array" ref="V10">IFERROR(
(AVERAGE((IF(DATOS_[[Sexo]:[Sexo]]=$B10,IF(DATOS_[[Check Periodo Ref.]:[Check Periodo Ref.]]="Dentro",IF(DATOS_[[Check Equiparado]:[Check Equiparado]]="Sí",IF(DATOS!AQ$5="Sí",(1/DATOS_[[% anualiz]:[% anualiz]]),1)*IF(DATOS!AQ$4="Sí",1/DATOS_[[% normaliz]:[% normaliz]],1)*(DATOS_[Conc.Sal.13]))))))),
0)</f>
        <v>0</v>
      </c>
      <c r="W10" s="108">
        <f t="array" ref="W10">IFERROR(
(AVERAGE((IF(DATOS_[[Sexo]:[Sexo]]=$B10,IF(DATOS_[[Check Periodo Ref.]:[Check Periodo Ref.]]="Dentro",IF(DATOS_[[Check Equiparado]:[Check Equiparado]]="Sí",IF(DATOS!AR$5="Sí",(1/DATOS_[[% anualiz]:[% anualiz]]),1)*IF(DATOS!AR$4="Sí",1/DATOS_[[% normaliz]:[% normaliz]],1)*(DATOS_[Conc.Sal.14]))))))),
0)</f>
        <v>0</v>
      </c>
      <c r="X10" s="108">
        <f t="array" ref="X10">IFERROR(
(AVERAGE((IF(DATOS_[[Sexo]:[Sexo]]=$B10,IF(DATOS_[[Check Periodo Ref.]:[Check Periodo Ref.]]="Dentro",IF(DATOS_[[Check Equiparado]:[Check Equiparado]]="Sí",IF(DATOS!AS$5="Sí",(1/DATOS_[[% anualiz]:[% anualiz]]),1)*IF(DATOS!AS$4="Sí",1/DATOS_[[% normaliz]:[% normaliz]],1)*(DATOS_[Conc.Sal.15]))))))),
0)</f>
        <v>0</v>
      </c>
      <c r="Y10" s="108">
        <f t="array" ref="Y10">IFERROR(
(AVERAGE((IF(DATOS_[[Sexo]:[Sexo]]=$B10,IF(DATOS_[[Check Periodo Ref.]:[Check Periodo Ref.]]="Dentro",IF(DATOS_[[Check Equiparado]:[Check Equiparado]]="Sí",IF(DATOS!AT$5="Sí",(1/DATOS_[[% anualiz]:[% anualiz]]),1)*IF(DATOS!AT$4="Sí",1/DATOS_[[% normaliz]:[% normaliz]],1)*(DATOS_[Conc.Sal.16]))))))),
0)</f>
        <v>0</v>
      </c>
      <c r="Z10" s="108">
        <f t="array" ref="Z10">IFERROR(
(AVERAGE((IF(DATOS_[[Sexo]:[Sexo]]=$B10,IF(DATOS_[[Check Periodo Ref.]:[Check Periodo Ref.]]="Dentro",IF(DATOS_[[Check Equiparado]:[Check Equiparado]]="Sí",IF(DATOS!AU$5="Sí",(1/DATOS_[[% anualiz]:[% anualiz]]),1)*IF(DATOS!AU$4="Sí",1/DATOS_[[% normaliz]:[% normaliz]],1)*(DATOS_[Conc.Sal.17]))))))),
0)</f>
        <v>0</v>
      </c>
      <c r="AA10" s="108">
        <f t="array" ref="AA10">IFERROR(
(AVERAGE((IF(DATOS_[[Sexo]:[Sexo]]=$B10,IF(DATOS_[[Check Periodo Ref.]:[Check Periodo Ref.]]="Dentro",IF(DATOS_[[Check Equiparado]:[Check Equiparado]]="Sí",IF(DATOS!AV$5="Sí",(1/DATOS_[[% anualiz]:[% anualiz]]),1)*IF(DATOS!AV$4="Sí",1/DATOS_[[% normaliz]:[% normaliz]],1)*(DATOS_[Conc.Sal.18]))))))),
0)</f>
        <v>0</v>
      </c>
      <c r="AB10" s="108">
        <f t="array" ref="AB10">IFERROR(
(AVERAGE((IF(DATOS_[[Sexo]:[Sexo]]=$B10,IF(DATOS_[[Check Periodo Ref.]:[Check Periodo Ref.]]="Dentro",IF(DATOS_[[Check Equiparado]:[Check Equiparado]]="Sí",IF(DATOS!AW$5="Sí",(1/DATOS_[[% anualiz]:[% anualiz]]),1)*IF(DATOS!AW$4="Sí",1/DATOS_[[% normaliz]:[% normaliz]],1)*(DATOS_[Conc.Sal.19]))))))),
0)</f>
        <v>0</v>
      </c>
      <c r="AC10" s="108">
        <f t="array" ref="AC10">IFERROR(
(AVERAGE((IF(DATOS_[[Sexo]:[Sexo]]=$B10,IF(DATOS_[[Check Periodo Ref.]:[Check Periodo Ref.]]="Dentro",IF(DATOS_[[Check Equiparado]:[Check Equiparado]]="Sí",IF(DATOS!AX$5="Sí",(1/DATOS_[[% anualiz]:[% anualiz]]),1)*IF(DATOS!AX$4="Sí",1/DATOS_[[% normaliz]:[% normaliz]],1)*(DATOS_[Conc.Sal.20]))))))),
0)</f>
        <v>0</v>
      </c>
      <c r="AD10" s="108">
        <f t="array" ref="AD10">IFERROR(
(AVERAGE((IF(DATOS_[[Sexo]:[Sexo]]=$B10,IF(DATOS_[[Check Periodo Ref.]:[Check Periodo Ref.]]="Dentro",IF(DATOS_[[Check Equiparado]:[Check Equiparado]]="Sí",IF(DATOS!AY$5="Sí",(1/DATOS_[[% anualiz]:[% anualiz]]),1)*IF(DATOS!AY$4="Sí",1/DATOS_[[% normaliz]:[% normaliz]],1)*(DATOS_[Conc.Sal.21]))))))),
0)</f>
        <v>0</v>
      </c>
      <c r="AE10" s="108">
        <f t="array" ref="AE10">IFERROR(
(AVERAGE((IF(DATOS_[[Sexo]:[Sexo]]=$B10,IF(DATOS_[[Check Periodo Ref.]:[Check Periodo Ref.]]="Dentro",IF(DATOS_[[Check Equiparado]:[Check Equiparado]]="Sí",IF(DATOS!AZ$5="Sí",(1/DATOS_[[% anualiz]:[% anualiz]]),1)*IF(DATOS!AZ$4="Sí",1/DATOS_[[% normaliz]:[% normaliz]],1)*(DATOS_[Conc.Sal.22]))))))),
0)</f>
        <v>0</v>
      </c>
      <c r="AF10" s="108">
        <f t="array" ref="AF10">IFERROR(
(AVERAGE((IF(DATOS_[[Sexo]:[Sexo]]=$B10,IF(DATOS_[[Check Periodo Ref.]:[Check Periodo Ref.]]="Dentro",IF(DATOS_[[Check Equiparado]:[Check Equiparado]]="Sí",IF(DATOS!BA$5="Sí",(1/DATOS_[[% anualiz]:[% anualiz]]),1)*IF(DATOS!BA$4="Sí",1/DATOS_[[% normaliz]:[% normaliz]],1)*(DATOS_[Conc.Sal.23]))))))),
0)</f>
        <v>0</v>
      </c>
      <c r="AG10" s="108">
        <f t="array" ref="AG10">IFERROR(
(AVERAGE((IF(DATOS_[[Sexo]:[Sexo]]=$B10,IF(DATOS_[[Check Periodo Ref.]:[Check Periodo Ref.]]="Dentro",IF(DATOS_[[Check Equiparado]:[Check Equiparado]]="Sí",IF(DATOS!BB$5="Sí",(1/DATOS_[[% anualiz]:[% anualiz]]),1)*IF(DATOS!BB$4="Sí",1/DATOS_[[% normaliz]:[% normaliz]],1)*(DATOS_[Conc.Sal.24]))))))),
0)</f>
        <v>0</v>
      </c>
      <c r="AH10" s="108">
        <f t="array" ref="AH10">IFERROR(
(AVERAGE((IF(DATOS_[[Sexo]:[Sexo]]=$B10,IF(DATOS_[[Check Periodo Ref.]:[Check Periodo Ref.]]="Dentro",IF(DATOS_[[Check Equiparado]:[Check Equiparado]]="Sí",IF(DATOS!BC$5="Sí",(1/DATOS_[[% anualiz]:[% anualiz]]),1)*IF(DATOS!BC$4="Sí",1/DATOS_[[% normaliz]:[% normaliz]],1)*(DATOS_[Conc.Sal.25]))))))),
0)</f>
        <v>0</v>
      </c>
      <c r="AI10" s="108">
        <f t="array" ref="AI10">IFERROR(
(AVERAGE((IF(DATOS_[[Sexo]:[Sexo]]=$B10,IF(DATOS_[[Check Periodo Ref.]:[Check Periodo Ref.]]="Dentro",IF(DATOS_[[Check Equiparado]:[Check Equiparado]]="Sí",IF(DATOS!BD$5="Sí",(1/DATOS_[[% anualiz]:[% anualiz]]),1)*IF(DATOS!BD$4="Sí",1/DATOS_[[% normaliz]:[% normaliz]],1)*(DATOS_[Conc.Sal.26]))))))),
0)</f>
        <v>0</v>
      </c>
      <c r="AJ10" s="108">
        <f t="array" ref="AJ10">IFERROR(
(AVERAGE((IF(DATOS_[[Sexo]:[Sexo]]=$B10,IF(DATOS_[[Check Periodo Ref.]:[Check Periodo Ref.]]="Dentro",IF(DATOS_[[Check Equiparado]:[Check Equiparado]]="Sí",IF(DATOS!BE$5="Sí",(1/DATOS_[[% anualiz]:[% anualiz]]),1)*IF(DATOS!BE$4="Sí",1/DATOS_[[% normaliz]:[% normaliz]],1)*(DATOS_[Conc.Sal.27]))))))),
0)</f>
        <v>0</v>
      </c>
      <c r="AK10" s="108">
        <f t="array" ref="AK10">IFERROR(
(AVERAGE((IF(DATOS_[[Sexo]:[Sexo]]=$B10,IF(DATOS_[[Check Periodo Ref.]:[Check Periodo Ref.]]="Dentro",IF(DATOS_[[Check Equiparado]:[Check Equiparado]]="Sí",IF(DATOS!BF$5="Sí",(1/DATOS_[[% anualiz]:[% anualiz]]),1)*IF(DATOS!BF$4="Sí",1/DATOS_[[% normaliz]:[% normaliz]],1)*(DATOS_[Conc.Sal.28]))))))),
0)</f>
        <v>0</v>
      </c>
      <c r="AL10" s="108">
        <f t="array" ref="AL10">IFERROR(
(AVERAGE((IF(DATOS_[[Sexo]:[Sexo]]=$B10,IF(DATOS_[[Check Periodo Ref.]:[Check Periodo Ref.]]="Dentro",IF(DATOS_[[Check Equiparado]:[Check Equiparado]]="Sí",IF(DATOS!BG$5="Sí",(1/DATOS_[[% anualiz]:[% anualiz]]),1)*IF(DATOS!BG$4="Sí",1/DATOS_[[% normaliz]:[% normaliz]],1)*(DATOS_[Conc.Sal.29]))))))),
0)</f>
        <v>0</v>
      </c>
      <c r="AM10" s="108">
        <f t="array" ref="AM10">IFERROR(
(AVERAGE((IF(DATOS_[[Sexo]:[Sexo]]=$B10,IF(DATOS_[[Check Periodo Ref.]:[Check Periodo Ref.]]="Dentro",IF(DATOS_[[Check Equiparado]:[Check Equiparado]]="Sí",IF(DATOS!BH$5="Sí",(1/DATOS_[[% anualiz]:[% anualiz]]),1)*IF(DATOS!BH$4="Sí",1/DATOS_[[% normaliz]:[% normaliz]],1)*(DATOS_[Conc.Sal.30]))))))),
0)</f>
        <v>0</v>
      </c>
      <c r="AN10" s="102">
        <f t="array" ref="AN10">IFERROR(
AVERAGE(IF(DATOS_[Sexo]=$B10,IF(DATOS_[Check Equiparado]="Sí",IF(DATOS_[Check Periodo Ref.]="Dentro",DATOS_[Tot COMPL.SAL Eq],FALSE)))),
0)</f>
        <v>6422.0204643606457</v>
      </c>
      <c r="AO10" s="103">
        <f t="array" ref="AO10">IFERROR(
AVERAGE(IF(DATOS_[Sexo]=$B10,IF(DATOS_[Check Equiparado]="Sí",IF(DATOS_[Check Periodo Ref.]="Dentro",DATOS_[TOTAL SALARIO Eq],FALSE)))),
0)</f>
        <v>19587.464551736961</v>
      </c>
      <c r="AP10" s="107">
        <f t="array" ref="AP10">IFERROR(
(AVERAGE((IF(DATOS_[[Sexo]:[Sexo]]=$B10,IF(DATOS_[[Check Periodo Ref.]:[Check Periodo Ref.]]="Dentro",IF(DATOS_[[Check Equiparado]:[Check Equiparado]]="Sí",IF(DATOS!BI$5="Sí",(1/DATOS_[[% anualiz]:[% anualiz]]),1)*IF(DATOS!BI$4="Sí",1/DATOS_[[% normaliz]:[% normaliz]],1)*(DATOS_[C.Extra.01]))))))),
0)</f>
        <v>63.529411764705884</v>
      </c>
      <c r="AQ10" s="107">
        <f t="array" ref="AQ10">IFERROR(
(AVERAGE((IF(DATOS_[[Sexo]:[Sexo]]=$B10,IF(DATOS_[[Check Periodo Ref.]:[Check Periodo Ref.]]="Dentro",IF(DATOS_[[Check Equiparado]:[Check Equiparado]]="Sí",IF(DATOS!BJ$5="Sí",(1/DATOS_[[% anualiz]:[% anualiz]]),1)*IF(DATOS!BJ$4="Sí",1/DATOS_[[% normaliz]:[% normaliz]],1)*(DATOS_[C.Extra.02]))))))),
0)</f>
        <v>0</v>
      </c>
      <c r="AR10" s="107">
        <f t="array" ref="AR10">IFERROR(
(AVERAGE((IF(DATOS_[[Sexo]:[Sexo]]=$B10,IF(DATOS_[[Check Periodo Ref.]:[Check Periodo Ref.]]="Dentro",IF(DATOS_[[Check Equiparado]:[Check Equiparado]]="Sí",IF(DATOS!BK$5="Sí",(1/DATOS_[[% anualiz]:[% anualiz]]),1)*IF(DATOS!BK$4="Sí",1/DATOS_[[% normaliz]:[% normaliz]],1)*(DATOS_[C.Extra.03]))))))),
0)</f>
        <v>52.941176470588232</v>
      </c>
      <c r="AS10" s="107">
        <f t="array" ref="AS10">IFERROR(
(AVERAGE((IF(DATOS_[[Sexo]:[Sexo]]=$B10,IF(DATOS_[[Check Periodo Ref.]:[Check Periodo Ref.]]="Dentro",IF(DATOS_[[Check Equiparado]:[Check Equiparado]]="Sí",IF(DATOS!BL$5="Sí",(1/DATOS_[[% anualiz]:[% anualiz]]),1)*IF(DATOS!BL$4="Sí",1/DATOS_[[% normaliz]:[% normaliz]],1)*(DATOS_[C.Extra.04]))))))),
0)</f>
        <v>46.754901960784316</v>
      </c>
      <c r="AT10" s="107">
        <f t="array" ref="AT10">IFERROR(
(AVERAGE((IF(DATOS_[[Sexo]:[Sexo]]=$B10,IF(DATOS_[[Check Periodo Ref.]:[Check Periodo Ref.]]="Dentro",IF(DATOS_[[Check Equiparado]:[Check Equiparado]]="Sí",IF(DATOS!BM$5="Sí",(1/DATOS_[[% anualiz]:[% anualiz]]),1)*IF(DATOS!BM$4="Sí",1/DATOS_[[% normaliz]:[% normaliz]],1)*(DATOS_[C.Extra.05]))))))),
0)</f>
        <v>0</v>
      </c>
      <c r="AU10" s="105">
        <f t="array" ref="AU10">IFERROR(
AVERAGE(IF(DATOS_[Sexo]=$B10,IF(DATOS_[Check Equiparado]="Sí",IF(DATOS_[Check Periodo Ref.]="Dentro",DATOS_[Tot Extrasalarial Eq],FALSE)))),
0)</f>
        <v>163.22549019607843</v>
      </c>
      <c r="AV10" s="106">
        <f t="array" ref="AV10">IFERROR(
AVERAGE(IF(DATOS_[Sexo]=$B10,IF(DATOS_[Check Equiparado]="Sí",IF(DATOS_[Check Periodo Ref.]="Dentro",DATOS_[TOTAL Retrib Eq],FALSE)))),
0)</f>
        <v>19750.690041933038</v>
      </c>
      <c r="AW10" s="344"/>
      <c r="AX10" s="309"/>
      <c r="AY10" s="309"/>
    </row>
    <row r="11" spans="1:51" x14ac:dyDescent="0.3">
      <c r="B11" s="57" t="s">
        <v>163</v>
      </c>
      <c r="C11" s="56">
        <f t="array" ref="C11">SUM(IF($B11=DATOS_[Sexo],
IF("Dentro"=DATOS_[Check Periodo Ref.],
1/(COUNTIFS(DATOS_[Sexo],$B11,DATOS_[Check Periodo Ref.],"Dentro",DATOS_[id],DATOS_[id])))))</f>
        <v>106</v>
      </c>
      <c r="D11" s="58">
        <f>COUNTIFS(DATOS_[AGRUP. CLAS. PROF.],"&lt;&gt;",DATOS_[Sexo],$B11,DATOS_[Check Periodo Ref.],"Dentro")</f>
        <v>115</v>
      </c>
      <c r="E11" s="58">
        <f>COUNTIFS(DATOS_[AGRUP. CLAS. PROF.],"&lt;&gt;",DATOS_[Sexo],$B11,DATOS_[Check Periodo Ref.],"Dentro",DATOS_[Check Nº SC Norm],"Sí")</f>
        <v>26</v>
      </c>
      <c r="F11" s="58">
        <f>COUNTIFS(DATOS_[AGRUP. CLAS. PROF.],"&lt;&gt;",DATOS_[Sexo],$B11,DATOS_[Check Periodo Ref.],"Dentro",DATOS_[Check Nº SC Anualiz],"Sí")</f>
        <v>11</v>
      </c>
      <c r="G11" s="58">
        <f>COUNTIFS(DATOS_[AGRUP. CLAS. PROF.],"&lt;&gt;",DATOS_[Sexo],$B11,DATOS_[Check Periodo Ref.],"Dentro",DATOS_[Check Nº SC Norm y Anualiz],"Sí")</f>
        <v>1</v>
      </c>
      <c r="H11" s="58">
        <f>COUNTIFS(DATOS_[AGRUP. CLAS. PROF.],"&lt;&gt;",DATOS_[Sexo],$B11,DATOS_[Check Periodo Ref.],"Dentro",DATOS_[Check Equiparación],"Sí")</f>
        <v>38</v>
      </c>
      <c r="I11" s="100">
        <f t="array" ref="I11">IFERROR(
AVERAGE(IF(DATOS_[Sexo]=$B11,IF(DATOS_[Check Equiparado]="Sí",IF(DATOS_[Check Periodo Ref.]="Dentro",DATOS_[SALARIO BASE Eq],FALSE)))),
0)</f>
        <v>12765.224265205343</v>
      </c>
      <c r="J11" s="108">
        <f t="array" ref="J11">IFERROR(
(AVERAGE((IF(DATOS_[[Sexo]:[Sexo]]=$B11,IF(DATOS_[[Check Periodo Ref.]:[Check Periodo Ref.]]="Dentro",IF(DATOS_[[Check Equiparado]:[Check Equiparado]]="Sí",IF(DATOS!AE$5="Sí",(1/DATOS_[[% anualiz]:[% anualiz]]),1)*IF(DATOS!AE$4="Sí",1/DATOS_[[% normaliz]:[% normaliz]],1)*(DATOS_[Conc.Sal.01]))))))),
0)</f>
        <v>1568.1513596655034</v>
      </c>
      <c r="K11" s="108">
        <f t="array" ref="K11">IFERROR(
(AVERAGE((IF(DATOS_[[Sexo]:[Sexo]]=$B11,IF(DATOS_[[Check Periodo Ref.]:[Check Periodo Ref.]]="Dentro",IF(DATOS_[[Check Equiparado]:[Check Equiparado]]="Sí",IF(DATOS!AF$5="Sí",(1/DATOS_[[% anualiz]:[% anualiz]]),1)*IF(DATOS!AF$4="Sí",1/DATOS_[[% normaliz]:[% normaliz]],1)*(DATOS_[Conc.Sal.02]))))))),
0)</f>
        <v>894.67969247826181</v>
      </c>
      <c r="L11" s="108">
        <f t="array" ref="L11">IFERROR(
(AVERAGE((IF(DATOS_[[Sexo]:[Sexo]]=$B11,IF(DATOS_[[Check Periodo Ref.]:[Check Periodo Ref.]]="Dentro",IF(DATOS_[[Check Equiparado]:[Check Equiparado]]="Sí",IF(DATOS!AG$5="Sí",(1/DATOS_[[% anualiz]:[% anualiz]]),1)*IF(DATOS!AG$4="Sí",1/DATOS_[[% normaliz]:[% normaliz]],1)*(DATOS_[Conc.Sal.03]))))))),
0)</f>
        <v>513.7861423280508</v>
      </c>
      <c r="M11" s="108">
        <f t="array" ref="M11">IFERROR(
(AVERAGE((IF(DATOS_[[Sexo]:[Sexo]]=$B11,IF(DATOS_[[Check Periodo Ref.]:[Check Periodo Ref.]]="Dentro",IF(DATOS_[[Check Equiparado]:[Check Equiparado]]="Sí",IF(DATOS!AH$5="Sí",(1/DATOS_[[% anualiz]:[% anualiz]]),1)*IF(DATOS!AH$4="Sí",1/DATOS_[[% normaliz]:[% normaliz]],1)*(DATOS_[Conc.Sal.04]))))))),
0)</f>
        <v>122.64150943396227</v>
      </c>
      <c r="N11" s="108">
        <f t="array" ref="N11">IFERROR(
(AVERAGE((IF(DATOS_[[Sexo]:[Sexo]]=$B11,IF(DATOS_[[Check Periodo Ref.]:[Check Periodo Ref.]]="Dentro",IF(DATOS_[[Check Equiparado]:[Check Equiparado]]="Sí",IF(DATOS!AI$5="Sí",(1/DATOS_[[% anualiz]:[% anualiz]]),1)*IF(DATOS!AI$4="Sí",1/DATOS_[[% normaliz]:[% normaliz]],1)*(DATOS_[Conc.Sal.05]))))))),
0)</f>
        <v>103.77358490566037</v>
      </c>
      <c r="O11" s="108">
        <f t="array" ref="O11">IFERROR(
(AVERAGE((IF(DATOS_[[Sexo]:[Sexo]]=$B11,IF(DATOS_[[Check Periodo Ref.]:[Check Periodo Ref.]]="Dentro",IF(DATOS_[[Check Equiparado]:[Check Equiparado]]="Sí",IF(DATOS!AJ$5="Sí",(1/DATOS_[[% anualiz]:[% anualiz]]),1)*IF(DATOS!AJ$4="Sí",1/DATOS_[[% normaliz]:[% normaliz]],1)*(DATOS_[Conc.Sal.06]))))))),
0)</f>
        <v>84.905660377358487</v>
      </c>
      <c r="P11" s="108">
        <f t="array" ref="P11">IFERROR(
(AVERAGE((IF(DATOS_[[Sexo]:[Sexo]]=$B11,IF(DATOS_[[Check Periodo Ref.]:[Check Periodo Ref.]]="Dentro",IF(DATOS_[[Check Equiparado]:[Check Equiparado]]="Sí",IF(DATOS!AK$5="Sí",(1/DATOS_[[% anualiz]:[% anualiz]]),1)*IF(DATOS!AK$4="Sí",1/DATOS_[[% normaliz]:[% normaliz]],1)*(DATOS_[Conc.Sal.07]))))))),
0)</f>
        <v>82.64150943396227</v>
      </c>
      <c r="Q11" s="108">
        <f t="array" ref="Q11">IFERROR(
(AVERAGE((IF(DATOS_[[Sexo]:[Sexo]]=$B11,IF(DATOS_[[Check Periodo Ref.]:[Check Periodo Ref.]]="Dentro",IF(DATOS_[[Check Equiparado]:[Check Equiparado]]="Sí",IF(DATOS!AL$5="Sí",(1/DATOS_[[% anualiz]:[% anualiz]]),1)*IF(DATOS!AL$4="Sí",1/DATOS_[[% normaliz]:[% normaliz]],1)*(DATOS_[Conc.Sal.08]))))))),
0)</f>
        <v>0</v>
      </c>
      <c r="R11" s="108">
        <f t="array" ref="R11">IFERROR(
(AVERAGE((IF(DATOS_[[Sexo]:[Sexo]]=$B11,IF(DATOS_[[Check Periodo Ref.]:[Check Periodo Ref.]]="Dentro",IF(DATOS_[[Check Equiparado]:[Check Equiparado]]="Sí",IF(DATOS!AM$5="Sí",(1/DATOS_[[% anualiz]:[% anualiz]]),1)*IF(DATOS!AM$4="Sí",1/DATOS_[[% normaliz]:[% normaliz]],1)*(DATOS_[Conc.Sal.09]))))))),
0)</f>
        <v>0</v>
      </c>
      <c r="S11" s="108">
        <f t="array" ref="S11">IFERROR(
(AVERAGE((IF(DATOS_[[Sexo]:[Sexo]]=$B11,IF(DATOS_[[Check Periodo Ref.]:[Check Periodo Ref.]]="Dentro",IF(DATOS_[[Check Equiparado]:[Check Equiparado]]="Sí",IF(DATOS!AN$5="Sí",(1/DATOS_[[% anualiz]:[% anualiz]]),1)*IF(DATOS!AN$4="Sí",1/DATOS_[[% normaliz]:[% normaliz]],1)*(DATOS_[Conc.Sal.10]))))))),
0)</f>
        <v>0</v>
      </c>
      <c r="T11" s="108">
        <f t="array" ref="T11">IFERROR(
(AVERAGE((IF(DATOS_[[Sexo]:[Sexo]]=$B11,IF(DATOS_[[Check Periodo Ref.]:[Check Periodo Ref.]]="Dentro",IF(DATOS_[[Check Equiparado]:[Check Equiparado]]="Sí",IF(DATOS!AO$5="Sí",(1/DATOS_[[% anualiz]:[% anualiz]]),1)*IF(DATOS!AO$4="Sí",1/DATOS_[[% normaliz]:[% normaliz]],1)*(DATOS_[Conc.Sal.11]))))))),
0)</f>
        <v>0</v>
      </c>
      <c r="U11" s="108">
        <f t="array" ref="U11">IFERROR(
(AVERAGE((IF(DATOS_[[Sexo]:[Sexo]]=$B11,IF(DATOS_[[Check Periodo Ref.]:[Check Periodo Ref.]]="Dentro",IF(DATOS_[[Check Equiparado]:[Check Equiparado]]="Sí",IF(DATOS!AP$5="Sí",(1/DATOS_[[% anualiz]:[% anualiz]]),1)*IF(DATOS!AP$4="Sí",1/DATOS_[[% normaliz]:[% normaliz]],1)*(DATOS_[Conc.Sal.12]))))))),
0)</f>
        <v>0</v>
      </c>
      <c r="V11" s="108">
        <f t="array" ref="V11">IFERROR(
(AVERAGE((IF(DATOS_[[Sexo]:[Sexo]]=$B11,IF(DATOS_[[Check Periodo Ref.]:[Check Periodo Ref.]]="Dentro",IF(DATOS_[[Check Equiparado]:[Check Equiparado]]="Sí",IF(DATOS!AQ$5="Sí",(1/DATOS_[[% anualiz]:[% anualiz]]),1)*IF(DATOS!AQ$4="Sí",1/DATOS_[[% normaliz]:[% normaliz]],1)*(DATOS_[Conc.Sal.13]))))))),
0)</f>
        <v>0</v>
      </c>
      <c r="W11" s="108">
        <f t="array" ref="W11">IFERROR(
(AVERAGE((IF(DATOS_[[Sexo]:[Sexo]]=$B11,IF(DATOS_[[Check Periodo Ref.]:[Check Periodo Ref.]]="Dentro",IF(DATOS_[[Check Equiparado]:[Check Equiparado]]="Sí",IF(DATOS!AR$5="Sí",(1/DATOS_[[% anualiz]:[% anualiz]]),1)*IF(DATOS!AR$4="Sí",1/DATOS_[[% normaliz]:[% normaliz]],1)*(DATOS_[Conc.Sal.14]))))))),
0)</f>
        <v>0</v>
      </c>
      <c r="X11" s="108">
        <f t="array" ref="X11">IFERROR(
(AVERAGE((IF(DATOS_[[Sexo]:[Sexo]]=$B11,IF(DATOS_[[Check Periodo Ref.]:[Check Periodo Ref.]]="Dentro",IF(DATOS_[[Check Equiparado]:[Check Equiparado]]="Sí",IF(DATOS!AS$5="Sí",(1/DATOS_[[% anualiz]:[% anualiz]]),1)*IF(DATOS!AS$4="Sí",1/DATOS_[[% normaliz]:[% normaliz]],1)*(DATOS_[Conc.Sal.15]))))))),
0)</f>
        <v>0</v>
      </c>
      <c r="Y11" s="108">
        <f t="array" ref="Y11">IFERROR(
(AVERAGE((IF(DATOS_[[Sexo]:[Sexo]]=$B11,IF(DATOS_[[Check Periodo Ref.]:[Check Periodo Ref.]]="Dentro",IF(DATOS_[[Check Equiparado]:[Check Equiparado]]="Sí",IF(DATOS!AT$5="Sí",(1/DATOS_[[% anualiz]:[% anualiz]]),1)*IF(DATOS!AT$4="Sí",1/DATOS_[[% normaliz]:[% normaliz]],1)*(DATOS_[Conc.Sal.16]))))))),
0)</f>
        <v>0</v>
      </c>
      <c r="Z11" s="108">
        <f t="array" ref="Z11">IFERROR(
(AVERAGE((IF(DATOS_[[Sexo]:[Sexo]]=$B11,IF(DATOS_[[Check Periodo Ref.]:[Check Periodo Ref.]]="Dentro",IF(DATOS_[[Check Equiparado]:[Check Equiparado]]="Sí",IF(DATOS!AU$5="Sí",(1/DATOS_[[% anualiz]:[% anualiz]]),1)*IF(DATOS!AU$4="Sí",1/DATOS_[[% normaliz]:[% normaliz]],1)*(DATOS_[Conc.Sal.17]))))))),
0)</f>
        <v>0</v>
      </c>
      <c r="AA11" s="108">
        <f t="array" ref="AA11">IFERROR(
(AVERAGE((IF(DATOS_[[Sexo]:[Sexo]]=$B11,IF(DATOS_[[Check Periodo Ref.]:[Check Periodo Ref.]]="Dentro",IF(DATOS_[[Check Equiparado]:[Check Equiparado]]="Sí",IF(DATOS!AV$5="Sí",(1/DATOS_[[% anualiz]:[% anualiz]]),1)*IF(DATOS!AV$4="Sí",1/DATOS_[[% normaliz]:[% normaliz]],1)*(DATOS_[Conc.Sal.18]))))))),
0)</f>
        <v>0</v>
      </c>
      <c r="AB11" s="108">
        <f t="array" ref="AB11">IFERROR(
(AVERAGE((IF(DATOS_[[Sexo]:[Sexo]]=$B11,IF(DATOS_[[Check Periodo Ref.]:[Check Periodo Ref.]]="Dentro",IF(DATOS_[[Check Equiparado]:[Check Equiparado]]="Sí",IF(DATOS!AW$5="Sí",(1/DATOS_[[% anualiz]:[% anualiz]]),1)*IF(DATOS!AW$4="Sí",1/DATOS_[[% normaliz]:[% normaliz]],1)*(DATOS_[Conc.Sal.19]))))))),
0)</f>
        <v>0</v>
      </c>
      <c r="AC11" s="108">
        <f t="array" ref="AC11">IFERROR(
(AVERAGE((IF(DATOS_[[Sexo]:[Sexo]]=$B11,IF(DATOS_[[Check Periodo Ref.]:[Check Periodo Ref.]]="Dentro",IF(DATOS_[[Check Equiparado]:[Check Equiparado]]="Sí",IF(DATOS!AX$5="Sí",(1/DATOS_[[% anualiz]:[% anualiz]]),1)*IF(DATOS!AX$4="Sí",1/DATOS_[[% normaliz]:[% normaliz]],1)*(DATOS_[Conc.Sal.20]))))))),
0)</f>
        <v>0</v>
      </c>
      <c r="AD11" s="108">
        <f t="array" ref="AD11">IFERROR(
(AVERAGE((IF(DATOS_[[Sexo]:[Sexo]]=$B11,IF(DATOS_[[Check Periodo Ref.]:[Check Periodo Ref.]]="Dentro",IF(DATOS_[[Check Equiparado]:[Check Equiparado]]="Sí",IF(DATOS!AY$5="Sí",(1/DATOS_[[% anualiz]:[% anualiz]]),1)*IF(DATOS!AY$4="Sí",1/DATOS_[[% normaliz]:[% normaliz]],1)*(DATOS_[Conc.Sal.21]))))))),
0)</f>
        <v>0</v>
      </c>
      <c r="AE11" s="108">
        <f t="array" ref="AE11">IFERROR(
(AVERAGE((IF(DATOS_[[Sexo]:[Sexo]]=$B11,IF(DATOS_[[Check Periodo Ref.]:[Check Periodo Ref.]]="Dentro",IF(DATOS_[[Check Equiparado]:[Check Equiparado]]="Sí",IF(DATOS!AZ$5="Sí",(1/DATOS_[[% anualiz]:[% anualiz]]),1)*IF(DATOS!AZ$4="Sí",1/DATOS_[[% normaliz]:[% normaliz]],1)*(DATOS_[Conc.Sal.22]))))))),
0)</f>
        <v>0</v>
      </c>
      <c r="AF11" s="108">
        <f t="array" ref="AF11">IFERROR(
(AVERAGE((IF(DATOS_[[Sexo]:[Sexo]]=$B11,IF(DATOS_[[Check Periodo Ref.]:[Check Periodo Ref.]]="Dentro",IF(DATOS_[[Check Equiparado]:[Check Equiparado]]="Sí",IF(DATOS!BA$5="Sí",(1/DATOS_[[% anualiz]:[% anualiz]]),1)*IF(DATOS!BA$4="Sí",1/DATOS_[[% normaliz]:[% normaliz]],1)*(DATOS_[Conc.Sal.23]))))))),
0)</f>
        <v>0</v>
      </c>
      <c r="AG11" s="108">
        <f t="array" ref="AG11">IFERROR(
(AVERAGE((IF(DATOS_[[Sexo]:[Sexo]]=$B11,IF(DATOS_[[Check Periodo Ref.]:[Check Periodo Ref.]]="Dentro",IF(DATOS_[[Check Equiparado]:[Check Equiparado]]="Sí",IF(DATOS!BB$5="Sí",(1/DATOS_[[% anualiz]:[% anualiz]]),1)*IF(DATOS!BB$4="Sí",1/DATOS_[[% normaliz]:[% normaliz]],1)*(DATOS_[Conc.Sal.24]))))))),
0)</f>
        <v>0</v>
      </c>
      <c r="AH11" s="108">
        <f t="array" ref="AH11">IFERROR(
(AVERAGE((IF(DATOS_[[Sexo]:[Sexo]]=$B11,IF(DATOS_[[Check Periodo Ref.]:[Check Periodo Ref.]]="Dentro",IF(DATOS_[[Check Equiparado]:[Check Equiparado]]="Sí",IF(DATOS!BC$5="Sí",(1/DATOS_[[% anualiz]:[% anualiz]]),1)*IF(DATOS!BC$4="Sí",1/DATOS_[[% normaliz]:[% normaliz]],1)*(DATOS_[Conc.Sal.25]))))))),
0)</f>
        <v>0</v>
      </c>
      <c r="AI11" s="108">
        <f t="array" ref="AI11">IFERROR(
(AVERAGE((IF(DATOS_[[Sexo]:[Sexo]]=$B11,IF(DATOS_[[Check Periodo Ref.]:[Check Periodo Ref.]]="Dentro",IF(DATOS_[[Check Equiparado]:[Check Equiparado]]="Sí",IF(DATOS!BD$5="Sí",(1/DATOS_[[% anualiz]:[% anualiz]]),1)*IF(DATOS!BD$4="Sí",1/DATOS_[[% normaliz]:[% normaliz]],1)*(DATOS_[Conc.Sal.26]))))))),
0)</f>
        <v>0</v>
      </c>
      <c r="AJ11" s="108">
        <f t="array" ref="AJ11">IFERROR(
(AVERAGE((IF(DATOS_[[Sexo]:[Sexo]]=$B11,IF(DATOS_[[Check Periodo Ref.]:[Check Periodo Ref.]]="Dentro",IF(DATOS_[[Check Equiparado]:[Check Equiparado]]="Sí",IF(DATOS!BE$5="Sí",(1/DATOS_[[% anualiz]:[% anualiz]]),1)*IF(DATOS!BE$4="Sí",1/DATOS_[[% normaliz]:[% normaliz]],1)*(DATOS_[Conc.Sal.27]))))))),
0)</f>
        <v>0</v>
      </c>
      <c r="AK11" s="108">
        <f t="array" ref="AK11">IFERROR(
(AVERAGE((IF(DATOS_[[Sexo]:[Sexo]]=$B11,IF(DATOS_[[Check Periodo Ref.]:[Check Periodo Ref.]]="Dentro",IF(DATOS_[[Check Equiparado]:[Check Equiparado]]="Sí",IF(DATOS!BF$5="Sí",(1/DATOS_[[% anualiz]:[% anualiz]]),1)*IF(DATOS!BF$4="Sí",1/DATOS_[[% normaliz]:[% normaliz]],1)*(DATOS_[Conc.Sal.28]))))))),
0)</f>
        <v>0</v>
      </c>
      <c r="AL11" s="108">
        <f t="array" ref="AL11">IFERROR(
(AVERAGE((IF(DATOS_[[Sexo]:[Sexo]]=$B11,IF(DATOS_[[Check Periodo Ref.]:[Check Periodo Ref.]]="Dentro",IF(DATOS_[[Check Equiparado]:[Check Equiparado]]="Sí",IF(DATOS!BG$5="Sí",(1/DATOS_[[% anualiz]:[% anualiz]]),1)*IF(DATOS!BG$4="Sí",1/DATOS_[[% normaliz]:[% normaliz]],1)*(DATOS_[Conc.Sal.29]))))))),
0)</f>
        <v>0</v>
      </c>
      <c r="AM11" s="108">
        <f t="array" ref="AM11">IFERROR(
(AVERAGE((IF(DATOS_[[Sexo]:[Sexo]]=$B11,IF(DATOS_[[Check Periodo Ref.]:[Check Periodo Ref.]]="Dentro",IF(DATOS_[[Check Equiparado]:[Check Equiparado]]="Sí",IF(DATOS!BH$5="Sí",(1/DATOS_[[% anualiz]:[% anualiz]]),1)*IF(DATOS!BH$4="Sí",1/DATOS_[[% normaliz]:[% normaliz]],1)*(DATOS_[Conc.Sal.30]))))))),
0)</f>
        <v>0</v>
      </c>
      <c r="AN11" s="102">
        <f t="array" ref="AN11">IFERROR(
AVERAGE(IF(DATOS_[Sexo]=$B11,IF(DATOS_[Check Equiparado]="Sí",IF(DATOS_[Check Periodo Ref.]="Dentro",DATOS_[Tot COMPL.SAL Eq],FALSE)))),
0)</f>
        <v>3370.5794586227598</v>
      </c>
      <c r="AO11" s="103">
        <f t="array" ref="AO11">IFERROR(
AVERAGE(IF(DATOS_[Sexo]=$B11,IF(DATOS_[Check Equiparado]="Sí",IF(DATOS_[Check Periodo Ref.]="Dentro",DATOS_[TOTAL SALARIO Eq],FALSE)))),
0)</f>
        <v>16135.803723828107</v>
      </c>
      <c r="AP11" s="107">
        <f t="array" ref="AP11">IFERROR(
(AVERAGE((IF(DATOS_[[Sexo]:[Sexo]]=$B11,IF(DATOS_[[Check Periodo Ref.]:[Check Periodo Ref.]]="Dentro",IF(DATOS_[[Check Equiparado]:[Check Equiparado]]="Sí",IF(DATOS!BI$5="Sí",(1/DATOS_[[% anualiz]:[% anualiz]]),1)*IF(DATOS!BI$4="Sí",1/DATOS_[[% normaliz]:[% normaliz]],1)*(DATOS_[C.Extra.01]))))))),
0)</f>
        <v>2.2641509433962264</v>
      </c>
      <c r="AQ11" s="107">
        <f t="array" ref="AQ11">IFERROR(
(AVERAGE((IF(DATOS_[[Sexo]:[Sexo]]=$B11,IF(DATOS_[[Check Periodo Ref.]:[Check Periodo Ref.]]="Dentro",IF(DATOS_[[Check Equiparado]:[Check Equiparado]]="Sí",IF(DATOS!BJ$5="Sí",(1/DATOS_[[% anualiz]:[% anualiz]]),1)*IF(DATOS!BJ$4="Sí",1/DATOS_[[% normaliz]:[% normaliz]],1)*(DATOS_[C.Extra.02]))))))),
0)</f>
        <v>0</v>
      </c>
      <c r="AR11" s="107">
        <f t="array" ref="AR11">IFERROR(
(AVERAGE((IF(DATOS_[[Sexo]:[Sexo]]=$B11,IF(DATOS_[[Check Periodo Ref.]:[Check Periodo Ref.]]="Dentro",IF(DATOS_[[Check Equiparado]:[Check Equiparado]]="Sí",IF(DATOS!BK$5="Sí",(1/DATOS_[[% anualiz]:[% anualiz]]),1)*IF(DATOS!BK$4="Sí",1/DATOS_[[% normaliz]:[% normaliz]],1)*(DATOS_[C.Extra.03]))))))),
0)</f>
        <v>67.924528301886795</v>
      </c>
      <c r="AS11" s="107">
        <f t="array" ref="AS11">IFERROR(
(AVERAGE((IF(DATOS_[[Sexo]:[Sexo]]=$B11,IF(DATOS_[[Check Periodo Ref.]:[Check Periodo Ref.]]="Dentro",IF(DATOS_[[Check Equiparado]:[Check Equiparado]]="Sí",IF(DATOS!BL$5="Sí",(1/DATOS_[[% anualiz]:[% anualiz]]),1)*IF(DATOS!BL$4="Sí",1/DATOS_[[% normaliz]:[% normaliz]],1)*(DATOS_[C.Extra.04]))))))),
0)</f>
        <v>0</v>
      </c>
      <c r="AT11" s="107">
        <f t="array" ref="AT11">IFERROR(
(AVERAGE((IF(DATOS_[[Sexo]:[Sexo]]=$B11,IF(DATOS_[[Check Periodo Ref.]:[Check Periodo Ref.]]="Dentro",IF(DATOS_[[Check Equiparado]:[Check Equiparado]]="Sí",IF(DATOS!BM$5="Sí",(1/DATOS_[[% anualiz]:[% anualiz]]),1)*IF(DATOS!BM$4="Sí",1/DATOS_[[% normaliz]:[% normaliz]],1)*(DATOS_[C.Extra.05]))))))),
0)</f>
        <v>0</v>
      </c>
      <c r="AU11" s="105">
        <f t="array" ref="AU11">IFERROR(
AVERAGE(IF(DATOS_[Sexo]=$B11,IF(DATOS_[Check Equiparado]="Sí",IF(DATOS_[Check Periodo Ref.]="Dentro",DATOS_[Tot Extrasalarial Eq],FALSE)))),
0)</f>
        <v>70.188679245283012</v>
      </c>
      <c r="AV11" s="106">
        <f t="array" ref="AV11">IFERROR(
AVERAGE(IF(DATOS_[Sexo]=$B11,IF(DATOS_[Check Equiparado]="Sí",IF(DATOS_[Check Periodo Ref.]="Dentro",DATOS_[TOTAL Retrib Eq],FALSE)))),
0)</f>
        <v>16205.992403073391</v>
      </c>
      <c r="AW11" s="344"/>
      <c r="AX11" s="309"/>
      <c r="AY11" s="309"/>
    </row>
    <row r="12" spans="1:51" x14ac:dyDescent="0.3">
      <c r="D12" s="59"/>
      <c r="E12" s="59"/>
      <c r="F12" s="59"/>
      <c r="G12" s="59"/>
      <c r="H12" s="59"/>
      <c r="N12" s="60"/>
      <c r="O12" s="61"/>
      <c r="P12" s="61"/>
      <c r="Q12" s="61"/>
      <c r="R12" s="61"/>
      <c r="S12" s="61"/>
      <c r="T12" s="61"/>
      <c r="U12" s="61"/>
      <c r="V12" s="61"/>
      <c r="W12" s="61"/>
      <c r="X12" s="61"/>
      <c r="Y12" s="61"/>
      <c r="Z12" s="60"/>
      <c r="AA12" s="60"/>
      <c r="AB12" s="60"/>
      <c r="AC12" s="60"/>
      <c r="AD12" s="60"/>
      <c r="AE12" s="60"/>
      <c r="AF12" s="60"/>
      <c r="AG12" s="60"/>
      <c r="AH12" s="60"/>
      <c r="AI12" s="60"/>
      <c r="AJ12" s="60"/>
      <c r="AK12" s="60"/>
      <c r="AL12" s="60"/>
      <c r="AM12" s="60"/>
      <c r="AP12" s="61"/>
      <c r="AQ12" s="61"/>
      <c r="AR12" s="61"/>
      <c r="AS12" s="61"/>
      <c r="AT12" s="61"/>
    </row>
    <row r="13" spans="1:51" x14ac:dyDescent="0.3">
      <c r="D13" s="59"/>
      <c r="E13" s="59"/>
      <c r="F13" s="59"/>
      <c r="G13" s="59"/>
      <c r="H13" s="59"/>
      <c r="N13" s="60"/>
      <c r="O13" s="61"/>
      <c r="P13" s="61"/>
      <c r="Q13" s="61"/>
      <c r="R13" s="61"/>
      <c r="S13" s="61"/>
      <c r="T13" s="61"/>
      <c r="U13" s="61"/>
      <c r="V13" s="61"/>
      <c r="W13" s="61"/>
      <c r="X13" s="61"/>
      <c r="Y13" s="61"/>
      <c r="Z13" s="60"/>
      <c r="AA13" s="60"/>
      <c r="AB13" s="60"/>
      <c r="AC13" s="60"/>
      <c r="AD13" s="60"/>
      <c r="AE13" s="60"/>
      <c r="AF13" s="60"/>
      <c r="AG13" s="60"/>
      <c r="AH13" s="60"/>
      <c r="AI13" s="60"/>
      <c r="AJ13" s="60"/>
      <c r="AK13" s="60"/>
      <c r="AL13" s="60"/>
      <c r="AM13" s="60"/>
      <c r="AP13" s="61"/>
      <c r="AQ13" s="61"/>
      <c r="AR13" s="61"/>
      <c r="AS13" s="61"/>
      <c r="AT13" s="61"/>
    </row>
    <row r="14" spans="1:51" s="56" customFormat="1" ht="46.15" customHeight="1" x14ac:dyDescent="0.25">
      <c r="B14" s="54"/>
      <c r="C14" s="54" t="s">
        <v>225</v>
      </c>
      <c r="D14" s="54" t="s">
        <v>220</v>
      </c>
      <c r="E14" s="54" t="s">
        <v>293</v>
      </c>
      <c r="F14" s="54" t="s">
        <v>291</v>
      </c>
      <c r="G14" s="54" t="s">
        <v>292</v>
      </c>
      <c r="H14" s="54" t="s">
        <v>224</v>
      </c>
      <c r="I14" s="144" t="s">
        <v>217</v>
      </c>
      <c r="J14" s="55" t="str">
        <f>+J8</f>
        <v>MejVol</v>
      </c>
      <c r="K14" s="55" t="str">
        <f t="shared" ref="K14:AM14" si="3">+K8</f>
        <v>Antig.</v>
      </c>
      <c r="L14" s="55" t="str">
        <f t="shared" si="3"/>
        <v>Transporte</v>
      </c>
      <c r="M14" s="55" t="str">
        <f t="shared" si="3"/>
        <v>Ventas</v>
      </c>
      <c r="N14" s="55" t="str">
        <f t="shared" si="3"/>
        <v>Bonus</v>
      </c>
      <c r="O14" s="55" t="str">
        <f t="shared" si="3"/>
        <v>Coche</v>
      </c>
      <c r="P14" s="55" t="str">
        <f t="shared" si="3"/>
        <v>Cesta</v>
      </c>
      <c r="Q14" s="55" t="str">
        <f t="shared" si="3"/>
        <v>Nocturnidad</v>
      </c>
      <c r="R14" s="55" t="str">
        <f t="shared" si="3"/>
        <v>[ocultar]</v>
      </c>
      <c r="S14" s="55" t="str">
        <f t="shared" si="3"/>
        <v>[ocultar]</v>
      </c>
      <c r="T14" s="55" t="str">
        <f t="shared" si="3"/>
        <v>[ocultar]</v>
      </c>
      <c r="U14" s="55" t="str">
        <f t="shared" si="3"/>
        <v>[ocultar]</v>
      </c>
      <c r="V14" s="55" t="str">
        <f t="shared" si="3"/>
        <v>[ocultar]</v>
      </c>
      <c r="W14" s="55" t="str">
        <f t="shared" si="3"/>
        <v>[ocultar]</v>
      </c>
      <c r="X14" s="55" t="str">
        <f t="shared" si="3"/>
        <v>[ocultar]</v>
      </c>
      <c r="Y14" s="55" t="str">
        <f t="shared" si="3"/>
        <v>[ocultar]</v>
      </c>
      <c r="Z14" s="55" t="str">
        <f t="shared" si="3"/>
        <v>[ocultar]</v>
      </c>
      <c r="AA14" s="55" t="str">
        <f t="shared" si="3"/>
        <v>[ocultar]</v>
      </c>
      <c r="AB14" s="55" t="str">
        <f t="shared" si="3"/>
        <v>[ocultar]</v>
      </c>
      <c r="AC14" s="55" t="str">
        <f t="shared" si="3"/>
        <v>[ocultar]</v>
      </c>
      <c r="AD14" s="55" t="str">
        <f t="shared" si="3"/>
        <v>[ocultar]</v>
      </c>
      <c r="AE14" s="55" t="str">
        <f t="shared" si="3"/>
        <v>[ocultar]</v>
      </c>
      <c r="AF14" s="55" t="str">
        <f t="shared" si="3"/>
        <v>[ocultar]</v>
      </c>
      <c r="AG14" s="55" t="str">
        <f t="shared" si="3"/>
        <v>[ocultar]</v>
      </c>
      <c r="AH14" s="55" t="str">
        <f t="shared" si="3"/>
        <v>[ocultar]</v>
      </c>
      <c r="AI14" s="55" t="str">
        <f t="shared" si="3"/>
        <v>[ocultar]</v>
      </c>
      <c r="AJ14" s="55" t="str">
        <f t="shared" si="3"/>
        <v>[ocultar]</v>
      </c>
      <c r="AK14" s="55" t="str">
        <f t="shared" si="3"/>
        <v>[ocultar]</v>
      </c>
      <c r="AL14" s="55" t="str">
        <f t="shared" si="3"/>
        <v>[ocultar]</v>
      </c>
      <c r="AM14" s="55" t="str">
        <f t="shared" si="3"/>
        <v>[ocultar]</v>
      </c>
      <c r="AN14" s="67" t="s">
        <v>218</v>
      </c>
      <c r="AO14" s="68" t="s">
        <v>211</v>
      </c>
      <c r="AP14" s="64" t="str">
        <f>+AP8</f>
        <v>Dietas</v>
      </c>
      <c r="AQ14" s="64" t="str">
        <f t="shared" ref="AQ14:AT14" si="4">+AQ8</f>
        <v>Indem</v>
      </c>
      <c r="AR14" s="64" t="str">
        <f t="shared" si="4"/>
        <v>ERTE</v>
      </c>
      <c r="AS14" s="64" t="str">
        <f t="shared" si="4"/>
        <v>IT</v>
      </c>
      <c r="AT14" s="64" t="str">
        <f t="shared" si="4"/>
        <v>[ocultar]</v>
      </c>
      <c r="AU14" s="65" t="s">
        <v>219</v>
      </c>
      <c r="AV14" s="66" t="s">
        <v>212</v>
      </c>
    </row>
    <row r="15" spans="1:51" ht="17.25" thickBot="1" x14ac:dyDescent="0.35">
      <c r="A15" s="53" t="str">
        <f>+A16</f>
        <v/>
      </c>
      <c r="B15" s="62" t="s">
        <v>298</v>
      </c>
      <c r="C15" s="99"/>
      <c r="D15" s="63"/>
      <c r="E15" s="63"/>
      <c r="F15" s="63"/>
      <c r="G15" s="63"/>
      <c r="H15" s="63"/>
      <c r="I15" s="129">
        <f t="shared" ref="I15" si="5">IFERROR((I16-I17)/I16,"")</f>
        <v>3.5714285714285816E-2</v>
      </c>
      <c r="J15" s="130">
        <f>IFERROR((J16-J17)/J16,"")</f>
        <v>0.35875736486414633</v>
      </c>
      <c r="K15" s="131">
        <f t="shared" ref="K15:AV15" si="6">IFERROR((K16-K17)/K16,"")</f>
        <v>6.349206349206353E-2</v>
      </c>
      <c r="L15" s="131" t="str">
        <f t="shared" si="6"/>
        <v/>
      </c>
      <c r="M15" s="131">
        <f t="shared" si="6"/>
        <v>-0.38851802403204272</v>
      </c>
      <c r="N15" s="132">
        <f t="shared" si="6"/>
        <v>0.55102040816326536</v>
      </c>
      <c r="O15" s="133">
        <f t="shared" si="6"/>
        <v>0.40886699507389157</v>
      </c>
      <c r="P15" s="133">
        <f t="shared" si="6"/>
        <v>0</v>
      </c>
      <c r="Q15" s="133" t="str">
        <f t="shared" si="6"/>
        <v/>
      </c>
      <c r="R15" s="133" t="str">
        <f t="shared" si="6"/>
        <v/>
      </c>
      <c r="S15" s="133" t="str">
        <f t="shared" si="6"/>
        <v/>
      </c>
      <c r="T15" s="133" t="str">
        <f t="shared" si="6"/>
        <v/>
      </c>
      <c r="U15" s="133" t="str">
        <f t="shared" si="6"/>
        <v/>
      </c>
      <c r="V15" s="133" t="str">
        <f t="shared" si="6"/>
        <v/>
      </c>
      <c r="W15" s="133" t="str">
        <f t="shared" si="6"/>
        <v/>
      </c>
      <c r="X15" s="133" t="str">
        <f t="shared" si="6"/>
        <v/>
      </c>
      <c r="Y15" s="133" t="str">
        <f t="shared" si="6"/>
        <v/>
      </c>
      <c r="Z15" s="132" t="str">
        <f t="shared" si="6"/>
        <v/>
      </c>
      <c r="AA15" s="132" t="str">
        <f t="shared" si="6"/>
        <v/>
      </c>
      <c r="AB15" s="132" t="str">
        <f t="shared" si="6"/>
        <v/>
      </c>
      <c r="AC15" s="132" t="str">
        <f t="shared" si="6"/>
        <v/>
      </c>
      <c r="AD15" s="132" t="str">
        <f t="shared" si="6"/>
        <v/>
      </c>
      <c r="AE15" s="132" t="str">
        <f t="shared" si="6"/>
        <v/>
      </c>
      <c r="AF15" s="132" t="str">
        <f t="shared" si="6"/>
        <v/>
      </c>
      <c r="AG15" s="132" t="str">
        <f t="shared" si="6"/>
        <v/>
      </c>
      <c r="AH15" s="132" t="str">
        <f t="shared" si="6"/>
        <v/>
      </c>
      <c r="AI15" s="132" t="str">
        <f t="shared" si="6"/>
        <v/>
      </c>
      <c r="AJ15" s="132" t="str">
        <f t="shared" si="6"/>
        <v/>
      </c>
      <c r="AK15" s="132" t="str">
        <f t="shared" si="6"/>
        <v/>
      </c>
      <c r="AL15" s="132" t="str">
        <f t="shared" si="6"/>
        <v/>
      </c>
      <c r="AM15" s="132" t="str">
        <f t="shared" si="6"/>
        <v/>
      </c>
      <c r="AN15" s="134">
        <f t="shared" si="6"/>
        <v>0.33399200900365456</v>
      </c>
      <c r="AO15" s="138">
        <f t="shared" si="6"/>
        <v>0.22363747661868388</v>
      </c>
      <c r="AP15" s="135">
        <f t="shared" si="6"/>
        <v>1</v>
      </c>
      <c r="AQ15" s="135" t="str">
        <f t="shared" si="6"/>
        <v/>
      </c>
      <c r="AR15" s="135" t="str">
        <f t="shared" si="6"/>
        <v/>
      </c>
      <c r="AS15" s="135" t="str">
        <f t="shared" si="6"/>
        <v/>
      </c>
      <c r="AT15" s="135" t="str">
        <f t="shared" si="6"/>
        <v/>
      </c>
      <c r="AU15" s="136">
        <f t="shared" si="6"/>
        <v>1</v>
      </c>
      <c r="AV15" s="137">
        <f t="shared" si="6"/>
        <v>0.23508110307287924</v>
      </c>
    </row>
    <row r="16" spans="1:51" x14ac:dyDescent="0.3">
      <c r="A16" s="53" t="str">
        <f>+IF(C16+C17=0,"[ocultar]","")</f>
        <v/>
      </c>
      <c r="B16" s="57" t="s">
        <v>162</v>
      </c>
      <c r="C16" s="56">
        <f t="array" ref="C16">SUM(IF($B16=DATOS_[Sexo],
IF($B15=DATOS_[AGRUP. CLAS. PROF.],
IF("Dentro"=DATOS_[Check Periodo Ref.],
1/(COUNTIFS(DATOS_[Sexo],$B16,DATOS_[AGRUP. CLAS. PROF.],$B15,DATOS_[Check Periodo Ref.],"Dentro",DATOS_[id],DATOS_[id]))))))</f>
        <v>8</v>
      </c>
      <c r="D16" s="58">
        <f>COUNTIFS(DATOS_[AGRUP. CLAS. PROF.],$B15,DATOS_[Sexo],$B16,DATOS_[Check Periodo Ref.],"Dentro")</f>
        <v>8</v>
      </c>
      <c r="E16" s="58">
        <f>COUNTIFS(DATOS_[AGRUP. CLAS. PROF.],$B15,DATOS_[Sexo],$B16,DATOS_[Check Periodo Ref.],"Dentro",DATOS_[Check Nº SC Norm],"Sí")</f>
        <v>1</v>
      </c>
      <c r="F16" s="58">
        <f>COUNTIFS(DATOS_[AGRUP. CLAS. PROF.],$B15,DATOS_[Sexo],$B16,DATOS_[Check Periodo Ref.],"Dentro",DATOS_[Check Nº SC Anualiz],"Sí")</f>
        <v>0</v>
      </c>
      <c r="G16" s="58">
        <f>COUNTIFS(DATOS_[AGRUP. CLAS. PROF.],$B15,DATOS_[Sexo],$B16,DATOS_[Check Periodo Ref.],"Dentro",DATOS_[Check Nº SC Norm y Anualiz],"Sí")</f>
        <v>0</v>
      </c>
      <c r="H16" s="58">
        <f>COUNTIFS(DATOS_[AGRUP. CLAS. PROF.],$B15,DATOS_[Sexo],$B16,DATOS_[Check Periodo Ref.],"Dentro",DATOS_[Check Equiparación],"Sí")</f>
        <v>1</v>
      </c>
      <c r="I16" s="100">
        <f t="array" ref="I16">IFERROR(
AVERAGE(IF(DATOS_[Sexo]=$B16,IF(DATOS_[[AGRUP. CLAS. PROF.]:[AGRUP. CLAS. PROF.]]=$B15,IF(DATOS_[Check Equiparado]="Sí",IF(DATOS_[Check Periodo Ref.]="Dentro",DATOS_[SALARIO BASE Eq],FALSE))))),
0)</f>
        <v>18547.37</v>
      </c>
      <c r="J16" s="101">
        <f t="array" ref="J16">IFERROR(
(AVERAGE((IF(DATOS_[[Sexo]:[Sexo]]=$B16,IF(DATOS_[[AGRUP. CLAS. PROF.]:[AGRUP. CLAS. PROF.]]=$B15,IF(DATOS_[[Check Periodo Ref.]:[Check Periodo Ref.]]="Dentro",IF(DATOS_[[Check Equiparado]:[Check Equiparado]]="Sí",IF(DATOS!AE$5="Sí",(1/DATOS_[[% anualiz]:[% anualiz]]),1)*IF(DATOS!AE$4="Sí",1/DATOS_[[% normaliz]:[% normaliz]],1)*(DATOS_[Conc.Sal.01])))))))),
0)</f>
        <v>22702.63</v>
      </c>
      <c r="K16" s="101">
        <f t="array" ref="K16">IFERROR(
(AVERAGE((IF(DATOS_[[Sexo]:[Sexo]]=$B16,IF(DATOS_[[AGRUP. CLAS. PROF.]:[AGRUP. CLAS. PROF.]]=$B15,IF(DATOS_[[Check Periodo Ref.]:[Check Periodo Ref.]]="Dentro",IF(DATOS_[[Check Equiparado]:[Check Equiparado]]="Sí",IF(DATOS!AF$5="Sí",(1/DATOS_[[% anualiz]:[% anualiz]]),1)*IF(DATOS!AF$4="Sí",1/DATOS_[[% normaliz]:[% normaliz]],1)*(DATOS_[Conc.Sal.02])))))))),
0)</f>
        <v>1669.2633000000001</v>
      </c>
      <c r="L16" s="101">
        <f t="array" ref="L16">IFERROR(
(AVERAGE((IF(DATOS_[[Sexo]:[Sexo]]=$B16,IF(DATOS_[[AGRUP. CLAS. PROF.]:[AGRUP. CLAS. PROF.]]=$B15,IF(DATOS_[[Check Periodo Ref.]:[Check Periodo Ref.]]="Dentro",IF(DATOS_[[Check Equiparado]:[Check Equiparado]]="Sí",IF(DATOS!AG$5="Sí",(1/DATOS_[[% anualiz]:[% anualiz]]),1)*IF(DATOS!AG$4="Sí",1/DATOS_[[% normaliz]:[% normaliz]],1)*(DATOS_[Conc.Sal.03])))))))),
0)</f>
        <v>0</v>
      </c>
      <c r="M16" s="101">
        <f t="array" ref="M16">IFERROR(
(AVERAGE((IF(DATOS_[[Sexo]:[Sexo]]=$B16,IF(DATOS_[[AGRUP. CLAS. PROF.]:[AGRUP. CLAS. PROF.]]=$B15,IF(DATOS_[[Check Periodo Ref.]:[Check Periodo Ref.]]="Dentro",IF(DATOS_[[Check Equiparado]:[Check Equiparado]]="Sí",IF(DATOS!AH$5="Sí",(1/DATOS_[[% anualiz]:[% anualiz]]),1)*IF(DATOS!AH$4="Sí",1/DATOS_[[% normaliz]:[% normaliz]],1)*(DATOS_[Conc.Sal.04])))))))),
0)</f>
        <v>1337.5</v>
      </c>
      <c r="N16" s="101">
        <f t="array" ref="N16">IFERROR(
(AVERAGE((IF(DATOS_[[Sexo]:[Sexo]]=$B16,IF(DATOS_[[AGRUP. CLAS. PROF.]:[AGRUP. CLAS. PROF.]]=$B15,IF(DATOS_[[Check Periodo Ref.]:[Check Periodo Ref.]]="Dentro",IF(DATOS_[[Check Equiparado]:[Check Equiparado]]="Sí",IF(DATOS!AI$5="Sí",(1/DATOS_[[% anualiz]:[% anualiz]]),1)*IF(DATOS!AI$4="Sí",1/DATOS_[[% normaliz]:[% normaliz]],1)*(DATOS_[Conc.Sal.05])))))))),
0)</f>
        <v>3500</v>
      </c>
      <c r="O16" s="101">
        <f t="array" ref="O16">IFERROR(
(AVERAGE((IF(DATOS_[[Sexo]:[Sexo]]=$B16,IF(DATOS_[[AGRUP. CLAS. PROF.]:[AGRUP. CLAS. PROF.]]=$B15,IF(DATOS_[[Check Periodo Ref.]:[Check Periodo Ref.]]="Dentro",IF(DATOS_[[Check Equiparado]:[Check Equiparado]]="Sí",IF(DATOS!AJ$5="Sí",(1/DATOS_[[% anualiz]:[% anualiz]]),1)*IF(DATOS!AJ$4="Sí",1/DATOS_[[% normaliz]:[% normaliz]],1)*(DATOS_[Conc.Sal.06])))))))),
0)</f>
        <v>2175</v>
      </c>
      <c r="P16" s="101">
        <f t="array" ref="P16">IFERROR(
(AVERAGE((IF(DATOS_[[Sexo]:[Sexo]]=$B16,IF(DATOS_[[AGRUP. CLAS. PROF.]:[AGRUP. CLAS. PROF.]]=$B15,IF(DATOS_[[Check Periodo Ref.]:[Check Periodo Ref.]]="Dentro",IF(DATOS_[[Check Equiparado]:[Check Equiparado]]="Sí",IF(DATOS!AK$5="Sí",(1/DATOS_[[% anualiz]:[% anualiz]]),1)*IF(DATOS!AK$4="Sí",1/DATOS_[[% normaliz]:[% normaliz]],1)*(DATOS_[Conc.Sal.07])))))))),
0)</f>
        <v>200</v>
      </c>
      <c r="Q16" s="101">
        <f t="array" ref="Q16">IFERROR(
(AVERAGE((IF(DATOS_[[Sexo]:[Sexo]]=$B16,IF(DATOS_[[AGRUP. CLAS. PROF.]:[AGRUP. CLAS. PROF.]]=$B15,IF(DATOS_[[Check Periodo Ref.]:[Check Periodo Ref.]]="Dentro",IF(DATOS_[[Check Equiparado]:[Check Equiparado]]="Sí",IF(DATOS!AL$5="Sí",(1/DATOS_[[% anualiz]:[% anualiz]]),1)*IF(DATOS!AL$4="Sí",1/DATOS_[[% normaliz]:[% normaliz]],1)*(DATOS_[Conc.Sal.08])))))))),
0)</f>
        <v>0</v>
      </c>
      <c r="R16" s="101">
        <f t="array" ref="R16">IFERROR(
(AVERAGE((IF(DATOS_[[Sexo]:[Sexo]]=$B16,IF(DATOS_[[AGRUP. CLAS. PROF.]:[AGRUP. CLAS. PROF.]]=$B15,IF(DATOS_[[Check Periodo Ref.]:[Check Periodo Ref.]]="Dentro",IF(DATOS_[[Check Equiparado]:[Check Equiparado]]="Sí",IF(DATOS!AM$5="Sí",(1/DATOS_[[% anualiz]:[% anualiz]]),1)*IF(DATOS!AM$4="Sí",1/DATOS_[[% normaliz]:[% normaliz]],1)*(DATOS_[Conc.Sal.09])))))))),
0)</f>
        <v>0</v>
      </c>
      <c r="S16" s="101">
        <f t="array" ref="S16">IFERROR(
(AVERAGE((IF(DATOS_[[Sexo]:[Sexo]]=$B16,IF(DATOS_[[AGRUP. CLAS. PROF.]:[AGRUP. CLAS. PROF.]]=$B15,IF(DATOS_[[Check Periodo Ref.]:[Check Periodo Ref.]]="Dentro",IF(DATOS_[[Check Equiparado]:[Check Equiparado]]="Sí",IF(DATOS!AN$5="Sí",(1/DATOS_[[% anualiz]:[% anualiz]]),1)*IF(DATOS!AN$4="Sí",1/DATOS_[[% normaliz]:[% normaliz]],1)*(DATOS_[Conc.Sal.10])))))))),
0)</f>
        <v>0</v>
      </c>
      <c r="T16" s="101">
        <f t="array" ref="T16">IFERROR(
(AVERAGE((IF(DATOS_[[Sexo]:[Sexo]]=$B16,IF(DATOS_[[AGRUP. CLAS. PROF.]:[AGRUP. CLAS. PROF.]]=$B15,IF(DATOS_[[Check Periodo Ref.]:[Check Periodo Ref.]]="Dentro",IF(DATOS_[[Check Equiparado]:[Check Equiparado]]="Sí",IF(DATOS!AO$5="Sí",(1/DATOS_[[% anualiz]:[% anualiz]]),1)*IF(DATOS!AO$4="Sí",1/DATOS_[[% normaliz]:[% normaliz]],1)*(DATOS_[Conc.Sal.11])))))))),
0)</f>
        <v>0</v>
      </c>
      <c r="U16" s="101">
        <f t="array" ref="U16">IFERROR(
(AVERAGE((IF(DATOS_[[Sexo]:[Sexo]]=$B16,IF(DATOS_[[AGRUP. CLAS. PROF.]:[AGRUP. CLAS. PROF.]]=$B15,IF(DATOS_[[Check Periodo Ref.]:[Check Periodo Ref.]]="Dentro",IF(DATOS_[[Check Equiparado]:[Check Equiparado]]="Sí",IF(DATOS!AP$5="Sí",(1/DATOS_[[% anualiz]:[% anualiz]]),1)*IF(DATOS!AP$4="Sí",1/DATOS_[[% normaliz]:[% normaliz]],1)*(DATOS_[Conc.Sal.12])))))))),
0)</f>
        <v>0</v>
      </c>
      <c r="V16" s="101">
        <f t="array" ref="V16">IFERROR(
(AVERAGE((IF(DATOS_[[Sexo]:[Sexo]]=$B16,IF(DATOS_[[AGRUP. CLAS. PROF.]:[AGRUP. CLAS. PROF.]]=$B15,IF(DATOS_[[Check Periodo Ref.]:[Check Periodo Ref.]]="Dentro",IF(DATOS_[[Check Equiparado]:[Check Equiparado]]="Sí",IF(DATOS!AQ$5="Sí",(1/DATOS_[[% anualiz]:[% anualiz]]),1)*IF(DATOS!AQ$4="Sí",1/DATOS_[[% normaliz]:[% normaliz]],1)*(DATOS_[Conc.Sal.13])))))))),
0)</f>
        <v>0</v>
      </c>
      <c r="W16" s="101">
        <f t="array" ref="W16">IFERROR(
(AVERAGE((IF(DATOS_[[Sexo]:[Sexo]]=$B16,IF(DATOS_[[AGRUP. CLAS. PROF.]:[AGRUP. CLAS. PROF.]]=$B15,IF(DATOS_[[Check Periodo Ref.]:[Check Periodo Ref.]]="Dentro",IF(DATOS_[[Check Equiparado]:[Check Equiparado]]="Sí",IF(DATOS!AR$5="Sí",(1/DATOS_[[% anualiz]:[% anualiz]]),1)*IF(DATOS!AR$4="Sí",1/DATOS_[[% normaliz]:[% normaliz]],1)*(DATOS_[Conc.Sal.14])))))))),
0)</f>
        <v>0</v>
      </c>
      <c r="X16" s="101">
        <f t="array" ref="X16">IFERROR(
(AVERAGE((IF(DATOS_[[Sexo]:[Sexo]]=$B16,IF(DATOS_[[AGRUP. CLAS. PROF.]:[AGRUP. CLAS. PROF.]]=$B15,IF(DATOS_[[Check Periodo Ref.]:[Check Periodo Ref.]]="Dentro",IF(DATOS_[[Check Equiparado]:[Check Equiparado]]="Sí",IF(DATOS!AS$5="Sí",(1/DATOS_[[% anualiz]:[% anualiz]]),1)*IF(DATOS!AS$4="Sí",1/DATOS_[[% normaliz]:[% normaliz]],1)*(DATOS_[Conc.Sal.15])))))))),
0)</f>
        <v>0</v>
      </c>
      <c r="Y16" s="101">
        <f t="array" ref="Y16">IFERROR(
(AVERAGE((IF(DATOS_[[Sexo]:[Sexo]]=$B16,IF(DATOS_[[AGRUP. CLAS. PROF.]:[AGRUP. CLAS. PROF.]]=$B15,IF(DATOS_[[Check Periodo Ref.]:[Check Periodo Ref.]]="Dentro",IF(DATOS_[[Check Equiparado]:[Check Equiparado]]="Sí",IF(DATOS!AT$5="Sí",(1/DATOS_[[% anualiz]:[% anualiz]]),1)*IF(DATOS!AT$4="Sí",1/DATOS_[[% normaliz]:[% normaliz]],1)*(DATOS_[Conc.Sal.16])))))))),
0)</f>
        <v>0</v>
      </c>
      <c r="Z16" s="101">
        <f t="array" ref="Z16">IFERROR(
(AVERAGE((IF(DATOS_[[Sexo]:[Sexo]]=$B16,IF(DATOS_[[AGRUP. CLAS. PROF.]:[AGRUP. CLAS. PROF.]]=$B15,IF(DATOS_[[Check Periodo Ref.]:[Check Periodo Ref.]]="Dentro",IF(DATOS_[[Check Equiparado]:[Check Equiparado]]="Sí",IF(DATOS!AU$5="Sí",(1/DATOS_[[% anualiz]:[% anualiz]]),1)*IF(DATOS!AU$4="Sí",1/DATOS_[[% normaliz]:[% normaliz]],1)*(DATOS_[Conc.Sal.17])))))))),
0)</f>
        <v>0</v>
      </c>
      <c r="AA16" s="101">
        <f t="array" ref="AA16">IFERROR(
(AVERAGE((IF(DATOS_[[Sexo]:[Sexo]]=$B16,IF(DATOS_[[AGRUP. CLAS. PROF.]:[AGRUP. CLAS. PROF.]]=$B15,IF(DATOS_[[Check Periodo Ref.]:[Check Periodo Ref.]]="Dentro",IF(DATOS_[[Check Equiparado]:[Check Equiparado]]="Sí",IF(DATOS!AV$5="Sí",(1/DATOS_[[% anualiz]:[% anualiz]]),1)*IF(DATOS!AV$4="Sí",1/DATOS_[[% normaliz]:[% normaliz]],1)*(DATOS_[Conc.Sal.18])))))))),
0)</f>
        <v>0</v>
      </c>
      <c r="AB16" s="101">
        <f t="array" ref="AB16">IFERROR(
(AVERAGE((IF(DATOS_[[Sexo]:[Sexo]]=$B16,IF(DATOS_[[AGRUP. CLAS. PROF.]:[AGRUP. CLAS. PROF.]]=$B15,IF(DATOS_[[Check Periodo Ref.]:[Check Periodo Ref.]]="Dentro",IF(DATOS_[[Check Equiparado]:[Check Equiparado]]="Sí",IF(DATOS!AW$5="Sí",(1/DATOS_[[% anualiz]:[% anualiz]]),1)*IF(DATOS!AW$4="Sí",1/DATOS_[[% normaliz]:[% normaliz]],1)*(DATOS_[Conc.Sal.19])))))))),
0)</f>
        <v>0</v>
      </c>
      <c r="AC16" s="101">
        <f t="array" ref="AC16">IFERROR(
(AVERAGE((IF(DATOS_[[Sexo]:[Sexo]]=$B16,IF(DATOS_[[AGRUP. CLAS. PROF.]:[AGRUP. CLAS. PROF.]]=$B15,IF(DATOS_[[Check Periodo Ref.]:[Check Periodo Ref.]]="Dentro",IF(DATOS_[[Check Equiparado]:[Check Equiparado]]="Sí",IF(DATOS!AX$5="Sí",(1/DATOS_[[% anualiz]:[% anualiz]]),1)*IF(DATOS!AX$4="Sí",1/DATOS_[[% normaliz]:[% normaliz]],1)*(DATOS_[Conc.Sal.20])))))))),
0)</f>
        <v>0</v>
      </c>
      <c r="AD16" s="101">
        <f t="array" ref="AD16">IFERROR(
(AVERAGE((IF(DATOS_[[Sexo]:[Sexo]]=$B16,IF(DATOS_[[AGRUP. CLAS. PROF.]:[AGRUP. CLAS. PROF.]]=$B15,IF(DATOS_[[Check Periodo Ref.]:[Check Periodo Ref.]]="Dentro",IF(DATOS_[[Check Equiparado]:[Check Equiparado]]="Sí",IF(DATOS!AY$5="Sí",(1/DATOS_[[% anualiz]:[% anualiz]]),1)*IF(DATOS!AY$4="Sí",1/DATOS_[[% normaliz]:[% normaliz]],1)*(DATOS_[Conc.Sal.21])))))))),
0)</f>
        <v>0</v>
      </c>
      <c r="AE16" s="101">
        <f t="array" ref="AE16">IFERROR(
(AVERAGE((IF(DATOS_[[Sexo]:[Sexo]]=$B16,IF(DATOS_[[AGRUP. CLAS. PROF.]:[AGRUP. CLAS. PROF.]]=$B15,IF(DATOS_[[Check Periodo Ref.]:[Check Periodo Ref.]]="Dentro",IF(DATOS_[[Check Equiparado]:[Check Equiparado]]="Sí",IF(DATOS!AZ$5="Sí",(1/DATOS_[[% anualiz]:[% anualiz]]),1)*IF(DATOS!AZ$4="Sí",1/DATOS_[[% normaliz]:[% normaliz]],1)*(DATOS_[Conc.Sal.22])))))))),
0)</f>
        <v>0</v>
      </c>
      <c r="AF16" s="101">
        <f t="array" ref="AF16">IFERROR(
(AVERAGE((IF(DATOS_[[Sexo]:[Sexo]]=$B16,IF(DATOS_[[AGRUP. CLAS. PROF.]:[AGRUP. CLAS. PROF.]]=$B15,IF(DATOS_[[Check Periodo Ref.]:[Check Periodo Ref.]]="Dentro",IF(DATOS_[[Check Equiparado]:[Check Equiparado]]="Sí",IF(DATOS!BA$5="Sí",(1/DATOS_[[% anualiz]:[% anualiz]]),1)*IF(DATOS!BA$4="Sí",1/DATOS_[[% normaliz]:[% normaliz]],1)*(DATOS_[Conc.Sal.23])))))))),
0)</f>
        <v>0</v>
      </c>
      <c r="AG16" s="101">
        <f t="array" ref="AG16">IFERROR(
(AVERAGE((IF(DATOS_[[Sexo]:[Sexo]]=$B16,IF(DATOS_[[AGRUP. CLAS. PROF.]:[AGRUP. CLAS. PROF.]]=$B15,IF(DATOS_[[Check Periodo Ref.]:[Check Periodo Ref.]]="Dentro",IF(DATOS_[[Check Equiparado]:[Check Equiparado]]="Sí",IF(DATOS!BB$5="Sí",(1/DATOS_[[% anualiz]:[% anualiz]]),1)*IF(DATOS!BB$4="Sí",1/DATOS_[[% normaliz]:[% normaliz]],1)*(DATOS_[Conc.Sal.24])))))))),
0)</f>
        <v>0</v>
      </c>
      <c r="AH16" s="101">
        <f t="array" ref="AH16">IFERROR(
(AVERAGE((IF(DATOS_[[Sexo]:[Sexo]]=$B16,IF(DATOS_[[AGRUP. CLAS. PROF.]:[AGRUP. CLAS. PROF.]]=$B15,IF(DATOS_[[Check Periodo Ref.]:[Check Periodo Ref.]]="Dentro",IF(DATOS_[[Check Equiparado]:[Check Equiparado]]="Sí",IF(DATOS!BC$5="Sí",(1/DATOS_[[% anualiz]:[% anualiz]]),1)*IF(DATOS!BC$4="Sí",1/DATOS_[[% normaliz]:[% normaliz]],1)*(DATOS_[Conc.Sal.25])))))))),
0)</f>
        <v>0</v>
      </c>
      <c r="AI16" s="101">
        <f t="array" ref="AI16">IFERROR(
(AVERAGE((IF(DATOS_[[Sexo]:[Sexo]]=$B16,IF(DATOS_[[AGRUP. CLAS. PROF.]:[AGRUP. CLAS. PROF.]]=$B15,IF(DATOS_[[Check Periodo Ref.]:[Check Periodo Ref.]]="Dentro",IF(DATOS_[[Check Equiparado]:[Check Equiparado]]="Sí",IF(DATOS!BD$5="Sí",(1/DATOS_[[% anualiz]:[% anualiz]]),1)*IF(DATOS!BD$4="Sí",1/DATOS_[[% normaliz]:[% normaliz]],1)*(DATOS_[Conc.Sal.26])))))))),
0)</f>
        <v>0</v>
      </c>
      <c r="AJ16" s="101">
        <f t="array" ref="AJ16">IFERROR(
(AVERAGE((IF(DATOS_[[Sexo]:[Sexo]]=$B16,IF(DATOS_[[AGRUP. CLAS. PROF.]:[AGRUP. CLAS. PROF.]]=$B15,IF(DATOS_[[Check Periodo Ref.]:[Check Periodo Ref.]]="Dentro",IF(DATOS_[[Check Equiparado]:[Check Equiparado]]="Sí",IF(DATOS!BE$5="Sí",(1/DATOS_[[% anualiz]:[% anualiz]]),1)*IF(DATOS!BE$4="Sí",1/DATOS_[[% normaliz]:[% normaliz]],1)*(DATOS_[Conc.Sal.27])))))))),
0)</f>
        <v>0</v>
      </c>
      <c r="AK16" s="101">
        <f t="array" ref="AK16">IFERROR(
(AVERAGE((IF(DATOS_[[Sexo]:[Sexo]]=$B16,IF(DATOS_[[AGRUP. CLAS. PROF.]:[AGRUP. CLAS. PROF.]]=$B15,IF(DATOS_[[Check Periodo Ref.]:[Check Periodo Ref.]]="Dentro",IF(DATOS_[[Check Equiparado]:[Check Equiparado]]="Sí",IF(DATOS!BF$5="Sí",(1/DATOS_[[% anualiz]:[% anualiz]]),1)*IF(DATOS!BF$4="Sí",1/DATOS_[[% normaliz]:[% normaliz]],1)*(DATOS_[Conc.Sal.28])))))))),
0)</f>
        <v>0</v>
      </c>
      <c r="AL16" s="101">
        <f t="array" ref="AL16">IFERROR(
(AVERAGE((IF(DATOS_[[Sexo]:[Sexo]]=$B16,IF(DATOS_[[AGRUP. CLAS. PROF.]:[AGRUP. CLAS. PROF.]]=$B15,IF(DATOS_[[Check Periodo Ref.]:[Check Periodo Ref.]]="Dentro",IF(DATOS_[[Check Equiparado]:[Check Equiparado]]="Sí",IF(DATOS!BG$5="Sí",(1/DATOS_[[% anualiz]:[% anualiz]]),1)*IF(DATOS!BG$4="Sí",1/DATOS_[[% normaliz]:[% normaliz]],1)*(DATOS_[Conc.Sal.29])))))))),
0)</f>
        <v>0</v>
      </c>
      <c r="AM16" s="101">
        <f t="array" ref="AM16">IFERROR(
(AVERAGE((IF(DATOS_[[Sexo]:[Sexo]]=$B16,IF(DATOS_[[AGRUP. CLAS. PROF.]:[AGRUP. CLAS. PROF.]]=$B15,IF(DATOS_[[Check Periodo Ref.]:[Check Periodo Ref.]]="Dentro",IF(DATOS_[[Check Equiparado]:[Check Equiparado]]="Sí",IF(DATOS!BH$5="Sí",(1/DATOS_[[% anualiz]:[% anualiz]]),1)*IF(DATOS!BH$4="Sí",1/DATOS_[[% normaliz]:[% normaliz]],1)*(DATOS_[Conc.Sal.30])))))))),
0)</f>
        <v>0</v>
      </c>
      <c r="AN16" s="102">
        <f t="array" ref="AN16">IFERROR(
AVERAGE(IF(DATOS_[Sexo]=$B16,IF(DATOS_[[AGRUP. CLAS. PROF.]:[AGRUP. CLAS. PROF.]]=$B15,IF(DATOS_[Check Equiparado]="Sí",IF(DATOS_[Check Periodo Ref.]="Dentro",DATOS_[Tot COMPL.SAL Eq],FALSE))))),
0)</f>
        <v>31584.3933</v>
      </c>
      <c r="AO16" s="103">
        <f t="array" ref="AO16">IFERROR(
AVERAGE(IF(DATOS_[Sexo]=$B16,IF(DATOS_[[AGRUP. CLAS. PROF.]:[AGRUP. CLAS. PROF.]]=$B15,IF(DATOS_[Check Equiparado]="Sí",IF(DATOS_[Check Periodo Ref.]="Dentro",DATOS_[TOTAL SALARIO Eq],FALSE))))),
0)</f>
        <v>50131.763299999999</v>
      </c>
      <c r="AP16" s="104">
        <f t="array" ref="AP16">IFERROR(
(AVERAGE((IF(DATOS_[[Sexo]:[Sexo]]=$B16,IF(DATOS_[[AGRUP. CLAS. PROF.]:[AGRUP. CLAS. PROF.]]=$B15,IF(DATOS_[[Check Periodo Ref.]:[Check Periodo Ref.]]="Dentro",IF(DATOS_[[Check Equiparado]:[Check Equiparado]]="Sí",IF(DATOS!BI$5="Sí",(1/DATOS_[[% anualiz]:[% anualiz]]),1)*IF(DATOS!BI$4="Sí",1/DATOS_[[% normaliz]:[% normaliz]],1)*(DATOS_[C.Extra.01])))))))),
0)</f>
        <v>750</v>
      </c>
      <c r="AQ16" s="104">
        <f t="array" ref="AQ16">IFERROR(
(AVERAGE((IF(DATOS_[[Sexo]:[Sexo]]=$B16,IF(DATOS_[[AGRUP. CLAS. PROF.]:[AGRUP. CLAS. PROF.]]=$B15,IF(DATOS_[[Check Periodo Ref.]:[Check Periodo Ref.]]="Dentro",IF(DATOS_[[Check Equiparado]:[Check Equiparado]]="Sí",IF(DATOS!BJ$5="Sí",(1/DATOS_[[% anualiz]:[% anualiz]]),1)*IF(DATOS!BJ$4="Sí",1/DATOS_[[% normaliz]:[% normaliz]],1)*(DATOS_[C.Extra.02])))))))),
0)</f>
        <v>0</v>
      </c>
      <c r="AR16" s="104">
        <f t="array" ref="AR16">IFERROR(
(AVERAGE((IF(DATOS_[[Sexo]:[Sexo]]=$B16,IF(DATOS_[[AGRUP. CLAS. PROF.]:[AGRUP. CLAS. PROF.]]=$B15,IF(DATOS_[[Check Periodo Ref.]:[Check Periodo Ref.]]="Dentro",IF(DATOS_[[Check Equiparado]:[Check Equiparado]]="Sí",IF(DATOS!BK$5="Sí",(1/DATOS_[[% anualiz]:[% anualiz]]),1)*IF(DATOS!BK$4="Sí",1/DATOS_[[% normaliz]:[% normaliz]],1)*(DATOS_[C.Extra.03])))))))),
0)</f>
        <v>0</v>
      </c>
      <c r="AS16" s="104">
        <f t="array" ref="AS16">IFERROR(
(AVERAGE((IF(DATOS_[[Sexo]:[Sexo]]=$B16,IF(DATOS_[[AGRUP. CLAS. PROF.]:[AGRUP. CLAS. PROF.]]=$B15,IF(DATOS_[[Check Periodo Ref.]:[Check Periodo Ref.]]="Dentro",IF(DATOS_[[Check Equiparado]:[Check Equiparado]]="Sí",IF(DATOS!BL$5="Sí",(1/DATOS_[[% anualiz]:[% anualiz]]),1)*IF(DATOS!BL$4="Sí",1/DATOS_[[% normaliz]:[% normaliz]],1)*(DATOS_[C.Extra.04])))))))),
0)</f>
        <v>0</v>
      </c>
      <c r="AT16" s="104">
        <f t="array" ref="AT16">IFERROR(
(AVERAGE((IF(DATOS_[[Sexo]:[Sexo]]=$B16,IF(DATOS_[[AGRUP. CLAS. PROF.]:[AGRUP. CLAS. PROF.]]=$B15,IF(DATOS_[[Check Periodo Ref.]:[Check Periodo Ref.]]="Dentro",IF(DATOS_[[Check Equiparado]:[Check Equiparado]]="Sí",IF(DATOS!BM$5="Sí",(1/DATOS_[[% anualiz]:[% anualiz]]),1)*IF(DATOS!BM$4="Sí",1/DATOS_[[% normaliz]:[% normaliz]],1)*(DATOS_[C.Extra.05])))))))),
0)</f>
        <v>0</v>
      </c>
      <c r="AU16" s="105">
        <f t="array" ref="AU16">IFERROR(
AVERAGE(IF(DATOS_[Sexo]=$B16,IF(DATOS_[[AGRUP. CLAS. PROF.]:[AGRUP. CLAS. PROF.]]=$B15,IF(DATOS_[Check Equiparado]="Sí",IF(DATOS_[Check Periodo Ref.]="Dentro",DATOS_[Tot Extrasalarial Eq],FALSE))))),
0)</f>
        <v>750</v>
      </c>
      <c r="AV16" s="106">
        <f t="array" ref="AV16">IFERROR(
AVERAGE(IF(DATOS_[Sexo]=$B16,IF(DATOS_[[AGRUP. CLAS. PROF.]:[AGRUP. CLAS. PROF.]]=$B15,IF(DATOS_[Check Equiparado]="Sí",IF(DATOS_[Check Periodo Ref.]="Dentro",DATOS_[TOTAL Retrib Eq],FALSE))))),
0)</f>
        <v>50881.763299999999</v>
      </c>
    </row>
    <row r="17" spans="1:48" x14ac:dyDescent="0.3">
      <c r="A17" s="53" t="str">
        <f>+A16</f>
        <v/>
      </c>
      <c r="B17" s="57" t="s">
        <v>163</v>
      </c>
      <c r="C17" s="56">
        <f t="array" ref="C17">SUM(IF($B17=DATOS_[Sexo],
IF($B15=DATOS_[AGRUP. CLAS. PROF.],
IF("Dentro"=DATOS_[Check Periodo Ref.],
1/(COUNTIFS(DATOS_[Sexo],$B17,DATOS_[AGRUP. CLAS. PROF.],$B15,DATOS_[Check Periodo Ref.],"Dentro",DATOS_[id],DATOS_[id]))))))</f>
        <v>7</v>
      </c>
      <c r="D17" s="58">
        <f>COUNTIFS(DATOS_[AGRUP. CLAS. PROF.],$B15,DATOS_[Sexo],$B17,DATOS_[Check Periodo Ref.],"Dentro")</f>
        <v>8</v>
      </c>
      <c r="E17" s="58">
        <f>COUNTIFS(DATOS_[AGRUP. CLAS. PROF.],$B15,DATOS_[Sexo],$B17,DATOS_[Check Periodo Ref.],"Dentro",DATOS_[Check Nº SC Norm],"Sí")</f>
        <v>2</v>
      </c>
      <c r="F17" s="58">
        <f>COUNTIFS(DATOS_[AGRUP. CLAS. PROF.],$B15,DATOS_[Sexo],$B17,DATOS_[Check Periodo Ref.],"Dentro",DATOS_[Check Nº SC Anualiz],"Sí")</f>
        <v>1</v>
      </c>
      <c r="G17" s="58">
        <f>COUNTIFS(DATOS_[AGRUP. CLAS. PROF.],$B15,DATOS_[Sexo],$B17,DATOS_[Check Periodo Ref.],"Dentro",DATOS_[Check Nº SC Norm y Anualiz],"Sí")</f>
        <v>0</v>
      </c>
      <c r="H17" s="58">
        <f>COUNTIFS(DATOS_[AGRUP. CLAS. PROF.],$B15,DATOS_[Sexo],$B17,DATOS_[Check Periodo Ref.],"Dentro",DATOS_[Check Equiparación],"Sí")</f>
        <v>3</v>
      </c>
      <c r="I17" s="100" cm="1">
        <f t="array" ref="I17">IFERROR(
AVERAGE(IF(DATOS_[Sexo]=$B17,IF(DATOS_[[AGRUP. CLAS. PROF.]:[AGRUP. CLAS. PROF.]]=$B15,IF(DATOS_[Check Equiparado]="Sí",IF(DATOS_[Check Periodo Ref.]="Dentro",DATOS_[SALARIO BASE Eq],FALSE))))),
0)</f>
        <v>17884.963928571426</v>
      </c>
      <c r="J17" s="101">
        <f t="array" ref="J17">IFERROR(
(AVERAGE((IF(DATOS_[[Sexo]:[Sexo]]=$B17,IF(DATOS_[[AGRUP. CLAS. PROF.]:[AGRUP. CLAS. PROF.]]=$B15,IF(DATOS_[[Check Periodo Ref.]:[Check Periodo Ref.]]="Dentro",IF(DATOS_[[Check Equiparado]:[Check Equiparado]]="Sí",IF(DATOS!AE$5="Sí",(1/DATOS_[[% anualiz]:[% anualiz]]),1)*IF(DATOS!AE$4="Sí",1/DATOS_[[% normaliz]:[% normaliz]],1)*(DATOS_[Conc.Sal.01])))))))),
0)</f>
        <v>14557.894285714287</v>
      </c>
      <c r="K17" s="101">
        <f t="array" ref="K17">IFERROR(
(AVERAGE((IF(DATOS_[[Sexo]:[Sexo]]=$B17,IF(DATOS_[[AGRUP. CLAS. PROF.]:[AGRUP. CLAS. PROF.]]=$B15,IF(DATOS_[[Check Periodo Ref.]:[Check Periodo Ref.]]="Dentro",IF(DATOS_[[Check Equiparado]:[Check Equiparado]]="Sí",IF(DATOS!AF$5="Sí",(1/DATOS_[[% anualiz]:[% anualiz]]),1)*IF(DATOS!AF$4="Sí",1/DATOS_[[% normaliz]:[% normaliz]],1)*(DATOS_[Conc.Sal.02])))))))),
0)</f>
        <v>1563.2783285714286</v>
      </c>
      <c r="L17" s="101">
        <f t="array" ref="L17">IFERROR(
(AVERAGE((IF(DATOS_[[Sexo]:[Sexo]]=$B17,IF(DATOS_[[AGRUP. CLAS. PROF.]:[AGRUP. CLAS. PROF.]]=$B15,IF(DATOS_[[Check Periodo Ref.]:[Check Periodo Ref.]]="Dentro",IF(DATOS_[[Check Equiparado]:[Check Equiparado]]="Sí",IF(DATOS!AG$5="Sí",(1/DATOS_[[% anualiz]:[% anualiz]]),1)*IF(DATOS!AG$4="Sí",1/DATOS_[[% normaliz]:[% normaliz]],1)*(DATOS_[Conc.Sal.03])))))))),
0)</f>
        <v>0</v>
      </c>
      <c r="M17" s="101">
        <f t="array" ref="M17">IFERROR(
(AVERAGE((IF(DATOS_[[Sexo]:[Sexo]]=$B17,IF(DATOS_[[AGRUP. CLAS. PROF.]:[AGRUP. CLAS. PROF.]]=$B15,IF(DATOS_[[Check Periodo Ref.]:[Check Periodo Ref.]]="Dentro",IF(DATOS_[[Check Equiparado]:[Check Equiparado]]="Sí",IF(DATOS!AH$5="Sí",(1/DATOS_[[% anualiz]:[% anualiz]]),1)*IF(DATOS!AH$4="Sí",1/DATOS_[[% normaliz]:[% normaliz]],1)*(DATOS_[Conc.Sal.04])))))))),
0)</f>
        <v>1857.1428571428571</v>
      </c>
      <c r="N17" s="101">
        <f t="array" ref="N17">IFERROR(
(AVERAGE((IF(DATOS_[[Sexo]:[Sexo]]=$B17,IF(DATOS_[[AGRUP. CLAS. PROF.]:[AGRUP. CLAS. PROF.]]=$B15,IF(DATOS_[[Check Periodo Ref.]:[Check Periodo Ref.]]="Dentro",IF(DATOS_[[Check Equiparado]:[Check Equiparado]]="Sí",IF(DATOS!AI$5="Sí",(1/DATOS_[[% anualiz]:[% anualiz]]),1)*IF(DATOS!AI$4="Sí",1/DATOS_[[% normaliz]:[% normaliz]],1)*(DATOS_[Conc.Sal.05])))))))),
0)</f>
        <v>1571.4285714285713</v>
      </c>
      <c r="O17" s="101">
        <f t="array" ref="O17">IFERROR(
(AVERAGE((IF(DATOS_[[Sexo]:[Sexo]]=$B17,IF(DATOS_[[AGRUP. CLAS. PROF.]:[AGRUP. CLAS. PROF.]]=$B15,IF(DATOS_[[Check Periodo Ref.]:[Check Periodo Ref.]]="Dentro",IF(DATOS_[[Check Equiparado]:[Check Equiparado]]="Sí",IF(DATOS!AJ$5="Sí",(1/DATOS_[[% anualiz]:[% anualiz]]),1)*IF(DATOS!AJ$4="Sí",1/DATOS_[[% normaliz]:[% normaliz]],1)*(DATOS_[Conc.Sal.06])))))))),
0)</f>
        <v>1285.7142857142858</v>
      </c>
      <c r="P17" s="101">
        <f t="array" ref="P17">IFERROR(
(AVERAGE((IF(DATOS_[[Sexo]:[Sexo]]=$B17,IF(DATOS_[[AGRUP. CLAS. PROF.]:[AGRUP. CLAS. PROF.]]=$B15,IF(DATOS_[[Check Periodo Ref.]:[Check Periodo Ref.]]="Dentro",IF(DATOS_[[Check Equiparado]:[Check Equiparado]]="Sí",IF(DATOS!AK$5="Sí",(1/DATOS_[[% anualiz]:[% anualiz]]),1)*IF(DATOS!AK$4="Sí",1/DATOS_[[% normaliz]:[% normaliz]],1)*(DATOS_[Conc.Sal.07])))))))),
0)</f>
        <v>200</v>
      </c>
      <c r="Q17" s="101">
        <f t="array" ref="Q17">IFERROR(
(AVERAGE((IF(DATOS_[[Sexo]:[Sexo]]=$B17,IF(DATOS_[[AGRUP. CLAS. PROF.]:[AGRUP. CLAS. PROF.]]=$B15,IF(DATOS_[[Check Periodo Ref.]:[Check Periodo Ref.]]="Dentro",IF(DATOS_[[Check Equiparado]:[Check Equiparado]]="Sí",IF(DATOS!AL$5="Sí",(1/DATOS_[[% anualiz]:[% anualiz]]),1)*IF(DATOS!AL$4="Sí",1/DATOS_[[% normaliz]:[% normaliz]],1)*(DATOS_[Conc.Sal.08])))))))),
0)</f>
        <v>0</v>
      </c>
      <c r="R17" s="101">
        <f t="array" ref="R17">IFERROR(
(AVERAGE((IF(DATOS_[[Sexo]:[Sexo]]=$B17,IF(DATOS_[[AGRUP. CLAS. PROF.]:[AGRUP. CLAS. PROF.]]=$B15,IF(DATOS_[[Check Periodo Ref.]:[Check Periodo Ref.]]="Dentro",IF(DATOS_[[Check Equiparado]:[Check Equiparado]]="Sí",IF(DATOS!AM$5="Sí",(1/DATOS_[[% anualiz]:[% anualiz]]),1)*IF(DATOS!AM$4="Sí",1/DATOS_[[% normaliz]:[% normaliz]],1)*(DATOS_[Conc.Sal.09])))))))),
0)</f>
        <v>0</v>
      </c>
      <c r="S17" s="101">
        <f t="array" ref="S17">IFERROR(
(AVERAGE((IF(DATOS_[[Sexo]:[Sexo]]=$B17,IF(DATOS_[[AGRUP. CLAS. PROF.]:[AGRUP. CLAS. PROF.]]=$B15,IF(DATOS_[[Check Periodo Ref.]:[Check Periodo Ref.]]="Dentro",IF(DATOS_[[Check Equiparado]:[Check Equiparado]]="Sí",IF(DATOS!AN$5="Sí",(1/DATOS_[[% anualiz]:[% anualiz]]),1)*IF(DATOS!AN$4="Sí",1/DATOS_[[% normaliz]:[% normaliz]],1)*(DATOS_[Conc.Sal.10])))))))),
0)</f>
        <v>0</v>
      </c>
      <c r="T17" s="101">
        <f t="array" ref="T17">IFERROR(
(AVERAGE((IF(DATOS_[[Sexo]:[Sexo]]=$B17,IF(DATOS_[[AGRUP. CLAS. PROF.]:[AGRUP. CLAS. PROF.]]=$B15,IF(DATOS_[[Check Periodo Ref.]:[Check Periodo Ref.]]="Dentro",IF(DATOS_[[Check Equiparado]:[Check Equiparado]]="Sí",IF(DATOS!AO$5="Sí",(1/DATOS_[[% anualiz]:[% anualiz]]),1)*IF(DATOS!AO$4="Sí",1/DATOS_[[% normaliz]:[% normaliz]],1)*(DATOS_[Conc.Sal.11])))))))),
0)</f>
        <v>0</v>
      </c>
      <c r="U17" s="101">
        <f t="array" ref="U17">IFERROR(
(AVERAGE((IF(DATOS_[[Sexo]:[Sexo]]=$B17,IF(DATOS_[[AGRUP. CLAS. PROF.]:[AGRUP. CLAS. PROF.]]=$B15,IF(DATOS_[[Check Periodo Ref.]:[Check Periodo Ref.]]="Dentro",IF(DATOS_[[Check Equiparado]:[Check Equiparado]]="Sí",IF(DATOS!AP$5="Sí",(1/DATOS_[[% anualiz]:[% anualiz]]),1)*IF(DATOS!AP$4="Sí",1/DATOS_[[% normaliz]:[% normaliz]],1)*(DATOS_[Conc.Sal.12])))))))),
0)</f>
        <v>0</v>
      </c>
      <c r="V17" s="101">
        <f t="array" ref="V17">IFERROR(
(AVERAGE((IF(DATOS_[[Sexo]:[Sexo]]=$B17,IF(DATOS_[[AGRUP. CLAS. PROF.]:[AGRUP. CLAS. PROF.]]=$B15,IF(DATOS_[[Check Periodo Ref.]:[Check Periodo Ref.]]="Dentro",IF(DATOS_[[Check Equiparado]:[Check Equiparado]]="Sí",IF(DATOS!AQ$5="Sí",(1/DATOS_[[% anualiz]:[% anualiz]]),1)*IF(DATOS!AQ$4="Sí",1/DATOS_[[% normaliz]:[% normaliz]],1)*(DATOS_[Conc.Sal.13])))))))),
0)</f>
        <v>0</v>
      </c>
      <c r="W17" s="101">
        <f t="array" ref="W17">IFERROR(
(AVERAGE((IF(DATOS_[[Sexo]:[Sexo]]=$B17,IF(DATOS_[[AGRUP. CLAS. PROF.]:[AGRUP. CLAS. PROF.]]=$B15,IF(DATOS_[[Check Periodo Ref.]:[Check Periodo Ref.]]="Dentro",IF(DATOS_[[Check Equiparado]:[Check Equiparado]]="Sí",IF(DATOS!AR$5="Sí",(1/DATOS_[[% anualiz]:[% anualiz]]),1)*IF(DATOS!AR$4="Sí",1/DATOS_[[% normaliz]:[% normaliz]],1)*(DATOS_[Conc.Sal.14])))))))),
0)</f>
        <v>0</v>
      </c>
      <c r="X17" s="101">
        <f t="array" ref="X17">IFERROR(
(AVERAGE((IF(DATOS_[[Sexo]:[Sexo]]=$B17,IF(DATOS_[[AGRUP. CLAS. PROF.]:[AGRUP. CLAS. PROF.]]=$B15,IF(DATOS_[[Check Periodo Ref.]:[Check Periodo Ref.]]="Dentro",IF(DATOS_[[Check Equiparado]:[Check Equiparado]]="Sí",IF(DATOS!AS$5="Sí",(1/DATOS_[[% anualiz]:[% anualiz]]),1)*IF(DATOS!AS$4="Sí",1/DATOS_[[% normaliz]:[% normaliz]],1)*(DATOS_[Conc.Sal.15])))))))),
0)</f>
        <v>0</v>
      </c>
      <c r="Y17" s="101">
        <f t="array" ref="Y17">IFERROR(
(AVERAGE((IF(DATOS_[[Sexo]:[Sexo]]=$B17,IF(DATOS_[[AGRUP. CLAS. PROF.]:[AGRUP. CLAS. PROF.]]=$B15,IF(DATOS_[[Check Periodo Ref.]:[Check Periodo Ref.]]="Dentro",IF(DATOS_[[Check Equiparado]:[Check Equiparado]]="Sí",IF(DATOS!AT$5="Sí",(1/DATOS_[[% anualiz]:[% anualiz]]),1)*IF(DATOS!AT$4="Sí",1/DATOS_[[% normaliz]:[% normaliz]],1)*(DATOS_[Conc.Sal.16])))))))),
0)</f>
        <v>0</v>
      </c>
      <c r="Z17" s="101">
        <f t="array" ref="Z17">IFERROR(
(AVERAGE((IF(DATOS_[[Sexo]:[Sexo]]=$B17,IF(DATOS_[[AGRUP. CLAS. PROF.]:[AGRUP. CLAS. PROF.]]=$B15,IF(DATOS_[[Check Periodo Ref.]:[Check Periodo Ref.]]="Dentro",IF(DATOS_[[Check Equiparado]:[Check Equiparado]]="Sí",IF(DATOS!AU$5="Sí",(1/DATOS_[[% anualiz]:[% anualiz]]),1)*IF(DATOS!AU$4="Sí",1/DATOS_[[% normaliz]:[% normaliz]],1)*(DATOS_[Conc.Sal.17])))))))),
0)</f>
        <v>0</v>
      </c>
      <c r="AA17" s="101">
        <f t="array" ref="AA17">IFERROR(
(AVERAGE((IF(DATOS_[[Sexo]:[Sexo]]=$B17,IF(DATOS_[[AGRUP. CLAS. PROF.]:[AGRUP. CLAS. PROF.]]=$B15,IF(DATOS_[[Check Periodo Ref.]:[Check Periodo Ref.]]="Dentro",IF(DATOS_[[Check Equiparado]:[Check Equiparado]]="Sí",IF(DATOS!AV$5="Sí",(1/DATOS_[[% anualiz]:[% anualiz]]),1)*IF(DATOS!AV$4="Sí",1/DATOS_[[% normaliz]:[% normaliz]],1)*(DATOS_[Conc.Sal.18])))))))),
0)</f>
        <v>0</v>
      </c>
      <c r="AB17" s="101">
        <f t="array" ref="AB17">IFERROR(
(AVERAGE((IF(DATOS_[[Sexo]:[Sexo]]=$B17,IF(DATOS_[[AGRUP. CLAS. PROF.]:[AGRUP. CLAS. PROF.]]=$B15,IF(DATOS_[[Check Periodo Ref.]:[Check Periodo Ref.]]="Dentro",IF(DATOS_[[Check Equiparado]:[Check Equiparado]]="Sí",IF(DATOS!AW$5="Sí",(1/DATOS_[[% anualiz]:[% anualiz]]),1)*IF(DATOS!AW$4="Sí",1/DATOS_[[% normaliz]:[% normaliz]],1)*(DATOS_[Conc.Sal.19])))))))),
0)</f>
        <v>0</v>
      </c>
      <c r="AC17" s="101">
        <f t="array" ref="AC17">IFERROR(
(AVERAGE((IF(DATOS_[[Sexo]:[Sexo]]=$B17,IF(DATOS_[[AGRUP. CLAS. PROF.]:[AGRUP. CLAS. PROF.]]=$B15,IF(DATOS_[[Check Periodo Ref.]:[Check Periodo Ref.]]="Dentro",IF(DATOS_[[Check Equiparado]:[Check Equiparado]]="Sí",IF(DATOS!AX$5="Sí",(1/DATOS_[[% anualiz]:[% anualiz]]),1)*IF(DATOS!AX$4="Sí",1/DATOS_[[% normaliz]:[% normaliz]],1)*(DATOS_[Conc.Sal.20])))))))),
0)</f>
        <v>0</v>
      </c>
      <c r="AD17" s="101">
        <f t="array" ref="AD17">IFERROR(
(AVERAGE((IF(DATOS_[[Sexo]:[Sexo]]=$B17,IF(DATOS_[[AGRUP. CLAS. PROF.]:[AGRUP. CLAS. PROF.]]=$B15,IF(DATOS_[[Check Periodo Ref.]:[Check Periodo Ref.]]="Dentro",IF(DATOS_[[Check Equiparado]:[Check Equiparado]]="Sí",IF(DATOS!AY$5="Sí",(1/DATOS_[[% anualiz]:[% anualiz]]),1)*IF(DATOS!AY$4="Sí",1/DATOS_[[% normaliz]:[% normaliz]],1)*(DATOS_[Conc.Sal.21])))))))),
0)</f>
        <v>0</v>
      </c>
      <c r="AE17" s="101">
        <f t="array" ref="AE17">IFERROR(
(AVERAGE((IF(DATOS_[[Sexo]:[Sexo]]=$B17,IF(DATOS_[[AGRUP. CLAS. PROF.]:[AGRUP. CLAS. PROF.]]=$B15,IF(DATOS_[[Check Periodo Ref.]:[Check Periodo Ref.]]="Dentro",IF(DATOS_[[Check Equiparado]:[Check Equiparado]]="Sí",IF(DATOS!AZ$5="Sí",(1/DATOS_[[% anualiz]:[% anualiz]]),1)*IF(DATOS!AZ$4="Sí",1/DATOS_[[% normaliz]:[% normaliz]],1)*(DATOS_[Conc.Sal.22])))))))),
0)</f>
        <v>0</v>
      </c>
      <c r="AF17" s="101">
        <f t="array" ref="AF17">IFERROR(
(AVERAGE((IF(DATOS_[[Sexo]:[Sexo]]=$B17,IF(DATOS_[[AGRUP. CLAS. PROF.]:[AGRUP. CLAS. PROF.]]=$B15,IF(DATOS_[[Check Periodo Ref.]:[Check Periodo Ref.]]="Dentro",IF(DATOS_[[Check Equiparado]:[Check Equiparado]]="Sí",IF(DATOS!BA$5="Sí",(1/DATOS_[[% anualiz]:[% anualiz]]),1)*IF(DATOS!BA$4="Sí",1/DATOS_[[% normaliz]:[% normaliz]],1)*(DATOS_[Conc.Sal.23])))))))),
0)</f>
        <v>0</v>
      </c>
      <c r="AG17" s="101">
        <f t="array" ref="AG17">IFERROR(
(AVERAGE((IF(DATOS_[[Sexo]:[Sexo]]=$B17,IF(DATOS_[[AGRUP. CLAS. PROF.]:[AGRUP. CLAS. PROF.]]=$B15,IF(DATOS_[[Check Periodo Ref.]:[Check Periodo Ref.]]="Dentro",IF(DATOS_[[Check Equiparado]:[Check Equiparado]]="Sí",IF(DATOS!BB$5="Sí",(1/DATOS_[[% anualiz]:[% anualiz]]),1)*IF(DATOS!BB$4="Sí",1/DATOS_[[% normaliz]:[% normaliz]],1)*(DATOS_[Conc.Sal.24])))))))),
0)</f>
        <v>0</v>
      </c>
      <c r="AH17" s="101">
        <f t="array" ref="AH17">IFERROR(
(AVERAGE((IF(DATOS_[[Sexo]:[Sexo]]=$B17,IF(DATOS_[[AGRUP. CLAS. PROF.]:[AGRUP. CLAS. PROF.]]=$B15,IF(DATOS_[[Check Periodo Ref.]:[Check Periodo Ref.]]="Dentro",IF(DATOS_[[Check Equiparado]:[Check Equiparado]]="Sí",IF(DATOS!BC$5="Sí",(1/DATOS_[[% anualiz]:[% anualiz]]),1)*IF(DATOS!BC$4="Sí",1/DATOS_[[% normaliz]:[% normaliz]],1)*(DATOS_[Conc.Sal.25])))))))),
0)</f>
        <v>0</v>
      </c>
      <c r="AI17" s="101">
        <f t="array" ref="AI17">IFERROR(
(AVERAGE((IF(DATOS_[[Sexo]:[Sexo]]=$B17,IF(DATOS_[[AGRUP. CLAS. PROF.]:[AGRUP. CLAS. PROF.]]=$B15,IF(DATOS_[[Check Periodo Ref.]:[Check Periodo Ref.]]="Dentro",IF(DATOS_[[Check Equiparado]:[Check Equiparado]]="Sí",IF(DATOS!BD$5="Sí",(1/DATOS_[[% anualiz]:[% anualiz]]),1)*IF(DATOS!BD$4="Sí",1/DATOS_[[% normaliz]:[% normaliz]],1)*(DATOS_[Conc.Sal.26])))))))),
0)</f>
        <v>0</v>
      </c>
      <c r="AJ17" s="101">
        <f t="array" ref="AJ17">IFERROR(
(AVERAGE((IF(DATOS_[[Sexo]:[Sexo]]=$B17,IF(DATOS_[[AGRUP. CLAS. PROF.]:[AGRUP. CLAS. PROF.]]=$B15,IF(DATOS_[[Check Periodo Ref.]:[Check Periodo Ref.]]="Dentro",IF(DATOS_[[Check Equiparado]:[Check Equiparado]]="Sí",IF(DATOS!BE$5="Sí",(1/DATOS_[[% anualiz]:[% anualiz]]),1)*IF(DATOS!BE$4="Sí",1/DATOS_[[% normaliz]:[% normaliz]],1)*(DATOS_[Conc.Sal.27])))))))),
0)</f>
        <v>0</v>
      </c>
      <c r="AK17" s="101">
        <f t="array" ref="AK17">IFERROR(
(AVERAGE((IF(DATOS_[[Sexo]:[Sexo]]=$B17,IF(DATOS_[[AGRUP. CLAS. PROF.]:[AGRUP. CLAS. PROF.]]=$B15,IF(DATOS_[[Check Periodo Ref.]:[Check Periodo Ref.]]="Dentro",IF(DATOS_[[Check Equiparado]:[Check Equiparado]]="Sí",IF(DATOS!BF$5="Sí",(1/DATOS_[[% anualiz]:[% anualiz]]),1)*IF(DATOS!BF$4="Sí",1/DATOS_[[% normaliz]:[% normaliz]],1)*(DATOS_[Conc.Sal.28])))))))),
0)</f>
        <v>0</v>
      </c>
      <c r="AL17" s="101">
        <f t="array" ref="AL17">IFERROR(
(AVERAGE((IF(DATOS_[[Sexo]:[Sexo]]=$B17,IF(DATOS_[[AGRUP. CLAS. PROF.]:[AGRUP. CLAS. PROF.]]=$B15,IF(DATOS_[[Check Periodo Ref.]:[Check Periodo Ref.]]="Dentro",IF(DATOS_[[Check Equiparado]:[Check Equiparado]]="Sí",IF(DATOS!BG$5="Sí",(1/DATOS_[[% anualiz]:[% anualiz]]),1)*IF(DATOS!BG$4="Sí",1/DATOS_[[% normaliz]:[% normaliz]],1)*(DATOS_[Conc.Sal.29])))))))),
0)</f>
        <v>0</v>
      </c>
      <c r="AM17" s="101">
        <f t="array" ref="AM17">IFERROR(
(AVERAGE((IF(DATOS_[[Sexo]:[Sexo]]=$B17,IF(DATOS_[[AGRUP. CLAS. PROF.]:[AGRUP. CLAS. PROF.]]=$B15,IF(DATOS_[[Check Periodo Ref.]:[Check Periodo Ref.]]="Dentro",IF(DATOS_[[Check Equiparado]:[Check Equiparado]]="Sí",IF(DATOS!BH$5="Sí",(1/DATOS_[[% anualiz]:[% anualiz]]),1)*IF(DATOS!BH$4="Sí",1/DATOS_[[% normaliz]:[% normaliz]],1)*(DATOS_[Conc.Sal.30])))))))),
0)</f>
        <v>0</v>
      </c>
      <c r="AN17" s="102">
        <f t="array" ref="AN17">IFERROR(
AVERAGE(IF(DATOS_[Sexo]=$B17,IF(DATOS_[[AGRUP. CLAS. PROF.]:[AGRUP. CLAS. PROF.]]=$B15,IF(DATOS_[Check Equiparado]="Sí",IF(DATOS_[Check Periodo Ref.]="Dentro",DATOS_[Tot COMPL.SAL Eq],FALSE))))),
0)</f>
        <v>21035.458328571433</v>
      </c>
      <c r="AO17" s="103">
        <f t="array" ref="AO17">IFERROR(
AVERAGE(IF(DATOS_[Sexo]=$B17,IF(DATOS_[[AGRUP. CLAS. PROF.]:[AGRUP. CLAS. PROF.]]=$B15,IF(DATOS_[Check Equiparado]="Sí",IF(DATOS_[Check Periodo Ref.]="Dentro",DATOS_[TOTAL SALARIO Eq],FALSE))))),
0)</f>
        <v>38920.422257142855</v>
      </c>
      <c r="AP17" s="104">
        <f t="array" ref="AP17">IFERROR(
(AVERAGE((IF(DATOS_[[Sexo]:[Sexo]]=$B17,IF(DATOS_[[AGRUP. CLAS. PROF.]:[AGRUP. CLAS. PROF.]]=$B15,IF(DATOS_[[Check Periodo Ref.]:[Check Periodo Ref.]]="Dentro",IF(DATOS_[[Check Equiparado]:[Check Equiparado]]="Sí",IF(DATOS!BI$5="Sí",(1/DATOS_[[% anualiz]:[% anualiz]]),1)*IF(DATOS!BI$4="Sí",1/DATOS_[[% normaliz]:[% normaliz]],1)*(DATOS_[C.Extra.01])))))))),
0)</f>
        <v>0</v>
      </c>
      <c r="AQ17" s="104">
        <f t="array" ref="AQ17">IFERROR(
(AVERAGE((IF(DATOS_[[Sexo]:[Sexo]]=$B17,IF(DATOS_[[AGRUP. CLAS. PROF.]:[AGRUP. CLAS. PROF.]]=$B15,IF(DATOS_[[Check Periodo Ref.]:[Check Periodo Ref.]]="Dentro",IF(DATOS_[[Check Equiparado]:[Check Equiparado]]="Sí",IF(DATOS!BJ$5="Sí",(1/DATOS_[[% anualiz]:[% anualiz]]),1)*IF(DATOS!BJ$4="Sí",1/DATOS_[[% normaliz]:[% normaliz]],1)*(DATOS_[C.Extra.02])))))))),
0)</f>
        <v>0</v>
      </c>
      <c r="AR17" s="104">
        <f t="array" ref="AR17">IFERROR(
(AVERAGE((IF(DATOS_[[Sexo]:[Sexo]]=$B17,IF(DATOS_[[AGRUP. CLAS. PROF.]:[AGRUP. CLAS. PROF.]]=$B15,IF(DATOS_[[Check Periodo Ref.]:[Check Periodo Ref.]]="Dentro",IF(DATOS_[[Check Equiparado]:[Check Equiparado]]="Sí",IF(DATOS!BK$5="Sí",(1/DATOS_[[% anualiz]:[% anualiz]]),1)*IF(DATOS!BK$4="Sí",1/DATOS_[[% normaliz]:[% normaliz]],1)*(DATOS_[C.Extra.03])))))))),
0)</f>
        <v>0</v>
      </c>
      <c r="AS17" s="104">
        <f t="array" ref="AS17">IFERROR(
(AVERAGE((IF(DATOS_[[Sexo]:[Sexo]]=$B17,IF(DATOS_[[AGRUP. CLAS. PROF.]:[AGRUP. CLAS. PROF.]]=$B15,IF(DATOS_[[Check Periodo Ref.]:[Check Periodo Ref.]]="Dentro",IF(DATOS_[[Check Equiparado]:[Check Equiparado]]="Sí",IF(DATOS!BL$5="Sí",(1/DATOS_[[% anualiz]:[% anualiz]]),1)*IF(DATOS!BL$4="Sí",1/DATOS_[[% normaliz]:[% normaliz]],1)*(DATOS_[C.Extra.04])))))))),
0)</f>
        <v>0</v>
      </c>
      <c r="AT17" s="104">
        <f t="array" ref="AT17">IFERROR(
(AVERAGE((IF(DATOS_[[Sexo]:[Sexo]]=$B17,IF(DATOS_[[AGRUP. CLAS. PROF.]:[AGRUP. CLAS. PROF.]]=$B15,IF(DATOS_[[Check Periodo Ref.]:[Check Periodo Ref.]]="Dentro",IF(DATOS_[[Check Equiparado]:[Check Equiparado]]="Sí",IF(DATOS!BM$5="Sí",(1/DATOS_[[% anualiz]:[% anualiz]]),1)*IF(DATOS!BM$4="Sí",1/DATOS_[[% normaliz]:[% normaliz]],1)*(DATOS_[C.Extra.05])))))))),
0)</f>
        <v>0</v>
      </c>
      <c r="AU17" s="105">
        <f t="array" ref="AU17">IFERROR(
AVERAGE(IF(DATOS_[Sexo]=$B17,IF(DATOS_[[AGRUP. CLAS. PROF.]:[AGRUP. CLAS. PROF.]]=$B15,IF(DATOS_[Check Equiparado]="Sí",IF(DATOS_[Check Periodo Ref.]="Dentro",DATOS_[Tot Extrasalarial Eq],FALSE))))),
0)</f>
        <v>0</v>
      </c>
      <c r="AV17" s="106">
        <f t="array" ref="AV17">IFERROR(
AVERAGE(IF(DATOS_[Sexo]=$B17,IF(DATOS_[[AGRUP. CLAS. PROF.]:[AGRUP. CLAS. PROF.]]=$B15,IF(DATOS_[Check Equiparado]="Sí",IF(DATOS_[Check Periodo Ref.]="Dentro",DATOS_[TOTAL Retrib Eq],FALSE))))),
0)</f>
        <v>38920.422257142855</v>
      </c>
    </row>
    <row r="18" spans="1:48" ht="17.25" thickBot="1" x14ac:dyDescent="0.35">
      <c r="A18" s="53" t="str">
        <f t="shared" ref="A18" si="7">+A19</f>
        <v/>
      </c>
      <c r="B18" s="62" t="s">
        <v>299</v>
      </c>
      <c r="C18" s="99"/>
      <c r="D18" s="63"/>
      <c r="E18" s="63"/>
      <c r="F18" s="63"/>
      <c r="G18" s="63"/>
      <c r="H18" s="63"/>
      <c r="I18" s="129">
        <f t="shared" ref="I18:AV18" si="8">IFERROR((I19-I20)/I19,"")</f>
        <v>-2.789233904413246E-2</v>
      </c>
      <c r="J18" s="130">
        <f t="shared" si="8"/>
        <v>0.19577434565363575</v>
      </c>
      <c r="K18" s="131">
        <f t="shared" si="8"/>
        <v>-5.3399356678392726E-2</v>
      </c>
      <c r="L18" s="131" t="str">
        <f t="shared" si="8"/>
        <v/>
      </c>
      <c r="M18" s="131" t="str">
        <f t="shared" si="8"/>
        <v/>
      </c>
      <c r="N18" s="132" t="str">
        <f t="shared" si="8"/>
        <v/>
      </c>
      <c r="O18" s="133" t="str">
        <f t="shared" si="8"/>
        <v/>
      </c>
      <c r="P18" s="133">
        <f t="shared" si="8"/>
        <v>-9.5238095238095274E-2</v>
      </c>
      <c r="Q18" s="133" t="str">
        <f t="shared" si="8"/>
        <v/>
      </c>
      <c r="R18" s="133" t="str">
        <f t="shared" si="8"/>
        <v/>
      </c>
      <c r="S18" s="133" t="str">
        <f t="shared" si="8"/>
        <v/>
      </c>
      <c r="T18" s="133" t="str">
        <f t="shared" si="8"/>
        <v/>
      </c>
      <c r="U18" s="133" t="str">
        <f t="shared" si="8"/>
        <v/>
      </c>
      <c r="V18" s="133" t="str">
        <f t="shared" si="8"/>
        <v/>
      </c>
      <c r="W18" s="133" t="str">
        <f t="shared" si="8"/>
        <v/>
      </c>
      <c r="X18" s="133" t="str">
        <f t="shared" si="8"/>
        <v/>
      </c>
      <c r="Y18" s="133" t="str">
        <f t="shared" si="8"/>
        <v/>
      </c>
      <c r="Z18" s="132" t="str">
        <f t="shared" si="8"/>
        <v/>
      </c>
      <c r="AA18" s="132" t="str">
        <f t="shared" si="8"/>
        <v/>
      </c>
      <c r="AB18" s="132" t="str">
        <f t="shared" si="8"/>
        <v/>
      </c>
      <c r="AC18" s="132" t="str">
        <f t="shared" si="8"/>
        <v/>
      </c>
      <c r="AD18" s="132" t="str">
        <f t="shared" si="8"/>
        <v/>
      </c>
      <c r="AE18" s="132" t="str">
        <f t="shared" si="8"/>
        <v/>
      </c>
      <c r="AF18" s="132" t="str">
        <f t="shared" si="8"/>
        <v/>
      </c>
      <c r="AG18" s="132" t="str">
        <f t="shared" si="8"/>
        <v/>
      </c>
      <c r="AH18" s="132" t="str">
        <f t="shared" si="8"/>
        <v/>
      </c>
      <c r="AI18" s="132" t="str">
        <f t="shared" si="8"/>
        <v/>
      </c>
      <c r="AJ18" s="132" t="str">
        <f t="shared" si="8"/>
        <v/>
      </c>
      <c r="AK18" s="132" t="str">
        <f t="shared" si="8"/>
        <v/>
      </c>
      <c r="AL18" s="132" t="str">
        <f t="shared" si="8"/>
        <v/>
      </c>
      <c r="AM18" s="132" t="str">
        <f t="shared" si="8"/>
        <v/>
      </c>
      <c r="AN18" s="134">
        <f t="shared" si="8"/>
        <v>0.10584335599293435</v>
      </c>
      <c r="AO18" s="138">
        <f t="shared" si="8"/>
        <v>6.0160665467540843E-3</v>
      </c>
      <c r="AP18" s="135" t="str">
        <f t="shared" si="8"/>
        <v/>
      </c>
      <c r="AQ18" s="135" t="str">
        <f t="shared" si="8"/>
        <v/>
      </c>
      <c r="AR18" s="135" t="str">
        <f t="shared" si="8"/>
        <v/>
      </c>
      <c r="AS18" s="135">
        <f t="shared" si="8"/>
        <v>1</v>
      </c>
      <c r="AT18" s="135" t="str">
        <f t="shared" si="8"/>
        <v/>
      </c>
      <c r="AU18" s="136">
        <f t="shared" si="8"/>
        <v>1</v>
      </c>
      <c r="AV18" s="137">
        <f t="shared" si="8"/>
        <v>1.5834182270136617E-2</v>
      </c>
    </row>
    <row r="19" spans="1:48" x14ac:dyDescent="0.3">
      <c r="A19" s="53" t="str">
        <f t="shared" ref="A19" si="9">+IF(C19+C20=0,"[ocultar]","")</f>
        <v/>
      </c>
      <c r="B19" s="57" t="s">
        <v>162</v>
      </c>
      <c r="C19" s="56">
        <f t="array" ref="C19">SUM(IF($B19=DATOS_[Sexo],
IF($B18=DATOS_[AGRUP. CLAS. PROF.],
IF("Dentro"=DATOS_[Check Periodo Ref.],
1/(COUNTIFS(DATOS_[Sexo],$B19,DATOS_[AGRUP. CLAS. PROF.],$B18,DATOS_[Check Periodo Ref.],"Dentro",DATOS_[id],DATOS_[id]))))))</f>
        <v>23</v>
      </c>
      <c r="D19" s="58">
        <f>COUNTIFS(DATOS_[AGRUP. CLAS. PROF.],$B18,DATOS_[Sexo],$B19,DATOS_[Check Periodo Ref.],"Dentro")</f>
        <v>24</v>
      </c>
      <c r="E19" s="58">
        <f>COUNTIFS(DATOS_[AGRUP. CLAS. PROF.],$B18,DATOS_[Sexo],$B19,DATOS_[Check Periodo Ref.],"Dentro",DATOS_[Check Nº SC Norm],"Sí")</f>
        <v>3</v>
      </c>
      <c r="F19" s="58">
        <f>COUNTIFS(DATOS_[AGRUP. CLAS. PROF.],$B18,DATOS_[Sexo],$B19,DATOS_[Check Periodo Ref.],"Dentro",DATOS_[Check Nº SC Anualiz],"Sí")</f>
        <v>1</v>
      </c>
      <c r="G19" s="58">
        <f>COUNTIFS(DATOS_[AGRUP. CLAS. PROF.],$B18,DATOS_[Sexo],$B19,DATOS_[Check Periodo Ref.],"Dentro",DATOS_[Check Nº SC Norm y Anualiz],"Sí")</f>
        <v>0</v>
      </c>
      <c r="H19" s="58">
        <f>COUNTIFS(DATOS_[AGRUP. CLAS. PROF.],$B18,DATOS_[Sexo],$B19,DATOS_[Check Periodo Ref.],"Dentro",DATOS_[Check Equiparación],"Sí")</f>
        <v>4</v>
      </c>
      <c r="I19" s="100">
        <f t="array" ref="I19">IFERROR(
AVERAGE(IF(DATOS_[Sexo]=$B19,IF(DATOS_[[AGRUP. CLAS. PROF.]:[AGRUP. CLAS. PROF.]]=$B18,IF(DATOS_[Check Equiparado]="Sí",IF(DATOS_[Check Periodo Ref.]="Dentro",DATOS_[SALARIO BASE Eq],FALSE))))),
0)</f>
        <v>15514.634782608704</v>
      </c>
      <c r="J19" s="101">
        <f t="array" ref="J19">IFERROR(
(AVERAGE((IF(DATOS_[[Sexo]:[Sexo]]=$B19,IF(DATOS_[[AGRUP. CLAS. PROF.]:[AGRUP. CLAS. PROF.]]=$B18,IF(DATOS_[[Check Periodo Ref.]:[Check Periodo Ref.]]="Dentro",IF(DATOS_[[Check Equiparado]:[Check Equiparado]]="Sí",IF(DATOS!AE$5="Sí",(1/DATOS_[[% anualiz]:[% anualiz]]),1)*IF(DATOS!AE$4="Sí",1/DATOS_[[% normaliz]:[% normaliz]],1)*(DATOS_[Conc.Sal.01])))))))),
0)</f>
        <v>3380.1478260869549</v>
      </c>
      <c r="K19" s="101">
        <f t="array" ref="K19">IFERROR(
(AVERAGE((IF(DATOS_[[Sexo]:[Sexo]]=$B19,IF(DATOS_[[AGRUP. CLAS. PROF.]:[AGRUP. CLAS. PROF.]]=$B18,IF(DATOS_[[Check Periodo Ref.]:[Check Periodo Ref.]]="Dentro",IF(DATOS_[[Check Equiparado]:[Check Equiparado]]="Sí",IF(DATOS!AF$5="Sí",(1/DATOS_[[% anualiz]:[% anualiz]]),1)*IF(DATOS!AF$4="Sí",1/DATOS_[[% normaliz]:[% normaliz]],1)*(DATOS_[Conc.Sal.02])))))))),
0)</f>
        <v>1816.6756000000005</v>
      </c>
      <c r="L19" s="101">
        <f t="array" ref="L19">IFERROR(
(AVERAGE((IF(DATOS_[[Sexo]:[Sexo]]=$B19,IF(DATOS_[[AGRUP. CLAS. PROF.]:[AGRUP. CLAS. PROF.]]=$B18,IF(DATOS_[[Check Periodo Ref.]:[Check Periodo Ref.]]="Dentro",IF(DATOS_[[Check Equiparado]:[Check Equiparado]]="Sí",IF(DATOS!AG$5="Sí",(1/DATOS_[[% anualiz]:[% anualiz]]),1)*IF(DATOS!AG$4="Sí",1/DATOS_[[% normaliz]:[% normaliz]],1)*(DATOS_[Conc.Sal.03])))))))),
0)</f>
        <v>0</v>
      </c>
      <c r="M19" s="101">
        <f t="array" ref="M19">IFERROR(
(AVERAGE((IF(DATOS_[[Sexo]:[Sexo]]=$B19,IF(DATOS_[[AGRUP. CLAS. PROF.]:[AGRUP. CLAS. PROF.]]=$B18,IF(DATOS_[[Check Periodo Ref.]:[Check Periodo Ref.]]="Dentro",IF(DATOS_[[Check Equiparado]:[Check Equiparado]]="Sí",IF(DATOS!AH$5="Sí",(1/DATOS_[[% anualiz]:[% anualiz]]),1)*IF(DATOS!AH$4="Sí",1/DATOS_[[% normaliz]:[% normaliz]],1)*(DATOS_[Conc.Sal.04])))))))),
0)</f>
        <v>0</v>
      </c>
      <c r="N19" s="101">
        <f t="array" ref="N19">IFERROR(
(AVERAGE((IF(DATOS_[[Sexo]:[Sexo]]=$B19,IF(DATOS_[[AGRUP. CLAS. PROF.]:[AGRUP. CLAS. PROF.]]=$B18,IF(DATOS_[[Check Periodo Ref.]:[Check Periodo Ref.]]="Dentro",IF(DATOS_[[Check Equiparado]:[Check Equiparado]]="Sí",IF(DATOS!AI$5="Sí",(1/DATOS_[[% anualiz]:[% anualiz]]),1)*IF(DATOS!AI$4="Sí",1/DATOS_[[% normaliz]:[% normaliz]],1)*(DATOS_[Conc.Sal.05])))))))),
0)</f>
        <v>0</v>
      </c>
      <c r="O19" s="101">
        <f t="array" ref="O19">IFERROR(
(AVERAGE((IF(DATOS_[[Sexo]:[Sexo]]=$B19,IF(DATOS_[[AGRUP. CLAS. PROF.]:[AGRUP. CLAS. PROF.]]=$B18,IF(DATOS_[[Check Periodo Ref.]:[Check Periodo Ref.]]="Dentro",IF(DATOS_[[Check Equiparado]:[Check Equiparado]]="Sí",IF(DATOS!AJ$5="Sí",(1/DATOS_[[% anualiz]:[% anualiz]]),1)*IF(DATOS!AJ$4="Sí",1/DATOS_[[% normaliz]:[% normaliz]],1)*(DATOS_[Conc.Sal.06])))))))),
0)</f>
        <v>0</v>
      </c>
      <c r="P19" s="101">
        <f t="array" ref="P19">IFERROR(
(AVERAGE((IF(DATOS_[[Sexo]:[Sexo]]=$B19,IF(DATOS_[[AGRUP. CLAS. PROF.]:[AGRUP. CLAS. PROF.]]=$B18,IF(DATOS_[[Check Periodo Ref.]:[Check Periodo Ref.]]="Dentro",IF(DATOS_[[Check Equiparado]:[Check Equiparado]]="Sí",IF(DATOS!AK$5="Sí",(1/DATOS_[[% anualiz]:[% anualiz]]),1)*IF(DATOS!AK$4="Sí",1/DATOS_[[% normaliz]:[% normaliz]],1)*(DATOS_[Conc.Sal.07])))))))),
0)</f>
        <v>73.043478260869563</v>
      </c>
      <c r="Q19" s="101">
        <f t="array" ref="Q19">IFERROR(
(AVERAGE((IF(DATOS_[[Sexo]:[Sexo]]=$B19,IF(DATOS_[[AGRUP. CLAS. PROF.]:[AGRUP. CLAS. PROF.]]=$B18,IF(DATOS_[[Check Periodo Ref.]:[Check Periodo Ref.]]="Dentro",IF(DATOS_[[Check Equiparado]:[Check Equiparado]]="Sí",IF(DATOS!AL$5="Sí",(1/DATOS_[[% anualiz]:[% anualiz]]),1)*IF(DATOS!AL$4="Sí",1/DATOS_[[% normaliz]:[% normaliz]],1)*(DATOS_[Conc.Sal.08])))))))),
0)</f>
        <v>0</v>
      </c>
      <c r="R19" s="101">
        <f t="array" ref="R19">IFERROR(
(AVERAGE((IF(DATOS_[[Sexo]:[Sexo]]=$B19,IF(DATOS_[[AGRUP. CLAS. PROF.]:[AGRUP. CLAS. PROF.]]=$B18,IF(DATOS_[[Check Periodo Ref.]:[Check Periodo Ref.]]="Dentro",IF(DATOS_[[Check Equiparado]:[Check Equiparado]]="Sí",IF(DATOS!AM$5="Sí",(1/DATOS_[[% anualiz]:[% anualiz]]),1)*IF(DATOS!AM$4="Sí",1/DATOS_[[% normaliz]:[% normaliz]],1)*(DATOS_[Conc.Sal.09])))))))),
0)</f>
        <v>0</v>
      </c>
      <c r="S19" s="101">
        <f t="array" ref="S19">IFERROR(
(AVERAGE((IF(DATOS_[[Sexo]:[Sexo]]=$B19,IF(DATOS_[[AGRUP. CLAS. PROF.]:[AGRUP. CLAS. PROF.]]=$B18,IF(DATOS_[[Check Periodo Ref.]:[Check Periodo Ref.]]="Dentro",IF(DATOS_[[Check Equiparado]:[Check Equiparado]]="Sí",IF(DATOS!AN$5="Sí",(1/DATOS_[[% anualiz]:[% anualiz]]),1)*IF(DATOS!AN$4="Sí",1/DATOS_[[% normaliz]:[% normaliz]],1)*(DATOS_[Conc.Sal.10])))))))),
0)</f>
        <v>0</v>
      </c>
      <c r="T19" s="101">
        <f t="array" ref="T19">IFERROR(
(AVERAGE((IF(DATOS_[[Sexo]:[Sexo]]=$B19,IF(DATOS_[[AGRUP. CLAS. PROF.]:[AGRUP. CLAS. PROF.]]=$B18,IF(DATOS_[[Check Periodo Ref.]:[Check Periodo Ref.]]="Dentro",IF(DATOS_[[Check Equiparado]:[Check Equiparado]]="Sí",IF(DATOS!AO$5="Sí",(1/DATOS_[[% anualiz]:[% anualiz]]),1)*IF(DATOS!AO$4="Sí",1/DATOS_[[% normaliz]:[% normaliz]],1)*(DATOS_[Conc.Sal.11])))))))),
0)</f>
        <v>0</v>
      </c>
      <c r="U19" s="101">
        <f t="array" ref="U19">IFERROR(
(AVERAGE((IF(DATOS_[[Sexo]:[Sexo]]=$B19,IF(DATOS_[[AGRUP. CLAS. PROF.]:[AGRUP. CLAS. PROF.]]=$B18,IF(DATOS_[[Check Periodo Ref.]:[Check Periodo Ref.]]="Dentro",IF(DATOS_[[Check Equiparado]:[Check Equiparado]]="Sí",IF(DATOS!AP$5="Sí",(1/DATOS_[[% anualiz]:[% anualiz]]),1)*IF(DATOS!AP$4="Sí",1/DATOS_[[% normaliz]:[% normaliz]],1)*(DATOS_[Conc.Sal.12])))))))),
0)</f>
        <v>0</v>
      </c>
      <c r="V19" s="101">
        <f t="array" ref="V19">IFERROR(
(AVERAGE((IF(DATOS_[[Sexo]:[Sexo]]=$B19,IF(DATOS_[[AGRUP. CLAS. PROF.]:[AGRUP. CLAS. PROF.]]=$B18,IF(DATOS_[[Check Periodo Ref.]:[Check Periodo Ref.]]="Dentro",IF(DATOS_[[Check Equiparado]:[Check Equiparado]]="Sí",IF(DATOS!AQ$5="Sí",(1/DATOS_[[% anualiz]:[% anualiz]]),1)*IF(DATOS!AQ$4="Sí",1/DATOS_[[% normaliz]:[% normaliz]],1)*(DATOS_[Conc.Sal.13])))))))),
0)</f>
        <v>0</v>
      </c>
      <c r="W19" s="101">
        <f t="array" ref="W19">IFERROR(
(AVERAGE((IF(DATOS_[[Sexo]:[Sexo]]=$B19,IF(DATOS_[[AGRUP. CLAS. PROF.]:[AGRUP. CLAS. PROF.]]=$B18,IF(DATOS_[[Check Periodo Ref.]:[Check Periodo Ref.]]="Dentro",IF(DATOS_[[Check Equiparado]:[Check Equiparado]]="Sí",IF(DATOS!AR$5="Sí",(1/DATOS_[[% anualiz]:[% anualiz]]),1)*IF(DATOS!AR$4="Sí",1/DATOS_[[% normaliz]:[% normaliz]],1)*(DATOS_[Conc.Sal.14])))))))),
0)</f>
        <v>0</v>
      </c>
      <c r="X19" s="101">
        <f t="array" ref="X19">IFERROR(
(AVERAGE((IF(DATOS_[[Sexo]:[Sexo]]=$B19,IF(DATOS_[[AGRUP. CLAS. PROF.]:[AGRUP. CLAS. PROF.]]=$B18,IF(DATOS_[[Check Periodo Ref.]:[Check Periodo Ref.]]="Dentro",IF(DATOS_[[Check Equiparado]:[Check Equiparado]]="Sí",IF(DATOS!AS$5="Sí",(1/DATOS_[[% anualiz]:[% anualiz]]),1)*IF(DATOS!AS$4="Sí",1/DATOS_[[% normaliz]:[% normaliz]],1)*(DATOS_[Conc.Sal.15])))))))),
0)</f>
        <v>0</v>
      </c>
      <c r="Y19" s="101">
        <f t="array" ref="Y19">IFERROR(
(AVERAGE((IF(DATOS_[[Sexo]:[Sexo]]=$B19,IF(DATOS_[[AGRUP. CLAS. PROF.]:[AGRUP. CLAS. PROF.]]=$B18,IF(DATOS_[[Check Periodo Ref.]:[Check Periodo Ref.]]="Dentro",IF(DATOS_[[Check Equiparado]:[Check Equiparado]]="Sí",IF(DATOS!AT$5="Sí",(1/DATOS_[[% anualiz]:[% anualiz]]),1)*IF(DATOS!AT$4="Sí",1/DATOS_[[% normaliz]:[% normaliz]],1)*(DATOS_[Conc.Sal.16])))))))),
0)</f>
        <v>0</v>
      </c>
      <c r="Z19" s="101">
        <f t="array" ref="Z19">IFERROR(
(AVERAGE((IF(DATOS_[[Sexo]:[Sexo]]=$B19,IF(DATOS_[[AGRUP. CLAS. PROF.]:[AGRUP. CLAS. PROF.]]=$B18,IF(DATOS_[[Check Periodo Ref.]:[Check Periodo Ref.]]="Dentro",IF(DATOS_[[Check Equiparado]:[Check Equiparado]]="Sí",IF(DATOS!AU$5="Sí",(1/DATOS_[[% anualiz]:[% anualiz]]),1)*IF(DATOS!AU$4="Sí",1/DATOS_[[% normaliz]:[% normaliz]],1)*(DATOS_[Conc.Sal.17])))))))),
0)</f>
        <v>0</v>
      </c>
      <c r="AA19" s="101">
        <f t="array" ref="AA19">IFERROR(
(AVERAGE((IF(DATOS_[[Sexo]:[Sexo]]=$B19,IF(DATOS_[[AGRUP. CLAS. PROF.]:[AGRUP. CLAS. PROF.]]=$B18,IF(DATOS_[[Check Periodo Ref.]:[Check Periodo Ref.]]="Dentro",IF(DATOS_[[Check Equiparado]:[Check Equiparado]]="Sí",IF(DATOS!AV$5="Sí",(1/DATOS_[[% anualiz]:[% anualiz]]),1)*IF(DATOS!AV$4="Sí",1/DATOS_[[% normaliz]:[% normaliz]],1)*(DATOS_[Conc.Sal.18])))))))),
0)</f>
        <v>0</v>
      </c>
      <c r="AB19" s="101">
        <f t="array" ref="AB19">IFERROR(
(AVERAGE((IF(DATOS_[[Sexo]:[Sexo]]=$B19,IF(DATOS_[[AGRUP. CLAS. PROF.]:[AGRUP. CLAS. PROF.]]=$B18,IF(DATOS_[[Check Periodo Ref.]:[Check Periodo Ref.]]="Dentro",IF(DATOS_[[Check Equiparado]:[Check Equiparado]]="Sí",IF(DATOS!AW$5="Sí",(1/DATOS_[[% anualiz]:[% anualiz]]),1)*IF(DATOS!AW$4="Sí",1/DATOS_[[% normaliz]:[% normaliz]],1)*(DATOS_[Conc.Sal.19])))))))),
0)</f>
        <v>0</v>
      </c>
      <c r="AC19" s="101">
        <f t="array" ref="AC19">IFERROR(
(AVERAGE((IF(DATOS_[[Sexo]:[Sexo]]=$B19,IF(DATOS_[[AGRUP. CLAS. PROF.]:[AGRUP. CLAS. PROF.]]=$B18,IF(DATOS_[[Check Periodo Ref.]:[Check Periodo Ref.]]="Dentro",IF(DATOS_[[Check Equiparado]:[Check Equiparado]]="Sí",IF(DATOS!AX$5="Sí",(1/DATOS_[[% anualiz]:[% anualiz]]),1)*IF(DATOS!AX$4="Sí",1/DATOS_[[% normaliz]:[% normaliz]],1)*(DATOS_[Conc.Sal.20])))))))),
0)</f>
        <v>0</v>
      </c>
      <c r="AD19" s="101">
        <f t="array" ref="AD19">IFERROR(
(AVERAGE((IF(DATOS_[[Sexo]:[Sexo]]=$B19,IF(DATOS_[[AGRUP. CLAS. PROF.]:[AGRUP. CLAS. PROF.]]=$B18,IF(DATOS_[[Check Periodo Ref.]:[Check Periodo Ref.]]="Dentro",IF(DATOS_[[Check Equiparado]:[Check Equiparado]]="Sí",IF(DATOS!AY$5="Sí",(1/DATOS_[[% anualiz]:[% anualiz]]),1)*IF(DATOS!AY$4="Sí",1/DATOS_[[% normaliz]:[% normaliz]],1)*(DATOS_[Conc.Sal.21])))))))),
0)</f>
        <v>0</v>
      </c>
      <c r="AE19" s="101">
        <f t="array" ref="AE19">IFERROR(
(AVERAGE((IF(DATOS_[[Sexo]:[Sexo]]=$B19,IF(DATOS_[[AGRUP. CLAS. PROF.]:[AGRUP. CLAS. PROF.]]=$B18,IF(DATOS_[[Check Periodo Ref.]:[Check Periodo Ref.]]="Dentro",IF(DATOS_[[Check Equiparado]:[Check Equiparado]]="Sí",IF(DATOS!AZ$5="Sí",(1/DATOS_[[% anualiz]:[% anualiz]]),1)*IF(DATOS!AZ$4="Sí",1/DATOS_[[% normaliz]:[% normaliz]],1)*(DATOS_[Conc.Sal.22])))))))),
0)</f>
        <v>0</v>
      </c>
      <c r="AF19" s="101">
        <f t="array" ref="AF19">IFERROR(
(AVERAGE((IF(DATOS_[[Sexo]:[Sexo]]=$B19,IF(DATOS_[[AGRUP. CLAS. PROF.]:[AGRUP. CLAS. PROF.]]=$B18,IF(DATOS_[[Check Periodo Ref.]:[Check Periodo Ref.]]="Dentro",IF(DATOS_[[Check Equiparado]:[Check Equiparado]]="Sí",IF(DATOS!BA$5="Sí",(1/DATOS_[[% anualiz]:[% anualiz]]),1)*IF(DATOS!BA$4="Sí",1/DATOS_[[% normaliz]:[% normaliz]],1)*(DATOS_[Conc.Sal.23])))))))),
0)</f>
        <v>0</v>
      </c>
      <c r="AG19" s="101">
        <f t="array" ref="AG19">IFERROR(
(AVERAGE((IF(DATOS_[[Sexo]:[Sexo]]=$B19,IF(DATOS_[[AGRUP. CLAS. PROF.]:[AGRUP. CLAS. PROF.]]=$B18,IF(DATOS_[[Check Periodo Ref.]:[Check Periodo Ref.]]="Dentro",IF(DATOS_[[Check Equiparado]:[Check Equiparado]]="Sí",IF(DATOS!BB$5="Sí",(1/DATOS_[[% anualiz]:[% anualiz]]),1)*IF(DATOS!BB$4="Sí",1/DATOS_[[% normaliz]:[% normaliz]],1)*(DATOS_[Conc.Sal.24])))))))),
0)</f>
        <v>0</v>
      </c>
      <c r="AH19" s="101">
        <f t="array" ref="AH19">IFERROR(
(AVERAGE((IF(DATOS_[[Sexo]:[Sexo]]=$B19,IF(DATOS_[[AGRUP. CLAS. PROF.]:[AGRUP. CLAS. PROF.]]=$B18,IF(DATOS_[[Check Periodo Ref.]:[Check Periodo Ref.]]="Dentro",IF(DATOS_[[Check Equiparado]:[Check Equiparado]]="Sí",IF(DATOS!BC$5="Sí",(1/DATOS_[[% anualiz]:[% anualiz]]),1)*IF(DATOS!BC$4="Sí",1/DATOS_[[% normaliz]:[% normaliz]],1)*(DATOS_[Conc.Sal.25])))))))),
0)</f>
        <v>0</v>
      </c>
      <c r="AI19" s="101">
        <f t="array" ref="AI19">IFERROR(
(AVERAGE((IF(DATOS_[[Sexo]:[Sexo]]=$B19,IF(DATOS_[[AGRUP. CLAS. PROF.]:[AGRUP. CLAS. PROF.]]=$B18,IF(DATOS_[[Check Periodo Ref.]:[Check Periodo Ref.]]="Dentro",IF(DATOS_[[Check Equiparado]:[Check Equiparado]]="Sí",IF(DATOS!BD$5="Sí",(1/DATOS_[[% anualiz]:[% anualiz]]),1)*IF(DATOS!BD$4="Sí",1/DATOS_[[% normaliz]:[% normaliz]],1)*(DATOS_[Conc.Sal.26])))))))),
0)</f>
        <v>0</v>
      </c>
      <c r="AJ19" s="101">
        <f t="array" ref="AJ19">IFERROR(
(AVERAGE((IF(DATOS_[[Sexo]:[Sexo]]=$B19,IF(DATOS_[[AGRUP. CLAS. PROF.]:[AGRUP. CLAS. PROF.]]=$B18,IF(DATOS_[[Check Periodo Ref.]:[Check Periodo Ref.]]="Dentro",IF(DATOS_[[Check Equiparado]:[Check Equiparado]]="Sí",IF(DATOS!BE$5="Sí",(1/DATOS_[[% anualiz]:[% anualiz]]),1)*IF(DATOS!BE$4="Sí",1/DATOS_[[% normaliz]:[% normaliz]],1)*(DATOS_[Conc.Sal.27])))))))),
0)</f>
        <v>0</v>
      </c>
      <c r="AK19" s="101">
        <f t="array" ref="AK19">IFERROR(
(AVERAGE((IF(DATOS_[[Sexo]:[Sexo]]=$B19,IF(DATOS_[[AGRUP. CLAS. PROF.]:[AGRUP. CLAS. PROF.]]=$B18,IF(DATOS_[[Check Periodo Ref.]:[Check Periodo Ref.]]="Dentro",IF(DATOS_[[Check Equiparado]:[Check Equiparado]]="Sí",IF(DATOS!BF$5="Sí",(1/DATOS_[[% anualiz]:[% anualiz]]),1)*IF(DATOS!BF$4="Sí",1/DATOS_[[% normaliz]:[% normaliz]],1)*(DATOS_[Conc.Sal.28])))))))),
0)</f>
        <v>0</v>
      </c>
      <c r="AL19" s="101">
        <f t="array" ref="AL19">IFERROR(
(AVERAGE((IF(DATOS_[[Sexo]:[Sexo]]=$B19,IF(DATOS_[[AGRUP. CLAS. PROF.]:[AGRUP. CLAS. PROF.]]=$B18,IF(DATOS_[[Check Periodo Ref.]:[Check Periodo Ref.]]="Dentro",IF(DATOS_[[Check Equiparado]:[Check Equiparado]]="Sí",IF(DATOS!BG$5="Sí",(1/DATOS_[[% anualiz]:[% anualiz]]),1)*IF(DATOS!BG$4="Sí",1/DATOS_[[% normaliz]:[% normaliz]],1)*(DATOS_[Conc.Sal.29])))))))),
0)</f>
        <v>0</v>
      </c>
      <c r="AM19" s="101">
        <f t="array" ref="AM19">IFERROR(
(AVERAGE((IF(DATOS_[[Sexo]:[Sexo]]=$B19,IF(DATOS_[[AGRUP. CLAS. PROF.]:[AGRUP. CLAS. PROF.]]=$B18,IF(DATOS_[[Check Periodo Ref.]:[Check Periodo Ref.]]="Dentro",IF(DATOS_[[Check Equiparado]:[Check Equiparado]]="Sí",IF(DATOS!BH$5="Sí",(1/DATOS_[[% anualiz]:[% anualiz]]),1)*IF(DATOS!BH$4="Sí",1/DATOS_[[% normaliz]:[% normaliz]],1)*(DATOS_[Conc.Sal.30])))))))),
0)</f>
        <v>0</v>
      </c>
      <c r="AN19" s="102">
        <f t="array" ref="AN19">IFERROR(
AVERAGE(IF(DATOS_[Sexo]=$B19,IF(DATOS_[[AGRUP. CLAS. PROF.]:[AGRUP. CLAS. PROF.]]=$B18,IF(DATOS_[Check Equiparado]="Sí",IF(DATOS_[Check Periodo Ref.]="Dentro",DATOS_[Tot COMPL.SAL Eq],FALSE))))),
0)</f>
        <v>5269.8669043478258</v>
      </c>
      <c r="AO19" s="103">
        <f t="array" ref="AO19">IFERROR(
AVERAGE(IF(DATOS_[Sexo]=$B19,IF(DATOS_[[AGRUP. CLAS. PROF.]:[AGRUP. CLAS. PROF.]]=$B18,IF(DATOS_[Check Equiparado]="Sí",IF(DATOS_[Check Periodo Ref.]="Dentro",DATOS_[TOTAL SALARIO Eq],FALSE))))),
0)</f>
        <v>20784.501686956522</v>
      </c>
      <c r="AP19" s="104">
        <f t="array" ref="AP19">IFERROR(
(AVERAGE((IF(DATOS_[[Sexo]:[Sexo]]=$B19,IF(DATOS_[[AGRUP. CLAS. PROF.]:[AGRUP. CLAS. PROF.]]=$B18,IF(DATOS_[[Check Periodo Ref.]:[Check Periodo Ref.]]="Dentro",IF(DATOS_[[Check Equiparado]:[Check Equiparado]]="Sí",IF(DATOS!BI$5="Sí",(1/DATOS_[[% anualiz]:[% anualiz]]),1)*IF(DATOS!BI$4="Sí",1/DATOS_[[% normaliz]:[% normaliz]],1)*(DATOS_[C.Extra.01])))))))),
0)</f>
        <v>0</v>
      </c>
      <c r="AQ19" s="104">
        <f t="array" ref="AQ19">IFERROR(
(AVERAGE((IF(DATOS_[[Sexo]:[Sexo]]=$B19,IF(DATOS_[[AGRUP. CLAS. PROF.]:[AGRUP. CLAS. PROF.]]=$B18,IF(DATOS_[[Check Periodo Ref.]:[Check Periodo Ref.]]="Dentro",IF(DATOS_[[Check Equiparado]:[Check Equiparado]]="Sí",IF(DATOS!BJ$5="Sí",(1/DATOS_[[% anualiz]:[% anualiz]]),1)*IF(DATOS!BJ$4="Sí",1/DATOS_[[% normaliz]:[% normaliz]],1)*(DATOS_[C.Extra.02])))))))),
0)</f>
        <v>0</v>
      </c>
      <c r="AR19" s="104">
        <f t="array" ref="AR19">IFERROR(
(AVERAGE((IF(DATOS_[[Sexo]:[Sexo]]=$B19,IF(DATOS_[[AGRUP. CLAS. PROF.]:[AGRUP. CLAS. PROF.]]=$B18,IF(DATOS_[[Check Periodo Ref.]:[Check Periodo Ref.]]="Dentro",IF(DATOS_[[Check Equiparado]:[Check Equiparado]]="Sí",IF(DATOS!BK$5="Sí",(1/DATOS_[[% anualiz]:[% anualiz]]),1)*IF(DATOS!BK$4="Sí",1/DATOS_[[% normaliz]:[% normaliz]],1)*(DATOS_[C.Extra.03])))))))),
0)</f>
        <v>0</v>
      </c>
      <c r="AS19" s="104">
        <f t="array" ref="AS19">IFERROR(
(AVERAGE((IF(DATOS_[[Sexo]:[Sexo]]=$B19,IF(DATOS_[[AGRUP. CLAS. PROF.]:[AGRUP. CLAS. PROF.]]=$B18,IF(DATOS_[[Check Periodo Ref.]:[Check Periodo Ref.]]="Dentro",IF(DATOS_[[Check Equiparado]:[Check Equiparado]]="Sí",IF(DATOS!BL$5="Sí",(1/DATOS_[[% anualiz]:[% anualiz]]),1)*IF(DATOS!BL$4="Sí",1/DATOS_[[% normaliz]:[% normaliz]],1)*(DATOS_[C.Extra.04])))))))),
0)</f>
        <v>207.34782608695653</v>
      </c>
      <c r="AT19" s="104">
        <f t="array" ref="AT19">IFERROR(
(AVERAGE((IF(DATOS_[[Sexo]:[Sexo]]=$B19,IF(DATOS_[[AGRUP. CLAS. PROF.]:[AGRUP. CLAS. PROF.]]=$B18,IF(DATOS_[[Check Periodo Ref.]:[Check Periodo Ref.]]="Dentro",IF(DATOS_[[Check Equiparado]:[Check Equiparado]]="Sí",IF(DATOS!BM$5="Sí",(1/DATOS_[[% anualiz]:[% anualiz]]),1)*IF(DATOS!BM$4="Sí",1/DATOS_[[% normaliz]:[% normaliz]],1)*(DATOS_[C.Extra.05])))))))),
0)</f>
        <v>0</v>
      </c>
      <c r="AU19" s="105">
        <f t="array" ref="AU19">IFERROR(
AVERAGE(IF(DATOS_[Sexo]=$B19,IF(DATOS_[[AGRUP. CLAS. PROF.]:[AGRUP. CLAS. PROF.]]=$B18,IF(DATOS_[Check Equiparado]="Sí",IF(DATOS_[Check Periodo Ref.]="Dentro",DATOS_[Tot Extrasalarial Eq],FALSE))))),
0)</f>
        <v>207.34782608695653</v>
      </c>
      <c r="AV19" s="106">
        <f t="array" ref="AV19">IFERROR(
AVERAGE(IF(DATOS_[Sexo]=$B19,IF(DATOS_[[AGRUP. CLAS. PROF.]:[AGRUP. CLAS. PROF.]]=$B18,IF(DATOS_[Check Equiparado]="Sí",IF(DATOS_[Check Periodo Ref.]="Dentro",DATOS_[TOTAL Retrib Eq],FALSE))))),
0)</f>
        <v>20991.849513043479</v>
      </c>
    </row>
    <row r="20" spans="1:48" x14ac:dyDescent="0.3">
      <c r="A20" s="53" t="str">
        <f t="shared" ref="A20" si="10">+A19</f>
        <v/>
      </c>
      <c r="B20" s="57" t="s">
        <v>163</v>
      </c>
      <c r="C20" s="56">
        <f t="array" ref="C20">SUM(IF($B20=DATOS_[Sexo],
IF($B18=DATOS_[AGRUP. CLAS. PROF.],
IF("Dentro"=DATOS_[Check Periodo Ref.],
1/(COUNTIFS(DATOS_[Sexo],$B20,DATOS_[AGRUP. CLAS. PROF.],$B18,DATOS_[Check Periodo Ref.],"Dentro",DATOS_[id],DATOS_[id]))))))</f>
        <v>13</v>
      </c>
      <c r="D20" s="58">
        <f>COUNTIFS(DATOS_[AGRUP. CLAS. PROF.],$B18,DATOS_[Sexo],$B20,DATOS_[Check Periodo Ref.],"Dentro")</f>
        <v>14</v>
      </c>
      <c r="E20" s="58">
        <f>COUNTIFS(DATOS_[AGRUP. CLAS. PROF.],$B18,DATOS_[Sexo],$B20,DATOS_[Check Periodo Ref.],"Dentro",DATOS_[Check Nº SC Norm],"Sí")</f>
        <v>7</v>
      </c>
      <c r="F20" s="58">
        <f>COUNTIFS(DATOS_[AGRUP. CLAS. PROF.],$B18,DATOS_[Sexo],$B20,DATOS_[Check Periodo Ref.],"Dentro",DATOS_[Check Nº SC Anualiz],"Sí")</f>
        <v>1</v>
      </c>
      <c r="G20" s="58">
        <f>COUNTIFS(DATOS_[AGRUP. CLAS. PROF.],$B18,DATOS_[Sexo],$B20,DATOS_[Check Periodo Ref.],"Dentro",DATOS_[Check Nº SC Norm y Anualiz],"Sí")</f>
        <v>1</v>
      </c>
      <c r="H20" s="58">
        <f>COUNTIFS(DATOS_[AGRUP. CLAS. PROF.],$B18,DATOS_[Sexo],$B20,DATOS_[Check Periodo Ref.],"Dentro",DATOS_[Check Equiparación],"Sí")</f>
        <v>9</v>
      </c>
      <c r="I20" s="100" cm="1">
        <f t="array" ref="I20">IFERROR(
AVERAGE(IF(DATOS_[Sexo]=$B20,IF(DATOS_[[AGRUP. CLAS. PROF.]:[AGRUP. CLAS. PROF.]]=$B18,IF(DATOS_[Check Equiparado]="Sí",IF(DATOS_[Check Periodo Ref.]="Dentro",DATOS_[SALARIO BASE Eq],FALSE))))),
0)</f>
        <v>15947.374236111116</v>
      </c>
      <c r="J20" s="101">
        <f t="array" ref="J20">IFERROR(
(AVERAGE((IF(DATOS_[[Sexo]:[Sexo]]=$B20,IF(DATOS_[[AGRUP. CLAS. PROF.]:[AGRUP. CLAS. PROF.]]=$B18,IF(DATOS_[[Check Periodo Ref.]:[Check Periodo Ref.]]="Dentro",IF(DATOS_[[Check Equiparado]:[Check Equiparado]]="Sí",IF(DATOS!AE$5="Sí",(1/DATOS_[[% anualiz]:[% anualiz]]),1)*IF(DATOS!AE$4="Sí",1/DATOS_[[% normaliz]:[% normaliz]],1)*(DATOS_[Conc.Sal.01])))))))),
0)</f>
        <v>2718.4015972222219</v>
      </c>
      <c r="K20" s="101">
        <f t="array" ref="K20">IFERROR(
(AVERAGE((IF(DATOS_[[Sexo]:[Sexo]]=$B20,IF(DATOS_[[AGRUP. CLAS. PROF.]:[AGRUP. CLAS. PROF.]]=$B18,IF(DATOS_[[Check Periodo Ref.]:[Check Periodo Ref.]]="Dentro",IF(DATOS_[[Check Equiparado]:[Check Equiparado]]="Sí",IF(DATOS!AF$5="Sí",(1/DATOS_[[% anualiz]:[% anualiz]]),1)*IF(DATOS!AF$4="Sí",1/DATOS_[[% normaliz]:[% normaliz]],1)*(DATOS_[Conc.Sal.02])))))))),
0)</f>
        <v>1913.6849083333336</v>
      </c>
      <c r="L20" s="101">
        <f t="array" ref="L20">IFERROR(
(AVERAGE((IF(DATOS_[[Sexo]:[Sexo]]=$B20,IF(DATOS_[[AGRUP. CLAS. PROF.]:[AGRUP. CLAS. PROF.]]=$B18,IF(DATOS_[[Check Periodo Ref.]:[Check Periodo Ref.]]="Dentro",IF(DATOS_[[Check Equiparado]:[Check Equiparado]]="Sí",IF(DATOS!AG$5="Sí",(1/DATOS_[[% anualiz]:[% anualiz]]),1)*IF(DATOS!AG$4="Sí",1/DATOS_[[% normaliz]:[% normaliz]],1)*(DATOS_[Conc.Sal.03])))))))),
0)</f>
        <v>0</v>
      </c>
      <c r="M20" s="101">
        <f t="array" ref="M20">IFERROR(
(AVERAGE((IF(DATOS_[[Sexo]:[Sexo]]=$B20,IF(DATOS_[[AGRUP. CLAS. PROF.]:[AGRUP. CLAS. PROF.]]=$B18,IF(DATOS_[[Check Periodo Ref.]:[Check Periodo Ref.]]="Dentro",IF(DATOS_[[Check Equiparado]:[Check Equiparado]]="Sí",IF(DATOS!AH$5="Sí",(1/DATOS_[[% anualiz]:[% anualiz]]),1)*IF(DATOS!AH$4="Sí",1/DATOS_[[% normaliz]:[% normaliz]],1)*(DATOS_[Conc.Sal.04])))))))),
0)</f>
        <v>0</v>
      </c>
      <c r="N20" s="101">
        <f t="array" ref="N20">IFERROR(
(AVERAGE((IF(DATOS_[[Sexo]:[Sexo]]=$B20,IF(DATOS_[[AGRUP. CLAS. PROF.]:[AGRUP. CLAS. PROF.]]=$B18,IF(DATOS_[[Check Periodo Ref.]:[Check Periodo Ref.]]="Dentro",IF(DATOS_[[Check Equiparado]:[Check Equiparado]]="Sí",IF(DATOS!AI$5="Sí",(1/DATOS_[[% anualiz]:[% anualiz]]),1)*IF(DATOS!AI$4="Sí",1/DATOS_[[% normaliz]:[% normaliz]],1)*(DATOS_[Conc.Sal.05])))))))),
0)</f>
        <v>0</v>
      </c>
      <c r="O20" s="101">
        <f t="array" ref="O20">IFERROR(
(AVERAGE((IF(DATOS_[[Sexo]:[Sexo]]=$B20,IF(DATOS_[[AGRUP. CLAS. PROF.]:[AGRUP. CLAS. PROF.]]=$B18,IF(DATOS_[[Check Periodo Ref.]:[Check Periodo Ref.]]="Dentro",IF(DATOS_[[Check Equiparado]:[Check Equiparado]]="Sí",IF(DATOS!AJ$5="Sí",(1/DATOS_[[% anualiz]:[% anualiz]]),1)*IF(DATOS!AJ$4="Sí",1/DATOS_[[% normaliz]:[% normaliz]],1)*(DATOS_[Conc.Sal.06])))))))),
0)</f>
        <v>0</v>
      </c>
      <c r="P20" s="101">
        <f t="array" ref="P20">IFERROR(
(AVERAGE((IF(DATOS_[[Sexo]:[Sexo]]=$B20,IF(DATOS_[[AGRUP. CLAS. PROF.]:[AGRUP. CLAS. PROF.]]=$B18,IF(DATOS_[[Check Periodo Ref.]:[Check Periodo Ref.]]="Dentro",IF(DATOS_[[Check Equiparado]:[Check Equiparado]]="Sí",IF(DATOS!AK$5="Sí",(1/DATOS_[[% anualiz]:[% anualiz]]),1)*IF(DATOS!AK$4="Sí",1/DATOS_[[% normaliz]:[% normaliz]],1)*(DATOS_[Conc.Sal.07])))))))),
0)</f>
        <v>80</v>
      </c>
      <c r="Q20" s="101">
        <f t="array" ref="Q20">IFERROR(
(AVERAGE((IF(DATOS_[[Sexo]:[Sexo]]=$B20,IF(DATOS_[[AGRUP. CLAS. PROF.]:[AGRUP. CLAS. PROF.]]=$B18,IF(DATOS_[[Check Periodo Ref.]:[Check Periodo Ref.]]="Dentro",IF(DATOS_[[Check Equiparado]:[Check Equiparado]]="Sí",IF(DATOS!AL$5="Sí",(1/DATOS_[[% anualiz]:[% anualiz]]),1)*IF(DATOS!AL$4="Sí",1/DATOS_[[% normaliz]:[% normaliz]],1)*(DATOS_[Conc.Sal.08])))))))),
0)</f>
        <v>0</v>
      </c>
      <c r="R20" s="101">
        <f t="array" ref="R20">IFERROR(
(AVERAGE((IF(DATOS_[[Sexo]:[Sexo]]=$B20,IF(DATOS_[[AGRUP. CLAS. PROF.]:[AGRUP. CLAS. PROF.]]=$B18,IF(DATOS_[[Check Periodo Ref.]:[Check Periodo Ref.]]="Dentro",IF(DATOS_[[Check Equiparado]:[Check Equiparado]]="Sí",IF(DATOS!AM$5="Sí",(1/DATOS_[[% anualiz]:[% anualiz]]),1)*IF(DATOS!AM$4="Sí",1/DATOS_[[% normaliz]:[% normaliz]],1)*(DATOS_[Conc.Sal.09])))))))),
0)</f>
        <v>0</v>
      </c>
      <c r="S20" s="101">
        <f t="array" ref="S20">IFERROR(
(AVERAGE((IF(DATOS_[[Sexo]:[Sexo]]=$B20,IF(DATOS_[[AGRUP. CLAS. PROF.]:[AGRUP. CLAS. PROF.]]=$B18,IF(DATOS_[[Check Periodo Ref.]:[Check Periodo Ref.]]="Dentro",IF(DATOS_[[Check Equiparado]:[Check Equiparado]]="Sí",IF(DATOS!AN$5="Sí",(1/DATOS_[[% anualiz]:[% anualiz]]),1)*IF(DATOS!AN$4="Sí",1/DATOS_[[% normaliz]:[% normaliz]],1)*(DATOS_[Conc.Sal.10])))))))),
0)</f>
        <v>0</v>
      </c>
      <c r="T20" s="101">
        <f t="array" ref="T20">IFERROR(
(AVERAGE((IF(DATOS_[[Sexo]:[Sexo]]=$B20,IF(DATOS_[[AGRUP. CLAS. PROF.]:[AGRUP. CLAS. PROF.]]=$B18,IF(DATOS_[[Check Periodo Ref.]:[Check Periodo Ref.]]="Dentro",IF(DATOS_[[Check Equiparado]:[Check Equiparado]]="Sí",IF(DATOS!AO$5="Sí",(1/DATOS_[[% anualiz]:[% anualiz]]),1)*IF(DATOS!AO$4="Sí",1/DATOS_[[% normaliz]:[% normaliz]],1)*(DATOS_[Conc.Sal.11])))))))),
0)</f>
        <v>0</v>
      </c>
      <c r="U20" s="101">
        <f t="array" ref="U20">IFERROR(
(AVERAGE((IF(DATOS_[[Sexo]:[Sexo]]=$B20,IF(DATOS_[[AGRUP. CLAS. PROF.]:[AGRUP. CLAS. PROF.]]=$B18,IF(DATOS_[[Check Periodo Ref.]:[Check Periodo Ref.]]="Dentro",IF(DATOS_[[Check Equiparado]:[Check Equiparado]]="Sí",IF(DATOS!AP$5="Sí",(1/DATOS_[[% anualiz]:[% anualiz]]),1)*IF(DATOS!AP$4="Sí",1/DATOS_[[% normaliz]:[% normaliz]],1)*(DATOS_[Conc.Sal.12])))))))),
0)</f>
        <v>0</v>
      </c>
      <c r="V20" s="101">
        <f t="array" ref="V20">IFERROR(
(AVERAGE((IF(DATOS_[[Sexo]:[Sexo]]=$B20,IF(DATOS_[[AGRUP. CLAS. PROF.]:[AGRUP. CLAS. PROF.]]=$B18,IF(DATOS_[[Check Periodo Ref.]:[Check Periodo Ref.]]="Dentro",IF(DATOS_[[Check Equiparado]:[Check Equiparado]]="Sí",IF(DATOS!AQ$5="Sí",(1/DATOS_[[% anualiz]:[% anualiz]]),1)*IF(DATOS!AQ$4="Sí",1/DATOS_[[% normaliz]:[% normaliz]],1)*(DATOS_[Conc.Sal.13])))))))),
0)</f>
        <v>0</v>
      </c>
      <c r="W20" s="101">
        <f t="array" ref="W20">IFERROR(
(AVERAGE((IF(DATOS_[[Sexo]:[Sexo]]=$B20,IF(DATOS_[[AGRUP. CLAS. PROF.]:[AGRUP. CLAS. PROF.]]=$B18,IF(DATOS_[[Check Periodo Ref.]:[Check Periodo Ref.]]="Dentro",IF(DATOS_[[Check Equiparado]:[Check Equiparado]]="Sí",IF(DATOS!AR$5="Sí",(1/DATOS_[[% anualiz]:[% anualiz]]),1)*IF(DATOS!AR$4="Sí",1/DATOS_[[% normaliz]:[% normaliz]],1)*(DATOS_[Conc.Sal.14])))))))),
0)</f>
        <v>0</v>
      </c>
      <c r="X20" s="101">
        <f t="array" ref="X20">IFERROR(
(AVERAGE((IF(DATOS_[[Sexo]:[Sexo]]=$B20,IF(DATOS_[[AGRUP. CLAS. PROF.]:[AGRUP. CLAS. PROF.]]=$B18,IF(DATOS_[[Check Periodo Ref.]:[Check Periodo Ref.]]="Dentro",IF(DATOS_[[Check Equiparado]:[Check Equiparado]]="Sí",IF(DATOS!AS$5="Sí",(1/DATOS_[[% anualiz]:[% anualiz]]),1)*IF(DATOS!AS$4="Sí",1/DATOS_[[% normaliz]:[% normaliz]],1)*(DATOS_[Conc.Sal.15])))))))),
0)</f>
        <v>0</v>
      </c>
      <c r="Y20" s="101">
        <f t="array" ref="Y20">IFERROR(
(AVERAGE((IF(DATOS_[[Sexo]:[Sexo]]=$B20,IF(DATOS_[[AGRUP. CLAS. PROF.]:[AGRUP. CLAS. PROF.]]=$B18,IF(DATOS_[[Check Periodo Ref.]:[Check Periodo Ref.]]="Dentro",IF(DATOS_[[Check Equiparado]:[Check Equiparado]]="Sí",IF(DATOS!AT$5="Sí",(1/DATOS_[[% anualiz]:[% anualiz]]),1)*IF(DATOS!AT$4="Sí",1/DATOS_[[% normaliz]:[% normaliz]],1)*(DATOS_[Conc.Sal.16])))))))),
0)</f>
        <v>0</v>
      </c>
      <c r="Z20" s="101">
        <f t="array" ref="Z20">IFERROR(
(AVERAGE((IF(DATOS_[[Sexo]:[Sexo]]=$B20,IF(DATOS_[[AGRUP. CLAS. PROF.]:[AGRUP. CLAS. PROF.]]=$B18,IF(DATOS_[[Check Periodo Ref.]:[Check Periodo Ref.]]="Dentro",IF(DATOS_[[Check Equiparado]:[Check Equiparado]]="Sí",IF(DATOS!AU$5="Sí",(1/DATOS_[[% anualiz]:[% anualiz]]),1)*IF(DATOS!AU$4="Sí",1/DATOS_[[% normaliz]:[% normaliz]],1)*(DATOS_[Conc.Sal.17])))))))),
0)</f>
        <v>0</v>
      </c>
      <c r="AA20" s="101">
        <f t="array" ref="AA20">IFERROR(
(AVERAGE((IF(DATOS_[[Sexo]:[Sexo]]=$B20,IF(DATOS_[[AGRUP. CLAS. PROF.]:[AGRUP. CLAS. PROF.]]=$B18,IF(DATOS_[[Check Periodo Ref.]:[Check Periodo Ref.]]="Dentro",IF(DATOS_[[Check Equiparado]:[Check Equiparado]]="Sí",IF(DATOS!AV$5="Sí",(1/DATOS_[[% anualiz]:[% anualiz]]),1)*IF(DATOS!AV$4="Sí",1/DATOS_[[% normaliz]:[% normaliz]],1)*(DATOS_[Conc.Sal.18])))))))),
0)</f>
        <v>0</v>
      </c>
      <c r="AB20" s="101">
        <f t="array" ref="AB20">IFERROR(
(AVERAGE((IF(DATOS_[[Sexo]:[Sexo]]=$B20,IF(DATOS_[[AGRUP. CLAS. PROF.]:[AGRUP. CLAS. PROF.]]=$B18,IF(DATOS_[[Check Periodo Ref.]:[Check Periodo Ref.]]="Dentro",IF(DATOS_[[Check Equiparado]:[Check Equiparado]]="Sí",IF(DATOS!AW$5="Sí",(1/DATOS_[[% anualiz]:[% anualiz]]),1)*IF(DATOS!AW$4="Sí",1/DATOS_[[% normaliz]:[% normaliz]],1)*(DATOS_[Conc.Sal.19])))))))),
0)</f>
        <v>0</v>
      </c>
      <c r="AC20" s="101">
        <f t="array" ref="AC20">IFERROR(
(AVERAGE((IF(DATOS_[[Sexo]:[Sexo]]=$B20,IF(DATOS_[[AGRUP. CLAS. PROF.]:[AGRUP. CLAS. PROF.]]=$B18,IF(DATOS_[[Check Periodo Ref.]:[Check Periodo Ref.]]="Dentro",IF(DATOS_[[Check Equiparado]:[Check Equiparado]]="Sí",IF(DATOS!AX$5="Sí",(1/DATOS_[[% anualiz]:[% anualiz]]),1)*IF(DATOS!AX$4="Sí",1/DATOS_[[% normaliz]:[% normaliz]],1)*(DATOS_[Conc.Sal.20])))))))),
0)</f>
        <v>0</v>
      </c>
      <c r="AD20" s="101">
        <f t="array" ref="AD20">IFERROR(
(AVERAGE((IF(DATOS_[[Sexo]:[Sexo]]=$B20,IF(DATOS_[[AGRUP. CLAS. PROF.]:[AGRUP. CLAS. PROF.]]=$B18,IF(DATOS_[[Check Periodo Ref.]:[Check Periodo Ref.]]="Dentro",IF(DATOS_[[Check Equiparado]:[Check Equiparado]]="Sí",IF(DATOS!AY$5="Sí",(1/DATOS_[[% anualiz]:[% anualiz]]),1)*IF(DATOS!AY$4="Sí",1/DATOS_[[% normaliz]:[% normaliz]],1)*(DATOS_[Conc.Sal.21])))))))),
0)</f>
        <v>0</v>
      </c>
      <c r="AE20" s="101">
        <f t="array" ref="AE20">IFERROR(
(AVERAGE((IF(DATOS_[[Sexo]:[Sexo]]=$B20,IF(DATOS_[[AGRUP. CLAS. PROF.]:[AGRUP. CLAS. PROF.]]=$B18,IF(DATOS_[[Check Periodo Ref.]:[Check Periodo Ref.]]="Dentro",IF(DATOS_[[Check Equiparado]:[Check Equiparado]]="Sí",IF(DATOS!AZ$5="Sí",(1/DATOS_[[% anualiz]:[% anualiz]]),1)*IF(DATOS!AZ$4="Sí",1/DATOS_[[% normaliz]:[% normaliz]],1)*(DATOS_[Conc.Sal.22])))))))),
0)</f>
        <v>0</v>
      </c>
      <c r="AF20" s="101">
        <f t="array" ref="AF20">IFERROR(
(AVERAGE((IF(DATOS_[[Sexo]:[Sexo]]=$B20,IF(DATOS_[[AGRUP. CLAS. PROF.]:[AGRUP. CLAS. PROF.]]=$B18,IF(DATOS_[[Check Periodo Ref.]:[Check Periodo Ref.]]="Dentro",IF(DATOS_[[Check Equiparado]:[Check Equiparado]]="Sí",IF(DATOS!BA$5="Sí",(1/DATOS_[[% anualiz]:[% anualiz]]),1)*IF(DATOS!BA$4="Sí",1/DATOS_[[% normaliz]:[% normaliz]],1)*(DATOS_[Conc.Sal.23])))))))),
0)</f>
        <v>0</v>
      </c>
      <c r="AG20" s="101">
        <f t="array" ref="AG20">IFERROR(
(AVERAGE((IF(DATOS_[[Sexo]:[Sexo]]=$B20,IF(DATOS_[[AGRUP. CLAS. PROF.]:[AGRUP. CLAS. PROF.]]=$B18,IF(DATOS_[[Check Periodo Ref.]:[Check Periodo Ref.]]="Dentro",IF(DATOS_[[Check Equiparado]:[Check Equiparado]]="Sí",IF(DATOS!BB$5="Sí",(1/DATOS_[[% anualiz]:[% anualiz]]),1)*IF(DATOS!BB$4="Sí",1/DATOS_[[% normaliz]:[% normaliz]],1)*(DATOS_[Conc.Sal.24])))))))),
0)</f>
        <v>0</v>
      </c>
      <c r="AH20" s="101">
        <f t="array" ref="AH20">IFERROR(
(AVERAGE((IF(DATOS_[[Sexo]:[Sexo]]=$B20,IF(DATOS_[[AGRUP. CLAS. PROF.]:[AGRUP. CLAS. PROF.]]=$B18,IF(DATOS_[[Check Periodo Ref.]:[Check Periodo Ref.]]="Dentro",IF(DATOS_[[Check Equiparado]:[Check Equiparado]]="Sí",IF(DATOS!BC$5="Sí",(1/DATOS_[[% anualiz]:[% anualiz]]),1)*IF(DATOS!BC$4="Sí",1/DATOS_[[% normaliz]:[% normaliz]],1)*(DATOS_[Conc.Sal.25])))))))),
0)</f>
        <v>0</v>
      </c>
      <c r="AI20" s="101">
        <f t="array" ref="AI20">IFERROR(
(AVERAGE((IF(DATOS_[[Sexo]:[Sexo]]=$B20,IF(DATOS_[[AGRUP. CLAS. PROF.]:[AGRUP. CLAS. PROF.]]=$B18,IF(DATOS_[[Check Periodo Ref.]:[Check Periodo Ref.]]="Dentro",IF(DATOS_[[Check Equiparado]:[Check Equiparado]]="Sí",IF(DATOS!BD$5="Sí",(1/DATOS_[[% anualiz]:[% anualiz]]),1)*IF(DATOS!BD$4="Sí",1/DATOS_[[% normaliz]:[% normaliz]],1)*(DATOS_[Conc.Sal.26])))))))),
0)</f>
        <v>0</v>
      </c>
      <c r="AJ20" s="101">
        <f t="array" ref="AJ20">IFERROR(
(AVERAGE((IF(DATOS_[[Sexo]:[Sexo]]=$B20,IF(DATOS_[[AGRUP. CLAS. PROF.]:[AGRUP. CLAS. PROF.]]=$B18,IF(DATOS_[[Check Periodo Ref.]:[Check Periodo Ref.]]="Dentro",IF(DATOS_[[Check Equiparado]:[Check Equiparado]]="Sí",IF(DATOS!BE$5="Sí",(1/DATOS_[[% anualiz]:[% anualiz]]),1)*IF(DATOS!BE$4="Sí",1/DATOS_[[% normaliz]:[% normaliz]],1)*(DATOS_[Conc.Sal.27])))))))),
0)</f>
        <v>0</v>
      </c>
      <c r="AK20" s="101">
        <f t="array" ref="AK20">IFERROR(
(AVERAGE((IF(DATOS_[[Sexo]:[Sexo]]=$B20,IF(DATOS_[[AGRUP. CLAS. PROF.]:[AGRUP. CLAS. PROF.]]=$B18,IF(DATOS_[[Check Periodo Ref.]:[Check Periodo Ref.]]="Dentro",IF(DATOS_[[Check Equiparado]:[Check Equiparado]]="Sí",IF(DATOS!BF$5="Sí",(1/DATOS_[[% anualiz]:[% anualiz]]),1)*IF(DATOS!BF$4="Sí",1/DATOS_[[% normaliz]:[% normaliz]],1)*(DATOS_[Conc.Sal.28])))))))),
0)</f>
        <v>0</v>
      </c>
      <c r="AL20" s="101">
        <f t="array" ref="AL20">IFERROR(
(AVERAGE((IF(DATOS_[[Sexo]:[Sexo]]=$B20,IF(DATOS_[[AGRUP. CLAS. PROF.]:[AGRUP. CLAS. PROF.]]=$B18,IF(DATOS_[[Check Periodo Ref.]:[Check Periodo Ref.]]="Dentro",IF(DATOS_[[Check Equiparado]:[Check Equiparado]]="Sí",IF(DATOS!BG$5="Sí",(1/DATOS_[[% anualiz]:[% anualiz]]),1)*IF(DATOS!BG$4="Sí",1/DATOS_[[% normaliz]:[% normaliz]],1)*(DATOS_[Conc.Sal.29])))))))),
0)</f>
        <v>0</v>
      </c>
      <c r="AM20" s="101">
        <f t="array" ref="AM20">IFERROR(
(AVERAGE((IF(DATOS_[[Sexo]:[Sexo]]=$B20,IF(DATOS_[[AGRUP. CLAS. PROF.]:[AGRUP. CLAS. PROF.]]=$B18,IF(DATOS_[[Check Periodo Ref.]:[Check Periodo Ref.]]="Dentro",IF(DATOS_[[Check Equiparado]:[Check Equiparado]]="Sí",IF(DATOS!BH$5="Sí",(1/DATOS_[[% anualiz]:[% anualiz]]),1)*IF(DATOS!BH$4="Sí",1/DATOS_[[% normaliz]:[% normaliz]],1)*(DATOS_[Conc.Sal.30])))))))),
0)</f>
        <v>0</v>
      </c>
      <c r="AN20" s="102">
        <f t="array" ref="AN20">IFERROR(
AVERAGE(IF(DATOS_[Sexo]=$B20,IF(DATOS_[[AGRUP. CLAS. PROF.]:[AGRUP. CLAS. PROF.]]=$B18,IF(DATOS_[Check Equiparado]="Sí",IF(DATOS_[Check Periodo Ref.]="Dentro",DATOS_[Tot COMPL.SAL Eq],FALSE))))),
0)</f>
        <v>4712.086505555556</v>
      </c>
      <c r="AO20" s="103">
        <f t="array" ref="AO20">IFERROR(
AVERAGE(IF(DATOS_[Sexo]=$B20,IF(DATOS_[[AGRUP. CLAS. PROF.]:[AGRUP. CLAS. PROF.]]=$B18,IF(DATOS_[Check Equiparado]="Sí",IF(DATOS_[Check Periodo Ref.]="Dentro",DATOS_[TOTAL SALARIO Eq],FALSE))))),
0)</f>
        <v>20659.460741666669</v>
      </c>
      <c r="AP20" s="104">
        <f t="array" ref="AP20">IFERROR(
(AVERAGE((IF(DATOS_[[Sexo]:[Sexo]]=$B20,IF(DATOS_[[AGRUP. CLAS. PROF.]:[AGRUP. CLAS. PROF.]]=$B18,IF(DATOS_[[Check Periodo Ref.]:[Check Periodo Ref.]]="Dentro",IF(DATOS_[[Check Equiparado]:[Check Equiparado]]="Sí",IF(DATOS!BI$5="Sí",(1/DATOS_[[% anualiz]:[% anualiz]]),1)*IF(DATOS!BI$4="Sí",1/DATOS_[[% normaliz]:[% normaliz]],1)*(DATOS_[C.Extra.01])))))))),
0)</f>
        <v>0</v>
      </c>
      <c r="AQ20" s="104">
        <f t="array" ref="AQ20">IFERROR(
(AVERAGE((IF(DATOS_[[Sexo]:[Sexo]]=$B20,IF(DATOS_[[AGRUP. CLAS. PROF.]:[AGRUP. CLAS. PROF.]]=$B18,IF(DATOS_[[Check Periodo Ref.]:[Check Periodo Ref.]]="Dentro",IF(DATOS_[[Check Equiparado]:[Check Equiparado]]="Sí",IF(DATOS!BJ$5="Sí",(1/DATOS_[[% anualiz]:[% anualiz]]),1)*IF(DATOS!BJ$4="Sí",1/DATOS_[[% normaliz]:[% normaliz]],1)*(DATOS_[C.Extra.02])))))))),
0)</f>
        <v>0</v>
      </c>
      <c r="AR20" s="104">
        <f t="array" ref="AR20">IFERROR(
(AVERAGE((IF(DATOS_[[Sexo]:[Sexo]]=$B20,IF(DATOS_[[AGRUP. CLAS. PROF.]:[AGRUP. CLAS. PROF.]]=$B18,IF(DATOS_[[Check Periodo Ref.]:[Check Periodo Ref.]]="Dentro",IF(DATOS_[[Check Equiparado]:[Check Equiparado]]="Sí",IF(DATOS!BK$5="Sí",(1/DATOS_[[% anualiz]:[% anualiz]]),1)*IF(DATOS!BK$4="Sí",1/DATOS_[[% normaliz]:[% normaliz]],1)*(DATOS_[C.Extra.03])))))))),
0)</f>
        <v>0</v>
      </c>
      <c r="AS20" s="104">
        <f t="array" ref="AS20">IFERROR(
(AVERAGE((IF(DATOS_[[Sexo]:[Sexo]]=$B20,IF(DATOS_[[AGRUP. CLAS. PROF.]:[AGRUP. CLAS. PROF.]]=$B18,IF(DATOS_[[Check Periodo Ref.]:[Check Periodo Ref.]]="Dentro",IF(DATOS_[[Check Equiparado]:[Check Equiparado]]="Sí",IF(DATOS!BL$5="Sí",(1/DATOS_[[% anualiz]:[% anualiz]]),1)*IF(DATOS!BL$4="Sí",1/DATOS_[[% normaliz]:[% normaliz]],1)*(DATOS_[C.Extra.04])))))))),
0)</f>
        <v>0</v>
      </c>
      <c r="AT20" s="104">
        <f t="array" ref="AT20">IFERROR(
(AVERAGE((IF(DATOS_[[Sexo]:[Sexo]]=$B20,IF(DATOS_[[AGRUP. CLAS. PROF.]:[AGRUP. CLAS. PROF.]]=$B18,IF(DATOS_[[Check Periodo Ref.]:[Check Periodo Ref.]]="Dentro",IF(DATOS_[[Check Equiparado]:[Check Equiparado]]="Sí",IF(DATOS!BM$5="Sí",(1/DATOS_[[% anualiz]:[% anualiz]]),1)*IF(DATOS!BM$4="Sí",1/DATOS_[[% normaliz]:[% normaliz]],1)*(DATOS_[C.Extra.05])))))))),
0)</f>
        <v>0</v>
      </c>
      <c r="AU20" s="105">
        <f t="array" ref="AU20">IFERROR(
AVERAGE(IF(DATOS_[Sexo]=$B20,IF(DATOS_[[AGRUP. CLAS. PROF.]:[AGRUP. CLAS. PROF.]]=$B18,IF(DATOS_[Check Equiparado]="Sí",IF(DATOS_[Check Periodo Ref.]="Dentro",DATOS_[Tot Extrasalarial Eq],FALSE))))),
0)</f>
        <v>0</v>
      </c>
      <c r="AV20" s="106">
        <f t="array" ref="AV20">IFERROR(
AVERAGE(IF(DATOS_[Sexo]=$B20,IF(DATOS_[[AGRUP. CLAS. PROF.]:[AGRUP. CLAS. PROF.]]=$B18,IF(DATOS_[Check Equiparado]="Sí",IF(DATOS_[Check Periodo Ref.]="Dentro",DATOS_[TOTAL Retrib Eq],FALSE))))),
0)</f>
        <v>20659.460741666669</v>
      </c>
    </row>
    <row r="21" spans="1:48" ht="17.25" thickBot="1" x14ac:dyDescent="0.35">
      <c r="A21" s="53" t="str">
        <f t="shared" ref="A21" si="11">+A22</f>
        <v/>
      </c>
      <c r="B21" s="62" t="s">
        <v>300</v>
      </c>
      <c r="C21" s="99"/>
      <c r="D21" s="63"/>
      <c r="E21" s="63"/>
      <c r="F21" s="63"/>
      <c r="G21" s="63"/>
      <c r="H21" s="63"/>
      <c r="I21" s="129">
        <f t="shared" ref="I21:AV21" si="12">IFERROR((I22-I23)/I22,"")</f>
        <v>9.6515411541061386E-2</v>
      </c>
      <c r="J21" s="130">
        <f t="shared" si="12"/>
        <v>9.6557679128566692E-2</v>
      </c>
      <c r="K21" s="131">
        <f t="shared" si="12"/>
        <v>-0.49720070569161584</v>
      </c>
      <c r="L21" s="131" t="str">
        <f t="shared" si="12"/>
        <v/>
      </c>
      <c r="M21" s="131" t="str">
        <f t="shared" si="12"/>
        <v/>
      </c>
      <c r="N21" s="132" t="str">
        <f t="shared" si="12"/>
        <v/>
      </c>
      <c r="O21" s="133" t="str">
        <f t="shared" si="12"/>
        <v/>
      </c>
      <c r="P21" s="133">
        <f t="shared" si="12"/>
        <v>4.3956043956043904E-2</v>
      </c>
      <c r="Q21" s="133">
        <f t="shared" si="12"/>
        <v>1</v>
      </c>
      <c r="R21" s="133" t="str">
        <f t="shared" si="12"/>
        <v/>
      </c>
      <c r="S21" s="133" t="str">
        <f t="shared" si="12"/>
        <v/>
      </c>
      <c r="T21" s="133" t="str">
        <f t="shared" si="12"/>
        <v/>
      </c>
      <c r="U21" s="133" t="str">
        <f t="shared" si="12"/>
        <v/>
      </c>
      <c r="V21" s="133" t="str">
        <f t="shared" si="12"/>
        <v/>
      </c>
      <c r="W21" s="133" t="str">
        <f t="shared" si="12"/>
        <v/>
      </c>
      <c r="X21" s="133" t="str">
        <f t="shared" si="12"/>
        <v/>
      </c>
      <c r="Y21" s="133" t="str">
        <f t="shared" si="12"/>
        <v/>
      </c>
      <c r="Z21" s="132" t="str">
        <f t="shared" si="12"/>
        <v/>
      </c>
      <c r="AA21" s="132" t="str">
        <f t="shared" si="12"/>
        <v/>
      </c>
      <c r="AB21" s="132" t="str">
        <f t="shared" si="12"/>
        <v/>
      </c>
      <c r="AC21" s="132" t="str">
        <f t="shared" si="12"/>
        <v/>
      </c>
      <c r="AD21" s="132" t="str">
        <f t="shared" si="12"/>
        <v/>
      </c>
      <c r="AE21" s="132" t="str">
        <f t="shared" si="12"/>
        <v/>
      </c>
      <c r="AF21" s="132" t="str">
        <f t="shared" si="12"/>
        <v/>
      </c>
      <c r="AG21" s="132" t="str">
        <f t="shared" si="12"/>
        <v/>
      </c>
      <c r="AH21" s="132" t="str">
        <f t="shared" si="12"/>
        <v/>
      </c>
      <c r="AI21" s="132" t="str">
        <f t="shared" si="12"/>
        <v/>
      </c>
      <c r="AJ21" s="132" t="str">
        <f t="shared" si="12"/>
        <v/>
      </c>
      <c r="AK21" s="132" t="str">
        <f t="shared" si="12"/>
        <v/>
      </c>
      <c r="AL21" s="132" t="str">
        <f t="shared" si="12"/>
        <v/>
      </c>
      <c r="AM21" s="132" t="str">
        <f t="shared" si="12"/>
        <v/>
      </c>
      <c r="AN21" s="134">
        <f t="shared" si="12"/>
        <v>0.62602660561759838</v>
      </c>
      <c r="AO21" s="138">
        <f t="shared" si="12"/>
        <v>0.28790590932026344</v>
      </c>
      <c r="AP21" s="135" t="str">
        <f t="shared" si="12"/>
        <v/>
      </c>
      <c r="AQ21" s="135" t="str">
        <f t="shared" si="12"/>
        <v/>
      </c>
      <c r="AR21" s="135" t="str">
        <f t="shared" si="12"/>
        <v/>
      </c>
      <c r="AS21" s="135" t="str">
        <f t="shared" si="12"/>
        <v/>
      </c>
      <c r="AT21" s="135" t="str">
        <f t="shared" si="12"/>
        <v/>
      </c>
      <c r="AU21" s="136" t="str">
        <f t="shared" si="12"/>
        <v/>
      </c>
      <c r="AV21" s="137">
        <f t="shared" si="12"/>
        <v>0.28790590932026344</v>
      </c>
    </row>
    <row r="22" spans="1:48" x14ac:dyDescent="0.3">
      <c r="A22" s="53" t="str">
        <f t="shared" ref="A22" si="13">+IF(C22+C23=0,"[ocultar]","")</f>
        <v/>
      </c>
      <c r="B22" s="57" t="s">
        <v>162</v>
      </c>
      <c r="C22" s="56">
        <f t="array" ref="C22">SUM(IF($B22=DATOS_[Sexo],
IF($B21=DATOS_[AGRUP. CLAS. PROF.],
IF("Dentro"=DATOS_[Check Periodo Ref.],
1/(COUNTIFS(DATOS_[Sexo],$B22,DATOS_[AGRUP. CLAS. PROF.],$B21,DATOS_[Check Periodo Ref.],"Dentro",DATOS_[id],DATOS_[id]))))))</f>
        <v>30</v>
      </c>
      <c r="D22" s="58">
        <f>COUNTIFS(DATOS_[AGRUP. CLAS. PROF.],$B21,DATOS_[Sexo],$B22,DATOS_[Check Periodo Ref.],"Dentro")</f>
        <v>30</v>
      </c>
      <c r="E22" s="58">
        <f>COUNTIFS(DATOS_[AGRUP. CLAS. PROF.],$B21,DATOS_[Sexo],$B22,DATOS_[Check Periodo Ref.],"Dentro",DATOS_[Check Nº SC Norm],"Sí")</f>
        <v>1</v>
      </c>
      <c r="F22" s="58">
        <f>COUNTIFS(DATOS_[AGRUP. CLAS. PROF.],$B21,DATOS_[Sexo],$B22,DATOS_[Check Periodo Ref.],"Dentro",DATOS_[Check Nº SC Anualiz],"Sí")</f>
        <v>4</v>
      </c>
      <c r="G22" s="58">
        <f>COUNTIFS(DATOS_[AGRUP. CLAS. PROF.],$B21,DATOS_[Sexo],$B22,DATOS_[Check Periodo Ref.],"Dentro",DATOS_[Check Nº SC Norm y Anualiz],"Sí")</f>
        <v>0</v>
      </c>
      <c r="H22" s="58">
        <f>COUNTIFS(DATOS_[AGRUP. CLAS. PROF.],$B21,DATOS_[Sexo],$B22,DATOS_[Check Periodo Ref.],"Dentro",DATOS_[Check Equiparación],"Sí")</f>
        <v>5</v>
      </c>
      <c r="I22" s="100">
        <f t="array" ref="I22">IFERROR(
AVERAGE(IF(DATOS_[Sexo]=$B22,IF(DATOS_[[AGRUP. CLAS. PROF.]:[AGRUP. CLAS. PROF.]]=$B21,IF(DATOS_[Check Equiparado]="Sí",IF(DATOS_[Check Periodo Ref.]="Dentro",DATOS_[SALARIO BASE Eq],FALSE))))),
0)</f>
        <v>12776.107825291228</v>
      </c>
      <c r="J22" s="101">
        <f t="array" ref="J22">IFERROR(
(AVERAGE((IF(DATOS_[[Sexo]:[Sexo]]=$B22,IF(DATOS_[[AGRUP. CLAS. PROF.]:[AGRUP. CLAS. PROF.]]=$B21,IF(DATOS_[[Check Periodo Ref.]:[Check Periodo Ref.]]="Dentro",IF(DATOS_[[Check Equiparado]:[Check Equiparado]]="Sí",IF(DATOS!AE$5="Sí",(1/DATOS_[[% anualiz]:[% anualiz]]),1)*IF(DATOS!AE$4="Sí",1/DATOS_[[% normaliz]:[% normaliz]],1)*(DATOS_[Conc.Sal.01])))))))),
0)</f>
        <v>1352.6735708683157</v>
      </c>
      <c r="K22" s="101">
        <f t="array" ref="K22">IFERROR(
(AVERAGE((IF(DATOS_[[Sexo]:[Sexo]]=$B22,IF(DATOS_[[AGRUP. CLAS. PROF.]:[AGRUP. CLAS. PROF.]]=$B21,IF(DATOS_[[Check Periodo Ref.]:[Check Periodo Ref.]]="Dentro",IF(DATOS_[[Check Equiparado]:[Check Equiparado]]="Sí",IF(DATOS!AF$5="Sí",(1/DATOS_[[% anualiz]:[% anualiz]]),1)*IF(DATOS!AF$4="Sí",1/DATOS_[[% normaliz]:[% normaliz]],1)*(DATOS_[Conc.Sal.02])))))))),
0)</f>
        <v>944.34343981640154</v>
      </c>
      <c r="L22" s="101">
        <f t="array" ref="L22">IFERROR(
(AVERAGE((IF(DATOS_[[Sexo]:[Sexo]]=$B22,IF(DATOS_[[AGRUP. CLAS. PROF.]:[AGRUP. CLAS. PROF.]]=$B21,IF(DATOS_[[Check Periodo Ref.]:[Check Periodo Ref.]]="Dentro",IF(DATOS_[[Check Equiparado]:[Check Equiparado]]="Sí",IF(DATOS!AG$5="Sí",(1/DATOS_[[% anualiz]:[% anualiz]]),1)*IF(DATOS!AG$4="Sí",1/DATOS_[[% normaliz]:[% normaliz]],1)*(DATOS_[Conc.Sal.03])))))))),
0)</f>
        <v>0</v>
      </c>
      <c r="M22" s="101">
        <f t="array" ref="M22">IFERROR(
(AVERAGE((IF(DATOS_[[Sexo]:[Sexo]]=$B22,IF(DATOS_[[AGRUP. CLAS. PROF.]:[AGRUP. CLAS. PROF.]]=$B21,IF(DATOS_[[Check Periodo Ref.]:[Check Periodo Ref.]]="Dentro",IF(DATOS_[[Check Equiparado]:[Check Equiparado]]="Sí",IF(DATOS!AH$5="Sí",(1/DATOS_[[% anualiz]:[% anualiz]]),1)*IF(DATOS!AH$4="Sí",1/DATOS_[[% normaliz]:[% normaliz]],1)*(DATOS_[Conc.Sal.04])))))))),
0)</f>
        <v>0</v>
      </c>
      <c r="N22" s="101">
        <f t="array" ref="N22">IFERROR(
(AVERAGE((IF(DATOS_[[Sexo]:[Sexo]]=$B22,IF(DATOS_[[AGRUP. CLAS. PROF.]:[AGRUP. CLAS. PROF.]]=$B21,IF(DATOS_[[Check Periodo Ref.]:[Check Periodo Ref.]]="Dentro",IF(DATOS_[[Check Equiparado]:[Check Equiparado]]="Sí",IF(DATOS!AI$5="Sí",(1/DATOS_[[% anualiz]:[% anualiz]]),1)*IF(DATOS!AI$4="Sí",1/DATOS_[[% normaliz]:[% normaliz]],1)*(DATOS_[Conc.Sal.05])))))))),
0)</f>
        <v>0</v>
      </c>
      <c r="O22" s="101">
        <f t="array" ref="O22">IFERROR(
(AVERAGE((IF(DATOS_[[Sexo]:[Sexo]]=$B22,IF(DATOS_[[AGRUP. CLAS. PROF.]:[AGRUP. CLAS. PROF.]]=$B21,IF(DATOS_[[Check Periodo Ref.]:[Check Periodo Ref.]]="Dentro",IF(DATOS_[[Check Equiparado]:[Check Equiparado]]="Sí",IF(DATOS!AJ$5="Sí",(1/DATOS_[[% anualiz]:[% anualiz]]),1)*IF(DATOS!AJ$4="Sí",1/DATOS_[[% normaliz]:[% normaliz]],1)*(DATOS_[Conc.Sal.06])))))))),
0)</f>
        <v>0</v>
      </c>
      <c r="P22" s="101">
        <f t="array" ref="P22">IFERROR(
(AVERAGE((IF(DATOS_[[Sexo]:[Sexo]]=$B22,IF(DATOS_[[AGRUP. CLAS. PROF.]:[AGRUP. CLAS. PROF.]]=$B21,IF(DATOS_[[Check Periodo Ref.]:[Check Periodo Ref.]]="Dentro",IF(DATOS_[[Check Equiparado]:[Check Equiparado]]="Sí",IF(DATOS!AK$5="Sí",(1/DATOS_[[% anualiz]:[% anualiz]]),1)*IF(DATOS!AK$4="Sí",1/DATOS_[[% normaliz]:[% normaliz]],1)*(DATOS_[Conc.Sal.07])))))))),
0)</f>
        <v>71.724137931034477</v>
      </c>
      <c r="Q22" s="101">
        <f t="array" ref="Q22">IFERROR(
(AVERAGE((IF(DATOS_[[Sexo]:[Sexo]]=$B22,IF(DATOS_[[AGRUP. CLAS. PROF.]:[AGRUP. CLAS. PROF.]]=$B21,IF(DATOS_[[Check Periodo Ref.]:[Check Periodo Ref.]]="Dentro",IF(DATOS_[[Check Equiparado]:[Check Equiparado]]="Sí",IF(DATOS!AL$5="Sí",(1/DATOS_[[% anualiz]:[% anualiz]]),1)*IF(DATOS!AL$4="Sí",1/DATOS_[[% normaliz]:[% normaliz]],1)*(DATOS_[Conc.Sal.08])))))))),
0)</f>
        <v>4863.0718197716624</v>
      </c>
      <c r="R22" s="101">
        <f t="array" ref="R22">IFERROR(
(AVERAGE((IF(DATOS_[[Sexo]:[Sexo]]=$B22,IF(DATOS_[[AGRUP. CLAS. PROF.]:[AGRUP. CLAS. PROF.]]=$B21,IF(DATOS_[[Check Periodo Ref.]:[Check Periodo Ref.]]="Dentro",IF(DATOS_[[Check Equiparado]:[Check Equiparado]]="Sí",IF(DATOS!AM$5="Sí",(1/DATOS_[[% anualiz]:[% anualiz]]),1)*IF(DATOS!AM$4="Sí",1/DATOS_[[% normaliz]:[% normaliz]],1)*(DATOS_[Conc.Sal.09])))))))),
0)</f>
        <v>0</v>
      </c>
      <c r="S22" s="101">
        <f t="array" ref="S22">IFERROR(
(AVERAGE((IF(DATOS_[[Sexo]:[Sexo]]=$B22,IF(DATOS_[[AGRUP. CLAS. PROF.]:[AGRUP. CLAS. PROF.]]=$B21,IF(DATOS_[[Check Periodo Ref.]:[Check Periodo Ref.]]="Dentro",IF(DATOS_[[Check Equiparado]:[Check Equiparado]]="Sí",IF(DATOS!AN$5="Sí",(1/DATOS_[[% anualiz]:[% anualiz]]),1)*IF(DATOS!AN$4="Sí",1/DATOS_[[% normaliz]:[% normaliz]],1)*(DATOS_[Conc.Sal.10])))))))),
0)</f>
        <v>0</v>
      </c>
      <c r="T22" s="101">
        <f t="array" ref="T22">IFERROR(
(AVERAGE((IF(DATOS_[[Sexo]:[Sexo]]=$B22,IF(DATOS_[[AGRUP. CLAS. PROF.]:[AGRUP. CLAS. PROF.]]=$B21,IF(DATOS_[[Check Periodo Ref.]:[Check Periodo Ref.]]="Dentro",IF(DATOS_[[Check Equiparado]:[Check Equiparado]]="Sí",IF(DATOS!AO$5="Sí",(1/DATOS_[[% anualiz]:[% anualiz]]),1)*IF(DATOS!AO$4="Sí",1/DATOS_[[% normaliz]:[% normaliz]],1)*(DATOS_[Conc.Sal.11])))))))),
0)</f>
        <v>0</v>
      </c>
      <c r="U22" s="101">
        <f t="array" ref="U22">IFERROR(
(AVERAGE((IF(DATOS_[[Sexo]:[Sexo]]=$B22,IF(DATOS_[[AGRUP. CLAS. PROF.]:[AGRUP. CLAS. PROF.]]=$B21,IF(DATOS_[[Check Periodo Ref.]:[Check Periodo Ref.]]="Dentro",IF(DATOS_[[Check Equiparado]:[Check Equiparado]]="Sí",IF(DATOS!AP$5="Sí",(1/DATOS_[[% anualiz]:[% anualiz]]),1)*IF(DATOS!AP$4="Sí",1/DATOS_[[% normaliz]:[% normaliz]],1)*(DATOS_[Conc.Sal.12])))))))),
0)</f>
        <v>0</v>
      </c>
      <c r="V22" s="101">
        <f t="array" ref="V22">IFERROR(
(AVERAGE((IF(DATOS_[[Sexo]:[Sexo]]=$B22,IF(DATOS_[[AGRUP. CLAS. PROF.]:[AGRUP. CLAS. PROF.]]=$B21,IF(DATOS_[[Check Periodo Ref.]:[Check Periodo Ref.]]="Dentro",IF(DATOS_[[Check Equiparado]:[Check Equiparado]]="Sí",IF(DATOS!AQ$5="Sí",(1/DATOS_[[% anualiz]:[% anualiz]]),1)*IF(DATOS!AQ$4="Sí",1/DATOS_[[% normaliz]:[% normaliz]],1)*(DATOS_[Conc.Sal.13])))))))),
0)</f>
        <v>0</v>
      </c>
      <c r="W22" s="101">
        <f t="array" ref="W22">IFERROR(
(AVERAGE((IF(DATOS_[[Sexo]:[Sexo]]=$B22,IF(DATOS_[[AGRUP. CLAS. PROF.]:[AGRUP. CLAS. PROF.]]=$B21,IF(DATOS_[[Check Periodo Ref.]:[Check Periodo Ref.]]="Dentro",IF(DATOS_[[Check Equiparado]:[Check Equiparado]]="Sí",IF(DATOS!AR$5="Sí",(1/DATOS_[[% anualiz]:[% anualiz]]),1)*IF(DATOS!AR$4="Sí",1/DATOS_[[% normaliz]:[% normaliz]],1)*(DATOS_[Conc.Sal.14])))))))),
0)</f>
        <v>0</v>
      </c>
      <c r="X22" s="101">
        <f t="array" ref="X22">IFERROR(
(AVERAGE((IF(DATOS_[[Sexo]:[Sexo]]=$B22,IF(DATOS_[[AGRUP. CLAS. PROF.]:[AGRUP. CLAS. PROF.]]=$B21,IF(DATOS_[[Check Periodo Ref.]:[Check Periodo Ref.]]="Dentro",IF(DATOS_[[Check Equiparado]:[Check Equiparado]]="Sí",IF(DATOS!AS$5="Sí",(1/DATOS_[[% anualiz]:[% anualiz]]),1)*IF(DATOS!AS$4="Sí",1/DATOS_[[% normaliz]:[% normaliz]],1)*(DATOS_[Conc.Sal.15])))))))),
0)</f>
        <v>0</v>
      </c>
      <c r="Y22" s="101">
        <f t="array" ref="Y22">IFERROR(
(AVERAGE((IF(DATOS_[[Sexo]:[Sexo]]=$B22,IF(DATOS_[[AGRUP. CLAS. PROF.]:[AGRUP. CLAS. PROF.]]=$B21,IF(DATOS_[[Check Periodo Ref.]:[Check Periodo Ref.]]="Dentro",IF(DATOS_[[Check Equiparado]:[Check Equiparado]]="Sí",IF(DATOS!AT$5="Sí",(1/DATOS_[[% anualiz]:[% anualiz]]),1)*IF(DATOS!AT$4="Sí",1/DATOS_[[% normaliz]:[% normaliz]],1)*(DATOS_[Conc.Sal.16])))))))),
0)</f>
        <v>0</v>
      </c>
      <c r="Z22" s="101">
        <f t="array" ref="Z22">IFERROR(
(AVERAGE((IF(DATOS_[[Sexo]:[Sexo]]=$B22,IF(DATOS_[[AGRUP. CLAS. PROF.]:[AGRUP. CLAS. PROF.]]=$B21,IF(DATOS_[[Check Periodo Ref.]:[Check Periodo Ref.]]="Dentro",IF(DATOS_[[Check Equiparado]:[Check Equiparado]]="Sí",IF(DATOS!AU$5="Sí",(1/DATOS_[[% anualiz]:[% anualiz]]),1)*IF(DATOS!AU$4="Sí",1/DATOS_[[% normaliz]:[% normaliz]],1)*(DATOS_[Conc.Sal.17])))))))),
0)</f>
        <v>0</v>
      </c>
      <c r="AA22" s="101">
        <f t="array" ref="AA22">IFERROR(
(AVERAGE((IF(DATOS_[[Sexo]:[Sexo]]=$B22,IF(DATOS_[[AGRUP. CLAS. PROF.]:[AGRUP. CLAS. PROF.]]=$B21,IF(DATOS_[[Check Periodo Ref.]:[Check Periodo Ref.]]="Dentro",IF(DATOS_[[Check Equiparado]:[Check Equiparado]]="Sí",IF(DATOS!AV$5="Sí",(1/DATOS_[[% anualiz]:[% anualiz]]),1)*IF(DATOS!AV$4="Sí",1/DATOS_[[% normaliz]:[% normaliz]],1)*(DATOS_[Conc.Sal.18])))))))),
0)</f>
        <v>0</v>
      </c>
      <c r="AB22" s="101">
        <f t="array" ref="AB22">IFERROR(
(AVERAGE((IF(DATOS_[[Sexo]:[Sexo]]=$B22,IF(DATOS_[[AGRUP. CLAS. PROF.]:[AGRUP. CLAS. PROF.]]=$B21,IF(DATOS_[[Check Periodo Ref.]:[Check Periodo Ref.]]="Dentro",IF(DATOS_[[Check Equiparado]:[Check Equiparado]]="Sí",IF(DATOS!AW$5="Sí",(1/DATOS_[[% anualiz]:[% anualiz]]),1)*IF(DATOS!AW$4="Sí",1/DATOS_[[% normaliz]:[% normaliz]],1)*(DATOS_[Conc.Sal.19])))))))),
0)</f>
        <v>0</v>
      </c>
      <c r="AC22" s="101">
        <f t="array" ref="AC22">IFERROR(
(AVERAGE((IF(DATOS_[[Sexo]:[Sexo]]=$B22,IF(DATOS_[[AGRUP. CLAS. PROF.]:[AGRUP. CLAS. PROF.]]=$B21,IF(DATOS_[[Check Periodo Ref.]:[Check Periodo Ref.]]="Dentro",IF(DATOS_[[Check Equiparado]:[Check Equiparado]]="Sí",IF(DATOS!AX$5="Sí",(1/DATOS_[[% anualiz]:[% anualiz]]),1)*IF(DATOS!AX$4="Sí",1/DATOS_[[% normaliz]:[% normaliz]],1)*(DATOS_[Conc.Sal.20])))))))),
0)</f>
        <v>0</v>
      </c>
      <c r="AD22" s="101">
        <f t="array" ref="AD22">IFERROR(
(AVERAGE((IF(DATOS_[[Sexo]:[Sexo]]=$B22,IF(DATOS_[[AGRUP. CLAS. PROF.]:[AGRUP. CLAS. PROF.]]=$B21,IF(DATOS_[[Check Periodo Ref.]:[Check Periodo Ref.]]="Dentro",IF(DATOS_[[Check Equiparado]:[Check Equiparado]]="Sí",IF(DATOS!AY$5="Sí",(1/DATOS_[[% anualiz]:[% anualiz]]),1)*IF(DATOS!AY$4="Sí",1/DATOS_[[% normaliz]:[% normaliz]],1)*(DATOS_[Conc.Sal.21])))))))),
0)</f>
        <v>0</v>
      </c>
      <c r="AE22" s="101">
        <f t="array" ref="AE22">IFERROR(
(AVERAGE((IF(DATOS_[[Sexo]:[Sexo]]=$B22,IF(DATOS_[[AGRUP. CLAS. PROF.]:[AGRUP. CLAS. PROF.]]=$B21,IF(DATOS_[[Check Periodo Ref.]:[Check Periodo Ref.]]="Dentro",IF(DATOS_[[Check Equiparado]:[Check Equiparado]]="Sí",IF(DATOS!AZ$5="Sí",(1/DATOS_[[% anualiz]:[% anualiz]]),1)*IF(DATOS!AZ$4="Sí",1/DATOS_[[% normaliz]:[% normaliz]],1)*(DATOS_[Conc.Sal.22])))))))),
0)</f>
        <v>0</v>
      </c>
      <c r="AF22" s="101">
        <f t="array" ref="AF22">IFERROR(
(AVERAGE((IF(DATOS_[[Sexo]:[Sexo]]=$B22,IF(DATOS_[[AGRUP. CLAS. PROF.]:[AGRUP. CLAS. PROF.]]=$B21,IF(DATOS_[[Check Periodo Ref.]:[Check Periodo Ref.]]="Dentro",IF(DATOS_[[Check Equiparado]:[Check Equiparado]]="Sí",IF(DATOS!BA$5="Sí",(1/DATOS_[[% anualiz]:[% anualiz]]),1)*IF(DATOS!BA$4="Sí",1/DATOS_[[% normaliz]:[% normaliz]],1)*(DATOS_[Conc.Sal.23])))))))),
0)</f>
        <v>0</v>
      </c>
      <c r="AG22" s="101">
        <f t="array" ref="AG22">IFERROR(
(AVERAGE((IF(DATOS_[[Sexo]:[Sexo]]=$B22,IF(DATOS_[[AGRUP. CLAS. PROF.]:[AGRUP. CLAS. PROF.]]=$B21,IF(DATOS_[[Check Periodo Ref.]:[Check Periodo Ref.]]="Dentro",IF(DATOS_[[Check Equiparado]:[Check Equiparado]]="Sí",IF(DATOS!BB$5="Sí",(1/DATOS_[[% anualiz]:[% anualiz]]),1)*IF(DATOS!BB$4="Sí",1/DATOS_[[% normaliz]:[% normaliz]],1)*(DATOS_[Conc.Sal.24])))))))),
0)</f>
        <v>0</v>
      </c>
      <c r="AH22" s="101">
        <f t="array" ref="AH22">IFERROR(
(AVERAGE((IF(DATOS_[[Sexo]:[Sexo]]=$B22,IF(DATOS_[[AGRUP. CLAS. PROF.]:[AGRUP. CLAS. PROF.]]=$B21,IF(DATOS_[[Check Periodo Ref.]:[Check Periodo Ref.]]="Dentro",IF(DATOS_[[Check Equiparado]:[Check Equiparado]]="Sí",IF(DATOS!BC$5="Sí",(1/DATOS_[[% anualiz]:[% anualiz]]),1)*IF(DATOS!BC$4="Sí",1/DATOS_[[% normaliz]:[% normaliz]],1)*(DATOS_[Conc.Sal.25])))))))),
0)</f>
        <v>0</v>
      </c>
      <c r="AI22" s="101">
        <f t="array" ref="AI22">IFERROR(
(AVERAGE((IF(DATOS_[[Sexo]:[Sexo]]=$B22,IF(DATOS_[[AGRUP. CLAS. PROF.]:[AGRUP. CLAS. PROF.]]=$B21,IF(DATOS_[[Check Periodo Ref.]:[Check Periodo Ref.]]="Dentro",IF(DATOS_[[Check Equiparado]:[Check Equiparado]]="Sí",IF(DATOS!BD$5="Sí",(1/DATOS_[[% anualiz]:[% anualiz]]),1)*IF(DATOS!BD$4="Sí",1/DATOS_[[% normaliz]:[% normaliz]],1)*(DATOS_[Conc.Sal.26])))))))),
0)</f>
        <v>0</v>
      </c>
      <c r="AJ22" s="101">
        <f t="array" ref="AJ22">IFERROR(
(AVERAGE((IF(DATOS_[[Sexo]:[Sexo]]=$B22,IF(DATOS_[[AGRUP. CLAS. PROF.]:[AGRUP. CLAS. PROF.]]=$B21,IF(DATOS_[[Check Periodo Ref.]:[Check Periodo Ref.]]="Dentro",IF(DATOS_[[Check Equiparado]:[Check Equiparado]]="Sí",IF(DATOS!BE$5="Sí",(1/DATOS_[[% anualiz]:[% anualiz]]),1)*IF(DATOS!BE$4="Sí",1/DATOS_[[% normaliz]:[% normaliz]],1)*(DATOS_[Conc.Sal.27])))))))),
0)</f>
        <v>0</v>
      </c>
      <c r="AK22" s="101">
        <f t="array" ref="AK22">IFERROR(
(AVERAGE((IF(DATOS_[[Sexo]:[Sexo]]=$B22,IF(DATOS_[[AGRUP. CLAS. PROF.]:[AGRUP. CLAS. PROF.]]=$B21,IF(DATOS_[[Check Periodo Ref.]:[Check Periodo Ref.]]="Dentro",IF(DATOS_[[Check Equiparado]:[Check Equiparado]]="Sí",IF(DATOS!BF$5="Sí",(1/DATOS_[[% anualiz]:[% anualiz]]),1)*IF(DATOS!BF$4="Sí",1/DATOS_[[% normaliz]:[% normaliz]],1)*(DATOS_[Conc.Sal.28])))))))),
0)</f>
        <v>0</v>
      </c>
      <c r="AL22" s="101">
        <f t="array" ref="AL22">IFERROR(
(AVERAGE((IF(DATOS_[[Sexo]:[Sexo]]=$B22,IF(DATOS_[[AGRUP. CLAS. PROF.]:[AGRUP. CLAS. PROF.]]=$B21,IF(DATOS_[[Check Periodo Ref.]:[Check Periodo Ref.]]="Dentro",IF(DATOS_[[Check Equiparado]:[Check Equiparado]]="Sí",IF(DATOS!BG$5="Sí",(1/DATOS_[[% anualiz]:[% anualiz]]),1)*IF(DATOS!BG$4="Sí",1/DATOS_[[% normaliz]:[% normaliz]],1)*(DATOS_[Conc.Sal.29])))))))),
0)</f>
        <v>0</v>
      </c>
      <c r="AM22" s="101">
        <f t="array" ref="AM22">IFERROR(
(AVERAGE((IF(DATOS_[[Sexo]:[Sexo]]=$B22,IF(DATOS_[[AGRUP. CLAS. PROF.]:[AGRUP. CLAS. PROF.]]=$B21,IF(DATOS_[[Check Periodo Ref.]:[Check Periodo Ref.]]="Dentro",IF(DATOS_[[Check Equiparado]:[Check Equiparado]]="Sí",IF(DATOS!BH$5="Sí",(1/DATOS_[[% anualiz]:[% anualiz]]),1)*IF(DATOS!BH$4="Sí",1/DATOS_[[% normaliz]:[% normaliz]],1)*(DATOS_[Conc.Sal.30])))))))),
0)</f>
        <v>0</v>
      </c>
      <c r="AN22" s="102">
        <f t="array" ref="AN22">IFERROR(
AVERAGE(IF(DATOS_[Sexo]=$B22,IF(DATOS_[[AGRUP. CLAS. PROF.]:[AGRUP. CLAS. PROF.]]=$B21,IF(DATOS_[Check Equiparado]="Sí",IF(DATOS_[Check Periodo Ref.]="Dentro",DATOS_[Tot COMPL.SAL Eq],FALSE))))),
0)</f>
        <v>7231.8129683874149</v>
      </c>
      <c r="AO22" s="103">
        <f t="array" ref="AO22">IFERROR(
AVERAGE(IF(DATOS_[Sexo]=$B22,IF(DATOS_[[AGRUP. CLAS. PROF.]:[AGRUP. CLAS. PROF.]]=$B21,IF(DATOS_[Check Equiparado]="Sí",IF(DATOS_[Check Periodo Ref.]="Dentro",DATOS_[TOTAL SALARIO Eq],FALSE))))),
0)</f>
        <v>20007.920793678637</v>
      </c>
      <c r="AP22" s="104">
        <f t="array" ref="AP22">IFERROR(
(AVERAGE((IF(DATOS_[[Sexo]:[Sexo]]=$B22,IF(DATOS_[[AGRUP. CLAS. PROF.]:[AGRUP. CLAS. PROF.]]=$B21,IF(DATOS_[[Check Periodo Ref.]:[Check Periodo Ref.]]="Dentro",IF(DATOS_[[Check Equiparado]:[Check Equiparado]]="Sí",IF(DATOS!BI$5="Sí",(1/DATOS_[[% anualiz]:[% anualiz]]),1)*IF(DATOS!BI$4="Sí",1/DATOS_[[% normaliz]:[% normaliz]],1)*(DATOS_[C.Extra.01])))))))),
0)</f>
        <v>0</v>
      </c>
      <c r="AQ22" s="104">
        <f t="array" ref="AQ22">IFERROR(
(AVERAGE((IF(DATOS_[[Sexo]:[Sexo]]=$B22,IF(DATOS_[[AGRUP. CLAS. PROF.]:[AGRUP. CLAS. PROF.]]=$B21,IF(DATOS_[[Check Periodo Ref.]:[Check Periodo Ref.]]="Dentro",IF(DATOS_[[Check Equiparado]:[Check Equiparado]]="Sí",IF(DATOS!BJ$5="Sí",(1/DATOS_[[% anualiz]:[% anualiz]]),1)*IF(DATOS!BJ$4="Sí",1/DATOS_[[% normaliz]:[% normaliz]],1)*(DATOS_[C.Extra.02])))))))),
0)</f>
        <v>0</v>
      </c>
      <c r="AR22" s="104">
        <f t="array" ref="AR22">IFERROR(
(AVERAGE((IF(DATOS_[[Sexo]:[Sexo]]=$B22,IF(DATOS_[[AGRUP. CLAS. PROF.]:[AGRUP. CLAS. PROF.]]=$B21,IF(DATOS_[[Check Periodo Ref.]:[Check Periodo Ref.]]="Dentro",IF(DATOS_[[Check Equiparado]:[Check Equiparado]]="Sí",IF(DATOS!BK$5="Sí",(1/DATOS_[[% anualiz]:[% anualiz]]),1)*IF(DATOS!BK$4="Sí",1/DATOS_[[% normaliz]:[% normaliz]],1)*(DATOS_[C.Extra.03])))))))),
0)</f>
        <v>0</v>
      </c>
      <c r="AS22" s="104">
        <f t="array" ref="AS22">IFERROR(
(AVERAGE((IF(DATOS_[[Sexo]:[Sexo]]=$B22,IF(DATOS_[[AGRUP. CLAS. PROF.]:[AGRUP. CLAS. PROF.]]=$B21,IF(DATOS_[[Check Periodo Ref.]:[Check Periodo Ref.]]="Dentro",IF(DATOS_[[Check Equiparado]:[Check Equiparado]]="Sí",IF(DATOS!BL$5="Sí",(1/DATOS_[[% anualiz]:[% anualiz]]),1)*IF(DATOS!BL$4="Sí",1/DATOS_[[% normaliz]:[% normaliz]],1)*(DATOS_[C.Extra.04])))))))),
0)</f>
        <v>0</v>
      </c>
      <c r="AT22" s="104">
        <f t="array" ref="AT22">IFERROR(
(AVERAGE((IF(DATOS_[[Sexo]:[Sexo]]=$B22,IF(DATOS_[[AGRUP. CLAS. PROF.]:[AGRUP. CLAS. PROF.]]=$B21,IF(DATOS_[[Check Periodo Ref.]:[Check Periodo Ref.]]="Dentro",IF(DATOS_[[Check Equiparado]:[Check Equiparado]]="Sí",IF(DATOS!BM$5="Sí",(1/DATOS_[[% anualiz]:[% anualiz]]),1)*IF(DATOS!BM$4="Sí",1/DATOS_[[% normaliz]:[% normaliz]],1)*(DATOS_[C.Extra.05])))))))),
0)</f>
        <v>0</v>
      </c>
      <c r="AU22" s="105">
        <f t="array" ref="AU22">IFERROR(
AVERAGE(IF(DATOS_[Sexo]=$B22,IF(DATOS_[[AGRUP. CLAS. PROF.]:[AGRUP. CLAS. PROF.]]=$B21,IF(DATOS_[Check Equiparado]="Sí",IF(DATOS_[Check Periodo Ref.]="Dentro",DATOS_[Tot Extrasalarial Eq],FALSE))))),
0)</f>
        <v>0</v>
      </c>
      <c r="AV22" s="106">
        <f t="array" ref="AV22">IFERROR(
AVERAGE(IF(DATOS_[Sexo]=$B22,IF(DATOS_[[AGRUP. CLAS. PROF.]:[AGRUP. CLAS. PROF.]]=$B21,IF(DATOS_[Check Equiparado]="Sí",IF(DATOS_[Check Periodo Ref.]="Dentro",DATOS_[TOTAL Retrib Eq],FALSE))))),
0)</f>
        <v>20007.920793678637</v>
      </c>
    </row>
    <row r="23" spans="1:48" x14ac:dyDescent="0.3">
      <c r="A23" s="53" t="str">
        <f t="shared" ref="A23" si="14">+A22</f>
        <v/>
      </c>
      <c r="B23" s="57" t="s">
        <v>163</v>
      </c>
      <c r="C23" s="56">
        <f t="array" ref="C23">SUM(IF($B23=DATOS_[Sexo],
IF($B21=DATOS_[AGRUP. CLAS. PROF.],
IF("Dentro"=DATOS_[Check Periodo Ref.],
1/(COUNTIFS(DATOS_[Sexo],$B23,DATOS_[AGRUP. CLAS. PROF.],$B21,DATOS_[Check Periodo Ref.],"Dentro",DATOS_[id],DATOS_[id]))))))</f>
        <v>14</v>
      </c>
      <c r="D23" s="58">
        <f>COUNTIFS(DATOS_[AGRUP. CLAS. PROF.],$B21,DATOS_[Sexo],$B23,DATOS_[Check Periodo Ref.],"Dentro")</f>
        <v>14</v>
      </c>
      <c r="E23" s="58">
        <f>COUNTIFS(DATOS_[AGRUP. CLAS. PROF.],$B21,DATOS_[Sexo],$B23,DATOS_[Check Periodo Ref.],"Dentro",DATOS_[Check Nº SC Norm],"Sí")</f>
        <v>2</v>
      </c>
      <c r="F23" s="58">
        <f>COUNTIFS(DATOS_[AGRUP. CLAS. PROF.],$B21,DATOS_[Sexo],$B23,DATOS_[Check Periodo Ref.],"Dentro",DATOS_[Check Nº SC Anualiz],"Sí")</f>
        <v>2</v>
      </c>
      <c r="G23" s="58">
        <f>COUNTIFS(DATOS_[AGRUP. CLAS. PROF.],$B21,DATOS_[Sexo],$B23,DATOS_[Check Periodo Ref.],"Dentro",DATOS_[Check Nº SC Norm y Anualiz],"Sí")</f>
        <v>0</v>
      </c>
      <c r="H23" s="58">
        <f>COUNTIFS(DATOS_[AGRUP. CLAS. PROF.],$B21,DATOS_[Sexo],$B23,DATOS_[Check Periodo Ref.],"Dentro",DATOS_[Check Equiparación],"Sí")</f>
        <v>4</v>
      </c>
      <c r="I23" s="100" cm="1">
        <f t="array" ref="I23">IFERROR(
AVERAGE(IF(DATOS_[Sexo]=$B23,IF(DATOS_[[AGRUP. CLAS. PROF.]:[AGRUP. CLAS. PROF.]]=$B21,IF(DATOS_[Check Equiparado]="Sí",IF(DATOS_[Check Periodo Ref.]="Dentro",DATOS_[SALARIO BASE Eq],FALSE))))),
0)</f>
        <v>11543.016520640271</v>
      </c>
      <c r="J23" s="101">
        <f t="array" ref="J23">IFERROR(
(AVERAGE((IF(DATOS_[[Sexo]:[Sexo]]=$B23,IF(DATOS_[[AGRUP. CLAS. PROF.]:[AGRUP. CLAS. PROF.]]=$B21,IF(DATOS_[[Check Periodo Ref.]:[Check Periodo Ref.]]="Dentro",IF(DATOS_[[Check Equiparado]:[Check Equiparado]]="Sí",IF(DATOS!AE$5="Sí",(1/DATOS_[[% anualiz]:[% anualiz]]),1)*IF(DATOS!AE$4="Sí",1/DATOS_[[% normaliz]:[% normaliz]],1)*(DATOS_[Conc.Sal.01])))))))),
0)</f>
        <v>1222.0625502467203</v>
      </c>
      <c r="K23" s="101">
        <f t="array" ref="K23">IFERROR(
(AVERAGE((IF(DATOS_[[Sexo]:[Sexo]]=$B23,IF(DATOS_[[AGRUP. CLAS. PROF.]:[AGRUP. CLAS. PROF.]]=$B21,IF(DATOS_[[Check Periodo Ref.]:[Check Periodo Ref.]]="Dentro",IF(DATOS_[[Check Equiparado]:[Check Equiparado]]="Sí",IF(DATOS!AF$5="Sí",(1/DATOS_[[% anualiz]:[% anualiz]]),1)*IF(DATOS!AF$4="Sí",1/DATOS_[[% normaliz]:[% normaliz]],1)*(DATOS_[Conc.Sal.02])))))))),
0)</f>
        <v>1413.8716645083643</v>
      </c>
      <c r="L23" s="101">
        <f t="array" ref="L23">IFERROR(
(AVERAGE((IF(DATOS_[[Sexo]:[Sexo]]=$B23,IF(DATOS_[[AGRUP. CLAS. PROF.]:[AGRUP. CLAS. PROF.]]=$B21,IF(DATOS_[[Check Periodo Ref.]:[Check Periodo Ref.]]="Dentro",IF(DATOS_[[Check Equiparado]:[Check Equiparado]]="Sí",IF(DATOS!AG$5="Sí",(1/DATOS_[[% anualiz]:[% anualiz]]),1)*IF(DATOS!AG$4="Sí",1/DATOS_[[% normaliz]:[% normaliz]],1)*(DATOS_[Conc.Sal.03])))))))),
0)</f>
        <v>0</v>
      </c>
      <c r="M23" s="101">
        <f t="array" ref="M23">IFERROR(
(AVERAGE((IF(DATOS_[[Sexo]:[Sexo]]=$B23,IF(DATOS_[[AGRUP. CLAS. PROF.]:[AGRUP. CLAS. PROF.]]=$B21,IF(DATOS_[[Check Periodo Ref.]:[Check Periodo Ref.]]="Dentro",IF(DATOS_[[Check Equiparado]:[Check Equiparado]]="Sí",IF(DATOS!AH$5="Sí",(1/DATOS_[[% anualiz]:[% anualiz]]),1)*IF(DATOS!AH$4="Sí",1/DATOS_[[% normaliz]:[% normaliz]],1)*(DATOS_[Conc.Sal.04])))))))),
0)</f>
        <v>0</v>
      </c>
      <c r="N23" s="101">
        <f t="array" ref="N23">IFERROR(
(AVERAGE((IF(DATOS_[[Sexo]:[Sexo]]=$B23,IF(DATOS_[[AGRUP. CLAS. PROF.]:[AGRUP. CLAS. PROF.]]=$B21,IF(DATOS_[[Check Periodo Ref.]:[Check Periodo Ref.]]="Dentro",IF(DATOS_[[Check Equiparado]:[Check Equiparado]]="Sí",IF(DATOS!AI$5="Sí",(1/DATOS_[[% anualiz]:[% anualiz]]),1)*IF(DATOS!AI$4="Sí",1/DATOS_[[% normaliz]:[% normaliz]],1)*(DATOS_[Conc.Sal.05])))))))),
0)</f>
        <v>0</v>
      </c>
      <c r="O23" s="101">
        <f t="array" ref="O23">IFERROR(
(AVERAGE((IF(DATOS_[[Sexo]:[Sexo]]=$B23,IF(DATOS_[[AGRUP. CLAS. PROF.]:[AGRUP. CLAS. PROF.]]=$B21,IF(DATOS_[[Check Periodo Ref.]:[Check Periodo Ref.]]="Dentro",IF(DATOS_[[Check Equiparado]:[Check Equiparado]]="Sí",IF(DATOS!AJ$5="Sí",(1/DATOS_[[% anualiz]:[% anualiz]]),1)*IF(DATOS!AJ$4="Sí",1/DATOS_[[% normaliz]:[% normaliz]],1)*(DATOS_[Conc.Sal.06])))))))),
0)</f>
        <v>0</v>
      </c>
      <c r="P23" s="101">
        <f t="array" ref="P23">IFERROR(
(AVERAGE((IF(DATOS_[[Sexo]:[Sexo]]=$B23,IF(DATOS_[[AGRUP. CLAS. PROF.]:[AGRUP. CLAS. PROF.]]=$B21,IF(DATOS_[[Check Periodo Ref.]:[Check Periodo Ref.]]="Dentro",IF(DATOS_[[Check Equiparado]:[Check Equiparado]]="Sí",IF(DATOS!AK$5="Sí",(1/DATOS_[[% anualiz]:[% anualiz]]),1)*IF(DATOS!AK$4="Sí",1/DATOS_[[% normaliz]:[% normaliz]],1)*(DATOS_[Conc.Sal.07])))))))),
0)</f>
        <v>68.571428571428569</v>
      </c>
      <c r="Q23" s="101">
        <f t="array" ref="Q23">IFERROR(
(AVERAGE((IF(DATOS_[[Sexo]:[Sexo]]=$B23,IF(DATOS_[[AGRUP. CLAS. PROF.]:[AGRUP. CLAS. PROF.]]=$B21,IF(DATOS_[[Check Periodo Ref.]:[Check Periodo Ref.]]="Dentro",IF(DATOS_[[Check Equiparado]:[Check Equiparado]]="Sí",IF(DATOS!AL$5="Sí",(1/DATOS_[[% anualiz]:[% anualiz]]),1)*IF(DATOS!AL$4="Sí",1/DATOS_[[% normaliz]:[% normaliz]],1)*(DATOS_[Conc.Sal.08])))))))),
0)</f>
        <v>0</v>
      </c>
      <c r="R23" s="101">
        <f t="array" ref="R23">IFERROR(
(AVERAGE((IF(DATOS_[[Sexo]:[Sexo]]=$B23,IF(DATOS_[[AGRUP. CLAS. PROF.]:[AGRUP. CLAS. PROF.]]=$B21,IF(DATOS_[[Check Periodo Ref.]:[Check Periodo Ref.]]="Dentro",IF(DATOS_[[Check Equiparado]:[Check Equiparado]]="Sí",IF(DATOS!AM$5="Sí",(1/DATOS_[[% anualiz]:[% anualiz]]),1)*IF(DATOS!AM$4="Sí",1/DATOS_[[% normaliz]:[% normaliz]],1)*(DATOS_[Conc.Sal.09])))))))),
0)</f>
        <v>0</v>
      </c>
      <c r="S23" s="101">
        <f t="array" ref="S23">IFERROR(
(AVERAGE((IF(DATOS_[[Sexo]:[Sexo]]=$B23,IF(DATOS_[[AGRUP. CLAS. PROF.]:[AGRUP. CLAS. PROF.]]=$B21,IF(DATOS_[[Check Periodo Ref.]:[Check Periodo Ref.]]="Dentro",IF(DATOS_[[Check Equiparado]:[Check Equiparado]]="Sí",IF(DATOS!AN$5="Sí",(1/DATOS_[[% anualiz]:[% anualiz]]),1)*IF(DATOS!AN$4="Sí",1/DATOS_[[% normaliz]:[% normaliz]],1)*(DATOS_[Conc.Sal.10])))))))),
0)</f>
        <v>0</v>
      </c>
      <c r="T23" s="101">
        <f t="array" ref="T23">IFERROR(
(AVERAGE((IF(DATOS_[[Sexo]:[Sexo]]=$B23,IF(DATOS_[[AGRUP. CLAS. PROF.]:[AGRUP. CLAS. PROF.]]=$B21,IF(DATOS_[[Check Periodo Ref.]:[Check Periodo Ref.]]="Dentro",IF(DATOS_[[Check Equiparado]:[Check Equiparado]]="Sí",IF(DATOS!AO$5="Sí",(1/DATOS_[[% anualiz]:[% anualiz]]),1)*IF(DATOS!AO$4="Sí",1/DATOS_[[% normaliz]:[% normaliz]],1)*(DATOS_[Conc.Sal.11])))))))),
0)</f>
        <v>0</v>
      </c>
      <c r="U23" s="101">
        <f t="array" ref="U23">IFERROR(
(AVERAGE((IF(DATOS_[[Sexo]:[Sexo]]=$B23,IF(DATOS_[[AGRUP. CLAS. PROF.]:[AGRUP. CLAS. PROF.]]=$B21,IF(DATOS_[[Check Periodo Ref.]:[Check Periodo Ref.]]="Dentro",IF(DATOS_[[Check Equiparado]:[Check Equiparado]]="Sí",IF(DATOS!AP$5="Sí",(1/DATOS_[[% anualiz]:[% anualiz]]),1)*IF(DATOS!AP$4="Sí",1/DATOS_[[% normaliz]:[% normaliz]],1)*(DATOS_[Conc.Sal.12])))))))),
0)</f>
        <v>0</v>
      </c>
      <c r="V23" s="101">
        <f t="array" ref="V23">IFERROR(
(AVERAGE((IF(DATOS_[[Sexo]:[Sexo]]=$B23,IF(DATOS_[[AGRUP. CLAS. PROF.]:[AGRUP. CLAS. PROF.]]=$B21,IF(DATOS_[[Check Periodo Ref.]:[Check Periodo Ref.]]="Dentro",IF(DATOS_[[Check Equiparado]:[Check Equiparado]]="Sí",IF(DATOS!AQ$5="Sí",(1/DATOS_[[% anualiz]:[% anualiz]]),1)*IF(DATOS!AQ$4="Sí",1/DATOS_[[% normaliz]:[% normaliz]],1)*(DATOS_[Conc.Sal.13])))))))),
0)</f>
        <v>0</v>
      </c>
      <c r="W23" s="101">
        <f t="array" ref="W23">IFERROR(
(AVERAGE((IF(DATOS_[[Sexo]:[Sexo]]=$B23,IF(DATOS_[[AGRUP. CLAS. PROF.]:[AGRUP. CLAS. PROF.]]=$B21,IF(DATOS_[[Check Periodo Ref.]:[Check Periodo Ref.]]="Dentro",IF(DATOS_[[Check Equiparado]:[Check Equiparado]]="Sí",IF(DATOS!AR$5="Sí",(1/DATOS_[[% anualiz]:[% anualiz]]),1)*IF(DATOS!AR$4="Sí",1/DATOS_[[% normaliz]:[% normaliz]],1)*(DATOS_[Conc.Sal.14])))))))),
0)</f>
        <v>0</v>
      </c>
      <c r="X23" s="101">
        <f t="array" ref="X23">IFERROR(
(AVERAGE((IF(DATOS_[[Sexo]:[Sexo]]=$B23,IF(DATOS_[[AGRUP. CLAS. PROF.]:[AGRUP. CLAS. PROF.]]=$B21,IF(DATOS_[[Check Periodo Ref.]:[Check Periodo Ref.]]="Dentro",IF(DATOS_[[Check Equiparado]:[Check Equiparado]]="Sí",IF(DATOS!AS$5="Sí",(1/DATOS_[[% anualiz]:[% anualiz]]),1)*IF(DATOS!AS$4="Sí",1/DATOS_[[% normaliz]:[% normaliz]],1)*(DATOS_[Conc.Sal.15])))))))),
0)</f>
        <v>0</v>
      </c>
      <c r="Y23" s="101">
        <f t="array" ref="Y23">IFERROR(
(AVERAGE((IF(DATOS_[[Sexo]:[Sexo]]=$B23,IF(DATOS_[[AGRUP. CLAS. PROF.]:[AGRUP. CLAS. PROF.]]=$B21,IF(DATOS_[[Check Periodo Ref.]:[Check Periodo Ref.]]="Dentro",IF(DATOS_[[Check Equiparado]:[Check Equiparado]]="Sí",IF(DATOS!AT$5="Sí",(1/DATOS_[[% anualiz]:[% anualiz]]),1)*IF(DATOS!AT$4="Sí",1/DATOS_[[% normaliz]:[% normaliz]],1)*(DATOS_[Conc.Sal.16])))))))),
0)</f>
        <v>0</v>
      </c>
      <c r="Z23" s="101">
        <f t="array" ref="Z23">IFERROR(
(AVERAGE((IF(DATOS_[[Sexo]:[Sexo]]=$B23,IF(DATOS_[[AGRUP. CLAS. PROF.]:[AGRUP. CLAS. PROF.]]=$B21,IF(DATOS_[[Check Periodo Ref.]:[Check Periodo Ref.]]="Dentro",IF(DATOS_[[Check Equiparado]:[Check Equiparado]]="Sí",IF(DATOS!AU$5="Sí",(1/DATOS_[[% anualiz]:[% anualiz]]),1)*IF(DATOS!AU$4="Sí",1/DATOS_[[% normaliz]:[% normaliz]],1)*(DATOS_[Conc.Sal.17])))))))),
0)</f>
        <v>0</v>
      </c>
      <c r="AA23" s="101">
        <f t="array" ref="AA23">IFERROR(
(AVERAGE((IF(DATOS_[[Sexo]:[Sexo]]=$B23,IF(DATOS_[[AGRUP. CLAS. PROF.]:[AGRUP. CLAS. PROF.]]=$B21,IF(DATOS_[[Check Periodo Ref.]:[Check Periodo Ref.]]="Dentro",IF(DATOS_[[Check Equiparado]:[Check Equiparado]]="Sí",IF(DATOS!AV$5="Sí",(1/DATOS_[[% anualiz]:[% anualiz]]),1)*IF(DATOS!AV$4="Sí",1/DATOS_[[% normaliz]:[% normaliz]],1)*(DATOS_[Conc.Sal.18])))))))),
0)</f>
        <v>0</v>
      </c>
      <c r="AB23" s="101">
        <f t="array" ref="AB23">IFERROR(
(AVERAGE((IF(DATOS_[[Sexo]:[Sexo]]=$B23,IF(DATOS_[[AGRUP. CLAS. PROF.]:[AGRUP. CLAS. PROF.]]=$B21,IF(DATOS_[[Check Periodo Ref.]:[Check Periodo Ref.]]="Dentro",IF(DATOS_[[Check Equiparado]:[Check Equiparado]]="Sí",IF(DATOS!AW$5="Sí",(1/DATOS_[[% anualiz]:[% anualiz]]),1)*IF(DATOS!AW$4="Sí",1/DATOS_[[% normaliz]:[% normaliz]],1)*(DATOS_[Conc.Sal.19])))))))),
0)</f>
        <v>0</v>
      </c>
      <c r="AC23" s="101">
        <f t="array" ref="AC23">IFERROR(
(AVERAGE((IF(DATOS_[[Sexo]:[Sexo]]=$B23,IF(DATOS_[[AGRUP. CLAS. PROF.]:[AGRUP. CLAS. PROF.]]=$B21,IF(DATOS_[[Check Periodo Ref.]:[Check Periodo Ref.]]="Dentro",IF(DATOS_[[Check Equiparado]:[Check Equiparado]]="Sí",IF(DATOS!AX$5="Sí",(1/DATOS_[[% anualiz]:[% anualiz]]),1)*IF(DATOS!AX$4="Sí",1/DATOS_[[% normaliz]:[% normaliz]],1)*(DATOS_[Conc.Sal.20])))))))),
0)</f>
        <v>0</v>
      </c>
      <c r="AD23" s="101">
        <f t="array" ref="AD23">IFERROR(
(AVERAGE((IF(DATOS_[[Sexo]:[Sexo]]=$B23,IF(DATOS_[[AGRUP. CLAS. PROF.]:[AGRUP. CLAS. PROF.]]=$B21,IF(DATOS_[[Check Periodo Ref.]:[Check Periodo Ref.]]="Dentro",IF(DATOS_[[Check Equiparado]:[Check Equiparado]]="Sí",IF(DATOS!AY$5="Sí",(1/DATOS_[[% anualiz]:[% anualiz]]),1)*IF(DATOS!AY$4="Sí",1/DATOS_[[% normaliz]:[% normaliz]],1)*(DATOS_[Conc.Sal.21])))))))),
0)</f>
        <v>0</v>
      </c>
      <c r="AE23" s="101">
        <f t="array" ref="AE23">IFERROR(
(AVERAGE((IF(DATOS_[[Sexo]:[Sexo]]=$B23,IF(DATOS_[[AGRUP. CLAS. PROF.]:[AGRUP. CLAS. PROF.]]=$B21,IF(DATOS_[[Check Periodo Ref.]:[Check Periodo Ref.]]="Dentro",IF(DATOS_[[Check Equiparado]:[Check Equiparado]]="Sí",IF(DATOS!AZ$5="Sí",(1/DATOS_[[% anualiz]:[% anualiz]]),1)*IF(DATOS!AZ$4="Sí",1/DATOS_[[% normaliz]:[% normaliz]],1)*(DATOS_[Conc.Sal.22])))))))),
0)</f>
        <v>0</v>
      </c>
      <c r="AF23" s="101">
        <f t="array" ref="AF23">IFERROR(
(AVERAGE((IF(DATOS_[[Sexo]:[Sexo]]=$B23,IF(DATOS_[[AGRUP. CLAS. PROF.]:[AGRUP. CLAS. PROF.]]=$B21,IF(DATOS_[[Check Periodo Ref.]:[Check Periodo Ref.]]="Dentro",IF(DATOS_[[Check Equiparado]:[Check Equiparado]]="Sí",IF(DATOS!BA$5="Sí",(1/DATOS_[[% anualiz]:[% anualiz]]),1)*IF(DATOS!BA$4="Sí",1/DATOS_[[% normaliz]:[% normaliz]],1)*(DATOS_[Conc.Sal.23])))))))),
0)</f>
        <v>0</v>
      </c>
      <c r="AG23" s="101">
        <f t="array" ref="AG23">IFERROR(
(AVERAGE((IF(DATOS_[[Sexo]:[Sexo]]=$B23,IF(DATOS_[[AGRUP. CLAS. PROF.]:[AGRUP. CLAS. PROF.]]=$B21,IF(DATOS_[[Check Periodo Ref.]:[Check Periodo Ref.]]="Dentro",IF(DATOS_[[Check Equiparado]:[Check Equiparado]]="Sí",IF(DATOS!BB$5="Sí",(1/DATOS_[[% anualiz]:[% anualiz]]),1)*IF(DATOS!BB$4="Sí",1/DATOS_[[% normaliz]:[% normaliz]],1)*(DATOS_[Conc.Sal.24])))))))),
0)</f>
        <v>0</v>
      </c>
      <c r="AH23" s="101">
        <f t="array" ref="AH23">IFERROR(
(AVERAGE((IF(DATOS_[[Sexo]:[Sexo]]=$B23,IF(DATOS_[[AGRUP. CLAS. PROF.]:[AGRUP. CLAS. PROF.]]=$B21,IF(DATOS_[[Check Periodo Ref.]:[Check Periodo Ref.]]="Dentro",IF(DATOS_[[Check Equiparado]:[Check Equiparado]]="Sí",IF(DATOS!BC$5="Sí",(1/DATOS_[[% anualiz]:[% anualiz]]),1)*IF(DATOS!BC$4="Sí",1/DATOS_[[% normaliz]:[% normaliz]],1)*(DATOS_[Conc.Sal.25])))))))),
0)</f>
        <v>0</v>
      </c>
      <c r="AI23" s="101">
        <f t="array" ref="AI23">IFERROR(
(AVERAGE((IF(DATOS_[[Sexo]:[Sexo]]=$B23,IF(DATOS_[[AGRUP. CLAS. PROF.]:[AGRUP. CLAS. PROF.]]=$B21,IF(DATOS_[[Check Periodo Ref.]:[Check Periodo Ref.]]="Dentro",IF(DATOS_[[Check Equiparado]:[Check Equiparado]]="Sí",IF(DATOS!BD$5="Sí",(1/DATOS_[[% anualiz]:[% anualiz]]),1)*IF(DATOS!BD$4="Sí",1/DATOS_[[% normaliz]:[% normaliz]],1)*(DATOS_[Conc.Sal.26])))))))),
0)</f>
        <v>0</v>
      </c>
      <c r="AJ23" s="101">
        <f t="array" ref="AJ23">IFERROR(
(AVERAGE((IF(DATOS_[[Sexo]:[Sexo]]=$B23,IF(DATOS_[[AGRUP. CLAS. PROF.]:[AGRUP. CLAS. PROF.]]=$B21,IF(DATOS_[[Check Periodo Ref.]:[Check Periodo Ref.]]="Dentro",IF(DATOS_[[Check Equiparado]:[Check Equiparado]]="Sí",IF(DATOS!BE$5="Sí",(1/DATOS_[[% anualiz]:[% anualiz]]),1)*IF(DATOS!BE$4="Sí",1/DATOS_[[% normaliz]:[% normaliz]],1)*(DATOS_[Conc.Sal.27])))))))),
0)</f>
        <v>0</v>
      </c>
      <c r="AK23" s="101">
        <f t="array" ref="AK23">IFERROR(
(AVERAGE((IF(DATOS_[[Sexo]:[Sexo]]=$B23,IF(DATOS_[[AGRUP. CLAS. PROF.]:[AGRUP. CLAS. PROF.]]=$B21,IF(DATOS_[[Check Periodo Ref.]:[Check Periodo Ref.]]="Dentro",IF(DATOS_[[Check Equiparado]:[Check Equiparado]]="Sí",IF(DATOS!BF$5="Sí",(1/DATOS_[[% anualiz]:[% anualiz]]),1)*IF(DATOS!BF$4="Sí",1/DATOS_[[% normaliz]:[% normaliz]],1)*(DATOS_[Conc.Sal.28])))))))),
0)</f>
        <v>0</v>
      </c>
      <c r="AL23" s="101">
        <f t="array" ref="AL23">IFERROR(
(AVERAGE((IF(DATOS_[[Sexo]:[Sexo]]=$B23,IF(DATOS_[[AGRUP. CLAS. PROF.]:[AGRUP. CLAS. PROF.]]=$B21,IF(DATOS_[[Check Periodo Ref.]:[Check Periodo Ref.]]="Dentro",IF(DATOS_[[Check Equiparado]:[Check Equiparado]]="Sí",IF(DATOS!BG$5="Sí",(1/DATOS_[[% anualiz]:[% anualiz]]),1)*IF(DATOS!BG$4="Sí",1/DATOS_[[% normaliz]:[% normaliz]],1)*(DATOS_[Conc.Sal.29])))))))),
0)</f>
        <v>0</v>
      </c>
      <c r="AM23" s="101">
        <f t="array" ref="AM23">IFERROR(
(AVERAGE((IF(DATOS_[[Sexo]:[Sexo]]=$B23,IF(DATOS_[[AGRUP. CLAS. PROF.]:[AGRUP. CLAS. PROF.]]=$B21,IF(DATOS_[[Check Periodo Ref.]:[Check Periodo Ref.]]="Dentro",IF(DATOS_[[Check Equiparado]:[Check Equiparado]]="Sí",IF(DATOS!BH$5="Sí",(1/DATOS_[[% anualiz]:[% anualiz]]),1)*IF(DATOS!BH$4="Sí",1/DATOS_[[% normaliz]:[% normaliz]],1)*(DATOS_[Conc.Sal.30])))))))),
0)</f>
        <v>0</v>
      </c>
      <c r="AN23" s="102">
        <f t="array" ref="AN23">IFERROR(
AVERAGE(IF(DATOS_[Sexo]=$B23,IF(DATOS_[[AGRUP. CLAS. PROF.]:[AGRUP. CLAS. PROF.]]=$B21,IF(DATOS_[Check Equiparado]="Sí",IF(DATOS_[Check Periodo Ref.]="Dentro",DATOS_[Tot COMPL.SAL Eq],FALSE))))),
0)</f>
        <v>2704.5056433265131</v>
      </c>
      <c r="AO23" s="103">
        <f t="array" ref="AO23">IFERROR(
AVERAGE(IF(DATOS_[Sexo]=$B23,IF(DATOS_[[AGRUP. CLAS. PROF.]:[AGRUP. CLAS. PROF.]]=$B21,IF(DATOS_[Check Equiparado]="Sí",IF(DATOS_[Check Periodo Ref.]="Dentro",DATOS_[TOTAL SALARIO Eq],FALSE))))),
0)</f>
        <v>14247.522163966782</v>
      </c>
      <c r="AP23" s="104">
        <f t="array" ref="AP23">IFERROR(
(AVERAGE((IF(DATOS_[[Sexo]:[Sexo]]=$B23,IF(DATOS_[[AGRUP. CLAS. PROF.]:[AGRUP. CLAS. PROF.]]=$B21,IF(DATOS_[[Check Periodo Ref.]:[Check Periodo Ref.]]="Dentro",IF(DATOS_[[Check Equiparado]:[Check Equiparado]]="Sí",IF(DATOS!BI$5="Sí",(1/DATOS_[[% anualiz]:[% anualiz]]),1)*IF(DATOS!BI$4="Sí",1/DATOS_[[% normaliz]:[% normaliz]],1)*(DATOS_[C.Extra.01])))))))),
0)</f>
        <v>0</v>
      </c>
      <c r="AQ23" s="104">
        <f t="array" ref="AQ23">IFERROR(
(AVERAGE((IF(DATOS_[[Sexo]:[Sexo]]=$B23,IF(DATOS_[[AGRUP. CLAS. PROF.]:[AGRUP. CLAS. PROF.]]=$B21,IF(DATOS_[[Check Periodo Ref.]:[Check Periodo Ref.]]="Dentro",IF(DATOS_[[Check Equiparado]:[Check Equiparado]]="Sí",IF(DATOS!BJ$5="Sí",(1/DATOS_[[% anualiz]:[% anualiz]]),1)*IF(DATOS!BJ$4="Sí",1/DATOS_[[% normaliz]:[% normaliz]],1)*(DATOS_[C.Extra.02])))))))),
0)</f>
        <v>0</v>
      </c>
      <c r="AR23" s="104">
        <f t="array" ref="AR23">IFERROR(
(AVERAGE((IF(DATOS_[[Sexo]:[Sexo]]=$B23,IF(DATOS_[[AGRUP. CLAS. PROF.]:[AGRUP. CLAS. PROF.]]=$B21,IF(DATOS_[[Check Periodo Ref.]:[Check Periodo Ref.]]="Dentro",IF(DATOS_[[Check Equiparado]:[Check Equiparado]]="Sí",IF(DATOS!BK$5="Sí",(1/DATOS_[[% anualiz]:[% anualiz]]),1)*IF(DATOS!BK$4="Sí",1/DATOS_[[% normaliz]:[% normaliz]],1)*(DATOS_[C.Extra.03])))))))),
0)</f>
        <v>0</v>
      </c>
      <c r="AS23" s="104">
        <f t="array" ref="AS23">IFERROR(
(AVERAGE((IF(DATOS_[[Sexo]:[Sexo]]=$B23,IF(DATOS_[[AGRUP. CLAS. PROF.]:[AGRUP. CLAS. PROF.]]=$B21,IF(DATOS_[[Check Periodo Ref.]:[Check Periodo Ref.]]="Dentro",IF(DATOS_[[Check Equiparado]:[Check Equiparado]]="Sí",IF(DATOS!BL$5="Sí",(1/DATOS_[[% anualiz]:[% anualiz]]),1)*IF(DATOS!BL$4="Sí",1/DATOS_[[% normaliz]:[% normaliz]],1)*(DATOS_[C.Extra.04])))))))),
0)</f>
        <v>0</v>
      </c>
      <c r="AT23" s="104">
        <f t="array" ref="AT23">IFERROR(
(AVERAGE((IF(DATOS_[[Sexo]:[Sexo]]=$B23,IF(DATOS_[[AGRUP. CLAS. PROF.]:[AGRUP. CLAS. PROF.]]=$B21,IF(DATOS_[[Check Periodo Ref.]:[Check Periodo Ref.]]="Dentro",IF(DATOS_[[Check Equiparado]:[Check Equiparado]]="Sí",IF(DATOS!BM$5="Sí",(1/DATOS_[[% anualiz]:[% anualiz]]),1)*IF(DATOS!BM$4="Sí",1/DATOS_[[% normaliz]:[% normaliz]],1)*(DATOS_[C.Extra.05])))))))),
0)</f>
        <v>0</v>
      </c>
      <c r="AU23" s="105">
        <f t="array" ref="AU23">IFERROR(
AVERAGE(IF(DATOS_[Sexo]=$B23,IF(DATOS_[[AGRUP. CLAS. PROF.]:[AGRUP. CLAS. PROF.]]=$B21,IF(DATOS_[Check Equiparado]="Sí",IF(DATOS_[Check Periodo Ref.]="Dentro",DATOS_[Tot Extrasalarial Eq],FALSE))))),
0)</f>
        <v>0</v>
      </c>
      <c r="AV23" s="106">
        <f t="array" ref="AV23">IFERROR(
AVERAGE(IF(DATOS_[Sexo]=$B23,IF(DATOS_[[AGRUP. CLAS. PROF.]:[AGRUP. CLAS. PROF.]]=$B21,IF(DATOS_[Check Equiparado]="Sí",IF(DATOS_[Check Periodo Ref.]="Dentro",DATOS_[TOTAL Retrib Eq],FALSE))))),
0)</f>
        <v>14247.522163966782</v>
      </c>
    </row>
    <row r="24" spans="1:48" ht="17.25" thickBot="1" x14ac:dyDescent="0.35">
      <c r="A24" s="53" t="str">
        <f t="shared" ref="A24" si="15">+A25</f>
        <v/>
      </c>
      <c r="B24" s="62" t="s">
        <v>301</v>
      </c>
      <c r="C24" s="99"/>
      <c r="D24" s="63"/>
      <c r="E24" s="63"/>
      <c r="F24" s="63"/>
      <c r="G24" s="63"/>
      <c r="H24" s="63"/>
      <c r="I24" s="129">
        <f t="shared" ref="I24:AV24" si="16">IFERROR((I25-I26)/I25,"")</f>
        <v>-0.14507254153121063</v>
      </c>
      <c r="J24" s="130">
        <f t="shared" si="16"/>
        <v>-0.35601797456879247</v>
      </c>
      <c r="K24" s="131">
        <f t="shared" si="16"/>
        <v>7.8374780132746485E-2</v>
      </c>
      <c r="L24" s="131">
        <f t="shared" si="16"/>
        <v>0.30310615421987047</v>
      </c>
      <c r="M24" s="131" t="str">
        <f t="shared" si="16"/>
        <v/>
      </c>
      <c r="N24" s="132" t="str">
        <f t="shared" si="16"/>
        <v/>
      </c>
      <c r="O24" s="133" t="str">
        <f t="shared" si="16"/>
        <v/>
      </c>
      <c r="P24" s="133">
        <f t="shared" si="16"/>
        <v>-9.5238095238095302E-2</v>
      </c>
      <c r="Q24" s="133" t="str">
        <f t="shared" si="16"/>
        <v/>
      </c>
      <c r="R24" s="133" t="str">
        <f t="shared" si="16"/>
        <v/>
      </c>
      <c r="S24" s="133" t="str">
        <f t="shared" si="16"/>
        <v/>
      </c>
      <c r="T24" s="133" t="str">
        <f t="shared" si="16"/>
        <v/>
      </c>
      <c r="U24" s="133" t="str">
        <f t="shared" si="16"/>
        <v/>
      </c>
      <c r="V24" s="133" t="str">
        <f t="shared" si="16"/>
        <v/>
      </c>
      <c r="W24" s="133" t="str">
        <f t="shared" si="16"/>
        <v/>
      </c>
      <c r="X24" s="133" t="str">
        <f t="shared" si="16"/>
        <v/>
      </c>
      <c r="Y24" s="133" t="str">
        <f t="shared" si="16"/>
        <v/>
      </c>
      <c r="Z24" s="132" t="str">
        <f t="shared" si="16"/>
        <v/>
      </c>
      <c r="AA24" s="132" t="str">
        <f t="shared" si="16"/>
        <v/>
      </c>
      <c r="AB24" s="132" t="str">
        <f t="shared" si="16"/>
        <v/>
      </c>
      <c r="AC24" s="132" t="str">
        <f t="shared" si="16"/>
        <v/>
      </c>
      <c r="AD24" s="132" t="str">
        <f t="shared" si="16"/>
        <v/>
      </c>
      <c r="AE24" s="132" t="str">
        <f t="shared" si="16"/>
        <v/>
      </c>
      <c r="AF24" s="132" t="str">
        <f t="shared" si="16"/>
        <v/>
      </c>
      <c r="AG24" s="132" t="str">
        <f t="shared" si="16"/>
        <v/>
      </c>
      <c r="AH24" s="132" t="str">
        <f t="shared" si="16"/>
        <v/>
      </c>
      <c r="AI24" s="132" t="str">
        <f t="shared" si="16"/>
        <v/>
      </c>
      <c r="AJ24" s="132" t="str">
        <f t="shared" si="16"/>
        <v/>
      </c>
      <c r="AK24" s="132" t="str">
        <f t="shared" si="16"/>
        <v/>
      </c>
      <c r="AL24" s="132" t="str">
        <f t="shared" si="16"/>
        <v/>
      </c>
      <c r="AM24" s="132" t="str">
        <f t="shared" si="16"/>
        <v/>
      </c>
      <c r="AN24" s="134">
        <f t="shared" si="16"/>
        <v>8.6054804756058562E-2</v>
      </c>
      <c r="AO24" s="138">
        <f t="shared" si="16"/>
        <v>-0.10143178858618408</v>
      </c>
      <c r="AP24" s="135">
        <f t="shared" si="16"/>
        <v>0.66666666666666663</v>
      </c>
      <c r="AQ24" s="135" t="str">
        <f t="shared" si="16"/>
        <v/>
      </c>
      <c r="AR24" s="135" t="str">
        <f t="shared" si="16"/>
        <v/>
      </c>
      <c r="AS24" s="135" t="str">
        <f t="shared" si="16"/>
        <v/>
      </c>
      <c r="AT24" s="135" t="str">
        <f t="shared" si="16"/>
        <v/>
      </c>
      <c r="AU24" s="136">
        <f t="shared" si="16"/>
        <v>0.66666666666666663</v>
      </c>
      <c r="AV24" s="137">
        <f t="shared" si="16"/>
        <v>-9.9838568454194684E-2</v>
      </c>
    </row>
    <row r="25" spans="1:48" x14ac:dyDescent="0.3">
      <c r="A25" s="53" t="str">
        <f t="shared" ref="A25" si="17">+IF(C25+C26=0,"[ocultar]","")</f>
        <v/>
      </c>
      <c r="B25" s="57" t="s">
        <v>162</v>
      </c>
      <c r="C25" s="56">
        <f t="array" ref="C25">SUM(IF($B25=DATOS_[Sexo],
IF($B24=DATOS_[AGRUP. CLAS. PROF.],
IF("Dentro"=DATOS_[Check Periodo Ref.],
1/(COUNTIFS(DATOS_[Sexo],$B25,DATOS_[AGRUP. CLAS. PROF.],$B24,DATOS_[Check Periodo Ref.],"Dentro",DATOS_[id],DATOS_[id]))))))</f>
        <v>16</v>
      </c>
      <c r="D25" s="58">
        <f>COUNTIFS(DATOS_[AGRUP. CLAS. PROF.],$B24,DATOS_[Sexo],$B25,DATOS_[Check Periodo Ref.],"Dentro")</f>
        <v>17</v>
      </c>
      <c r="E25" s="58">
        <f>COUNTIFS(DATOS_[AGRUP. CLAS. PROF.],$B24,DATOS_[Sexo],$B25,DATOS_[Check Periodo Ref.],"Dentro",DATOS_[Check Nº SC Norm],"Sí")</f>
        <v>0</v>
      </c>
      <c r="F25" s="58">
        <f>COUNTIFS(DATOS_[AGRUP. CLAS. PROF.],$B24,DATOS_[Sexo],$B25,DATOS_[Check Periodo Ref.],"Dentro",DATOS_[Check Nº SC Anualiz],"Sí")</f>
        <v>2</v>
      </c>
      <c r="G25" s="58">
        <f>COUNTIFS(DATOS_[AGRUP. CLAS. PROF.],$B24,DATOS_[Sexo],$B25,DATOS_[Check Periodo Ref.],"Dentro",DATOS_[Check Nº SC Norm y Anualiz],"Sí")</f>
        <v>1</v>
      </c>
      <c r="H25" s="58">
        <f>COUNTIFS(DATOS_[AGRUP. CLAS. PROF.],$B24,DATOS_[Sexo],$B25,DATOS_[Check Periodo Ref.],"Dentro",DATOS_[Check Equiparación],"Sí")</f>
        <v>3</v>
      </c>
      <c r="I25" s="100">
        <f t="array" ref="I25">IFERROR(
AVERAGE(IF(DATOS_[Sexo]=$B25,IF(DATOS_[[AGRUP. CLAS. PROF.]:[AGRUP. CLAS. PROF.]]=$B24,IF(DATOS_[Check Equiparado]="Sí",IF(DATOS_[Check Periodo Ref.]="Dentro",DATOS_[SALARIO BASE Eq],FALSE))))),
0)</f>
        <v>11707.912811183654</v>
      </c>
      <c r="J25" s="101">
        <f t="array" ref="J25">IFERROR(
(AVERAGE((IF(DATOS_[[Sexo]:[Sexo]]=$B25,IF(DATOS_[[AGRUP. CLAS. PROF.]:[AGRUP. CLAS. PROF.]]=$B24,IF(DATOS_[[Check Periodo Ref.]:[Check Periodo Ref.]]="Dentro",IF(DATOS_[[Check Equiparado]:[Check Equiparado]]="Sí",IF(DATOS!AE$5="Sí",(1/DATOS_[[% anualiz]:[% anualiz]]),1)*IF(DATOS!AE$4="Sí",1/DATOS_[[% normaliz]:[% normaliz]],1)*(DATOS_[Conc.Sal.01])))))))),
0)</f>
        <v>336.51115680286426</v>
      </c>
      <c r="K25" s="101">
        <f t="array" ref="K25">IFERROR(
(AVERAGE((IF(DATOS_[[Sexo]:[Sexo]]=$B25,IF(DATOS_[[AGRUP. CLAS. PROF.]:[AGRUP. CLAS. PROF.]]=$B24,IF(DATOS_[[Check Periodo Ref.]:[Check Periodo Ref.]]="Dentro",IF(DATOS_[[Check Equiparado]:[Check Equiparado]]="Sí",IF(DATOS!AF$5="Sí",(1/DATOS_[[% anualiz]:[% anualiz]]),1)*IF(DATOS!AF$4="Sí",1/DATOS_[[% normaliz]:[% normaliz]],1)*(DATOS_[Conc.Sal.02])))))))),
0)</f>
        <v>1521.0420124473462</v>
      </c>
      <c r="L25" s="101">
        <f t="array" ref="L25">IFERROR(
(AVERAGE((IF(DATOS_[[Sexo]:[Sexo]]=$B25,IF(DATOS_[[AGRUP. CLAS. PROF.]:[AGRUP. CLAS. PROF.]]=$B24,IF(DATOS_[[Check Periodo Ref.]:[Check Periodo Ref.]]="Dentro",IF(DATOS_[[Check Equiparado]:[Check Equiparado]]="Sí",IF(DATOS!AG$5="Sí",(1/DATOS_[[% anualiz]:[% anualiz]]),1)*IF(DATOS!AG$4="Sí",1/DATOS_[[% normaliz]:[% normaliz]],1)*(DATOS_[Conc.Sal.03])))))))),
0)</f>
        <v>797.66638584667226</v>
      </c>
      <c r="M25" s="101">
        <f t="array" ref="M25">IFERROR(
(AVERAGE((IF(DATOS_[[Sexo]:[Sexo]]=$B25,IF(DATOS_[[AGRUP. CLAS. PROF.]:[AGRUP. CLAS. PROF.]]=$B24,IF(DATOS_[[Check Periodo Ref.]:[Check Periodo Ref.]]="Dentro",IF(DATOS_[[Check Equiparado]:[Check Equiparado]]="Sí",IF(DATOS!AH$5="Sí",(1/DATOS_[[% anualiz]:[% anualiz]]),1)*IF(DATOS!AH$4="Sí",1/DATOS_[[% normaliz]:[% normaliz]],1)*(DATOS_[Conc.Sal.04])))))))),
0)</f>
        <v>0</v>
      </c>
      <c r="N25" s="101">
        <f t="array" ref="N25">IFERROR(
(AVERAGE((IF(DATOS_[[Sexo]:[Sexo]]=$B25,IF(DATOS_[[AGRUP. CLAS. PROF.]:[AGRUP. CLAS. PROF.]]=$B24,IF(DATOS_[[Check Periodo Ref.]:[Check Periodo Ref.]]="Dentro",IF(DATOS_[[Check Equiparado]:[Check Equiparado]]="Sí",IF(DATOS!AI$5="Sí",(1/DATOS_[[% anualiz]:[% anualiz]]),1)*IF(DATOS!AI$4="Sí",1/DATOS_[[% normaliz]:[% normaliz]],1)*(DATOS_[Conc.Sal.05])))))))),
0)</f>
        <v>0</v>
      </c>
      <c r="O25" s="101">
        <f t="array" ref="O25">IFERROR(
(AVERAGE((IF(DATOS_[[Sexo]:[Sexo]]=$B25,IF(DATOS_[[AGRUP. CLAS. PROF.]:[AGRUP. CLAS. PROF.]]=$B24,IF(DATOS_[[Check Periodo Ref.]:[Check Periodo Ref.]]="Dentro",IF(DATOS_[[Check Equiparado]:[Check Equiparado]]="Sí",IF(DATOS!AJ$5="Sí",(1/DATOS_[[% anualiz]:[% anualiz]]),1)*IF(DATOS!AJ$4="Sí",1/DATOS_[[% normaliz]:[% normaliz]],1)*(DATOS_[Conc.Sal.06])))))))),
0)</f>
        <v>0</v>
      </c>
      <c r="P25" s="101">
        <f t="array" ref="P25">IFERROR(
(AVERAGE((IF(DATOS_[[Sexo]:[Sexo]]=$B25,IF(DATOS_[[AGRUP. CLAS. PROF.]:[AGRUP. CLAS. PROF.]]=$B24,IF(DATOS_[[Check Periodo Ref.]:[Check Periodo Ref.]]="Dentro",IF(DATOS_[[Check Equiparado]:[Check Equiparado]]="Sí",IF(DATOS!AK$5="Sí",(1/DATOS_[[% anualiz]:[% anualiz]]),1)*IF(DATOS!AK$4="Sí",1/DATOS_[[% normaliz]:[% normaliz]],1)*(DATOS_[Conc.Sal.07])))))))),
0)</f>
        <v>70</v>
      </c>
      <c r="Q25" s="101">
        <f t="array" ref="Q25">IFERROR(
(AVERAGE((IF(DATOS_[[Sexo]:[Sexo]]=$B25,IF(DATOS_[[AGRUP. CLAS. PROF.]:[AGRUP. CLAS. PROF.]]=$B24,IF(DATOS_[[Check Periodo Ref.]:[Check Periodo Ref.]]="Dentro",IF(DATOS_[[Check Equiparado]:[Check Equiparado]]="Sí",IF(DATOS!AL$5="Sí",(1/DATOS_[[% anualiz]:[% anualiz]]),1)*IF(DATOS!AL$4="Sí",1/DATOS_[[% normaliz]:[% normaliz]],1)*(DATOS_[Conc.Sal.08])))))))),
0)</f>
        <v>0</v>
      </c>
      <c r="R25" s="101">
        <f t="array" ref="R25">IFERROR(
(AVERAGE((IF(DATOS_[[Sexo]:[Sexo]]=$B25,IF(DATOS_[[AGRUP. CLAS. PROF.]:[AGRUP. CLAS. PROF.]]=$B24,IF(DATOS_[[Check Periodo Ref.]:[Check Periodo Ref.]]="Dentro",IF(DATOS_[[Check Equiparado]:[Check Equiparado]]="Sí",IF(DATOS!AM$5="Sí",(1/DATOS_[[% anualiz]:[% anualiz]]),1)*IF(DATOS!AM$4="Sí",1/DATOS_[[% normaliz]:[% normaliz]],1)*(DATOS_[Conc.Sal.09])))))))),
0)</f>
        <v>0</v>
      </c>
      <c r="S25" s="101">
        <f t="array" ref="S25">IFERROR(
(AVERAGE((IF(DATOS_[[Sexo]:[Sexo]]=$B25,IF(DATOS_[[AGRUP. CLAS. PROF.]:[AGRUP. CLAS. PROF.]]=$B24,IF(DATOS_[[Check Periodo Ref.]:[Check Periodo Ref.]]="Dentro",IF(DATOS_[[Check Equiparado]:[Check Equiparado]]="Sí",IF(DATOS!AN$5="Sí",(1/DATOS_[[% anualiz]:[% anualiz]]),1)*IF(DATOS!AN$4="Sí",1/DATOS_[[% normaliz]:[% normaliz]],1)*(DATOS_[Conc.Sal.10])))))))),
0)</f>
        <v>0</v>
      </c>
      <c r="T25" s="101">
        <f t="array" ref="T25">IFERROR(
(AVERAGE((IF(DATOS_[[Sexo]:[Sexo]]=$B25,IF(DATOS_[[AGRUP. CLAS. PROF.]:[AGRUP. CLAS. PROF.]]=$B24,IF(DATOS_[[Check Periodo Ref.]:[Check Periodo Ref.]]="Dentro",IF(DATOS_[[Check Equiparado]:[Check Equiparado]]="Sí",IF(DATOS!AO$5="Sí",(1/DATOS_[[% anualiz]:[% anualiz]]),1)*IF(DATOS!AO$4="Sí",1/DATOS_[[% normaliz]:[% normaliz]],1)*(DATOS_[Conc.Sal.11])))))))),
0)</f>
        <v>0</v>
      </c>
      <c r="U25" s="101">
        <f t="array" ref="U25">IFERROR(
(AVERAGE((IF(DATOS_[[Sexo]:[Sexo]]=$B25,IF(DATOS_[[AGRUP. CLAS. PROF.]:[AGRUP. CLAS. PROF.]]=$B24,IF(DATOS_[[Check Periodo Ref.]:[Check Periodo Ref.]]="Dentro",IF(DATOS_[[Check Equiparado]:[Check Equiparado]]="Sí",IF(DATOS!AP$5="Sí",(1/DATOS_[[% anualiz]:[% anualiz]]),1)*IF(DATOS!AP$4="Sí",1/DATOS_[[% normaliz]:[% normaliz]],1)*(DATOS_[Conc.Sal.12])))))))),
0)</f>
        <v>0</v>
      </c>
      <c r="V25" s="101">
        <f t="array" ref="V25">IFERROR(
(AVERAGE((IF(DATOS_[[Sexo]:[Sexo]]=$B25,IF(DATOS_[[AGRUP. CLAS. PROF.]:[AGRUP. CLAS. PROF.]]=$B24,IF(DATOS_[[Check Periodo Ref.]:[Check Periodo Ref.]]="Dentro",IF(DATOS_[[Check Equiparado]:[Check Equiparado]]="Sí",IF(DATOS!AQ$5="Sí",(1/DATOS_[[% anualiz]:[% anualiz]]),1)*IF(DATOS!AQ$4="Sí",1/DATOS_[[% normaliz]:[% normaliz]],1)*(DATOS_[Conc.Sal.13])))))))),
0)</f>
        <v>0</v>
      </c>
      <c r="W25" s="101">
        <f t="array" ref="W25">IFERROR(
(AVERAGE((IF(DATOS_[[Sexo]:[Sexo]]=$B25,IF(DATOS_[[AGRUP. CLAS. PROF.]:[AGRUP. CLAS. PROF.]]=$B24,IF(DATOS_[[Check Periodo Ref.]:[Check Periodo Ref.]]="Dentro",IF(DATOS_[[Check Equiparado]:[Check Equiparado]]="Sí",IF(DATOS!AR$5="Sí",(1/DATOS_[[% anualiz]:[% anualiz]]),1)*IF(DATOS!AR$4="Sí",1/DATOS_[[% normaliz]:[% normaliz]],1)*(DATOS_[Conc.Sal.14])))))))),
0)</f>
        <v>0</v>
      </c>
      <c r="X25" s="101">
        <f t="array" ref="X25">IFERROR(
(AVERAGE((IF(DATOS_[[Sexo]:[Sexo]]=$B25,IF(DATOS_[[AGRUP. CLAS. PROF.]:[AGRUP. CLAS. PROF.]]=$B24,IF(DATOS_[[Check Periodo Ref.]:[Check Periodo Ref.]]="Dentro",IF(DATOS_[[Check Equiparado]:[Check Equiparado]]="Sí",IF(DATOS!AS$5="Sí",(1/DATOS_[[% anualiz]:[% anualiz]]),1)*IF(DATOS!AS$4="Sí",1/DATOS_[[% normaliz]:[% normaliz]],1)*(DATOS_[Conc.Sal.15])))))))),
0)</f>
        <v>0</v>
      </c>
      <c r="Y25" s="101">
        <f t="array" ref="Y25">IFERROR(
(AVERAGE((IF(DATOS_[[Sexo]:[Sexo]]=$B25,IF(DATOS_[[AGRUP. CLAS. PROF.]:[AGRUP. CLAS. PROF.]]=$B24,IF(DATOS_[[Check Periodo Ref.]:[Check Periodo Ref.]]="Dentro",IF(DATOS_[[Check Equiparado]:[Check Equiparado]]="Sí",IF(DATOS!AT$5="Sí",(1/DATOS_[[% anualiz]:[% anualiz]]),1)*IF(DATOS!AT$4="Sí",1/DATOS_[[% normaliz]:[% normaliz]],1)*(DATOS_[Conc.Sal.16])))))))),
0)</f>
        <v>0</v>
      </c>
      <c r="Z25" s="101">
        <f t="array" ref="Z25">IFERROR(
(AVERAGE((IF(DATOS_[[Sexo]:[Sexo]]=$B25,IF(DATOS_[[AGRUP. CLAS. PROF.]:[AGRUP. CLAS. PROF.]]=$B24,IF(DATOS_[[Check Periodo Ref.]:[Check Periodo Ref.]]="Dentro",IF(DATOS_[[Check Equiparado]:[Check Equiparado]]="Sí",IF(DATOS!AU$5="Sí",(1/DATOS_[[% anualiz]:[% anualiz]]),1)*IF(DATOS!AU$4="Sí",1/DATOS_[[% normaliz]:[% normaliz]],1)*(DATOS_[Conc.Sal.17])))))))),
0)</f>
        <v>0</v>
      </c>
      <c r="AA25" s="101">
        <f t="array" ref="AA25">IFERROR(
(AVERAGE((IF(DATOS_[[Sexo]:[Sexo]]=$B25,IF(DATOS_[[AGRUP. CLAS. PROF.]:[AGRUP. CLAS. PROF.]]=$B24,IF(DATOS_[[Check Periodo Ref.]:[Check Periodo Ref.]]="Dentro",IF(DATOS_[[Check Equiparado]:[Check Equiparado]]="Sí",IF(DATOS!AV$5="Sí",(1/DATOS_[[% anualiz]:[% anualiz]]),1)*IF(DATOS!AV$4="Sí",1/DATOS_[[% normaliz]:[% normaliz]],1)*(DATOS_[Conc.Sal.18])))))))),
0)</f>
        <v>0</v>
      </c>
      <c r="AB25" s="101">
        <f t="array" ref="AB25">IFERROR(
(AVERAGE((IF(DATOS_[[Sexo]:[Sexo]]=$B25,IF(DATOS_[[AGRUP. CLAS. PROF.]:[AGRUP. CLAS. PROF.]]=$B24,IF(DATOS_[[Check Periodo Ref.]:[Check Periodo Ref.]]="Dentro",IF(DATOS_[[Check Equiparado]:[Check Equiparado]]="Sí",IF(DATOS!AW$5="Sí",(1/DATOS_[[% anualiz]:[% anualiz]]),1)*IF(DATOS!AW$4="Sí",1/DATOS_[[% normaliz]:[% normaliz]],1)*(DATOS_[Conc.Sal.19])))))))),
0)</f>
        <v>0</v>
      </c>
      <c r="AC25" s="101">
        <f t="array" ref="AC25">IFERROR(
(AVERAGE((IF(DATOS_[[Sexo]:[Sexo]]=$B25,IF(DATOS_[[AGRUP. CLAS. PROF.]:[AGRUP. CLAS. PROF.]]=$B24,IF(DATOS_[[Check Periodo Ref.]:[Check Periodo Ref.]]="Dentro",IF(DATOS_[[Check Equiparado]:[Check Equiparado]]="Sí",IF(DATOS!AX$5="Sí",(1/DATOS_[[% anualiz]:[% anualiz]]),1)*IF(DATOS!AX$4="Sí",1/DATOS_[[% normaliz]:[% normaliz]],1)*(DATOS_[Conc.Sal.20])))))))),
0)</f>
        <v>0</v>
      </c>
      <c r="AD25" s="101">
        <f t="array" ref="AD25">IFERROR(
(AVERAGE((IF(DATOS_[[Sexo]:[Sexo]]=$B25,IF(DATOS_[[AGRUP. CLAS. PROF.]:[AGRUP. CLAS. PROF.]]=$B24,IF(DATOS_[[Check Periodo Ref.]:[Check Periodo Ref.]]="Dentro",IF(DATOS_[[Check Equiparado]:[Check Equiparado]]="Sí",IF(DATOS!AY$5="Sí",(1/DATOS_[[% anualiz]:[% anualiz]]),1)*IF(DATOS!AY$4="Sí",1/DATOS_[[% normaliz]:[% normaliz]],1)*(DATOS_[Conc.Sal.21])))))))),
0)</f>
        <v>0</v>
      </c>
      <c r="AE25" s="101">
        <f t="array" ref="AE25">IFERROR(
(AVERAGE((IF(DATOS_[[Sexo]:[Sexo]]=$B25,IF(DATOS_[[AGRUP. CLAS. PROF.]:[AGRUP. CLAS. PROF.]]=$B24,IF(DATOS_[[Check Periodo Ref.]:[Check Periodo Ref.]]="Dentro",IF(DATOS_[[Check Equiparado]:[Check Equiparado]]="Sí",IF(DATOS!AZ$5="Sí",(1/DATOS_[[% anualiz]:[% anualiz]]),1)*IF(DATOS!AZ$4="Sí",1/DATOS_[[% normaliz]:[% normaliz]],1)*(DATOS_[Conc.Sal.22])))))))),
0)</f>
        <v>0</v>
      </c>
      <c r="AF25" s="101">
        <f t="array" ref="AF25">IFERROR(
(AVERAGE((IF(DATOS_[[Sexo]:[Sexo]]=$B25,IF(DATOS_[[AGRUP. CLAS. PROF.]:[AGRUP. CLAS. PROF.]]=$B24,IF(DATOS_[[Check Periodo Ref.]:[Check Periodo Ref.]]="Dentro",IF(DATOS_[[Check Equiparado]:[Check Equiparado]]="Sí",IF(DATOS!BA$5="Sí",(1/DATOS_[[% anualiz]:[% anualiz]]),1)*IF(DATOS!BA$4="Sí",1/DATOS_[[% normaliz]:[% normaliz]],1)*(DATOS_[Conc.Sal.23])))))))),
0)</f>
        <v>0</v>
      </c>
      <c r="AG25" s="101">
        <f t="array" ref="AG25">IFERROR(
(AVERAGE((IF(DATOS_[[Sexo]:[Sexo]]=$B25,IF(DATOS_[[AGRUP. CLAS. PROF.]:[AGRUP. CLAS. PROF.]]=$B24,IF(DATOS_[[Check Periodo Ref.]:[Check Periodo Ref.]]="Dentro",IF(DATOS_[[Check Equiparado]:[Check Equiparado]]="Sí",IF(DATOS!BB$5="Sí",(1/DATOS_[[% anualiz]:[% anualiz]]),1)*IF(DATOS!BB$4="Sí",1/DATOS_[[% normaliz]:[% normaliz]],1)*(DATOS_[Conc.Sal.24])))))))),
0)</f>
        <v>0</v>
      </c>
      <c r="AH25" s="101">
        <f t="array" ref="AH25">IFERROR(
(AVERAGE((IF(DATOS_[[Sexo]:[Sexo]]=$B25,IF(DATOS_[[AGRUP. CLAS. PROF.]:[AGRUP. CLAS. PROF.]]=$B24,IF(DATOS_[[Check Periodo Ref.]:[Check Periodo Ref.]]="Dentro",IF(DATOS_[[Check Equiparado]:[Check Equiparado]]="Sí",IF(DATOS!BC$5="Sí",(1/DATOS_[[% anualiz]:[% anualiz]]),1)*IF(DATOS!BC$4="Sí",1/DATOS_[[% normaliz]:[% normaliz]],1)*(DATOS_[Conc.Sal.25])))))))),
0)</f>
        <v>0</v>
      </c>
      <c r="AI25" s="101">
        <f t="array" ref="AI25">IFERROR(
(AVERAGE((IF(DATOS_[[Sexo]:[Sexo]]=$B25,IF(DATOS_[[AGRUP. CLAS. PROF.]:[AGRUP. CLAS. PROF.]]=$B24,IF(DATOS_[[Check Periodo Ref.]:[Check Periodo Ref.]]="Dentro",IF(DATOS_[[Check Equiparado]:[Check Equiparado]]="Sí",IF(DATOS!BD$5="Sí",(1/DATOS_[[% anualiz]:[% anualiz]]),1)*IF(DATOS!BD$4="Sí",1/DATOS_[[% normaliz]:[% normaliz]],1)*(DATOS_[Conc.Sal.26])))))))),
0)</f>
        <v>0</v>
      </c>
      <c r="AJ25" s="101">
        <f t="array" ref="AJ25">IFERROR(
(AVERAGE((IF(DATOS_[[Sexo]:[Sexo]]=$B25,IF(DATOS_[[AGRUP. CLAS. PROF.]:[AGRUP. CLAS. PROF.]]=$B24,IF(DATOS_[[Check Periodo Ref.]:[Check Periodo Ref.]]="Dentro",IF(DATOS_[[Check Equiparado]:[Check Equiparado]]="Sí",IF(DATOS!BE$5="Sí",(1/DATOS_[[% anualiz]:[% anualiz]]),1)*IF(DATOS!BE$4="Sí",1/DATOS_[[% normaliz]:[% normaliz]],1)*(DATOS_[Conc.Sal.27])))))))),
0)</f>
        <v>0</v>
      </c>
      <c r="AK25" s="101">
        <f t="array" ref="AK25">IFERROR(
(AVERAGE((IF(DATOS_[[Sexo]:[Sexo]]=$B25,IF(DATOS_[[AGRUP. CLAS. PROF.]:[AGRUP. CLAS. PROF.]]=$B24,IF(DATOS_[[Check Periodo Ref.]:[Check Periodo Ref.]]="Dentro",IF(DATOS_[[Check Equiparado]:[Check Equiparado]]="Sí",IF(DATOS!BF$5="Sí",(1/DATOS_[[% anualiz]:[% anualiz]]),1)*IF(DATOS!BF$4="Sí",1/DATOS_[[% normaliz]:[% normaliz]],1)*(DATOS_[Conc.Sal.28])))))))),
0)</f>
        <v>0</v>
      </c>
      <c r="AL25" s="101">
        <f t="array" ref="AL25">IFERROR(
(AVERAGE((IF(DATOS_[[Sexo]:[Sexo]]=$B25,IF(DATOS_[[AGRUP. CLAS. PROF.]:[AGRUP. CLAS. PROF.]]=$B24,IF(DATOS_[[Check Periodo Ref.]:[Check Periodo Ref.]]="Dentro",IF(DATOS_[[Check Equiparado]:[Check Equiparado]]="Sí",IF(DATOS!BG$5="Sí",(1/DATOS_[[% anualiz]:[% anualiz]]),1)*IF(DATOS!BG$4="Sí",1/DATOS_[[% normaliz]:[% normaliz]],1)*(DATOS_[Conc.Sal.29])))))))),
0)</f>
        <v>0</v>
      </c>
      <c r="AM25" s="101">
        <f t="array" ref="AM25">IFERROR(
(AVERAGE((IF(DATOS_[[Sexo]:[Sexo]]=$B25,IF(DATOS_[[AGRUP. CLAS. PROF.]:[AGRUP. CLAS. PROF.]]=$B24,IF(DATOS_[[Check Periodo Ref.]:[Check Periodo Ref.]]="Dentro",IF(DATOS_[[Check Equiparado]:[Check Equiparado]]="Sí",IF(DATOS!BH$5="Sí",(1/DATOS_[[% anualiz]:[% anualiz]]),1)*IF(DATOS!BH$4="Sí",1/DATOS_[[% normaliz]:[% normaliz]],1)*(DATOS_[Conc.Sal.30])))))))),
0)</f>
        <v>0</v>
      </c>
      <c r="AN25" s="102">
        <f t="array" ref="AN25">IFERROR(
AVERAGE(IF(DATOS_[Sexo]=$B25,IF(DATOS_[[AGRUP. CLAS. PROF.]:[AGRUP. CLAS. PROF.]]=$B24,IF(DATOS_[Check Equiparado]="Sí",IF(DATOS_[Check Periodo Ref.]="Dentro",DATOS_[Tot COMPL.SAL Eq],FALSE))))),
0)</f>
        <v>2725.2195550968827</v>
      </c>
      <c r="AO25" s="103">
        <f t="array" ref="AO25">IFERROR(
AVERAGE(IF(DATOS_[Sexo]=$B25,IF(DATOS_[[AGRUP. CLAS. PROF.]:[AGRUP. CLAS. PROF.]]=$B24,IF(DATOS_[Check Equiparado]="Sí",IF(DATOS_[Check Periodo Ref.]="Dentro",DATOS_[TOTAL SALARIO Eq],FALSE))))),
0)</f>
        <v>14433.132366280539</v>
      </c>
      <c r="AP25" s="104">
        <f t="array" ref="AP25">IFERROR(
(AVERAGE((IF(DATOS_[[Sexo]:[Sexo]]=$B25,IF(DATOS_[[AGRUP. CLAS. PROF.]:[AGRUP. CLAS. PROF.]]=$B24,IF(DATOS_[[Check Periodo Ref.]:[Check Periodo Ref.]]="Dentro",IF(DATOS_[[Check Equiparado]:[Check Equiparado]]="Sí",IF(DATOS!BI$5="Sí",(1/DATOS_[[% anualiz]:[% anualiz]]),1)*IF(DATOS!BI$4="Sí",1/DATOS_[[% normaliz]:[% normaliz]],1)*(DATOS_[C.Extra.01])))))))),
0)</f>
        <v>30</v>
      </c>
      <c r="AQ25" s="104">
        <f t="array" ref="AQ25">IFERROR(
(AVERAGE((IF(DATOS_[[Sexo]:[Sexo]]=$B25,IF(DATOS_[[AGRUP. CLAS. PROF.]:[AGRUP. CLAS. PROF.]]=$B24,IF(DATOS_[[Check Periodo Ref.]:[Check Periodo Ref.]]="Dentro",IF(DATOS_[[Check Equiparado]:[Check Equiparado]]="Sí",IF(DATOS!BJ$5="Sí",(1/DATOS_[[% anualiz]:[% anualiz]]),1)*IF(DATOS!BJ$4="Sí",1/DATOS_[[% normaliz]:[% normaliz]],1)*(DATOS_[C.Extra.02])))))))),
0)</f>
        <v>0</v>
      </c>
      <c r="AR25" s="104">
        <f t="array" ref="AR25">IFERROR(
(AVERAGE((IF(DATOS_[[Sexo]:[Sexo]]=$B25,IF(DATOS_[[AGRUP. CLAS. PROF.]:[AGRUP. CLAS. PROF.]]=$B24,IF(DATOS_[[Check Periodo Ref.]:[Check Periodo Ref.]]="Dentro",IF(DATOS_[[Check Equiparado]:[Check Equiparado]]="Sí",IF(DATOS!BK$5="Sí",(1/DATOS_[[% anualiz]:[% anualiz]]),1)*IF(DATOS!BK$4="Sí",1/DATOS_[[% normaliz]:[% normaliz]],1)*(DATOS_[C.Extra.03])))))))),
0)</f>
        <v>0</v>
      </c>
      <c r="AS25" s="104">
        <f t="array" ref="AS25">IFERROR(
(AVERAGE((IF(DATOS_[[Sexo]:[Sexo]]=$B25,IF(DATOS_[[AGRUP. CLAS. PROF.]:[AGRUP. CLAS. PROF.]]=$B24,IF(DATOS_[[Check Periodo Ref.]:[Check Periodo Ref.]]="Dentro",IF(DATOS_[[Check Equiparado]:[Check Equiparado]]="Sí",IF(DATOS!BL$5="Sí",(1/DATOS_[[% anualiz]:[% anualiz]]),1)*IF(DATOS!BL$4="Sí",1/DATOS_[[% normaliz]:[% normaliz]],1)*(DATOS_[C.Extra.04])))))))),
0)</f>
        <v>0</v>
      </c>
      <c r="AT25" s="104">
        <f t="array" ref="AT25">IFERROR(
(AVERAGE((IF(DATOS_[[Sexo]:[Sexo]]=$B25,IF(DATOS_[[AGRUP. CLAS. PROF.]:[AGRUP. CLAS. PROF.]]=$B24,IF(DATOS_[[Check Periodo Ref.]:[Check Periodo Ref.]]="Dentro",IF(DATOS_[[Check Equiparado]:[Check Equiparado]]="Sí",IF(DATOS!BM$5="Sí",(1/DATOS_[[% anualiz]:[% anualiz]]),1)*IF(DATOS!BM$4="Sí",1/DATOS_[[% normaliz]:[% normaliz]],1)*(DATOS_[C.Extra.05])))))))),
0)</f>
        <v>0</v>
      </c>
      <c r="AU25" s="105">
        <f t="array" ref="AU25">IFERROR(
AVERAGE(IF(DATOS_[Sexo]=$B25,IF(DATOS_[[AGRUP. CLAS. PROF.]:[AGRUP. CLAS. PROF.]]=$B24,IF(DATOS_[Check Equiparado]="Sí",IF(DATOS_[Check Periodo Ref.]="Dentro",DATOS_[Tot Extrasalarial Eq],FALSE))))),
0)</f>
        <v>30</v>
      </c>
      <c r="AV25" s="106">
        <f t="array" ref="AV25">IFERROR(
AVERAGE(IF(DATOS_[Sexo]=$B25,IF(DATOS_[[AGRUP. CLAS. PROF.]:[AGRUP. CLAS. PROF.]]=$B24,IF(DATOS_[Check Equiparado]="Sí",IF(DATOS_[Check Periodo Ref.]="Dentro",DATOS_[TOTAL Retrib Eq],FALSE))))),
0)</f>
        <v>14463.132366280539</v>
      </c>
    </row>
    <row r="26" spans="1:48" x14ac:dyDescent="0.3">
      <c r="A26" s="53" t="str">
        <f t="shared" ref="A26" si="18">+A25</f>
        <v/>
      </c>
      <c r="B26" s="57" t="s">
        <v>163</v>
      </c>
      <c r="C26" s="56">
        <f t="array" ref="C26">SUM(IF($B26=DATOS_[Sexo],
IF($B24=DATOS_[AGRUP. CLAS. PROF.],
IF("Dentro"=DATOS_[Check Periodo Ref.],
1/(COUNTIFS(DATOS_[Sexo],$B26,DATOS_[AGRUP. CLAS. PROF.],$B24,DATOS_[Check Periodo Ref.],"Dentro",DATOS_[id],DATOS_[id]))))))</f>
        <v>24</v>
      </c>
      <c r="D26" s="58">
        <f>COUNTIFS(DATOS_[AGRUP. CLAS. PROF.],$B24,DATOS_[Sexo],$B26,DATOS_[Check Periodo Ref.],"Dentro")</f>
        <v>24</v>
      </c>
      <c r="E26" s="58">
        <f>COUNTIFS(DATOS_[AGRUP. CLAS. PROF.],$B24,DATOS_[Sexo],$B26,DATOS_[Check Periodo Ref.],"Dentro",DATOS_[Check Nº SC Norm],"Sí")</f>
        <v>3</v>
      </c>
      <c r="F26" s="58">
        <f>COUNTIFS(DATOS_[AGRUP. CLAS. PROF.],$B24,DATOS_[Sexo],$B26,DATOS_[Check Periodo Ref.],"Dentro",DATOS_[Check Nº SC Anualiz],"Sí")</f>
        <v>1</v>
      </c>
      <c r="G26" s="58">
        <f>COUNTIFS(DATOS_[AGRUP. CLAS. PROF.],$B24,DATOS_[Sexo],$B26,DATOS_[Check Periodo Ref.],"Dentro",DATOS_[Check Nº SC Norm y Anualiz],"Sí")</f>
        <v>0</v>
      </c>
      <c r="H26" s="58">
        <f>COUNTIFS(DATOS_[AGRUP. CLAS. PROF.],$B24,DATOS_[Sexo],$B26,DATOS_[Check Periodo Ref.],"Dentro",DATOS_[Check Equiparación],"Sí")</f>
        <v>4</v>
      </c>
      <c r="I26" s="100" cm="1">
        <f t="array" ref="I26">IFERROR(
AVERAGE(IF(DATOS_[Sexo]=$B26,IF(DATOS_[[AGRUP. CLAS. PROF.]:[AGRUP. CLAS. PROF.]]=$B24,IF(DATOS_[Check Equiparado]="Sí",IF(DATOS_[Check Periodo Ref.]="Dentro",DATOS_[SALARIO BASE Eq],FALSE))))),
0)</f>
        <v>13406.409478727888</v>
      </c>
      <c r="J26" s="101">
        <f t="array" ref="J26">IFERROR(
(AVERAGE((IF(DATOS_[[Sexo]:[Sexo]]=$B26,IF(DATOS_[[AGRUP. CLAS. PROF.]:[AGRUP. CLAS. PROF.]]=$B24,IF(DATOS_[[Check Periodo Ref.]:[Check Periodo Ref.]]="Dentro",IF(DATOS_[[Check Equiparado]:[Check Equiparado]]="Sí",IF(DATOS!AE$5="Sí",(1/DATOS_[[% anualiz]:[% anualiz]]),1)*IF(DATOS!AE$4="Sí",1/DATOS_[[% normaliz]:[% normaliz]],1)*(DATOS_[Conc.Sal.01])))))))),
0)</f>
        <v>456.31517726762132</v>
      </c>
      <c r="K26" s="101">
        <f t="array" ref="K26">IFERROR(
(AVERAGE((IF(DATOS_[[Sexo]:[Sexo]]=$B26,IF(DATOS_[[AGRUP. CLAS. PROF.]:[AGRUP. CLAS. PROF.]]=$B24,IF(DATOS_[[Check Periodo Ref.]:[Check Periodo Ref.]]="Dentro",IF(DATOS_[[Check Equiparado]:[Check Equiparado]]="Sí",IF(DATOS!AF$5="Sí",(1/DATOS_[[% anualiz]:[% anualiz]]),1)*IF(DATOS!AF$4="Sí",1/DATOS_[[% normaliz]:[% normaliz]],1)*(DATOS_[Conc.Sal.02])))))))),
0)</f>
        <v>1401.8306791491152</v>
      </c>
      <c r="L26" s="101">
        <f t="array" ref="L26">IFERROR(
(AVERAGE((IF(DATOS_[[Sexo]:[Sexo]]=$B26,IF(DATOS_[[AGRUP. CLAS. PROF.]:[AGRUP. CLAS. PROF.]]=$B24,IF(DATOS_[[Check Periodo Ref.]:[Check Periodo Ref.]]="Dentro",IF(DATOS_[[Check Equiparado]:[Check Equiparado]]="Sí",IF(DATOS!AG$5="Sí",(1/DATOS_[[% anualiz]:[% anualiz]]),1)*IF(DATOS!AG$4="Sí",1/DATOS_[[% normaliz]:[% normaliz]],1)*(DATOS_[Conc.Sal.03])))))))),
0)</f>
        <v>555.88879528222412</v>
      </c>
      <c r="M26" s="101">
        <f t="array" ref="M26">IFERROR(
(AVERAGE((IF(DATOS_[[Sexo]:[Sexo]]=$B26,IF(DATOS_[[AGRUP. CLAS. PROF.]:[AGRUP. CLAS. PROF.]]=$B24,IF(DATOS_[[Check Periodo Ref.]:[Check Periodo Ref.]]="Dentro",IF(DATOS_[[Check Equiparado]:[Check Equiparado]]="Sí",IF(DATOS!AH$5="Sí",(1/DATOS_[[% anualiz]:[% anualiz]]),1)*IF(DATOS!AH$4="Sí",1/DATOS_[[% normaliz]:[% normaliz]],1)*(DATOS_[Conc.Sal.04])))))))),
0)</f>
        <v>0</v>
      </c>
      <c r="N26" s="101">
        <f t="array" ref="N26">IFERROR(
(AVERAGE((IF(DATOS_[[Sexo]:[Sexo]]=$B26,IF(DATOS_[[AGRUP. CLAS. PROF.]:[AGRUP. CLAS. PROF.]]=$B24,IF(DATOS_[[Check Periodo Ref.]:[Check Periodo Ref.]]="Dentro",IF(DATOS_[[Check Equiparado]:[Check Equiparado]]="Sí",IF(DATOS!AI$5="Sí",(1/DATOS_[[% anualiz]:[% anualiz]]),1)*IF(DATOS!AI$4="Sí",1/DATOS_[[% normaliz]:[% normaliz]],1)*(DATOS_[Conc.Sal.05])))))))),
0)</f>
        <v>0</v>
      </c>
      <c r="O26" s="101">
        <f t="array" ref="O26">IFERROR(
(AVERAGE((IF(DATOS_[[Sexo]:[Sexo]]=$B26,IF(DATOS_[[AGRUP. CLAS. PROF.]:[AGRUP. CLAS. PROF.]]=$B24,IF(DATOS_[[Check Periodo Ref.]:[Check Periodo Ref.]]="Dentro",IF(DATOS_[[Check Equiparado]:[Check Equiparado]]="Sí",IF(DATOS!AJ$5="Sí",(1/DATOS_[[% anualiz]:[% anualiz]]),1)*IF(DATOS!AJ$4="Sí",1/DATOS_[[% normaliz]:[% normaliz]],1)*(DATOS_[Conc.Sal.06])))))))),
0)</f>
        <v>0</v>
      </c>
      <c r="P26" s="101">
        <f t="array" ref="P26">IFERROR(
(AVERAGE((IF(DATOS_[[Sexo]:[Sexo]]=$B26,IF(DATOS_[[AGRUP. CLAS. PROF.]:[AGRUP. CLAS. PROF.]]=$B24,IF(DATOS_[[Check Periodo Ref.]:[Check Periodo Ref.]]="Dentro",IF(DATOS_[[Check Equiparado]:[Check Equiparado]]="Sí",IF(DATOS!AK$5="Sí",(1/DATOS_[[% anualiz]:[% anualiz]]),1)*IF(DATOS!AK$4="Sí",1/DATOS_[[% normaliz]:[% normaliz]],1)*(DATOS_[Conc.Sal.07])))))))),
0)</f>
        <v>76.666666666666671</v>
      </c>
      <c r="Q26" s="101">
        <f t="array" ref="Q26">IFERROR(
(AVERAGE((IF(DATOS_[[Sexo]:[Sexo]]=$B26,IF(DATOS_[[AGRUP. CLAS. PROF.]:[AGRUP. CLAS. PROF.]]=$B24,IF(DATOS_[[Check Periodo Ref.]:[Check Periodo Ref.]]="Dentro",IF(DATOS_[[Check Equiparado]:[Check Equiparado]]="Sí",IF(DATOS!AL$5="Sí",(1/DATOS_[[% anualiz]:[% anualiz]]),1)*IF(DATOS!AL$4="Sí",1/DATOS_[[% normaliz]:[% normaliz]],1)*(DATOS_[Conc.Sal.08])))))))),
0)</f>
        <v>0</v>
      </c>
      <c r="R26" s="101">
        <f t="array" ref="R26">IFERROR(
(AVERAGE((IF(DATOS_[[Sexo]:[Sexo]]=$B26,IF(DATOS_[[AGRUP. CLAS. PROF.]:[AGRUP. CLAS. PROF.]]=$B24,IF(DATOS_[[Check Periodo Ref.]:[Check Periodo Ref.]]="Dentro",IF(DATOS_[[Check Equiparado]:[Check Equiparado]]="Sí",IF(DATOS!AM$5="Sí",(1/DATOS_[[% anualiz]:[% anualiz]]),1)*IF(DATOS!AM$4="Sí",1/DATOS_[[% normaliz]:[% normaliz]],1)*(DATOS_[Conc.Sal.09])))))))),
0)</f>
        <v>0</v>
      </c>
      <c r="S26" s="101">
        <f t="array" ref="S26">IFERROR(
(AVERAGE((IF(DATOS_[[Sexo]:[Sexo]]=$B26,IF(DATOS_[[AGRUP. CLAS. PROF.]:[AGRUP. CLAS. PROF.]]=$B24,IF(DATOS_[[Check Periodo Ref.]:[Check Periodo Ref.]]="Dentro",IF(DATOS_[[Check Equiparado]:[Check Equiparado]]="Sí",IF(DATOS!AN$5="Sí",(1/DATOS_[[% anualiz]:[% anualiz]]),1)*IF(DATOS!AN$4="Sí",1/DATOS_[[% normaliz]:[% normaliz]],1)*(DATOS_[Conc.Sal.10])))))))),
0)</f>
        <v>0</v>
      </c>
      <c r="T26" s="101">
        <f t="array" ref="T26">IFERROR(
(AVERAGE((IF(DATOS_[[Sexo]:[Sexo]]=$B26,IF(DATOS_[[AGRUP. CLAS. PROF.]:[AGRUP. CLAS. PROF.]]=$B24,IF(DATOS_[[Check Periodo Ref.]:[Check Periodo Ref.]]="Dentro",IF(DATOS_[[Check Equiparado]:[Check Equiparado]]="Sí",IF(DATOS!AO$5="Sí",(1/DATOS_[[% anualiz]:[% anualiz]]),1)*IF(DATOS!AO$4="Sí",1/DATOS_[[% normaliz]:[% normaliz]],1)*(DATOS_[Conc.Sal.11])))))))),
0)</f>
        <v>0</v>
      </c>
      <c r="U26" s="101">
        <f t="array" ref="U26">IFERROR(
(AVERAGE((IF(DATOS_[[Sexo]:[Sexo]]=$B26,IF(DATOS_[[AGRUP. CLAS. PROF.]:[AGRUP. CLAS. PROF.]]=$B24,IF(DATOS_[[Check Periodo Ref.]:[Check Periodo Ref.]]="Dentro",IF(DATOS_[[Check Equiparado]:[Check Equiparado]]="Sí",IF(DATOS!AP$5="Sí",(1/DATOS_[[% anualiz]:[% anualiz]]),1)*IF(DATOS!AP$4="Sí",1/DATOS_[[% normaliz]:[% normaliz]],1)*(DATOS_[Conc.Sal.12])))))))),
0)</f>
        <v>0</v>
      </c>
      <c r="V26" s="101">
        <f t="array" ref="V26">IFERROR(
(AVERAGE((IF(DATOS_[[Sexo]:[Sexo]]=$B26,IF(DATOS_[[AGRUP. CLAS. PROF.]:[AGRUP. CLAS. PROF.]]=$B24,IF(DATOS_[[Check Periodo Ref.]:[Check Periodo Ref.]]="Dentro",IF(DATOS_[[Check Equiparado]:[Check Equiparado]]="Sí",IF(DATOS!AQ$5="Sí",(1/DATOS_[[% anualiz]:[% anualiz]]),1)*IF(DATOS!AQ$4="Sí",1/DATOS_[[% normaliz]:[% normaliz]],1)*(DATOS_[Conc.Sal.13])))))))),
0)</f>
        <v>0</v>
      </c>
      <c r="W26" s="101">
        <f t="array" ref="W26">IFERROR(
(AVERAGE((IF(DATOS_[[Sexo]:[Sexo]]=$B26,IF(DATOS_[[AGRUP. CLAS. PROF.]:[AGRUP. CLAS. PROF.]]=$B24,IF(DATOS_[[Check Periodo Ref.]:[Check Periodo Ref.]]="Dentro",IF(DATOS_[[Check Equiparado]:[Check Equiparado]]="Sí",IF(DATOS!AR$5="Sí",(1/DATOS_[[% anualiz]:[% anualiz]]),1)*IF(DATOS!AR$4="Sí",1/DATOS_[[% normaliz]:[% normaliz]],1)*(DATOS_[Conc.Sal.14])))))))),
0)</f>
        <v>0</v>
      </c>
      <c r="X26" s="101">
        <f t="array" ref="X26">IFERROR(
(AVERAGE((IF(DATOS_[[Sexo]:[Sexo]]=$B26,IF(DATOS_[[AGRUP. CLAS. PROF.]:[AGRUP. CLAS. PROF.]]=$B24,IF(DATOS_[[Check Periodo Ref.]:[Check Periodo Ref.]]="Dentro",IF(DATOS_[[Check Equiparado]:[Check Equiparado]]="Sí",IF(DATOS!AS$5="Sí",(1/DATOS_[[% anualiz]:[% anualiz]]),1)*IF(DATOS!AS$4="Sí",1/DATOS_[[% normaliz]:[% normaliz]],1)*(DATOS_[Conc.Sal.15])))))))),
0)</f>
        <v>0</v>
      </c>
      <c r="Y26" s="101">
        <f t="array" ref="Y26">IFERROR(
(AVERAGE((IF(DATOS_[[Sexo]:[Sexo]]=$B26,IF(DATOS_[[AGRUP. CLAS. PROF.]:[AGRUP. CLAS. PROF.]]=$B24,IF(DATOS_[[Check Periodo Ref.]:[Check Periodo Ref.]]="Dentro",IF(DATOS_[[Check Equiparado]:[Check Equiparado]]="Sí",IF(DATOS!AT$5="Sí",(1/DATOS_[[% anualiz]:[% anualiz]]),1)*IF(DATOS!AT$4="Sí",1/DATOS_[[% normaliz]:[% normaliz]],1)*(DATOS_[Conc.Sal.16])))))))),
0)</f>
        <v>0</v>
      </c>
      <c r="Z26" s="101">
        <f t="array" ref="Z26">IFERROR(
(AVERAGE((IF(DATOS_[[Sexo]:[Sexo]]=$B26,IF(DATOS_[[AGRUP. CLAS. PROF.]:[AGRUP. CLAS. PROF.]]=$B24,IF(DATOS_[[Check Periodo Ref.]:[Check Periodo Ref.]]="Dentro",IF(DATOS_[[Check Equiparado]:[Check Equiparado]]="Sí",IF(DATOS!AU$5="Sí",(1/DATOS_[[% anualiz]:[% anualiz]]),1)*IF(DATOS!AU$4="Sí",1/DATOS_[[% normaliz]:[% normaliz]],1)*(DATOS_[Conc.Sal.17])))))))),
0)</f>
        <v>0</v>
      </c>
      <c r="AA26" s="101">
        <f t="array" ref="AA26">IFERROR(
(AVERAGE((IF(DATOS_[[Sexo]:[Sexo]]=$B26,IF(DATOS_[[AGRUP. CLAS. PROF.]:[AGRUP. CLAS. PROF.]]=$B24,IF(DATOS_[[Check Periodo Ref.]:[Check Periodo Ref.]]="Dentro",IF(DATOS_[[Check Equiparado]:[Check Equiparado]]="Sí",IF(DATOS!AV$5="Sí",(1/DATOS_[[% anualiz]:[% anualiz]]),1)*IF(DATOS!AV$4="Sí",1/DATOS_[[% normaliz]:[% normaliz]],1)*(DATOS_[Conc.Sal.18])))))))),
0)</f>
        <v>0</v>
      </c>
      <c r="AB26" s="101">
        <f t="array" ref="AB26">IFERROR(
(AVERAGE((IF(DATOS_[[Sexo]:[Sexo]]=$B26,IF(DATOS_[[AGRUP. CLAS. PROF.]:[AGRUP. CLAS. PROF.]]=$B24,IF(DATOS_[[Check Periodo Ref.]:[Check Periodo Ref.]]="Dentro",IF(DATOS_[[Check Equiparado]:[Check Equiparado]]="Sí",IF(DATOS!AW$5="Sí",(1/DATOS_[[% anualiz]:[% anualiz]]),1)*IF(DATOS!AW$4="Sí",1/DATOS_[[% normaliz]:[% normaliz]],1)*(DATOS_[Conc.Sal.19])))))))),
0)</f>
        <v>0</v>
      </c>
      <c r="AC26" s="101">
        <f t="array" ref="AC26">IFERROR(
(AVERAGE((IF(DATOS_[[Sexo]:[Sexo]]=$B26,IF(DATOS_[[AGRUP. CLAS. PROF.]:[AGRUP. CLAS. PROF.]]=$B24,IF(DATOS_[[Check Periodo Ref.]:[Check Periodo Ref.]]="Dentro",IF(DATOS_[[Check Equiparado]:[Check Equiparado]]="Sí",IF(DATOS!AX$5="Sí",(1/DATOS_[[% anualiz]:[% anualiz]]),1)*IF(DATOS!AX$4="Sí",1/DATOS_[[% normaliz]:[% normaliz]],1)*(DATOS_[Conc.Sal.20])))))))),
0)</f>
        <v>0</v>
      </c>
      <c r="AD26" s="101">
        <f t="array" ref="AD26">IFERROR(
(AVERAGE((IF(DATOS_[[Sexo]:[Sexo]]=$B26,IF(DATOS_[[AGRUP. CLAS. PROF.]:[AGRUP. CLAS. PROF.]]=$B24,IF(DATOS_[[Check Periodo Ref.]:[Check Periodo Ref.]]="Dentro",IF(DATOS_[[Check Equiparado]:[Check Equiparado]]="Sí",IF(DATOS!AY$5="Sí",(1/DATOS_[[% anualiz]:[% anualiz]]),1)*IF(DATOS!AY$4="Sí",1/DATOS_[[% normaliz]:[% normaliz]],1)*(DATOS_[Conc.Sal.21])))))))),
0)</f>
        <v>0</v>
      </c>
      <c r="AE26" s="101">
        <f t="array" ref="AE26">IFERROR(
(AVERAGE((IF(DATOS_[[Sexo]:[Sexo]]=$B26,IF(DATOS_[[AGRUP. CLAS. PROF.]:[AGRUP. CLAS. PROF.]]=$B24,IF(DATOS_[[Check Periodo Ref.]:[Check Periodo Ref.]]="Dentro",IF(DATOS_[[Check Equiparado]:[Check Equiparado]]="Sí",IF(DATOS!AZ$5="Sí",(1/DATOS_[[% anualiz]:[% anualiz]]),1)*IF(DATOS!AZ$4="Sí",1/DATOS_[[% normaliz]:[% normaliz]],1)*(DATOS_[Conc.Sal.22])))))))),
0)</f>
        <v>0</v>
      </c>
      <c r="AF26" s="101">
        <f t="array" ref="AF26">IFERROR(
(AVERAGE((IF(DATOS_[[Sexo]:[Sexo]]=$B26,IF(DATOS_[[AGRUP. CLAS. PROF.]:[AGRUP. CLAS. PROF.]]=$B24,IF(DATOS_[[Check Periodo Ref.]:[Check Periodo Ref.]]="Dentro",IF(DATOS_[[Check Equiparado]:[Check Equiparado]]="Sí",IF(DATOS!BA$5="Sí",(1/DATOS_[[% anualiz]:[% anualiz]]),1)*IF(DATOS!BA$4="Sí",1/DATOS_[[% normaliz]:[% normaliz]],1)*(DATOS_[Conc.Sal.23])))))))),
0)</f>
        <v>0</v>
      </c>
      <c r="AG26" s="101">
        <f t="array" ref="AG26">IFERROR(
(AVERAGE((IF(DATOS_[[Sexo]:[Sexo]]=$B26,IF(DATOS_[[AGRUP. CLAS. PROF.]:[AGRUP. CLAS. PROF.]]=$B24,IF(DATOS_[[Check Periodo Ref.]:[Check Periodo Ref.]]="Dentro",IF(DATOS_[[Check Equiparado]:[Check Equiparado]]="Sí",IF(DATOS!BB$5="Sí",(1/DATOS_[[% anualiz]:[% anualiz]]),1)*IF(DATOS!BB$4="Sí",1/DATOS_[[% normaliz]:[% normaliz]],1)*(DATOS_[Conc.Sal.24])))))))),
0)</f>
        <v>0</v>
      </c>
      <c r="AH26" s="101">
        <f t="array" ref="AH26">IFERROR(
(AVERAGE((IF(DATOS_[[Sexo]:[Sexo]]=$B26,IF(DATOS_[[AGRUP. CLAS. PROF.]:[AGRUP. CLAS. PROF.]]=$B24,IF(DATOS_[[Check Periodo Ref.]:[Check Periodo Ref.]]="Dentro",IF(DATOS_[[Check Equiparado]:[Check Equiparado]]="Sí",IF(DATOS!BC$5="Sí",(1/DATOS_[[% anualiz]:[% anualiz]]),1)*IF(DATOS!BC$4="Sí",1/DATOS_[[% normaliz]:[% normaliz]],1)*(DATOS_[Conc.Sal.25])))))))),
0)</f>
        <v>0</v>
      </c>
      <c r="AI26" s="101">
        <f t="array" ref="AI26">IFERROR(
(AVERAGE((IF(DATOS_[[Sexo]:[Sexo]]=$B26,IF(DATOS_[[AGRUP. CLAS. PROF.]:[AGRUP. CLAS. PROF.]]=$B24,IF(DATOS_[[Check Periodo Ref.]:[Check Periodo Ref.]]="Dentro",IF(DATOS_[[Check Equiparado]:[Check Equiparado]]="Sí",IF(DATOS!BD$5="Sí",(1/DATOS_[[% anualiz]:[% anualiz]]),1)*IF(DATOS!BD$4="Sí",1/DATOS_[[% normaliz]:[% normaliz]],1)*(DATOS_[Conc.Sal.26])))))))),
0)</f>
        <v>0</v>
      </c>
      <c r="AJ26" s="101">
        <f t="array" ref="AJ26">IFERROR(
(AVERAGE((IF(DATOS_[[Sexo]:[Sexo]]=$B26,IF(DATOS_[[AGRUP. CLAS. PROF.]:[AGRUP. CLAS. PROF.]]=$B24,IF(DATOS_[[Check Periodo Ref.]:[Check Periodo Ref.]]="Dentro",IF(DATOS_[[Check Equiparado]:[Check Equiparado]]="Sí",IF(DATOS!BE$5="Sí",(1/DATOS_[[% anualiz]:[% anualiz]]),1)*IF(DATOS!BE$4="Sí",1/DATOS_[[% normaliz]:[% normaliz]],1)*(DATOS_[Conc.Sal.27])))))))),
0)</f>
        <v>0</v>
      </c>
      <c r="AK26" s="101">
        <f t="array" ref="AK26">IFERROR(
(AVERAGE((IF(DATOS_[[Sexo]:[Sexo]]=$B26,IF(DATOS_[[AGRUP. CLAS. PROF.]:[AGRUP. CLAS. PROF.]]=$B24,IF(DATOS_[[Check Periodo Ref.]:[Check Periodo Ref.]]="Dentro",IF(DATOS_[[Check Equiparado]:[Check Equiparado]]="Sí",IF(DATOS!BF$5="Sí",(1/DATOS_[[% anualiz]:[% anualiz]]),1)*IF(DATOS!BF$4="Sí",1/DATOS_[[% normaliz]:[% normaliz]],1)*(DATOS_[Conc.Sal.28])))))))),
0)</f>
        <v>0</v>
      </c>
      <c r="AL26" s="101">
        <f t="array" ref="AL26">IFERROR(
(AVERAGE((IF(DATOS_[[Sexo]:[Sexo]]=$B26,IF(DATOS_[[AGRUP. CLAS. PROF.]:[AGRUP. CLAS. PROF.]]=$B24,IF(DATOS_[[Check Periodo Ref.]:[Check Periodo Ref.]]="Dentro",IF(DATOS_[[Check Equiparado]:[Check Equiparado]]="Sí",IF(DATOS!BG$5="Sí",(1/DATOS_[[% anualiz]:[% anualiz]]),1)*IF(DATOS!BG$4="Sí",1/DATOS_[[% normaliz]:[% normaliz]],1)*(DATOS_[Conc.Sal.29])))))))),
0)</f>
        <v>0</v>
      </c>
      <c r="AM26" s="101">
        <f t="array" ref="AM26">IFERROR(
(AVERAGE((IF(DATOS_[[Sexo]:[Sexo]]=$B26,IF(DATOS_[[AGRUP. CLAS. PROF.]:[AGRUP. CLAS. PROF.]]=$B24,IF(DATOS_[[Check Periodo Ref.]:[Check Periodo Ref.]]="Dentro",IF(DATOS_[[Check Equiparado]:[Check Equiparado]]="Sí",IF(DATOS!BH$5="Sí",(1/DATOS_[[% anualiz]:[% anualiz]]),1)*IF(DATOS!BH$4="Sí",1/DATOS_[[% normaliz]:[% normaliz]],1)*(DATOS_[Conc.Sal.30])))))))),
0)</f>
        <v>0</v>
      </c>
      <c r="AN26" s="102">
        <f t="array" ref="AN26">IFERROR(
AVERAGE(IF(DATOS_[Sexo]=$B26,IF(DATOS_[[AGRUP. CLAS. PROF.]:[AGRUP. CLAS. PROF.]]=$B24,IF(DATOS_[Check Equiparado]="Sí",IF(DATOS_[Check Periodo Ref.]="Dentro",DATOS_[Tot COMPL.SAL Eq],FALSE))))),
0)</f>
        <v>2490.7013183656277</v>
      </c>
      <c r="AO26" s="103">
        <f t="array" ref="AO26">IFERROR(
AVERAGE(IF(DATOS_[Sexo]=$B26,IF(DATOS_[[AGRUP. CLAS. PROF.]:[AGRUP. CLAS. PROF.]]=$B24,IF(DATOS_[Check Equiparado]="Sí",IF(DATOS_[Check Periodo Ref.]="Dentro",DATOS_[TOTAL SALARIO Eq],FALSE))))),
0)</f>
        <v>15897.110797093517</v>
      </c>
      <c r="AP26" s="104">
        <f t="array" ref="AP26">IFERROR(
(AVERAGE((IF(DATOS_[[Sexo]:[Sexo]]=$B26,IF(DATOS_[[AGRUP. CLAS. PROF.]:[AGRUP. CLAS. PROF.]]=$B24,IF(DATOS_[[Check Periodo Ref.]:[Check Periodo Ref.]]="Dentro",IF(DATOS_[[Check Equiparado]:[Check Equiparado]]="Sí",IF(DATOS!BI$5="Sí",(1/DATOS_[[% anualiz]:[% anualiz]]),1)*IF(DATOS!BI$4="Sí",1/DATOS_[[% normaliz]:[% normaliz]],1)*(DATOS_[C.Extra.01])))))))),
0)</f>
        <v>10</v>
      </c>
      <c r="AQ26" s="104">
        <f t="array" ref="AQ26">IFERROR(
(AVERAGE((IF(DATOS_[[Sexo]:[Sexo]]=$B26,IF(DATOS_[[AGRUP. CLAS. PROF.]:[AGRUP. CLAS. PROF.]]=$B24,IF(DATOS_[[Check Periodo Ref.]:[Check Periodo Ref.]]="Dentro",IF(DATOS_[[Check Equiparado]:[Check Equiparado]]="Sí",IF(DATOS!BJ$5="Sí",(1/DATOS_[[% anualiz]:[% anualiz]]),1)*IF(DATOS!BJ$4="Sí",1/DATOS_[[% normaliz]:[% normaliz]],1)*(DATOS_[C.Extra.02])))))))),
0)</f>
        <v>0</v>
      </c>
      <c r="AR26" s="104">
        <f t="array" ref="AR26">IFERROR(
(AVERAGE((IF(DATOS_[[Sexo]:[Sexo]]=$B26,IF(DATOS_[[AGRUP. CLAS. PROF.]:[AGRUP. CLAS. PROF.]]=$B24,IF(DATOS_[[Check Periodo Ref.]:[Check Periodo Ref.]]="Dentro",IF(DATOS_[[Check Equiparado]:[Check Equiparado]]="Sí",IF(DATOS!BK$5="Sí",(1/DATOS_[[% anualiz]:[% anualiz]]),1)*IF(DATOS!BK$4="Sí",1/DATOS_[[% normaliz]:[% normaliz]],1)*(DATOS_[C.Extra.03])))))))),
0)</f>
        <v>0</v>
      </c>
      <c r="AS26" s="104">
        <f t="array" ref="AS26">IFERROR(
(AVERAGE((IF(DATOS_[[Sexo]:[Sexo]]=$B26,IF(DATOS_[[AGRUP. CLAS. PROF.]:[AGRUP. CLAS. PROF.]]=$B24,IF(DATOS_[[Check Periodo Ref.]:[Check Periodo Ref.]]="Dentro",IF(DATOS_[[Check Equiparado]:[Check Equiparado]]="Sí",IF(DATOS!BL$5="Sí",(1/DATOS_[[% anualiz]:[% anualiz]]),1)*IF(DATOS!BL$4="Sí",1/DATOS_[[% normaliz]:[% normaliz]],1)*(DATOS_[C.Extra.04])))))))),
0)</f>
        <v>0</v>
      </c>
      <c r="AT26" s="104">
        <f t="array" ref="AT26">IFERROR(
(AVERAGE((IF(DATOS_[[Sexo]:[Sexo]]=$B26,IF(DATOS_[[AGRUP. CLAS. PROF.]:[AGRUP. CLAS. PROF.]]=$B24,IF(DATOS_[[Check Periodo Ref.]:[Check Periodo Ref.]]="Dentro",IF(DATOS_[[Check Equiparado]:[Check Equiparado]]="Sí",IF(DATOS!BM$5="Sí",(1/DATOS_[[% anualiz]:[% anualiz]]),1)*IF(DATOS!BM$4="Sí",1/DATOS_[[% normaliz]:[% normaliz]],1)*(DATOS_[C.Extra.05])))))))),
0)</f>
        <v>0</v>
      </c>
      <c r="AU26" s="105">
        <f t="array" ref="AU26">IFERROR(
AVERAGE(IF(DATOS_[Sexo]=$B26,IF(DATOS_[[AGRUP. CLAS. PROF.]:[AGRUP. CLAS. PROF.]]=$B24,IF(DATOS_[Check Equiparado]="Sí",IF(DATOS_[Check Periodo Ref.]="Dentro",DATOS_[Tot Extrasalarial Eq],FALSE))))),
0)</f>
        <v>10</v>
      </c>
      <c r="AV26" s="106">
        <f t="array" ref="AV26">IFERROR(
AVERAGE(IF(DATOS_[Sexo]=$B26,IF(DATOS_[[AGRUP. CLAS. PROF.]:[AGRUP. CLAS. PROF.]]=$B24,IF(DATOS_[Check Equiparado]="Sí",IF(DATOS_[Check Periodo Ref.]="Dentro",DATOS_[TOTAL Retrib Eq],FALSE))))),
0)</f>
        <v>15907.110797093517</v>
      </c>
    </row>
    <row r="27" spans="1:48" ht="17.25" thickBot="1" x14ac:dyDescent="0.35">
      <c r="A27" s="53" t="str">
        <f t="shared" ref="A27" si="19">+A28</f>
        <v/>
      </c>
      <c r="B27" s="62" t="s">
        <v>311</v>
      </c>
      <c r="C27" s="99"/>
      <c r="D27" s="63"/>
      <c r="E27" s="63"/>
      <c r="F27" s="63"/>
      <c r="G27" s="63"/>
      <c r="H27" s="63"/>
      <c r="I27" s="129">
        <f t="shared" ref="I27:AV27" si="20">IFERROR((I28-I29)/I28,"")</f>
        <v>-4.8979569446727905E-2</v>
      </c>
      <c r="J27" s="130">
        <f t="shared" si="20"/>
        <v>-4.8978560334375185E-2</v>
      </c>
      <c r="K27" s="131">
        <f t="shared" si="20"/>
        <v>-0.18367346938775483</v>
      </c>
      <c r="L27" s="131">
        <f t="shared" si="20"/>
        <v>-4.8979591836734643E-2</v>
      </c>
      <c r="M27" s="131" t="str">
        <f t="shared" si="20"/>
        <v/>
      </c>
      <c r="N27" s="132" t="str">
        <f t="shared" si="20"/>
        <v/>
      </c>
      <c r="O27" s="133" t="str">
        <f t="shared" si="20"/>
        <v/>
      </c>
      <c r="P27" s="133" t="str">
        <f t="shared" si="20"/>
        <v/>
      </c>
      <c r="Q27" s="133" t="str">
        <f t="shared" si="20"/>
        <v/>
      </c>
      <c r="R27" s="133" t="str">
        <f t="shared" si="20"/>
        <v/>
      </c>
      <c r="S27" s="133" t="str">
        <f t="shared" si="20"/>
        <v/>
      </c>
      <c r="T27" s="133" t="str">
        <f t="shared" si="20"/>
        <v/>
      </c>
      <c r="U27" s="133" t="str">
        <f t="shared" si="20"/>
        <v/>
      </c>
      <c r="V27" s="133" t="str">
        <f t="shared" si="20"/>
        <v/>
      </c>
      <c r="W27" s="133" t="str">
        <f t="shared" si="20"/>
        <v/>
      </c>
      <c r="X27" s="133" t="str">
        <f t="shared" si="20"/>
        <v/>
      </c>
      <c r="Y27" s="133" t="str">
        <f t="shared" si="20"/>
        <v/>
      </c>
      <c r="Z27" s="132" t="str">
        <f t="shared" si="20"/>
        <v/>
      </c>
      <c r="AA27" s="132" t="str">
        <f t="shared" si="20"/>
        <v/>
      </c>
      <c r="AB27" s="132" t="str">
        <f t="shared" si="20"/>
        <v/>
      </c>
      <c r="AC27" s="132" t="str">
        <f t="shared" si="20"/>
        <v/>
      </c>
      <c r="AD27" s="132" t="str">
        <f t="shared" si="20"/>
        <v/>
      </c>
      <c r="AE27" s="132" t="str">
        <f t="shared" si="20"/>
        <v/>
      </c>
      <c r="AF27" s="132" t="str">
        <f t="shared" si="20"/>
        <v/>
      </c>
      <c r="AG27" s="132" t="str">
        <f t="shared" si="20"/>
        <v/>
      </c>
      <c r="AH27" s="132" t="str">
        <f t="shared" si="20"/>
        <v/>
      </c>
      <c r="AI27" s="132" t="str">
        <f t="shared" si="20"/>
        <v/>
      </c>
      <c r="AJ27" s="132" t="str">
        <f t="shared" si="20"/>
        <v/>
      </c>
      <c r="AK27" s="132" t="str">
        <f t="shared" si="20"/>
        <v/>
      </c>
      <c r="AL27" s="132" t="str">
        <f t="shared" si="20"/>
        <v/>
      </c>
      <c r="AM27" s="132" t="str">
        <f t="shared" si="20"/>
        <v/>
      </c>
      <c r="AN27" s="134">
        <f t="shared" si="20"/>
        <v>-6.4511314866570996E-2</v>
      </c>
      <c r="AO27" s="138">
        <f t="shared" si="20"/>
        <v>-5.0384906099045536E-2</v>
      </c>
      <c r="AP27" s="135" t="str">
        <f t="shared" si="20"/>
        <v/>
      </c>
      <c r="AQ27" s="135" t="str">
        <f t="shared" si="20"/>
        <v/>
      </c>
      <c r="AR27" s="135">
        <f t="shared" si="20"/>
        <v>0.29251700680272097</v>
      </c>
      <c r="AS27" s="135" t="str">
        <f t="shared" si="20"/>
        <v/>
      </c>
      <c r="AT27" s="135" t="str">
        <f t="shared" si="20"/>
        <v/>
      </c>
      <c r="AU27" s="136">
        <f t="shared" si="20"/>
        <v>0.29251700680272097</v>
      </c>
      <c r="AV27" s="137">
        <f t="shared" si="20"/>
        <v>-4.4470234295549492E-2</v>
      </c>
    </row>
    <row r="28" spans="1:48" x14ac:dyDescent="0.3">
      <c r="A28" s="53" t="str">
        <f t="shared" ref="A28" si="21">+IF(C28+C29=0,"[ocultar]","")</f>
        <v/>
      </c>
      <c r="B28" s="57" t="s">
        <v>162</v>
      </c>
      <c r="C28" s="56">
        <f t="array" ref="C28">SUM(IF($B28=DATOS_[Sexo],
IF($B27=DATOS_[AGRUP. CLAS. PROF.],
IF("Dentro"=DATOS_[Check Periodo Ref.],
1/(COUNTIFS(DATOS_[Sexo],$B28,DATOS_[AGRUP. CLAS. PROF.],$B27,DATOS_[Check Periodo Ref.],"Dentro",DATOS_[id],DATOS_[id]))))))</f>
        <v>26</v>
      </c>
      <c r="D28" s="58">
        <f>COUNTIFS(DATOS_[AGRUP. CLAS. PROF.],$B27,DATOS_[Sexo],$B28,DATOS_[Check Periodo Ref.],"Dentro")</f>
        <v>31</v>
      </c>
      <c r="E28" s="58">
        <f>COUNTIFS(DATOS_[AGRUP. CLAS. PROF.],$B27,DATOS_[Sexo],$B28,DATOS_[Check Periodo Ref.],"Dentro",DATOS_[Check Nº SC Norm],"Sí")</f>
        <v>4</v>
      </c>
      <c r="F28" s="58">
        <f>COUNTIFS(DATOS_[AGRUP. CLAS. PROF.],$B27,DATOS_[Sexo],$B28,DATOS_[Check Periodo Ref.],"Dentro",DATOS_[Check Nº SC Anualiz],"Sí")</f>
        <v>5</v>
      </c>
      <c r="G28" s="58">
        <f>COUNTIFS(DATOS_[AGRUP. CLAS. PROF.],$B27,DATOS_[Sexo],$B28,DATOS_[Check Periodo Ref.],"Dentro",DATOS_[Check Nº SC Norm y Anualiz],"Sí")</f>
        <v>0</v>
      </c>
      <c r="H28" s="58">
        <f>COUNTIFS(DATOS_[AGRUP. CLAS. PROF.],$B27,DATOS_[Sexo],$B28,DATOS_[Check Periodo Ref.],"Dentro",DATOS_[Check Equiparación],"Sí")</f>
        <v>9</v>
      </c>
      <c r="I28" s="100">
        <f t="array" ref="I28">IFERROR(
AVERAGE(IF(DATOS_[Sexo]=$B28,IF(DATOS_[[AGRUP. CLAS. PROF.]:[AGRUP. CLAS. PROF.]]=$B27,IF(DATOS_[Check Equiparado]="Sí",IF(DATOS_[Check Periodo Ref.]="Dentro",DATOS_[SALARIO BASE Eq],FALSE))))),
0)</f>
        <v>10762.538653846157</v>
      </c>
      <c r="J28" s="101">
        <f t="array" ref="J28">IFERROR(
(AVERAGE((IF(DATOS_[[Sexo]:[Sexo]]=$B28,IF(DATOS_[[AGRUP. CLAS. PROF.]:[AGRUP. CLAS. PROF.]]=$B27,IF(DATOS_[[Check Periodo Ref.]:[Check Periodo Ref.]]="Dentro",IF(DATOS_[[Check Equiparado]:[Check Equiparado]]="Sí",IF(DATOS!AE$5="Sí",(1/DATOS_[[% anualiz]:[% anualiz]]),1)*IF(DATOS!AE$4="Sí",1/DATOS_[[% normaliz]:[% normaliz]],1)*(DATOS_[Conc.Sal.01])))))))),
0)</f>
        <v>70.769038461538628</v>
      </c>
      <c r="K28" s="101">
        <f t="array" ref="K28">IFERROR(
(AVERAGE((IF(DATOS_[[Sexo]:[Sexo]]=$B28,IF(DATOS_[[AGRUP. CLAS. PROF.]:[AGRUP. CLAS. PROF.]]=$B27,IF(DATOS_[[Check Periodo Ref.]:[Check Periodo Ref.]]="Dentro",IF(DATOS_[[Check Equiparado]:[Check Equiparado]]="Sí",IF(DATOS!AF$5="Sí",(1/DATOS_[[% anualiz]:[% anualiz]]),1)*IF(DATOS!AF$4="Sí",1/DATOS_[[% normaliz]:[% normaliz]],1)*(DATOS_[Conc.Sal.02])))))))),
0)</f>
        <v>129.1507</v>
      </c>
      <c r="L28" s="101">
        <f t="array" ref="L28">IFERROR(
(AVERAGE((IF(DATOS_[[Sexo]:[Sexo]]=$B28,IF(DATOS_[[AGRUP. CLAS. PROF.]:[AGRUP. CLAS. PROF.]]=$B27,IF(DATOS_[[Check Periodo Ref.]:[Check Periodo Ref.]]="Dentro",IF(DATOS_[[Check Equiparado]:[Check Equiparado]]="Sí",IF(DATOS!AG$5="Sí",(1/DATOS_[[% anualiz]:[% anualiz]]),1)*IF(DATOS!AG$4="Sí",1/DATOS_[[% normaliz]:[% normaliz]],1)*(DATOS_[Conc.Sal.03])))))))),
0)</f>
        <v>800</v>
      </c>
      <c r="M28" s="101">
        <f t="array" ref="M28">IFERROR(
(AVERAGE((IF(DATOS_[[Sexo]:[Sexo]]=$B28,IF(DATOS_[[AGRUP. CLAS. PROF.]:[AGRUP. CLAS. PROF.]]=$B27,IF(DATOS_[[Check Periodo Ref.]:[Check Periodo Ref.]]="Dentro",IF(DATOS_[[Check Equiparado]:[Check Equiparado]]="Sí",IF(DATOS!AH$5="Sí",(1/DATOS_[[% anualiz]:[% anualiz]]),1)*IF(DATOS!AH$4="Sí",1/DATOS_[[% normaliz]:[% normaliz]],1)*(DATOS_[Conc.Sal.04])))))))),
0)</f>
        <v>0</v>
      </c>
      <c r="N28" s="101">
        <f t="array" ref="N28">IFERROR(
(AVERAGE((IF(DATOS_[[Sexo]:[Sexo]]=$B28,IF(DATOS_[[AGRUP. CLAS. PROF.]:[AGRUP. CLAS. PROF.]]=$B27,IF(DATOS_[[Check Periodo Ref.]:[Check Periodo Ref.]]="Dentro",IF(DATOS_[[Check Equiparado]:[Check Equiparado]]="Sí",IF(DATOS!AI$5="Sí",(1/DATOS_[[% anualiz]:[% anualiz]]),1)*IF(DATOS!AI$4="Sí",1/DATOS_[[% normaliz]:[% normaliz]],1)*(DATOS_[Conc.Sal.05])))))))),
0)</f>
        <v>0</v>
      </c>
      <c r="O28" s="101">
        <f t="array" ref="O28">IFERROR(
(AVERAGE((IF(DATOS_[[Sexo]:[Sexo]]=$B28,IF(DATOS_[[AGRUP. CLAS. PROF.]:[AGRUP. CLAS. PROF.]]=$B27,IF(DATOS_[[Check Periodo Ref.]:[Check Periodo Ref.]]="Dentro",IF(DATOS_[[Check Equiparado]:[Check Equiparado]]="Sí",IF(DATOS!AJ$5="Sí",(1/DATOS_[[% anualiz]:[% anualiz]]),1)*IF(DATOS!AJ$4="Sí",1/DATOS_[[% normaliz]:[% normaliz]],1)*(DATOS_[Conc.Sal.06])))))))),
0)</f>
        <v>0</v>
      </c>
      <c r="P28" s="101"/>
      <c r="Q28" s="101">
        <f t="array" ref="Q28">IFERROR(
(AVERAGE((IF(DATOS_[[Sexo]:[Sexo]]=$B28,IF(DATOS_[[AGRUP. CLAS. PROF.]:[AGRUP. CLAS. PROF.]]=$B27,IF(DATOS_[[Check Periodo Ref.]:[Check Periodo Ref.]]="Dentro",IF(DATOS_[[Check Equiparado]:[Check Equiparado]]="Sí",IF(DATOS!AL$5="Sí",(1/DATOS_[[% anualiz]:[% anualiz]]),1)*IF(DATOS!AL$4="Sí",1/DATOS_[[% normaliz]:[% normaliz]],1)*(DATOS_[Conc.Sal.08])))))))),
0)</f>
        <v>0</v>
      </c>
      <c r="R28" s="101">
        <f t="array" ref="R28">IFERROR(
(AVERAGE((IF(DATOS_[[Sexo]:[Sexo]]=$B28,IF(DATOS_[[AGRUP. CLAS. PROF.]:[AGRUP. CLAS. PROF.]]=$B27,IF(DATOS_[[Check Periodo Ref.]:[Check Periodo Ref.]]="Dentro",IF(DATOS_[[Check Equiparado]:[Check Equiparado]]="Sí",IF(DATOS!AM$5="Sí",(1/DATOS_[[% anualiz]:[% anualiz]]),1)*IF(DATOS!AM$4="Sí",1/DATOS_[[% normaliz]:[% normaliz]],1)*(DATOS_[Conc.Sal.09])))))))),
0)</f>
        <v>0</v>
      </c>
      <c r="S28" s="101">
        <f t="array" ref="S28">IFERROR(
(AVERAGE((IF(DATOS_[[Sexo]:[Sexo]]=$B28,IF(DATOS_[[AGRUP. CLAS. PROF.]:[AGRUP. CLAS. PROF.]]=$B27,IF(DATOS_[[Check Periodo Ref.]:[Check Periodo Ref.]]="Dentro",IF(DATOS_[[Check Equiparado]:[Check Equiparado]]="Sí",IF(DATOS!AN$5="Sí",(1/DATOS_[[% anualiz]:[% anualiz]]),1)*IF(DATOS!AN$4="Sí",1/DATOS_[[% normaliz]:[% normaliz]],1)*(DATOS_[Conc.Sal.10])))))))),
0)</f>
        <v>0</v>
      </c>
      <c r="T28" s="101">
        <f t="array" ref="T28">IFERROR(
(AVERAGE((IF(DATOS_[[Sexo]:[Sexo]]=$B28,IF(DATOS_[[AGRUP. CLAS. PROF.]:[AGRUP. CLAS. PROF.]]=$B27,IF(DATOS_[[Check Periodo Ref.]:[Check Periodo Ref.]]="Dentro",IF(DATOS_[[Check Equiparado]:[Check Equiparado]]="Sí",IF(DATOS!AO$5="Sí",(1/DATOS_[[% anualiz]:[% anualiz]]),1)*IF(DATOS!AO$4="Sí",1/DATOS_[[% normaliz]:[% normaliz]],1)*(DATOS_[Conc.Sal.11])))))))),
0)</f>
        <v>0</v>
      </c>
      <c r="U28" s="101">
        <f t="array" ref="U28">IFERROR(
(AVERAGE((IF(DATOS_[[Sexo]:[Sexo]]=$B28,IF(DATOS_[[AGRUP. CLAS. PROF.]:[AGRUP. CLAS. PROF.]]=$B27,IF(DATOS_[[Check Periodo Ref.]:[Check Periodo Ref.]]="Dentro",IF(DATOS_[[Check Equiparado]:[Check Equiparado]]="Sí",IF(DATOS!AP$5="Sí",(1/DATOS_[[% anualiz]:[% anualiz]]),1)*IF(DATOS!AP$4="Sí",1/DATOS_[[% normaliz]:[% normaliz]],1)*(DATOS_[Conc.Sal.12])))))))),
0)</f>
        <v>0</v>
      </c>
      <c r="V28" s="101">
        <f t="array" ref="V28">IFERROR(
(AVERAGE((IF(DATOS_[[Sexo]:[Sexo]]=$B28,IF(DATOS_[[AGRUP. CLAS. PROF.]:[AGRUP. CLAS. PROF.]]=$B27,IF(DATOS_[[Check Periodo Ref.]:[Check Periodo Ref.]]="Dentro",IF(DATOS_[[Check Equiparado]:[Check Equiparado]]="Sí",IF(DATOS!AQ$5="Sí",(1/DATOS_[[% anualiz]:[% anualiz]]),1)*IF(DATOS!AQ$4="Sí",1/DATOS_[[% normaliz]:[% normaliz]],1)*(DATOS_[Conc.Sal.13])))))))),
0)</f>
        <v>0</v>
      </c>
      <c r="W28" s="101">
        <f t="array" ref="W28">IFERROR(
(AVERAGE((IF(DATOS_[[Sexo]:[Sexo]]=$B28,IF(DATOS_[[AGRUP. CLAS. PROF.]:[AGRUP. CLAS. PROF.]]=$B27,IF(DATOS_[[Check Periodo Ref.]:[Check Periodo Ref.]]="Dentro",IF(DATOS_[[Check Equiparado]:[Check Equiparado]]="Sí",IF(DATOS!AR$5="Sí",(1/DATOS_[[% anualiz]:[% anualiz]]),1)*IF(DATOS!AR$4="Sí",1/DATOS_[[% normaliz]:[% normaliz]],1)*(DATOS_[Conc.Sal.14])))))))),
0)</f>
        <v>0</v>
      </c>
      <c r="X28" s="101">
        <f t="array" ref="X28">IFERROR(
(AVERAGE((IF(DATOS_[[Sexo]:[Sexo]]=$B28,IF(DATOS_[[AGRUP. CLAS. PROF.]:[AGRUP. CLAS. PROF.]]=$B27,IF(DATOS_[[Check Periodo Ref.]:[Check Periodo Ref.]]="Dentro",IF(DATOS_[[Check Equiparado]:[Check Equiparado]]="Sí",IF(DATOS!AS$5="Sí",(1/DATOS_[[% anualiz]:[% anualiz]]),1)*IF(DATOS!AS$4="Sí",1/DATOS_[[% normaliz]:[% normaliz]],1)*(DATOS_[Conc.Sal.15])))))))),
0)</f>
        <v>0</v>
      </c>
      <c r="Y28" s="101">
        <f t="array" ref="Y28">IFERROR(
(AVERAGE((IF(DATOS_[[Sexo]:[Sexo]]=$B28,IF(DATOS_[[AGRUP. CLAS. PROF.]:[AGRUP. CLAS. PROF.]]=$B27,IF(DATOS_[[Check Periodo Ref.]:[Check Periodo Ref.]]="Dentro",IF(DATOS_[[Check Equiparado]:[Check Equiparado]]="Sí",IF(DATOS!AT$5="Sí",(1/DATOS_[[% anualiz]:[% anualiz]]),1)*IF(DATOS!AT$4="Sí",1/DATOS_[[% normaliz]:[% normaliz]],1)*(DATOS_[Conc.Sal.16])))))))),
0)</f>
        <v>0</v>
      </c>
      <c r="Z28" s="101">
        <f t="array" ref="Z28">IFERROR(
(AVERAGE((IF(DATOS_[[Sexo]:[Sexo]]=$B28,IF(DATOS_[[AGRUP. CLAS. PROF.]:[AGRUP. CLAS. PROF.]]=$B27,IF(DATOS_[[Check Periodo Ref.]:[Check Periodo Ref.]]="Dentro",IF(DATOS_[[Check Equiparado]:[Check Equiparado]]="Sí",IF(DATOS!AU$5="Sí",(1/DATOS_[[% anualiz]:[% anualiz]]),1)*IF(DATOS!AU$4="Sí",1/DATOS_[[% normaliz]:[% normaliz]],1)*(DATOS_[Conc.Sal.17])))))))),
0)</f>
        <v>0</v>
      </c>
      <c r="AA28" s="101">
        <f t="array" ref="AA28">IFERROR(
(AVERAGE((IF(DATOS_[[Sexo]:[Sexo]]=$B28,IF(DATOS_[[AGRUP. CLAS. PROF.]:[AGRUP. CLAS. PROF.]]=$B27,IF(DATOS_[[Check Periodo Ref.]:[Check Periodo Ref.]]="Dentro",IF(DATOS_[[Check Equiparado]:[Check Equiparado]]="Sí",IF(DATOS!AV$5="Sí",(1/DATOS_[[% anualiz]:[% anualiz]]),1)*IF(DATOS!AV$4="Sí",1/DATOS_[[% normaliz]:[% normaliz]],1)*(DATOS_[Conc.Sal.18])))))))),
0)</f>
        <v>0</v>
      </c>
      <c r="AB28" s="101">
        <f t="array" ref="AB28">IFERROR(
(AVERAGE((IF(DATOS_[[Sexo]:[Sexo]]=$B28,IF(DATOS_[[AGRUP. CLAS. PROF.]:[AGRUP. CLAS. PROF.]]=$B27,IF(DATOS_[[Check Periodo Ref.]:[Check Periodo Ref.]]="Dentro",IF(DATOS_[[Check Equiparado]:[Check Equiparado]]="Sí",IF(DATOS!AW$5="Sí",(1/DATOS_[[% anualiz]:[% anualiz]]),1)*IF(DATOS!AW$4="Sí",1/DATOS_[[% normaliz]:[% normaliz]],1)*(DATOS_[Conc.Sal.19])))))))),
0)</f>
        <v>0</v>
      </c>
      <c r="AC28" s="101">
        <f t="array" ref="AC28">IFERROR(
(AVERAGE((IF(DATOS_[[Sexo]:[Sexo]]=$B28,IF(DATOS_[[AGRUP. CLAS. PROF.]:[AGRUP. CLAS. PROF.]]=$B27,IF(DATOS_[[Check Periodo Ref.]:[Check Periodo Ref.]]="Dentro",IF(DATOS_[[Check Equiparado]:[Check Equiparado]]="Sí",IF(DATOS!AX$5="Sí",(1/DATOS_[[% anualiz]:[% anualiz]]),1)*IF(DATOS!AX$4="Sí",1/DATOS_[[% normaliz]:[% normaliz]],1)*(DATOS_[Conc.Sal.20])))))))),
0)</f>
        <v>0</v>
      </c>
      <c r="AD28" s="101">
        <f t="array" ref="AD28">IFERROR(
(AVERAGE((IF(DATOS_[[Sexo]:[Sexo]]=$B28,IF(DATOS_[[AGRUP. CLAS. PROF.]:[AGRUP. CLAS. PROF.]]=$B27,IF(DATOS_[[Check Periodo Ref.]:[Check Periodo Ref.]]="Dentro",IF(DATOS_[[Check Equiparado]:[Check Equiparado]]="Sí",IF(DATOS!AY$5="Sí",(1/DATOS_[[% anualiz]:[% anualiz]]),1)*IF(DATOS!AY$4="Sí",1/DATOS_[[% normaliz]:[% normaliz]],1)*(DATOS_[Conc.Sal.21])))))))),
0)</f>
        <v>0</v>
      </c>
      <c r="AE28" s="101">
        <f t="array" ref="AE28">IFERROR(
(AVERAGE((IF(DATOS_[[Sexo]:[Sexo]]=$B28,IF(DATOS_[[AGRUP. CLAS. PROF.]:[AGRUP. CLAS. PROF.]]=$B27,IF(DATOS_[[Check Periodo Ref.]:[Check Periodo Ref.]]="Dentro",IF(DATOS_[[Check Equiparado]:[Check Equiparado]]="Sí",IF(DATOS!AZ$5="Sí",(1/DATOS_[[% anualiz]:[% anualiz]]),1)*IF(DATOS!AZ$4="Sí",1/DATOS_[[% normaliz]:[% normaliz]],1)*(DATOS_[Conc.Sal.22])))))))),
0)</f>
        <v>0</v>
      </c>
      <c r="AF28" s="101">
        <f t="array" ref="AF28">IFERROR(
(AVERAGE((IF(DATOS_[[Sexo]:[Sexo]]=$B28,IF(DATOS_[[AGRUP. CLAS. PROF.]:[AGRUP. CLAS. PROF.]]=$B27,IF(DATOS_[[Check Periodo Ref.]:[Check Periodo Ref.]]="Dentro",IF(DATOS_[[Check Equiparado]:[Check Equiparado]]="Sí",IF(DATOS!BA$5="Sí",(1/DATOS_[[% anualiz]:[% anualiz]]),1)*IF(DATOS!BA$4="Sí",1/DATOS_[[% normaliz]:[% normaliz]],1)*(DATOS_[Conc.Sal.23])))))))),
0)</f>
        <v>0</v>
      </c>
      <c r="AG28" s="101">
        <f t="array" ref="AG28">IFERROR(
(AVERAGE((IF(DATOS_[[Sexo]:[Sexo]]=$B28,IF(DATOS_[[AGRUP. CLAS. PROF.]:[AGRUP. CLAS. PROF.]]=$B27,IF(DATOS_[[Check Periodo Ref.]:[Check Periodo Ref.]]="Dentro",IF(DATOS_[[Check Equiparado]:[Check Equiparado]]="Sí",IF(DATOS!BB$5="Sí",(1/DATOS_[[% anualiz]:[% anualiz]]),1)*IF(DATOS!BB$4="Sí",1/DATOS_[[% normaliz]:[% normaliz]],1)*(DATOS_[Conc.Sal.24])))))))),
0)</f>
        <v>0</v>
      </c>
      <c r="AH28" s="101">
        <f t="array" ref="AH28">IFERROR(
(AVERAGE((IF(DATOS_[[Sexo]:[Sexo]]=$B28,IF(DATOS_[[AGRUP. CLAS. PROF.]:[AGRUP. CLAS. PROF.]]=$B27,IF(DATOS_[[Check Periodo Ref.]:[Check Periodo Ref.]]="Dentro",IF(DATOS_[[Check Equiparado]:[Check Equiparado]]="Sí",IF(DATOS!BC$5="Sí",(1/DATOS_[[% anualiz]:[% anualiz]]),1)*IF(DATOS!BC$4="Sí",1/DATOS_[[% normaliz]:[% normaliz]],1)*(DATOS_[Conc.Sal.25])))))))),
0)</f>
        <v>0</v>
      </c>
      <c r="AI28" s="101">
        <f t="array" ref="AI28">IFERROR(
(AVERAGE((IF(DATOS_[[Sexo]:[Sexo]]=$B28,IF(DATOS_[[AGRUP. CLAS. PROF.]:[AGRUP. CLAS. PROF.]]=$B27,IF(DATOS_[[Check Periodo Ref.]:[Check Periodo Ref.]]="Dentro",IF(DATOS_[[Check Equiparado]:[Check Equiparado]]="Sí",IF(DATOS!BD$5="Sí",(1/DATOS_[[% anualiz]:[% anualiz]]),1)*IF(DATOS!BD$4="Sí",1/DATOS_[[% normaliz]:[% normaliz]],1)*(DATOS_[Conc.Sal.26])))))))),
0)</f>
        <v>0</v>
      </c>
      <c r="AJ28" s="101">
        <f t="array" ref="AJ28">IFERROR(
(AVERAGE((IF(DATOS_[[Sexo]:[Sexo]]=$B28,IF(DATOS_[[AGRUP. CLAS. PROF.]:[AGRUP. CLAS. PROF.]]=$B27,IF(DATOS_[[Check Periodo Ref.]:[Check Periodo Ref.]]="Dentro",IF(DATOS_[[Check Equiparado]:[Check Equiparado]]="Sí",IF(DATOS!BE$5="Sí",(1/DATOS_[[% anualiz]:[% anualiz]]),1)*IF(DATOS!BE$4="Sí",1/DATOS_[[% normaliz]:[% normaliz]],1)*(DATOS_[Conc.Sal.27])))))))),
0)</f>
        <v>0</v>
      </c>
      <c r="AK28" s="101">
        <f t="array" ref="AK28">IFERROR(
(AVERAGE((IF(DATOS_[[Sexo]:[Sexo]]=$B28,IF(DATOS_[[AGRUP. CLAS. PROF.]:[AGRUP. CLAS. PROF.]]=$B27,IF(DATOS_[[Check Periodo Ref.]:[Check Periodo Ref.]]="Dentro",IF(DATOS_[[Check Equiparado]:[Check Equiparado]]="Sí",IF(DATOS!BF$5="Sí",(1/DATOS_[[% anualiz]:[% anualiz]]),1)*IF(DATOS!BF$4="Sí",1/DATOS_[[% normaliz]:[% normaliz]],1)*(DATOS_[Conc.Sal.28])))))))),
0)</f>
        <v>0</v>
      </c>
      <c r="AL28" s="101">
        <f t="array" ref="AL28">IFERROR(
(AVERAGE((IF(DATOS_[[Sexo]:[Sexo]]=$B28,IF(DATOS_[[AGRUP. CLAS. PROF.]:[AGRUP. CLAS. PROF.]]=$B27,IF(DATOS_[[Check Periodo Ref.]:[Check Periodo Ref.]]="Dentro",IF(DATOS_[[Check Equiparado]:[Check Equiparado]]="Sí",IF(DATOS!BG$5="Sí",(1/DATOS_[[% anualiz]:[% anualiz]]),1)*IF(DATOS!BG$4="Sí",1/DATOS_[[% normaliz]:[% normaliz]],1)*(DATOS_[Conc.Sal.29])))))))),
0)</f>
        <v>0</v>
      </c>
      <c r="AM28" s="101">
        <f t="array" ref="AM28">IFERROR(
(AVERAGE((IF(DATOS_[[Sexo]:[Sexo]]=$B28,IF(DATOS_[[AGRUP. CLAS. PROF.]:[AGRUP. CLAS. PROF.]]=$B27,IF(DATOS_[[Check Periodo Ref.]:[Check Periodo Ref.]]="Dentro",IF(DATOS_[[Check Equiparado]:[Check Equiparado]]="Sí",IF(DATOS!BH$5="Sí",(1/DATOS_[[% anualiz]:[% anualiz]]),1)*IF(DATOS!BH$4="Sí",1/DATOS_[[% normaliz]:[% normaliz]],1)*(DATOS_[Conc.Sal.30])))))))),
0)</f>
        <v>0</v>
      </c>
      <c r="AN28" s="102">
        <f t="array" ref="AN28">IFERROR(
AVERAGE(IF(DATOS_[Sexo]=$B28,IF(DATOS_[[AGRUP. CLAS. PROF.]:[AGRUP. CLAS. PROF.]]=$B27,IF(DATOS_[Check Equiparado]="Sí",IF(DATOS_[Check Periodo Ref.]="Dentro",DATOS_[Tot COMPL.SAL Eq],FALSE))))),
0)</f>
        <v>1070.6889692307693</v>
      </c>
      <c r="AO28" s="103">
        <f t="array" ref="AO28">IFERROR(
AVERAGE(IF(DATOS_[Sexo]=$B28,IF(DATOS_[[AGRUP. CLAS. PROF.]:[AGRUP. CLAS. PROF.]]=$B27,IF(DATOS_[Check Equiparado]="Sí",IF(DATOS_[Check Periodo Ref.]="Dentro",DATOS_[TOTAL SALARIO Eq],FALSE))))),
0)</f>
        <v>11833.227623076922</v>
      </c>
      <c r="AP28" s="104">
        <f t="array" ref="AP28">IFERROR(
(AVERAGE((IF(DATOS_[[Sexo]:[Sexo]]=$B28,IF(DATOS_[[AGRUP. CLAS. PROF.]:[AGRUP. CLAS. PROF.]]=$B27,IF(DATOS_[[Check Periodo Ref.]:[Check Periodo Ref.]]="Dentro",IF(DATOS_[[Check Equiparado]:[Check Equiparado]]="Sí",IF(DATOS!BI$5="Sí",(1/DATOS_[[% anualiz]:[% anualiz]]),1)*IF(DATOS!BI$4="Sí",1/DATOS_[[% normaliz]:[% normaliz]],1)*(DATOS_[C.Extra.01])))))))),
0)</f>
        <v>0</v>
      </c>
      <c r="AQ28" s="104">
        <f t="array" ref="AQ28">IFERROR(
(AVERAGE((IF(DATOS_[[Sexo]:[Sexo]]=$B28,IF(DATOS_[[AGRUP. CLAS. PROF.]:[AGRUP. CLAS. PROF.]]=$B27,IF(DATOS_[[Check Periodo Ref.]:[Check Periodo Ref.]]="Dentro",IF(DATOS_[[Check Equiparado]:[Check Equiparado]]="Sí",IF(DATOS!BJ$5="Sí",(1/DATOS_[[% anualiz]:[% anualiz]]),1)*IF(DATOS!BJ$4="Sí",1/DATOS_[[% normaliz]:[% normaliz]],1)*(DATOS_[C.Extra.02])))))))),
0)</f>
        <v>0</v>
      </c>
      <c r="AR28" s="104">
        <f t="array" ref="AR28">IFERROR(
(AVERAGE((IF(DATOS_[[Sexo]:[Sexo]]=$B28,IF(DATOS_[[AGRUP. CLAS. PROF.]:[AGRUP. CLAS. PROF.]]=$B27,IF(DATOS_[[Check Periodo Ref.]:[Check Periodo Ref.]]="Dentro",IF(DATOS_[[Check Equiparado]:[Check Equiparado]]="Sí",IF(DATOS!BK$5="Sí",(1/DATOS_[[% anualiz]:[% anualiz]]),1)*IF(DATOS!BK$4="Sí",1/DATOS_[[% normaliz]:[% normaliz]],1)*(DATOS_[C.Extra.03])))))))),
0)</f>
        <v>207.69230769230768</v>
      </c>
      <c r="AS28" s="104">
        <f t="array" ref="AS28">IFERROR(
(AVERAGE((IF(DATOS_[[Sexo]:[Sexo]]=$B28,IF(DATOS_[[AGRUP. CLAS. PROF.]:[AGRUP. CLAS. PROF.]]=$B27,IF(DATOS_[[Check Periodo Ref.]:[Check Periodo Ref.]]="Dentro",IF(DATOS_[[Check Equiparado]:[Check Equiparado]]="Sí",IF(DATOS!BL$5="Sí",(1/DATOS_[[% anualiz]:[% anualiz]]),1)*IF(DATOS!BL$4="Sí",1/DATOS_[[% normaliz]:[% normaliz]],1)*(DATOS_[C.Extra.04])))))))),
0)</f>
        <v>0</v>
      </c>
      <c r="AT28" s="104">
        <f t="array" ref="AT28">IFERROR(
(AVERAGE((IF(DATOS_[[Sexo]:[Sexo]]=$B28,IF(DATOS_[[AGRUP. CLAS. PROF.]:[AGRUP. CLAS. PROF.]]=$B27,IF(DATOS_[[Check Periodo Ref.]:[Check Periodo Ref.]]="Dentro",IF(DATOS_[[Check Equiparado]:[Check Equiparado]]="Sí",IF(DATOS!BM$5="Sí",(1/DATOS_[[% anualiz]:[% anualiz]]),1)*IF(DATOS!BM$4="Sí",1/DATOS_[[% normaliz]:[% normaliz]],1)*(DATOS_[C.Extra.05])))))))),
0)</f>
        <v>0</v>
      </c>
      <c r="AU28" s="105">
        <f t="array" ref="AU28">IFERROR(
AVERAGE(IF(DATOS_[Sexo]=$B28,IF(DATOS_[[AGRUP. CLAS. PROF.]:[AGRUP. CLAS. PROF.]]=$B27,IF(DATOS_[Check Equiparado]="Sí",IF(DATOS_[Check Periodo Ref.]="Dentro",DATOS_[Tot Extrasalarial Eq],FALSE))))),
0)</f>
        <v>207.69230769230768</v>
      </c>
      <c r="AV28" s="106">
        <f t="array" ref="AV28">IFERROR(
AVERAGE(IF(DATOS_[Sexo]=$B28,IF(DATOS_[[AGRUP. CLAS. PROF.]:[AGRUP. CLAS. PROF.]]=$B27,IF(DATOS_[Check Equiparado]="Sí",IF(DATOS_[Check Periodo Ref.]="Dentro",DATOS_[TOTAL Retrib Eq],FALSE))))),
0)</f>
        <v>12040.919930769229</v>
      </c>
    </row>
    <row r="29" spans="1:48" x14ac:dyDescent="0.3">
      <c r="A29" s="53" t="str">
        <f t="shared" ref="A29" si="22">+A28</f>
        <v/>
      </c>
      <c r="B29" s="57" t="s">
        <v>163</v>
      </c>
      <c r="C29" s="56">
        <f t="array" ref="C29">SUM(IF($B29=DATOS_[Sexo],
IF($B27=DATOS_[AGRUP. CLAS. PROF.],
IF("Dentro"=DATOS_[Check Periodo Ref.],
1/(COUNTIFS(DATOS_[Sexo],$B29,DATOS_[AGRUP. CLAS. PROF.],$B27,DATOS_[Check Periodo Ref.],"Dentro",DATOS_[id],DATOS_[id]))))))</f>
        <v>49</v>
      </c>
      <c r="D29" s="58">
        <f>COUNTIFS(DATOS_[AGRUP. CLAS. PROF.],$B27,DATOS_[Sexo],$B29,DATOS_[Check Periodo Ref.],"Dentro")</f>
        <v>55</v>
      </c>
      <c r="E29" s="58">
        <f>COUNTIFS(DATOS_[AGRUP. CLAS. PROF.],$B27,DATOS_[Sexo],$B29,DATOS_[Check Periodo Ref.],"Dentro",DATOS_[Check Nº SC Norm],"Sí")</f>
        <v>12</v>
      </c>
      <c r="F29" s="58">
        <f>COUNTIFS(DATOS_[AGRUP. CLAS. PROF.],$B27,DATOS_[Sexo],$B29,DATOS_[Check Periodo Ref.],"Dentro",DATOS_[Check Nº SC Anualiz],"Sí")</f>
        <v>6</v>
      </c>
      <c r="G29" s="58">
        <f>COUNTIFS(DATOS_[AGRUP. CLAS. PROF.],$B27,DATOS_[Sexo],$B29,DATOS_[Check Periodo Ref.],"Dentro",DATOS_[Check Nº SC Norm y Anualiz],"Sí")</f>
        <v>0</v>
      </c>
      <c r="H29" s="58">
        <f>COUNTIFS(DATOS_[AGRUP. CLAS. PROF.],$B27,DATOS_[Sexo],$B29,DATOS_[Check Periodo Ref.],"Dentro",DATOS_[Check Equiparación],"Sí")</f>
        <v>18</v>
      </c>
      <c r="I29" s="100" cm="1">
        <f t="array" ref="I29">IFERROR(
AVERAGE(IF(DATOS_[Sexo]=$B29,IF(DATOS_[[AGRUP. CLAS. PROF.]:[AGRUP. CLAS. PROF.]]=$B27,IF(DATOS_[Check Equiparado]="Sí",IF(DATOS_[Check Periodo Ref.]="Dentro",DATOS_[SALARIO BASE Eq],FALSE))))),
0)</f>
        <v>11289.683163265308</v>
      </c>
      <c r="J29" s="101">
        <f t="array" ref="J29">IFERROR(
(AVERAGE((IF(DATOS_[[Sexo]:[Sexo]]=$B29,IF(DATOS_[[AGRUP. CLAS. PROF.]:[AGRUP. CLAS. PROF.]]=$B27,IF(DATOS_[[Check Periodo Ref.]:[Check Periodo Ref.]]="Dentro",IF(DATOS_[[Check Equiparado]:[Check Equiparado]]="Sí",IF(DATOS!AE$5="Sí",(1/DATOS_[[% anualiz]:[% anualiz]]),1)*IF(DATOS!AE$4="Sí",1/DATOS_[[% normaliz]:[% normaliz]],1)*(DATOS_[Conc.Sal.01])))))))),
0)</f>
        <v>74.235204081632816</v>
      </c>
      <c r="K29" s="101">
        <f t="array" ref="K29">IFERROR(
(AVERAGE((IF(DATOS_[[Sexo]:[Sexo]]=$B29,IF(DATOS_[[AGRUP. CLAS. PROF.]:[AGRUP. CLAS. PROF.]]=$B27,IF(DATOS_[[Check Periodo Ref.]:[Check Periodo Ref.]]="Dentro",IF(DATOS_[[Check Equiparado]:[Check Equiparado]]="Sí",IF(DATOS!AF$5="Sí",(1/DATOS_[[% anualiz]:[% anualiz]]),1)*IF(DATOS!AF$4="Sí",1/DATOS_[[% normaliz]:[% normaliz]],1)*(DATOS_[Conc.Sal.02])))))))),
0)</f>
        <v>152.87225714285711</v>
      </c>
      <c r="L29" s="101">
        <f t="array" ref="L29">IFERROR(
(AVERAGE((IF(DATOS_[[Sexo]:[Sexo]]=$B29,IF(DATOS_[[AGRUP. CLAS. PROF.]:[AGRUP. CLAS. PROF.]]=$B27,IF(DATOS_[[Check Periodo Ref.]:[Check Periodo Ref.]]="Dentro",IF(DATOS_[[Check Equiparado]:[Check Equiparado]]="Sí",IF(DATOS!AG$5="Sí",(1/DATOS_[[% anualiz]:[% anualiz]]),1)*IF(DATOS!AG$4="Sí",1/DATOS_[[% normaliz]:[% normaliz]],1)*(DATOS_[Conc.Sal.03])))))))),
0)</f>
        <v>839.18367346938771</v>
      </c>
      <c r="M29" s="101">
        <f t="array" ref="M29">IFERROR(
(AVERAGE((IF(DATOS_[[Sexo]:[Sexo]]=$B29,IF(DATOS_[[AGRUP. CLAS. PROF.]:[AGRUP. CLAS. PROF.]]=$B27,IF(DATOS_[[Check Periodo Ref.]:[Check Periodo Ref.]]="Dentro",IF(DATOS_[[Check Equiparado]:[Check Equiparado]]="Sí",IF(DATOS!AH$5="Sí",(1/DATOS_[[% anualiz]:[% anualiz]]),1)*IF(DATOS!AH$4="Sí",1/DATOS_[[% normaliz]:[% normaliz]],1)*(DATOS_[Conc.Sal.04])))))))),
0)</f>
        <v>0</v>
      </c>
      <c r="N29" s="101">
        <f t="array" ref="N29">IFERROR(
(AVERAGE((IF(DATOS_[[Sexo]:[Sexo]]=$B29,IF(DATOS_[[AGRUP. CLAS. PROF.]:[AGRUP. CLAS. PROF.]]=$B27,IF(DATOS_[[Check Periodo Ref.]:[Check Periodo Ref.]]="Dentro",IF(DATOS_[[Check Equiparado]:[Check Equiparado]]="Sí",IF(DATOS!AI$5="Sí",(1/DATOS_[[% anualiz]:[% anualiz]]),1)*IF(DATOS!AI$4="Sí",1/DATOS_[[% normaliz]:[% normaliz]],1)*(DATOS_[Conc.Sal.05])))))))),
0)</f>
        <v>0</v>
      </c>
      <c r="O29" s="101">
        <f t="array" ref="O29">IFERROR(
(AVERAGE((IF(DATOS_[[Sexo]:[Sexo]]=$B29,IF(DATOS_[[AGRUP. CLAS. PROF.]:[AGRUP. CLAS. PROF.]]=$B27,IF(DATOS_[[Check Periodo Ref.]:[Check Periodo Ref.]]="Dentro",IF(DATOS_[[Check Equiparado]:[Check Equiparado]]="Sí",IF(DATOS!AJ$5="Sí",(1/DATOS_[[% anualiz]:[% anualiz]]),1)*IF(DATOS!AJ$4="Sí",1/DATOS_[[% normaliz]:[% normaliz]],1)*(DATOS_[Conc.Sal.06])))))))),
0)</f>
        <v>0</v>
      </c>
      <c r="P29" s="101">
        <f t="array" ref="P29">IFERROR(
(AVERAGE((IF(DATOS_[[Sexo]:[Sexo]]=$B29,IF(DATOS_[[AGRUP. CLAS. PROF.]:[AGRUP. CLAS. PROF.]]=$B27,IF(DATOS_[[Check Periodo Ref.]:[Check Periodo Ref.]]="Dentro",IF(DATOS_[[Check Equiparado]:[Check Equiparado]]="Sí",IF(DATOS!AK$5="Sí",(1/DATOS_[[% anualiz]:[% anualiz]]),1)*IF(DATOS!AK$4="Sí",1/DATOS_[[% normaliz]:[% normaliz]],1)*(DATOS_[Conc.Sal.07])))))))),
0)</f>
        <v>73.469387755102048</v>
      </c>
      <c r="Q29" s="101">
        <f t="array" ref="Q29">IFERROR(
(AVERAGE((IF(DATOS_[[Sexo]:[Sexo]]=$B29,IF(DATOS_[[AGRUP. CLAS. PROF.]:[AGRUP. CLAS. PROF.]]=$B27,IF(DATOS_[[Check Periodo Ref.]:[Check Periodo Ref.]]="Dentro",IF(DATOS_[[Check Equiparado]:[Check Equiparado]]="Sí",IF(DATOS!AL$5="Sí",(1/DATOS_[[% anualiz]:[% anualiz]]),1)*IF(DATOS!AL$4="Sí",1/DATOS_[[% normaliz]:[% normaliz]],1)*(DATOS_[Conc.Sal.08])))))))),
0)</f>
        <v>0</v>
      </c>
      <c r="R29" s="101">
        <f t="array" ref="R29">IFERROR(
(AVERAGE((IF(DATOS_[[Sexo]:[Sexo]]=$B29,IF(DATOS_[[AGRUP. CLAS. PROF.]:[AGRUP. CLAS. PROF.]]=$B27,IF(DATOS_[[Check Periodo Ref.]:[Check Periodo Ref.]]="Dentro",IF(DATOS_[[Check Equiparado]:[Check Equiparado]]="Sí",IF(DATOS!AM$5="Sí",(1/DATOS_[[% anualiz]:[% anualiz]]),1)*IF(DATOS!AM$4="Sí",1/DATOS_[[% normaliz]:[% normaliz]],1)*(DATOS_[Conc.Sal.09])))))))),
0)</f>
        <v>0</v>
      </c>
      <c r="S29" s="101">
        <f t="array" ref="S29">IFERROR(
(AVERAGE((IF(DATOS_[[Sexo]:[Sexo]]=$B29,IF(DATOS_[[AGRUP. CLAS. PROF.]:[AGRUP. CLAS. PROF.]]=$B27,IF(DATOS_[[Check Periodo Ref.]:[Check Periodo Ref.]]="Dentro",IF(DATOS_[[Check Equiparado]:[Check Equiparado]]="Sí",IF(DATOS!AN$5="Sí",(1/DATOS_[[% anualiz]:[% anualiz]]),1)*IF(DATOS!AN$4="Sí",1/DATOS_[[% normaliz]:[% normaliz]],1)*(DATOS_[Conc.Sal.10])))))))),
0)</f>
        <v>0</v>
      </c>
      <c r="T29" s="101">
        <f t="array" ref="T29">IFERROR(
(AVERAGE((IF(DATOS_[[Sexo]:[Sexo]]=$B29,IF(DATOS_[[AGRUP. CLAS. PROF.]:[AGRUP. CLAS. PROF.]]=$B27,IF(DATOS_[[Check Periodo Ref.]:[Check Periodo Ref.]]="Dentro",IF(DATOS_[[Check Equiparado]:[Check Equiparado]]="Sí",IF(DATOS!AO$5="Sí",(1/DATOS_[[% anualiz]:[% anualiz]]),1)*IF(DATOS!AO$4="Sí",1/DATOS_[[% normaliz]:[% normaliz]],1)*(DATOS_[Conc.Sal.11])))))))),
0)</f>
        <v>0</v>
      </c>
      <c r="U29" s="101">
        <f t="array" ref="U29">IFERROR(
(AVERAGE((IF(DATOS_[[Sexo]:[Sexo]]=$B29,IF(DATOS_[[AGRUP. CLAS. PROF.]:[AGRUP. CLAS. PROF.]]=$B27,IF(DATOS_[[Check Periodo Ref.]:[Check Periodo Ref.]]="Dentro",IF(DATOS_[[Check Equiparado]:[Check Equiparado]]="Sí",IF(DATOS!AP$5="Sí",(1/DATOS_[[% anualiz]:[% anualiz]]),1)*IF(DATOS!AP$4="Sí",1/DATOS_[[% normaliz]:[% normaliz]],1)*(DATOS_[Conc.Sal.12])))))))),
0)</f>
        <v>0</v>
      </c>
      <c r="V29" s="101">
        <f t="array" ref="V29">IFERROR(
(AVERAGE((IF(DATOS_[[Sexo]:[Sexo]]=$B29,IF(DATOS_[[AGRUP. CLAS. PROF.]:[AGRUP. CLAS. PROF.]]=$B27,IF(DATOS_[[Check Periodo Ref.]:[Check Periodo Ref.]]="Dentro",IF(DATOS_[[Check Equiparado]:[Check Equiparado]]="Sí",IF(DATOS!AQ$5="Sí",(1/DATOS_[[% anualiz]:[% anualiz]]),1)*IF(DATOS!AQ$4="Sí",1/DATOS_[[% normaliz]:[% normaliz]],1)*(DATOS_[Conc.Sal.13])))))))),
0)</f>
        <v>0</v>
      </c>
      <c r="W29" s="101">
        <f t="array" ref="W29">IFERROR(
(AVERAGE((IF(DATOS_[[Sexo]:[Sexo]]=$B29,IF(DATOS_[[AGRUP. CLAS. PROF.]:[AGRUP. CLAS. PROF.]]=$B27,IF(DATOS_[[Check Periodo Ref.]:[Check Periodo Ref.]]="Dentro",IF(DATOS_[[Check Equiparado]:[Check Equiparado]]="Sí",IF(DATOS!AR$5="Sí",(1/DATOS_[[% anualiz]:[% anualiz]]),1)*IF(DATOS!AR$4="Sí",1/DATOS_[[% normaliz]:[% normaliz]],1)*(DATOS_[Conc.Sal.14])))))))),
0)</f>
        <v>0</v>
      </c>
      <c r="X29" s="101">
        <f t="array" ref="X29">IFERROR(
(AVERAGE((IF(DATOS_[[Sexo]:[Sexo]]=$B29,IF(DATOS_[[AGRUP. CLAS. PROF.]:[AGRUP. CLAS. PROF.]]=$B27,IF(DATOS_[[Check Periodo Ref.]:[Check Periodo Ref.]]="Dentro",IF(DATOS_[[Check Equiparado]:[Check Equiparado]]="Sí",IF(DATOS!AS$5="Sí",(1/DATOS_[[% anualiz]:[% anualiz]]),1)*IF(DATOS!AS$4="Sí",1/DATOS_[[% normaliz]:[% normaliz]],1)*(DATOS_[Conc.Sal.15])))))))),
0)</f>
        <v>0</v>
      </c>
      <c r="Y29" s="101">
        <f t="array" ref="Y29">IFERROR(
(AVERAGE((IF(DATOS_[[Sexo]:[Sexo]]=$B29,IF(DATOS_[[AGRUP. CLAS. PROF.]:[AGRUP. CLAS. PROF.]]=$B27,IF(DATOS_[[Check Periodo Ref.]:[Check Periodo Ref.]]="Dentro",IF(DATOS_[[Check Equiparado]:[Check Equiparado]]="Sí",IF(DATOS!AT$5="Sí",(1/DATOS_[[% anualiz]:[% anualiz]]),1)*IF(DATOS!AT$4="Sí",1/DATOS_[[% normaliz]:[% normaliz]],1)*(DATOS_[Conc.Sal.16])))))))),
0)</f>
        <v>0</v>
      </c>
      <c r="Z29" s="101">
        <f t="array" ref="Z29">IFERROR(
(AVERAGE((IF(DATOS_[[Sexo]:[Sexo]]=$B29,IF(DATOS_[[AGRUP. CLAS. PROF.]:[AGRUP. CLAS. PROF.]]=$B27,IF(DATOS_[[Check Periodo Ref.]:[Check Periodo Ref.]]="Dentro",IF(DATOS_[[Check Equiparado]:[Check Equiparado]]="Sí",IF(DATOS!AU$5="Sí",(1/DATOS_[[% anualiz]:[% anualiz]]),1)*IF(DATOS!AU$4="Sí",1/DATOS_[[% normaliz]:[% normaliz]],1)*(DATOS_[Conc.Sal.17])))))))),
0)</f>
        <v>0</v>
      </c>
      <c r="AA29" s="101">
        <f t="array" ref="AA29">IFERROR(
(AVERAGE((IF(DATOS_[[Sexo]:[Sexo]]=$B29,IF(DATOS_[[AGRUP. CLAS. PROF.]:[AGRUP. CLAS. PROF.]]=$B27,IF(DATOS_[[Check Periodo Ref.]:[Check Periodo Ref.]]="Dentro",IF(DATOS_[[Check Equiparado]:[Check Equiparado]]="Sí",IF(DATOS!AV$5="Sí",(1/DATOS_[[% anualiz]:[% anualiz]]),1)*IF(DATOS!AV$4="Sí",1/DATOS_[[% normaliz]:[% normaliz]],1)*(DATOS_[Conc.Sal.18])))))))),
0)</f>
        <v>0</v>
      </c>
      <c r="AB29" s="101">
        <f t="array" ref="AB29">IFERROR(
(AVERAGE((IF(DATOS_[[Sexo]:[Sexo]]=$B29,IF(DATOS_[[AGRUP. CLAS. PROF.]:[AGRUP. CLAS. PROF.]]=$B27,IF(DATOS_[[Check Periodo Ref.]:[Check Periodo Ref.]]="Dentro",IF(DATOS_[[Check Equiparado]:[Check Equiparado]]="Sí",IF(DATOS!AW$5="Sí",(1/DATOS_[[% anualiz]:[% anualiz]]),1)*IF(DATOS!AW$4="Sí",1/DATOS_[[% normaliz]:[% normaliz]],1)*(DATOS_[Conc.Sal.19])))))))),
0)</f>
        <v>0</v>
      </c>
      <c r="AC29" s="101">
        <f t="array" ref="AC29">IFERROR(
(AVERAGE((IF(DATOS_[[Sexo]:[Sexo]]=$B29,IF(DATOS_[[AGRUP. CLAS. PROF.]:[AGRUP. CLAS. PROF.]]=$B27,IF(DATOS_[[Check Periodo Ref.]:[Check Periodo Ref.]]="Dentro",IF(DATOS_[[Check Equiparado]:[Check Equiparado]]="Sí",IF(DATOS!AX$5="Sí",(1/DATOS_[[% anualiz]:[% anualiz]]),1)*IF(DATOS!AX$4="Sí",1/DATOS_[[% normaliz]:[% normaliz]],1)*(DATOS_[Conc.Sal.20])))))))),
0)</f>
        <v>0</v>
      </c>
      <c r="AD29" s="101">
        <f t="array" ref="AD29">IFERROR(
(AVERAGE((IF(DATOS_[[Sexo]:[Sexo]]=$B29,IF(DATOS_[[AGRUP. CLAS. PROF.]:[AGRUP. CLAS. PROF.]]=$B27,IF(DATOS_[[Check Periodo Ref.]:[Check Periodo Ref.]]="Dentro",IF(DATOS_[[Check Equiparado]:[Check Equiparado]]="Sí",IF(DATOS!AY$5="Sí",(1/DATOS_[[% anualiz]:[% anualiz]]),1)*IF(DATOS!AY$4="Sí",1/DATOS_[[% normaliz]:[% normaliz]],1)*(DATOS_[Conc.Sal.21])))))))),
0)</f>
        <v>0</v>
      </c>
      <c r="AE29" s="101">
        <f t="array" ref="AE29">IFERROR(
(AVERAGE((IF(DATOS_[[Sexo]:[Sexo]]=$B29,IF(DATOS_[[AGRUP. CLAS. PROF.]:[AGRUP. CLAS. PROF.]]=$B27,IF(DATOS_[[Check Periodo Ref.]:[Check Periodo Ref.]]="Dentro",IF(DATOS_[[Check Equiparado]:[Check Equiparado]]="Sí",IF(DATOS!AZ$5="Sí",(1/DATOS_[[% anualiz]:[% anualiz]]),1)*IF(DATOS!AZ$4="Sí",1/DATOS_[[% normaliz]:[% normaliz]],1)*(DATOS_[Conc.Sal.22])))))))),
0)</f>
        <v>0</v>
      </c>
      <c r="AF29" s="101">
        <f t="array" ref="AF29">IFERROR(
(AVERAGE((IF(DATOS_[[Sexo]:[Sexo]]=$B29,IF(DATOS_[[AGRUP. CLAS. PROF.]:[AGRUP. CLAS. PROF.]]=$B27,IF(DATOS_[[Check Periodo Ref.]:[Check Periodo Ref.]]="Dentro",IF(DATOS_[[Check Equiparado]:[Check Equiparado]]="Sí",IF(DATOS!BA$5="Sí",(1/DATOS_[[% anualiz]:[% anualiz]]),1)*IF(DATOS!BA$4="Sí",1/DATOS_[[% normaliz]:[% normaliz]],1)*(DATOS_[Conc.Sal.23])))))))),
0)</f>
        <v>0</v>
      </c>
      <c r="AG29" s="101">
        <f t="array" ref="AG29">IFERROR(
(AVERAGE((IF(DATOS_[[Sexo]:[Sexo]]=$B29,IF(DATOS_[[AGRUP. CLAS. PROF.]:[AGRUP. CLAS. PROF.]]=$B27,IF(DATOS_[[Check Periodo Ref.]:[Check Periodo Ref.]]="Dentro",IF(DATOS_[[Check Equiparado]:[Check Equiparado]]="Sí",IF(DATOS!BB$5="Sí",(1/DATOS_[[% anualiz]:[% anualiz]]),1)*IF(DATOS!BB$4="Sí",1/DATOS_[[% normaliz]:[% normaliz]],1)*(DATOS_[Conc.Sal.24])))))))),
0)</f>
        <v>0</v>
      </c>
      <c r="AH29" s="101">
        <f t="array" ref="AH29">IFERROR(
(AVERAGE((IF(DATOS_[[Sexo]:[Sexo]]=$B29,IF(DATOS_[[AGRUP. CLAS. PROF.]:[AGRUP. CLAS. PROF.]]=$B27,IF(DATOS_[[Check Periodo Ref.]:[Check Periodo Ref.]]="Dentro",IF(DATOS_[[Check Equiparado]:[Check Equiparado]]="Sí",IF(DATOS!BC$5="Sí",(1/DATOS_[[% anualiz]:[% anualiz]]),1)*IF(DATOS!BC$4="Sí",1/DATOS_[[% normaliz]:[% normaliz]],1)*(DATOS_[Conc.Sal.25])))))))),
0)</f>
        <v>0</v>
      </c>
      <c r="AI29" s="101">
        <f t="array" ref="AI29">IFERROR(
(AVERAGE((IF(DATOS_[[Sexo]:[Sexo]]=$B29,IF(DATOS_[[AGRUP. CLAS. PROF.]:[AGRUP. CLAS. PROF.]]=$B27,IF(DATOS_[[Check Periodo Ref.]:[Check Periodo Ref.]]="Dentro",IF(DATOS_[[Check Equiparado]:[Check Equiparado]]="Sí",IF(DATOS!BD$5="Sí",(1/DATOS_[[% anualiz]:[% anualiz]]),1)*IF(DATOS!BD$4="Sí",1/DATOS_[[% normaliz]:[% normaliz]],1)*(DATOS_[Conc.Sal.26])))))))),
0)</f>
        <v>0</v>
      </c>
      <c r="AJ29" s="101">
        <f t="array" ref="AJ29">IFERROR(
(AVERAGE((IF(DATOS_[[Sexo]:[Sexo]]=$B29,IF(DATOS_[[AGRUP. CLAS. PROF.]:[AGRUP. CLAS. PROF.]]=$B27,IF(DATOS_[[Check Periodo Ref.]:[Check Periodo Ref.]]="Dentro",IF(DATOS_[[Check Equiparado]:[Check Equiparado]]="Sí",IF(DATOS!BE$5="Sí",(1/DATOS_[[% anualiz]:[% anualiz]]),1)*IF(DATOS!BE$4="Sí",1/DATOS_[[% normaliz]:[% normaliz]],1)*(DATOS_[Conc.Sal.27])))))))),
0)</f>
        <v>0</v>
      </c>
      <c r="AK29" s="101">
        <f t="array" ref="AK29">IFERROR(
(AVERAGE((IF(DATOS_[[Sexo]:[Sexo]]=$B29,IF(DATOS_[[AGRUP. CLAS. PROF.]:[AGRUP. CLAS. PROF.]]=$B27,IF(DATOS_[[Check Periodo Ref.]:[Check Periodo Ref.]]="Dentro",IF(DATOS_[[Check Equiparado]:[Check Equiparado]]="Sí",IF(DATOS!BF$5="Sí",(1/DATOS_[[% anualiz]:[% anualiz]]),1)*IF(DATOS!BF$4="Sí",1/DATOS_[[% normaliz]:[% normaliz]],1)*(DATOS_[Conc.Sal.28])))))))),
0)</f>
        <v>0</v>
      </c>
      <c r="AL29" s="101">
        <f t="array" ref="AL29">IFERROR(
(AVERAGE((IF(DATOS_[[Sexo]:[Sexo]]=$B29,IF(DATOS_[[AGRUP. CLAS. PROF.]:[AGRUP. CLAS. PROF.]]=$B27,IF(DATOS_[[Check Periodo Ref.]:[Check Periodo Ref.]]="Dentro",IF(DATOS_[[Check Equiparado]:[Check Equiparado]]="Sí",IF(DATOS!BG$5="Sí",(1/DATOS_[[% anualiz]:[% anualiz]]),1)*IF(DATOS!BG$4="Sí",1/DATOS_[[% normaliz]:[% normaliz]],1)*(DATOS_[Conc.Sal.29])))))))),
0)</f>
        <v>0</v>
      </c>
      <c r="AM29" s="101">
        <f t="array" ref="AM29">IFERROR(
(AVERAGE((IF(DATOS_[[Sexo]:[Sexo]]=$B29,IF(DATOS_[[AGRUP. CLAS. PROF.]:[AGRUP. CLAS. PROF.]]=$B27,IF(DATOS_[[Check Periodo Ref.]:[Check Periodo Ref.]]="Dentro",IF(DATOS_[[Check Equiparado]:[Check Equiparado]]="Sí",IF(DATOS!BH$5="Sí",(1/DATOS_[[% anualiz]:[% anualiz]]),1)*IF(DATOS!BH$4="Sí",1/DATOS_[[% normaliz]:[% normaliz]],1)*(DATOS_[Conc.Sal.30])))))))),
0)</f>
        <v>0</v>
      </c>
      <c r="AN29" s="102">
        <f t="array" ref="AN29">IFERROR(
AVERAGE(IF(DATOS_[Sexo]=$B29,IF(DATOS_[[AGRUP. CLAS. PROF.]:[AGRUP. CLAS. PROF.]]=$B27,IF(DATOS_[Check Equiparado]="Sí",IF(DATOS_[Check Periodo Ref.]="Dentro",DATOS_[Tot COMPL.SAL Eq],FALSE))))),
0)</f>
        <v>1139.7605224489798</v>
      </c>
      <c r="AO29" s="103">
        <f t="array" ref="AO29">IFERROR(
AVERAGE(IF(DATOS_[Sexo]=$B29,IF(DATOS_[[AGRUP. CLAS. PROF.]:[AGRUP. CLAS. PROF.]]=$B27,IF(DATOS_[Check Equiparado]="Sí",IF(DATOS_[Check Periodo Ref.]="Dentro",DATOS_[TOTAL SALARIO Eq],FALSE))))),
0)</f>
        <v>12429.443685714285</v>
      </c>
      <c r="AP29" s="104">
        <f t="array" ref="AP29">IFERROR(
(AVERAGE((IF(DATOS_[[Sexo]:[Sexo]]=$B29,IF(DATOS_[[AGRUP. CLAS. PROF.]:[AGRUP. CLAS. PROF.]]=$B27,IF(DATOS_[[Check Periodo Ref.]:[Check Periodo Ref.]]="Dentro",IF(DATOS_[[Check Equiparado]:[Check Equiparado]]="Sí",IF(DATOS!BI$5="Sí",(1/DATOS_[[% anualiz]:[% anualiz]]),1)*IF(DATOS!BI$4="Sí",1/DATOS_[[% normaliz]:[% normaliz]],1)*(DATOS_[C.Extra.01])))))))),
0)</f>
        <v>0</v>
      </c>
      <c r="AQ29" s="104">
        <f t="array" ref="AQ29">IFERROR(
(AVERAGE((IF(DATOS_[[Sexo]:[Sexo]]=$B29,IF(DATOS_[[AGRUP. CLAS. PROF.]:[AGRUP. CLAS. PROF.]]=$B27,IF(DATOS_[[Check Periodo Ref.]:[Check Periodo Ref.]]="Dentro",IF(DATOS_[[Check Equiparado]:[Check Equiparado]]="Sí",IF(DATOS!BJ$5="Sí",(1/DATOS_[[% anualiz]:[% anualiz]]),1)*IF(DATOS!BJ$4="Sí",1/DATOS_[[% normaliz]:[% normaliz]],1)*(DATOS_[C.Extra.02])))))))),
0)</f>
        <v>0</v>
      </c>
      <c r="AR29" s="104">
        <f t="array" ref="AR29">IFERROR(
(AVERAGE((IF(DATOS_[[Sexo]:[Sexo]]=$B29,IF(DATOS_[[AGRUP. CLAS. PROF.]:[AGRUP. CLAS. PROF.]]=$B27,IF(DATOS_[[Check Periodo Ref.]:[Check Periodo Ref.]]="Dentro",IF(DATOS_[[Check Equiparado]:[Check Equiparado]]="Sí",IF(DATOS!BK$5="Sí",(1/DATOS_[[% anualiz]:[% anualiz]]),1)*IF(DATOS!BK$4="Sí",1/DATOS_[[% normaliz]:[% normaliz]],1)*(DATOS_[C.Extra.03])))))))),
0)</f>
        <v>146.9387755102041</v>
      </c>
      <c r="AS29" s="104">
        <f t="array" ref="AS29">IFERROR(
(AVERAGE((IF(DATOS_[[Sexo]:[Sexo]]=$B29,IF(DATOS_[[AGRUP. CLAS. PROF.]:[AGRUP. CLAS. PROF.]]=$B27,IF(DATOS_[[Check Periodo Ref.]:[Check Periodo Ref.]]="Dentro",IF(DATOS_[[Check Equiparado]:[Check Equiparado]]="Sí",IF(DATOS!BL$5="Sí",(1/DATOS_[[% anualiz]:[% anualiz]]),1)*IF(DATOS!BL$4="Sí",1/DATOS_[[% normaliz]:[% normaliz]],1)*(DATOS_[C.Extra.04])))))))),
0)</f>
        <v>0</v>
      </c>
      <c r="AT29" s="104">
        <f t="array" ref="AT29">IFERROR(
(AVERAGE((IF(DATOS_[[Sexo]:[Sexo]]=$B29,IF(DATOS_[[AGRUP. CLAS. PROF.]:[AGRUP. CLAS. PROF.]]=$B27,IF(DATOS_[[Check Periodo Ref.]:[Check Periodo Ref.]]="Dentro",IF(DATOS_[[Check Equiparado]:[Check Equiparado]]="Sí",IF(DATOS!BM$5="Sí",(1/DATOS_[[% anualiz]:[% anualiz]]),1)*IF(DATOS!BM$4="Sí",1/DATOS_[[% normaliz]:[% normaliz]],1)*(DATOS_[C.Extra.05])))))))),
0)</f>
        <v>0</v>
      </c>
      <c r="AU29" s="105">
        <f t="array" ref="AU29">IFERROR(
AVERAGE(IF(DATOS_[Sexo]=$B29,IF(DATOS_[[AGRUP. CLAS. PROF.]:[AGRUP. CLAS. PROF.]]=$B27,IF(DATOS_[Check Equiparado]="Sí",IF(DATOS_[Check Periodo Ref.]="Dentro",DATOS_[Tot Extrasalarial Eq],FALSE))))),
0)</f>
        <v>146.9387755102041</v>
      </c>
      <c r="AV29" s="106">
        <f t="array" ref="AV29">IFERROR(
AVERAGE(IF(DATOS_[Sexo]=$B29,IF(DATOS_[[AGRUP. CLAS. PROF.]:[AGRUP. CLAS. PROF.]]=$B27,IF(DATOS_[Check Equiparado]="Sí",IF(DATOS_[Check Periodo Ref.]="Dentro",DATOS_[TOTAL Retrib Eq],FALSE))))),
0)</f>
        <v>12576.382461224488</v>
      </c>
    </row>
    <row r="30" spans="1:48" ht="17.25" hidden="1" thickBot="1" x14ac:dyDescent="0.35">
      <c r="A30" s="53" t="str">
        <f t="shared" ref="A30" si="23">+A31</f>
        <v>[ocultar]</v>
      </c>
      <c r="B30" s="62" t="s">
        <v>312</v>
      </c>
      <c r="C30" s="99"/>
      <c r="D30" s="63"/>
      <c r="E30" s="63"/>
      <c r="F30" s="63"/>
      <c r="G30" s="63"/>
      <c r="H30" s="63"/>
      <c r="I30" s="129" t="str">
        <f t="shared" ref="I30:AV30" si="24">IFERROR((I31-I32)/I31,"")</f>
        <v/>
      </c>
      <c r="J30" s="130" t="str">
        <f t="shared" si="24"/>
        <v/>
      </c>
      <c r="K30" s="131" t="str">
        <f t="shared" si="24"/>
        <v/>
      </c>
      <c r="L30" s="131" t="str">
        <f t="shared" si="24"/>
        <v/>
      </c>
      <c r="M30" s="131" t="str">
        <f t="shared" si="24"/>
        <v/>
      </c>
      <c r="N30" s="132" t="str">
        <f t="shared" si="24"/>
        <v/>
      </c>
      <c r="O30" s="133" t="str">
        <f t="shared" si="24"/>
        <v/>
      </c>
      <c r="P30" s="133" t="str">
        <f t="shared" si="24"/>
        <v/>
      </c>
      <c r="Q30" s="133" t="str">
        <f t="shared" si="24"/>
        <v/>
      </c>
      <c r="R30" s="133" t="str">
        <f t="shared" si="24"/>
        <v/>
      </c>
      <c r="S30" s="133" t="str">
        <f t="shared" si="24"/>
        <v/>
      </c>
      <c r="T30" s="133" t="str">
        <f t="shared" si="24"/>
        <v/>
      </c>
      <c r="U30" s="133" t="str">
        <f t="shared" si="24"/>
        <v/>
      </c>
      <c r="V30" s="133" t="str">
        <f t="shared" si="24"/>
        <v/>
      </c>
      <c r="W30" s="133" t="str">
        <f t="shared" si="24"/>
        <v/>
      </c>
      <c r="X30" s="133" t="str">
        <f t="shared" si="24"/>
        <v/>
      </c>
      <c r="Y30" s="133" t="str">
        <f t="shared" si="24"/>
        <v/>
      </c>
      <c r="Z30" s="132" t="str">
        <f t="shared" si="24"/>
        <v/>
      </c>
      <c r="AA30" s="132" t="str">
        <f t="shared" si="24"/>
        <v/>
      </c>
      <c r="AB30" s="132" t="str">
        <f t="shared" si="24"/>
        <v/>
      </c>
      <c r="AC30" s="132" t="str">
        <f t="shared" si="24"/>
        <v/>
      </c>
      <c r="AD30" s="132" t="str">
        <f t="shared" si="24"/>
        <v/>
      </c>
      <c r="AE30" s="132" t="str">
        <f t="shared" si="24"/>
        <v/>
      </c>
      <c r="AF30" s="132" t="str">
        <f t="shared" si="24"/>
        <v/>
      </c>
      <c r="AG30" s="132" t="str">
        <f t="shared" si="24"/>
        <v/>
      </c>
      <c r="AH30" s="132" t="str">
        <f t="shared" si="24"/>
        <v/>
      </c>
      <c r="AI30" s="132" t="str">
        <f t="shared" si="24"/>
        <v/>
      </c>
      <c r="AJ30" s="132" t="str">
        <f t="shared" si="24"/>
        <v/>
      </c>
      <c r="AK30" s="132" t="str">
        <f t="shared" si="24"/>
        <v/>
      </c>
      <c r="AL30" s="132" t="str">
        <f t="shared" si="24"/>
        <v/>
      </c>
      <c r="AM30" s="132" t="str">
        <f t="shared" si="24"/>
        <v/>
      </c>
      <c r="AN30" s="134" t="str">
        <f t="shared" si="24"/>
        <v/>
      </c>
      <c r="AO30" s="138" t="str">
        <f t="shared" si="24"/>
        <v/>
      </c>
      <c r="AP30" s="135" t="str">
        <f t="shared" si="24"/>
        <v/>
      </c>
      <c r="AQ30" s="135" t="str">
        <f t="shared" si="24"/>
        <v/>
      </c>
      <c r="AR30" s="135" t="str">
        <f t="shared" si="24"/>
        <v/>
      </c>
      <c r="AS30" s="135" t="str">
        <f t="shared" si="24"/>
        <v/>
      </c>
      <c r="AT30" s="135" t="str">
        <f t="shared" si="24"/>
        <v/>
      </c>
      <c r="AU30" s="136" t="str">
        <f t="shared" si="24"/>
        <v/>
      </c>
      <c r="AV30" s="137" t="str">
        <f t="shared" si="24"/>
        <v/>
      </c>
    </row>
    <row r="31" spans="1:48" hidden="1" x14ac:dyDescent="0.3">
      <c r="A31" s="53" t="str">
        <f t="shared" ref="A31" si="25">+IF(C31+C32=0,"[ocultar]","")</f>
        <v>[ocultar]</v>
      </c>
      <c r="B31" s="57" t="s">
        <v>162</v>
      </c>
      <c r="C31" s="56">
        <f t="array" ref="C31">SUM(IF($B31=DATOS_[Sexo],
IF($B30=DATOS_[AGRUP. CLAS. PROF.],
IF("Dentro"=DATOS_[Check Periodo Ref.],
1/(COUNTIFS(DATOS_[Sexo],$B31,DATOS_[AGRUP. CLAS. PROF.],$B30,DATOS_[Check Periodo Ref.],"Dentro",DATOS_[id],DATOS_[id]))))))</f>
        <v>0</v>
      </c>
      <c r="D31" s="58">
        <f>COUNTIFS(DATOS_[AGRUP. CLAS. PROF.],$B30,DATOS_[Sexo],$B31,DATOS_[Check Periodo Ref.],"Dentro")</f>
        <v>0</v>
      </c>
      <c r="E31" s="58">
        <f>COUNTIFS(DATOS_[AGRUP. CLAS. PROF.],$B30,DATOS_[Sexo],$B31,DATOS_[Check Periodo Ref.],"Dentro",DATOS_[Check Nº SC Norm],"Sí")</f>
        <v>0</v>
      </c>
      <c r="F31" s="58">
        <f>COUNTIFS(DATOS_[AGRUP. CLAS. PROF.],$B30,DATOS_[Sexo],$B31,DATOS_[Check Periodo Ref.],"Dentro",DATOS_[Check Nº SC Anualiz],"Sí")</f>
        <v>0</v>
      </c>
      <c r="G31" s="58">
        <f>COUNTIFS(DATOS_[AGRUP. CLAS. PROF.],$B30,DATOS_[Sexo],$B31,DATOS_[Check Periodo Ref.],"Dentro",DATOS_[Check Nº SC Norm y Anualiz],"Sí")</f>
        <v>0</v>
      </c>
      <c r="H31" s="58">
        <f>COUNTIFS(DATOS_[AGRUP. CLAS. PROF.],$B30,DATOS_[Sexo],$B31,DATOS_[Check Periodo Ref.],"Dentro",DATOS_[Check Equiparación],"Sí")</f>
        <v>0</v>
      </c>
      <c r="I31" s="100">
        <f t="array" ref="I31">IFERROR(
AVERAGE(IF(DATOS_[Sexo]=$B31,IF(DATOS_[[AGRUP. CLAS. PROF.]:[AGRUP. CLAS. PROF.]]=$B30,IF(DATOS_[Check Equiparado]="Sí",IF(DATOS_[Check Periodo Ref.]="Dentro",DATOS_[SALARIO BASE Eq],FALSE))))),
0)</f>
        <v>0</v>
      </c>
      <c r="J31" s="101">
        <f t="array" ref="J31">IFERROR(
(AVERAGE((IF(DATOS_[[Sexo]:[Sexo]]=$B31,IF(DATOS_[[AGRUP. CLAS. PROF.]:[AGRUP. CLAS. PROF.]]=$B30,IF(DATOS_[[Check Periodo Ref.]:[Check Periodo Ref.]]="Dentro",IF(DATOS_[[Check Equiparado]:[Check Equiparado]]="Sí",IF(DATOS!AE$5="Sí",(1/DATOS_[[% anualiz]:[% anualiz]]),1)*IF(DATOS!AE$4="Sí",1/DATOS_[[% normaliz]:[% normaliz]],1)*(DATOS_[Conc.Sal.01])))))))),
0)</f>
        <v>0</v>
      </c>
      <c r="K31" s="101">
        <f t="array" ref="K31">IFERROR(
(AVERAGE((IF(DATOS_[[Sexo]:[Sexo]]=$B31,IF(DATOS_[[AGRUP. CLAS. PROF.]:[AGRUP. CLAS. PROF.]]=$B30,IF(DATOS_[[Check Periodo Ref.]:[Check Periodo Ref.]]="Dentro",IF(DATOS_[[Check Equiparado]:[Check Equiparado]]="Sí",IF(DATOS!AF$5="Sí",(1/DATOS_[[% anualiz]:[% anualiz]]),1)*IF(DATOS!AF$4="Sí",1/DATOS_[[% normaliz]:[% normaliz]],1)*(DATOS_[Conc.Sal.02])))))))),
0)</f>
        <v>0</v>
      </c>
      <c r="L31" s="101">
        <f t="array" ref="L31">IFERROR(
(AVERAGE((IF(DATOS_[[Sexo]:[Sexo]]=$B31,IF(DATOS_[[AGRUP. CLAS. PROF.]:[AGRUP. CLAS. PROF.]]=$B30,IF(DATOS_[[Check Periodo Ref.]:[Check Periodo Ref.]]="Dentro",IF(DATOS_[[Check Equiparado]:[Check Equiparado]]="Sí",IF(DATOS!AG$5="Sí",(1/DATOS_[[% anualiz]:[% anualiz]]),1)*IF(DATOS!AG$4="Sí",1/DATOS_[[% normaliz]:[% normaliz]],1)*(DATOS_[Conc.Sal.03])))))))),
0)</f>
        <v>0</v>
      </c>
      <c r="M31" s="101">
        <f t="array" ref="M31">IFERROR(
(AVERAGE((IF(DATOS_[[Sexo]:[Sexo]]=$B31,IF(DATOS_[[AGRUP. CLAS. PROF.]:[AGRUP. CLAS. PROF.]]=$B30,IF(DATOS_[[Check Periodo Ref.]:[Check Periodo Ref.]]="Dentro",IF(DATOS_[[Check Equiparado]:[Check Equiparado]]="Sí",IF(DATOS!AH$5="Sí",(1/DATOS_[[% anualiz]:[% anualiz]]),1)*IF(DATOS!AH$4="Sí",1/DATOS_[[% normaliz]:[% normaliz]],1)*(DATOS_[Conc.Sal.04])))))))),
0)</f>
        <v>0</v>
      </c>
      <c r="N31" s="101">
        <f t="array" ref="N31">IFERROR(
(AVERAGE((IF(DATOS_[[Sexo]:[Sexo]]=$B31,IF(DATOS_[[AGRUP. CLAS. PROF.]:[AGRUP. CLAS. PROF.]]=$B30,IF(DATOS_[[Check Periodo Ref.]:[Check Periodo Ref.]]="Dentro",IF(DATOS_[[Check Equiparado]:[Check Equiparado]]="Sí",IF(DATOS!AI$5="Sí",(1/DATOS_[[% anualiz]:[% anualiz]]),1)*IF(DATOS!AI$4="Sí",1/DATOS_[[% normaliz]:[% normaliz]],1)*(DATOS_[Conc.Sal.05])))))))),
0)</f>
        <v>0</v>
      </c>
      <c r="O31" s="101">
        <f t="array" ref="O31">IFERROR(
(AVERAGE((IF(DATOS_[[Sexo]:[Sexo]]=$B31,IF(DATOS_[[AGRUP. CLAS. PROF.]:[AGRUP. CLAS. PROF.]]=$B30,IF(DATOS_[[Check Periodo Ref.]:[Check Periodo Ref.]]="Dentro",IF(DATOS_[[Check Equiparado]:[Check Equiparado]]="Sí",IF(DATOS!AJ$5="Sí",(1/DATOS_[[% anualiz]:[% anualiz]]),1)*IF(DATOS!AJ$4="Sí",1/DATOS_[[% normaliz]:[% normaliz]],1)*(DATOS_[Conc.Sal.06])))))))),
0)</f>
        <v>0</v>
      </c>
      <c r="P31" s="101">
        <f t="array" ref="P31">IFERROR(
(AVERAGE((IF(DATOS_[[Sexo]:[Sexo]]=$B31,IF(DATOS_[[AGRUP. CLAS. PROF.]:[AGRUP. CLAS. PROF.]]=$B30,IF(DATOS_[[Check Periodo Ref.]:[Check Periodo Ref.]]="Dentro",IF(DATOS_[[Check Equiparado]:[Check Equiparado]]="Sí",IF(DATOS!AK$5="Sí",(1/DATOS_[[% anualiz]:[% anualiz]]),1)*IF(DATOS!AK$4="Sí",1/DATOS_[[% normaliz]:[% normaliz]],1)*(DATOS_[Conc.Sal.07])))))))),
0)</f>
        <v>0</v>
      </c>
      <c r="Q31" s="101">
        <f t="array" ref="Q31">IFERROR(
(AVERAGE((IF(DATOS_[[Sexo]:[Sexo]]=$B31,IF(DATOS_[[AGRUP. CLAS. PROF.]:[AGRUP. CLAS. PROF.]]=$B30,IF(DATOS_[[Check Periodo Ref.]:[Check Periodo Ref.]]="Dentro",IF(DATOS_[[Check Equiparado]:[Check Equiparado]]="Sí",IF(DATOS!AL$5="Sí",(1/DATOS_[[% anualiz]:[% anualiz]]),1)*IF(DATOS!AL$4="Sí",1/DATOS_[[% normaliz]:[% normaliz]],1)*(DATOS_[Conc.Sal.08])))))))),
0)</f>
        <v>0</v>
      </c>
      <c r="R31" s="101">
        <f t="array" ref="R31">IFERROR(
(AVERAGE((IF(DATOS_[[Sexo]:[Sexo]]=$B31,IF(DATOS_[[AGRUP. CLAS. PROF.]:[AGRUP. CLAS. PROF.]]=$B30,IF(DATOS_[[Check Periodo Ref.]:[Check Periodo Ref.]]="Dentro",IF(DATOS_[[Check Equiparado]:[Check Equiparado]]="Sí",IF(DATOS!AM$5="Sí",(1/DATOS_[[% anualiz]:[% anualiz]]),1)*IF(DATOS!AM$4="Sí",1/DATOS_[[% normaliz]:[% normaliz]],1)*(DATOS_[Conc.Sal.09])))))))),
0)</f>
        <v>0</v>
      </c>
      <c r="S31" s="101">
        <f t="array" ref="S31">IFERROR(
(AVERAGE((IF(DATOS_[[Sexo]:[Sexo]]=$B31,IF(DATOS_[[AGRUP. CLAS. PROF.]:[AGRUP. CLAS. PROF.]]=$B30,IF(DATOS_[[Check Periodo Ref.]:[Check Periodo Ref.]]="Dentro",IF(DATOS_[[Check Equiparado]:[Check Equiparado]]="Sí",IF(DATOS!AN$5="Sí",(1/DATOS_[[% anualiz]:[% anualiz]]),1)*IF(DATOS!AN$4="Sí",1/DATOS_[[% normaliz]:[% normaliz]],1)*(DATOS_[Conc.Sal.10])))))))),
0)</f>
        <v>0</v>
      </c>
      <c r="T31" s="101">
        <f t="array" ref="T31">IFERROR(
(AVERAGE((IF(DATOS_[[Sexo]:[Sexo]]=$B31,IF(DATOS_[[AGRUP. CLAS. PROF.]:[AGRUP. CLAS. PROF.]]=$B30,IF(DATOS_[[Check Periodo Ref.]:[Check Periodo Ref.]]="Dentro",IF(DATOS_[[Check Equiparado]:[Check Equiparado]]="Sí",IF(DATOS!AO$5="Sí",(1/DATOS_[[% anualiz]:[% anualiz]]),1)*IF(DATOS!AO$4="Sí",1/DATOS_[[% normaliz]:[% normaliz]],1)*(DATOS_[Conc.Sal.11])))))))),
0)</f>
        <v>0</v>
      </c>
      <c r="U31" s="101">
        <f t="array" ref="U31">IFERROR(
(AVERAGE((IF(DATOS_[[Sexo]:[Sexo]]=$B31,IF(DATOS_[[AGRUP. CLAS. PROF.]:[AGRUP. CLAS. PROF.]]=$B30,IF(DATOS_[[Check Periodo Ref.]:[Check Periodo Ref.]]="Dentro",IF(DATOS_[[Check Equiparado]:[Check Equiparado]]="Sí",IF(DATOS!AP$5="Sí",(1/DATOS_[[% anualiz]:[% anualiz]]),1)*IF(DATOS!AP$4="Sí",1/DATOS_[[% normaliz]:[% normaliz]],1)*(DATOS_[Conc.Sal.12])))))))),
0)</f>
        <v>0</v>
      </c>
      <c r="V31" s="101">
        <f t="array" ref="V31">IFERROR(
(AVERAGE((IF(DATOS_[[Sexo]:[Sexo]]=$B31,IF(DATOS_[[AGRUP. CLAS. PROF.]:[AGRUP. CLAS. PROF.]]=$B30,IF(DATOS_[[Check Periodo Ref.]:[Check Periodo Ref.]]="Dentro",IF(DATOS_[[Check Equiparado]:[Check Equiparado]]="Sí",IF(DATOS!AQ$5="Sí",(1/DATOS_[[% anualiz]:[% anualiz]]),1)*IF(DATOS!AQ$4="Sí",1/DATOS_[[% normaliz]:[% normaliz]],1)*(DATOS_[Conc.Sal.13])))))))),
0)</f>
        <v>0</v>
      </c>
      <c r="W31" s="101">
        <f t="array" ref="W31">IFERROR(
(AVERAGE((IF(DATOS_[[Sexo]:[Sexo]]=$B31,IF(DATOS_[[AGRUP. CLAS. PROF.]:[AGRUP. CLAS. PROF.]]=$B30,IF(DATOS_[[Check Periodo Ref.]:[Check Periodo Ref.]]="Dentro",IF(DATOS_[[Check Equiparado]:[Check Equiparado]]="Sí",IF(DATOS!AR$5="Sí",(1/DATOS_[[% anualiz]:[% anualiz]]),1)*IF(DATOS!AR$4="Sí",1/DATOS_[[% normaliz]:[% normaliz]],1)*(DATOS_[Conc.Sal.14])))))))),
0)</f>
        <v>0</v>
      </c>
      <c r="X31" s="101">
        <f t="array" ref="X31">IFERROR(
(AVERAGE((IF(DATOS_[[Sexo]:[Sexo]]=$B31,IF(DATOS_[[AGRUP. CLAS. PROF.]:[AGRUP. CLAS. PROF.]]=$B30,IF(DATOS_[[Check Periodo Ref.]:[Check Periodo Ref.]]="Dentro",IF(DATOS_[[Check Equiparado]:[Check Equiparado]]="Sí",IF(DATOS!AS$5="Sí",(1/DATOS_[[% anualiz]:[% anualiz]]),1)*IF(DATOS!AS$4="Sí",1/DATOS_[[% normaliz]:[% normaliz]],1)*(DATOS_[Conc.Sal.15])))))))),
0)</f>
        <v>0</v>
      </c>
      <c r="Y31" s="101">
        <f t="array" ref="Y31">IFERROR(
(AVERAGE((IF(DATOS_[[Sexo]:[Sexo]]=$B31,IF(DATOS_[[AGRUP. CLAS. PROF.]:[AGRUP. CLAS. PROF.]]=$B30,IF(DATOS_[[Check Periodo Ref.]:[Check Periodo Ref.]]="Dentro",IF(DATOS_[[Check Equiparado]:[Check Equiparado]]="Sí",IF(DATOS!AT$5="Sí",(1/DATOS_[[% anualiz]:[% anualiz]]),1)*IF(DATOS!AT$4="Sí",1/DATOS_[[% normaliz]:[% normaliz]],1)*(DATOS_[Conc.Sal.16])))))))),
0)</f>
        <v>0</v>
      </c>
      <c r="Z31" s="101">
        <f t="array" ref="Z31">IFERROR(
(AVERAGE((IF(DATOS_[[Sexo]:[Sexo]]=$B31,IF(DATOS_[[AGRUP. CLAS. PROF.]:[AGRUP. CLAS. PROF.]]=$B30,IF(DATOS_[[Check Periodo Ref.]:[Check Periodo Ref.]]="Dentro",IF(DATOS_[[Check Equiparado]:[Check Equiparado]]="Sí",IF(DATOS!AU$5="Sí",(1/DATOS_[[% anualiz]:[% anualiz]]),1)*IF(DATOS!AU$4="Sí",1/DATOS_[[% normaliz]:[% normaliz]],1)*(DATOS_[Conc.Sal.17])))))))),
0)</f>
        <v>0</v>
      </c>
      <c r="AA31" s="101">
        <f t="array" ref="AA31">IFERROR(
(AVERAGE((IF(DATOS_[[Sexo]:[Sexo]]=$B31,IF(DATOS_[[AGRUP. CLAS. PROF.]:[AGRUP. CLAS. PROF.]]=$B30,IF(DATOS_[[Check Periodo Ref.]:[Check Periodo Ref.]]="Dentro",IF(DATOS_[[Check Equiparado]:[Check Equiparado]]="Sí",IF(DATOS!AV$5="Sí",(1/DATOS_[[% anualiz]:[% anualiz]]),1)*IF(DATOS!AV$4="Sí",1/DATOS_[[% normaliz]:[% normaliz]],1)*(DATOS_[Conc.Sal.18])))))))),
0)</f>
        <v>0</v>
      </c>
      <c r="AB31" s="101">
        <f t="array" ref="AB31">IFERROR(
(AVERAGE((IF(DATOS_[[Sexo]:[Sexo]]=$B31,IF(DATOS_[[AGRUP. CLAS. PROF.]:[AGRUP. CLAS. PROF.]]=$B30,IF(DATOS_[[Check Periodo Ref.]:[Check Periodo Ref.]]="Dentro",IF(DATOS_[[Check Equiparado]:[Check Equiparado]]="Sí",IF(DATOS!AW$5="Sí",(1/DATOS_[[% anualiz]:[% anualiz]]),1)*IF(DATOS!AW$4="Sí",1/DATOS_[[% normaliz]:[% normaliz]],1)*(DATOS_[Conc.Sal.19])))))))),
0)</f>
        <v>0</v>
      </c>
      <c r="AC31" s="101">
        <f t="array" ref="AC31">IFERROR(
(AVERAGE((IF(DATOS_[[Sexo]:[Sexo]]=$B31,IF(DATOS_[[AGRUP. CLAS. PROF.]:[AGRUP. CLAS. PROF.]]=$B30,IF(DATOS_[[Check Periodo Ref.]:[Check Periodo Ref.]]="Dentro",IF(DATOS_[[Check Equiparado]:[Check Equiparado]]="Sí",IF(DATOS!AX$5="Sí",(1/DATOS_[[% anualiz]:[% anualiz]]),1)*IF(DATOS!AX$4="Sí",1/DATOS_[[% normaliz]:[% normaliz]],1)*(DATOS_[Conc.Sal.20])))))))),
0)</f>
        <v>0</v>
      </c>
      <c r="AD31" s="101">
        <f t="array" ref="AD31">IFERROR(
(AVERAGE((IF(DATOS_[[Sexo]:[Sexo]]=$B31,IF(DATOS_[[AGRUP. CLAS. PROF.]:[AGRUP. CLAS. PROF.]]=$B30,IF(DATOS_[[Check Periodo Ref.]:[Check Periodo Ref.]]="Dentro",IF(DATOS_[[Check Equiparado]:[Check Equiparado]]="Sí",IF(DATOS!AY$5="Sí",(1/DATOS_[[% anualiz]:[% anualiz]]),1)*IF(DATOS!AY$4="Sí",1/DATOS_[[% normaliz]:[% normaliz]],1)*(DATOS_[Conc.Sal.21])))))))),
0)</f>
        <v>0</v>
      </c>
      <c r="AE31" s="101">
        <f t="array" ref="AE31">IFERROR(
(AVERAGE((IF(DATOS_[[Sexo]:[Sexo]]=$B31,IF(DATOS_[[AGRUP. CLAS. PROF.]:[AGRUP. CLAS. PROF.]]=$B30,IF(DATOS_[[Check Periodo Ref.]:[Check Periodo Ref.]]="Dentro",IF(DATOS_[[Check Equiparado]:[Check Equiparado]]="Sí",IF(DATOS!AZ$5="Sí",(1/DATOS_[[% anualiz]:[% anualiz]]),1)*IF(DATOS!AZ$4="Sí",1/DATOS_[[% normaliz]:[% normaliz]],1)*(DATOS_[Conc.Sal.22])))))))),
0)</f>
        <v>0</v>
      </c>
      <c r="AF31" s="101">
        <f t="array" ref="AF31">IFERROR(
(AVERAGE((IF(DATOS_[[Sexo]:[Sexo]]=$B31,IF(DATOS_[[AGRUP. CLAS. PROF.]:[AGRUP. CLAS. PROF.]]=$B30,IF(DATOS_[[Check Periodo Ref.]:[Check Periodo Ref.]]="Dentro",IF(DATOS_[[Check Equiparado]:[Check Equiparado]]="Sí",IF(DATOS!BA$5="Sí",(1/DATOS_[[% anualiz]:[% anualiz]]),1)*IF(DATOS!BA$4="Sí",1/DATOS_[[% normaliz]:[% normaliz]],1)*(DATOS_[Conc.Sal.23])))))))),
0)</f>
        <v>0</v>
      </c>
      <c r="AG31" s="101">
        <f t="array" ref="AG31">IFERROR(
(AVERAGE((IF(DATOS_[[Sexo]:[Sexo]]=$B31,IF(DATOS_[[AGRUP. CLAS. PROF.]:[AGRUP. CLAS. PROF.]]=$B30,IF(DATOS_[[Check Periodo Ref.]:[Check Periodo Ref.]]="Dentro",IF(DATOS_[[Check Equiparado]:[Check Equiparado]]="Sí",IF(DATOS!BB$5="Sí",(1/DATOS_[[% anualiz]:[% anualiz]]),1)*IF(DATOS!BB$4="Sí",1/DATOS_[[% normaliz]:[% normaliz]],1)*(DATOS_[Conc.Sal.24])))))))),
0)</f>
        <v>0</v>
      </c>
      <c r="AH31" s="101">
        <f t="array" ref="AH31">IFERROR(
(AVERAGE((IF(DATOS_[[Sexo]:[Sexo]]=$B31,IF(DATOS_[[AGRUP. CLAS. PROF.]:[AGRUP. CLAS. PROF.]]=$B30,IF(DATOS_[[Check Periodo Ref.]:[Check Periodo Ref.]]="Dentro",IF(DATOS_[[Check Equiparado]:[Check Equiparado]]="Sí",IF(DATOS!BC$5="Sí",(1/DATOS_[[% anualiz]:[% anualiz]]),1)*IF(DATOS!BC$4="Sí",1/DATOS_[[% normaliz]:[% normaliz]],1)*(DATOS_[Conc.Sal.25])))))))),
0)</f>
        <v>0</v>
      </c>
      <c r="AI31" s="101">
        <f t="array" ref="AI31">IFERROR(
(AVERAGE((IF(DATOS_[[Sexo]:[Sexo]]=$B31,IF(DATOS_[[AGRUP. CLAS. PROF.]:[AGRUP. CLAS. PROF.]]=$B30,IF(DATOS_[[Check Periodo Ref.]:[Check Periodo Ref.]]="Dentro",IF(DATOS_[[Check Equiparado]:[Check Equiparado]]="Sí",IF(DATOS!BD$5="Sí",(1/DATOS_[[% anualiz]:[% anualiz]]),1)*IF(DATOS!BD$4="Sí",1/DATOS_[[% normaliz]:[% normaliz]],1)*(DATOS_[Conc.Sal.26])))))))),
0)</f>
        <v>0</v>
      </c>
      <c r="AJ31" s="101">
        <f t="array" ref="AJ31">IFERROR(
(AVERAGE((IF(DATOS_[[Sexo]:[Sexo]]=$B31,IF(DATOS_[[AGRUP. CLAS. PROF.]:[AGRUP. CLAS. PROF.]]=$B30,IF(DATOS_[[Check Periodo Ref.]:[Check Periodo Ref.]]="Dentro",IF(DATOS_[[Check Equiparado]:[Check Equiparado]]="Sí",IF(DATOS!BE$5="Sí",(1/DATOS_[[% anualiz]:[% anualiz]]),1)*IF(DATOS!BE$4="Sí",1/DATOS_[[% normaliz]:[% normaliz]],1)*(DATOS_[Conc.Sal.27])))))))),
0)</f>
        <v>0</v>
      </c>
      <c r="AK31" s="101">
        <f t="array" ref="AK31">IFERROR(
(AVERAGE((IF(DATOS_[[Sexo]:[Sexo]]=$B31,IF(DATOS_[[AGRUP. CLAS. PROF.]:[AGRUP. CLAS. PROF.]]=$B30,IF(DATOS_[[Check Periodo Ref.]:[Check Periodo Ref.]]="Dentro",IF(DATOS_[[Check Equiparado]:[Check Equiparado]]="Sí",IF(DATOS!BF$5="Sí",(1/DATOS_[[% anualiz]:[% anualiz]]),1)*IF(DATOS!BF$4="Sí",1/DATOS_[[% normaliz]:[% normaliz]],1)*(DATOS_[Conc.Sal.28])))))))),
0)</f>
        <v>0</v>
      </c>
      <c r="AL31" s="101">
        <f t="array" ref="AL31">IFERROR(
(AVERAGE((IF(DATOS_[[Sexo]:[Sexo]]=$B31,IF(DATOS_[[AGRUP. CLAS. PROF.]:[AGRUP. CLAS. PROF.]]=$B30,IF(DATOS_[[Check Periodo Ref.]:[Check Periodo Ref.]]="Dentro",IF(DATOS_[[Check Equiparado]:[Check Equiparado]]="Sí",IF(DATOS!BG$5="Sí",(1/DATOS_[[% anualiz]:[% anualiz]]),1)*IF(DATOS!BG$4="Sí",1/DATOS_[[% normaliz]:[% normaliz]],1)*(DATOS_[Conc.Sal.29])))))))),
0)</f>
        <v>0</v>
      </c>
      <c r="AM31" s="101">
        <f t="array" ref="AM31">IFERROR(
(AVERAGE((IF(DATOS_[[Sexo]:[Sexo]]=$B31,IF(DATOS_[[AGRUP. CLAS. PROF.]:[AGRUP. CLAS. PROF.]]=$B30,IF(DATOS_[[Check Periodo Ref.]:[Check Periodo Ref.]]="Dentro",IF(DATOS_[[Check Equiparado]:[Check Equiparado]]="Sí",IF(DATOS!BH$5="Sí",(1/DATOS_[[% anualiz]:[% anualiz]]),1)*IF(DATOS!BH$4="Sí",1/DATOS_[[% normaliz]:[% normaliz]],1)*(DATOS_[Conc.Sal.30])))))))),
0)</f>
        <v>0</v>
      </c>
      <c r="AN31" s="102">
        <f t="array" ref="AN31">IFERROR(
AVERAGE(IF(DATOS_[Sexo]=$B31,IF(DATOS_[[AGRUP. CLAS. PROF.]:[AGRUP. CLAS. PROF.]]=$B30,IF(DATOS_[Check Equiparado]="Sí",IF(DATOS_[Check Periodo Ref.]="Dentro",DATOS_[Tot COMPL.SAL Eq],FALSE))))),
0)</f>
        <v>0</v>
      </c>
      <c r="AO31" s="103">
        <f t="array" ref="AO31">IFERROR(
AVERAGE(IF(DATOS_[Sexo]=$B31,IF(DATOS_[[AGRUP. CLAS. PROF.]:[AGRUP. CLAS. PROF.]]=$B30,IF(DATOS_[Check Equiparado]="Sí",IF(DATOS_[Check Periodo Ref.]="Dentro",DATOS_[TOTAL SALARIO Eq],FALSE))))),
0)</f>
        <v>0</v>
      </c>
      <c r="AP31" s="104">
        <f t="array" ref="AP31">IFERROR(
(AVERAGE((IF(DATOS_[[Sexo]:[Sexo]]=$B31,IF(DATOS_[[AGRUP. CLAS. PROF.]:[AGRUP. CLAS. PROF.]]=$B30,IF(DATOS_[[Check Periodo Ref.]:[Check Periodo Ref.]]="Dentro",IF(DATOS_[[Check Equiparado]:[Check Equiparado]]="Sí",IF(DATOS!BI$5="Sí",(1/DATOS_[[% anualiz]:[% anualiz]]),1)*IF(DATOS!BI$4="Sí",1/DATOS_[[% normaliz]:[% normaliz]],1)*(DATOS_[C.Extra.01])))))))),
0)</f>
        <v>0</v>
      </c>
      <c r="AQ31" s="104">
        <f t="array" ref="AQ31">IFERROR(
(AVERAGE((IF(DATOS_[[Sexo]:[Sexo]]=$B31,IF(DATOS_[[AGRUP. CLAS. PROF.]:[AGRUP. CLAS. PROF.]]=$B30,IF(DATOS_[[Check Periodo Ref.]:[Check Periodo Ref.]]="Dentro",IF(DATOS_[[Check Equiparado]:[Check Equiparado]]="Sí",IF(DATOS!BJ$5="Sí",(1/DATOS_[[% anualiz]:[% anualiz]]),1)*IF(DATOS!BJ$4="Sí",1/DATOS_[[% normaliz]:[% normaliz]],1)*(DATOS_[C.Extra.02])))))))),
0)</f>
        <v>0</v>
      </c>
      <c r="AR31" s="104">
        <f t="array" ref="AR31">IFERROR(
(AVERAGE((IF(DATOS_[[Sexo]:[Sexo]]=$B31,IF(DATOS_[[AGRUP. CLAS. PROF.]:[AGRUP. CLAS. PROF.]]=$B30,IF(DATOS_[[Check Periodo Ref.]:[Check Periodo Ref.]]="Dentro",IF(DATOS_[[Check Equiparado]:[Check Equiparado]]="Sí",IF(DATOS!BK$5="Sí",(1/DATOS_[[% anualiz]:[% anualiz]]),1)*IF(DATOS!BK$4="Sí",1/DATOS_[[% normaliz]:[% normaliz]],1)*(DATOS_[C.Extra.03])))))))),
0)</f>
        <v>0</v>
      </c>
      <c r="AS31" s="104">
        <f t="array" ref="AS31">IFERROR(
(AVERAGE((IF(DATOS_[[Sexo]:[Sexo]]=$B31,IF(DATOS_[[AGRUP. CLAS. PROF.]:[AGRUP. CLAS. PROF.]]=$B30,IF(DATOS_[[Check Periodo Ref.]:[Check Periodo Ref.]]="Dentro",IF(DATOS_[[Check Equiparado]:[Check Equiparado]]="Sí",IF(DATOS!BL$5="Sí",(1/DATOS_[[% anualiz]:[% anualiz]]),1)*IF(DATOS!BL$4="Sí",1/DATOS_[[% normaliz]:[% normaliz]],1)*(DATOS_[C.Extra.04])))))))),
0)</f>
        <v>0</v>
      </c>
      <c r="AT31" s="104">
        <f t="array" ref="AT31">IFERROR(
(AVERAGE((IF(DATOS_[[Sexo]:[Sexo]]=$B31,IF(DATOS_[[AGRUP. CLAS. PROF.]:[AGRUP. CLAS. PROF.]]=$B30,IF(DATOS_[[Check Periodo Ref.]:[Check Periodo Ref.]]="Dentro",IF(DATOS_[[Check Equiparado]:[Check Equiparado]]="Sí",IF(DATOS!BM$5="Sí",(1/DATOS_[[% anualiz]:[% anualiz]]),1)*IF(DATOS!BM$4="Sí",1/DATOS_[[% normaliz]:[% normaliz]],1)*(DATOS_[C.Extra.05])))))))),
0)</f>
        <v>0</v>
      </c>
      <c r="AU31" s="105">
        <f t="array" ref="AU31">IFERROR(
AVERAGE(IF(DATOS_[Sexo]=$B31,IF(DATOS_[[AGRUP. CLAS. PROF.]:[AGRUP. CLAS. PROF.]]=$B30,IF(DATOS_[Check Equiparado]="Sí",IF(DATOS_[Check Periodo Ref.]="Dentro",DATOS_[Tot Extrasalarial Eq],FALSE))))),
0)</f>
        <v>0</v>
      </c>
      <c r="AV31" s="106">
        <f t="array" ref="AV31">IFERROR(
AVERAGE(IF(DATOS_[Sexo]=$B31,IF(DATOS_[[AGRUP. CLAS. PROF.]:[AGRUP. CLAS. PROF.]]=$B30,IF(DATOS_[Check Equiparado]="Sí",IF(DATOS_[Check Periodo Ref.]="Dentro",DATOS_[TOTAL Retrib Eq],FALSE))))),
0)</f>
        <v>0</v>
      </c>
    </row>
    <row r="32" spans="1:48" hidden="1" x14ac:dyDescent="0.3">
      <c r="A32" s="53" t="str">
        <f t="shared" ref="A32" si="26">+A31</f>
        <v>[ocultar]</v>
      </c>
      <c r="B32" s="57" t="s">
        <v>163</v>
      </c>
      <c r="C32" s="56">
        <f t="array" ref="C32">SUM(IF($B32=DATOS_[Sexo],
IF($B30=DATOS_[AGRUP. CLAS. PROF.],
IF("Dentro"=DATOS_[Check Periodo Ref.],
1/(COUNTIFS(DATOS_[Sexo],$B32,DATOS_[AGRUP. CLAS. PROF.],$B30,DATOS_[Check Periodo Ref.],"Dentro",DATOS_[id],DATOS_[id]))))))</f>
        <v>0</v>
      </c>
      <c r="D32" s="58">
        <f>COUNTIFS(DATOS_[AGRUP. CLAS. PROF.],$B30,DATOS_[Sexo],$B32,DATOS_[Check Periodo Ref.],"Dentro")</f>
        <v>0</v>
      </c>
      <c r="E32" s="58">
        <f>COUNTIFS(DATOS_[AGRUP. CLAS. PROF.],$B30,DATOS_[Sexo],$B32,DATOS_[Check Periodo Ref.],"Dentro",DATOS_[Check Nº SC Norm],"Sí")</f>
        <v>0</v>
      </c>
      <c r="F32" s="58">
        <f>COUNTIFS(DATOS_[AGRUP. CLAS. PROF.],$B30,DATOS_[Sexo],$B32,DATOS_[Check Periodo Ref.],"Dentro",DATOS_[Check Nº SC Anualiz],"Sí")</f>
        <v>0</v>
      </c>
      <c r="G32" s="58">
        <f>COUNTIFS(DATOS_[AGRUP. CLAS. PROF.],$B30,DATOS_[Sexo],$B32,DATOS_[Check Periodo Ref.],"Dentro",DATOS_[Check Nº SC Norm y Anualiz],"Sí")</f>
        <v>0</v>
      </c>
      <c r="H32" s="58">
        <f>COUNTIFS(DATOS_[AGRUP. CLAS. PROF.],$B30,DATOS_[Sexo],$B32,DATOS_[Check Periodo Ref.],"Dentro",DATOS_[Check Equiparación],"Sí")</f>
        <v>0</v>
      </c>
      <c r="I32" s="100" cm="1">
        <f t="array" ref="I32">IFERROR(
AVERAGE(IF(DATOS_[Sexo]=$B32,IF(DATOS_[[AGRUP. CLAS. PROF.]:[AGRUP. CLAS. PROF.]]=$B30,IF(DATOS_[Check Equiparado]="Sí",IF(DATOS_[Check Periodo Ref.]="Dentro",DATOS_[SALARIO BASE Eq],FALSE))))),
0)</f>
        <v>0</v>
      </c>
      <c r="J32" s="101">
        <f t="array" ref="J32">IFERROR(
(AVERAGE((IF(DATOS_[[Sexo]:[Sexo]]=$B32,IF(DATOS_[[AGRUP. CLAS. PROF.]:[AGRUP. CLAS. PROF.]]=$B30,IF(DATOS_[[Check Periodo Ref.]:[Check Periodo Ref.]]="Dentro",IF(DATOS_[[Check Equiparado]:[Check Equiparado]]="Sí",IF(DATOS!AE$5="Sí",(1/DATOS_[[% anualiz]:[% anualiz]]),1)*IF(DATOS!AE$4="Sí",1/DATOS_[[% normaliz]:[% normaliz]],1)*(DATOS_[Conc.Sal.01])))))))),
0)</f>
        <v>0</v>
      </c>
      <c r="K32" s="101">
        <f t="array" ref="K32">IFERROR(
(AVERAGE((IF(DATOS_[[Sexo]:[Sexo]]=$B32,IF(DATOS_[[AGRUP. CLAS. PROF.]:[AGRUP. CLAS. PROF.]]=$B30,IF(DATOS_[[Check Periodo Ref.]:[Check Periodo Ref.]]="Dentro",IF(DATOS_[[Check Equiparado]:[Check Equiparado]]="Sí",IF(DATOS!AF$5="Sí",(1/DATOS_[[% anualiz]:[% anualiz]]),1)*IF(DATOS!AF$4="Sí",1/DATOS_[[% normaliz]:[% normaliz]],1)*(DATOS_[Conc.Sal.02])))))))),
0)</f>
        <v>0</v>
      </c>
      <c r="L32" s="101">
        <f t="array" ref="L32">IFERROR(
(AVERAGE((IF(DATOS_[[Sexo]:[Sexo]]=$B32,IF(DATOS_[[AGRUP. CLAS. PROF.]:[AGRUP. CLAS. PROF.]]=$B30,IF(DATOS_[[Check Periodo Ref.]:[Check Periodo Ref.]]="Dentro",IF(DATOS_[[Check Equiparado]:[Check Equiparado]]="Sí",IF(DATOS!AG$5="Sí",(1/DATOS_[[% anualiz]:[% anualiz]]),1)*IF(DATOS!AG$4="Sí",1/DATOS_[[% normaliz]:[% normaliz]],1)*(DATOS_[Conc.Sal.03])))))))),
0)</f>
        <v>0</v>
      </c>
      <c r="M32" s="101">
        <f t="array" ref="M32">IFERROR(
(AVERAGE((IF(DATOS_[[Sexo]:[Sexo]]=$B32,IF(DATOS_[[AGRUP. CLAS. PROF.]:[AGRUP. CLAS. PROF.]]=$B30,IF(DATOS_[[Check Periodo Ref.]:[Check Periodo Ref.]]="Dentro",IF(DATOS_[[Check Equiparado]:[Check Equiparado]]="Sí",IF(DATOS!AH$5="Sí",(1/DATOS_[[% anualiz]:[% anualiz]]),1)*IF(DATOS!AH$4="Sí",1/DATOS_[[% normaliz]:[% normaliz]],1)*(DATOS_[Conc.Sal.04])))))))),
0)</f>
        <v>0</v>
      </c>
      <c r="N32" s="101">
        <f t="array" ref="N32">IFERROR(
(AVERAGE((IF(DATOS_[[Sexo]:[Sexo]]=$B32,IF(DATOS_[[AGRUP. CLAS. PROF.]:[AGRUP. CLAS. PROF.]]=$B30,IF(DATOS_[[Check Periodo Ref.]:[Check Periodo Ref.]]="Dentro",IF(DATOS_[[Check Equiparado]:[Check Equiparado]]="Sí",IF(DATOS!AI$5="Sí",(1/DATOS_[[% anualiz]:[% anualiz]]),1)*IF(DATOS!AI$4="Sí",1/DATOS_[[% normaliz]:[% normaliz]],1)*(DATOS_[Conc.Sal.05])))))))),
0)</f>
        <v>0</v>
      </c>
      <c r="O32" s="101">
        <f t="array" ref="O32">IFERROR(
(AVERAGE((IF(DATOS_[[Sexo]:[Sexo]]=$B32,IF(DATOS_[[AGRUP. CLAS. PROF.]:[AGRUP. CLAS. PROF.]]=$B30,IF(DATOS_[[Check Periodo Ref.]:[Check Periodo Ref.]]="Dentro",IF(DATOS_[[Check Equiparado]:[Check Equiparado]]="Sí",IF(DATOS!AJ$5="Sí",(1/DATOS_[[% anualiz]:[% anualiz]]),1)*IF(DATOS!AJ$4="Sí",1/DATOS_[[% normaliz]:[% normaliz]],1)*(DATOS_[Conc.Sal.06])))))))),
0)</f>
        <v>0</v>
      </c>
      <c r="P32" s="101">
        <f t="array" ref="P32">IFERROR(
(AVERAGE((IF(DATOS_[[Sexo]:[Sexo]]=$B32,IF(DATOS_[[AGRUP. CLAS. PROF.]:[AGRUP. CLAS. PROF.]]=$B30,IF(DATOS_[[Check Periodo Ref.]:[Check Periodo Ref.]]="Dentro",IF(DATOS_[[Check Equiparado]:[Check Equiparado]]="Sí",IF(DATOS!AK$5="Sí",(1/DATOS_[[% anualiz]:[% anualiz]]),1)*IF(DATOS!AK$4="Sí",1/DATOS_[[% normaliz]:[% normaliz]],1)*(DATOS_[Conc.Sal.07])))))))),
0)</f>
        <v>0</v>
      </c>
      <c r="Q32" s="101">
        <f t="array" ref="Q32">IFERROR(
(AVERAGE((IF(DATOS_[[Sexo]:[Sexo]]=$B32,IF(DATOS_[[AGRUP. CLAS. PROF.]:[AGRUP. CLAS. PROF.]]=$B30,IF(DATOS_[[Check Periodo Ref.]:[Check Periodo Ref.]]="Dentro",IF(DATOS_[[Check Equiparado]:[Check Equiparado]]="Sí",IF(DATOS!AL$5="Sí",(1/DATOS_[[% anualiz]:[% anualiz]]),1)*IF(DATOS!AL$4="Sí",1/DATOS_[[% normaliz]:[% normaliz]],1)*(DATOS_[Conc.Sal.08])))))))),
0)</f>
        <v>0</v>
      </c>
      <c r="R32" s="101">
        <f t="array" ref="R32">IFERROR(
(AVERAGE((IF(DATOS_[[Sexo]:[Sexo]]=$B32,IF(DATOS_[[AGRUP. CLAS. PROF.]:[AGRUP. CLAS. PROF.]]=$B30,IF(DATOS_[[Check Periodo Ref.]:[Check Periodo Ref.]]="Dentro",IF(DATOS_[[Check Equiparado]:[Check Equiparado]]="Sí",IF(DATOS!AM$5="Sí",(1/DATOS_[[% anualiz]:[% anualiz]]),1)*IF(DATOS!AM$4="Sí",1/DATOS_[[% normaliz]:[% normaliz]],1)*(DATOS_[Conc.Sal.09])))))))),
0)</f>
        <v>0</v>
      </c>
      <c r="S32" s="101">
        <f t="array" ref="S32">IFERROR(
(AVERAGE((IF(DATOS_[[Sexo]:[Sexo]]=$B32,IF(DATOS_[[AGRUP. CLAS. PROF.]:[AGRUP. CLAS. PROF.]]=$B30,IF(DATOS_[[Check Periodo Ref.]:[Check Periodo Ref.]]="Dentro",IF(DATOS_[[Check Equiparado]:[Check Equiparado]]="Sí",IF(DATOS!AN$5="Sí",(1/DATOS_[[% anualiz]:[% anualiz]]),1)*IF(DATOS!AN$4="Sí",1/DATOS_[[% normaliz]:[% normaliz]],1)*(DATOS_[Conc.Sal.10])))))))),
0)</f>
        <v>0</v>
      </c>
      <c r="T32" s="101">
        <f t="array" ref="T32">IFERROR(
(AVERAGE((IF(DATOS_[[Sexo]:[Sexo]]=$B32,IF(DATOS_[[AGRUP. CLAS. PROF.]:[AGRUP. CLAS. PROF.]]=$B30,IF(DATOS_[[Check Periodo Ref.]:[Check Periodo Ref.]]="Dentro",IF(DATOS_[[Check Equiparado]:[Check Equiparado]]="Sí",IF(DATOS!AO$5="Sí",(1/DATOS_[[% anualiz]:[% anualiz]]),1)*IF(DATOS!AO$4="Sí",1/DATOS_[[% normaliz]:[% normaliz]],1)*(DATOS_[Conc.Sal.11])))))))),
0)</f>
        <v>0</v>
      </c>
      <c r="U32" s="101">
        <f t="array" ref="U32">IFERROR(
(AVERAGE((IF(DATOS_[[Sexo]:[Sexo]]=$B32,IF(DATOS_[[AGRUP. CLAS. PROF.]:[AGRUP. CLAS. PROF.]]=$B30,IF(DATOS_[[Check Periodo Ref.]:[Check Periodo Ref.]]="Dentro",IF(DATOS_[[Check Equiparado]:[Check Equiparado]]="Sí",IF(DATOS!AP$5="Sí",(1/DATOS_[[% anualiz]:[% anualiz]]),1)*IF(DATOS!AP$4="Sí",1/DATOS_[[% normaliz]:[% normaliz]],1)*(DATOS_[Conc.Sal.12])))))))),
0)</f>
        <v>0</v>
      </c>
      <c r="V32" s="101">
        <f t="array" ref="V32">IFERROR(
(AVERAGE((IF(DATOS_[[Sexo]:[Sexo]]=$B32,IF(DATOS_[[AGRUP. CLAS. PROF.]:[AGRUP. CLAS. PROF.]]=$B30,IF(DATOS_[[Check Periodo Ref.]:[Check Periodo Ref.]]="Dentro",IF(DATOS_[[Check Equiparado]:[Check Equiparado]]="Sí",IF(DATOS!AQ$5="Sí",(1/DATOS_[[% anualiz]:[% anualiz]]),1)*IF(DATOS!AQ$4="Sí",1/DATOS_[[% normaliz]:[% normaliz]],1)*(DATOS_[Conc.Sal.13])))))))),
0)</f>
        <v>0</v>
      </c>
      <c r="W32" s="101">
        <f t="array" ref="W32">IFERROR(
(AVERAGE((IF(DATOS_[[Sexo]:[Sexo]]=$B32,IF(DATOS_[[AGRUP. CLAS. PROF.]:[AGRUP. CLAS. PROF.]]=$B30,IF(DATOS_[[Check Periodo Ref.]:[Check Periodo Ref.]]="Dentro",IF(DATOS_[[Check Equiparado]:[Check Equiparado]]="Sí",IF(DATOS!AR$5="Sí",(1/DATOS_[[% anualiz]:[% anualiz]]),1)*IF(DATOS!AR$4="Sí",1/DATOS_[[% normaliz]:[% normaliz]],1)*(DATOS_[Conc.Sal.14])))))))),
0)</f>
        <v>0</v>
      </c>
      <c r="X32" s="101">
        <f t="array" ref="X32">IFERROR(
(AVERAGE((IF(DATOS_[[Sexo]:[Sexo]]=$B32,IF(DATOS_[[AGRUP. CLAS. PROF.]:[AGRUP. CLAS. PROF.]]=$B30,IF(DATOS_[[Check Periodo Ref.]:[Check Periodo Ref.]]="Dentro",IF(DATOS_[[Check Equiparado]:[Check Equiparado]]="Sí",IF(DATOS!AS$5="Sí",(1/DATOS_[[% anualiz]:[% anualiz]]),1)*IF(DATOS!AS$4="Sí",1/DATOS_[[% normaliz]:[% normaliz]],1)*(DATOS_[Conc.Sal.15])))))))),
0)</f>
        <v>0</v>
      </c>
      <c r="Y32" s="101">
        <f t="array" ref="Y32">IFERROR(
(AVERAGE((IF(DATOS_[[Sexo]:[Sexo]]=$B32,IF(DATOS_[[AGRUP. CLAS. PROF.]:[AGRUP. CLAS. PROF.]]=$B30,IF(DATOS_[[Check Periodo Ref.]:[Check Periodo Ref.]]="Dentro",IF(DATOS_[[Check Equiparado]:[Check Equiparado]]="Sí",IF(DATOS!AT$5="Sí",(1/DATOS_[[% anualiz]:[% anualiz]]),1)*IF(DATOS!AT$4="Sí",1/DATOS_[[% normaliz]:[% normaliz]],1)*(DATOS_[Conc.Sal.16])))))))),
0)</f>
        <v>0</v>
      </c>
      <c r="Z32" s="101">
        <f t="array" ref="Z32">IFERROR(
(AVERAGE((IF(DATOS_[[Sexo]:[Sexo]]=$B32,IF(DATOS_[[AGRUP. CLAS. PROF.]:[AGRUP. CLAS. PROF.]]=$B30,IF(DATOS_[[Check Periodo Ref.]:[Check Periodo Ref.]]="Dentro",IF(DATOS_[[Check Equiparado]:[Check Equiparado]]="Sí",IF(DATOS!AU$5="Sí",(1/DATOS_[[% anualiz]:[% anualiz]]),1)*IF(DATOS!AU$4="Sí",1/DATOS_[[% normaliz]:[% normaliz]],1)*(DATOS_[Conc.Sal.17])))))))),
0)</f>
        <v>0</v>
      </c>
      <c r="AA32" s="101">
        <f t="array" ref="AA32">IFERROR(
(AVERAGE((IF(DATOS_[[Sexo]:[Sexo]]=$B32,IF(DATOS_[[AGRUP. CLAS. PROF.]:[AGRUP. CLAS. PROF.]]=$B30,IF(DATOS_[[Check Periodo Ref.]:[Check Periodo Ref.]]="Dentro",IF(DATOS_[[Check Equiparado]:[Check Equiparado]]="Sí",IF(DATOS!AV$5="Sí",(1/DATOS_[[% anualiz]:[% anualiz]]),1)*IF(DATOS!AV$4="Sí",1/DATOS_[[% normaliz]:[% normaliz]],1)*(DATOS_[Conc.Sal.18])))))))),
0)</f>
        <v>0</v>
      </c>
      <c r="AB32" s="101">
        <f t="array" ref="AB32">IFERROR(
(AVERAGE((IF(DATOS_[[Sexo]:[Sexo]]=$B32,IF(DATOS_[[AGRUP. CLAS. PROF.]:[AGRUP. CLAS. PROF.]]=$B30,IF(DATOS_[[Check Periodo Ref.]:[Check Periodo Ref.]]="Dentro",IF(DATOS_[[Check Equiparado]:[Check Equiparado]]="Sí",IF(DATOS!AW$5="Sí",(1/DATOS_[[% anualiz]:[% anualiz]]),1)*IF(DATOS!AW$4="Sí",1/DATOS_[[% normaliz]:[% normaliz]],1)*(DATOS_[Conc.Sal.19])))))))),
0)</f>
        <v>0</v>
      </c>
      <c r="AC32" s="101">
        <f t="array" ref="AC32">IFERROR(
(AVERAGE((IF(DATOS_[[Sexo]:[Sexo]]=$B32,IF(DATOS_[[AGRUP. CLAS. PROF.]:[AGRUP. CLAS. PROF.]]=$B30,IF(DATOS_[[Check Periodo Ref.]:[Check Periodo Ref.]]="Dentro",IF(DATOS_[[Check Equiparado]:[Check Equiparado]]="Sí",IF(DATOS!AX$5="Sí",(1/DATOS_[[% anualiz]:[% anualiz]]),1)*IF(DATOS!AX$4="Sí",1/DATOS_[[% normaliz]:[% normaliz]],1)*(DATOS_[Conc.Sal.20])))))))),
0)</f>
        <v>0</v>
      </c>
      <c r="AD32" s="101">
        <f t="array" ref="AD32">IFERROR(
(AVERAGE((IF(DATOS_[[Sexo]:[Sexo]]=$B32,IF(DATOS_[[AGRUP. CLAS. PROF.]:[AGRUP. CLAS. PROF.]]=$B30,IF(DATOS_[[Check Periodo Ref.]:[Check Periodo Ref.]]="Dentro",IF(DATOS_[[Check Equiparado]:[Check Equiparado]]="Sí",IF(DATOS!AY$5="Sí",(1/DATOS_[[% anualiz]:[% anualiz]]),1)*IF(DATOS!AY$4="Sí",1/DATOS_[[% normaliz]:[% normaliz]],1)*(DATOS_[Conc.Sal.21])))))))),
0)</f>
        <v>0</v>
      </c>
      <c r="AE32" s="101">
        <f t="array" ref="AE32">IFERROR(
(AVERAGE((IF(DATOS_[[Sexo]:[Sexo]]=$B32,IF(DATOS_[[AGRUP. CLAS. PROF.]:[AGRUP. CLAS. PROF.]]=$B30,IF(DATOS_[[Check Periodo Ref.]:[Check Periodo Ref.]]="Dentro",IF(DATOS_[[Check Equiparado]:[Check Equiparado]]="Sí",IF(DATOS!AZ$5="Sí",(1/DATOS_[[% anualiz]:[% anualiz]]),1)*IF(DATOS!AZ$4="Sí",1/DATOS_[[% normaliz]:[% normaliz]],1)*(DATOS_[Conc.Sal.22])))))))),
0)</f>
        <v>0</v>
      </c>
      <c r="AF32" s="101">
        <f t="array" ref="AF32">IFERROR(
(AVERAGE((IF(DATOS_[[Sexo]:[Sexo]]=$B32,IF(DATOS_[[AGRUP. CLAS. PROF.]:[AGRUP. CLAS. PROF.]]=$B30,IF(DATOS_[[Check Periodo Ref.]:[Check Periodo Ref.]]="Dentro",IF(DATOS_[[Check Equiparado]:[Check Equiparado]]="Sí",IF(DATOS!BA$5="Sí",(1/DATOS_[[% anualiz]:[% anualiz]]),1)*IF(DATOS!BA$4="Sí",1/DATOS_[[% normaliz]:[% normaliz]],1)*(DATOS_[Conc.Sal.23])))))))),
0)</f>
        <v>0</v>
      </c>
      <c r="AG32" s="101">
        <f t="array" ref="AG32">IFERROR(
(AVERAGE((IF(DATOS_[[Sexo]:[Sexo]]=$B32,IF(DATOS_[[AGRUP. CLAS. PROF.]:[AGRUP. CLAS. PROF.]]=$B30,IF(DATOS_[[Check Periodo Ref.]:[Check Periodo Ref.]]="Dentro",IF(DATOS_[[Check Equiparado]:[Check Equiparado]]="Sí",IF(DATOS!BB$5="Sí",(1/DATOS_[[% anualiz]:[% anualiz]]),1)*IF(DATOS!BB$4="Sí",1/DATOS_[[% normaliz]:[% normaliz]],1)*(DATOS_[Conc.Sal.24])))))))),
0)</f>
        <v>0</v>
      </c>
      <c r="AH32" s="101">
        <f t="array" ref="AH32">IFERROR(
(AVERAGE((IF(DATOS_[[Sexo]:[Sexo]]=$B32,IF(DATOS_[[AGRUP. CLAS. PROF.]:[AGRUP. CLAS. PROF.]]=$B30,IF(DATOS_[[Check Periodo Ref.]:[Check Periodo Ref.]]="Dentro",IF(DATOS_[[Check Equiparado]:[Check Equiparado]]="Sí",IF(DATOS!BC$5="Sí",(1/DATOS_[[% anualiz]:[% anualiz]]),1)*IF(DATOS!BC$4="Sí",1/DATOS_[[% normaliz]:[% normaliz]],1)*(DATOS_[Conc.Sal.25])))))))),
0)</f>
        <v>0</v>
      </c>
      <c r="AI32" s="101">
        <f t="array" ref="AI32">IFERROR(
(AVERAGE((IF(DATOS_[[Sexo]:[Sexo]]=$B32,IF(DATOS_[[AGRUP. CLAS. PROF.]:[AGRUP. CLAS. PROF.]]=$B30,IF(DATOS_[[Check Periodo Ref.]:[Check Periodo Ref.]]="Dentro",IF(DATOS_[[Check Equiparado]:[Check Equiparado]]="Sí",IF(DATOS!BD$5="Sí",(1/DATOS_[[% anualiz]:[% anualiz]]),1)*IF(DATOS!BD$4="Sí",1/DATOS_[[% normaliz]:[% normaliz]],1)*(DATOS_[Conc.Sal.26])))))))),
0)</f>
        <v>0</v>
      </c>
      <c r="AJ32" s="101">
        <f t="array" ref="AJ32">IFERROR(
(AVERAGE((IF(DATOS_[[Sexo]:[Sexo]]=$B32,IF(DATOS_[[AGRUP. CLAS. PROF.]:[AGRUP. CLAS. PROF.]]=$B30,IF(DATOS_[[Check Periodo Ref.]:[Check Periodo Ref.]]="Dentro",IF(DATOS_[[Check Equiparado]:[Check Equiparado]]="Sí",IF(DATOS!BE$5="Sí",(1/DATOS_[[% anualiz]:[% anualiz]]),1)*IF(DATOS!BE$4="Sí",1/DATOS_[[% normaliz]:[% normaliz]],1)*(DATOS_[Conc.Sal.27])))))))),
0)</f>
        <v>0</v>
      </c>
      <c r="AK32" s="101">
        <f t="array" ref="AK32">IFERROR(
(AVERAGE((IF(DATOS_[[Sexo]:[Sexo]]=$B32,IF(DATOS_[[AGRUP. CLAS. PROF.]:[AGRUP. CLAS. PROF.]]=$B30,IF(DATOS_[[Check Periodo Ref.]:[Check Periodo Ref.]]="Dentro",IF(DATOS_[[Check Equiparado]:[Check Equiparado]]="Sí",IF(DATOS!BF$5="Sí",(1/DATOS_[[% anualiz]:[% anualiz]]),1)*IF(DATOS!BF$4="Sí",1/DATOS_[[% normaliz]:[% normaliz]],1)*(DATOS_[Conc.Sal.28])))))))),
0)</f>
        <v>0</v>
      </c>
      <c r="AL32" s="101">
        <f t="array" ref="AL32">IFERROR(
(AVERAGE((IF(DATOS_[[Sexo]:[Sexo]]=$B32,IF(DATOS_[[AGRUP. CLAS. PROF.]:[AGRUP. CLAS. PROF.]]=$B30,IF(DATOS_[[Check Periodo Ref.]:[Check Periodo Ref.]]="Dentro",IF(DATOS_[[Check Equiparado]:[Check Equiparado]]="Sí",IF(DATOS!BG$5="Sí",(1/DATOS_[[% anualiz]:[% anualiz]]),1)*IF(DATOS!BG$4="Sí",1/DATOS_[[% normaliz]:[% normaliz]],1)*(DATOS_[Conc.Sal.29])))))))),
0)</f>
        <v>0</v>
      </c>
      <c r="AM32" s="101">
        <f t="array" ref="AM32">IFERROR(
(AVERAGE((IF(DATOS_[[Sexo]:[Sexo]]=$B32,IF(DATOS_[[AGRUP. CLAS. PROF.]:[AGRUP. CLAS. PROF.]]=$B30,IF(DATOS_[[Check Periodo Ref.]:[Check Periodo Ref.]]="Dentro",IF(DATOS_[[Check Equiparado]:[Check Equiparado]]="Sí",IF(DATOS!BH$5="Sí",(1/DATOS_[[% anualiz]:[% anualiz]]),1)*IF(DATOS!BH$4="Sí",1/DATOS_[[% normaliz]:[% normaliz]],1)*(DATOS_[Conc.Sal.30])))))))),
0)</f>
        <v>0</v>
      </c>
      <c r="AN32" s="102">
        <f t="array" ref="AN32">IFERROR(
AVERAGE(IF(DATOS_[Sexo]=$B32,IF(DATOS_[[AGRUP. CLAS. PROF.]:[AGRUP. CLAS. PROF.]]=$B30,IF(DATOS_[Check Equiparado]="Sí",IF(DATOS_[Check Periodo Ref.]="Dentro",DATOS_[Tot COMPL.SAL Eq],FALSE))))),
0)</f>
        <v>0</v>
      </c>
      <c r="AO32" s="103">
        <f t="array" ref="AO32">IFERROR(
AVERAGE(IF(DATOS_[Sexo]=$B32,IF(DATOS_[[AGRUP. CLAS. PROF.]:[AGRUP. CLAS. PROF.]]=$B30,IF(DATOS_[Check Equiparado]="Sí",IF(DATOS_[Check Periodo Ref.]="Dentro",DATOS_[TOTAL SALARIO Eq],FALSE))))),
0)</f>
        <v>0</v>
      </c>
      <c r="AP32" s="104">
        <f t="array" ref="AP32">IFERROR(
(AVERAGE((IF(DATOS_[[Sexo]:[Sexo]]=$B32,IF(DATOS_[[AGRUP. CLAS. PROF.]:[AGRUP. CLAS. PROF.]]=$B30,IF(DATOS_[[Check Periodo Ref.]:[Check Periodo Ref.]]="Dentro",IF(DATOS_[[Check Equiparado]:[Check Equiparado]]="Sí",IF(DATOS!BI$5="Sí",(1/DATOS_[[% anualiz]:[% anualiz]]),1)*IF(DATOS!BI$4="Sí",1/DATOS_[[% normaliz]:[% normaliz]],1)*(DATOS_[C.Extra.01])))))))),
0)</f>
        <v>0</v>
      </c>
      <c r="AQ32" s="104">
        <f t="array" ref="AQ32">IFERROR(
(AVERAGE((IF(DATOS_[[Sexo]:[Sexo]]=$B32,IF(DATOS_[[AGRUP. CLAS. PROF.]:[AGRUP. CLAS. PROF.]]=$B30,IF(DATOS_[[Check Periodo Ref.]:[Check Periodo Ref.]]="Dentro",IF(DATOS_[[Check Equiparado]:[Check Equiparado]]="Sí",IF(DATOS!BJ$5="Sí",(1/DATOS_[[% anualiz]:[% anualiz]]),1)*IF(DATOS!BJ$4="Sí",1/DATOS_[[% normaliz]:[% normaliz]],1)*(DATOS_[C.Extra.02])))))))),
0)</f>
        <v>0</v>
      </c>
      <c r="AR32" s="104">
        <f t="array" ref="AR32">IFERROR(
(AVERAGE((IF(DATOS_[[Sexo]:[Sexo]]=$B32,IF(DATOS_[[AGRUP. CLAS. PROF.]:[AGRUP. CLAS. PROF.]]=$B30,IF(DATOS_[[Check Periodo Ref.]:[Check Periodo Ref.]]="Dentro",IF(DATOS_[[Check Equiparado]:[Check Equiparado]]="Sí",IF(DATOS!BK$5="Sí",(1/DATOS_[[% anualiz]:[% anualiz]]),1)*IF(DATOS!BK$4="Sí",1/DATOS_[[% normaliz]:[% normaliz]],1)*(DATOS_[C.Extra.03])))))))),
0)</f>
        <v>0</v>
      </c>
      <c r="AS32" s="104">
        <f t="array" ref="AS32">IFERROR(
(AVERAGE((IF(DATOS_[[Sexo]:[Sexo]]=$B32,IF(DATOS_[[AGRUP. CLAS. PROF.]:[AGRUP. CLAS. PROF.]]=$B30,IF(DATOS_[[Check Periodo Ref.]:[Check Periodo Ref.]]="Dentro",IF(DATOS_[[Check Equiparado]:[Check Equiparado]]="Sí",IF(DATOS!BL$5="Sí",(1/DATOS_[[% anualiz]:[% anualiz]]),1)*IF(DATOS!BL$4="Sí",1/DATOS_[[% normaliz]:[% normaliz]],1)*(DATOS_[C.Extra.04])))))))),
0)</f>
        <v>0</v>
      </c>
      <c r="AT32" s="104">
        <f t="array" ref="AT32">IFERROR(
(AVERAGE((IF(DATOS_[[Sexo]:[Sexo]]=$B32,IF(DATOS_[[AGRUP. CLAS. PROF.]:[AGRUP. CLAS. PROF.]]=$B30,IF(DATOS_[[Check Periodo Ref.]:[Check Periodo Ref.]]="Dentro",IF(DATOS_[[Check Equiparado]:[Check Equiparado]]="Sí",IF(DATOS!BM$5="Sí",(1/DATOS_[[% anualiz]:[% anualiz]]),1)*IF(DATOS!BM$4="Sí",1/DATOS_[[% normaliz]:[% normaliz]],1)*(DATOS_[C.Extra.05])))))))),
0)</f>
        <v>0</v>
      </c>
      <c r="AU32" s="105">
        <f t="array" ref="AU32">IFERROR(
AVERAGE(IF(DATOS_[Sexo]=$B32,IF(DATOS_[[AGRUP. CLAS. PROF.]:[AGRUP. CLAS. PROF.]]=$B30,IF(DATOS_[Check Equiparado]="Sí",IF(DATOS_[Check Periodo Ref.]="Dentro",DATOS_[Tot Extrasalarial Eq],FALSE))))),
0)</f>
        <v>0</v>
      </c>
      <c r="AV32" s="106">
        <f t="array" ref="AV32">IFERROR(
AVERAGE(IF(DATOS_[Sexo]=$B32,IF(DATOS_[[AGRUP. CLAS. PROF.]:[AGRUP. CLAS. PROF.]]=$B30,IF(DATOS_[Check Equiparado]="Sí",IF(DATOS_[Check Periodo Ref.]="Dentro",DATOS_[TOTAL Retrib Eq],FALSE))))),
0)</f>
        <v>0</v>
      </c>
    </row>
    <row r="33" spans="1:48" ht="17.25" hidden="1" thickBot="1" x14ac:dyDescent="0.35">
      <c r="A33" s="53" t="str">
        <f t="shared" ref="A33" si="27">+A34</f>
        <v>[ocultar]</v>
      </c>
      <c r="B33" s="62" t="s">
        <v>313</v>
      </c>
      <c r="C33" s="99"/>
      <c r="D33" s="63"/>
      <c r="E33" s="63"/>
      <c r="F33" s="63"/>
      <c r="G33" s="63"/>
      <c r="H33" s="63"/>
      <c r="I33" s="129" t="str">
        <f t="shared" ref="I33:AV33" si="28">IFERROR((I34-I35)/I34,"")</f>
        <v/>
      </c>
      <c r="J33" s="130" t="str">
        <f t="shared" si="28"/>
        <v/>
      </c>
      <c r="K33" s="131" t="str">
        <f t="shared" si="28"/>
        <v/>
      </c>
      <c r="L33" s="131" t="str">
        <f t="shared" si="28"/>
        <v/>
      </c>
      <c r="M33" s="131" t="str">
        <f t="shared" si="28"/>
        <v/>
      </c>
      <c r="N33" s="132" t="str">
        <f t="shared" si="28"/>
        <v/>
      </c>
      <c r="O33" s="133" t="str">
        <f t="shared" si="28"/>
        <v/>
      </c>
      <c r="P33" s="133" t="str">
        <f t="shared" si="28"/>
        <v/>
      </c>
      <c r="Q33" s="133" t="str">
        <f t="shared" si="28"/>
        <v/>
      </c>
      <c r="R33" s="133" t="str">
        <f t="shared" si="28"/>
        <v/>
      </c>
      <c r="S33" s="133" t="str">
        <f t="shared" si="28"/>
        <v/>
      </c>
      <c r="T33" s="133" t="str">
        <f t="shared" si="28"/>
        <v/>
      </c>
      <c r="U33" s="133" t="str">
        <f t="shared" si="28"/>
        <v/>
      </c>
      <c r="V33" s="133" t="str">
        <f t="shared" si="28"/>
        <v/>
      </c>
      <c r="W33" s="133" t="str">
        <f t="shared" si="28"/>
        <v/>
      </c>
      <c r="X33" s="133" t="str">
        <f t="shared" si="28"/>
        <v/>
      </c>
      <c r="Y33" s="133" t="str">
        <f t="shared" si="28"/>
        <v/>
      </c>
      <c r="Z33" s="132" t="str">
        <f t="shared" si="28"/>
        <v/>
      </c>
      <c r="AA33" s="132" t="str">
        <f t="shared" si="28"/>
        <v/>
      </c>
      <c r="AB33" s="132" t="str">
        <f t="shared" si="28"/>
        <v/>
      </c>
      <c r="AC33" s="132" t="str">
        <f t="shared" si="28"/>
        <v/>
      </c>
      <c r="AD33" s="132" t="str">
        <f t="shared" si="28"/>
        <v/>
      </c>
      <c r="AE33" s="132" t="str">
        <f t="shared" si="28"/>
        <v/>
      </c>
      <c r="AF33" s="132" t="str">
        <f t="shared" si="28"/>
        <v/>
      </c>
      <c r="AG33" s="132" t="str">
        <f t="shared" si="28"/>
        <v/>
      </c>
      <c r="AH33" s="132" t="str">
        <f t="shared" si="28"/>
        <v/>
      </c>
      <c r="AI33" s="132" t="str">
        <f t="shared" si="28"/>
        <v/>
      </c>
      <c r="AJ33" s="132" t="str">
        <f t="shared" si="28"/>
        <v/>
      </c>
      <c r="AK33" s="132" t="str">
        <f t="shared" si="28"/>
        <v/>
      </c>
      <c r="AL33" s="132" t="str">
        <f t="shared" si="28"/>
        <v/>
      </c>
      <c r="AM33" s="132" t="str">
        <f t="shared" si="28"/>
        <v/>
      </c>
      <c r="AN33" s="134" t="str">
        <f t="shared" si="28"/>
        <v/>
      </c>
      <c r="AO33" s="138" t="str">
        <f t="shared" si="28"/>
        <v/>
      </c>
      <c r="AP33" s="135" t="str">
        <f t="shared" si="28"/>
        <v/>
      </c>
      <c r="AQ33" s="135" t="str">
        <f t="shared" si="28"/>
        <v/>
      </c>
      <c r="AR33" s="135" t="str">
        <f t="shared" si="28"/>
        <v/>
      </c>
      <c r="AS33" s="135" t="str">
        <f t="shared" si="28"/>
        <v/>
      </c>
      <c r="AT33" s="135" t="str">
        <f t="shared" si="28"/>
        <v/>
      </c>
      <c r="AU33" s="136" t="str">
        <f t="shared" si="28"/>
        <v/>
      </c>
      <c r="AV33" s="137" t="str">
        <f t="shared" si="28"/>
        <v/>
      </c>
    </row>
    <row r="34" spans="1:48" hidden="1" x14ac:dyDescent="0.3">
      <c r="A34" s="53" t="str">
        <f t="shared" ref="A34" si="29">+IF(C34+C35=0,"[ocultar]","")</f>
        <v>[ocultar]</v>
      </c>
      <c r="B34" s="57" t="s">
        <v>162</v>
      </c>
      <c r="C34" s="56">
        <f t="array" ref="C34">SUM(IF($B34=DATOS_[Sexo],
IF($B33=DATOS_[AGRUP. CLAS. PROF.],
IF("Dentro"=DATOS_[Check Periodo Ref.],
1/(COUNTIFS(DATOS_[Sexo],$B34,DATOS_[AGRUP. CLAS. PROF.],$B33,DATOS_[Check Periodo Ref.],"Dentro",DATOS_[id],DATOS_[id]))))))</f>
        <v>0</v>
      </c>
      <c r="D34" s="58">
        <f>COUNTIFS(DATOS_[AGRUP. CLAS. PROF.],$B33,DATOS_[Sexo],$B34,DATOS_[Check Periodo Ref.],"Dentro")</f>
        <v>0</v>
      </c>
      <c r="E34" s="58">
        <f>COUNTIFS(DATOS_[AGRUP. CLAS. PROF.],$B33,DATOS_[Sexo],$B34,DATOS_[Check Periodo Ref.],"Dentro",DATOS_[Check Nº SC Norm],"Sí")</f>
        <v>0</v>
      </c>
      <c r="F34" s="58">
        <f>COUNTIFS(DATOS_[AGRUP. CLAS. PROF.],$B33,DATOS_[Sexo],$B34,DATOS_[Check Periodo Ref.],"Dentro",DATOS_[Check Nº SC Anualiz],"Sí")</f>
        <v>0</v>
      </c>
      <c r="G34" s="58">
        <f>COUNTIFS(DATOS_[AGRUP. CLAS. PROF.],$B33,DATOS_[Sexo],$B34,DATOS_[Check Periodo Ref.],"Dentro",DATOS_[Check Nº SC Norm y Anualiz],"Sí")</f>
        <v>0</v>
      </c>
      <c r="H34" s="58">
        <f>COUNTIFS(DATOS_[AGRUP. CLAS. PROF.],$B33,DATOS_[Sexo],$B34,DATOS_[Check Periodo Ref.],"Dentro",DATOS_[Check Equiparación],"Sí")</f>
        <v>0</v>
      </c>
      <c r="I34" s="100">
        <f t="array" ref="I34">IFERROR(
AVERAGE(IF(DATOS_[Sexo]=$B34,IF(DATOS_[[AGRUP. CLAS. PROF.]:[AGRUP. CLAS. PROF.]]=$B33,IF(DATOS_[Check Equiparado]="Sí",IF(DATOS_[Check Periodo Ref.]="Dentro",DATOS_[SALARIO BASE Eq],FALSE))))),
0)</f>
        <v>0</v>
      </c>
      <c r="J34" s="101">
        <f t="array" ref="J34">IFERROR(
(AVERAGE((IF(DATOS_[[Sexo]:[Sexo]]=$B34,IF(DATOS_[[AGRUP. CLAS. PROF.]:[AGRUP. CLAS. PROF.]]=$B33,IF(DATOS_[[Check Periodo Ref.]:[Check Periodo Ref.]]="Dentro",IF(DATOS_[[Check Equiparado]:[Check Equiparado]]="Sí",IF(DATOS!AE$5="Sí",(1/DATOS_[[% anualiz]:[% anualiz]]),1)*IF(DATOS!AE$4="Sí",1/DATOS_[[% normaliz]:[% normaliz]],1)*(DATOS_[Conc.Sal.01])))))))),
0)</f>
        <v>0</v>
      </c>
      <c r="K34" s="101">
        <f t="array" ref="K34">IFERROR(
(AVERAGE((IF(DATOS_[[Sexo]:[Sexo]]=$B34,IF(DATOS_[[AGRUP. CLAS. PROF.]:[AGRUP. CLAS. PROF.]]=$B33,IF(DATOS_[[Check Periodo Ref.]:[Check Periodo Ref.]]="Dentro",IF(DATOS_[[Check Equiparado]:[Check Equiparado]]="Sí",IF(DATOS!AF$5="Sí",(1/DATOS_[[% anualiz]:[% anualiz]]),1)*IF(DATOS!AF$4="Sí",1/DATOS_[[% normaliz]:[% normaliz]],1)*(DATOS_[Conc.Sal.02])))))))),
0)</f>
        <v>0</v>
      </c>
      <c r="L34" s="101">
        <f t="array" ref="L34">IFERROR(
(AVERAGE((IF(DATOS_[[Sexo]:[Sexo]]=$B34,IF(DATOS_[[AGRUP. CLAS. PROF.]:[AGRUP. CLAS. PROF.]]=$B33,IF(DATOS_[[Check Periodo Ref.]:[Check Periodo Ref.]]="Dentro",IF(DATOS_[[Check Equiparado]:[Check Equiparado]]="Sí",IF(DATOS!AG$5="Sí",(1/DATOS_[[% anualiz]:[% anualiz]]),1)*IF(DATOS!AG$4="Sí",1/DATOS_[[% normaliz]:[% normaliz]],1)*(DATOS_[Conc.Sal.03])))))))),
0)</f>
        <v>0</v>
      </c>
      <c r="M34" s="101">
        <f t="array" ref="M34">IFERROR(
(AVERAGE((IF(DATOS_[[Sexo]:[Sexo]]=$B34,IF(DATOS_[[AGRUP. CLAS. PROF.]:[AGRUP. CLAS. PROF.]]=$B33,IF(DATOS_[[Check Periodo Ref.]:[Check Periodo Ref.]]="Dentro",IF(DATOS_[[Check Equiparado]:[Check Equiparado]]="Sí",IF(DATOS!AH$5="Sí",(1/DATOS_[[% anualiz]:[% anualiz]]),1)*IF(DATOS!AH$4="Sí",1/DATOS_[[% normaliz]:[% normaliz]],1)*(DATOS_[Conc.Sal.04])))))))),
0)</f>
        <v>0</v>
      </c>
      <c r="N34" s="101">
        <f t="array" ref="N34">IFERROR(
(AVERAGE((IF(DATOS_[[Sexo]:[Sexo]]=$B34,IF(DATOS_[[AGRUP. CLAS. PROF.]:[AGRUP. CLAS. PROF.]]=$B33,IF(DATOS_[[Check Periodo Ref.]:[Check Periodo Ref.]]="Dentro",IF(DATOS_[[Check Equiparado]:[Check Equiparado]]="Sí",IF(DATOS!AI$5="Sí",(1/DATOS_[[% anualiz]:[% anualiz]]),1)*IF(DATOS!AI$4="Sí",1/DATOS_[[% normaliz]:[% normaliz]],1)*(DATOS_[Conc.Sal.05])))))))),
0)</f>
        <v>0</v>
      </c>
      <c r="O34" s="101">
        <f t="array" ref="O34">IFERROR(
(AVERAGE((IF(DATOS_[[Sexo]:[Sexo]]=$B34,IF(DATOS_[[AGRUP. CLAS. PROF.]:[AGRUP. CLAS. PROF.]]=$B33,IF(DATOS_[[Check Periodo Ref.]:[Check Periodo Ref.]]="Dentro",IF(DATOS_[[Check Equiparado]:[Check Equiparado]]="Sí",IF(DATOS!AJ$5="Sí",(1/DATOS_[[% anualiz]:[% anualiz]]),1)*IF(DATOS!AJ$4="Sí",1/DATOS_[[% normaliz]:[% normaliz]],1)*(DATOS_[Conc.Sal.06])))))))),
0)</f>
        <v>0</v>
      </c>
      <c r="P34" s="101">
        <f t="array" ref="P34">IFERROR(
(AVERAGE((IF(DATOS_[[Sexo]:[Sexo]]=$B34,IF(DATOS_[[AGRUP. CLAS. PROF.]:[AGRUP. CLAS. PROF.]]=$B33,IF(DATOS_[[Check Periodo Ref.]:[Check Periodo Ref.]]="Dentro",IF(DATOS_[[Check Equiparado]:[Check Equiparado]]="Sí",IF(DATOS!AK$5="Sí",(1/DATOS_[[% anualiz]:[% anualiz]]),1)*IF(DATOS!AK$4="Sí",1/DATOS_[[% normaliz]:[% normaliz]],1)*(DATOS_[Conc.Sal.07])))))))),
0)</f>
        <v>0</v>
      </c>
      <c r="Q34" s="101">
        <f t="array" ref="Q34">IFERROR(
(AVERAGE((IF(DATOS_[[Sexo]:[Sexo]]=$B34,IF(DATOS_[[AGRUP. CLAS. PROF.]:[AGRUP. CLAS. PROF.]]=$B33,IF(DATOS_[[Check Periodo Ref.]:[Check Periodo Ref.]]="Dentro",IF(DATOS_[[Check Equiparado]:[Check Equiparado]]="Sí",IF(DATOS!AL$5="Sí",(1/DATOS_[[% anualiz]:[% anualiz]]),1)*IF(DATOS!AL$4="Sí",1/DATOS_[[% normaliz]:[% normaliz]],1)*(DATOS_[Conc.Sal.08])))))))),
0)</f>
        <v>0</v>
      </c>
      <c r="R34" s="101">
        <f t="array" ref="R34">IFERROR(
(AVERAGE((IF(DATOS_[[Sexo]:[Sexo]]=$B34,IF(DATOS_[[AGRUP. CLAS. PROF.]:[AGRUP. CLAS. PROF.]]=$B33,IF(DATOS_[[Check Periodo Ref.]:[Check Periodo Ref.]]="Dentro",IF(DATOS_[[Check Equiparado]:[Check Equiparado]]="Sí",IF(DATOS!AM$5="Sí",(1/DATOS_[[% anualiz]:[% anualiz]]),1)*IF(DATOS!AM$4="Sí",1/DATOS_[[% normaliz]:[% normaliz]],1)*(DATOS_[Conc.Sal.09])))))))),
0)</f>
        <v>0</v>
      </c>
      <c r="S34" s="101">
        <f t="array" ref="S34">IFERROR(
(AVERAGE((IF(DATOS_[[Sexo]:[Sexo]]=$B34,IF(DATOS_[[AGRUP. CLAS. PROF.]:[AGRUP. CLAS. PROF.]]=$B33,IF(DATOS_[[Check Periodo Ref.]:[Check Periodo Ref.]]="Dentro",IF(DATOS_[[Check Equiparado]:[Check Equiparado]]="Sí",IF(DATOS!AN$5="Sí",(1/DATOS_[[% anualiz]:[% anualiz]]),1)*IF(DATOS!AN$4="Sí",1/DATOS_[[% normaliz]:[% normaliz]],1)*(DATOS_[Conc.Sal.10])))))))),
0)</f>
        <v>0</v>
      </c>
      <c r="T34" s="101">
        <f t="array" ref="T34">IFERROR(
(AVERAGE((IF(DATOS_[[Sexo]:[Sexo]]=$B34,IF(DATOS_[[AGRUP. CLAS. PROF.]:[AGRUP. CLAS. PROF.]]=$B33,IF(DATOS_[[Check Periodo Ref.]:[Check Periodo Ref.]]="Dentro",IF(DATOS_[[Check Equiparado]:[Check Equiparado]]="Sí",IF(DATOS!AO$5="Sí",(1/DATOS_[[% anualiz]:[% anualiz]]),1)*IF(DATOS!AO$4="Sí",1/DATOS_[[% normaliz]:[% normaliz]],1)*(DATOS_[Conc.Sal.11])))))))),
0)</f>
        <v>0</v>
      </c>
      <c r="U34" s="101">
        <f t="array" ref="U34">IFERROR(
(AVERAGE((IF(DATOS_[[Sexo]:[Sexo]]=$B34,IF(DATOS_[[AGRUP. CLAS. PROF.]:[AGRUP. CLAS. PROF.]]=$B33,IF(DATOS_[[Check Periodo Ref.]:[Check Periodo Ref.]]="Dentro",IF(DATOS_[[Check Equiparado]:[Check Equiparado]]="Sí",IF(DATOS!AP$5="Sí",(1/DATOS_[[% anualiz]:[% anualiz]]),1)*IF(DATOS!AP$4="Sí",1/DATOS_[[% normaliz]:[% normaliz]],1)*(DATOS_[Conc.Sal.12])))))))),
0)</f>
        <v>0</v>
      </c>
      <c r="V34" s="101">
        <f t="array" ref="V34">IFERROR(
(AVERAGE((IF(DATOS_[[Sexo]:[Sexo]]=$B34,IF(DATOS_[[AGRUP. CLAS. PROF.]:[AGRUP. CLAS. PROF.]]=$B33,IF(DATOS_[[Check Periodo Ref.]:[Check Periodo Ref.]]="Dentro",IF(DATOS_[[Check Equiparado]:[Check Equiparado]]="Sí",IF(DATOS!AQ$5="Sí",(1/DATOS_[[% anualiz]:[% anualiz]]),1)*IF(DATOS!AQ$4="Sí",1/DATOS_[[% normaliz]:[% normaliz]],1)*(DATOS_[Conc.Sal.13])))))))),
0)</f>
        <v>0</v>
      </c>
      <c r="W34" s="101">
        <f t="array" ref="W34">IFERROR(
(AVERAGE((IF(DATOS_[[Sexo]:[Sexo]]=$B34,IF(DATOS_[[AGRUP. CLAS. PROF.]:[AGRUP. CLAS. PROF.]]=$B33,IF(DATOS_[[Check Periodo Ref.]:[Check Periodo Ref.]]="Dentro",IF(DATOS_[[Check Equiparado]:[Check Equiparado]]="Sí",IF(DATOS!AR$5="Sí",(1/DATOS_[[% anualiz]:[% anualiz]]),1)*IF(DATOS!AR$4="Sí",1/DATOS_[[% normaliz]:[% normaliz]],1)*(DATOS_[Conc.Sal.14])))))))),
0)</f>
        <v>0</v>
      </c>
      <c r="X34" s="101">
        <f t="array" ref="X34">IFERROR(
(AVERAGE((IF(DATOS_[[Sexo]:[Sexo]]=$B34,IF(DATOS_[[AGRUP. CLAS. PROF.]:[AGRUP. CLAS. PROF.]]=$B33,IF(DATOS_[[Check Periodo Ref.]:[Check Periodo Ref.]]="Dentro",IF(DATOS_[[Check Equiparado]:[Check Equiparado]]="Sí",IF(DATOS!AS$5="Sí",(1/DATOS_[[% anualiz]:[% anualiz]]),1)*IF(DATOS!AS$4="Sí",1/DATOS_[[% normaliz]:[% normaliz]],1)*(DATOS_[Conc.Sal.15])))))))),
0)</f>
        <v>0</v>
      </c>
      <c r="Y34" s="101">
        <f t="array" ref="Y34">IFERROR(
(AVERAGE((IF(DATOS_[[Sexo]:[Sexo]]=$B34,IF(DATOS_[[AGRUP. CLAS. PROF.]:[AGRUP. CLAS. PROF.]]=$B33,IF(DATOS_[[Check Periodo Ref.]:[Check Periodo Ref.]]="Dentro",IF(DATOS_[[Check Equiparado]:[Check Equiparado]]="Sí",IF(DATOS!AT$5="Sí",(1/DATOS_[[% anualiz]:[% anualiz]]),1)*IF(DATOS!AT$4="Sí",1/DATOS_[[% normaliz]:[% normaliz]],1)*(DATOS_[Conc.Sal.16])))))))),
0)</f>
        <v>0</v>
      </c>
      <c r="Z34" s="101">
        <f t="array" ref="Z34">IFERROR(
(AVERAGE((IF(DATOS_[[Sexo]:[Sexo]]=$B34,IF(DATOS_[[AGRUP. CLAS. PROF.]:[AGRUP. CLAS. PROF.]]=$B33,IF(DATOS_[[Check Periodo Ref.]:[Check Periodo Ref.]]="Dentro",IF(DATOS_[[Check Equiparado]:[Check Equiparado]]="Sí",IF(DATOS!AU$5="Sí",(1/DATOS_[[% anualiz]:[% anualiz]]),1)*IF(DATOS!AU$4="Sí",1/DATOS_[[% normaliz]:[% normaliz]],1)*(DATOS_[Conc.Sal.17])))))))),
0)</f>
        <v>0</v>
      </c>
      <c r="AA34" s="101">
        <f t="array" ref="AA34">IFERROR(
(AVERAGE((IF(DATOS_[[Sexo]:[Sexo]]=$B34,IF(DATOS_[[AGRUP. CLAS. PROF.]:[AGRUP. CLAS. PROF.]]=$B33,IF(DATOS_[[Check Periodo Ref.]:[Check Periodo Ref.]]="Dentro",IF(DATOS_[[Check Equiparado]:[Check Equiparado]]="Sí",IF(DATOS!AV$5="Sí",(1/DATOS_[[% anualiz]:[% anualiz]]),1)*IF(DATOS!AV$4="Sí",1/DATOS_[[% normaliz]:[% normaliz]],1)*(DATOS_[Conc.Sal.18])))))))),
0)</f>
        <v>0</v>
      </c>
      <c r="AB34" s="101">
        <f t="array" ref="AB34">IFERROR(
(AVERAGE((IF(DATOS_[[Sexo]:[Sexo]]=$B34,IF(DATOS_[[AGRUP. CLAS. PROF.]:[AGRUP. CLAS. PROF.]]=$B33,IF(DATOS_[[Check Periodo Ref.]:[Check Periodo Ref.]]="Dentro",IF(DATOS_[[Check Equiparado]:[Check Equiparado]]="Sí",IF(DATOS!AW$5="Sí",(1/DATOS_[[% anualiz]:[% anualiz]]),1)*IF(DATOS!AW$4="Sí",1/DATOS_[[% normaliz]:[% normaliz]],1)*(DATOS_[Conc.Sal.19])))))))),
0)</f>
        <v>0</v>
      </c>
      <c r="AC34" s="101">
        <f t="array" ref="AC34">IFERROR(
(AVERAGE((IF(DATOS_[[Sexo]:[Sexo]]=$B34,IF(DATOS_[[AGRUP. CLAS. PROF.]:[AGRUP. CLAS. PROF.]]=$B33,IF(DATOS_[[Check Periodo Ref.]:[Check Periodo Ref.]]="Dentro",IF(DATOS_[[Check Equiparado]:[Check Equiparado]]="Sí",IF(DATOS!AX$5="Sí",(1/DATOS_[[% anualiz]:[% anualiz]]),1)*IF(DATOS!AX$4="Sí",1/DATOS_[[% normaliz]:[% normaliz]],1)*(DATOS_[Conc.Sal.20])))))))),
0)</f>
        <v>0</v>
      </c>
      <c r="AD34" s="101">
        <f t="array" ref="AD34">IFERROR(
(AVERAGE((IF(DATOS_[[Sexo]:[Sexo]]=$B34,IF(DATOS_[[AGRUP. CLAS. PROF.]:[AGRUP. CLAS. PROF.]]=$B33,IF(DATOS_[[Check Periodo Ref.]:[Check Periodo Ref.]]="Dentro",IF(DATOS_[[Check Equiparado]:[Check Equiparado]]="Sí",IF(DATOS!AY$5="Sí",(1/DATOS_[[% anualiz]:[% anualiz]]),1)*IF(DATOS!AY$4="Sí",1/DATOS_[[% normaliz]:[% normaliz]],1)*(DATOS_[Conc.Sal.21])))))))),
0)</f>
        <v>0</v>
      </c>
      <c r="AE34" s="101">
        <f t="array" ref="AE34">IFERROR(
(AVERAGE((IF(DATOS_[[Sexo]:[Sexo]]=$B34,IF(DATOS_[[AGRUP. CLAS. PROF.]:[AGRUP. CLAS. PROF.]]=$B33,IF(DATOS_[[Check Periodo Ref.]:[Check Periodo Ref.]]="Dentro",IF(DATOS_[[Check Equiparado]:[Check Equiparado]]="Sí",IF(DATOS!AZ$5="Sí",(1/DATOS_[[% anualiz]:[% anualiz]]),1)*IF(DATOS!AZ$4="Sí",1/DATOS_[[% normaliz]:[% normaliz]],1)*(DATOS_[Conc.Sal.22])))))))),
0)</f>
        <v>0</v>
      </c>
      <c r="AF34" s="101">
        <f t="array" ref="AF34">IFERROR(
(AVERAGE((IF(DATOS_[[Sexo]:[Sexo]]=$B34,IF(DATOS_[[AGRUP. CLAS. PROF.]:[AGRUP. CLAS. PROF.]]=$B33,IF(DATOS_[[Check Periodo Ref.]:[Check Periodo Ref.]]="Dentro",IF(DATOS_[[Check Equiparado]:[Check Equiparado]]="Sí",IF(DATOS!BA$5="Sí",(1/DATOS_[[% anualiz]:[% anualiz]]),1)*IF(DATOS!BA$4="Sí",1/DATOS_[[% normaliz]:[% normaliz]],1)*(DATOS_[Conc.Sal.23])))))))),
0)</f>
        <v>0</v>
      </c>
      <c r="AG34" s="101">
        <f t="array" ref="AG34">IFERROR(
(AVERAGE((IF(DATOS_[[Sexo]:[Sexo]]=$B34,IF(DATOS_[[AGRUP. CLAS. PROF.]:[AGRUP. CLAS. PROF.]]=$B33,IF(DATOS_[[Check Periodo Ref.]:[Check Periodo Ref.]]="Dentro",IF(DATOS_[[Check Equiparado]:[Check Equiparado]]="Sí",IF(DATOS!BB$5="Sí",(1/DATOS_[[% anualiz]:[% anualiz]]),1)*IF(DATOS!BB$4="Sí",1/DATOS_[[% normaliz]:[% normaliz]],1)*(DATOS_[Conc.Sal.24])))))))),
0)</f>
        <v>0</v>
      </c>
      <c r="AH34" s="101">
        <f t="array" ref="AH34">IFERROR(
(AVERAGE((IF(DATOS_[[Sexo]:[Sexo]]=$B34,IF(DATOS_[[AGRUP. CLAS. PROF.]:[AGRUP. CLAS. PROF.]]=$B33,IF(DATOS_[[Check Periodo Ref.]:[Check Periodo Ref.]]="Dentro",IF(DATOS_[[Check Equiparado]:[Check Equiparado]]="Sí",IF(DATOS!BC$5="Sí",(1/DATOS_[[% anualiz]:[% anualiz]]),1)*IF(DATOS!BC$4="Sí",1/DATOS_[[% normaliz]:[% normaliz]],1)*(DATOS_[Conc.Sal.25])))))))),
0)</f>
        <v>0</v>
      </c>
      <c r="AI34" s="101">
        <f t="array" ref="AI34">IFERROR(
(AVERAGE((IF(DATOS_[[Sexo]:[Sexo]]=$B34,IF(DATOS_[[AGRUP. CLAS. PROF.]:[AGRUP. CLAS. PROF.]]=$B33,IF(DATOS_[[Check Periodo Ref.]:[Check Periodo Ref.]]="Dentro",IF(DATOS_[[Check Equiparado]:[Check Equiparado]]="Sí",IF(DATOS!BD$5="Sí",(1/DATOS_[[% anualiz]:[% anualiz]]),1)*IF(DATOS!BD$4="Sí",1/DATOS_[[% normaliz]:[% normaliz]],1)*(DATOS_[Conc.Sal.26])))))))),
0)</f>
        <v>0</v>
      </c>
      <c r="AJ34" s="101">
        <f t="array" ref="AJ34">IFERROR(
(AVERAGE((IF(DATOS_[[Sexo]:[Sexo]]=$B34,IF(DATOS_[[AGRUP. CLAS. PROF.]:[AGRUP. CLAS. PROF.]]=$B33,IF(DATOS_[[Check Periodo Ref.]:[Check Periodo Ref.]]="Dentro",IF(DATOS_[[Check Equiparado]:[Check Equiparado]]="Sí",IF(DATOS!BE$5="Sí",(1/DATOS_[[% anualiz]:[% anualiz]]),1)*IF(DATOS!BE$4="Sí",1/DATOS_[[% normaliz]:[% normaliz]],1)*(DATOS_[Conc.Sal.27])))))))),
0)</f>
        <v>0</v>
      </c>
      <c r="AK34" s="101">
        <f t="array" ref="AK34">IFERROR(
(AVERAGE((IF(DATOS_[[Sexo]:[Sexo]]=$B34,IF(DATOS_[[AGRUP. CLAS. PROF.]:[AGRUP. CLAS. PROF.]]=$B33,IF(DATOS_[[Check Periodo Ref.]:[Check Periodo Ref.]]="Dentro",IF(DATOS_[[Check Equiparado]:[Check Equiparado]]="Sí",IF(DATOS!BF$5="Sí",(1/DATOS_[[% anualiz]:[% anualiz]]),1)*IF(DATOS!BF$4="Sí",1/DATOS_[[% normaliz]:[% normaliz]],1)*(DATOS_[Conc.Sal.28])))))))),
0)</f>
        <v>0</v>
      </c>
      <c r="AL34" s="101">
        <f t="array" ref="AL34">IFERROR(
(AVERAGE((IF(DATOS_[[Sexo]:[Sexo]]=$B34,IF(DATOS_[[AGRUP. CLAS. PROF.]:[AGRUP. CLAS. PROF.]]=$B33,IF(DATOS_[[Check Periodo Ref.]:[Check Periodo Ref.]]="Dentro",IF(DATOS_[[Check Equiparado]:[Check Equiparado]]="Sí",IF(DATOS!BG$5="Sí",(1/DATOS_[[% anualiz]:[% anualiz]]),1)*IF(DATOS!BG$4="Sí",1/DATOS_[[% normaliz]:[% normaliz]],1)*(DATOS_[Conc.Sal.29])))))))),
0)</f>
        <v>0</v>
      </c>
      <c r="AM34" s="101">
        <f t="array" ref="AM34">IFERROR(
(AVERAGE((IF(DATOS_[[Sexo]:[Sexo]]=$B34,IF(DATOS_[[AGRUP. CLAS. PROF.]:[AGRUP. CLAS. PROF.]]=$B33,IF(DATOS_[[Check Periodo Ref.]:[Check Periodo Ref.]]="Dentro",IF(DATOS_[[Check Equiparado]:[Check Equiparado]]="Sí",IF(DATOS!BH$5="Sí",(1/DATOS_[[% anualiz]:[% anualiz]]),1)*IF(DATOS!BH$4="Sí",1/DATOS_[[% normaliz]:[% normaliz]],1)*(DATOS_[Conc.Sal.30])))))))),
0)</f>
        <v>0</v>
      </c>
      <c r="AN34" s="102">
        <f t="array" ref="AN34">IFERROR(
AVERAGE(IF(DATOS_[Sexo]=$B34,IF(DATOS_[[AGRUP. CLAS. PROF.]:[AGRUP. CLAS. PROF.]]=$B33,IF(DATOS_[Check Equiparado]="Sí",IF(DATOS_[Check Periodo Ref.]="Dentro",DATOS_[Tot COMPL.SAL Eq],FALSE))))),
0)</f>
        <v>0</v>
      </c>
      <c r="AO34" s="103">
        <f t="array" ref="AO34">IFERROR(
AVERAGE(IF(DATOS_[Sexo]=$B34,IF(DATOS_[[AGRUP. CLAS. PROF.]:[AGRUP. CLAS. PROF.]]=$B33,IF(DATOS_[Check Equiparado]="Sí",IF(DATOS_[Check Periodo Ref.]="Dentro",DATOS_[TOTAL SALARIO Eq],FALSE))))),
0)</f>
        <v>0</v>
      </c>
      <c r="AP34" s="104">
        <f t="array" ref="AP34">IFERROR(
(AVERAGE((IF(DATOS_[[Sexo]:[Sexo]]=$B34,IF(DATOS_[[AGRUP. CLAS. PROF.]:[AGRUP. CLAS. PROF.]]=$B33,IF(DATOS_[[Check Periodo Ref.]:[Check Periodo Ref.]]="Dentro",IF(DATOS_[[Check Equiparado]:[Check Equiparado]]="Sí",IF(DATOS!BI$5="Sí",(1/DATOS_[[% anualiz]:[% anualiz]]),1)*IF(DATOS!BI$4="Sí",1/DATOS_[[% normaliz]:[% normaliz]],1)*(DATOS_[C.Extra.01])))))))),
0)</f>
        <v>0</v>
      </c>
      <c r="AQ34" s="104">
        <f t="array" ref="AQ34">IFERROR(
(AVERAGE((IF(DATOS_[[Sexo]:[Sexo]]=$B34,IF(DATOS_[[AGRUP. CLAS. PROF.]:[AGRUP. CLAS. PROF.]]=$B33,IF(DATOS_[[Check Periodo Ref.]:[Check Periodo Ref.]]="Dentro",IF(DATOS_[[Check Equiparado]:[Check Equiparado]]="Sí",IF(DATOS!BJ$5="Sí",(1/DATOS_[[% anualiz]:[% anualiz]]),1)*IF(DATOS!BJ$4="Sí",1/DATOS_[[% normaliz]:[% normaliz]],1)*(DATOS_[C.Extra.02])))))))),
0)</f>
        <v>0</v>
      </c>
      <c r="AR34" s="104">
        <f t="array" ref="AR34">IFERROR(
(AVERAGE((IF(DATOS_[[Sexo]:[Sexo]]=$B34,IF(DATOS_[[AGRUP. CLAS. PROF.]:[AGRUP. CLAS. PROF.]]=$B33,IF(DATOS_[[Check Periodo Ref.]:[Check Periodo Ref.]]="Dentro",IF(DATOS_[[Check Equiparado]:[Check Equiparado]]="Sí",IF(DATOS!BK$5="Sí",(1/DATOS_[[% anualiz]:[% anualiz]]),1)*IF(DATOS!BK$4="Sí",1/DATOS_[[% normaliz]:[% normaliz]],1)*(DATOS_[C.Extra.03])))))))),
0)</f>
        <v>0</v>
      </c>
      <c r="AS34" s="104">
        <f t="array" ref="AS34">IFERROR(
(AVERAGE((IF(DATOS_[[Sexo]:[Sexo]]=$B34,IF(DATOS_[[AGRUP. CLAS. PROF.]:[AGRUP. CLAS. PROF.]]=$B33,IF(DATOS_[[Check Periodo Ref.]:[Check Periodo Ref.]]="Dentro",IF(DATOS_[[Check Equiparado]:[Check Equiparado]]="Sí",IF(DATOS!BL$5="Sí",(1/DATOS_[[% anualiz]:[% anualiz]]),1)*IF(DATOS!BL$4="Sí",1/DATOS_[[% normaliz]:[% normaliz]],1)*(DATOS_[C.Extra.04])))))))),
0)</f>
        <v>0</v>
      </c>
      <c r="AT34" s="104">
        <f t="array" ref="AT34">IFERROR(
(AVERAGE((IF(DATOS_[[Sexo]:[Sexo]]=$B34,IF(DATOS_[[AGRUP. CLAS. PROF.]:[AGRUP. CLAS. PROF.]]=$B33,IF(DATOS_[[Check Periodo Ref.]:[Check Periodo Ref.]]="Dentro",IF(DATOS_[[Check Equiparado]:[Check Equiparado]]="Sí",IF(DATOS!BM$5="Sí",(1/DATOS_[[% anualiz]:[% anualiz]]),1)*IF(DATOS!BM$4="Sí",1/DATOS_[[% normaliz]:[% normaliz]],1)*(DATOS_[C.Extra.05])))))))),
0)</f>
        <v>0</v>
      </c>
      <c r="AU34" s="105">
        <f t="array" ref="AU34">IFERROR(
AVERAGE(IF(DATOS_[Sexo]=$B34,IF(DATOS_[[AGRUP. CLAS. PROF.]:[AGRUP. CLAS. PROF.]]=$B33,IF(DATOS_[Check Equiparado]="Sí",IF(DATOS_[Check Periodo Ref.]="Dentro",DATOS_[Tot Extrasalarial Eq],FALSE))))),
0)</f>
        <v>0</v>
      </c>
      <c r="AV34" s="106">
        <f t="array" ref="AV34">IFERROR(
AVERAGE(IF(DATOS_[Sexo]=$B34,IF(DATOS_[[AGRUP. CLAS. PROF.]:[AGRUP. CLAS. PROF.]]=$B33,IF(DATOS_[Check Equiparado]="Sí",IF(DATOS_[Check Periodo Ref.]="Dentro",DATOS_[TOTAL Retrib Eq],FALSE))))),
0)</f>
        <v>0</v>
      </c>
    </row>
    <row r="35" spans="1:48" hidden="1" x14ac:dyDescent="0.3">
      <c r="A35" s="53" t="str">
        <f t="shared" ref="A35" si="30">+A34</f>
        <v>[ocultar]</v>
      </c>
      <c r="B35" s="57" t="s">
        <v>163</v>
      </c>
      <c r="C35" s="56">
        <f t="array" ref="C35">SUM(IF($B35=DATOS_[Sexo],
IF($B33=DATOS_[AGRUP. CLAS. PROF.],
IF("Dentro"=DATOS_[Check Periodo Ref.],
1/(COUNTIFS(DATOS_[Sexo],$B35,DATOS_[AGRUP. CLAS. PROF.],$B33,DATOS_[Check Periodo Ref.],"Dentro",DATOS_[id],DATOS_[id]))))))</f>
        <v>0</v>
      </c>
      <c r="D35" s="58">
        <f>COUNTIFS(DATOS_[AGRUP. CLAS. PROF.],$B33,DATOS_[Sexo],$B35,DATOS_[Check Periodo Ref.],"Dentro")</f>
        <v>0</v>
      </c>
      <c r="E35" s="58">
        <f>COUNTIFS(DATOS_[AGRUP. CLAS. PROF.],$B33,DATOS_[Sexo],$B35,DATOS_[Check Periodo Ref.],"Dentro",DATOS_[Check Nº SC Norm],"Sí")</f>
        <v>0</v>
      </c>
      <c r="F35" s="58">
        <f>COUNTIFS(DATOS_[AGRUP. CLAS. PROF.],$B33,DATOS_[Sexo],$B35,DATOS_[Check Periodo Ref.],"Dentro",DATOS_[Check Nº SC Anualiz],"Sí")</f>
        <v>0</v>
      </c>
      <c r="G35" s="58">
        <f>COUNTIFS(DATOS_[AGRUP. CLAS. PROF.],$B33,DATOS_[Sexo],$B35,DATOS_[Check Periodo Ref.],"Dentro",DATOS_[Check Nº SC Norm y Anualiz],"Sí")</f>
        <v>0</v>
      </c>
      <c r="H35" s="58">
        <f>COUNTIFS(DATOS_[AGRUP. CLAS. PROF.],$B33,DATOS_[Sexo],$B35,DATOS_[Check Periodo Ref.],"Dentro",DATOS_[Check Equiparación],"Sí")</f>
        <v>0</v>
      </c>
      <c r="I35" s="100" cm="1">
        <f t="array" ref="I35">IFERROR(
AVERAGE(IF(DATOS_[Sexo]=$B35,IF(DATOS_[[AGRUP. CLAS. PROF.]:[AGRUP. CLAS. PROF.]]=$B33,IF(DATOS_[Check Equiparado]="Sí",IF(DATOS_[Check Periodo Ref.]="Dentro",DATOS_[SALARIO BASE Eq],FALSE))))),
0)</f>
        <v>0</v>
      </c>
      <c r="J35" s="101">
        <f t="array" ref="J35">IFERROR(
(AVERAGE((IF(DATOS_[[Sexo]:[Sexo]]=$B35,IF(DATOS_[[AGRUP. CLAS. PROF.]:[AGRUP. CLAS. PROF.]]=$B33,IF(DATOS_[[Check Periodo Ref.]:[Check Periodo Ref.]]="Dentro",IF(DATOS_[[Check Equiparado]:[Check Equiparado]]="Sí",IF(DATOS!AE$5="Sí",(1/DATOS_[[% anualiz]:[% anualiz]]),1)*IF(DATOS!AE$4="Sí",1/DATOS_[[% normaliz]:[% normaliz]],1)*(DATOS_[Conc.Sal.01])))))))),
0)</f>
        <v>0</v>
      </c>
      <c r="K35" s="101">
        <f t="array" ref="K35">IFERROR(
(AVERAGE((IF(DATOS_[[Sexo]:[Sexo]]=$B35,IF(DATOS_[[AGRUP. CLAS. PROF.]:[AGRUP. CLAS. PROF.]]=$B33,IF(DATOS_[[Check Periodo Ref.]:[Check Periodo Ref.]]="Dentro",IF(DATOS_[[Check Equiparado]:[Check Equiparado]]="Sí",IF(DATOS!AF$5="Sí",(1/DATOS_[[% anualiz]:[% anualiz]]),1)*IF(DATOS!AF$4="Sí",1/DATOS_[[% normaliz]:[% normaliz]],1)*(DATOS_[Conc.Sal.02])))))))),
0)</f>
        <v>0</v>
      </c>
      <c r="L35" s="101">
        <f t="array" ref="L35">IFERROR(
(AVERAGE((IF(DATOS_[[Sexo]:[Sexo]]=$B35,IF(DATOS_[[AGRUP. CLAS. PROF.]:[AGRUP. CLAS. PROF.]]=$B33,IF(DATOS_[[Check Periodo Ref.]:[Check Periodo Ref.]]="Dentro",IF(DATOS_[[Check Equiparado]:[Check Equiparado]]="Sí",IF(DATOS!AG$5="Sí",(1/DATOS_[[% anualiz]:[% anualiz]]),1)*IF(DATOS!AG$4="Sí",1/DATOS_[[% normaliz]:[% normaliz]],1)*(DATOS_[Conc.Sal.03])))))))),
0)</f>
        <v>0</v>
      </c>
      <c r="M35" s="101">
        <f t="array" ref="M35">IFERROR(
(AVERAGE((IF(DATOS_[[Sexo]:[Sexo]]=$B35,IF(DATOS_[[AGRUP. CLAS. PROF.]:[AGRUP. CLAS. PROF.]]=$B33,IF(DATOS_[[Check Periodo Ref.]:[Check Periodo Ref.]]="Dentro",IF(DATOS_[[Check Equiparado]:[Check Equiparado]]="Sí",IF(DATOS!AH$5="Sí",(1/DATOS_[[% anualiz]:[% anualiz]]),1)*IF(DATOS!AH$4="Sí",1/DATOS_[[% normaliz]:[% normaliz]],1)*(DATOS_[Conc.Sal.04])))))))),
0)</f>
        <v>0</v>
      </c>
      <c r="N35" s="101">
        <f t="array" ref="N35">IFERROR(
(AVERAGE((IF(DATOS_[[Sexo]:[Sexo]]=$B35,IF(DATOS_[[AGRUP. CLAS. PROF.]:[AGRUP. CLAS. PROF.]]=$B33,IF(DATOS_[[Check Periodo Ref.]:[Check Periodo Ref.]]="Dentro",IF(DATOS_[[Check Equiparado]:[Check Equiparado]]="Sí",IF(DATOS!AI$5="Sí",(1/DATOS_[[% anualiz]:[% anualiz]]),1)*IF(DATOS!AI$4="Sí",1/DATOS_[[% normaliz]:[% normaliz]],1)*(DATOS_[Conc.Sal.05])))))))),
0)</f>
        <v>0</v>
      </c>
      <c r="O35" s="101">
        <f t="array" ref="O35">IFERROR(
(AVERAGE((IF(DATOS_[[Sexo]:[Sexo]]=$B35,IF(DATOS_[[AGRUP. CLAS. PROF.]:[AGRUP. CLAS. PROF.]]=$B33,IF(DATOS_[[Check Periodo Ref.]:[Check Periodo Ref.]]="Dentro",IF(DATOS_[[Check Equiparado]:[Check Equiparado]]="Sí",IF(DATOS!AJ$5="Sí",(1/DATOS_[[% anualiz]:[% anualiz]]),1)*IF(DATOS!AJ$4="Sí",1/DATOS_[[% normaliz]:[% normaliz]],1)*(DATOS_[Conc.Sal.06])))))))),
0)</f>
        <v>0</v>
      </c>
      <c r="P35" s="101">
        <f t="array" ref="P35">IFERROR(
(AVERAGE((IF(DATOS_[[Sexo]:[Sexo]]=$B35,IF(DATOS_[[AGRUP. CLAS. PROF.]:[AGRUP. CLAS. PROF.]]=$B33,IF(DATOS_[[Check Periodo Ref.]:[Check Periodo Ref.]]="Dentro",IF(DATOS_[[Check Equiparado]:[Check Equiparado]]="Sí",IF(DATOS!AK$5="Sí",(1/DATOS_[[% anualiz]:[% anualiz]]),1)*IF(DATOS!AK$4="Sí",1/DATOS_[[% normaliz]:[% normaliz]],1)*(DATOS_[Conc.Sal.07])))))))),
0)</f>
        <v>0</v>
      </c>
      <c r="Q35" s="101">
        <f t="array" ref="Q35">IFERROR(
(AVERAGE((IF(DATOS_[[Sexo]:[Sexo]]=$B35,IF(DATOS_[[AGRUP. CLAS. PROF.]:[AGRUP. CLAS. PROF.]]=$B33,IF(DATOS_[[Check Periodo Ref.]:[Check Periodo Ref.]]="Dentro",IF(DATOS_[[Check Equiparado]:[Check Equiparado]]="Sí",IF(DATOS!AL$5="Sí",(1/DATOS_[[% anualiz]:[% anualiz]]),1)*IF(DATOS!AL$4="Sí",1/DATOS_[[% normaliz]:[% normaliz]],1)*(DATOS_[Conc.Sal.08])))))))),
0)</f>
        <v>0</v>
      </c>
      <c r="R35" s="101">
        <f t="array" ref="R35">IFERROR(
(AVERAGE((IF(DATOS_[[Sexo]:[Sexo]]=$B35,IF(DATOS_[[AGRUP. CLAS. PROF.]:[AGRUP. CLAS. PROF.]]=$B33,IF(DATOS_[[Check Periodo Ref.]:[Check Periodo Ref.]]="Dentro",IF(DATOS_[[Check Equiparado]:[Check Equiparado]]="Sí",IF(DATOS!AM$5="Sí",(1/DATOS_[[% anualiz]:[% anualiz]]),1)*IF(DATOS!AM$4="Sí",1/DATOS_[[% normaliz]:[% normaliz]],1)*(DATOS_[Conc.Sal.09])))))))),
0)</f>
        <v>0</v>
      </c>
      <c r="S35" s="101">
        <f t="array" ref="S35">IFERROR(
(AVERAGE((IF(DATOS_[[Sexo]:[Sexo]]=$B35,IF(DATOS_[[AGRUP. CLAS. PROF.]:[AGRUP. CLAS. PROF.]]=$B33,IF(DATOS_[[Check Periodo Ref.]:[Check Periodo Ref.]]="Dentro",IF(DATOS_[[Check Equiparado]:[Check Equiparado]]="Sí",IF(DATOS!AN$5="Sí",(1/DATOS_[[% anualiz]:[% anualiz]]),1)*IF(DATOS!AN$4="Sí",1/DATOS_[[% normaliz]:[% normaliz]],1)*(DATOS_[Conc.Sal.10])))))))),
0)</f>
        <v>0</v>
      </c>
      <c r="T35" s="101">
        <f t="array" ref="T35">IFERROR(
(AVERAGE((IF(DATOS_[[Sexo]:[Sexo]]=$B35,IF(DATOS_[[AGRUP. CLAS. PROF.]:[AGRUP. CLAS. PROF.]]=$B33,IF(DATOS_[[Check Periodo Ref.]:[Check Periodo Ref.]]="Dentro",IF(DATOS_[[Check Equiparado]:[Check Equiparado]]="Sí",IF(DATOS!AO$5="Sí",(1/DATOS_[[% anualiz]:[% anualiz]]),1)*IF(DATOS!AO$4="Sí",1/DATOS_[[% normaliz]:[% normaliz]],1)*(DATOS_[Conc.Sal.11])))))))),
0)</f>
        <v>0</v>
      </c>
      <c r="U35" s="101">
        <f t="array" ref="U35">IFERROR(
(AVERAGE((IF(DATOS_[[Sexo]:[Sexo]]=$B35,IF(DATOS_[[AGRUP. CLAS. PROF.]:[AGRUP. CLAS. PROF.]]=$B33,IF(DATOS_[[Check Periodo Ref.]:[Check Periodo Ref.]]="Dentro",IF(DATOS_[[Check Equiparado]:[Check Equiparado]]="Sí",IF(DATOS!AP$5="Sí",(1/DATOS_[[% anualiz]:[% anualiz]]),1)*IF(DATOS!AP$4="Sí",1/DATOS_[[% normaliz]:[% normaliz]],1)*(DATOS_[Conc.Sal.12])))))))),
0)</f>
        <v>0</v>
      </c>
      <c r="V35" s="101">
        <f t="array" ref="V35">IFERROR(
(AVERAGE((IF(DATOS_[[Sexo]:[Sexo]]=$B35,IF(DATOS_[[AGRUP. CLAS. PROF.]:[AGRUP. CLAS. PROF.]]=$B33,IF(DATOS_[[Check Periodo Ref.]:[Check Periodo Ref.]]="Dentro",IF(DATOS_[[Check Equiparado]:[Check Equiparado]]="Sí",IF(DATOS!AQ$5="Sí",(1/DATOS_[[% anualiz]:[% anualiz]]),1)*IF(DATOS!AQ$4="Sí",1/DATOS_[[% normaliz]:[% normaliz]],1)*(DATOS_[Conc.Sal.13])))))))),
0)</f>
        <v>0</v>
      </c>
      <c r="W35" s="101">
        <f t="array" ref="W35">IFERROR(
(AVERAGE((IF(DATOS_[[Sexo]:[Sexo]]=$B35,IF(DATOS_[[AGRUP. CLAS. PROF.]:[AGRUP. CLAS. PROF.]]=$B33,IF(DATOS_[[Check Periodo Ref.]:[Check Periodo Ref.]]="Dentro",IF(DATOS_[[Check Equiparado]:[Check Equiparado]]="Sí",IF(DATOS!AR$5="Sí",(1/DATOS_[[% anualiz]:[% anualiz]]),1)*IF(DATOS!AR$4="Sí",1/DATOS_[[% normaliz]:[% normaliz]],1)*(DATOS_[Conc.Sal.14])))))))),
0)</f>
        <v>0</v>
      </c>
      <c r="X35" s="101">
        <f t="array" ref="X35">IFERROR(
(AVERAGE((IF(DATOS_[[Sexo]:[Sexo]]=$B35,IF(DATOS_[[AGRUP. CLAS. PROF.]:[AGRUP. CLAS. PROF.]]=$B33,IF(DATOS_[[Check Periodo Ref.]:[Check Periodo Ref.]]="Dentro",IF(DATOS_[[Check Equiparado]:[Check Equiparado]]="Sí",IF(DATOS!AS$5="Sí",(1/DATOS_[[% anualiz]:[% anualiz]]),1)*IF(DATOS!AS$4="Sí",1/DATOS_[[% normaliz]:[% normaliz]],1)*(DATOS_[Conc.Sal.15])))))))),
0)</f>
        <v>0</v>
      </c>
      <c r="Y35" s="101">
        <f t="array" ref="Y35">IFERROR(
(AVERAGE((IF(DATOS_[[Sexo]:[Sexo]]=$B35,IF(DATOS_[[AGRUP. CLAS. PROF.]:[AGRUP. CLAS. PROF.]]=$B33,IF(DATOS_[[Check Periodo Ref.]:[Check Periodo Ref.]]="Dentro",IF(DATOS_[[Check Equiparado]:[Check Equiparado]]="Sí",IF(DATOS!AT$5="Sí",(1/DATOS_[[% anualiz]:[% anualiz]]),1)*IF(DATOS!AT$4="Sí",1/DATOS_[[% normaliz]:[% normaliz]],1)*(DATOS_[Conc.Sal.16])))))))),
0)</f>
        <v>0</v>
      </c>
      <c r="Z35" s="101">
        <f t="array" ref="Z35">IFERROR(
(AVERAGE((IF(DATOS_[[Sexo]:[Sexo]]=$B35,IF(DATOS_[[AGRUP. CLAS. PROF.]:[AGRUP. CLAS. PROF.]]=$B33,IF(DATOS_[[Check Periodo Ref.]:[Check Periodo Ref.]]="Dentro",IF(DATOS_[[Check Equiparado]:[Check Equiparado]]="Sí",IF(DATOS!AU$5="Sí",(1/DATOS_[[% anualiz]:[% anualiz]]),1)*IF(DATOS!AU$4="Sí",1/DATOS_[[% normaliz]:[% normaliz]],1)*(DATOS_[Conc.Sal.17])))))))),
0)</f>
        <v>0</v>
      </c>
      <c r="AA35" s="101">
        <f t="array" ref="AA35">IFERROR(
(AVERAGE((IF(DATOS_[[Sexo]:[Sexo]]=$B35,IF(DATOS_[[AGRUP. CLAS. PROF.]:[AGRUP. CLAS. PROF.]]=$B33,IF(DATOS_[[Check Periodo Ref.]:[Check Periodo Ref.]]="Dentro",IF(DATOS_[[Check Equiparado]:[Check Equiparado]]="Sí",IF(DATOS!AV$5="Sí",(1/DATOS_[[% anualiz]:[% anualiz]]),1)*IF(DATOS!AV$4="Sí",1/DATOS_[[% normaliz]:[% normaliz]],1)*(DATOS_[Conc.Sal.18])))))))),
0)</f>
        <v>0</v>
      </c>
      <c r="AB35" s="101">
        <f t="array" ref="AB35">IFERROR(
(AVERAGE((IF(DATOS_[[Sexo]:[Sexo]]=$B35,IF(DATOS_[[AGRUP. CLAS. PROF.]:[AGRUP. CLAS. PROF.]]=$B33,IF(DATOS_[[Check Periodo Ref.]:[Check Periodo Ref.]]="Dentro",IF(DATOS_[[Check Equiparado]:[Check Equiparado]]="Sí",IF(DATOS!AW$5="Sí",(1/DATOS_[[% anualiz]:[% anualiz]]),1)*IF(DATOS!AW$4="Sí",1/DATOS_[[% normaliz]:[% normaliz]],1)*(DATOS_[Conc.Sal.19])))))))),
0)</f>
        <v>0</v>
      </c>
      <c r="AC35" s="101">
        <f t="array" ref="AC35">IFERROR(
(AVERAGE((IF(DATOS_[[Sexo]:[Sexo]]=$B35,IF(DATOS_[[AGRUP. CLAS. PROF.]:[AGRUP. CLAS. PROF.]]=$B33,IF(DATOS_[[Check Periodo Ref.]:[Check Periodo Ref.]]="Dentro",IF(DATOS_[[Check Equiparado]:[Check Equiparado]]="Sí",IF(DATOS!AX$5="Sí",(1/DATOS_[[% anualiz]:[% anualiz]]),1)*IF(DATOS!AX$4="Sí",1/DATOS_[[% normaliz]:[% normaliz]],1)*(DATOS_[Conc.Sal.20])))))))),
0)</f>
        <v>0</v>
      </c>
      <c r="AD35" s="101">
        <f t="array" ref="AD35">IFERROR(
(AVERAGE((IF(DATOS_[[Sexo]:[Sexo]]=$B35,IF(DATOS_[[AGRUP. CLAS. PROF.]:[AGRUP. CLAS. PROF.]]=$B33,IF(DATOS_[[Check Periodo Ref.]:[Check Periodo Ref.]]="Dentro",IF(DATOS_[[Check Equiparado]:[Check Equiparado]]="Sí",IF(DATOS!AY$5="Sí",(1/DATOS_[[% anualiz]:[% anualiz]]),1)*IF(DATOS!AY$4="Sí",1/DATOS_[[% normaliz]:[% normaliz]],1)*(DATOS_[Conc.Sal.21])))))))),
0)</f>
        <v>0</v>
      </c>
      <c r="AE35" s="101">
        <f t="array" ref="AE35">IFERROR(
(AVERAGE((IF(DATOS_[[Sexo]:[Sexo]]=$B35,IF(DATOS_[[AGRUP. CLAS. PROF.]:[AGRUP. CLAS. PROF.]]=$B33,IF(DATOS_[[Check Periodo Ref.]:[Check Periodo Ref.]]="Dentro",IF(DATOS_[[Check Equiparado]:[Check Equiparado]]="Sí",IF(DATOS!AZ$5="Sí",(1/DATOS_[[% anualiz]:[% anualiz]]),1)*IF(DATOS!AZ$4="Sí",1/DATOS_[[% normaliz]:[% normaliz]],1)*(DATOS_[Conc.Sal.22])))))))),
0)</f>
        <v>0</v>
      </c>
      <c r="AF35" s="101">
        <f t="array" ref="AF35">IFERROR(
(AVERAGE((IF(DATOS_[[Sexo]:[Sexo]]=$B35,IF(DATOS_[[AGRUP. CLAS. PROF.]:[AGRUP. CLAS. PROF.]]=$B33,IF(DATOS_[[Check Periodo Ref.]:[Check Periodo Ref.]]="Dentro",IF(DATOS_[[Check Equiparado]:[Check Equiparado]]="Sí",IF(DATOS!BA$5="Sí",(1/DATOS_[[% anualiz]:[% anualiz]]),1)*IF(DATOS!BA$4="Sí",1/DATOS_[[% normaliz]:[% normaliz]],1)*(DATOS_[Conc.Sal.23])))))))),
0)</f>
        <v>0</v>
      </c>
      <c r="AG35" s="101">
        <f t="array" ref="AG35">IFERROR(
(AVERAGE((IF(DATOS_[[Sexo]:[Sexo]]=$B35,IF(DATOS_[[AGRUP. CLAS. PROF.]:[AGRUP. CLAS. PROF.]]=$B33,IF(DATOS_[[Check Periodo Ref.]:[Check Periodo Ref.]]="Dentro",IF(DATOS_[[Check Equiparado]:[Check Equiparado]]="Sí",IF(DATOS!BB$5="Sí",(1/DATOS_[[% anualiz]:[% anualiz]]),1)*IF(DATOS!BB$4="Sí",1/DATOS_[[% normaliz]:[% normaliz]],1)*(DATOS_[Conc.Sal.24])))))))),
0)</f>
        <v>0</v>
      </c>
      <c r="AH35" s="101">
        <f t="array" ref="AH35">IFERROR(
(AVERAGE((IF(DATOS_[[Sexo]:[Sexo]]=$B35,IF(DATOS_[[AGRUP. CLAS. PROF.]:[AGRUP. CLAS. PROF.]]=$B33,IF(DATOS_[[Check Periodo Ref.]:[Check Periodo Ref.]]="Dentro",IF(DATOS_[[Check Equiparado]:[Check Equiparado]]="Sí",IF(DATOS!BC$5="Sí",(1/DATOS_[[% anualiz]:[% anualiz]]),1)*IF(DATOS!BC$4="Sí",1/DATOS_[[% normaliz]:[% normaliz]],1)*(DATOS_[Conc.Sal.25])))))))),
0)</f>
        <v>0</v>
      </c>
      <c r="AI35" s="101">
        <f t="array" ref="AI35">IFERROR(
(AVERAGE((IF(DATOS_[[Sexo]:[Sexo]]=$B35,IF(DATOS_[[AGRUP. CLAS. PROF.]:[AGRUP. CLAS. PROF.]]=$B33,IF(DATOS_[[Check Periodo Ref.]:[Check Periodo Ref.]]="Dentro",IF(DATOS_[[Check Equiparado]:[Check Equiparado]]="Sí",IF(DATOS!BD$5="Sí",(1/DATOS_[[% anualiz]:[% anualiz]]),1)*IF(DATOS!BD$4="Sí",1/DATOS_[[% normaliz]:[% normaliz]],1)*(DATOS_[Conc.Sal.26])))))))),
0)</f>
        <v>0</v>
      </c>
      <c r="AJ35" s="101">
        <f t="array" ref="AJ35">IFERROR(
(AVERAGE((IF(DATOS_[[Sexo]:[Sexo]]=$B35,IF(DATOS_[[AGRUP. CLAS. PROF.]:[AGRUP. CLAS. PROF.]]=$B33,IF(DATOS_[[Check Periodo Ref.]:[Check Periodo Ref.]]="Dentro",IF(DATOS_[[Check Equiparado]:[Check Equiparado]]="Sí",IF(DATOS!BE$5="Sí",(1/DATOS_[[% anualiz]:[% anualiz]]),1)*IF(DATOS!BE$4="Sí",1/DATOS_[[% normaliz]:[% normaliz]],1)*(DATOS_[Conc.Sal.27])))))))),
0)</f>
        <v>0</v>
      </c>
      <c r="AK35" s="101">
        <f t="array" ref="AK35">IFERROR(
(AVERAGE((IF(DATOS_[[Sexo]:[Sexo]]=$B35,IF(DATOS_[[AGRUP. CLAS. PROF.]:[AGRUP. CLAS. PROF.]]=$B33,IF(DATOS_[[Check Periodo Ref.]:[Check Periodo Ref.]]="Dentro",IF(DATOS_[[Check Equiparado]:[Check Equiparado]]="Sí",IF(DATOS!BF$5="Sí",(1/DATOS_[[% anualiz]:[% anualiz]]),1)*IF(DATOS!BF$4="Sí",1/DATOS_[[% normaliz]:[% normaliz]],1)*(DATOS_[Conc.Sal.28])))))))),
0)</f>
        <v>0</v>
      </c>
      <c r="AL35" s="101">
        <f t="array" ref="AL35">IFERROR(
(AVERAGE((IF(DATOS_[[Sexo]:[Sexo]]=$B35,IF(DATOS_[[AGRUP. CLAS. PROF.]:[AGRUP. CLAS. PROF.]]=$B33,IF(DATOS_[[Check Periodo Ref.]:[Check Periodo Ref.]]="Dentro",IF(DATOS_[[Check Equiparado]:[Check Equiparado]]="Sí",IF(DATOS!BG$5="Sí",(1/DATOS_[[% anualiz]:[% anualiz]]),1)*IF(DATOS!BG$4="Sí",1/DATOS_[[% normaliz]:[% normaliz]],1)*(DATOS_[Conc.Sal.29])))))))),
0)</f>
        <v>0</v>
      </c>
      <c r="AM35" s="101">
        <f t="array" ref="AM35">IFERROR(
(AVERAGE((IF(DATOS_[[Sexo]:[Sexo]]=$B35,IF(DATOS_[[AGRUP. CLAS. PROF.]:[AGRUP. CLAS. PROF.]]=$B33,IF(DATOS_[[Check Periodo Ref.]:[Check Periodo Ref.]]="Dentro",IF(DATOS_[[Check Equiparado]:[Check Equiparado]]="Sí",IF(DATOS!BH$5="Sí",(1/DATOS_[[% anualiz]:[% anualiz]]),1)*IF(DATOS!BH$4="Sí",1/DATOS_[[% normaliz]:[% normaliz]],1)*(DATOS_[Conc.Sal.30])))))))),
0)</f>
        <v>0</v>
      </c>
      <c r="AN35" s="102">
        <f t="array" ref="AN35">IFERROR(
AVERAGE(IF(DATOS_[Sexo]=$B35,IF(DATOS_[[AGRUP. CLAS. PROF.]:[AGRUP. CLAS. PROF.]]=$B33,IF(DATOS_[Check Equiparado]="Sí",IF(DATOS_[Check Periodo Ref.]="Dentro",DATOS_[Tot COMPL.SAL Eq],FALSE))))),
0)</f>
        <v>0</v>
      </c>
      <c r="AO35" s="103">
        <f t="array" ref="AO35">IFERROR(
AVERAGE(IF(DATOS_[Sexo]=$B35,IF(DATOS_[[AGRUP. CLAS. PROF.]:[AGRUP. CLAS. PROF.]]=$B33,IF(DATOS_[Check Equiparado]="Sí",IF(DATOS_[Check Periodo Ref.]="Dentro",DATOS_[TOTAL SALARIO Eq],FALSE))))),
0)</f>
        <v>0</v>
      </c>
      <c r="AP35" s="104">
        <f t="array" ref="AP35">IFERROR(
(AVERAGE((IF(DATOS_[[Sexo]:[Sexo]]=$B35,IF(DATOS_[[AGRUP. CLAS. PROF.]:[AGRUP. CLAS. PROF.]]=$B33,IF(DATOS_[[Check Periodo Ref.]:[Check Periodo Ref.]]="Dentro",IF(DATOS_[[Check Equiparado]:[Check Equiparado]]="Sí",IF(DATOS!BI$5="Sí",(1/DATOS_[[% anualiz]:[% anualiz]]),1)*IF(DATOS!BI$4="Sí",1/DATOS_[[% normaliz]:[% normaliz]],1)*(DATOS_[C.Extra.01])))))))),
0)</f>
        <v>0</v>
      </c>
      <c r="AQ35" s="104">
        <f t="array" ref="AQ35">IFERROR(
(AVERAGE((IF(DATOS_[[Sexo]:[Sexo]]=$B35,IF(DATOS_[[AGRUP. CLAS. PROF.]:[AGRUP. CLAS. PROF.]]=$B33,IF(DATOS_[[Check Periodo Ref.]:[Check Periodo Ref.]]="Dentro",IF(DATOS_[[Check Equiparado]:[Check Equiparado]]="Sí",IF(DATOS!BJ$5="Sí",(1/DATOS_[[% anualiz]:[% anualiz]]),1)*IF(DATOS!BJ$4="Sí",1/DATOS_[[% normaliz]:[% normaliz]],1)*(DATOS_[C.Extra.02])))))))),
0)</f>
        <v>0</v>
      </c>
      <c r="AR35" s="104">
        <f t="array" ref="AR35">IFERROR(
(AVERAGE((IF(DATOS_[[Sexo]:[Sexo]]=$B35,IF(DATOS_[[AGRUP. CLAS. PROF.]:[AGRUP. CLAS. PROF.]]=$B33,IF(DATOS_[[Check Periodo Ref.]:[Check Periodo Ref.]]="Dentro",IF(DATOS_[[Check Equiparado]:[Check Equiparado]]="Sí",IF(DATOS!BK$5="Sí",(1/DATOS_[[% anualiz]:[% anualiz]]),1)*IF(DATOS!BK$4="Sí",1/DATOS_[[% normaliz]:[% normaliz]],1)*(DATOS_[C.Extra.03])))))))),
0)</f>
        <v>0</v>
      </c>
      <c r="AS35" s="104">
        <f t="array" ref="AS35">IFERROR(
(AVERAGE((IF(DATOS_[[Sexo]:[Sexo]]=$B35,IF(DATOS_[[AGRUP. CLAS. PROF.]:[AGRUP. CLAS. PROF.]]=$B33,IF(DATOS_[[Check Periodo Ref.]:[Check Periodo Ref.]]="Dentro",IF(DATOS_[[Check Equiparado]:[Check Equiparado]]="Sí",IF(DATOS!BL$5="Sí",(1/DATOS_[[% anualiz]:[% anualiz]]),1)*IF(DATOS!BL$4="Sí",1/DATOS_[[% normaliz]:[% normaliz]],1)*(DATOS_[C.Extra.04])))))))),
0)</f>
        <v>0</v>
      </c>
      <c r="AT35" s="104">
        <f t="array" ref="AT35">IFERROR(
(AVERAGE((IF(DATOS_[[Sexo]:[Sexo]]=$B35,IF(DATOS_[[AGRUP. CLAS. PROF.]:[AGRUP. CLAS. PROF.]]=$B33,IF(DATOS_[[Check Periodo Ref.]:[Check Periodo Ref.]]="Dentro",IF(DATOS_[[Check Equiparado]:[Check Equiparado]]="Sí",IF(DATOS!BM$5="Sí",(1/DATOS_[[% anualiz]:[% anualiz]]),1)*IF(DATOS!BM$4="Sí",1/DATOS_[[% normaliz]:[% normaliz]],1)*(DATOS_[C.Extra.05])))))))),
0)</f>
        <v>0</v>
      </c>
      <c r="AU35" s="105">
        <f t="array" ref="AU35">IFERROR(
AVERAGE(IF(DATOS_[Sexo]=$B35,IF(DATOS_[[AGRUP. CLAS. PROF.]:[AGRUP. CLAS. PROF.]]=$B33,IF(DATOS_[Check Equiparado]="Sí",IF(DATOS_[Check Periodo Ref.]="Dentro",DATOS_[Tot Extrasalarial Eq],FALSE))))),
0)</f>
        <v>0</v>
      </c>
      <c r="AV35" s="106">
        <f t="array" ref="AV35">IFERROR(
AVERAGE(IF(DATOS_[Sexo]=$B35,IF(DATOS_[[AGRUP. CLAS. PROF.]:[AGRUP. CLAS. PROF.]]=$B33,IF(DATOS_[Check Equiparado]="Sí",IF(DATOS_[Check Periodo Ref.]="Dentro",DATOS_[TOTAL Retrib Eq],FALSE))))),
0)</f>
        <v>0</v>
      </c>
    </row>
    <row r="36" spans="1:48" ht="17.25" hidden="1" thickBot="1" x14ac:dyDescent="0.35">
      <c r="A36" s="53" t="str">
        <f t="shared" ref="A36" si="31">+A37</f>
        <v>[ocultar]</v>
      </c>
      <c r="B36" s="62" t="s">
        <v>314</v>
      </c>
      <c r="C36" s="99"/>
      <c r="D36" s="63"/>
      <c r="E36" s="63"/>
      <c r="F36" s="63"/>
      <c r="G36" s="63"/>
      <c r="H36" s="63"/>
      <c r="I36" s="129" t="str">
        <f t="shared" ref="I36:AV36" si="32">IFERROR((I37-I38)/I37,"")</f>
        <v/>
      </c>
      <c r="J36" s="130" t="str">
        <f t="shared" si="32"/>
        <v/>
      </c>
      <c r="K36" s="131" t="str">
        <f t="shared" si="32"/>
        <v/>
      </c>
      <c r="L36" s="131" t="str">
        <f t="shared" si="32"/>
        <v/>
      </c>
      <c r="M36" s="131" t="str">
        <f t="shared" si="32"/>
        <v/>
      </c>
      <c r="N36" s="132" t="str">
        <f t="shared" si="32"/>
        <v/>
      </c>
      <c r="O36" s="133" t="str">
        <f t="shared" si="32"/>
        <v/>
      </c>
      <c r="P36" s="133" t="str">
        <f t="shared" si="32"/>
        <v/>
      </c>
      <c r="Q36" s="133" t="str">
        <f t="shared" si="32"/>
        <v/>
      </c>
      <c r="R36" s="133" t="str">
        <f t="shared" si="32"/>
        <v/>
      </c>
      <c r="S36" s="133" t="str">
        <f t="shared" si="32"/>
        <v/>
      </c>
      <c r="T36" s="133" t="str">
        <f t="shared" si="32"/>
        <v/>
      </c>
      <c r="U36" s="133" t="str">
        <f t="shared" si="32"/>
        <v/>
      </c>
      <c r="V36" s="133" t="str">
        <f t="shared" si="32"/>
        <v/>
      </c>
      <c r="W36" s="133" t="str">
        <f t="shared" si="32"/>
        <v/>
      </c>
      <c r="X36" s="133" t="str">
        <f t="shared" si="32"/>
        <v/>
      </c>
      <c r="Y36" s="133" t="str">
        <f t="shared" si="32"/>
        <v/>
      </c>
      <c r="Z36" s="132" t="str">
        <f t="shared" si="32"/>
        <v/>
      </c>
      <c r="AA36" s="132" t="str">
        <f t="shared" si="32"/>
        <v/>
      </c>
      <c r="AB36" s="132" t="str">
        <f t="shared" si="32"/>
        <v/>
      </c>
      <c r="AC36" s="132" t="str">
        <f t="shared" si="32"/>
        <v/>
      </c>
      <c r="AD36" s="132" t="str">
        <f t="shared" si="32"/>
        <v/>
      </c>
      <c r="AE36" s="132" t="str">
        <f t="shared" si="32"/>
        <v/>
      </c>
      <c r="AF36" s="132" t="str">
        <f t="shared" si="32"/>
        <v/>
      </c>
      <c r="AG36" s="132" t="str">
        <f t="shared" si="32"/>
        <v/>
      </c>
      <c r="AH36" s="132" t="str">
        <f t="shared" si="32"/>
        <v/>
      </c>
      <c r="AI36" s="132" t="str">
        <f t="shared" si="32"/>
        <v/>
      </c>
      <c r="AJ36" s="132" t="str">
        <f t="shared" si="32"/>
        <v/>
      </c>
      <c r="AK36" s="132" t="str">
        <f t="shared" si="32"/>
        <v/>
      </c>
      <c r="AL36" s="132" t="str">
        <f t="shared" si="32"/>
        <v/>
      </c>
      <c r="AM36" s="132" t="str">
        <f t="shared" si="32"/>
        <v/>
      </c>
      <c r="AN36" s="134" t="str">
        <f t="shared" si="32"/>
        <v/>
      </c>
      <c r="AO36" s="138" t="str">
        <f t="shared" si="32"/>
        <v/>
      </c>
      <c r="AP36" s="135" t="str">
        <f t="shared" si="32"/>
        <v/>
      </c>
      <c r="AQ36" s="135" t="str">
        <f t="shared" si="32"/>
        <v/>
      </c>
      <c r="AR36" s="135" t="str">
        <f t="shared" si="32"/>
        <v/>
      </c>
      <c r="AS36" s="135" t="str">
        <f t="shared" si="32"/>
        <v/>
      </c>
      <c r="AT36" s="135" t="str">
        <f t="shared" si="32"/>
        <v/>
      </c>
      <c r="AU36" s="136" t="str">
        <f t="shared" si="32"/>
        <v/>
      </c>
      <c r="AV36" s="137" t="str">
        <f t="shared" si="32"/>
        <v/>
      </c>
    </row>
    <row r="37" spans="1:48" hidden="1" x14ac:dyDescent="0.3">
      <c r="A37" s="53" t="str">
        <f t="shared" ref="A37" si="33">+IF(C37+C38=0,"[ocultar]","")</f>
        <v>[ocultar]</v>
      </c>
      <c r="B37" s="57" t="s">
        <v>162</v>
      </c>
      <c r="C37" s="56">
        <f t="array" ref="C37">SUM(IF($B37=DATOS_[Sexo],
IF($B36=DATOS_[AGRUP. CLAS. PROF.],
IF("Dentro"=DATOS_[Check Periodo Ref.],
1/(COUNTIFS(DATOS_[Sexo],$B37,DATOS_[AGRUP. CLAS. PROF.],$B36,DATOS_[Check Periodo Ref.],"Dentro",DATOS_[id],DATOS_[id]))))))</f>
        <v>0</v>
      </c>
      <c r="D37" s="58">
        <f>COUNTIFS(DATOS_[AGRUP. CLAS. PROF.],$B36,DATOS_[Sexo],$B37,DATOS_[Check Periodo Ref.],"Dentro")</f>
        <v>0</v>
      </c>
      <c r="E37" s="58">
        <f>COUNTIFS(DATOS_[AGRUP. CLAS. PROF.],$B36,DATOS_[Sexo],$B37,DATOS_[Check Periodo Ref.],"Dentro",DATOS_[Check Nº SC Norm],"Sí")</f>
        <v>0</v>
      </c>
      <c r="F37" s="58">
        <f>COUNTIFS(DATOS_[AGRUP. CLAS. PROF.],$B36,DATOS_[Sexo],$B37,DATOS_[Check Periodo Ref.],"Dentro",DATOS_[Check Nº SC Anualiz],"Sí")</f>
        <v>0</v>
      </c>
      <c r="G37" s="58">
        <f>COUNTIFS(DATOS_[AGRUP. CLAS. PROF.],$B36,DATOS_[Sexo],$B37,DATOS_[Check Periodo Ref.],"Dentro",DATOS_[Check Nº SC Norm y Anualiz],"Sí")</f>
        <v>0</v>
      </c>
      <c r="H37" s="58">
        <f>COUNTIFS(DATOS_[AGRUP. CLAS. PROF.],$B36,DATOS_[Sexo],$B37,DATOS_[Check Periodo Ref.],"Dentro",DATOS_[Check Equiparación],"Sí")</f>
        <v>0</v>
      </c>
      <c r="I37" s="100">
        <f t="array" ref="I37">IFERROR(
AVERAGE(IF(DATOS_[Sexo]=$B37,IF(DATOS_[[AGRUP. CLAS. PROF.]:[AGRUP. CLAS. PROF.]]=$B36,IF(DATOS_[Check Equiparado]="Sí",IF(DATOS_[Check Periodo Ref.]="Dentro",DATOS_[SALARIO BASE Eq],FALSE))))),
0)</f>
        <v>0</v>
      </c>
      <c r="J37" s="101">
        <f t="array" ref="J37">IFERROR(
(AVERAGE((IF(DATOS_[[Sexo]:[Sexo]]=$B37,IF(DATOS_[[AGRUP. CLAS. PROF.]:[AGRUP. CLAS. PROF.]]=$B36,IF(DATOS_[[Check Periodo Ref.]:[Check Periodo Ref.]]="Dentro",IF(DATOS_[[Check Equiparado]:[Check Equiparado]]="Sí",IF(DATOS!AE$5="Sí",(1/DATOS_[[% anualiz]:[% anualiz]]),1)*IF(DATOS!AE$4="Sí",1/DATOS_[[% normaliz]:[% normaliz]],1)*(DATOS_[Conc.Sal.01])))))))),
0)</f>
        <v>0</v>
      </c>
      <c r="K37" s="101">
        <f t="array" ref="K37">IFERROR(
(AVERAGE((IF(DATOS_[[Sexo]:[Sexo]]=$B37,IF(DATOS_[[AGRUP. CLAS. PROF.]:[AGRUP. CLAS. PROF.]]=$B36,IF(DATOS_[[Check Periodo Ref.]:[Check Periodo Ref.]]="Dentro",IF(DATOS_[[Check Equiparado]:[Check Equiparado]]="Sí",IF(DATOS!AF$5="Sí",(1/DATOS_[[% anualiz]:[% anualiz]]),1)*IF(DATOS!AF$4="Sí",1/DATOS_[[% normaliz]:[% normaliz]],1)*(DATOS_[Conc.Sal.02])))))))),
0)</f>
        <v>0</v>
      </c>
      <c r="L37" s="101">
        <f t="array" ref="L37">IFERROR(
(AVERAGE((IF(DATOS_[[Sexo]:[Sexo]]=$B37,IF(DATOS_[[AGRUP. CLAS. PROF.]:[AGRUP. CLAS. PROF.]]=$B36,IF(DATOS_[[Check Periodo Ref.]:[Check Periodo Ref.]]="Dentro",IF(DATOS_[[Check Equiparado]:[Check Equiparado]]="Sí",IF(DATOS!AG$5="Sí",(1/DATOS_[[% anualiz]:[% anualiz]]),1)*IF(DATOS!AG$4="Sí",1/DATOS_[[% normaliz]:[% normaliz]],1)*(DATOS_[Conc.Sal.03])))))))),
0)</f>
        <v>0</v>
      </c>
      <c r="M37" s="101">
        <f t="array" ref="M37">IFERROR(
(AVERAGE((IF(DATOS_[[Sexo]:[Sexo]]=$B37,IF(DATOS_[[AGRUP. CLAS. PROF.]:[AGRUP. CLAS. PROF.]]=$B36,IF(DATOS_[[Check Periodo Ref.]:[Check Periodo Ref.]]="Dentro",IF(DATOS_[[Check Equiparado]:[Check Equiparado]]="Sí",IF(DATOS!AH$5="Sí",(1/DATOS_[[% anualiz]:[% anualiz]]),1)*IF(DATOS!AH$4="Sí",1/DATOS_[[% normaliz]:[% normaliz]],1)*(DATOS_[Conc.Sal.04])))))))),
0)</f>
        <v>0</v>
      </c>
      <c r="N37" s="101">
        <f t="array" ref="N37">IFERROR(
(AVERAGE((IF(DATOS_[[Sexo]:[Sexo]]=$B37,IF(DATOS_[[AGRUP. CLAS. PROF.]:[AGRUP. CLAS. PROF.]]=$B36,IF(DATOS_[[Check Periodo Ref.]:[Check Periodo Ref.]]="Dentro",IF(DATOS_[[Check Equiparado]:[Check Equiparado]]="Sí",IF(DATOS!AI$5="Sí",(1/DATOS_[[% anualiz]:[% anualiz]]),1)*IF(DATOS!AI$4="Sí",1/DATOS_[[% normaliz]:[% normaliz]],1)*(DATOS_[Conc.Sal.05])))))))),
0)</f>
        <v>0</v>
      </c>
      <c r="O37" s="101">
        <f t="array" ref="O37">IFERROR(
(AVERAGE((IF(DATOS_[[Sexo]:[Sexo]]=$B37,IF(DATOS_[[AGRUP. CLAS. PROF.]:[AGRUP. CLAS. PROF.]]=$B36,IF(DATOS_[[Check Periodo Ref.]:[Check Periodo Ref.]]="Dentro",IF(DATOS_[[Check Equiparado]:[Check Equiparado]]="Sí",IF(DATOS!AJ$5="Sí",(1/DATOS_[[% anualiz]:[% anualiz]]),1)*IF(DATOS!AJ$4="Sí",1/DATOS_[[% normaliz]:[% normaliz]],1)*(DATOS_[Conc.Sal.06])))))))),
0)</f>
        <v>0</v>
      </c>
      <c r="P37" s="101">
        <f t="array" ref="P37">IFERROR(
(AVERAGE((IF(DATOS_[[Sexo]:[Sexo]]=$B37,IF(DATOS_[[AGRUP. CLAS. PROF.]:[AGRUP. CLAS. PROF.]]=$B36,IF(DATOS_[[Check Periodo Ref.]:[Check Periodo Ref.]]="Dentro",IF(DATOS_[[Check Equiparado]:[Check Equiparado]]="Sí",IF(DATOS!AK$5="Sí",(1/DATOS_[[% anualiz]:[% anualiz]]),1)*IF(DATOS!AK$4="Sí",1/DATOS_[[% normaliz]:[% normaliz]],1)*(DATOS_[Conc.Sal.07])))))))),
0)</f>
        <v>0</v>
      </c>
      <c r="Q37" s="101">
        <f t="array" ref="Q37">IFERROR(
(AVERAGE((IF(DATOS_[[Sexo]:[Sexo]]=$B37,IF(DATOS_[[AGRUP. CLAS. PROF.]:[AGRUP. CLAS. PROF.]]=$B36,IF(DATOS_[[Check Periodo Ref.]:[Check Periodo Ref.]]="Dentro",IF(DATOS_[[Check Equiparado]:[Check Equiparado]]="Sí",IF(DATOS!AL$5="Sí",(1/DATOS_[[% anualiz]:[% anualiz]]),1)*IF(DATOS!AL$4="Sí",1/DATOS_[[% normaliz]:[% normaliz]],1)*(DATOS_[Conc.Sal.08])))))))),
0)</f>
        <v>0</v>
      </c>
      <c r="R37" s="101">
        <f t="array" ref="R37">IFERROR(
(AVERAGE((IF(DATOS_[[Sexo]:[Sexo]]=$B37,IF(DATOS_[[AGRUP. CLAS. PROF.]:[AGRUP. CLAS. PROF.]]=$B36,IF(DATOS_[[Check Periodo Ref.]:[Check Periodo Ref.]]="Dentro",IF(DATOS_[[Check Equiparado]:[Check Equiparado]]="Sí",IF(DATOS!AM$5="Sí",(1/DATOS_[[% anualiz]:[% anualiz]]),1)*IF(DATOS!AM$4="Sí",1/DATOS_[[% normaliz]:[% normaliz]],1)*(DATOS_[Conc.Sal.09])))))))),
0)</f>
        <v>0</v>
      </c>
      <c r="S37" s="101">
        <f t="array" ref="S37">IFERROR(
(AVERAGE((IF(DATOS_[[Sexo]:[Sexo]]=$B37,IF(DATOS_[[AGRUP. CLAS. PROF.]:[AGRUP. CLAS. PROF.]]=$B36,IF(DATOS_[[Check Periodo Ref.]:[Check Periodo Ref.]]="Dentro",IF(DATOS_[[Check Equiparado]:[Check Equiparado]]="Sí",IF(DATOS!AN$5="Sí",(1/DATOS_[[% anualiz]:[% anualiz]]),1)*IF(DATOS!AN$4="Sí",1/DATOS_[[% normaliz]:[% normaliz]],1)*(DATOS_[Conc.Sal.10])))))))),
0)</f>
        <v>0</v>
      </c>
      <c r="T37" s="101">
        <f t="array" ref="T37">IFERROR(
(AVERAGE((IF(DATOS_[[Sexo]:[Sexo]]=$B37,IF(DATOS_[[AGRUP. CLAS. PROF.]:[AGRUP. CLAS. PROF.]]=$B36,IF(DATOS_[[Check Periodo Ref.]:[Check Periodo Ref.]]="Dentro",IF(DATOS_[[Check Equiparado]:[Check Equiparado]]="Sí",IF(DATOS!AO$5="Sí",(1/DATOS_[[% anualiz]:[% anualiz]]),1)*IF(DATOS!AO$4="Sí",1/DATOS_[[% normaliz]:[% normaliz]],1)*(DATOS_[Conc.Sal.11])))))))),
0)</f>
        <v>0</v>
      </c>
      <c r="U37" s="101">
        <f t="array" ref="U37">IFERROR(
(AVERAGE((IF(DATOS_[[Sexo]:[Sexo]]=$B37,IF(DATOS_[[AGRUP. CLAS. PROF.]:[AGRUP. CLAS. PROF.]]=$B36,IF(DATOS_[[Check Periodo Ref.]:[Check Periodo Ref.]]="Dentro",IF(DATOS_[[Check Equiparado]:[Check Equiparado]]="Sí",IF(DATOS!AP$5="Sí",(1/DATOS_[[% anualiz]:[% anualiz]]),1)*IF(DATOS!AP$4="Sí",1/DATOS_[[% normaliz]:[% normaliz]],1)*(DATOS_[Conc.Sal.12])))))))),
0)</f>
        <v>0</v>
      </c>
      <c r="V37" s="101">
        <f t="array" ref="V37">IFERROR(
(AVERAGE((IF(DATOS_[[Sexo]:[Sexo]]=$B37,IF(DATOS_[[AGRUP. CLAS. PROF.]:[AGRUP. CLAS. PROF.]]=$B36,IF(DATOS_[[Check Periodo Ref.]:[Check Periodo Ref.]]="Dentro",IF(DATOS_[[Check Equiparado]:[Check Equiparado]]="Sí",IF(DATOS!AQ$5="Sí",(1/DATOS_[[% anualiz]:[% anualiz]]),1)*IF(DATOS!AQ$4="Sí",1/DATOS_[[% normaliz]:[% normaliz]],1)*(DATOS_[Conc.Sal.13])))))))),
0)</f>
        <v>0</v>
      </c>
      <c r="W37" s="101">
        <f t="array" ref="W37">IFERROR(
(AVERAGE((IF(DATOS_[[Sexo]:[Sexo]]=$B37,IF(DATOS_[[AGRUP. CLAS. PROF.]:[AGRUP. CLAS. PROF.]]=$B36,IF(DATOS_[[Check Periodo Ref.]:[Check Periodo Ref.]]="Dentro",IF(DATOS_[[Check Equiparado]:[Check Equiparado]]="Sí",IF(DATOS!AR$5="Sí",(1/DATOS_[[% anualiz]:[% anualiz]]),1)*IF(DATOS!AR$4="Sí",1/DATOS_[[% normaliz]:[% normaliz]],1)*(DATOS_[Conc.Sal.14])))))))),
0)</f>
        <v>0</v>
      </c>
      <c r="X37" s="101">
        <f t="array" ref="X37">IFERROR(
(AVERAGE((IF(DATOS_[[Sexo]:[Sexo]]=$B37,IF(DATOS_[[AGRUP. CLAS. PROF.]:[AGRUP. CLAS. PROF.]]=$B36,IF(DATOS_[[Check Periodo Ref.]:[Check Periodo Ref.]]="Dentro",IF(DATOS_[[Check Equiparado]:[Check Equiparado]]="Sí",IF(DATOS!AS$5="Sí",(1/DATOS_[[% anualiz]:[% anualiz]]),1)*IF(DATOS!AS$4="Sí",1/DATOS_[[% normaliz]:[% normaliz]],1)*(DATOS_[Conc.Sal.15])))))))),
0)</f>
        <v>0</v>
      </c>
      <c r="Y37" s="101">
        <f t="array" ref="Y37">IFERROR(
(AVERAGE((IF(DATOS_[[Sexo]:[Sexo]]=$B37,IF(DATOS_[[AGRUP. CLAS. PROF.]:[AGRUP. CLAS. PROF.]]=$B36,IF(DATOS_[[Check Periodo Ref.]:[Check Periodo Ref.]]="Dentro",IF(DATOS_[[Check Equiparado]:[Check Equiparado]]="Sí",IF(DATOS!AT$5="Sí",(1/DATOS_[[% anualiz]:[% anualiz]]),1)*IF(DATOS!AT$4="Sí",1/DATOS_[[% normaliz]:[% normaliz]],1)*(DATOS_[Conc.Sal.16])))))))),
0)</f>
        <v>0</v>
      </c>
      <c r="Z37" s="101">
        <f t="array" ref="Z37">IFERROR(
(AVERAGE((IF(DATOS_[[Sexo]:[Sexo]]=$B37,IF(DATOS_[[AGRUP. CLAS. PROF.]:[AGRUP. CLAS. PROF.]]=$B36,IF(DATOS_[[Check Periodo Ref.]:[Check Periodo Ref.]]="Dentro",IF(DATOS_[[Check Equiparado]:[Check Equiparado]]="Sí",IF(DATOS!AU$5="Sí",(1/DATOS_[[% anualiz]:[% anualiz]]),1)*IF(DATOS!AU$4="Sí",1/DATOS_[[% normaliz]:[% normaliz]],1)*(DATOS_[Conc.Sal.17])))))))),
0)</f>
        <v>0</v>
      </c>
      <c r="AA37" s="101">
        <f t="array" ref="AA37">IFERROR(
(AVERAGE((IF(DATOS_[[Sexo]:[Sexo]]=$B37,IF(DATOS_[[AGRUP. CLAS. PROF.]:[AGRUP. CLAS. PROF.]]=$B36,IF(DATOS_[[Check Periodo Ref.]:[Check Periodo Ref.]]="Dentro",IF(DATOS_[[Check Equiparado]:[Check Equiparado]]="Sí",IF(DATOS!AV$5="Sí",(1/DATOS_[[% anualiz]:[% anualiz]]),1)*IF(DATOS!AV$4="Sí",1/DATOS_[[% normaliz]:[% normaliz]],1)*(DATOS_[Conc.Sal.18])))))))),
0)</f>
        <v>0</v>
      </c>
      <c r="AB37" s="101">
        <f t="array" ref="AB37">IFERROR(
(AVERAGE((IF(DATOS_[[Sexo]:[Sexo]]=$B37,IF(DATOS_[[AGRUP. CLAS. PROF.]:[AGRUP. CLAS. PROF.]]=$B36,IF(DATOS_[[Check Periodo Ref.]:[Check Periodo Ref.]]="Dentro",IF(DATOS_[[Check Equiparado]:[Check Equiparado]]="Sí",IF(DATOS!AW$5="Sí",(1/DATOS_[[% anualiz]:[% anualiz]]),1)*IF(DATOS!AW$4="Sí",1/DATOS_[[% normaliz]:[% normaliz]],1)*(DATOS_[Conc.Sal.19])))))))),
0)</f>
        <v>0</v>
      </c>
      <c r="AC37" s="101">
        <f t="array" ref="AC37">IFERROR(
(AVERAGE((IF(DATOS_[[Sexo]:[Sexo]]=$B37,IF(DATOS_[[AGRUP. CLAS. PROF.]:[AGRUP. CLAS. PROF.]]=$B36,IF(DATOS_[[Check Periodo Ref.]:[Check Periodo Ref.]]="Dentro",IF(DATOS_[[Check Equiparado]:[Check Equiparado]]="Sí",IF(DATOS!AX$5="Sí",(1/DATOS_[[% anualiz]:[% anualiz]]),1)*IF(DATOS!AX$4="Sí",1/DATOS_[[% normaliz]:[% normaliz]],1)*(DATOS_[Conc.Sal.20])))))))),
0)</f>
        <v>0</v>
      </c>
      <c r="AD37" s="101">
        <f t="array" ref="AD37">IFERROR(
(AVERAGE((IF(DATOS_[[Sexo]:[Sexo]]=$B37,IF(DATOS_[[AGRUP. CLAS. PROF.]:[AGRUP. CLAS. PROF.]]=$B36,IF(DATOS_[[Check Periodo Ref.]:[Check Periodo Ref.]]="Dentro",IF(DATOS_[[Check Equiparado]:[Check Equiparado]]="Sí",IF(DATOS!AY$5="Sí",(1/DATOS_[[% anualiz]:[% anualiz]]),1)*IF(DATOS!AY$4="Sí",1/DATOS_[[% normaliz]:[% normaliz]],1)*(DATOS_[Conc.Sal.21])))))))),
0)</f>
        <v>0</v>
      </c>
      <c r="AE37" s="101">
        <f t="array" ref="AE37">IFERROR(
(AVERAGE((IF(DATOS_[[Sexo]:[Sexo]]=$B37,IF(DATOS_[[AGRUP. CLAS. PROF.]:[AGRUP. CLAS. PROF.]]=$B36,IF(DATOS_[[Check Periodo Ref.]:[Check Periodo Ref.]]="Dentro",IF(DATOS_[[Check Equiparado]:[Check Equiparado]]="Sí",IF(DATOS!AZ$5="Sí",(1/DATOS_[[% anualiz]:[% anualiz]]),1)*IF(DATOS!AZ$4="Sí",1/DATOS_[[% normaliz]:[% normaliz]],1)*(DATOS_[Conc.Sal.22])))))))),
0)</f>
        <v>0</v>
      </c>
      <c r="AF37" s="101">
        <f t="array" ref="AF37">IFERROR(
(AVERAGE((IF(DATOS_[[Sexo]:[Sexo]]=$B37,IF(DATOS_[[AGRUP. CLAS. PROF.]:[AGRUP. CLAS. PROF.]]=$B36,IF(DATOS_[[Check Periodo Ref.]:[Check Periodo Ref.]]="Dentro",IF(DATOS_[[Check Equiparado]:[Check Equiparado]]="Sí",IF(DATOS!BA$5="Sí",(1/DATOS_[[% anualiz]:[% anualiz]]),1)*IF(DATOS!BA$4="Sí",1/DATOS_[[% normaliz]:[% normaliz]],1)*(DATOS_[Conc.Sal.23])))))))),
0)</f>
        <v>0</v>
      </c>
      <c r="AG37" s="101">
        <f t="array" ref="AG37">IFERROR(
(AVERAGE((IF(DATOS_[[Sexo]:[Sexo]]=$B37,IF(DATOS_[[AGRUP. CLAS. PROF.]:[AGRUP. CLAS. PROF.]]=$B36,IF(DATOS_[[Check Periodo Ref.]:[Check Periodo Ref.]]="Dentro",IF(DATOS_[[Check Equiparado]:[Check Equiparado]]="Sí",IF(DATOS!BB$5="Sí",(1/DATOS_[[% anualiz]:[% anualiz]]),1)*IF(DATOS!BB$4="Sí",1/DATOS_[[% normaliz]:[% normaliz]],1)*(DATOS_[Conc.Sal.24])))))))),
0)</f>
        <v>0</v>
      </c>
      <c r="AH37" s="101">
        <f t="array" ref="AH37">IFERROR(
(AVERAGE((IF(DATOS_[[Sexo]:[Sexo]]=$B37,IF(DATOS_[[AGRUP. CLAS. PROF.]:[AGRUP. CLAS. PROF.]]=$B36,IF(DATOS_[[Check Periodo Ref.]:[Check Periodo Ref.]]="Dentro",IF(DATOS_[[Check Equiparado]:[Check Equiparado]]="Sí",IF(DATOS!BC$5="Sí",(1/DATOS_[[% anualiz]:[% anualiz]]),1)*IF(DATOS!BC$4="Sí",1/DATOS_[[% normaliz]:[% normaliz]],1)*(DATOS_[Conc.Sal.25])))))))),
0)</f>
        <v>0</v>
      </c>
      <c r="AI37" s="101">
        <f t="array" ref="AI37">IFERROR(
(AVERAGE((IF(DATOS_[[Sexo]:[Sexo]]=$B37,IF(DATOS_[[AGRUP. CLAS. PROF.]:[AGRUP. CLAS. PROF.]]=$B36,IF(DATOS_[[Check Periodo Ref.]:[Check Periodo Ref.]]="Dentro",IF(DATOS_[[Check Equiparado]:[Check Equiparado]]="Sí",IF(DATOS!BD$5="Sí",(1/DATOS_[[% anualiz]:[% anualiz]]),1)*IF(DATOS!BD$4="Sí",1/DATOS_[[% normaliz]:[% normaliz]],1)*(DATOS_[Conc.Sal.26])))))))),
0)</f>
        <v>0</v>
      </c>
      <c r="AJ37" s="101">
        <f t="array" ref="AJ37">IFERROR(
(AVERAGE((IF(DATOS_[[Sexo]:[Sexo]]=$B37,IF(DATOS_[[AGRUP. CLAS. PROF.]:[AGRUP. CLAS. PROF.]]=$B36,IF(DATOS_[[Check Periodo Ref.]:[Check Periodo Ref.]]="Dentro",IF(DATOS_[[Check Equiparado]:[Check Equiparado]]="Sí",IF(DATOS!BE$5="Sí",(1/DATOS_[[% anualiz]:[% anualiz]]),1)*IF(DATOS!BE$4="Sí",1/DATOS_[[% normaliz]:[% normaliz]],1)*(DATOS_[Conc.Sal.27])))))))),
0)</f>
        <v>0</v>
      </c>
      <c r="AK37" s="101">
        <f t="array" ref="AK37">IFERROR(
(AVERAGE((IF(DATOS_[[Sexo]:[Sexo]]=$B37,IF(DATOS_[[AGRUP. CLAS. PROF.]:[AGRUP. CLAS. PROF.]]=$B36,IF(DATOS_[[Check Periodo Ref.]:[Check Periodo Ref.]]="Dentro",IF(DATOS_[[Check Equiparado]:[Check Equiparado]]="Sí",IF(DATOS!BF$5="Sí",(1/DATOS_[[% anualiz]:[% anualiz]]),1)*IF(DATOS!BF$4="Sí",1/DATOS_[[% normaliz]:[% normaliz]],1)*(DATOS_[Conc.Sal.28])))))))),
0)</f>
        <v>0</v>
      </c>
      <c r="AL37" s="101">
        <f t="array" ref="AL37">IFERROR(
(AVERAGE((IF(DATOS_[[Sexo]:[Sexo]]=$B37,IF(DATOS_[[AGRUP. CLAS. PROF.]:[AGRUP. CLAS. PROF.]]=$B36,IF(DATOS_[[Check Periodo Ref.]:[Check Periodo Ref.]]="Dentro",IF(DATOS_[[Check Equiparado]:[Check Equiparado]]="Sí",IF(DATOS!BG$5="Sí",(1/DATOS_[[% anualiz]:[% anualiz]]),1)*IF(DATOS!BG$4="Sí",1/DATOS_[[% normaliz]:[% normaliz]],1)*(DATOS_[Conc.Sal.29])))))))),
0)</f>
        <v>0</v>
      </c>
      <c r="AM37" s="101">
        <f t="array" ref="AM37">IFERROR(
(AVERAGE((IF(DATOS_[[Sexo]:[Sexo]]=$B37,IF(DATOS_[[AGRUP. CLAS. PROF.]:[AGRUP. CLAS. PROF.]]=$B36,IF(DATOS_[[Check Periodo Ref.]:[Check Periodo Ref.]]="Dentro",IF(DATOS_[[Check Equiparado]:[Check Equiparado]]="Sí",IF(DATOS!BH$5="Sí",(1/DATOS_[[% anualiz]:[% anualiz]]),1)*IF(DATOS!BH$4="Sí",1/DATOS_[[% normaliz]:[% normaliz]],1)*(DATOS_[Conc.Sal.30])))))))),
0)</f>
        <v>0</v>
      </c>
      <c r="AN37" s="102">
        <f t="array" ref="AN37">IFERROR(
AVERAGE(IF(DATOS_[Sexo]=$B37,IF(DATOS_[[AGRUP. CLAS. PROF.]:[AGRUP. CLAS. PROF.]]=$B36,IF(DATOS_[Check Equiparado]="Sí",IF(DATOS_[Check Periodo Ref.]="Dentro",DATOS_[Tot COMPL.SAL Eq],FALSE))))),
0)</f>
        <v>0</v>
      </c>
      <c r="AO37" s="103">
        <f t="array" ref="AO37">IFERROR(
AVERAGE(IF(DATOS_[Sexo]=$B37,IF(DATOS_[[AGRUP. CLAS. PROF.]:[AGRUP. CLAS. PROF.]]=$B36,IF(DATOS_[Check Equiparado]="Sí",IF(DATOS_[Check Periodo Ref.]="Dentro",DATOS_[TOTAL SALARIO Eq],FALSE))))),
0)</f>
        <v>0</v>
      </c>
      <c r="AP37" s="104">
        <f t="array" ref="AP37">IFERROR(
(AVERAGE((IF(DATOS_[[Sexo]:[Sexo]]=$B37,IF(DATOS_[[AGRUP. CLAS. PROF.]:[AGRUP. CLAS. PROF.]]=$B36,IF(DATOS_[[Check Periodo Ref.]:[Check Periodo Ref.]]="Dentro",IF(DATOS_[[Check Equiparado]:[Check Equiparado]]="Sí",IF(DATOS!BI$5="Sí",(1/DATOS_[[% anualiz]:[% anualiz]]),1)*IF(DATOS!BI$4="Sí",1/DATOS_[[% normaliz]:[% normaliz]],1)*(DATOS_[C.Extra.01])))))))),
0)</f>
        <v>0</v>
      </c>
      <c r="AQ37" s="104">
        <f t="array" ref="AQ37">IFERROR(
(AVERAGE((IF(DATOS_[[Sexo]:[Sexo]]=$B37,IF(DATOS_[[AGRUP. CLAS. PROF.]:[AGRUP. CLAS. PROF.]]=$B36,IF(DATOS_[[Check Periodo Ref.]:[Check Periodo Ref.]]="Dentro",IF(DATOS_[[Check Equiparado]:[Check Equiparado]]="Sí",IF(DATOS!BJ$5="Sí",(1/DATOS_[[% anualiz]:[% anualiz]]),1)*IF(DATOS!BJ$4="Sí",1/DATOS_[[% normaliz]:[% normaliz]],1)*(DATOS_[C.Extra.02])))))))),
0)</f>
        <v>0</v>
      </c>
      <c r="AR37" s="104">
        <f t="array" ref="AR37">IFERROR(
(AVERAGE((IF(DATOS_[[Sexo]:[Sexo]]=$B37,IF(DATOS_[[AGRUP. CLAS. PROF.]:[AGRUP. CLAS. PROF.]]=$B36,IF(DATOS_[[Check Periodo Ref.]:[Check Periodo Ref.]]="Dentro",IF(DATOS_[[Check Equiparado]:[Check Equiparado]]="Sí",IF(DATOS!BK$5="Sí",(1/DATOS_[[% anualiz]:[% anualiz]]),1)*IF(DATOS!BK$4="Sí",1/DATOS_[[% normaliz]:[% normaliz]],1)*(DATOS_[C.Extra.03])))))))),
0)</f>
        <v>0</v>
      </c>
      <c r="AS37" s="104">
        <f t="array" ref="AS37">IFERROR(
(AVERAGE((IF(DATOS_[[Sexo]:[Sexo]]=$B37,IF(DATOS_[[AGRUP. CLAS. PROF.]:[AGRUP. CLAS. PROF.]]=$B36,IF(DATOS_[[Check Periodo Ref.]:[Check Periodo Ref.]]="Dentro",IF(DATOS_[[Check Equiparado]:[Check Equiparado]]="Sí",IF(DATOS!BL$5="Sí",(1/DATOS_[[% anualiz]:[% anualiz]]),1)*IF(DATOS!BL$4="Sí",1/DATOS_[[% normaliz]:[% normaliz]],1)*(DATOS_[C.Extra.04])))))))),
0)</f>
        <v>0</v>
      </c>
      <c r="AT37" s="104">
        <f t="array" ref="AT37">IFERROR(
(AVERAGE((IF(DATOS_[[Sexo]:[Sexo]]=$B37,IF(DATOS_[[AGRUP. CLAS. PROF.]:[AGRUP. CLAS. PROF.]]=$B36,IF(DATOS_[[Check Periodo Ref.]:[Check Periodo Ref.]]="Dentro",IF(DATOS_[[Check Equiparado]:[Check Equiparado]]="Sí",IF(DATOS!BM$5="Sí",(1/DATOS_[[% anualiz]:[% anualiz]]),1)*IF(DATOS!BM$4="Sí",1/DATOS_[[% normaliz]:[% normaliz]],1)*(DATOS_[C.Extra.05])))))))),
0)</f>
        <v>0</v>
      </c>
      <c r="AU37" s="105">
        <f t="array" ref="AU37">IFERROR(
AVERAGE(IF(DATOS_[Sexo]=$B37,IF(DATOS_[[AGRUP. CLAS. PROF.]:[AGRUP. CLAS. PROF.]]=$B36,IF(DATOS_[Check Equiparado]="Sí",IF(DATOS_[Check Periodo Ref.]="Dentro",DATOS_[Tot Extrasalarial Eq],FALSE))))),
0)</f>
        <v>0</v>
      </c>
      <c r="AV37" s="106">
        <f t="array" ref="AV37">IFERROR(
AVERAGE(IF(DATOS_[Sexo]=$B37,IF(DATOS_[[AGRUP. CLAS. PROF.]:[AGRUP. CLAS. PROF.]]=$B36,IF(DATOS_[Check Equiparado]="Sí",IF(DATOS_[Check Periodo Ref.]="Dentro",DATOS_[TOTAL Retrib Eq],FALSE))))),
0)</f>
        <v>0</v>
      </c>
    </row>
    <row r="38" spans="1:48" hidden="1" x14ac:dyDescent="0.3">
      <c r="A38" s="53" t="str">
        <f t="shared" ref="A38" si="34">+A37</f>
        <v>[ocultar]</v>
      </c>
      <c r="B38" s="57" t="s">
        <v>163</v>
      </c>
      <c r="C38" s="56">
        <f t="array" ref="C38">SUM(IF($B38=DATOS_[Sexo],
IF($B36=DATOS_[AGRUP. CLAS. PROF.],
IF("Dentro"=DATOS_[Check Periodo Ref.],
1/(COUNTIFS(DATOS_[Sexo],$B38,DATOS_[AGRUP. CLAS. PROF.],$B36,DATOS_[Check Periodo Ref.],"Dentro",DATOS_[id],DATOS_[id]))))))</f>
        <v>0</v>
      </c>
      <c r="D38" s="58">
        <f>COUNTIFS(DATOS_[AGRUP. CLAS. PROF.],$B36,DATOS_[Sexo],$B38,DATOS_[Check Periodo Ref.],"Dentro")</f>
        <v>0</v>
      </c>
      <c r="E38" s="58">
        <f>COUNTIFS(DATOS_[AGRUP. CLAS. PROF.],$B36,DATOS_[Sexo],$B38,DATOS_[Check Periodo Ref.],"Dentro",DATOS_[Check Nº SC Norm],"Sí")</f>
        <v>0</v>
      </c>
      <c r="F38" s="58">
        <f>COUNTIFS(DATOS_[AGRUP. CLAS. PROF.],$B36,DATOS_[Sexo],$B38,DATOS_[Check Periodo Ref.],"Dentro",DATOS_[Check Nº SC Anualiz],"Sí")</f>
        <v>0</v>
      </c>
      <c r="G38" s="58">
        <f>COUNTIFS(DATOS_[AGRUP. CLAS. PROF.],$B36,DATOS_[Sexo],$B38,DATOS_[Check Periodo Ref.],"Dentro",DATOS_[Check Nº SC Norm y Anualiz],"Sí")</f>
        <v>0</v>
      </c>
      <c r="H38" s="58">
        <f>COUNTIFS(DATOS_[AGRUP. CLAS. PROF.],$B36,DATOS_[Sexo],$B38,DATOS_[Check Periodo Ref.],"Dentro",DATOS_[Check Equiparación],"Sí")</f>
        <v>0</v>
      </c>
      <c r="I38" s="100" cm="1">
        <f t="array" ref="I38">IFERROR(
AVERAGE(IF(DATOS_[Sexo]=$B38,IF(DATOS_[[AGRUP. CLAS. PROF.]:[AGRUP. CLAS. PROF.]]=$B36,IF(DATOS_[Check Equiparado]="Sí",IF(DATOS_[Check Periodo Ref.]="Dentro",DATOS_[SALARIO BASE Eq],FALSE))))),
0)</f>
        <v>0</v>
      </c>
      <c r="J38" s="101">
        <f t="array" ref="J38">IFERROR(
(AVERAGE((IF(DATOS_[[Sexo]:[Sexo]]=$B38,IF(DATOS_[[AGRUP. CLAS. PROF.]:[AGRUP. CLAS. PROF.]]=$B36,IF(DATOS_[[Check Periodo Ref.]:[Check Periodo Ref.]]="Dentro",IF(DATOS_[[Check Equiparado]:[Check Equiparado]]="Sí",IF(DATOS!AE$5="Sí",(1/DATOS_[[% anualiz]:[% anualiz]]),1)*IF(DATOS!AE$4="Sí",1/DATOS_[[% normaliz]:[% normaliz]],1)*(DATOS_[Conc.Sal.01])))))))),
0)</f>
        <v>0</v>
      </c>
      <c r="K38" s="101">
        <f t="array" ref="K38">IFERROR(
(AVERAGE((IF(DATOS_[[Sexo]:[Sexo]]=$B38,IF(DATOS_[[AGRUP. CLAS. PROF.]:[AGRUP. CLAS. PROF.]]=$B36,IF(DATOS_[[Check Periodo Ref.]:[Check Periodo Ref.]]="Dentro",IF(DATOS_[[Check Equiparado]:[Check Equiparado]]="Sí",IF(DATOS!AF$5="Sí",(1/DATOS_[[% anualiz]:[% anualiz]]),1)*IF(DATOS!AF$4="Sí",1/DATOS_[[% normaliz]:[% normaliz]],1)*(DATOS_[Conc.Sal.02])))))))),
0)</f>
        <v>0</v>
      </c>
      <c r="L38" s="101">
        <f t="array" ref="L38">IFERROR(
(AVERAGE((IF(DATOS_[[Sexo]:[Sexo]]=$B38,IF(DATOS_[[AGRUP. CLAS. PROF.]:[AGRUP. CLAS. PROF.]]=$B36,IF(DATOS_[[Check Periodo Ref.]:[Check Periodo Ref.]]="Dentro",IF(DATOS_[[Check Equiparado]:[Check Equiparado]]="Sí",IF(DATOS!AG$5="Sí",(1/DATOS_[[% anualiz]:[% anualiz]]),1)*IF(DATOS!AG$4="Sí",1/DATOS_[[% normaliz]:[% normaliz]],1)*(DATOS_[Conc.Sal.03])))))))),
0)</f>
        <v>0</v>
      </c>
      <c r="M38" s="101">
        <f t="array" ref="M38">IFERROR(
(AVERAGE((IF(DATOS_[[Sexo]:[Sexo]]=$B38,IF(DATOS_[[AGRUP. CLAS. PROF.]:[AGRUP. CLAS. PROF.]]=$B36,IF(DATOS_[[Check Periodo Ref.]:[Check Periodo Ref.]]="Dentro",IF(DATOS_[[Check Equiparado]:[Check Equiparado]]="Sí",IF(DATOS!AH$5="Sí",(1/DATOS_[[% anualiz]:[% anualiz]]),1)*IF(DATOS!AH$4="Sí",1/DATOS_[[% normaliz]:[% normaliz]],1)*(DATOS_[Conc.Sal.04])))))))),
0)</f>
        <v>0</v>
      </c>
      <c r="N38" s="101">
        <f t="array" ref="N38">IFERROR(
(AVERAGE((IF(DATOS_[[Sexo]:[Sexo]]=$B38,IF(DATOS_[[AGRUP. CLAS. PROF.]:[AGRUP. CLAS. PROF.]]=$B36,IF(DATOS_[[Check Periodo Ref.]:[Check Periodo Ref.]]="Dentro",IF(DATOS_[[Check Equiparado]:[Check Equiparado]]="Sí",IF(DATOS!AI$5="Sí",(1/DATOS_[[% anualiz]:[% anualiz]]),1)*IF(DATOS!AI$4="Sí",1/DATOS_[[% normaliz]:[% normaliz]],1)*(DATOS_[Conc.Sal.05])))))))),
0)</f>
        <v>0</v>
      </c>
      <c r="O38" s="101">
        <f t="array" ref="O38">IFERROR(
(AVERAGE((IF(DATOS_[[Sexo]:[Sexo]]=$B38,IF(DATOS_[[AGRUP. CLAS. PROF.]:[AGRUP. CLAS. PROF.]]=$B36,IF(DATOS_[[Check Periodo Ref.]:[Check Periodo Ref.]]="Dentro",IF(DATOS_[[Check Equiparado]:[Check Equiparado]]="Sí",IF(DATOS!AJ$5="Sí",(1/DATOS_[[% anualiz]:[% anualiz]]),1)*IF(DATOS!AJ$4="Sí",1/DATOS_[[% normaliz]:[% normaliz]],1)*(DATOS_[Conc.Sal.06])))))))),
0)</f>
        <v>0</v>
      </c>
      <c r="P38" s="101">
        <f t="array" ref="P38">IFERROR(
(AVERAGE((IF(DATOS_[[Sexo]:[Sexo]]=$B38,IF(DATOS_[[AGRUP. CLAS. PROF.]:[AGRUP. CLAS. PROF.]]=$B36,IF(DATOS_[[Check Periodo Ref.]:[Check Periodo Ref.]]="Dentro",IF(DATOS_[[Check Equiparado]:[Check Equiparado]]="Sí",IF(DATOS!AK$5="Sí",(1/DATOS_[[% anualiz]:[% anualiz]]),1)*IF(DATOS!AK$4="Sí",1/DATOS_[[% normaliz]:[% normaliz]],1)*(DATOS_[Conc.Sal.07])))))))),
0)</f>
        <v>0</v>
      </c>
      <c r="Q38" s="101">
        <f t="array" ref="Q38">IFERROR(
(AVERAGE((IF(DATOS_[[Sexo]:[Sexo]]=$B38,IF(DATOS_[[AGRUP. CLAS. PROF.]:[AGRUP. CLAS. PROF.]]=$B36,IF(DATOS_[[Check Periodo Ref.]:[Check Periodo Ref.]]="Dentro",IF(DATOS_[[Check Equiparado]:[Check Equiparado]]="Sí",IF(DATOS!AL$5="Sí",(1/DATOS_[[% anualiz]:[% anualiz]]),1)*IF(DATOS!AL$4="Sí",1/DATOS_[[% normaliz]:[% normaliz]],1)*(DATOS_[Conc.Sal.08])))))))),
0)</f>
        <v>0</v>
      </c>
      <c r="R38" s="101">
        <f t="array" ref="R38">IFERROR(
(AVERAGE((IF(DATOS_[[Sexo]:[Sexo]]=$B38,IF(DATOS_[[AGRUP. CLAS. PROF.]:[AGRUP. CLAS. PROF.]]=$B36,IF(DATOS_[[Check Periodo Ref.]:[Check Periodo Ref.]]="Dentro",IF(DATOS_[[Check Equiparado]:[Check Equiparado]]="Sí",IF(DATOS!AM$5="Sí",(1/DATOS_[[% anualiz]:[% anualiz]]),1)*IF(DATOS!AM$4="Sí",1/DATOS_[[% normaliz]:[% normaliz]],1)*(DATOS_[Conc.Sal.09])))))))),
0)</f>
        <v>0</v>
      </c>
      <c r="S38" s="101">
        <f t="array" ref="S38">IFERROR(
(AVERAGE((IF(DATOS_[[Sexo]:[Sexo]]=$B38,IF(DATOS_[[AGRUP. CLAS. PROF.]:[AGRUP. CLAS. PROF.]]=$B36,IF(DATOS_[[Check Periodo Ref.]:[Check Periodo Ref.]]="Dentro",IF(DATOS_[[Check Equiparado]:[Check Equiparado]]="Sí",IF(DATOS!AN$5="Sí",(1/DATOS_[[% anualiz]:[% anualiz]]),1)*IF(DATOS!AN$4="Sí",1/DATOS_[[% normaliz]:[% normaliz]],1)*(DATOS_[Conc.Sal.10])))))))),
0)</f>
        <v>0</v>
      </c>
      <c r="T38" s="101">
        <f t="array" ref="T38">IFERROR(
(AVERAGE((IF(DATOS_[[Sexo]:[Sexo]]=$B38,IF(DATOS_[[AGRUP. CLAS. PROF.]:[AGRUP. CLAS. PROF.]]=$B36,IF(DATOS_[[Check Periodo Ref.]:[Check Periodo Ref.]]="Dentro",IF(DATOS_[[Check Equiparado]:[Check Equiparado]]="Sí",IF(DATOS!AO$5="Sí",(1/DATOS_[[% anualiz]:[% anualiz]]),1)*IF(DATOS!AO$4="Sí",1/DATOS_[[% normaliz]:[% normaliz]],1)*(DATOS_[Conc.Sal.11])))))))),
0)</f>
        <v>0</v>
      </c>
      <c r="U38" s="101">
        <f t="array" ref="U38">IFERROR(
(AVERAGE((IF(DATOS_[[Sexo]:[Sexo]]=$B38,IF(DATOS_[[AGRUP. CLAS. PROF.]:[AGRUP. CLAS. PROF.]]=$B36,IF(DATOS_[[Check Periodo Ref.]:[Check Periodo Ref.]]="Dentro",IF(DATOS_[[Check Equiparado]:[Check Equiparado]]="Sí",IF(DATOS!AP$5="Sí",(1/DATOS_[[% anualiz]:[% anualiz]]),1)*IF(DATOS!AP$4="Sí",1/DATOS_[[% normaliz]:[% normaliz]],1)*(DATOS_[Conc.Sal.12])))))))),
0)</f>
        <v>0</v>
      </c>
      <c r="V38" s="101">
        <f t="array" ref="V38">IFERROR(
(AVERAGE((IF(DATOS_[[Sexo]:[Sexo]]=$B38,IF(DATOS_[[AGRUP. CLAS. PROF.]:[AGRUP. CLAS. PROF.]]=$B36,IF(DATOS_[[Check Periodo Ref.]:[Check Periodo Ref.]]="Dentro",IF(DATOS_[[Check Equiparado]:[Check Equiparado]]="Sí",IF(DATOS!AQ$5="Sí",(1/DATOS_[[% anualiz]:[% anualiz]]),1)*IF(DATOS!AQ$4="Sí",1/DATOS_[[% normaliz]:[% normaliz]],1)*(DATOS_[Conc.Sal.13])))))))),
0)</f>
        <v>0</v>
      </c>
      <c r="W38" s="101">
        <f t="array" ref="W38">IFERROR(
(AVERAGE((IF(DATOS_[[Sexo]:[Sexo]]=$B38,IF(DATOS_[[AGRUP. CLAS. PROF.]:[AGRUP. CLAS. PROF.]]=$B36,IF(DATOS_[[Check Periodo Ref.]:[Check Periodo Ref.]]="Dentro",IF(DATOS_[[Check Equiparado]:[Check Equiparado]]="Sí",IF(DATOS!AR$5="Sí",(1/DATOS_[[% anualiz]:[% anualiz]]),1)*IF(DATOS!AR$4="Sí",1/DATOS_[[% normaliz]:[% normaliz]],1)*(DATOS_[Conc.Sal.14])))))))),
0)</f>
        <v>0</v>
      </c>
      <c r="X38" s="101">
        <f t="array" ref="X38">IFERROR(
(AVERAGE((IF(DATOS_[[Sexo]:[Sexo]]=$B38,IF(DATOS_[[AGRUP. CLAS. PROF.]:[AGRUP. CLAS. PROF.]]=$B36,IF(DATOS_[[Check Periodo Ref.]:[Check Periodo Ref.]]="Dentro",IF(DATOS_[[Check Equiparado]:[Check Equiparado]]="Sí",IF(DATOS!AS$5="Sí",(1/DATOS_[[% anualiz]:[% anualiz]]),1)*IF(DATOS!AS$4="Sí",1/DATOS_[[% normaliz]:[% normaliz]],1)*(DATOS_[Conc.Sal.15])))))))),
0)</f>
        <v>0</v>
      </c>
      <c r="Y38" s="101">
        <f t="array" ref="Y38">IFERROR(
(AVERAGE((IF(DATOS_[[Sexo]:[Sexo]]=$B38,IF(DATOS_[[AGRUP. CLAS. PROF.]:[AGRUP. CLAS. PROF.]]=$B36,IF(DATOS_[[Check Periodo Ref.]:[Check Periodo Ref.]]="Dentro",IF(DATOS_[[Check Equiparado]:[Check Equiparado]]="Sí",IF(DATOS!AT$5="Sí",(1/DATOS_[[% anualiz]:[% anualiz]]),1)*IF(DATOS!AT$4="Sí",1/DATOS_[[% normaliz]:[% normaliz]],1)*(DATOS_[Conc.Sal.16])))))))),
0)</f>
        <v>0</v>
      </c>
      <c r="Z38" s="101">
        <f t="array" ref="Z38">IFERROR(
(AVERAGE((IF(DATOS_[[Sexo]:[Sexo]]=$B38,IF(DATOS_[[AGRUP. CLAS. PROF.]:[AGRUP. CLAS. PROF.]]=$B36,IF(DATOS_[[Check Periodo Ref.]:[Check Periodo Ref.]]="Dentro",IF(DATOS_[[Check Equiparado]:[Check Equiparado]]="Sí",IF(DATOS!AU$5="Sí",(1/DATOS_[[% anualiz]:[% anualiz]]),1)*IF(DATOS!AU$4="Sí",1/DATOS_[[% normaliz]:[% normaliz]],1)*(DATOS_[Conc.Sal.17])))))))),
0)</f>
        <v>0</v>
      </c>
      <c r="AA38" s="101">
        <f t="array" ref="AA38">IFERROR(
(AVERAGE((IF(DATOS_[[Sexo]:[Sexo]]=$B38,IF(DATOS_[[AGRUP. CLAS. PROF.]:[AGRUP. CLAS. PROF.]]=$B36,IF(DATOS_[[Check Periodo Ref.]:[Check Periodo Ref.]]="Dentro",IF(DATOS_[[Check Equiparado]:[Check Equiparado]]="Sí",IF(DATOS!AV$5="Sí",(1/DATOS_[[% anualiz]:[% anualiz]]),1)*IF(DATOS!AV$4="Sí",1/DATOS_[[% normaliz]:[% normaliz]],1)*(DATOS_[Conc.Sal.18])))))))),
0)</f>
        <v>0</v>
      </c>
      <c r="AB38" s="101">
        <f t="array" ref="AB38">IFERROR(
(AVERAGE((IF(DATOS_[[Sexo]:[Sexo]]=$B38,IF(DATOS_[[AGRUP. CLAS. PROF.]:[AGRUP. CLAS. PROF.]]=$B36,IF(DATOS_[[Check Periodo Ref.]:[Check Periodo Ref.]]="Dentro",IF(DATOS_[[Check Equiparado]:[Check Equiparado]]="Sí",IF(DATOS!AW$5="Sí",(1/DATOS_[[% anualiz]:[% anualiz]]),1)*IF(DATOS!AW$4="Sí",1/DATOS_[[% normaliz]:[% normaliz]],1)*(DATOS_[Conc.Sal.19])))))))),
0)</f>
        <v>0</v>
      </c>
      <c r="AC38" s="101">
        <f t="array" ref="AC38">IFERROR(
(AVERAGE((IF(DATOS_[[Sexo]:[Sexo]]=$B38,IF(DATOS_[[AGRUP. CLAS. PROF.]:[AGRUP. CLAS. PROF.]]=$B36,IF(DATOS_[[Check Periodo Ref.]:[Check Periodo Ref.]]="Dentro",IF(DATOS_[[Check Equiparado]:[Check Equiparado]]="Sí",IF(DATOS!AX$5="Sí",(1/DATOS_[[% anualiz]:[% anualiz]]),1)*IF(DATOS!AX$4="Sí",1/DATOS_[[% normaliz]:[% normaliz]],1)*(DATOS_[Conc.Sal.20])))))))),
0)</f>
        <v>0</v>
      </c>
      <c r="AD38" s="101">
        <f t="array" ref="AD38">IFERROR(
(AVERAGE((IF(DATOS_[[Sexo]:[Sexo]]=$B38,IF(DATOS_[[AGRUP. CLAS. PROF.]:[AGRUP. CLAS. PROF.]]=$B36,IF(DATOS_[[Check Periodo Ref.]:[Check Periodo Ref.]]="Dentro",IF(DATOS_[[Check Equiparado]:[Check Equiparado]]="Sí",IF(DATOS!AY$5="Sí",(1/DATOS_[[% anualiz]:[% anualiz]]),1)*IF(DATOS!AY$4="Sí",1/DATOS_[[% normaliz]:[% normaliz]],1)*(DATOS_[Conc.Sal.21])))))))),
0)</f>
        <v>0</v>
      </c>
      <c r="AE38" s="101">
        <f t="array" ref="AE38">IFERROR(
(AVERAGE((IF(DATOS_[[Sexo]:[Sexo]]=$B38,IF(DATOS_[[AGRUP. CLAS. PROF.]:[AGRUP. CLAS. PROF.]]=$B36,IF(DATOS_[[Check Periodo Ref.]:[Check Periodo Ref.]]="Dentro",IF(DATOS_[[Check Equiparado]:[Check Equiparado]]="Sí",IF(DATOS!AZ$5="Sí",(1/DATOS_[[% anualiz]:[% anualiz]]),1)*IF(DATOS!AZ$4="Sí",1/DATOS_[[% normaliz]:[% normaliz]],1)*(DATOS_[Conc.Sal.22])))))))),
0)</f>
        <v>0</v>
      </c>
      <c r="AF38" s="101">
        <f t="array" ref="AF38">IFERROR(
(AVERAGE((IF(DATOS_[[Sexo]:[Sexo]]=$B38,IF(DATOS_[[AGRUP. CLAS. PROF.]:[AGRUP. CLAS. PROF.]]=$B36,IF(DATOS_[[Check Periodo Ref.]:[Check Periodo Ref.]]="Dentro",IF(DATOS_[[Check Equiparado]:[Check Equiparado]]="Sí",IF(DATOS!BA$5="Sí",(1/DATOS_[[% anualiz]:[% anualiz]]),1)*IF(DATOS!BA$4="Sí",1/DATOS_[[% normaliz]:[% normaliz]],1)*(DATOS_[Conc.Sal.23])))))))),
0)</f>
        <v>0</v>
      </c>
      <c r="AG38" s="101">
        <f t="array" ref="AG38">IFERROR(
(AVERAGE((IF(DATOS_[[Sexo]:[Sexo]]=$B38,IF(DATOS_[[AGRUP. CLAS. PROF.]:[AGRUP. CLAS. PROF.]]=$B36,IF(DATOS_[[Check Periodo Ref.]:[Check Periodo Ref.]]="Dentro",IF(DATOS_[[Check Equiparado]:[Check Equiparado]]="Sí",IF(DATOS!BB$5="Sí",(1/DATOS_[[% anualiz]:[% anualiz]]),1)*IF(DATOS!BB$4="Sí",1/DATOS_[[% normaliz]:[% normaliz]],1)*(DATOS_[Conc.Sal.24])))))))),
0)</f>
        <v>0</v>
      </c>
      <c r="AH38" s="101">
        <f t="array" ref="AH38">IFERROR(
(AVERAGE((IF(DATOS_[[Sexo]:[Sexo]]=$B38,IF(DATOS_[[AGRUP. CLAS. PROF.]:[AGRUP. CLAS. PROF.]]=$B36,IF(DATOS_[[Check Periodo Ref.]:[Check Periodo Ref.]]="Dentro",IF(DATOS_[[Check Equiparado]:[Check Equiparado]]="Sí",IF(DATOS!BC$5="Sí",(1/DATOS_[[% anualiz]:[% anualiz]]),1)*IF(DATOS!BC$4="Sí",1/DATOS_[[% normaliz]:[% normaliz]],1)*(DATOS_[Conc.Sal.25])))))))),
0)</f>
        <v>0</v>
      </c>
      <c r="AI38" s="101">
        <f t="array" ref="AI38">IFERROR(
(AVERAGE((IF(DATOS_[[Sexo]:[Sexo]]=$B38,IF(DATOS_[[AGRUP. CLAS. PROF.]:[AGRUP. CLAS. PROF.]]=$B36,IF(DATOS_[[Check Periodo Ref.]:[Check Periodo Ref.]]="Dentro",IF(DATOS_[[Check Equiparado]:[Check Equiparado]]="Sí",IF(DATOS!BD$5="Sí",(1/DATOS_[[% anualiz]:[% anualiz]]),1)*IF(DATOS!BD$4="Sí",1/DATOS_[[% normaliz]:[% normaliz]],1)*(DATOS_[Conc.Sal.26])))))))),
0)</f>
        <v>0</v>
      </c>
      <c r="AJ38" s="101">
        <f t="array" ref="AJ38">IFERROR(
(AVERAGE((IF(DATOS_[[Sexo]:[Sexo]]=$B38,IF(DATOS_[[AGRUP. CLAS. PROF.]:[AGRUP. CLAS. PROF.]]=$B36,IF(DATOS_[[Check Periodo Ref.]:[Check Periodo Ref.]]="Dentro",IF(DATOS_[[Check Equiparado]:[Check Equiparado]]="Sí",IF(DATOS!BE$5="Sí",(1/DATOS_[[% anualiz]:[% anualiz]]),1)*IF(DATOS!BE$4="Sí",1/DATOS_[[% normaliz]:[% normaliz]],1)*(DATOS_[Conc.Sal.27])))))))),
0)</f>
        <v>0</v>
      </c>
      <c r="AK38" s="101">
        <f t="array" ref="AK38">IFERROR(
(AVERAGE((IF(DATOS_[[Sexo]:[Sexo]]=$B38,IF(DATOS_[[AGRUP. CLAS. PROF.]:[AGRUP. CLAS. PROF.]]=$B36,IF(DATOS_[[Check Periodo Ref.]:[Check Periodo Ref.]]="Dentro",IF(DATOS_[[Check Equiparado]:[Check Equiparado]]="Sí",IF(DATOS!BF$5="Sí",(1/DATOS_[[% anualiz]:[% anualiz]]),1)*IF(DATOS!BF$4="Sí",1/DATOS_[[% normaliz]:[% normaliz]],1)*(DATOS_[Conc.Sal.28])))))))),
0)</f>
        <v>0</v>
      </c>
      <c r="AL38" s="101">
        <f t="array" ref="AL38">IFERROR(
(AVERAGE((IF(DATOS_[[Sexo]:[Sexo]]=$B38,IF(DATOS_[[AGRUP. CLAS. PROF.]:[AGRUP. CLAS. PROF.]]=$B36,IF(DATOS_[[Check Periodo Ref.]:[Check Periodo Ref.]]="Dentro",IF(DATOS_[[Check Equiparado]:[Check Equiparado]]="Sí",IF(DATOS!BG$5="Sí",(1/DATOS_[[% anualiz]:[% anualiz]]),1)*IF(DATOS!BG$4="Sí",1/DATOS_[[% normaliz]:[% normaliz]],1)*(DATOS_[Conc.Sal.29])))))))),
0)</f>
        <v>0</v>
      </c>
      <c r="AM38" s="101">
        <f t="array" ref="AM38">IFERROR(
(AVERAGE((IF(DATOS_[[Sexo]:[Sexo]]=$B38,IF(DATOS_[[AGRUP. CLAS. PROF.]:[AGRUP. CLAS. PROF.]]=$B36,IF(DATOS_[[Check Periodo Ref.]:[Check Periodo Ref.]]="Dentro",IF(DATOS_[[Check Equiparado]:[Check Equiparado]]="Sí",IF(DATOS!BH$5="Sí",(1/DATOS_[[% anualiz]:[% anualiz]]),1)*IF(DATOS!BH$4="Sí",1/DATOS_[[% normaliz]:[% normaliz]],1)*(DATOS_[Conc.Sal.30])))))))),
0)</f>
        <v>0</v>
      </c>
      <c r="AN38" s="102">
        <f t="array" ref="AN38">IFERROR(
AVERAGE(IF(DATOS_[Sexo]=$B38,IF(DATOS_[[AGRUP. CLAS. PROF.]:[AGRUP. CLAS. PROF.]]=$B36,IF(DATOS_[Check Equiparado]="Sí",IF(DATOS_[Check Periodo Ref.]="Dentro",DATOS_[Tot COMPL.SAL Eq],FALSE))))),
0)</f>
        <v>0</v>
      </c>
      <c r="AO38" s="103">
        <f t="array" ref="AO38">IFERROR(
AVERAGE(IF(DATOS_[Sexo]=$B38,IF(DATOS_[[AGRUP. CLAS. PROF.]:[AGRUP. CLAS. PROF.]]=$B36,IF(DATOS_[Check Equiparado]="Sí",IF(DATOS_[Check Periodo Ref.]="Dentro",DATOS_[TOTAL SALARIO Eq],FALSE))))),
0)</f>
        <v>0</v>
      </c>
      <c r="AP38" s="104">
        <f t="array" ref="AP38">IFERROR(
(AVERAGE((IF(DATOS_[[Sexo]:[Sexo]]=$B38,IF(DATOS_[[AGRUP. CLAS. PROF.]:[AGRUP. CLAS. PROF.]]=$B36,IF(DATOS_[[Check Periodo Ref.]:[Check Periodo Ref.]]="Dentro",IF(DATOS_[[Check Equiparado]:[Check Equiparado]]="Sí",IF(DATOS!BI$5="Sí",(1/DATOS_[[% anualiz]:[% anualiz]]),1)*IF(DATOS!BI$4="Sí",1/DATOS_[[% normaliz]:[% normaliz]],1)*(DATOS_[C.Extra.01])))))))),
0)</f>
        <v>0</v>
      </c>
      <c r="AQ38" s="104">
        <f t="array" ref="AQ38">IFERROR(
(AVERAGE((IF(DATOS_[[Sexo]:[Sexo]]=$B38,IF(DATOS_[[AGRUP. CLAS. PROF.]:[AGRUP. CLAS. PROF.]]=$B36,IF(DATOS_[[Check Periodo Ref.]:[Check Periodo Ref.]]="Dentro",IF(DATOS_[[Check Equiparado]:[Check Equiparado]]="Sí",IF(DATOS!BJ$5="Sí",(1/DATOS_[[% anualiz]:[% anualiz]]),1)*IF(DATOS!BJ$4="Sí",1/DATOS_[[% normaliz]:[% normaliz]],1)*(DATOS_[C.Extra.02])))))))),
0)</f>
        <v>0</v>
      </c>
      <c r="AR38" s="104">
        <f t="array" ref="AR38">IFERROR(
(AVERAGE((IF(DATOS_[[Sexo]:[Sexo]]=$B38,IF(DATOS_[[AGRUP. CLAS. PROF.]:[AGRUP. CLAS. PROF.]]=$B36,IF(DATOS_[[Check Periodo Ref.]:[Check Periodo Ref.]]="Dentro",IF(DATOS_[[Check Equiparado]:[Check Equiparado]]="Sí",IF(DATOS!BK$5="Sí",(1/DATOS_[[% anualiz]:[% anualiz]]),1)*IF(DATOS!BK$4="Sí",1/DATOS_[[% normaliz]:[% normaliz]],1)*(DATOS_[C.Extra.03])))))))),
0)</f>
        <v>0</v>
      </c>
      <c r="AS38" s="104">
        <f t="array" ref="AS38">IFERROR(
(AVERAGE((IF(DATOS_[[Sexo]:[Sexo]]=$B38,IF(DATOS_[[AGRUP. CLAS. PROF.]:[AGRUP. CLAS. PROF.]]=$B36,IF(DATOS_[[Check Periodo Ref.]:[Check Periodo Ref.]]="Dentro",IF(DATOS_[[Check Equiparado]:[Check Equiparado]]="Sí",IF(DATOS!BL$5="Sí",(1/DATOS_[[% anualiz]:[% anualiz]]),1)*IF(DATOS!BL$4="Sí",1/DATOS_[[% normaliz]:[% normaliz]],1)*(DATOS_[C.Extra.04])))))))),
0)</f>
        <v>0</v>
      </c>
      <c r="AT38" s="104">
        <f t="array" ref="AT38">IFERROR(
(AVERAGE((IF(DATOS_[[Sexo]:[Sexo]]=$B38,IF(DATOS_[[AGRUP. CLAS. PROF.]:[AGRUP. CLAS. PROF.]]=$B36,IF(DATOS_[[Check Periodo Ref.]:[Check Periodo Ref.]]="Dentro",IF(DATOS_[[Check Equiparado]:[Check Equiparado]]="Sí",IF(DATOS!BM$5="Sí",(1/DATOS_[[% anualiz]:[% anualiz]]),1)*IF(DATOS!BM$4="Sí",1/DATOS_[[% normaliz]:[% normaliz]],1)*(DATOS_[C.Extra.05])))))))),
0)</f>
        <v>0</v>
      </c>
      <c r="AU38" s="105">
        <f t="array" ref="AU38">IFERROR(
AVERAGE(IF(DATOS_[Sexo]=$B38,IF(DATOS_[[AGRUP. CLAS. PROF.]:[AGRUP. CLAS. PROF.]]=$B36,IF(DATOS_[Check Equiparado]="Sí",IF(DATOS_[Check Periodo Ref.]="Dentro",DATOS_[Tot Extrasalarial Eq],FALSE))))),
0)</f>
        <v>0</v>
      </c>
      <c r="AV38" s="106">
        <f t="array" ref="AV38">IFERROR(
AVERAGE(IF(DATOS_[Sexo]=$B38,IF(DATOS_[[AGRUP. CLAS. PROF.]:[AGRUP. CLAS. PROF.]]=$B36,IF(DATOS_[Check Equiparado]="Sí",IF(DATOS_[Check Periodo Ref.]="Dentro",DATOS_[TOTAL Retrib Eq],FALSE))))),
0)</f>
        <v>0</v>
      </c>
    </row>
    <row r="39" spans="1:48" ht="17.25" hidden="1" thickBot="1" x14ac:dyDescent="0.35">
      <c r="A39" s="53" t="str">
        <f t="shared" ref="A39" si="35">+A40</f>
        <v>[ocultar]</v>
      </c>
      <c r="B39" s="62" t="s">
        <v>315</v>
      </c>
      <c r="C39" s="99"/>
      <c r="D39" s="63"/>
      <c r="E39" s="63"/>
      <c r="F39" s="63"/>
      <c r="G39" s="63"/>
      <c r="H39" s="63"/>
      <c r="I39" s="129" t="str">
        <f t="shared" ref="I39:AV39" si="36">IFERROR((I40-I41)/I40,"")</f>
        <v/>
      </c>
      <c r="J39" s="130" t="str">
        <f t="shared" si="36"/>
        <v/>
      </c>
      <c r="K39" s="131" t="str">
        <f t="shared" si="36"/>
        <v/>
      </c>
      <c r="L39" s="131" t="str">
        <f t="shared" si="36"/>
        <v/>
      </c>
      <c r="M39" s="131" t="str">
        <f t="shared" si="36"/>
        <v/>
      </c>
      <c r="N39" s="132" t="str">
        <f t="shared" si="36"/>
        <v/>
      </c>
      <c r="O39" s="133" t="str">
        <f t="shared" si="36"/>
        <v/>
      </c>
      <c r="P39" s="133" t="str">
        <f t="shared" si="36"/>
        <v/>
      </c>
      <c r="Q39" s="133" t="str">
        <f t="shared" si="36"/>
        <v/>
      </c>
      <c r="R39" s="133" t="str">
        <f t="shared" si="36"/>
        <v/>
      </c>
      <c r="S39" s="133" t="str">
        <f t="shared" si="36"/>
        <v/>
      </c>
      <c r="T39" s="133" t="str">
        <f t="shared" si="36"/>
        <v/>
      </c>
      <c r="U39" s="133" t="str">
        <f t="shared" si="36"/>
        <v/>
      </c>
      <c r="V39" s="133" t="str">
        <f t="shared" si="36"/>
        <v/>
      </c>
      <c r="W39" s="133" t="str">
        <f t="shared" si="36"/>
        <v/>
      </c>
      <c r="X39" s="133" t="str">
        <f t="shared" si="36"/>
        <v/>
      </c>
      <c r="Y39" s="133" t="str">
        <f t="shared" si="36"/>
        <v/>
      </c>
      <c r="Z39" s="132" t="str">
        <f t="shared" si="36"/>
        <v/>
      </c>
      <c r="AA39" s="132" t="str">
        <f t="shared" si="36"/>
        <v/>
      </c>
      <c r="AB39" s="132" t="str">
        <f t="shared" si="36"/>
        <v/>
      </c>
      <c r="AC39" s="132" t="str">
        <f t="shared" si="36"/>
        <v/>
      </c>
      <c r="AD39" s="132" t="str">
        <f t="shared" si="36"/>
        <v/>
      </c>
      <c r="AE39" s="132" t="str">
        <f t="shared" si="36"/>
        <v/>
      </c>
      <c r="AF39" s="132" t="str">
        <f t="shared" si="36"/>
        <v/>
      </c>
      <c r="AG39" s="132" t="str">
        <f t="shared" si="36"/>
        <v/>
      </c>
      <c r="AH39" s="132" t="str">
        <f t="shared" si="36"/>
        <v/>
      </c>
      <c r="AI39" s="132" t="str">
        <f t="shared" si="36"/>
        <v/>
      </c>
      <c r="AJ39" s="132" t="str">
        <f t="shared" si="36"/>
        <v/>
      </c>
      <c r="AK39" s="132" t="str">
        <f t="shared" si="36"/>
        <v/>
      </c>
      <c r="AL39" s="132" t="str">
        <f t="shared" si="36"/>
        <v/>
      </c>
      <c r="AM39" s="132" t="str">
        <f t="shared" si="36"/>
        <v/>
      </c>
      <c r="AN39" s="134" t="str">
        <f t="shared" si="36"/>
        <v/>
      </c>
      <c r="AO39" s="138" t="str">
        <f t="shared" si="36"/>
        <v/>
      </c>
      <c r="AP39" s="135" t="str">
        <f t="shared" si="36"/>
        <v/>
      </c>
      <c r="AQ39" s="135" t="str">
        <f t="shared" si="36"/>
        <v/>
      </c>
      <c r="AR39" s="135" t="str">
        <f t="shared" si="36"/>
        <v/>
      </c>
      <c r="AS39" s="135" t="str">
        <f t="shared" si="36"/>
        <v/>
      </c>
      <c r="AT39" s="135" t="str">
        <f t="shared" si="36"/>
        <v/>
      </c>
      <c r="AU39" s="136" t="str">
        <f t="shared" si="36"/>
        <v/>
      </c>
      <c r="AV39" s="137" t="str">
        <f t="shared" si="36"/>
        <v/>
      </c>
    </row>
    <row r="40" spans="1:48" hidden="1" x14ac:dyDescent="0.3">
      <c r="A40" s="53" t="str">
        <f t="shared" ref="A40" si="37">+IF(C40+C41=0,"[ocultar]","")</f>
        <v>[ocultar]</v>
      </c>
      <c r="B40" s="57" t="s">
        <v>162</v>
      </c>
      <c r="C40" s="56">
        <f t="array" ref="C40">SUM(IF($B40=DATOS_[Sexo],
IF($B39=DATOS_[AGRUP. CLAS. PROF.],
IF("Dentro"=DATOS_[Check Periodo Ref.],
1/(COUNTIFS(DATOS_[Sexo],$B40,DATOS_[AGRUP. CLAS. PROF.],$B39,DATOS_[Check Periodo Ref.],"Dentro",DATOS_[id],DATOS_[id]))))))</f>
        <v>0</v>
      </c>
      <c r="D40" s="58">
        <f>COUNTIFS(DATOS_[AGRUP. CLAS. PROF.],$B39,DATOS_[Sexo],$B40,DATOS_[Check Periodo Ref.],"Dentro")</f>
        <v>0</v>
      </c>
      <c r="E40" s="58">
        <f>COUNTIFS(DATOS_[AGRUP. CLAS. PROF.],$B39,DATOS_[Sexo],$B40,DATOS_[Check Periodo Ref.],"Dentro",DATOS_[Check Nº SC Norm],"Sí")</f>
        <v>0</v>
      </c>
      <c r="F40" s="58">
        <f>COUNTIFS(DATOS_[AGRUP. CLAS. PROF.],$B39,DATOS_[Sexo],$B40,DATOS_[Check Periodo Ref.],"Dentro",DATOS_[Check Nº SC Anualiz],"Sí")</f>
        <v>0</v>
      </c>
      <c r="G40" s="58">
        <f>COUNTIFS(DATOS_[AGRUP. CLAS. PROF.],$B39,DATOS_[Sexo],$B40,DATOS_[Check Periodo Ref.],"Dentro",DATOS_[Check Nº SC Norm y Anualiz],"Sí")</f>
        <v>0</v>
      </c>
      <c r="H40" s="58">
        <f>COUNTIFS(DATOS_[AGRUP. CLAS. PROF.],$B39,DATOS_[Sexo],$B40,DATOS_[Check Periodo Ref.],"Dentro",DATOS_[Check Equiparación],"Sí")</f>
        <v>0</v>
      </c>
      <c r="I40" s="100">
        <f t="array" ref="I40">IFERROR(
AVERAGE(IF(DATOS_[Sexo]=$B40,IF(DATOS_[[AGRUP. CLAS. PROF.]:[AGRUP. CLAS. PROF.]]=$B39,IF(DATOS_[Check Equiparado]="Sí",IF(DATOS_[Check Periodo Ref.]="Dentro",DATOS_[SALARIO BASE Eq],FALSE))))),
0)</f>
        <v>0</v>
      </c>
      <c r="J40" s="101">
        <f t="array" ref="J40">IFERROR(
(AVERAGE((IF(DATOS_[[Sexo]:[Sexo]]=$B40,IF(DATOS_[[AGRUP. CLAS. PROF.]:[AGRUP. CLAS. PROF.]]=$B39,IF(DATOS_[[Check Periodo Ref.]:[Check Periodo Ref.]]="Dentro",IF(DATOS_[[Check Equiparado]:[Check Equiparado]]="Sí",IF(DATOS!AE$5="Sí",(1/DATOS_[[% anualiz]:[% anualiz]]),1)*IF(DATOS!AE$4="Sí",1/DATOS_[[% normaliz]:[% normaliz]],1)*(DATOS_[Conc.Sal.01])))))))),
0)</f>
        <v>0</v>
      </c>
      <c r="K40" s="101">
        <f t="array" ref="K40">IFERROR(
(AVERAGE((IF(DATOS_[[Sexo]:[Sexo]]=$B40,IF(DATOS_[[AGRUP. CLAS. PROF.]:[AGRUP. CLAS. PROF.]]=$B39,IF(DATOS_[[Check Periodo Ref.]:[Check Periodo Ref.]]="Dentro",IF(DATOS_[[Check Equiparado]:[Check Equiparado]]="Sí",IF(DATOS!AF$5="Sí",(1/DATOS_[[% anualiz]:[% anualiz]]),1)*IF(DATOS!AF$4="Sí",1/DATOS_[[% normaliz]:[% normaliz]],1)*(DATOS_[Conc.Sal.02])))))))),
0)</f>
        <v>0</v>
      </c>
      <c r="L40" s="101">
        <f t="array" ref="L40">IFERROR(
(AVERAGE((IF(DATOS_[[Sexo]:[Sexo]]=$B40,IF(DATOS_[[AGRUP. CLAS. PROF.]:[AGRUP. CLAS. PROF.]]=$B39,IF(DATOS_[[Check Periodo Ref.]:[Check Periodo Ref.]]="Dentro",IF(DATOS_[[Check Equiparado]:[Check Equiparado]]="Sí",IF(DATOS!AG$5="Sí",(1/DATOS_[[% anualiz]:[% anualiz]]),1)*IF(DATOS!AG$4="Sí",1/DATOS_[[% normaliz]:[% normaliz]],1)*(DATOS_[Conc.Sal.03])))))))),
0)</f>
        <v>0</v>
      </c>
      <c r="M40" s="101">
        <f t="array" ref="M40">IFERROR(
(AVERAGE((IF(DATOS_[[Sexo]:[Sexo]]=$B40,IF(DATOS_[[AGRUP. CLAS. PROF.]:[AGRUP. CLAS. PROF.]]=$B39,IF(DATOS_[[Check Periodo Ref.]:[Check Periodo Ref.]]="Dentro",IF(DATOS_[[Check Equiparado]:[Check Equiparado]]="Sí",IF(DATOS!AH$5="Sí",(1/DATOS_[[% anualiz]:[% anualiz]]),1)*IF(DATOS!AH$4="Sí",1/DATOS_[[% normaliz]:[% normaliz]],1)*(DATOS_[Conc.Sal.04])))))))),
0)</f>
        <v>0</v>
      </c>
      <c r="N40" s="101">
        <f t="array" ref="N40">IFERROR(
(AVERAGE((IF(DATOS_[[Sexo]:[Sexo]]=$B40,IF(DATOS_[[AGRUP. CLAS. PROF.]:[AGRUP. CLAS. PROF.]]=$B39,IF(DATOS_[[Check Periodo Ref.]:[Check Periodo Ref.]]="Dentro",IF(DATOS_[[Check Equiparado]:[Check Equiparado]]="Sí",IF(DATOS!AI$5="Sí",(1/DATOS_[[% anualiz]:[% anualiz]]),1)*IF(DATOS!AI$4="Sí",1/DATOS_[[% normaliz]:[% normaliz]],1)*(DATOS_[Conc.Sal.05])))))))),
0)</f>
        <v>0</v>
      </c>
      <c r="O40" s="101">
        <f t="array" ref="O40">IFERROR(
(AVERAGE((IF(DATOS_[[Sexo]:[Sexo]]=$B40,IF(DATOS_[[AGRUP. CLAS. PROF.]:[AGRUP. CLAS. PROF.]]=$B39,IF(DATOS_[[Check Periodo Ref.]:[Check Periodo Ref.]]="Dentro",IF(DATOS_[[Check Equiparado]:[Check Equiparado]]="Sí",IF(DATOS!AJ$5="Sí",(1/DATOS_[[% anualiz]:[% anualiz]]),1)*IF(DATOS!AJ$4="Sí",1/DATOS_[[% normaliz]:[% normaliz]],1)*(DATOS_[Conc.Sal.06])))))))),
0)</f>
        <v>0</v>
      </c>
      <c r="P40" s="101">
        <f t="array" ref="P40">IFERROR(
(AVERAGE((IF(DATOS_[[Sexo]:[Sexo]]=$B40,IF(DATOS_[[AGRUP. CLAS. PROF.]:[AGRUP. CLAS. PROF.]]=$B39,IF(DATOS_[[Check Periodo Ref.]:[Check Periodo Ref.]]="Dentro",IF(DATOS_[[Check Equiparado]:[Check Equiparado]]="Sí",IF(DATOS!AK$5="Sí",(1/DATOS_[[% anualiz]:[% anualiz]]),1)*IF(DATOS!AK$4="Sí",1/DATOS_[[% normaliz]:[% normaliz]],1)*(DATOS_[Conc.Sal.07])))))))),
0)</f>
        <v>0</v>
      </c>
      <c r="Q40" s="101">
        <f t="array" ref="Q40">IFERROR(
(AVERAGE((IF(DATOS_[[Sexo]:[Sexo]]=$B40,IF(DATOS_[[AGRUP. CLAS. PROF.]:[AGRUP. CLAS. PROF.]]=$B39,IF(DATOS_[[Check Periodo Ref.]:[Check Periodo Ref.]]="Dentro",IF(DATOS_[[Check Equiparado]:[Check Equiparado]]="Sí",IF(DATOS!AL$5="Sí",(1/DATOS_[[% anualiz]:[% anualiz]]),1)*IF(DATOS!AL$4="Sí",1/DATOS_[[% normaliz]:[% normaliz]],1)*(DATOS_[Conc.Sal.08])))))))),
0)</f>
        <v>0</v>
      </c>
      <c r="R40" s="101">
        <f t="array" ref="R40">IFERROR(
(AVERAGE((IF(DATOS_[[Sexo]:[Sexo]]=$B40,IF(DATOS_[[AGRUP. CLAS. PROF.]:[AGRUP. CLAS. PROF.]]=$B39,IF(DATOS_[[Check Periodo Ref.]:[Check Periodo Ref.]]="Dentro",IF(DATOS_[[Check Equiparado]:[Check Equiparado]]="Sí",IF(DATOS!AM$5="Sí",(1/DATOS_[[% anualiz]:[% anualiz]]),1)*IF(DATOS!AM$4="Sí",1/DATOS_[[% normaliz]:[% normaliz]],1)*(DATOS_[Conc.Sal.09])))))))),
0)</f>
        <v>0</v>
      </c>
      <c r="S40" s="101">
        <f t="array" ref="S40">IFERROR(
(AVERAGE((IF(DATOS_[[Sexo]:[Sexo]]=$B40,IF(DATOS_[[AGRUP. CLAS. PROF.]:[AGRUP. CLAS. PROF.]]=$B39,IF(DATOS_[[Check Periodo Ref.]:[Check Periodo Ref.]]="Dentro",IF(DATOS_[[Check Equiparado]:[Check Equiparado]]="Sí",IF(DATOS!AN$5="Sí",(1/DATOS_[[% anualiz]:[% anualiz]]),1)*IF(DATOS!AN$4="Sí",1/DATOS_[[% normaliz]:[% normaliz]],1)*(DATOS_[Conc.Sal.10])))))))),
0)</f>
        <v>0</v>
      </c>
      <c r="T40" s="101">
        <f t="array" ref="T40">IFERROR(
(AVERAGE((IF(DATOS_[[Sexo]:[Sexo]]=$B40,IF(DATOS_[[AGRUP. CLAS. PROF.]:[AGRUP. CLAS. PROF.]]=$B39,IF(DATOS_[[Check Periodo Ref.]:[Check Periodo Ref.]]="Dentro",IF(DATOS_[[Check Equiparado]:[Check Equiparado]]="Sí",IF(DATOS!AO$5="Sí",(1/DATOS_[[% anualiz]:[% anualiz]]),1)*IF(DATOS!AO$4="Sí",1/DATOS_[[% normaliz]:[% normaliz]],1)*(DATOS_[Conc.Sal.11])))))))),
0)</f>
        <v>0</v>
      </c>
      <c r="U40" s="101">
        <f t="array" ref="U40">IFERROR(
(AVERAGE((IF(DATOS_[[Sexo]:[Sexo]]=$B40,IF(DATOS_[[AGRUP. CLAS. PROF.]:[AGRUP. CLAS. PROF.]]=$B39,IF(DATOS_[[Check Periodo Ref.]:[Check Periodo Ref.]]="Dentro",IF(DATOS_[[Check Equiparado]:[Check Equiparado]]="Sí",IF(DATOS!AP$5="Sí",(1/DATOS_[[% anualiz]:[% anualiz]]),1)*IF(DATOS!AP$4="Sí",1/DATOS_[[% normaliz]:[% normaliz]],1)*(DATOS_[Conc.Sal.12])))))))),
0)</f>
        <v>0</v>
      </c>
      <c r="V40" s="101">
        <f t="array" ref="V40">IFERROR(
(AVERAGE((IF(DATOS_[[Sexo]:[Sexo]]=$B40,IF(DATOS_[[AGRUP. CLAS. PROF.]:[AGRUP. CLAS. PROF.]]=$B39,IF(DATOS_[[Check Periodo Ref.]:[Check Periodo Ref.]]="Dentro",IF(DATOS_[[Check Equiparado]:[Check Equiparado]]="Sí",IF(DATOS!AQ$5="Sí",(1/DATOS_[[% anualiz]:[% anualiz]]),1)*IF(DATOS!AQ$4="Sí",1/DATOS_[[% normaliz]:[% normaliz]],1)*(DATOS_[Conc.Sal.13])))))))),
0)</f>
        <v>0</v>
      </c>
      <c r="W40" s="101">
        <f t="array" ref="W40">IFERROR(
(AVERAGE((IF(DATOS_[[Sexo]:[Sexo]]=$B40,IF(DATOS_[[AGRUP. CLAS. PROF.]:[AGRUP. CLAS. PROF.]]=$B39,IF(DATOS_[[Check Periodo Ref.]:[Check Periodo Ref.]]="Dentro",IF(DATOS_[[Check Equiparado]:[Check Equiparado]]="Sí",IF(DATOS!AR$5="Sí",(1/DATOS_[[% anualiz]:[% anualiz]]),1)*IF(DATOS!AR$4="Sí",1/DATOS_[[% normaliz]:[% normaliz]],1)*(DATOS_[Conc.Sal.14])))))))),
0)</f>
        <v>0</v>
      </c>
      <c r="X40" s="101">
        <f t="array" ref="X40">IFERROR(
(AVERAGE((IF(DATOS_[[Sexo]:[Sexo]]=$B40,IF(DATOS_[[AGRUP. CLAS. PROF.]:[AGRUP. CLAS. PROF.]]=$B39,IF(DATOS_[[Check Periodo Ref.]:[Check Periodo Ref.]]="Dentro",IF(DATOS_[[Check Equiparado]:[Check Equiparado]]="Sí",IF(DATOS!AS$5="Sí",(1/DATOS_[[% anualiz]:[% anualiz]]),1)*IF(DATOS!AS$4="Sí",1/DATOS_[[% normaliz]:[% normaliz]],1)*(DATOS_[Conc.Sal.15])))))))),
0)</f>
        <v>0</v>
      </c>
      <c r="Y40" s="101">
        <f t="array" ref="Y40">IFERROR(
(AVERAGE((IF(DATOS_[[Sexo]:[Sexo]]=$B40,IF(DATOS_[[AGRUP. CLAS. PROF.]:[AGRUP. CLAS. PROF.]]=$B39,IF(DATOS_[[Check Periodo Ref.]:[Check Periodo Ref.]]="Dentro",IF(DATOS_[[Check Equiparado]:[Check Equiparado]]="Sí",IF(DATOS!AT$5="Sí",(1/DATOS_[[% anualiz]:[% anualiz]]),1)*IF(DATOS!AT$4="Sí",1/DATOS_[[% normaliz]:[% normaliz]],1)*(DATOS_[Conc.Sal.16])))))))),
0)</f>
        <v>0</v>
      </c>
      <c r="Z40" s="101">
        <f t="array" ref="Z40">IFERROR(
(AVERAGE((IF(DATOS_[[Sexo]:[Sexo]]=$B40,IF(DATOS_[[AGRUP. CLAS. PROF.]:[AGRUP. CLAS. PROF.]]=$B39,IF(DATOS_[[Check Periodo Ref.]:[Check Periodo Ref.]]="Dentro",IF(DATOS_[[Check Equiparado]:[Check Equiparado]]="Sí",IF(DATOS!AU$5="Sí",(1/DATOS_[[% anualiz]:[% anualiz]]),1)*IF(DATOS!AU$4="Sí",1/DATOS_[[% normaliz]:[% normaliz]],1)*(DATOS_[Conc.Sal.17])))))))),
0)</f>
        <v>0</v>
      </c>
      <c r="AA40" s="101">
        <f t="array" ref="AA40">IFERROR(
(AVERAGE((IF(DATOS_[[Sexo]:[Sexo]]=$B40,IF(DATOS_[[AGRUP. CLAS. PROF.]:[AGRUP. CLAS. PROF.]]=$B39,IF(DATOS_[[Check Periodo Ref.]:[Check Periodo Ref.]]="Dentro",IF(DATOS_[[Check Equiparado]:[Check Equiparado]]="Sí",IF(DATOS!AV$5="Sí",(1/DATOS_[[% anualiz]:[% anualiz]]),1)*IF(DATOS!AV$4="Sí",1/DATOS_[[% normaliz]:[% normaliz]],1)*(DATOS_[Conc.Sal.18])))))))),
0)</f>
        <v>0</v>
      </c>
      <c r="AB40" s="101">
        <f t="array" ref="AB40">IFERROR(
(AVERAGE((IF(DATOS_[[Sexo]:[Sexo]]=$B40,IF(DATOS_[[AGRUP. CLAS. PROF.]:[AGRUP. CLAS. PROF.]]=$B39,IF(DATOS_[[Check Periodo Ref.]:[Check Periodo Ref.]]="Dentro",IF(DATOS_[[Check Equiparado]:[Check Equiparado]]="Sí",IF(DATOS!AW$5="Sí",(1/DATOS_[[% anualiz]:[% anualiz]]),1)*IF(DATOS!AW$4="Sí",1/DATOS_[[% normaliz]:[% normaliz]],1)*(DATOS_[Conc.Sal.19])))))))),
0)</f>
        <v>0</v>
      </c>
      <c r="AC40" s="101">
        <f t="array" ref="AC40">IFERROR(
(AVERAGE((IF(DATOS_[[Sexo]:[Sexo]]=$B40,IF(DATOS_[[AGRUP. CLAS. PROF.]:[AGRUP. CLAS. PROF.]]=$B39,IF(DATOS_[[Check Periodo Ref.]:[Check Periodo Ref.]]="Dentro",IF(DATOS_[[Check Equiparado]:[Check Equiparado]]="Sí",IF(DATOS!AX$5="Sí",(1/DATOS_[[% anualiz]:[% anualiz]]),1)*IF(DATOS!AX$4="Sí",1/DATOS_[[% normaliz]:[% normaliz]],1)*(DATOS_[Conc.Sal.20])))))))),
0)</f>
        <v>0</v>
      </c>
      <c r="AD40" s="101">
        <f t="array" ref="AD40">IFERROR(
(AVERAGE((IF(DATOS_[[Sexo]:[Sexo]]=$B40,IF(DATOS_[[AGRUP. CLAS. PROF.]:[AGRUP. CLAS. PROF.]]=$B39,IF(DATOS_[[Check Periodo Ref.]:[Check Periodo Ref.]]="Dentro",IF(DATOS_[[Check Equiparado]:[Check Equiparado]]="Sí",IF(DATOS!AY$5="Sí",(1/DATOS_[[% anualiz]:[% anualiz]]),1)*IF(DATOS!AY$4="Sí",1/DATOS_[[% normaliz]:[% normaliz]],1)*(DATOS_[Conc.Sal.21])))))))),
0)</f>
        <v>0</v>
      </c>
      <c r="AE40" s="101">
        <f t="array" ref="AE40">IFERROR(
(AVERAGE((IF(DATOS_[[Sexo]:[Sexo]]=$B40,IF(DATOS_[[AGRUP. CLAS. PROF.]:[AGRUP. CLAS. PROF.]]=$B39,IF(DATOS_[[Check Periodo Ref.]:[Check Periodo Ref.]]="Dentro",IF(DATOS_[[Check Equiparado]:[Check Equiparado]]="Sí",IF(DATOS!AZ$5="Sí",(1/DATOS_[[% anualiz]:[% anualiz]]),1)*IF(DATOS!AZ$4="Sí",1/DATOS_[[% normaliz]:[% normaliz]],1)*(DATOS_[Conc.Sal.22])))))))),
0)</f>
        <v>0</v>
      </c>
      <c r="AF40" s="101">
        <f t="array" ref="AF40">IFERROR(
(AVERAGE((IF(DATOS_[[Sexo]:[Sexo]]=$B40,IF(DATOS_[[AGRUP. CLAS. PROF.]:[AGRUP. CLAS. PROF.]]=$B39,IF(DATOS_[[Check Periodo Ref.]:[Check Periodo Ref.]]="Dentro",IF(DATOS_[[Check Equiparado]:[Check Equiparado]]="Sí",IF(DATOS!BA$5="Sí",(1/DATOS_[[% anualiz]:[% anualiz]]),1)*IF(DATOS!BA$4="Sí",1/DATOS_[[% normaliz]:[% normaliz]],1)*(DATOS_[Conc.Sal.23])))))))),
0)</f>
        <v>0</v>
      </c>
      <c r="AG40" s="101">
        <f t="array" ref="AG40">IFERROR(
(AVERAGE((IF(DATOS_[[Sexo]:[Sexo]]=$B40,IF(DATOS_[[AGRUP. CLAS. PROF.]:[AGRUP. CLAS. PROF.]]=$B39,IF(DATOS_[[Check Periodo Ref.]:[Check Periodo Ref.]]="Dentro",IF(DATOS_[[Check Equiparado]:[Check Equiparado]]="Sí",IF(DATOS!BB$5="Sí",(1/DATOS_[[% anualiz]:[% anualiz]]),1)*IF(DATOS!BB$4="Sí",1/DATOS_[[% normaliz]:[% normaliz]],1)*(DATOS_[Conc.Sal.24])))))))),
0)</f>
        <v>0</v>
      </c>
      <c r="AH40" s="101">
        <f t="array" ref="AH40">IFERROR(
(AVERAGE((IF(DATOS_[[Sexo]:[Sexo]]=$B40,IF(DATOS_[[AGRUP. CLAS. PROF.]:[AGRUP. CLAS. PROF.]]=$B39,IF(DATOS_[[Check Periodo Ref.]:[Check Periodo Ref.]]="Dentro",IF(DATOS_[[Check Equiparado]:[Check Equiparado]]="Sí",IF(DATOS!BC$5="Sí",(1/DATOS_[[% anualiz]:[% anualiz]]),1)*IF(DATOS!BC$4="Sí",1/DATOS_[[% normaliz]:[% normaliz]],1)*(DATOS_[Conc.Sal.25])))))))),
0)</f>
        <v>0</v>
      </c>
      <c r="AI40" s="101">
        <f t="array" ref="AI40">IFERROR(
(AVERAGE((IF(DATOS_[[Sexo]:[Sexo]]=$B40,IF(DATOS_[[AGRUP. CLAS. PROF.]:[AGRUP. CLAS. PROF.]]=$B39,IF(DATOS_[[Check Periodo Ref.]:[Check Periodo Ref.]]="Dentro",IF(DATOS_[[Check Equiparado]:[Check Equiparado]]="Sí",IF(DATOS!BD$5="Sí",(1/DATOS_[[% anualiz]:[% anualiz]]),1)*IF(DATOS!BD$4="Sí",1/DATOS_[[% normaliz]:[% normaliz]],1)*(DATOS_[Conc.Sal.26])))))))),
0)</f>
        <v>0</v>
      </c>
      <c r="AJ40" s="101">
        <f t="array" ref="AJ40">IFERROR(
(AVERAGE((IF(DATOS_[[Sexo]:[Sexo]]=$B40,IF(DATOS_[[AGRUP. CLAS. PROF.]:[AGRUP. CLAS. PROF.]]=$B39,IF(DATOS_[[Check Periodo Ref.]:[Check Periodo Ref.]]="Dentro",IF(DATOS_[[Check Equiparado]:[Check Equiparado]]="Sí",IF(DATOS!BE$5="Sí",(1/DATOS_[[% anualiz]:[% anualiz]]),1)*IF(DATOS!BE$4="Sí",1/DATOS_[[% normaliz]:[% normaliz]],1)*(DATOS_[Conc.Sal.27])))))))),
0)</f>
        <v>0</v>
      </c>
      <c r="AK40" s="101">
        <f t="array" ref="AK40">IFERROR(
(AVERAGE((IF(DATOS_[[Sexo]:[Sexo]]=$B40,IF(DATOS_[[AGRUP. CLAS. PROF.]:[AGRUP. CLAS. PROF.]]=$B39,IF(DATOS_[[Check Periodo Ref.]:[Check Periodo Ref.]]="Dentro",IF(DATOS_[[Check Equiparado]:[Check Equiparado]]="Sí",IF(DATOS!BF$5="Sí",(1/DATOS_[[% anualiz]:[% anualiz]]),1)*IF(DATOS!BF$4="Sí",1/DATOS_[[% normaliz]:[% normaliz]],1)*(DATOS_[Conc.Sal.28])))))))),
0)</f>
        <v>0</v>
      </c>
      <c r="AL40" s="101">
        <f t="array" ref="AL40">IFERROR(
(AVERAGE((IF(DATOS_[[Sexo]:[Sexo]]=$B40,IF(DATOS_[[AGRUP. CLAS. PROF.]:[AGRUP. CLAS. PROF.]]=$B39,IF(DATOS_[[Check Periodo Ref.]:[Check Periodo Ref.]]="Dentro",IF(DATOS_[[Check Equiparado]:[Check Equiparado]]="Sí",IF(DATOS!BG$5="Sí",(1/DATOS_[[% anualiz]:[% anualiz]]),1)*IF(DATOS!BG$4="Sí",1/DATOS_[[% normaliz]:[% normaliz]],1)*(DATOS_[Conc.Sal.29])))))))),
0)</f>
        <v>0</v>
      </c>
      <c r="AM40" s="101">
        <f t="array" ref="AM40">IFERROR(
(AVERAGE((IF(DATOS_[[Sexo]:[Sexo]]=$B40,IF(DATOS_[[AGRUP. CLAS. PROF.]:[AGRUP. CLAS. PROF.]]=$B39,IF(DATOS_[[Check Periodo Ref.]:[Check Periodo Ref.]]="Dentro",IF(DATOS_[[Check Equiparado]:[Check Equiparado]]="Sí",IF(DATOS!BH$5="Sí",(1/DATOS_[[% anualiz]:[% anualiz]]),1)*IF(DATOS!BH$4="Sí",1/DATOS_[[% normaliz]:[% normaliz]],1)*(DATOS_[Conc.Sal.30])))))))),
0)</f>
        <v>0</v>
      </c>
      <c r="AN40" s="102">
        <f t="array" ref="AN40">IFERROR(
AVERAGE(IF(DATOS_[Sexo]=$B40,IF(DATOS_[[AGRUP. CLAS. PROF.]:[AGRUP. CLAS. PROF.]]=$B39,IF(DATOS_[Check Equiparado]="Sí",IF(DATOS_[Check Periodo Ref.]="Dentro",DATOS_[Tot COMPL.SAL Eq],FALSE))))),
0)</f>
        <v>0</v>
      </c>
      <c r="AO40" s="103">
        <f t="array" ref="AO40">IFERROR(
AVERAGE(IF(DATOS_[Sexo]=$B40,IF(DATOS_[[AGRUP. CLAS. PROF.]:[AGRUP. CLAS. PROF.]]=$B39,IF(DATOS_[Check Equiparado]="Sí",IF(DATOS_[Check Periodo Ref.]="Dentro",DATOS_[TOTAL SALARIO Eq],FALSE))))),
0)</f>
        <v>0</v>
      </c>
      <c r="AP40" s="104">
        <f t="array" ref="AP40">IFERROR(
(AVERAGE((IF(DATOS_[[Sexo]:[Sexo]]=$B40,IF(DATOS_[[AGRUP. CLAS. PROF.]:[AGRUP. CLAS. PROF.]]=$B39,IF(DATOS_[[Check Periodo Ref.]:[Check Periodo Ref.]]="Dentro",IF(DATOS_[[Check Equiparado]:[Check Equiparado]]="Sí",IF(DATOS!BI$5="Sí",(1/DATOS_[[% anualiz]:[% anualiz]]),1)*IF(DATOS!BI$4="Sí",1/DATOS_[[% normaliz]:[% normaliz]],1)*(DATOS_[C.Extra.01])))))))),
0)</f>
        <v>0</v>
      </c>
      <c r="AQ40" s="104">
        <f t="array" ref="AQ40">IFERROR(
(AVERAGE((IF(DATOS_[[Sexo]:[Sexo]]=$B40,IF(DATOS_[[AGRUP. CLAS. PROF.]:[AGRUP. CLAS. PROF.]]=$B39,IF(DATOS_[[Check Periodo Ref.]:[Check Periodo Ref.]]="Dentro",IF(DATOS_[[Check Equiparado]:[Check Equiparado]]="Sí",IF(DATOS!BJ$5="Sí",(1/DATOS_[[% anualiz]:[% anualiz]]),1)*IF(DATOS!BJ$4="Sí",1/DATOS_[[% normaliz]:[% normaliz]],1)*(DATOS_[C.Extra.02])))))))),
0)</f>
        <v>0</v>
      </c>
      <c r="AR40" s="104">
        <f t="array" ref="AR40">IFERROR(
(AVERAGE((IF(DATOS_[[Sexo]:[Sexo]]=$B40,IF(DATOS_[[AGRUP. CLAS. PROF.]:[AGRUP. CLAS. PROF.]]=$B39,IF(DATOS_[[Check Periodo Ref.]:[Check Periodo Ref.]]="Dentro",IF(DATOS_[[Check Equiparado]:[Check Equiparado]]="Sí",IF(DATOS!BK$5="Sí",(1/DATOS_[[% anualiz]:[% anualiz]]),1)*IF(DATOS!BK$4="Sí",1/DATOS_[[% normaliz]:[% normaliz]],1)*(DATOS_[C.Extra.03])))))))),
0)</f>
        <v>0</v>
      </c>
      <c r="AS40" s="104">
        <f t="array" ref="AS40">IFERROR(
(AVERAGE((IF(DATOS_[[Sexo]:[Sexo]]=$B40,IF(DATOS_[[AGRUP. CLAS. PROF.]:[AGRUP. CLAS. PROF.]]=$B39,IF(DATOS_[[Check Periodo Ref.]:[Check Periodo Ref.]]="Dentro",IF(DATOS_[[Check Equiparado]:[Check Equiparado]]="Sí",IF(DATOS!BL$5="Sí",(1/DATOS_[[% anualiz]:[% anualiz]]),1)*IF(DATOS!BL$4="Sí",1/DATOS_[[% normaliz]:[% normaliz]],1)*(DATOS_[C.Extra.04])))))))),
0)</f>
        <v>0</v>
      </c>
      <c r="AT40" s="104">
        <f t="array" ref="AT40">IFERROR(
(AVERAGE((IF(DATOS_[[Sexo]:[Sexo]]=$B40,IF(DATOS_[[AGRUP. CLAS. PROF.]:[AGRUP. CLAS. PROF.]]=$B39,IF(DATOS_[[Check Periodo Ref.]:[Check Periodo Ref.]]="Dentro",IF(DATOS_[[Check Equiparado]:[Check Equiparado]]="Sí",IF(DATOS!BM$5="Sí",(1/DATOS_[[% anualiz]:[% anualiz]]),1)*IF(DATOS!BM$4="Sí",1/DATOS_[[% normaliz]:[% normaliz]],1)*(DATOS_[C.Extra.05])))))))),
0)</f>
        <v>0</v>
      </c>
      <c r="AU40" s="105">
        <f t="array" ref="AU40">IFERROR(
AVERAGE(IF(DATOS_[Sexo]=$B40,IF(DATOS_[[AGRUP. CLAS. PROF.]:[AGRUP. CLAS. PROF.]]=$B39,IF(DATOS_[Check Equiparado]="Sí",IF(DATOS_[Check Periodo Ref.]="Dentro",DATOS_[Tot Extrasalarial Eq],FALSE))))),
0)</f>
        <v>0</v>
      </c>
      <c r="AV40" s="106">
        <f t="array" ref="AV40">IFERROR(
AVERAGE(IF(DATOS_[Sexo]=$B40,IF(DATOS_[[AGRUP. CLAS. PROF.]:[AGRUP. CLAS. PROF.]]=$B39,IF(DATOS_[Check Equiparado]="Sí",IF(DATOS_[Check Periodo Ref.]="Dentro",DATOS_[TOTAL Retrib Eq],FALSE))))),
0)</f>
        <v>0</v>
      </c>
    </row>
    <row r="41" spans="1:48" hidden="1" x14ac:dyDescent="0.3">
      <c r="A41" s="53" t="str">
        <f t="shared" ref="A41" si="38">+A40</f>
        <v>[ocultar]</v>
      </c>
      <c r="B41" s="57" t="s">
        <v>163</v>
      </c>
      <c r="C41" s="56">
        <f t="array" ref="C41">SUM(IF($B41=DATOS_[Sexo],
IF($B39=DATOS_[AGRUP. CLAS. PROF.],
IF("Dentro"=DATOS_[Check Periodo Ref.],
1/(COUNTIFS(DATOS_[Sexo],$B41,DATOS_[AGRUP. CLAS. PROF.],$B39,DATOS_[Check Periodo Ref.],"Dentro",DATOS_[id],DATOS_[id]))))))</f>
        <v>0</v>
      </c>
      <c r="D41" s="58">
        <f>COUNTIFS(DATOS_[AGRUP. CLAS. PROF.],$B39,DATOS_[Sexo],$B41,DATOS_[Check Periodo Ref.],"Dentro")</f>
        <v>0</v>
      </c>
      <c r="E41" s="58">
        <f>COUNTIFS(DATOS_[AGRUP. CLAS. PROF.],$B39,DATOS_[Sexo],$B41,DATOS_[Check Periodo Ref.],"Dentro",DATOS_[Check Nº SC Norm],"Sí")</f>
        <v>0</v>
      </c>
      <c r="F41" s="58">
        <f>COUNTIFS(DATOS_[AGRUP. CLAS. PROF.],$B39,DATOS_[Sexo],$B41,DATOS_[Check Periodo Ref.],"Dentro",DATOS_[Check Nº SC Anualiz],"Sí")</f>
        <v>0</v>
      </c>
      <c r="G41" s="58">
        <f>COUNTIFS(DATOS_[AGRUP. CLAS. PROF.],$B39,DATOS_[Sexo],$B41,DATOS_[Check Periodo Ref.],"Dentro",DATOS_[Check Nº SC Norm y Anualiz],"Sí")</f>
        <v>0</v>
      </c>
      <c r="H41" s="58">
        <f>COUNTIFS(DATOS_[AGRUP. CLAS. PROF.],$B39,DATOS_[Sexo],$B41,DATOS_[Check Periodo Ref.],"Dentro",DATOS_[Check Equiparación],"Sí")</f>
        <v>0</v>
      </c>
      <c r="I41" s="100" cm="1">
        <f t="array" ref="I41">IFERROR(
AVERAGE(IF(DATOS_[Sexo]=$B41,IF(DATOS_[[AGRUP. CLAS. PROF.]:[AGRUP. CLAS. PROF.]]=$B39,IF(DATOS_[Check Equiparado]="Sí",IF(DATOS_[Check Periodo Ref.]="Dentro",DATOS_[SALARIO BASE Eq],FALSE))))),
0)</f>
        <v>0</v>
      </c>
      <c r="J41" s="101">
        <f t="array" ref="J41">IFERROR(
(AVERAGE((IF(DATOS_[[Sexo]:[Sexo]]=$B41,IF(DATOS_[[AGRUP. CLAS. PROF.]:[AGRUP. CLAS. PROF.]]=$B39,IF(DATOS_[[Check Periodo Ref.]:[Check Periodo Ref.]]="Dentro",IF(DATOS_[[Check Equiparado]:[Check Equiparado]]="Sí",IF(DATOS!AE$5="Sí",(1/DATOS_[[% anualiz]:[% anualiz]]),1)*IF(DATOS!AE$4="Sí",1/DATOS_[[% normaliz]:[% normaliz]],1)*(DATOS_[Conc.Sal.01])))))))),
0)</f>
        <v>0</v>
      </c>
      <c r="K41" s="101">
        <f t="array" ref="K41">IFERROR(
(AVERAGE((IF(DATOS_[[Sexo]:[Sexo]]=$B41,IF(DATOS_[[AGRUP. CLAS. PROF.]:[AGRUP. CLAS. PROF.]]=$B39,IF(DATOS_[[Check Periodo Ref.]:[Check Periodo Ref.]]="Dentro",IF(DATOS_[[Check Equiparado]:[Check Equiparado]]="Sí",IF(DATOS!AF$5="Sí",(1/DATOS_[[% anualiz]:[% anualiz]]),1)*IF(DATOS!AF$4="Sí",1/DATOS_[[% normaliz]:[% normaliz]],1)*(DATOS_[Conc.Sal.02])))))))),
0)</f>
        <v>0</v>
      </c>
      <c r="L41" s="101">
        <f t="array" ref="L41">IFERROR(
(AVERAGE((IF(DATOS_[[Sexo]:[Sexo]]=$B41,IF(DATOS_[[AGRUP. CLAS. PROF.]:[AGRUP. CLAS. PROF.]]=$B39,IF(DATOS_[[Check Periodo Ref.]:[Check Periodo Ref.]]="Dentro",IF(DATOS_[[Check Equiparado]:[Check Equiparado]]="Sí",IF(DATOS!AG$5="Sí",(1/DATOS_[[% anualiz]:[% anualiz]]),1)*IF(DATOS!AG$4="Sí",1/DATOS_[[% normaliz]:[% normaliz]],1)*(DATOS_[Conc.Sal.03])))))))),
0)</f>
        <v>0</v>
      </c>
      <c r="M41" s="101">
        <f t="array" ref="M41">IFERROR(
(AVERAGE((IF(DATOS_[[Sexo]:[Sexo]]=$B41,IF(DATOS_[[AGRUP. CLAS. PROF.]:[AGRUP. CLAS. PROF.]]=$B39,IF(DATOS_[[Check Periodo Ref.]:[Check Periodo Ref.]]="Dentro",IF(DATOS_[[Check Equiparado]:[Check Equiparado]]="Sí",IF(DATOS!AH$5="Sí",(1/DATOS_[[% anualiz]:[% anualiz]]),1)*IF(DATOS!AH$4="Sí",1/DATOS_[[% normaliz]:[% normaliz]],1)*(DATOS_[Conc.Sal.04])))))))),
0)</f>
        <v>0</v>
      </c>
      <c r="N41" s="101">
        <f t="array" ref="N41">IFERROR(
(AVERAGE((IF(DATOS_[[Sexo]:[Sexo]]=$B41,IF(DATOS_[[AGRUP. CLAS. PROF.]:[AGRUP. CLAS. PROF.]]=$B39,IF(DATOS_[[Check Periodo Ref.]:[Check Periodo Ref.]]="Dentro",IF(DATOS_[[Check Equiparado]:[Check Equiparado]]="Sí",IF(DATOS!AI$5="Sí",(1/DATOS_[[% anualiz]:[% anualiz]]),1)*IF(DATOS!AI$4="Sí",1/DATOS_[[% normaliz]:[% normaliz]],1)*(DATOS_[Conc.Sal.05])))))))),
0)</f>
        <v>0</v>
      </c>
      <c r="O41" s="101">
        <f t="array" ref="O41">IFERROR(
(AVERAGE((IF(DATOS_[[Sexo]:[Sexo]]=$B41,IF(DATOS_[[AGRUP. CLAS. PROF.]:[AGRUP. CLAS. PROF.]]=$B39,IF(DATOS_[[Check Periodo Ref.]:[Check Periodo Ref.]]="Dentro",IF(DATOS_[[Check Equiparado]:[Check Equiparado]]="Sí",IF(DATOS!AJ$5="Sí",(1/DATOS_[[% anualiz]:[% anualiz]]),1)*IF(DATOS!AJ$4="Sí",1/DATOS_[[% normaliz]:[% normaliz]],1)*(DATOS_[Conc.Sal.06])))))))),
0)</f>
        <v>0</v>
      </c>
      <c r="P41" s="101">
        <f t="array" ref="P41">IFERROR(
(AVERAGE((IF(DATOS_[[Sexo]:[Sexo]]=$B41,IF(DATOS_[[AGRUP. CLAS. PROF.]:[AGRUP. CLAS. PROF.]]=$B39,IF(DATOS_[[Check Periodo Ref.]:[Check Periodo Ref.]]="Dentro",IF(DATOS_[[Check Equiparado]:[Check Equiparado]]="Sí",IF(DATOS!AK$5="Sí",(1/DATOS_[[% anualiz]:[% anualiz]]),1)*IF(DATOS!AK$4="Sí",1/DATOS_[[% normaliz]:[% normaliz]],1)*(DATOS_[Conc.Sal.07])))))))),
0)</f>
        <v>0</v>
      </c>
      <c r="Q41" s="101">
        <f t="array" ref="Q41">IFERROR(
(AVERAGE((IF(DATOS_[[Sexo]:[Sexo]]=$B41,IF(DATOS_[[AGRUP. CLAS. PROF.]:[AGRUP. CLAS. PROF.]]=$B39,IF(DATOS_[[Check Periodo Ref.]:[Check Periodo Ref.]]="Dentro",IF(DATOS_[[Check Equiparado]:[Check Equiparado]]="Sí",IF(DATOS!AL$5="Sí",(1/DATOS_[[% anualiz]:[% anualiz]]),1)*IF(DATOS!AL$4="Sí",1/DATOS_[[% normaliz]:[% normaliz]],1)*(DATOS_[Conc.Sal.08])))))))),
0)</f>
        <v>0</v>
      </c>
      <c r="R41" s="101">
        <f t="array" ref="R41">IFERROR(
(AVERAGE((IF(DATOS_[[Sexo]:[Sexo]]=$B41,IF(DATOS_[[AGRUP. CLAS. PROF.]:[AGRUP. CLAS. PROF.]]=$B39,IF(DATOS_[[Check Periodo Ref.]:[Check Periodo Ref.]]="Dentro",IF(DATOS_[[Check Equiparado]:[Check Equiparado]]="Sí",IF(DATOS!AM$5="Sí",(1/DATOS_[[% anualiz]:[% anualiz]]),1)*IF(DATOS!AM$4="Sí",1/DATOS_[[% normaliz]:[% normaliz]],1)*(DATOS_[Conc.Sal.09])))))))),
0)</f>
        <v>0</v>
      </c>
      <c r="S41" s="101">
        <f t="array" ref="S41">IFERROR(
(AVERAGE((IF(DATOS_[[Sexo]:[Sexo]]=$B41,IF(DATOS_[[AGRUP. CLAS. PROF.]:[AGRUP. CLAS. PROF.]]=$B39,IF(DATOS_[[Check Periodo Ref.]:[Check Periodo Ref.]]="Dentro",IF(DATOS_[[Check Equiparado]:[Check Equiparado]]="Sí",IF(DATOS!AN$5="Sí",(1/DATOS_[[% anualiz]:[% anualiz]]),1)*IF(DATOS!AN$4="Sí",1/DATOS_[[% normaliz]:[% normaliz]],1)*(DATOS_[Conc.Sal.10])))))))),
0)</f>
        <v>0</v>
      </c>
      <c r="T41" s="101">
        <f t="array" ref="T41">IFERROR(
(AVERAGE((IF(DATOS_[[Sexo]:[Sexo]]=$B41,IF(DATOS_[[AGRUP. CLAS. PROF.]:[AGRUP. CLAS. PROF.]]=$B39,IF(DATOS_[[Check Periodo Ref.]:[Check Periodo Ref.]]="Dentro",IF(DATOS_[[Check Equiparado]:[Check Equiparado]]="Sí",IF(DATOS!AO$5="Sí",(1/DATOS_[[% anualiz]:[% anualiz]]),1)*IF(DATOS!AO$4="Sí",1/DATOS_[[% normaliz]:[% normaliz]],1)*(DATOS_[Conc.Sal.11])))))))),
0)</f>
        <v>0</v>
      </c>
      <c r="U41" s="101">
        <f t="array" ref="U41">IFERROR(
(AVERAGE((IF(DATOS_[[Sexo]:[Sexo]]=$B41,IF(DATOS_[[AGRUP. CLAS. PROF.]:[AGRUP. CLAS. PROF.]]=$B39,IF(DATOS_[[Check Periodo Ref.]:[Check Periodo Ref.]]="Dentro",IF(DATOS_[[Check Equiparado]:[Check Equiparado]]="Sí",IF(DATOS!AP$5="Sí",(1/DATOS_[[% anualiz]:[% anualiz]]),1)*IF(DATOS!AP$4="Sí",1/DATOS_[[% normaliz]:[% normaliz]],1)*(DATOS_[Conc.Sal.12])))))))),
0)</f>
        <v>0</v>
      </c>
      <c r="V41" s="101">
        <f t="array" ref="V41">IFERROR(
(AVERAGE((IF(DATOS_[[Sexo]:[Sexo]]=$B41,IF(DATOS_[[AGRUP. CLAS. PROF.]:[AGRUP. CLAS. PROF.]]=$B39,IF(DATOS_[[Check Periodo Ref.]:[Check Periodo Ref.]]="Dentro",IF(DATOS_[[Check Equiparado]:[Check Equiparado]]="Sí",IF(DATOS!AQ$5="Sí",(1/DATOS_[[% anualiz]:[% anualiz]]),1)*IF(DATOS!AQ$4="Sí",1/DATOS_[[% normaliz]:[% normaliz]],1)*(DATOS_[Conc.Sal.13])))))))),
0)</f>
        <v>0</v>
      </c>
      <c r="W41" s="101">
        <f t="array" ref="W41">IFERROR(
(AVERAGE((IF(DATOS_[[Sexo]:[Sexo]]=$B41,IF(DATOS_[[AGRUP. CLAS. PROF.]:[AGRUP. CLAS. PROF.]]=$B39,IF(DATOS_[[Check Periodo Ref.]:[Check Periodo Ref.]]="Dentro",IF(DATOS_[[Check Equiparado]:[Check Equiparado]]="Sí",IF(DATOS!AR$5="Sí",(1/DATOS_[[% anualiz]:[% anualiz]]),1)*IF(DATOS!AR$4="Sí",1/DATOS_[[% normaliz]:[% normaliz]],1)*(DATOS_[Conc.Sal.14])))))))),
0)</f>
        <v>0</v>
      </c>
      <c r="X41" s="101">
        <f t="array" ref="X41">IFERROR(
(AVERAGE((IF(DATOS_[[Sexo]:[Sexo]]=$B41,IF(DATOS_[[AGRUP. CLAS. PROF.]:[AGRUP. CLAS. PROF.]]=$B39,IF(DATOS_[[Check Periodo Ref.]:[Check Periodo Ref.]]="Dentro",IF(DATOS_[[Check Equiparado]:[Check Equiparado]]="Sí",IF(DATOS!AS$5="Sí",(1/DATOS_[[% anualiz]:[% anualiz]]),1)*IF(DATOS!AS$4="Sí",1/DATOS_[[% normaliz]:[% normaliz]],1)*(DATOS_[Conc.Sal.15])))))))),
0)</f>
        <v>0</v>
      </c>
      <c r="Y41" s="101">
        <f t="array" ref="Y41">IFERROR(
(AVERAGE((IF(DATOS_[[Sexo]:[Sexo]]=$B41,IF(DATOS_[[AGRUP. CLAS. PROF.]:[AGRUP. CLAS. PROF.]]=$B39,IF(DATOS_[[Check Periodo Ref.]:[Check Periodo Ref.]]="Dentro",IF(DATOS_[[Check Equiparado]:[Check Equiparado]]="Sí",IF(DATOS!AT$5="Sí",(1/DATOS_[[% anualiz]:[% anualiz]]),1)*IF(DATOS!AT$4="Sí",1/DATOS_[[% normaliz]:[% normaliz]],1)*(DATOS_[Conc.Sal.16])))))))),
0)</f>
        <v>0</v>
      </c>
      <c r="Z41" s="101">
        <f t="array" ref="Z41">IFERROR(
(AVERAGE((IF(DATOS_[[Sexo]:[Sexo]]=$B41,IF(DATOS_[[AGRUP. CLAS. PROF.]:[AGRUP. CLAS. PROF.]]=$B39,IF(DATOS_[[Check Periodo Ref.]:[Check Periodo Ref.]]="Dentro",IF(DATOS_[[Check Equiparado]:[Check Equiparado]]="Sí",IF(DATOS!AU$5="Sí",(1/DATOS_[[% anualiz]:[% anualiz]]),1)*IF(DATOS!AU$4="Sí",1/DATOS_[[% normaliz]:[% normaliz]],1)*(DATOS_[Conc.Sal.17])))))))),
0)</f>
        <v>0</v>
      </c>
      <c r="AA41" s="101">
        <f t="array" ref="AA41">IFERROR(
(AVERAGE((IF(DATOS_[[Sexo]:[Sexo]]=$B41,IF(DATOS_[[AGRUP. CLAS. PROF.]:[AGRUP. CLAS. PROF.]]=$B39,IF(DATOS_[[Check Periodo Ref.]:[Check Periodo Ref.]]="Dentro",IF(DATOS_[[Check Equiparado]:[Check Equiparado]]="Sí",IF(DATOS!AV$5="Sí",(1/DATOS_[[% anualiz]:[% anualiz]]),1)*IF(DATOS!AV$4="Sí",1/DATOS_[[% normaliz]:[% normaliz]],1)*(DATOS_[Conc.Sal.18])))))))),
0)</f>
        <v>0</v>
      </c>
      <c r="AB41" s="101">
        <f t="array" ref="AB41">IFERROR(
(AVERAGE((IF(DATOS_[[Sexo]:[Sexo]]=$B41,IF(DATOS_[[AGRUP. CLAS. PROF.]:[AGRUP. CLAS. PROF.]]=$B39,IF(DATOS_[[Check Periodo Ref.]:[Check Periodo Ref.]]="Dentro",IF(DATOS_[[Check Equiparado]:[Check Equiparado]]="Sí",IF(DATOS!AW$5="Sí",(1/DATOS_[[% anualiz]:[% anualiz]]),1)*IF(DATOS!AW$4="Sí",1/DATOS_[[% normaliz]:[% normaliz]],1)*(DATOS_[Conc.Sal.19])))))))),
0)</f>
        <v>0</v>
      </c>
      <c r="AC41" s="101">
        <f t="array" ref="AC41">IFERROR(
(AVERAGE((IF(DATOS_[[Sexo]:[Sexo]]=$B41,IF(DATOS_[[AGRUP. CLAS. PROF.]:[AGRUP. CLAS. PROF.]]=$B39,IF(DATOS_[[Check Periodo Ref.]:[Check Periodo Ref.]]="Dentro",IF(DATOS_[[Check Equiparado]:[Check Equiparado]]="Sí",IF(DATOS!AX$5="Sí",(1/DATOS_[[% anualiz]:[% anualiz]]),1)*IF(DATOS!AX$4="Sí",1/DATOS_[[% normaliz]:[% normaliz]],1)*(DATOS_[Conc.Sal.20])))))))),
0)</f>
        <v>0</v>
      </c>
      <c r="AD41" s="101">
        <f t="array" ref="AD41">IFERROR(
(AVERAGE((IF(DATOS_[[Sexo]:[Sexo]]=$B41,IF(DATOS_[[AGRUP. CLAS. PROF.]:[AGRUP. CLAS. PROF.]]=$B39,IF(DATOS_[[Check Periodo Ref.]:[Check Periodo Ref.]]="Dentro",IF(DATOS_[[Check Equiparado]:[Check Equiparado]]="Sí",IF(DATOS!AY$5="Sí",(1/DATOS_[[% anualiz]:[% anualiz]]),1)*IF(DATOS!AY$4="Sí",1/DATOS_[[% normaliz]:[% normaliz]],1)*(DATOS_[Conc.Sal.21])))))))),
0)</f>
        <v>0</v>
      </c>
      <c r="AE41" s="101">
        <f t="array" ref="AE41">IFERROR(
(AVERAGE((IF(DATOS_[[Sexo]:[Sexo]]=$B41,IF(DATOS_[[AGRUP. CLAS. PROF.]:[AGRUP. CLAS. PROF.]]=$B39,IF(DATOS_[[Check Periodo Ref.]:[Check Periodo Ref.]]="Dentro",IF(DATOS_[[Check Equiparado]:[Check Equiparado]]="Sí",IF(DATOS!AZ$5="Sí",(1/DATOS_[[% anualiz]:[% anualiz]]),1)*IF(DATOS!AZ$4="Sí",1/DATOS_[[% normaliz]:[% normaliz]],1)*(DATOS_[Conc.Sal.22])))))))),
0)</f>
        <v>0</v>
      </c>
      <c r="AF41" s="101">
        <f t="array" ref="AF41">IFERROR(
(AVERAGE((IF(DATOS_[[Sexo]:[Sexo]]=$B41,IF(DATOS_[[AGRUP. CLAS. PROF.]:[AGRUP. CLAS. PROF.]]=$B39,IF(DATOS_[[Check Periodo Ref.]:[Check Periodo Ref.]]="Dentro",IF(DATOS_[[Check Equiparado]:[Check Equiparado]]="Sí",IF(DATOS!BA$5="Sí",(1/DATOS_[[% anualiz]:[% anualiz]]),1)*IF(DATOS!BA$4="Sí",1/DATOS_[[% normaliz]:[% normaliz]],1)*(DATOS_[Conc.Sal.23])))))))),
0)</f>
        <v>0</v>
      </c>
      <c r="AG41" s="101">
        <f t="array" ref="AG41">IFERROR(
(AVERAGE((IF(DATOS_[[Sexo]:[Sexo]]=$B41,IF(DATOS_[[AGRUP. CLAS. PROF.]:[AGRUP. CLAS. PROF.]]=$B39,IF(DATOS_[[Check Periodo Ref.]:[Check Periodo Ref.]]="Dentro",IF(DATOS_[[Check Equiparado]:[Check Equiparado]]="Sí",IF(DATOS!BB$5="Sí",(1/DATOS_[[% anualiz]:[% anualiz]]),1)*IF(DATOS!BB$4="Sí",1/DATOS_[[% normaliz]:[% normaliz]],1)*(DATOS_[Conc.Sal.24])))))))),
0)</f>
        <v>0</v>
      </c>
      <c r="AH41" s="101">
        <f t="array" ref="AH41">IFERROR(
(AVERAGE((IF(DATOS_[[Sexo]:[Sexo]]=$B41,IF(DATOS_[[AGRUP. CLAS. PROF.]:[AGRUP. CLAS. PROF.]]=$B39,IF(DATOS_[[Check Periodo Ref.]:[Check Periodo Ref.]]="Dentro",IF(DATOS_[[Check Equiparado]:[Check Equiparado]]="Sí",IF(DATOS!BC$5="Sí",(1/DATOS_[[% anualiz]:[% anualiz]]),1)*IF(DATOS!BC$4="Sí",1/DATOS_[[% normaliz]:[% normaliz]],1)*(DATOS_[Conc.Sal.25])))))))),
0)</f>
        <v>0</v>
      </c>
      <c r="AI41" s="101">
        <f t="array" ref="AI41">IFERROR(
(AVERAGE((IF(DATOS_[[Sexo]:[Sexo]]=$B41,IF(DATOS_[[AGRUP. CLAS. PROF.]:[AGRUP. CLAS. PROF.]]=$B39,IF(DATOS_[[Check Periodo Ref.]:[Check Periodo Ref.]]="Dentro",IF(DATOS_[[Check Equiparado]:[Check Equiparado]]="Sí",IF(DATOS!BD$5="Sí",(1/DATOS_[[% anualiz]:[% anualiz]]),1)*IF(DATOS!BD$4="Sí",1/DATOS_[[% normaliz]:[% normaliz]],1)*(DATOS_[Conc.Sal.26])))))))),
0)</f>
        <v>0</v>
      </c>
      <c r="AJ41" s="101">
        <f t="array" ref="AJ41">IFERROR(
(AVERAGE((IF(DATOS_[[Sexo]:[Sexo]]=$B41,IF(DATOS_[[AGRUP. CLAS. PROF.]:[AGRUP. CLAS. PROF.]]=$B39,IF(DATOS_[[Check Periodo Ref.]:[Check Periodo Ref.]]="Dentro",IF(DATOS_[[Check Equiparado]:[Check Equiparado]]="Sí",IF(DATOS!BE$5="Sí",(1/DATOS_[[% anualiz]:[% anualiz]]),1)*IF(DATOS!BE$4="Sí",1/DATOS_[[% normaliz]:[% normaliz]],1)*(DATOS_[Conc.Sal.27])))))))),
0)</f>
        <v>0</v>
      </c>
      <c r="AK41" s="101">
        <f t="array" ref="AK41">IFERROR(
(AVERAGE((IF(DATOS_[[Sexo]:[Sexo]]=$B41,IF(DATOS_[[AGRUP. CLAS. PROF.]:[AGRUP. CLAS. PROF.]]=$B39,IF(DATOS_[[Check Periodo Ref.]:[Check Periodo Ref.]]="Dentro",IF(DATOS_[[Check Equiparado]:[Check Equiparado]]="Sí",IF(DATOS!BF$5="Sí",(1/DATOS_[[% anualiz]:[% anualiz]]),1)*IF(DATOS!BF$4="Sí",1/DATOS_[[% normaliz]:[% normaliz]],1)*(DATOS_[Conc.Sal.28])))))))),
0)</f>
        <v>0</v>
      </c>
      <c r="AL41" s="101">
        <f t="array" ref="AL41">IFERROR(
(AVERAGE((IF(DATOS_[[Sexo]:[Sexo]]=$B41,IF(DATOS_[[AGRUP. CLAS. PROF.]:[AGRUP. CLAS. PROF.]]=$B39,IF(DATOS_[[Check Periodo Ref.]:[Check Periodo Ref.]]="Dentro",IF(DATOS_[[Check Equiparado]:[Check Equiparado]]="Sí",IF(DATOS!BG$5="Sí",(1/DATOS_[[% anualiz]:[% anualiz]]),1)*IF(DATOS!BG$4="Sí",1/DATOS_[[% normaliz]:[% normaliz]],1)*(DATOS_[Conc.Sal.29])))))))),
0)</f>
        <v>0</v>
      </c>
      <c r="AM41" s="101">
        <f t="array" ref="AM41">IFERROR(
(AVERAGE((IF(DATOS_[[Sexo]:[Sexo]]=$B41,IF(DATOS_[[AGRUP. CLAS. PROF.]:[AGRUP. CLAS. PROF.]]=$B39,IF(DATOS_[[Check Periodo Ref.]:[Check Periodo Ref.]]="Dentro",IF(DATOS_[[Check Equiparado]:[Check Equiparado]]="Sí",IF(DATOS!BH$5="Sí",(1/DATOS_[[% anualiz]:[% anualiz]]),1)*IF(DATOS!BH$4="Sí",1/DATOS_[[% normaliz]:[% normaliz]],1)*(DATOS_[Conc.Sal.30])))))))),
0)</f>
        <v>0</v>
      </c>
      <c r="AN41" s="102">
        <f t="array" ref="AN41">IFERROR(
AVERAGE(IF(DATOS_[Sexo]=$B41,IF(DATOS_[[AGRUP. CLAS. PROF.]:[AGRUP. CLAS. PROF.]]=$B39,IF(DATOS_[Check Equiparado]="Sí",IF(DATOS_[Check Periodo Ref.]="Dentro",DATOS_[Tot COMPL.SAL Eq],FALSE))))),
0)</f>
        <v>0</v>
      </c>
      <c r="AO41" s="103">
        <f t="array" ref="AO41">IFERROR(
AVERAGE(IF(DATOS_[Sexo]=$B41,IF(DATOS_[[AGRUP. CLAS. PROF.]:[AGRUP. CLAS. PROF.]]=$B39,IF(DATOS_[Check Equiparado]="Sí",IF(DATOS_[Check Periodo Ref.]="Dentro",DATOS_[TOTAL SALARIO Eq],FALSE))))),
0)</f>
        <v>0</v>
      </c>
      <c r="AP41" s="104">
        <f t="array" ref="AP41">IFERROR(
(AVERAGE((IF(DATOS_[[Sexo]:[Sexo]]=$B41,IF(DATOS_[[AGRUP. CLAS. PROF.]:[AGRUP. CLAS. PROF.]]=$B39,IF(DATOS_[[Check Periodo Ref.]:[Check Periodo Ref.]]="Dentro",IF(DATOS_[[Check Equiparado]:[Check Equiparado]]="Sí",IF(DATOS!BI$5="Sí",(1/DATOS_[[% anualiz]:[% anualiz]]),1)*IF(DATOS!BI$4="Sí",1/DATOS_[[% normaliz]:[% normaliz]],1)*(DATOS_[C.Extra.01])))))))),
0)</f>
        <v>0</v>
      </c>
      <c r="AQ41" s="104">
        <f t="array" ref="AQ41">IFERROR(
(AVERAGE((IF(DATOS_[[Sexo]:[Sexo]]=$B41,IF(DATOS_[[AGRUP. CLAS. PROF.]:[AGRUP. CLAS. PROF.]]=$B39,IF(DATOS_[[Check Periodo Ref.]:[Check Periodo Ref.]]="Dentro",IF(DATOS_[[Check Equiparado]:[Check Equiparado]]="Sí",IF(DATOS!BJ$5="Sí",(1/DATOS_[[% anualiz]:[% anualiz]]),1)*IF(DATOS!BJ$4="Sí",1/DATOS_[[% normaliz]:[% normaliz]],1)*(DATOS_[C.Extra.02])))))))),
0)</f>
        <v>0</v>
      </c>
      <c r="AR41" s="104">
        <f t="array" ref="AR41">IFERROR(
(AVERAGE((IF(DATOS_[[Sexo]:[Sexo]]=$B41,IF(DATOS_[[AGRUP. CLAS. PROF.]:[AGRUP. CLAS. PROF.]]=$B39,IF(DATOS_[[Check Periodo Ref.]:[Check Periodo Ref.]]="Dentro",IF(DATOS_[[Check Equiparado]:[Check Equiparado]]="Sí",IF(DATOS!BK$5="Sí",(1/DATOS_[[% anualiz]:[% anualiz]]),1)*IF(DATOS!BK$4="Sí",1/DATOS_[[% normaliz]:[% normaliz]],1)*(DATOS_[C.Extra.03])))))))),
0)</f>
        <v>0</v>
      </c>
      <c r="AS41" s="104">
        <f t="array" ref="AS41">IFERROR(
(AVERAGE((IF(DATOS_[[Sexo]:[Sexo]]=$B41,IF(DATOS_[[AGRUP. CLAS. PROF.]:[AGRUP. CLAS. PROF.]]=$B39,IF(DATOS_[[Check Periodo Ref.]:[Check Periodo Ref.]]="Dentro",IF(DATOS_[[Check Equiparado]:[Check Equiparado]]="Sí",IF(DATOS!BL$5="Sí",(1/DATOS_[[% anualiz]:[% anualiz]]),1)*IF(DATOS!BL$4="Sí",1/DATOS_[[% normaliz]:[% normaliz]],1)*(DATOS_[C.Extra.04])))))))),
0)</f>
        <v>0</v>
      </c>
      <c r="AT41" s="104">
        <f t="array" ref="AT41">IFERROR(
(AVERAGE((IF(DATOS_[[Sexo]:[Sexo]]=$B41,IF(DATOS_[[AGRUP. CLAS. PROF.]:[AGRUP. CLAS. PROF.]]=$B39,IF(DATOS_[[Check Periodo Ref.]:[Check Periodo Ref.]]="Dentro",IF(DATOS_[[Check Equiparado]:[Check Equiparado]]="Sí",IF(DATOS!BM$5="Sí",(1/DATOS_[[% anualiz]:[% anualiz]]),1)*IF(DATOS!BM$4="Sí",1/DATOS_[[% normaliz]:[% normaliz]],1)*(DATOS_[C.Extra.05])))))))),
0)</f>
        <v>0</v>
      </c>
      <c r="AU41" s="105">
        <f t="array" ref="AU41">IFERROR(
AVERAGE(IF(DATOS_[Sexo]=$B41,IF(DATOS_[[AGRUP. CLAS. PROF.]:[AGRUP. CLAS. PROF.]]=$B39,IF(DATOS_[Check Equiparado]="Sí",IF(DATOS_[Check Periodo Ref.]="Dentro",DATOS_[Tot Extrasalarial Eq],FALSE))))),
0)</f>
        <v>0</v>
      </c>
      <c r="AV41" s="106">
        <f t="array" ref="AV41">IFERROR(
AVERAGE(IF(DATOS_[Sexo]=$B41,IF(DATOS_[[AGRUP. CLAS. PROF.]:[AGRUP. CLAS. PROF.]]=$B39,IF(DATOS_[Check Equiparado]="Sí",IF(DATOS_[Check Periodo Ref.]="Dentro",DATOS_[TOTAL Retrib Eq],FALSE))))),
0)</f>
        <v>0</v>
      </c>
    </row>
    <row r="42" spans="1:48" ht="17.25" hidden="1" thickBot="1" x14ac:dyDescent="0.35">
      <c r="A42" s="53" t="str">
        <f t="shared" ref="A42" si="39">+A43</f>
        <v>[ocultar]</v>
      </c>
      <c r="B42" s="62" t="s">
        <v>226</v>
      </c>
      <c r="C42" s="99"/>
      <c r="D42" s="63"/>
      <c r="E42" s="63"/>
      <c r="F42" s="63"/>
      <c r="G42" s="63"/>
      <c r="H42" s="63"/>
      <c r="I42" s="129" t="str">
        <f t="shared" ref="I42:AV42" si="40">IFERROR((I43-I44)/I43,"")</f>
        <v/>
      </c>
      <c r="J42" s="130" t="str">
        <f t="shared" si="40"/>
        <v/>
      </c>
      <c r="K42" s="131" t="str">
        <f t="shared" si="40"/>
        <v/>
      </c>
      <c r="L42" s="131" t="str">
        <f t="shared" si="40"/>
        <v/>
      </c>
      <c r="M42" s="131" t="str">
        <f t="shared" si="40"/>
        <v/>
      </c>
      <c r="N42" s="132" t="str">
        <f t="shared" si="40"/>
        <v/>
      </c>
      <c r="O42" s="133" t="str">
        <f t="shared" si="40"/>
        <v/>
      </c>
      <c r="P42" s="133" t="str">
        <f t="shared" si="40"/>
        <v/>
      </c>
      <c r="Q42" s="133" t="str">
        <f t="shared" si="40"/>
        <v/>
      </c>
      <c r="R42" s="133" t="str">
        <f t="shared" si="40"/>
        <v/>
      </c>
      <c r="S42" s="133" t="str">
        <f t="shared" si="40"/>
        <v/>
      </c>
      <c r="T42" s="133" t="str">
        <f t="shared" si="40"/>
        <v/>
      </c>
      <c r="U42" s="133" t="str">
        <f t="shared" si="40"/>
        <v/>
      </c>
      <c r="V42" s="133" t="str">
        <f t="shared" si="40"/>
        <v/>
      </c>
      <c r="W42" s="133" t="str">
        <f t="shared" si="40"/>
        <v/>
      </c>
      <c r="X42" s="133" t="str">
        <f t="shared" si="40"/>
        <v/>
      </c>
      <c r="Y42" s="133" t="str">
        <f t="shared" si="40"/>
        <v/>
      </c>
      <c r="Z42" s="132" t="str">
        <f t="shared" si="40"/>
        <v/>
      </c>
      <c r="AA42" s="132" t="str">
        <f t="shared" si="40"/>
        <v/>
      </c>
      <c r="AB42" s="132" t="str">
        <f t="shared" si="40"/>
        <v/>
      </c>
      <c r="AC42" s="132" t="str">
        <f t="shared" si="40"/>
        <v/>
      </c>
      <c r="AD42" s="132" t="str">
        <f t="shared" si="40"/>
        <v/>
      </c>
      <c r="AE42" s="132" t="str">
        <f t="shared" si="40"/>
        <v/>
      </c>
      <c r="AF42" s="132" t="str">
        <f t="shared" si="40"/>
        <v/>
      </c>
      <c r="AG42" s="132" t="str">
        <f t="shared" si="40"/>
        <v/>
      </c>
      <c r="AH42" s="132" t="str">
        <f t="shared" si="40"/>
        <v/>
      </c>
      <c r="AI42" s="132" t="str">
        <f t="shared" si="40"/>
        <v/>
      </c>
      <c r="AJ42" s="132" t="str">
        <f t="shared" si="40"/>
        <v/>
      </c>
      <c r="AK42" s="132" t="str">
        <f t="shared" si="40"/>
        <v/>
      </c>
      <c r="AL42" s="132" t="str">
        <f t="shared" si="40"/>
        <v/>
      </c>
      <c r="AM42" s="132" t="str">
        <f t="shared" si="40"/>
        <v/>
      </c>
      <c r="AN42" s="134" t="str">
        <f t="shared" si="40"/>
        <v/>
      </c>
      <c r="AO42" s="138" t="str">
        <f t="shared" si="40"/>
        <v/>
      </c>
      <c r="AP42" s="135" t="str">
        <f t="shared" si="40"/>
        <v/>
      </c>
      <c r="AQ42" s="135" t="str">
        <f t="shared" si="40"/>
        <v/>
      </c>
      <c r="AR42" s="135" t="str">
        <f t="shared" si="40"/>
        <v/>
      </c>
      <c r="AS42" s="135" t="str">
        <f t="shared" si="40"/>
        <v/>
      </c>
      <c r="AT42" s="135" t="str">
        <f t="shared" si="40"/>
        <v/>
      </c>
      <c r="AU42" s="136" t="str">
        <f t="shared" si="40"/>
        <v/>
      </c>
      <c r="AV42" s="137" t="str">
        <f t="shared" si="40"/>
        <v/>
      </c>
    </row>
    <row r="43" spans="1:48" hidden="1" x14ac:dyDescent="0.3">
      <c r="A43" s="53" t="str">
        <f t="shared" ref="A43" si="41">+IF(C43+C44=0,"[ocultar]","")</f>
        <v>[ocultar]</v>
      </c>
      <c r="B43" s="57" t="s">
        <v>162</v>
      </c>
      <c r="C43" s="56">
        <f t="array" ref="C43">SUM(IF($B43=DATOS_[Sexo],
IF($B42=DATOS_[AGRUP. CLAS. PROF.],
IF("Dentro"=DATOS_[Check Periodo Ref.],
1/(COUNTIFS(DATOS_[Sexo],$B43,DATOS_[AGRUP. CLAS. PROF.],$B42,DATOS_[Check Periodo Ref.],"Dentro",DATOS_[id],DATOS_[id]))))))</f>
        <v>0</v>
      </c>
      <c r="D43" s="58">
        <f>COUNTIFS(DATOS_[AGRUP. CLAS. PROF.],$B42,DATOS_[Sexo],$B43,DATOS_[Check Periodo Ref.],"Dentro")</f>
        <v>0</v>
      </c>
      <c r="E43" s="58">
        <f>COUNTIFS(DATOS_[AGRUP. CLAS. PROF.],$B42,DATOS_[Sexo],$B43,DATOS_[Check Periodo Ref.],"Dentro",DATOS_[Check Nº SC Norm],"Sí")</f>
        <v>0</v>
      </c>
      <c r="F43" s="58">
        <f>COUNTIFS(DATOS_[AGRUP. CLAS. PROF.],$B42,DATOS_[Sexo],$B43,DATOS_[Check Periodo Ref.],"Dentro",DATOS_[Check Nº SC Anualiz],"Sí")</f>
        <v>0</v>
      </c>
      <c r="G43" s="58">
        <f>COUNTIFS(DATOS_[AGRUP. CLAS. PROF.],$B42,DATOS_[Sexo],$B43,DATOS_[Check Periodo Ref.],"Dentro",DATOS_[Check Nº SC Norm y Anualiz],"Sí")</f>
        <v>0</v>
      </c>
      <c r="H43" s="58">
        <f>COUNTIFS(DATOS_[AGRUP. CLAS. PROF.],$B42,DATOS_[Sexo],$B43,DATOS_[Check Periodo Ref.],"Dentro",DATOS_[Check Equiparación],"Sí")</f>
        <v>0</v>
      </c>
      <c r="I43" s="100">
        <f t="array" ref="I43">IFERROR(
AVERAGE(IF(DATOS_[Sexo]=$B43,IF(DATOS_[[AGRUP. CLAS. PROF.]:[AGRUP. CLAS. PROF.]]=$B42,IF(DATOS_[Check Equiparado]="Sí",IF(DATOS_[Check Periodo Ref.]="Dentro",DATOS_[SALARIO BASE Eq],FALSE))))),
0)</f>
        <v>0</v>
      </c>
      <c r="J43" s="101">
        <f t="array" ref="J43">IFERROR(
(AVERAGE((IF(DATOS_[[Sexo]:[Sexo]]=$B43,IF(DATOS_[[AGRUP. CLAS. PROF.]:[AGRUP. CLAS. PROF.]]=$B42,IF(DATOS_[[Check Periodo Ref.]:[Check Periodo Ref.]]="Dentro",IF(DATOS_[[Check Equiparado]:[Check Equiparado]]="Sí",IF(DATOS!AE$5="Sí",(1/DATOS_[[% anualiz]:[% anualiz]]),1)*IF(DATOS!AE$4="Sí",1/DATOS_[[% normaliz]:[% normaliz]],1)*(DATOS_[Conc.Sal.01])))))))),
0)</f>
        <v>0</v>
      </c>
      <c r="K43" s="101">
        <f t="array" ref="K43">IFERROR(
(AVERAGE((IF(DATOS_[[Sexo]:[Sexo]]=$B43,IF(DATOS_[[AGRUP. CLAS. PROF.]:[AGRUP. CLAS. PROF.]]=$B42,IF(DATOS_[[Check Periodo Ref.]:[Check Periodo Ref.]]="Dentro",IF(DATOS_[[Check Equiparado]:[Check Equiparado]]="Sí",IF(DATOS!AF$5="Sí",(1/DATOS_[[% anualiz]:[% anualiz]]),1)*IF(DATOS!AF$4="Sí",1/DATOS_[[% normaliz]:[% normaliz]],1)*(DATOS_[Conc.Sal.02])))))))),
0)</f>
        <v>0</v>
      </c>
      <c r="L43" s="101">
        <f t="array" ref="L43">IFERROR(
(AVERAGE((IF(DATOS_[[Sexo]:[Sexo]]=$B43,IF(DATOS_[[AGRUP. CLAS. PROF.]:[AGRUP. CLAS. PROF.]]=$B42,IF(DATOS_[[Check Periodo Ref.]:[Check Periodo Ref.]]="Dentro",IF(DATOS_[[Check Equiparado]:[Check Equiparado]]="Sí",IF(DATOS!AG$5="Sí",(1/DATOS_[[% anualiz]:[% anualiz]]),1)*IF(DATOS!AG$4="Sí",1/DATOS_[[% normaliz]:[% normaliz]],1)*(DATOS_[Conc.Sal.03])))))))),
0)</f>
        <v>0</v>
      </c>
      <c r="M43" s="101">
        <f t="array" ref="M43">IFERROR(
(AVERAGE((IF(DATOS_[[Sexo]:[Sexo]]=$B43,IF(DATOS_[[AGRUP. CLAS. PROF.]:[AGRUP. CLAS. PROF.]]=$B42,IF(DATOS_[[Check Periodo Ref.]:[Check Periodo Ref.]]="Dentro",IF(DATOS_[[Check Equiparado]:[Check Equiparado]]="Sí",IF(DATOS!AH$5="Sí",(1/DATOS_[[% anualiz]:[% anualiz]]),1)*IF(DATOS!AH$4="Sí",1/DATOS_[[% normaliz]:[% normaliz]],1)*(DATOS_[Conc.Sal.04])))))))),
0)</f>
        <v>0</v>
      </c>
      <c r="N43" s="101">
        <f t="array" ref="N43">IFERROR(
(AVERAGE((IF(DATOS_[[Sexo]:[Sexo]]=$B43,IF(DATOS_[[AGRUP. CLAS. PROF.]:[AGRUP. CLAS. PROF.]]=$B42,IF(DATOS_[[Check Periodo Ref.]:[Check Periodo Ref.]]="Dentro",IF(DATOS_[[Check Equiparado]:[Check Equiparado]]="Sí",IF(DATOS!AI$5="Sí",(1/DATOS_[[% anualiz]:[% anualiz]]),1)*IF(DATOS!AI$4="Sí",1/DATOS_[[% normaliz]:[% normaliz]],1)*(DATOS_[Conc.Sal.05])))))))),
0)</f>
        <v>0</v>
      </c>
      <c r="O43" s="101">
        <f t="array" ref="O43">IFERROR(
(AVERAGE((IF(DATOS_[[Sexo]:[Sexo]]=$B43,IF(DATOS_[[AGRUP. CLAS. PROF.]:[AGRUP. CLAS. PROF.]]=$B42,IF(DATOS_[[Check Periodo Ref.]:[Check Periodo Ref.]]="Dentro",IF(DATOS_[[Check Equiparado]:[Check Equiparado]]="Sí",IF(DATOS!AJ$5="Sí",(1/DATOS_[[% anualiz]:[% anualiz]]),1)*IF(DATOS!AJ$4="Sí",1/DATOS_[[% normaliz]:[% normaliz]],1)*(DATOS_[Conc.Sal.06])))))))),
0)</f>
        <v>0</v>
      </c>
      <c r="P43" s="101">
        <f t="array" ref="P43">IFERROR(
(AVERAGE((IF(DATOS_[[Sexo]:[Sexo]]=$B43,IF(DATOS_[[AGRUP. CLAS. PROF.]:[AGRUP. CLAS. PROF.]]=$B42,IF(DATOS_[[Check Periodo Ref.]:[Check Periodo Ref.]]="Dentro",IF(DATOS_[[Check Equiparado]:[Check Equiparado]]="Sí",IF(DATOS!AK$5="Sí",(1/DATOS_[[% anualiz]:[% anualiz]]),1)*IF(DATOS!AK$4="Sí",1/DATOS_[[% normaliz]:[% normaliz]],1)*(DATOS_[Conc.Sal.07])))))))),
0)</f>
        <v>0</v>
      </c>
      <c r="Q43" s="101">
        <f t="array" ref="Q43">IFERROR(
(AVERAGE((IF(DATOS_[[Sexo]:[Sexo]]=$B43,IF(DATOS_[[AGRUP. CLAS. PROF.]:[AGRUP. CLAS. PROF.]]=$B42,IF(DATOS_[[Check Periodo Ref.]:[Check Periodo Ref.]]="Dentro",IF(DATOS_[[Check Equiparado]:[Check Equiparado]]="Sí",IF(DATOS!AL$5="Sí",(1/DATOS_[[% anualiz]:[% anualiz]]),1)*IF(DATOS!AL$4="Sí",1/DATOS_[[% normaliz]:[% normaliz]],1)*(DATOS_[Conc.Sal.08])))))))),
0)</f>
        <v>0</v>
      </c>
      <c r="R43" s="101">
        <f t="array" ref="R43">IFERROR(
(AVERAGE((IF(DATOS_[[Sexo]:[Sexo]]=$B43,IF(DATOS_[[AGRUP. CLAS. PROF.]:[AGRUP. CLAS. PROF.]]=$B42,IF(DATOS_[[Check Periodo Ref.]:[Check Periodo Ref.]]="Dentro",IF(DATOS_[[Check Equiparado]:[Check Equiparado]]="Sí",IF(DATOS!AM$5="Sí",(1/DATOS_[[% anualiz]:[% anualiz]]),1)*IF(DATOS!AM$4="Sí",1/DATOS_[[% normaliz]:[% normaliz]],1)*(DATOS_[Conc.Sal.09])))))))),
0)</f>
        <v>0</v>
      </c>
      <c r="S43" s="101">
        <f t="array" ref="S43">IFERROR(
(AVERAGE((IF(DATOS_[[Sexo]:[Sexo]]=$B43,IF(DATOS_[[AGRUP. CLAS. PROF.]:[AGRUP. CLAS. PROF.]]=$B42,IF(DATOS_[[Check Periodo Ref.]:[Check Periodo Ref.]]="Dentro",IF(DATOS_[[Check Equiparado]:[Check Equiparado]]="Sí",IF(DATOS!AN$5="Sí",(1/DATOS_[[% anualiz]:[% anualiz]]),1)*IF(DATOS!AN$4="Sí",1/DATOS_[[% normaliz]:[% normaliz]],1)*(DATOS_[Conc.Sal.10])))))))),
0)</f>
        <v>0</v>
      </c>
      <c r="T43" s="101">
        <f t="array" ref="T43">IFERROR(
(AVERAGE((IF(DATOS_[[Sexo]:[Sexo]]=$B43,IF(DATOS_[[AGRUP. CLAS. PROF.]:[AGRUP. CLAS. PROF.]]=$B42,IF(DATOS_[[Check Periodo Ref.]:[Check Periodo Ref.]]="Dentro",IF(DATOS_[[Check Equiparado]:[Check Equiparado]]="Sí",IF(DATOS!AO$5="Sí",(1/DATOS_[[% anualiz]:[% anualiz]]),1)*IF(DATOS!AO$4="Sí",1/DATOS_[[% normaliz]:[% normaliz]],1)*(DATOS_[Conc.Sal.11])))))))),
0)</f>
        <v>0</v>
      </c>
      <c r="U43" s="101">
        <f t="array" ref="U43">IFERROR(
(AVERAGE((IF(DATOS_[[Sexo]:[Sexo]]=$B43,IF(DATOS_[[AGRUP. CLAS. PROF.]:[AGRUP. CLAS. PROF.]]=$B42,IF(DATOS_[[Check Periodo Ref.]:[Check Periodo Ref.]]="Dentro",IF(DATOS_[[Check Equiparado]:[Check Equiparado]]="Sí",IF(DATOS!AP$5="Sí",(1/DATOS_[[% anualiz]:[% anualiz]]),1)*IF(DATOS!AP$4="Sí",1/DATOS_[[% normaliz]:[% normaliz]],1)*(DATOS_[Conc.Sal.12])))))))),
0)</f>
        <v>0</v>
      </c>
      <c r="V43" s="101">
        <f t="array" ref="V43">IFERROR(
(AVERAGE((IF(DATOS_[[Sexo]:[Sexo]]=$B43,IF(DATOS_[[AGRUP. CLAS. PROF.]:[AGRUP. CLAS. PROF.]]=$B42,IF(DATOS_[[Check Periodo Ref.]:[Check Periodo Ref.]]="Dentro",IF(DATOS_[[Check Equiparado]:[Check Equiparado]]="Sí",IF(DATOS!AQ$5="Sí",(1/DATOS_[[% anualiz]:[% anualiz]]),1)*IF(DATOS!AQ$4="Sí",1/DATOS_[[% normaliz]:[% normaliz]],1)*(DATOS_[Conc.Sal.13])))))))),
0)</f>
        <v>0</v>
      </c>
      <c r="W43" s="101">
        <f t="array" ref="W43">IFERROR(
(AVERAGE((IF(DATOS_[[Sexo]:[Sexo]]=$B43,IF(DATOS_[[AGRUP. CLAS. PROF.]:[AGRUP. CLAS. PROF.]]=$B42,IF(DATOS_[[Check Periodo Ref.]:[Check Periodo Ref.]]="Dentro",IF(DATOS_[[Check Equiparado]:[Check Equiparado]]="Sí",IF(DATOS!AR$5="Sí",(1/DATOS_[[% anualiz]:[% anualiz]]),1)*IF(DATOS!AR$4="Sí",1/DATOS_[[% normaliz]:[% normaliz]],1)*(DATOS_[Conc.Sal.14])))))))),
0)</f>
        <v>0</v>
      </c>
      <c r="X43" s="101">
        <f t="array" ref="X43">IFERROR(
(AVERAGE((IF(DATOS_[[Sexo]:[Sexo]]=$B43,IF(DATOS_[[AGRUP. CLAS. PROF.]:[AGRUP. CLAS. PROF.]]=$B42,IF(DATOS_[[Check Periodo Ref.]:[Check Periodo Ref.]]="Dentro",IF(DATOS_[[Check Equiparado]:[Check Equiparado]]="Sí",IF(DATOS!AS$5="Sí",(1/DATOS_[[% anualiz]:[% anualiz]]),1)*IF(DATOS!AS$4="Sí",1/DATOS_[[% normaliz]:[% normaliz]],1)*(DATOS_[Conc.Sal.15])))))))),
0)</f>
        <v>0</v>
      </c>
      <c r="Y43" s="101">
        <f t="array" ref="Y43">IFERROR(
(AVERAGE((IF(DATOS_[[Sexo]:[Sexo]]=$B43,IF(DATOS_[[AGRUP. CLAS. PROF.]:[AGRUP. CLAS. PROF.]]=$B42,IF(DATOS_[[Check Periodo Ref.]:[Check Periodo Ref.]]="Dentro",IF(DATOS_[[Check Equiparado]:[Check Equiparado]]="Sí",IF(DATOS!AT$5="Sí",(1/DATOS_[[% anualiz]:[% anualiz]]),1)*IF(DATOS!AT$4="Sí",1/DATOS_[[% normaliz]:[% normaliz]],1)*(DATOS_[Conc.Sal.16])))))))),
0)</f>
        <v>0</v>
      </c>
      <c r="Z43" s="101">
        <f t="array" ref="Z43">IFERROR(
(AVERAGE((IF(DATOS_[[Sexo]:[Sexo]]=$B43,IF(DATOS_[[AGRUP. CLAS. PROF.]:[AGRUP. CLAS. PROF.]]=$B42,IF(DATOS_[[Check Periodo Ref.]:[Check Periodo Ref.]]="Dentro",IF(DATOS_[[Check Equiparado]:[Check Equiparado]]="Sí",IF(DATOS!AU$5="Sí",(1/DATOS_[[% anualiz]:[% anualiz]]),1)*IF(DATOS!AU$4="Sí",1/DATOS_[[% normaliz]:[% normaliz]],1)*(DATOS_[Conc.Sal.17])))))))),
0)</f>
        <v>0</v>
      </c>
      <c r="AA43" s="101">
        <f t="array" ref="AA43">IFERROR(
(AVERAGE((IF(DATOS_[[Sexo]:[Sexo]]=$B43,IF(DATOS_[[AGRUP. CLAS. PROF.]:[AGRUP. CLAS. PROF.]]=$B42,IF(DATOS_[[Check Periodo Ref.]:[Check Periodo Ref.]]="Dentro",IF(DATOS_[[Check Equiparado]:[Check Equiparado]]="Sí",IF(DATOS!AV$5="Sí",(1/DATOS_[[% anualiz]:[% anualiz]]),1)*IF(DATOS!AV$4="Sí",1/DATOS_[[% normaliz]:[% normaliz]],1)*(DATOS_[Conc.Sal.18])))))))),
0)</f>
        <v>0</v>
      </c>
      <c r="AB43" s="101">
        <f t="array" ref="AB43">IFERROR(
(AVERAGE((IF(DATOS_[[Sexo]:[Sexo]]=$B43,IF(DATOS_[[AGRUP. CLAS. PROF.]:[AGRUP. CLAS. PROF.]]=$B42,IF(DATOS_[[Check Periodo Ref.]:[Check Periodo Ref.]]="Dentro",IF(DATOS_[[Check Equiparado]:[Check Equiparado]]="Sí",IF(DATOS!AW$5="Sí",(1/DATOS_[[% anualiz]:[% anualiz]]),1)*IF(DATOS!AW$4="Sí",1/DATOS_[[% normaliz]:[% normaliz]],1)*(DATOS_[Conc.Sal.19])))))))),
0)</f>
        <v>0</v>
      </c>
      <c r="AC43" s="101">
        <f t="array" ref="AC43">IFERROR(
(AVERAGE((IF(DATOS_[[Sexo]:[Sexo]]=$B43,IF(DATOS_[[AGRUP. CLAS. PROF.]:[AGRUP. CLAS. PROF.]]=$B42,IF(DATOS_[[Check Periodo Ref.]:[Check Periodo Ref.]]="Dentro",IF(DATOS_[[Check Equiparado]:[Check Equiparado]]="Sí",IF(DATOS!AX$5="Sí",(1/DATOS_[[% anualiz]:[% anualiz]]),1)*IF(DATOS!AX$4="Sí",1/DATOS_[[% normaliz]:[% normaliz]],1)*(DATOS_[Conc.Sal.20])))))))),
0)</f>
        <v>0</v>
      </c>
      <c r="AD43" s="101">
        <f t="array" ref="AD43">IFERROR(
(AVERAGE((IF(DATOS_[[Sexo]:[Sexo]]=$B43,IF(DATOS_[[AGRUP. CLAS. PROF.]:[AGRUP. CLAS. PROF.]]=$B42,IF(DATOS_[[Check Periodo Ref.]:[Check Periodo Ref.]]="Dentro",IF(DATOS_[[Check Equiparado]:[Check Equiparado]]="Sí",IF(DATOS!AY$5="Sí",(1/DATOS_[[% anualiz]:[% anualiz]]),1)*IF(DATOS!AY$4="Sí",1/DATOS_[[% normaliz]:[% normaliz]],1)*(DATOS_[Conc.Sal.21])))))))),
0)</f>
        <v>0</v>
      </c>
      <c r="AE43" s="101">
        <f t="array" ref="AE43">IFERROR(
(AVERAGE((IF(DATOS_[[Sexo]:[Sexo]]=$B43,IF(DATOS_[[AGRUP. CLAS. PROF.]:[AGRUP. CLAS. PROF.]]=$B42,IF(DATOS_[[Check Periodo Ref.]:[Check Periodo Ref.]]="Dentro",IF(DATOS_[[Check Equiparado]:[Check Equiparado]]="Sí",IF(DATOS!AZ$5="Sí",(1/DATOS_[[% anualiz]:[% anualiz]]),1)*IF(DATOS!AZ$4="Sí",1/DATOS_[[% normaliz]:[% normaliz]],1)*(DATOS_[Conc.Sal.22])))))))),
0)</f>
        <v>0</v>
      </c>
      <c r="AF43" s="101">
        <f t="array" ref="AF43">IFERROR(
(AVERAGE((IF(DATOS_[[Sexo]:[Sexo]]=$B43,IF(DATOS_[[AGRUP. CLAS. PROF.]:[AGRUP. CLAS. PROF.]]=$B42,IF(DATOS_[[Check Periodo Ref.]:[Check Periodo Ref.]]="Dentro",IF(DATOS_[[Check Equiparado]:[Check Equiparado]]="Sí",IF(DATOS!BA$5="Sí",(1/DATOS_[[% anualiz]:[% anualiz]]),1)*IF(DATOS!BA$4="Sí",1/DATOS_[[% normaliz]:[% normaliz]],1)*(DATOS_[Conc.Sal.23])))))))),
0)</f>
        <v>0</v>
      </c>
      <c r="AG43" s="101">
        <f t="array" ref="AG43">IFERROR(
(AVERAGE((IF(DATOS_[[Sexo]:[Sexo]]=$B43,IF(DATOS_[[AGRUP. CLAS. PROF.]:[AGRUP. CLAS. PROF.]]=$B42,IF(DATOS_[[Check Periodo Ref.]:[Check Periodo Ref.]]="Dentro",IF(DATOS_[[Check Equiparado]:[Check Equiparado]]="Sí",IF(DATOS!BB$5="Sí",(1/DATOS_[[% anualiz]:[% anualiz]]),1)*IF(DATOS!BB$4="Sí",1/DATOS_[[% normaliz]:[% normaliz]],1)*(DATOS_[Conc.Sal.24])))))))),
0)</f>
        <v>0</v>
      </c>
      <c r="AH43" s="101">
        <f t="array" ref="AH43">IFERROR(
(AVERAGE((IF(DATOS_[[Sexo]:[Sexo]]=$B43,IF(DATOS_[[AGRUP. CLAS. PROF.]:[AGRUP. CLAS. PROF.]]=$B42,IF(DATOS_[[Check Periodo Ref.]:[Check Periodo Ref.]]="Dentro",IF(DATOS_[[Check Equiparado]:[Check Equiparado]]="Sí",IF(DATOS!BC$5="Sí",(1/DATOS_[[% anualiz]:[% anualiz]]),1)*IF(DATOS!BC$4="Sí",1/DATOS_[[% normaliz]:[% normaliz]],1)*(DATOS_[Conc.Sal.25])))))))),
0)</f>
        <v>0</v>
      </c>
      <c r="AI43" s="101">
        <f t="array" ref="AI43">IFERROR(
(AVERAGE((IF(DATOS_[[Sexo]:[Sexo]]=$B43,IF(DATOS_[[AGRUP. CLAS. PROF.]:[AGRUP. CLAS. PROF.]]=$B42,IF(DATOS_[[Check Periodo Ref.]:[Check Periodo Ref.]]="Dentro",IF(DATOS_[[Check Equiparado]:[Check Equiparado]]="Sí",IF(DATOS!BD$5="Sí",(1/DATOS_[[% anualiz]:[% anualiz]]),1)*IF(DATOS!BD$4="Sí",1/DATOS_[[% normaliz]:[% normaliz]],1)*(DATOS_[Conc.Sal.26])))))))),
0)</f>
        <v>0</v>
      </c>
      <c r="AJ43" s="101">
        <f t="array" ref="AJ43">IFERROR(
(AVERAGE((IF(DATOS_[[Sexo]:[Sexo]]=$B43,IF(DATOS_[[AGRUP. CLAS. PROF.]:[AGRUP. CLAS. PROF.]]=$B42,IF(DATOS_[[Check Periodo Ref.]:[Check Periodo Ref.]]="Dentro",IF(DATOS_[[Check Equiparado]:[Check Equiparado]]="Sí",IF(DATOS!BE$5="Sí",(1/DATOS_[[% anualiz]:[% anualiz]]),1)*IF(DATOS!BE$4="Sí",1/DATOS_[[% normaliz]:[% normaliz]],1)*(DATOS_[Conc.Sal.27])))))))),
0)</f>
        <v>0</v>
      </c>
      <c r="AK43" s="101">
        <f t="array" ref="AK43">IFERROR(
(AVERAGE((IF(DATOS_[[Sexo]:[Sexo]]=$B43,IF(DATOS_[[AGRUP. CLAS. PROF.]:[AGRUP. CLAS. PROF.]]=$B42,IF(DATOS_[[Check Periodo Ref.]:[Check Periodo Ref.]]="Dentro",IF(DATOS_[[Check Equiparado]:[Check Equiparado]]="Sí",IF(DATOS!BF$5="Sí",(1/DATOS_[[% anualiz]:[% anualiz]]),1)*IF(DATOS!BF$4="Sí",1/DATOS_[[% normaliz]:[% normaliz]],1)*(DATOS_[Conc.Sal.28])))))))),
0)</f>
        <v>0</v>
      </c>
      <c r="AL43" s="101">
        <f t="array" ref="AL43">IFERROR(
(AVERAGE((IF(DATOS_[[Sexo]:[Sexo]]=$B43,IF(DATOS_[[AGRUP. CLAS. PROF.]:[AGRUP. CLAS. PROF.]]=$B42,IF(DATOS_[[Check Periodo Ref.]:[Check Periodo Ref.]]="Dentro",IF(DATOS_[[Check Equiparado]:[Check Equiparado]]="Sí",IF(DATOS!BG$5="Sí",(1/DATOS_[[% anualiz]:[% anualiz]]),1)*IF(DATOS!BG$4="Sí",1/DATOS_[[% normaliz]:[% normaliz]],1)*(DATOS_[Conc.Sal.29])))))))),
0)</f>
        <v>0</v>
      </c>
      <c r="AM43" s="101">
        <f t="array" ref="AM43">IFERROR(
(AVERAGE((IF(DATOS_[[Sexo]:[Sexo]]=$B43,IF(DATOS_[[AGRUP. CLAS. PROF.]:[AGRUP. CLAS. PROF.]]=$B42,IF(DATOS_[[Check Periodo Ref.]:[Check Periodo Ref.]]="Dentro",IF(DATOS_[[Check Equiparado]:[Check Equiparado]]="Sí",IF(DATOS!BH$5="Sí",(1/DATOS_[[% anualiz]:[% anualiz]]),1)*IF(DATOS!BH$4="Sí",1/DATOS_[[% normaliz]:[% normaliz]],1)*(DATOS_[Conc.Sal.30])))))))),
0)</f>
        <v>0</v>
      </c>
      <c r="AN43" s="102">
        <f t="array" ref="AN43">IFERROR(
AVERAGE(IF(DATOS_[Sexo]=$B43,IF(DATOS_[[AGRUP. CLAS. PROF.]:[AGRUP. CLAS. PROF.]]=$B42,IF(DATOS_[Check Equiparado]="Sí",IF(DATOS_[Check Periodo Ref.]="Dentro",DATOS_[Tot COMPL.SAL Eq],FALSE))))),
0)</f>
        <v>0</v>
      </c>
      <c r="AO43" s="103">
        <f t="array" ref="AO43">IFERROR(
AVERAGE(IF(DATOS_[Sexo]=$B43,IF(DATOS_[[AGRUP. CLAS. PROF.]:[AGRUP. CLAS. PROF.]]=$B42,IF(DATOS_[Check Equiparado]="Sí",IF(DATOS_[Check Periodo Ref.]="Dentro",DATOS_[TOTAL SALARIO Eq],FALSE))))),
0)</f>
        <v>0</v>
      </c>
      <c r="AP43" s="104">
        <f t="array" ref="AP43">IFERROR(
(AVERAGE((IF(DATOS_[[Sexo]:[Sexo]]=$B43,IF(DATOS_[[AGRUP. CLAS. PROF.]:[AGRUP. CLAS. PROF.]]=$B42,IF(DATOS_[[Check Periodo Ref.]:[Check Periodo Ref.]]="Dentro",IF(DATOS_[[Check Equiparado]:[Check Equiparado]]="Sí",IF(DATOS!BI$5="Sí",(1/DATOS_[[% anualiz]:[% anualiz]]),1)*IF(DATOS!BI$4="Sí",1/DATOS_[[% normaliz]:[% normaliz]],1)*(DATOS_[C.Extra.01])))))))),
0)</f>
        <v>0</v>
      </c>
      <c r="AQ43" s="104">
        <f t="array" ref="AQ43">IFERROR(
(AVERAGE((IF(DATOS_[[Sexo]:[Sexo]]=$B43,IF(DATOS_[[AGRUP. CLAS. PROF.]:[AGRUP. CLAS. PROF.]]=$B42,IF(DATOS_[[Check Periodo Ref.]:[Check Periodo Ref.]]="Dentro",IF(DATOS_[[Check Equiparado]:[Check Equiparado]]="Sí",IF(DATOS!BJ$5="Sí",(1/DATOS_[[% anualiz]:[% anualiz]]),1)*IF(DATOS!BJ$4="Sí",1/DATOS_[[% normaliz]:[% normaliz]],1)*(DATOS_[C.Extra.02])))))))),
0)</f>
        <v>0</v>
      </c>
      <c r="AR43" s="104">
        <f t="array" ref="AR43">IFERROR(
(AVERAGE((IF(DATOS_[[Sexo]:[Sexo]]=$B43,IF(DATOS_[[AGRUP. CLAS. PROF.]:[AGRUP. CLAS. PROF.]]=$B42,IF(DATOS_[[Check Periodo Ref.]:[Check Periodo Ref.]]="Dentro",IF(DATOS_[[Check Equiparado]:[Check Equiparado]]="Sí",IF(DATOS!BK$5="Sí",(1/DATOS_[[% anualiz]:[% anualiz]]),1)*IF(DATOS!BK$4="Sí",1/DATOS_[[% normaliz]:[% normaliz]],1)*(DATOS_[C.Extra.03])))))))),
0)</f>
        <v>0</v>
      </c>
      <c r="AS43" s="104">
        <f t="array" ref="AS43">IFERROR(
(AVERAGE((IF(DATOS_[[Sexo]:[Sexo]]=$B43,IF(DATOS_[[AGRUP. CLAS. PROF.]:[AGRUP. CLAS. PROF.]]=$B42,IF(DATOS_[[Check Periodo Ref.]:[Check Periodo Ref.]]="Dentro",IF(DATOS_[[Check Equiparado]:[Check Equiparado]]="Sí",IF(DATOS!BL$5="Sí",(1/DATOS_[[% anualiz]:[% anualiz]]),1)*IF(DATOS!BL$4="Sí",1/DATOS_[[% normaliz]:[% normaliz]],1)*(DATOS_[C.Extra.04])))))))),
0)</f>
        <v>0</v>
      </c>
      <c r="AT43" s="104">
        <f t="array" ref="AT43">IFERROR(
(AVERAGE((IF(DATOS_[[Sexo]:[Sexo]]=$B43,IF(DATOS_[[AGRUP. CLAS. PROF.]:[AGRUP. CLAS. PROF.]]=$B42,IF(DATOS_[[Check Periodo Ref.]:[Check Periodo Ref.]]="Dentro",IF(DATOS_[[Check Equiparado]:[Check Equiparado]]="Sí",IF(DATOS!BM$5="Sí",(1/DATOS_[[% anualiz]:[% anualiz]]),1)*IF(DATOS!BM$4="Sí",1/DATOS_[[% normaliz]:[% normaliz]],1)*(DATOS_[C.Extra.05])))))))),
0)</f>
        <v>0</v>
      </c>
      <c r="AU43" s="105">
        <f t="array" ref="AU43">IFERROR(
AVERAGE(IF(DATOS_[Sexo]=$B43,IF(DATOS_[[AGRUP. CLAS. PROF.]:[AGRUP. CLAS. PROF.]]=$B42,IF(DATOS_[Check Equiparado]="Sí",IF(DATOS_[Check Periodo Ref.]="Dentro",DATOS_[Tot Extrasalarial Eq],FALSE))))),
0)</f>
        <v>0</v>
      </c>
      <c r="AV43" s="106">
        <f t="array" ref="AV43">IFERROR(
AVERAGE(IF(DATOS_[Sexo]=$B43,IF(DATOS_[[AGRUP. CLAS. PROF.]:[AGRUP. CLAS. PROF.]]=$B42,IF(DATOS_[Check Equiparado]="Sí",IF(DATOS_[Check Periodo Ref.]="Dentro",DATOS_[TOTAL Retrib Eq],FALSE))))),
0)</f>
        <v>0</v>
      </c>
    </row>
    <row r="44" spans="1:48" hidden="1" x14ac:dyDescent="0.3">
      <c r="A44" s="53" t="str">
        <f t="shared" ref="A44" si="42">+A43</f>
        <v>[ocultar]</v>
      </c>
      <c r="B44" s="57" t="s">
        <v>163</v>
      </c>
      <c r="C44" s="56">
        <f t="array" ref="C44">SUM(IF($B44=DATOS_[Sexo],
IF($B42=DATOS_[AGRUP. CLAS. PROF.],
IF("Dentro"=DATOS_[Check Periodo Ref.],
1/(COUNTIFS(DATOS_[Sexo],$B44,DATOS_[AGRUP. CLAS. PROF.],$B42,DATOS_[Check Periodo Ref.],"Dentro",DATOS_[id],DATOS_[id]))))))</f>
        <v>0</v>
      </c>
      <c r="D44" s="58">
        <f>COUNTIFS(DATOS_[AGRUP. CLAS. PROF.],$B42,DATOS_[Sexo],$B44,DATOS_[Check Periodo Ref.],"Dentro")</f>
        <v>0</v>
      </c>
      <c r="E44" s="58">
        <f>COUNTIFS(DATOS_[AGRUP. CLAS. PROF.],$B42,DATOS_[Sexo],$B44,DATOS_[Check Periodo Ref.],"Dentro",DATOS_[Check Nº SC Norm],"Sí")</f>
        <v>0</v>
      </c>
      <c r="F44" s="58">
        <f>COUNTIFS(DATOS_[AGRUP. CLAS. PROF.],$B42,DATOS_[Sexo],$B44,DATOS_[Check Periodo Ref.],"Dentro",DATOS_[Check Nº SC Anualiz],"Sí")</f>
        <v>0</v>
      </c>
      <c r="G44" s="58">
        <f>COUNTIFS(DATOS_[AGRUP. CLAS. PROF.],$B42,DATOS_[Sexo],$B44,DATOS_[Check Periodo Ref.],"Dentro",DATOS_[Check Nº SC Norm y Anualiz],"Sí")</f>
        <v>0</v>
      </c>
      <c r="H44" s="58">
        <f>COUNTIFS(DATOS_[AGRUP. CLAS. PROF.],$B42,DATOS_[Sexo],$B44,DATOS_[Check Periodo Ref.],"Dentro",DATOS_[Check Equiparación],"Sí")</f>
        <v>0</v>
      </c>
      <c r="I44" s="100" cm="1">
        <f t="array" ref="I44">IFERROR(
AVERAGE(IF(DATOS_[Sexo]=$B44,IF(DATOS_[[AGRUP. CLAS. PROF.]:[AGRUP. CLAS. PROF.]]=$B42,IF(DATOS_[Check Equiparado]="Sí",IF(DATOS_[Check Periodo Ref.]="Dentro",DATOS_[SALARIO BASE Eq],FALSE))))),
0)</f>
        <v>0</v>
      </c>
      <c r="J44" s="101">
        <f t="array" ref="J44">IFERROR(
(AVERAGE((IF(DATOS_[[Sexo]:[Sexo]]=$B44,IF(DATOS_[[AGRUP. CLAS. PROF.]:[AGRUP. CLAS. PROF.]]=$B42,IF(DATOS_[[Check Periodo Ref.]:[Check Periodo Ref.]]="Dentro",IF(DATOS_[[Check Equiparado]:[Check Equiparado]]="Sí",IF(DATOS!AE$5="Sí",(1/DATOS_[[% anualiz]:[% anualiz]]),1)*IF(DATOS!AE$4="Sí",1/DATOS_[[% normaliz]:[% normaliz]],1)*(DATOS_[Conc.Sal.01])))))))),
0)</f>
        <v>0</v>
      </c>
      <c r="K44" s="101">
        <f t="array" ref="K44">IFERROR(
(AVERAGE((IF(DATOS_[[Sexo]:[Sexo]]=$B44,IF(DATOS_[[AGRUP. CLAS. PROF.]:[AGRUP. CLAS. PROF.]]=$B42,IF(DATOS_[[Check Periodo Ref.]:[Check Periodo Ref.]]="Dentro",IF(DATOS_[[Check Equiparado]:[Check Equiparado]]="Sí",IF(DATOS!AF$5="Sí",(1/DATOS_[[% anualiz]:[% anualiz]]),1)*IF(DATOS!AF$4="Sí",1/DATOS_[[% normaliz]:[% normaliz]],1)*(DATOS_[Conc.Sal.02])))))))),
0)</f>
        <v>0</v>
      </c>
      <c r="L44" s="101">
        <f t="array" ref="L44">IFERROR(
(AVERAGE((IF(DATOS_[[Sexo]:[Sexo]]=$B44,IF(DATOS_[[AGRUP. CLAS. PROF.]:[AGRUP. CLAS. PROF.]]=$B42,IF(DATOS_[[Check Periodo Ref.]:[Check Periodo Ref.]]="Dentro",IF(DATOS_[[Check Equiparado]:[Check Equiparado]]="Sí",IF(DATOS!AG$5="Sí",(1/DATOS_[[% anualiz]:[% anualiz]]),1)*IF(DATOS!AG$4="Sí",1/DATOS_[[% normaliz]:[% normaliz]],1)*(DATOS_[Conc.Sal.03])))))))),
0)</f>
        <v>0</v>
      </c>
      <c r="M44" s="101">
        <f t="array" ref="M44">IFERROR(
(AVERAGE((IF(DATOS_[[Sexo]:[Sexo]]=$B44,IF(DATOS_[[AGRUP. CLAS. PROF.]:[AGRUP. CLAS. PROF.]]=$B42,IF(DATOS_[[Check Periodo Ref.]:[Check Periodo Ref.]]="Dentro",IF(DATOS_[[Check Equiparado]:[Check Equiparado]]="Sí",IF(DATOS!AH$5="Sí",(1/DATOS_[[% anualiz]:[% anualiz]]),1)*IF(DATOS!AH$4="Sí",1/DATOS_[[% normaliz]:[% normaliz]],1)*(DATOS_[Conc.Sal.04])))))))),
0)</f>
        <v>0</v>
      </c>
      <c r="N44" s="101">
        <f t="array" ref="N44">IFERROR(
(AVERAGE((IF(DATOS_[[Sexo]:[Sexo]]=$B44,IF(DATOS_[[AGRUP. CLAS. PROF.]:[AGRUP. CLAS. PROF.]]=$B42,IF(DATOS_[[Check Periodo Ref.]:[Check Periodo Ref.]]="Dentro",IF(DATOS_[[Check Equiparado]:[Check Equiparado]]="Sí",IF(DATOS!AI$5="Sí",(1/DATOS_[[% anualiz]:[% anualiz]]),1)*IF(DATOS!AI$4="Sí",1/DATOS_[[% normaliz]:[% normaliz]],1)*(DATOS_[Conc.Sal.05])))))))),
0)</f>
        <v>0</v>
      </c>
      <c r="O44" s="101">
        <f t="array" ref="O44">IFERROR(
(AVERAGE((IF(DATOS_[[Sexo]:[Sexo]]=$B44,IF(DATOS_[[AGRUP. CLAS. PROF.]:[AGRUP. CLAS. PROF.]]=$B42,IF(DATOS_[[Check Periodo Ref.]:[Check Periodo Ref.]]="Dentro",IF(DATOS_[[Check Equiparado]:[Check Equiparado]]="Sí",IF(DATOS!AJ$5="Sí",(1/DATOS_[[% anualiz]:[% anualiz]]),1)*IF(DATOS!AJ$4="Sí",1/DATOS_[[% normaliz]:[% normaliz]],1)*(DATOS_[Conc.Sal.06])))))))),
0)</f>
        <v>0</v>
      </c>
      <c r="P44" s="101">
        <f t="array" ref="P44">IFERROR(
(AVERAGE((IF(DATOS_[[Sexo]:[Sexo]]=$B44,IF(DATOS_[[AGRUP. CLAS. PROF.]:[AGRUP. CLAS. PROF.]]=$B42,IF(DATOS_[[Check Periodo Ref.]:[Check Periodo Ref.]]="Dentro",IF(DATOS_[[Check Equiparado]:[Check Equiparado]]="Sí",IF(DATOS!AK$5="Sí",(1/DATOS_[[% anualiz]:[% anualiz]]),1)*IF(DATOS!AK$4="Sí",1/DATOS_[[% normaliz]:[% normaliz]],1)*(DATOS_[Conc.Sal.07])))))))),
0)</f>
        <v>0</v>
      </c>
      <c r="Q44" s="101">
        <f t="array" ref="Q44">IFERROR(
(AVERAGE((IF(DATOS_[[Sexo]:[Sexo]]=$B44,IF(DATOS_[[AGRUP. CLAS. PROF.]:[AGRUP. CLAS. PROF.]]=$B42,IF(DATOS_[[Check Periodo Ref.]:[Check Periodo Ref.]]="Dentro",IF(DATOS_[[Check Equiparado]:[Check Equiparado]]="Sí",IF(DATOS!AL$5="Sí",(1/DATOS_[[% anualiz]:[% anualiz]]),1)*IF(DATOS!AL$4="Sí",1/DATOS_[[% normaliz]:[% normaliz]],1)*(DATOS_[Conc.Sal.08])))))))),
0)</f>
        <v>0</v>
      </c>
      <c r="R44" s="101">
        <f t="array" ref="R44">IFERROR(
(AVERAGE((IF(DATOS_[[Sexo]:[Sexo]]=$B44,IF(DATOS_[[AGRUP. CLAS. PROF.]:[AGRUP. CLAS. PROF.]]=$B42,IF(DATOS_[[Check Periodo Ref.]:[Check Periodo Ref.]]="Dentro",IF(DATOS_[[Check Equiparado]:[Check Equiparado]]="Sí",IF(DATOS!AM$5="Sí",(1/DATOS_[[% anualiz]:[% anualiz]]),1)*IF(DATOS!AM$4="Sí",1/DATOS_[[% normaliz]:[% normaliz]],1)*(DATOS_[Conc.Sal.09])))))))),
0)</f>
        <v>0</v>
      </c>
      <c r="S44" s="101">
        <f t="array" ref="S44">IFERROR(
(AVERAGE((IF(DATOS_[[Sexo]:[Sexo]]=$B44,IF(DATOS_[[AGRUP. CLAS. PROF.]:[AGRUP. CLAS. PROF.]]=$B42,IF(DATOS_[[Check Periodo Ref.]:[Check Periodo Ref.]]="Dentro",IF(DATOS_[[Check Equiparado]:[Check Equiparado]]="Sí",IF(DATOS!AN$5="Sí",(1/DATOS_[[% anualiz]:[% anualiz]]),1)*IF(DATOS!AN$4="Sí",1/DATOS_[[% normaliz]:[% normaliz]],1)*(DATOS_[Conc.Sal.10])))))))),
0)</f>
        <v>0</v>
      </c>
      <c r="T44" s="101">
        <f t="array" ref="T44">IFERROR(
(AVERAGE((IF(DATOS_[[Sexo]:[Sexo]]=$B44,IF(DATOS_[[AGRUP. CLAS. PROF.]:[AGRUP. CLAS. PROF.]]=$B42,IF(DATOS_[[Check Periodo Ref.]:[Check Periodo Ref.]]="Dentro",IF(DATOS_[[Check Equiparado]:[Check Equiparado]]="Sí",IF(DATOS!AO$5="Sí",(1/DATOS_[[% anualiz]:[% anualiz]]),1)*IF(DATOS!AO$4="Sí",1/DATOS_[[% normaliz]:[% normaliz]],1)*(DATOS_[Conc.Sal.11])))))))),
0)</f>
        <v>0</v>
      </c>
      <c r="U44" s="101">
        <f t="array" ref="U44">IFERROR(
(AVERAGE((IF(DATOS_[[Sexo]:[Sexo]]=$B44,IF(DATOS_[[AGRUP. CLAS. PROF.]:[AGRUP. CLAS. PROF.]]=$B42,IF(DATOS_[[Check Periodo Ref.]:[Check Periodo Ref.]]="Dentro",IF(DATOS_[[Check Equiparado]:[Check Equiparado]]="Sí",IF(DATOS!AP$5="Sí",(1/DATOS_[[% anualiz]:[% anualiz]]),1)*IF(DATOS!AP$4="Sí",1/DATOS_[[% normaliz]:[% normaliz]],1)*(DATOS_[Conc.Sal.12])))))))),
0)</f>
        <v>0</v>
      </c>
      <c r="V44" s="101">
        <f t="array" ref="V44">IFERROR(
(AVERAGE((IF(DATOS_[[Sexo]:[Sexo]]=$B44,IF(DATOS_[[AGRUP. CLAS. PROF.]:[AGRUP. CLAS. PROF.]]=$B42,IF(DATOS_[[Check Periodo Ref.]:[Check Periodo Ref.]]="Dentro",IF(DATOS_[[Check Equiparado]:[Check Equiparado]]="Sí",IF(DATOS!AQ$5="Sí",(1/DATOS_[[% anualiz]:[% anualiz]]),1)*IF(DATOS!AQ$4="Sí",1/DATOS_[[% normaliz]:[% normaliz]],1)*(DATOS_[Conc.Sal.13])))))))),
0)</f>
        <v>0</v>
      </c>
      <c r="W44" s="101">
        <f t="array" ref="W44">IFERROR(
(AVERAGE((IF(DATOS_[[Sexo]:[Sexo]]=$B44,IF(DATOS_[[AGRUP. CLAS. PROF.]:[AGRUP. CLAS. PROF.]]=$B42,IF(DATOS_[[Check Periodo Ref.]:[Check Periodo Ref.]]="Dentro",IF(DATOS_[[Check Equiparado]:[Check Equiparado]]="Sí",IF(DATOS!AR$5="Sí",(1/DATOS_[[% anualiz]:[% anualiz]]),1)*IF(DATOS!AR$4="Sí",1/DATOS_[[% normaliz]:[% normaliz]],1)*(DATOS_[Conc.Sal.14])))))))),
0)</f>
        <v>0</v>
      </c>
      <c r="X44" s="101">
        <f t="array" ref="X44">IFERROR(
(AVERAGE((IF(DATOS_[[Sexo]:[Sexo]]=$B44,IF(DATOS_[[AGRUP. CLAS. PROF.]:[AGRUP. CLAS. PROF.]]=$B42,IF(DATOS_[[Check Periodo Ref.]:[Check Periodo Ref.]]="Dentro",IF(DATOS_[[Check Equiparado]:[Check Equiparado]]="Sí",IF(DATOS!AS$5="Sí",(1/DATOS_[[% anualiz]:[% anualiz]]),1)*IF(DATOS!AS$4="Sí",1/DATOS_[[% normaliz]:[% normaliz]],1)*(DATOS_[Conc.Sal.15])))))))),
0)</f>
        <v>0</v>
      </c>
      <c r="Y44" s="101">
        <f t="array" ref="Y44">IFERROR(
(AVERAGE((IF(DATOS_[[Sexo]:[Sexo]]=$B44,IF(DATOS_[[AGRUP. CLAS. PROF.]:[AGRUP. CLAS. PROF.]]=$B42,IF(DATOS_[[Check Periodo Ref.]:[Check Periodo Ref.]]="Dentro",IF(DATOS_[[Check Equiparado]:[Check Equiparado]]="Sí",IF(DATOS!AT$5="Sí",(1/DATOS_[[% anualiz]:[% anualiz]]),1)*IF(DATOS!AT$4="Sí",1/DATOS_[[% normaliz]:[% normaliz]],1)*(DATOS_[Conc.Sal.16])))))))),
0)</f>
        <v>0</v>
      </c>
      <c r="Z44" s="101">
        <f t="array" ref="Z44">IFERROR(
(AVERAGE((IF(DATOS_[[Sexo]:[Sexo]]=$B44,IF(DATOS_[[AGRUP. CLAS. PROF.]:[AGRUP. CLAS. PROF.]]=$B42,IF(DATOS_[[Check Periodo Ref.]:[Check Periodo Ref.]]="Dentro",IF(DATOS_[[Check Equiparado]:[Check Equiparado]]="Sí",IF(DATOS!AU$5="Sí",(1/DATOS_[[% anualiz]:[% anualiz]]),1)*IF(DATOS!AU$4="Sí",1/DATOS_[[% normaliz]:[% normaliz]],1)*(DATOS_[Conc.Sal.17])))))))),
0)</f>
        <v>0</v>
      </c>
      <c r="AA44" s="101">
        <f t="array" ref="AA44">IFERROR(
(AVERAGE((IF(DATOS_[[Sexo]:[Sexo]]=$B44,IF(DATOS_[[AGRUP. CLAS. PROF.]:[AGRUP. CLAS. PROF.]]=$B42,IF(DATOS_[[Check Periodo Ref.]:[Check Periodo Ref.]]="Dentro",IF(DATOS_[[Check Equiparado]:[Check Equiparado]]="Sí",IF(DATOS!AV$5="Sí",(1/DATOS_[[% anualiz]:[% anualiz]]),1)*IF(DATOS!AV$4="Sí",1/DATOS_[[% normaliz]:[% normaliz]],1)*(DATOS_[Conc.Sal.18])))))))),
0)</f>
        <v>0</v>
      </c>
      <c r="AB44" s="101">
        <f t="array" ref="AB44">IFERROR(
(AVERAGE((IF(DATOS_[[Sexo]:[Sexo]]=$B44,IF(DATOS_[[AGRUP. CLAS. PROF.]:[AGRUP. CLAS. PROF.]]=$B42,IF(DATOS_[[Check Periodo Ref.]:[Check Periodo Ref.]]="Dentro",IF(DATOS_[[Check Equiparado]:[Check Equiparado]]="Sí",IF(DATOS!AW$5="Sí",(1/DATOS_[[% anualiz]:[% anualiz]]),1)*IF(DATOS!AW$4="Sí",1/DATOS_[[% normaliz]:[% normaliz]],1)*(DATOS_[Conc.Sal.19])))))))),
0)</f>
        <v>0</v>
      </c>
      <c r="AC44" s="101">
        <f t="array" ref="AC44">IFERROR(
(AVERAGE((IF(DATOS_[[Sexo]:[Sexo]]=$B44,IF(DATOS_[[AGRUP. CLAS. PROF.]:[AGRUP. CLAS. PROF.]]=$B42,IF(DATOS_[[Check Periodo Ref.]:[Check Periodo Ref.]]="Dentro",IF(DATOS_[[Check Equiparado]:[Check Equiparado]]="Sí",IF(DATOS!AX$5="Sí",(1/DATOS_[[% anualiz]:[% anualiz]]),1)*IF(DATOS!AX$4="Sí",1/DATOS_[[% normaliz]:[% normaliz]],1)*(DATOS_[Conc.Sal.20])))))))),
0)</f>
        <v>0</v>
      </c>
      <c r="AD44" s="101">
        <f t="array" ref="AD44">IFERROR(
(AVERAGE((IF(DATOS_[[Sexo]:[Sexo]]=$B44,IF(DATOS_[[AGRUP. CLAS. PROF.]:[AGRUP. CLAS. PROF.]]=$B42,IF(DATOS_[[Check Periodo Ref.]:[Check Periodo Ref.]]="Dentro",IF(DATOS_[[Check Equiparado]:[Check Equiparado]]="Sí",IF(DATOS!AY$5="Sí",(1/DATOS_[[% anualiz]:[% anualiz]]),1)*IF(DATOS!AY$4="Sí",1/DATOS_[[% normaliz]:[% normaliz]],1)*(DATOS_[Conc.Sal.21])))))))),
0)</f>
        <v>0</v>
      </c>
      <c r="AE44" s="101">
        <f t="array" ref="AE44">IFERROR(
(AVERAGE((IF(DATOS_[[Sexo]:[Sexo]]=$B44,IF(DATOS_[[AGRUP. CLAS. PROF.]:[AGRUP. CLAS. PROF.]]=$B42,IF(DATOS_[[Check Periodo Ref.]:[Check Periodo Ref.]]="Dentro",IF(DATOS_[[Check Equiparado]:[Check Equiparado]]="Sí",IF(DATOS!AZ$5="Sí",(1/DATOS_[[% anualiz]:[% anualiz]]),1)*IF(DATOS!AZ$4="Sí",1/DATOS_[[% normaliz]:[% normaliz]],1)*(DATOS_[Conc.Sal.22])))))))),
0)</f>
        <v>0</v>
      </c>
      <c r="AF44" s="101">
        <f t="array" ref="AF44">IFERROR(
(AVERAGE((IF(DATOS_[[Sexo]:[Sexo]]=$B44,IF(DATOS_[[AGRUP. CLAS. PROF.]:[AGRUP. CLAS. PROF.]]=$B42,IF(DATOS_[[Check Periodo Ref.]:[Check Periodo Ref.]]="Dentro",IF(DATOS_[[Check Equiparado]:[Check Equiparado]]="Sí",IF(DATOS!BA$5="Sí",(1/DATOS_[[% anualiz]:[% anualiz]]),1)*IF(DATOS!BA$4="Sí",1/DATOS_[[% normaliz]:[% normaliz]],1)*(DATOS_[Conc.Sal.23])))))))),
0)</f>
        <v>0</v>
      </c>
      <c r="AG44" s="101">
        <f t="array" ref="AG44">IFERROR(
(AVERAGE((IF(DATOS_[[Sexo]:[Sexo]]=$B44,IF(DATOS_[[AGRUP. CLAS. PROF.]:[AGRUP. CLAS. PROF.]]=$B42,IF(DATOS_[[Check Periodo Ref.]:[Check Periodo Ref.]]="Dentro",IF(DATOS_[[Check Equiparado]:[Check Equiparado]]="Sí",IF(DATOS!BB$5="Sí",(1/DATOS_[[% anualiz]:[% anualiz]]),1)*IF(DATOS!BB$4="Sí",1/DATOS_[[% normaliz]:[% normaliz]],1)*(DATOS_[Conc.Sal.24])))))))),
0)</f>
        <v>0</v>
      </c>
      <c r="AH44" s="101">
        <f t="array" ref="AH44">IFERROR(
(AVERAGE((IF(DATOS_[[Sexo]:[Sexo]]=$B44,IF(DATOS_[[AGRUP. CLAS. PROF.]:[AGRUP. CLAS. PROF.]]=$B42,IF(DATOS_[[Check Periodo Ref.]:[Check Periodo Ref.]]="Dentro",IF(DATOS_[[Check Equiparado]:[Check Equiparado]]="Sí",IF(DATOS!BC$5="Sí",(1/DATOS_[[% anualiz]:[% anualiz]]),1)*IF(DATOS!BC$4="Sí",1/DATOS_[[% normaliz]:[% normaliz]],1)*(DATOS_[Conc.Sal.25])))))))),
0)</f>
        <v>0</v>
      </c>
      <c r="AI44" s="101">
        <f t="array" ref="AI44">IFERROR(
(AVERAGE((IF(DATOS_[[Sexo]:[Sexo]]=$B44,IF(DATOS_[[AGRUP. CLAS. PROF.]:[AGRUP. CLAS. PROF.]]=$B42,IF(DATOS_[[Check Periodo Ref.]:[Check Periodo Ref.]]="Dentro",IF(DATOS_[[Check Equiparado]:[Check Equiparado]]="Sí",IF(DATOS!BD$5="Sí",(1/DATOS_[[% anualiz]:[% anualiz]]),1)*IF(DATOS!BD$4="Sí",1/DATOS_[[% normaliz]:[% normaliz]],1)*(DATOS_[Conc.Sal.26])))))))),
0)</f>
        <v>0</v>
      </c>
      <c r="AJ44" s="101">
        <f t="array" ref="AJ44">IFERROR(
(AVERAGE((IF(DATOS_[[Sexo]:[Sexo]]=$B44,IF(DATOS_[[AGRUP. CLAS. PROF.]:[AGRUP. CLAS. PROF.]]=$B42,IF(DATOS_[[Check Periodo Ref.]:[Check Periodo Ref.]]="Dentro",IF(DATOS_[[Check Equiparado]:[Check Equiparado]]="Sí",IF(DATOS!BE$5="Sí",(1/DATOS_[[% anualiz]:[% anualiz]]),1)*IF(DATOS!BE$4="Sí",1/DATOS_[[% normaliz]:[% normaliz]],1)*(DATOS_[Conc.Sal.27])))))))),
0)</f>
        <v>0</v>
      </c>
      <c r="AK44" s="101">
        <f t="array" ref="AK44">IFERROR(
(AVERAGE((IF(DATOS_[[Sexo]:[Sexo]]=$B44,IF(DATOS_[[AGRUP. CLAS. PROF.]:[AGRUP. CLAS. PROF.]]=$B42,IF(DATOS_[[Check Periodo Ref.]:[Check Periodo Ref.]]="Dentro",IF(DATOS_[[Check Equiparado]:[Check Equiparado]]="Sí",IF(DATOS!BF$5="Sí",(1/DATOS_[[% anualiz]:[% anualiz]]),1)*IF(DATOS!BF$4="Sí",1/DATOS_[[% normaliz]:[% normaliz]],1)*(DATOS_[Conc.Sal.28])))))))),
0)</f>
        <v>0</v>
      </c>
      <c r="AL44" s="101">
        <f t="array" ref="AL44">IFERROR(
(AVERAGE((IF(DATOS_[[Sexo]:[Sexo]]=$B44,IF(DATOS_[[AGRUP. CLAS. PROF.]:[AGRUP. CLAS. PROF.]]=$B42,IF(DATOS_[[Check Periodo Ref.]:[Check Periodo Ref.]]="Dentro",IF(DATOS_[[Check Equiparado]:[Check Equiparado]]="Sí",IF(DATOS!BG$5="Sí",(1/DATOS_[[% anualiz]:[% anualiz]]),1)*IF(DATOS!BG$4="Sí",1/DATOS_[[% normaliz]:[% normaliz]],1)*(DATOS_[Conc.Sal.29])))))))),
0)</f>
        <v>0</v>
      </c>
      <c r="AM44" s="101">
        <f t="array" ref="AM44">IFERROR(
(AVERAGE((IF(DATOS_[[Sexo]:[Sexo]]=$B44,IF(DATOS_[[AGRUP. CLAS. PROF.]:[AGRUP. CLAS. PROF.]]=$B42,IF(DATOS_[[Check Periodo Ref.]:[Check Periodo Ref.]]="Dentro",IF(DATOS_[[Check Equiparado]:[Check Equiparado]]="Sí",IF(DATOS!BH$5="Sí",(1/DATOS_[[% anualiz]:[% anualiz]]),1)*IF(DATOS!BH$4="Sí",1/DATOS_[[% normaliz]:[% normaliz]],1)*(DATOS_[Conc.Sal.30])))))))),
0)</f>
        <v>0</v>
      </c>
      <c r="AN44" s="102">
        <f t="array" ref="AN44">IFERROR(
AVERAGE(IF(DATOS_[Sexo]=$B44,IF(DATOS_[[AGRUP. CLAS. PROF.]:[AGRUP. CLAS. PROF.]]=$B42,IF(DATOS_[Check Equiparado]="Sí",IF(DATOS_[Check Periodo Ref.]="Dentro",DATOS_[Tot COMPL.SAL Eq],FALSE))))),
0)</f>
        <v>0</v>
      </c>
      <c r="AO44" s="103">
        <f t="array" ref="AO44">IFERROR(
AVERAGE(IF(DATOS_[Sexo]=$B44,IF(DATOS_[[AGRUP. CLAS. PROF.]:[AGRUP. CLAS. PROF.]]=$B42,IF(DATOS_[Check Equiparado]="Sí",IF(DATOS_[Check Periodo Ref.]="Dentro",DATOS_[TOTAL SALARIO Eq],FALSE))))),
0)</f>
        <v>0</v>
      </c>
      <c r="AP44" s="104">
        <f t="array" ref="AP44">IFERROR(
(AVERAGE((IF(DATOS_[[Sexo]:[Sexo]]=$B44,IF(DATOS_[[AGRUP. CLAS. PROF.]:[AGRUP. CLAS. PROF.]]=$B42,IF(DATOS_[[Check Periodo Ref.]:[Check Periodo Ref.]]="Dentro",IF(DATOS_[[Check Equiparado]:[Check Equiparado]]="Sí",IF(DATOS!BI$5="Sí",(1/DATOS_[[% anualiz]:[% anualiz]]),1)*IF(DATOS!BI$4="Sí",1/DATOS_[[% normaliz]:[% normaliz]],1)*(DATOS_[C.Extra.01])))))))),
0)</f>
        <v>0</v>
      </c>
      <c r="AQ44" s="104">
        <f t="array" ref="AQ44">IFERROR(
(AVERAGE((IF(DATOS_[[Sexo]:[Sexo]]=$B44,IF(DATOS_[[AGRUP. CLAS. PROF.]:[AGRUP. CLAS. PROF.]]=$B42,IF(DATOS_[[Check Periodo Ref.]:[Check Periodo Ref.]]="Dentro",IF(DATOS_[[Check Equiparado]:[Check Equiparado]]="Sí",IF(DATOS!BJ$5="Sí",(1/DATOS_[[% anualiz]:[% anualiz]]),1)*IF(DATOS!BJ$4="Sí",1/DATOS_[[% normaliz]:[% normaliz]],1)*(DATOS_[C.Extra.02])))))))),
0)</f>
        <v>0</v>
      </c>
      <c r="AR44" s="104">
        <f t="array" ref="AR44">IFERROR(
(AVERAGE((IF(DATOS_[[Sexo]:[Sexo]]=$B44,IF(DATOS_[[AGRUP. CLAS. PROF.]:[AGRUP. CLAS. PROF.]]=$B42,IF(DATOS_[[Check Periodo Ref.]:[Check Periodo Ref.]]="Dentro",IF(DATOS_[[Check Equiparado]:[Check Equiparado]]="Sí",IF(DATOS!BK$5="Sí",(1/DATOS_[[% anualiz]:[% anualiz]]),1)*IF(DATOS!BK$4="Sí",1/DATOS_[[% normaliz]:[% normaliz]],1)*(DATOS_[C.Extra.03])))))))),
0)</f>
        <v>0</v>
      </c>
      <c r="AS44" s="104">
        <f t="array" ref="AS44">IFERROR(
(AVERAGE((IF(DATOS_[[Sexo]:[Sexo]]=$B44,IF(DATOS_[[AGRUP. CLAS. PROF.]:[AGRUP. CLAS. PROF.]]=$B42,IF(DATOS_[[Check Periodo Ref.]:[Check Periodo Ref.]]="Dentro",IF(DATOS_[[Check Equiparado]:[Check Equiparado]]="Sí",IF(DATOS!BL$5="Sí",(1/DATOS_[[% anualiz]:[% anualiz]]),1)*IF(DATOS!BL$4="Sí",1/DATOS_[[% normaliz]:[% normaliz]],1)*(DATOS_[C.Extra.04])))))))),
0)</f>
        <v>0</v>
      </c>
      <c r="AT44" s="104">
        <f t="array" ref="AT44">IFERROR(
(AVERAGE((IF(DATOS_[[Sexo]:[Sexo]]=$B44,IF(DATOS_[[AGRUP. CLAS. PROF.]:[AGRUP. CLAS. PROF.]]=$B42,IF(DATOS_[[Check Periodo Ref.]:[Check Periodo Ref.]]="Dentro",IF(DATOS_[[Check Equiparado]:[Check Equiparado]]="Sí",IF(DATOS!BM$5="Sí",(1/DATOS_[[% anualiz]:[% anualiz]]),1)*IF(DATOS!BM$4="Sí",1/DATOS_[[% normaliz]:[% normaliz]],1)*(DATOS_[C.Extra.05])))))))),
0)</f>
        <v>0</v>
      </c>
      <c r="AU44" s="105">
        <f t="array" ref="AU44">IFERROR(
AVERAGE(IF(DATOS_[Sexo]=$B44,IF(DATOS_[[AGRUP. CLAS. PROF.]:[AGRUP. CLAS. PROF.]]=$B42,IF(DATOS_[Check Equiparado]="Sí",IF(DATOS_[Check Periodo Ref.]="Dentro",DATOS_[Tot Extrasalarial Eq],FALSE))))),
0)</f>
        <v>0</v>
      </c>
      <c r="AV44" s="106">
        <f t="array" ref="AV44">IFERROR(
AVERAGE(IF(DATOS_[Sexo]=$B44,IF(DATOS_[[AGRUP. CLAS. PROF.]:[AGRUP. CLAS. PROF.]]=$B42,IF(DATOS_[Check Equiparado]="Sí",IF(DATOS_[Check Periodo Ref.]="Dentro",DATOS_[TOTAL Retrib Eq],FALSE))))),
0)</f>
        <v>0</v>
      </c>
    </row>
    <row r="45" spans="1:48" ht="17.25" hidden="1" thickBot="1" x14ac:dyDescent="0.35">
      <c r="A45" s="53" t="str">
        <f t="shared" ref="A45" si="43">+A46</f>
        <v>[ocultar]</v>
      </c>
      <c r="B45" s="62" t="s">
        <v>227</v>
      </c>
      <c r="C45" s="99"/>
      <c r="D45" s="63"/>
      <c r="E45" s="63"/>
      <c r="F45" s="63"/>
      <c r="G45" s="63"/>
      <c r="H45" s="63"/>
      <c r="I45" s="129" t="str">
        <f t="shared" ref="I45:AV45" si="44">IFERROR((I46-I47)/I46,"")</f>
        <v/>
      </c>
      <c r="J45" s="130" t="str">
        <f t="shared" si="44"/>
        <v/>
      </c>
      <c r="K45" s="131" t="str">
        <f t="shared" si="44"/>
        <v/>
      </c>
      <c r="L45" s="131" t="str">
        <f t="shared" si="44"/>
        <v/>
      </c>
      <c r="M45" s="131" t="str">
        <f t="shared" si="44"/>
        <v/>
      </c>
      <c r="N45" s="132" t="str">
        <f t="shared" si="44"/>
        <v/>
      </c>
      <c r="O45" s="133" t="str">
        <f t="shared" si="44"/>
        <v/>
      </c>
      <c r="P45" s="133" t="str">
        <f t="shared" si="44"/>
        <v/>
      </c>
      <c r="Q45" s="133" t="str">
        <f t="shared" si="44"/>
        <v/>
      </c>
      <c r="R45" s="133" t="str">
        <f t="shared" si="44"/>
        <v/>
      </c>
      <c r="S45" s="133" t="str">
        <f t="shared" si="44"/>
        <v/>
      </c>
      <c r="T45" s="133" t="str">
        <f t="shared" si="44"/>
        <v/>
      </c>
      <c r="U45" s="133" t="str">
        <f t="shared" si="44"/>
        <v/>
      </c>
      <c r="V45" s="133" t="str">
        <f t="shared" si="44"/>
        <v/>
      </c>
      <c r="W45" s="133" t="str">
        <f t="shared" si="44"/>
        <v/>
      </c>
      <c r="X45" s="133" t="str">
        <f t="shared" si="44"/>
        <v/>
      </c>
      <c r="Y45" s="133" t="str">
        <f t="shared" si="44"/>
        <v/>
      </c>
      <c r="Z45" s="132" t="str">
        <f t="shared" si="44"/>
        <v/>
      </c>
      <c r="AA45" s="132" t="str">
        <f t="shared" si="44"/>
        <v/>
      </c>
      <c r="AB45" s="132" t="str">
        <f t="shared" si="44"/>
        <v/>
      </c>
      <c r="AC45" s="132" t="str">
        <f t="shared" si="44"/>
        <v/>
      </c>
      <c r="AD45" s="132" t="str">
        <f t="shared" si="44"/>
        <v/>
      </c>
      <c r="AE45" s="132" t="str">
        <f t="shared" si="44"/>
        <v/>
      </c>
      <c r="AF45" s="132" t="str">
        <f t="shared" si="44"/>
        <v/>
      </c>
      <c r="AG45" s="132" t="str">
        <f t="shared" si="44"/>
        <v/>
      </c>
      <c r="AH45" s="132" t="str">
        <f t="shared" si="44"/>
        <v/>
      </c>
      <c r="AI45" s="132" t="str">
        <f t="shared" si="44"/>
        <v/>
      </c>
      <c r="AJ45" s="132" t="str">
        <f t="shared" si="44"/>
        <v/>
      </c>
      <c r="AK45" s="132" t="str">
        <f t="shared" si="44"/>
        <v/>
      </c>
      <c r="AL45" s="132" t="str">
        <f t="shared" si="44"/>
        <v/>
      </c>
      <c r="AM45" s="132" t="str">
        <f t="shared" si="44"/>
        <v/>
      </c>
      <c r="AN45" s="134" t="str">
        <f t="shared" si="44"/>
        <v/>
      </c>
      <c r="AO45" s="138" t="str">
        <f t="shared" si="44"/>
        <v/>
      </c>
      <c r="AP45" s="135" t="str">
        <f t="shared" si="44"/>
        <v/>
      </c>
      <c r="AQ45" s="135" t="str">
        <f t="shared" si="44"/>
        <v/>
      </c>
      <c r="AR45" s="135" t="str">
        <f t="shared" si="44"/>
        <v/>
      </c>
      <c r="AS45" s="135" t="str">
        <f t="shared" si="44"/>
        <v/>
      </c>
      <c r="AT45" s="135" t="str">
        <f t="shared" si="44"/>
        <v/>
      </c>
      <c r="AU45" s="136" t="str">
        <f t="shared" si="44"/>
        <v/>
      </c>
      <c r="AV45" s="137" t="str">
        <f t="shared" si="44"/>
        <v/>
      </c>
    </row>
    <row r="46" spans="1:48" hidden="1" x14ac:dyDescent="0.3">
      <c r="A46" s="53" t="str">
        <f t="shared" ref="A46" si="45">+IF(C46+C47=0,"[ocultar]","")</f>
        <v>[ocultar]</v>
      </c>
      <c r="B46" s="57" t="s">
        <v>162</v>
      </c>
      <c r="C46" s="56">
        <f t="array" ref="C46">SUM(IF($B46=DATOS_[Sexo],
IF($B45=DATOS_[AGRUP. CLAS. PROF.],
IF("Dentro"=DATOS_[Check Periodo Ref.],
1/(COUNTIFS(DATOS_[Sexo],$B46,DATOS_[AGRUP. CLAS. PROF.],$B45,DATOS_[Check Periodo Ref.],"Dentro",DATOS_[id],DATOS_[id]))))))</f>
        <v>0</v>
      </c>
      <c r="D46" s="58">
        <f>COUNTIFS(DATOS_[AGRUP. CLAS. PROF.],$B45,DATOS_[Sexo],$B46,DATOS_[Check Periodo Ref.],"Dentro")</f>
        <v>0</v>
      </c>
      <c r="E46" s="58">
        <f>COUNTIFS(DATOS_[AGRUP. CLAS. PROF.],$B45,DATOS_[Sexo],$B46,DATOS_[Check Periodo Ref.],"Dentro",DATOS_[Check Nº SC Norm],"Sí")</f>
        <v>0</v>
      </c>
      <c r="F46" s="58">
        <f>COUNTIFS(DATOS_[AGRUP. CLAS. PROF.],$B45,DATOS_[Sexo],$B46,DATOS_[Check Periodo Ref.],"Dentro",DATOS_[Check Nº SC Anualiz],"Sí")</f>
        <v>0</v>
      </c>
      <c r="G46" s="58">
        <f>COUNTIFS(DATOS_[AGRUP. CLAS. PROF.],$B45,DATOS_[Sexo],$B46,DATOS_[Check Periodo Ref.],"Dentro",DATOS_[Check Nº SC Norm y Anualiz],"Sí")</f>
        <v>0</v>
      </c>
      <c r="H46" s="58">
        <f>COUNTIFS(DATOS_[AGRUP. CLAS. PROF.],$B45,DATOS_[Sexo],$B46,DATOS_[Check Periodo Ref.],"Dentro",DATOS_[Check Equiparación],"Sí")</f>
        <v>0</v>
      </c>
      <c r="I46" s="100">
        <f t="array" ref="I46">IFERROR(
AVERAGE(IF(DATOS_[Sexo]=$B46,IF(DATOS_[[AGRUP. CLAS. PROF.]:[AGRUP. CLAS. PROF.]]=$B45,IF(DATOS_[Check Equiparado]="Sí",IF(DATOS_[Check Periodo Ref.]="Dentro",DATOS_[SALARIO BASE Eq],FALSE))))),
0)</f>
        <v>0</v>
      </c>
      <c r="J46" s="101">
        <f t="array" ref="J46">IFERROR(
(AVERAGE((IF(DATOS_[[Sexo]:[Sexo]]=$B46,IF(DATOS_[[AGRUP. CLAS. PROF.]:[AGRUP. CLAS. PROF.]]=$B45,IF(DATOS_[[Check Periodo Ref.]:[Check Periodo Ref.]]="Dentro",IF(DATOS_[[Check Equiparado]:[Check Equiparado]]="Sí",IF(DATOS!AE$5="Sí",(1/DATOS_[[% anualiz]:[% anualiz]]),1)*IF(DATOS!AE$4="Sí",1/DATOS_[[% normaliz]:[% normaliz]],1)*(DATOS_[Conc.Sal.01])))))))),
0)</f>
        <v>0</v>
      </c>
      <c r="K46" s="101">
        <f t="array" ref="K46">IFERROR(
(AVERAGE((IF(DATOS_[[Sexo]:[Sexo]]=$B46,IF(DATOS_[[AGRUP. CLAS. PROF.]:[AGRUP. CLAS. PROF.]]=$B45,IF(DATOS_[[Check Periodo Ref.]:[Check Periodo Ref.]]="Dentro",IF(DATOS_[[Check Equiparado]:[Check Equiparado]]="Sí",IF(DATOS!AF$5="Sí",(1/DATOS_[[% anualiz]:[% anualiz]]),1)*IF(DATOS!AF$4="Sí",1/DATOS_[[% normaliz]:[% normaliz]],1)*(DATOS_[Conc.Sal.02])))))))),
0)</f>
        <v>0</v>
      </c>
      <c r="L46" s="101">
        <f t="array" ref="L46">IFERROR(
(AVERAGE((IF(DATOS_[[Sexo]:[Sexo]]=$B46,IF(DATOS_[[AGRUP. CLAS. PROF.]:[AGRUP. CLAS. PROF.]]=$B45,IF(DATOS_[[Check Periodo Ref.]:[Check Periodo Ref.]]="Dentro",IF(DATOS_[[Check Equiparado]:[Check Equiparado]]="Sí",IF(DATOS!AG$5="Sí",(1/DATOS_[[% anualiz]:[% anualiz]]),1)*IF(DATOS!AG$4="Sí",1/DATOS_[[% normaliz]:[% normaliz]],1)*(DATOS_[Conc.Sal.03])))))))),
0)</f>
        <v>0</v>
      </c>
      <c r="M46" s="101">
        <f t="array" ref="M46">IFERROR(
(AVERAGE((IF(DATOS_[[Sexo]:[Sexo]]=$B46,IF(DATOS_[[AGRUP. CLAS. PROF.]:[AGRUP. CLAS. PROF.]]=$B45,IF(DATOS_[[Check Periodo Ref.]:[Check Periodo Ref.]]="Dentro",IF(DATOS_[[Check Equiparado]:[Check Equiparado]]="Sí",IF(DATOS!AH$5="Sí",(1/DATOS_[[% anualiz]:[% anualiz]]),1)*IF(DATOS!AH$4="Sí",1/DATOS_[[% normaliz]:[% normaliz]],1)*(DATOS_[Conc.Sal.04])))))))),
0)</f>
        <v>0</v>
      </c>
      <c r="N46" s="101">
        <f t="array" ref="N46">IFERROR(
(AVERAGE((IF(DATOS_[[Sexo]:[Sexo]]=$B46,IF(DATOS_[[AGRUP. CLAS. PROF.]:[AGRUP. CLAS. PROF.]]=$B45,IF(DATOS_[[Check Periodo Ref.]:[Check Periodo Ref.]]="Dentro",IF(DATOS_[[Check Equiparado]:[Check Equiparado]]="Sí",IF(DATOS!AI$5="Sí",(1/DATOS_[[% anualiz]:[% anualiz]]),1)*IF(DATOS!AI$4="Sí",1/DATOS_[[% normaliz]:[% normaliz]],1)*(DATOS_[Conc.Sal.05])))))))),
0)</f>
        <v>0</v>
      </c>
      <c r="O46" s="101">
        <f t="array" ref="O46">IFERROR(
(AVERAGE((IF(DATOS_[[Sexo]:[Sexo]]=$B46,IF(DATOS_[[AGRUP. CLAS. PROF.]:[AGRUP. CLAS. PROF.]]=$B45,IF(DATOS_[[Check Periodo Ref.]:[Check Periodo Ref.]]="Dentro",IF(DATOS_[[Check Equiparado]:[Check Equiparado]]="Sí",IF(DATOS!AJ$5="Sí",(1/DATOS_[[% anualiz]:[% anualiz]]),1)*IF(DATOS!AJ$4="Sí",1/DATOS_[[% normaliz]:[% normaliz]],1)*(DATOS_[Conc.Sal.06])))))))),
0)</f>
        <v>0</v>
      </c>
      <c r="P46" s="101">
        <f t="array" ref="P46">IFERROR(
(AVERAGE((IF(DATOS_[[Sexo]:[Sexo]]=$B46,IF(DATOS_[[AGRUP. CLAS. PROF.]:[AGRUP. CLAS. PROF.]]=$B45,IF(DATOS_[[Check Periodo Ref.]:[Check Periodo Ref.]]="Dentro",IF(DATOS_[[Check Equiparado]:[Check Equiparado]]="Sí",IF(DATOS!AK$5="Sí",(1/DATOS_[[% anualiz]:[% anualiz]]),1)*IF(DATOS!AK$4="Sí",1/DATOS_[[% normaliz]:[% normaliz]],1)*(DATOS_[Conc.Sal.07])))))))),
0)</f>
        <v>0</v>
      </c>
      <c r="Q46" s="101">
        <f t="array" ref="Q46">IFERROR(
(AVERAGE((IF(DATOS_[[Sexo]:[Sexo]]=$B46,IF(DATOS_[[AGRUP. CLAS. PROF.]:[AGRUP. CLAS. PROF.]]=$B45,IF(DATOS_[[Check Periodo Ref.]:[Check Periodo Ref.]]="Dentro",IF(DATOS_[[Check Equiparado]:[Check Equiparado]]="Sí",IF(DATOS!AL$5="Sí",(1/DATOS_[[% anualiz]:[% anualiz]]),1)*IF(DATOS!AL$4="Sí",1/DATOS_[[% normaliz]:[% normaliz]],1)*(DATOS_[Conc.Sal.08])))))))),
0)</f>
        <v>0</v>
      </c>
      <c r="R46" s="101">
        <f t="array" ref="R46">IFERROR(
(AVERAGE((IF(DATOS_[[Sexo]:[Sexo]]=$B46,IF(DATOS_[[AGRUP. CLAS. PROF.]:[AGRUP. CLAS. PROF.]]=$B45,IF(DATOS_[[Check Periodo Ref.]:[Check Periodo Ref.]]="Dentro",IF(DATOS_[[Check Equiparado]:[Check Equiparado]]="Sí",IF(DATOS!AM$5="Sí",(1/DATOS_[[% anualiz]:[% anualiz]]),1)*IF(DATOS!AM$4="Sí",1/DATOS_[[% normaliz]:[% normaliz]],1)*(DATOS_[Conc.Sal.09])))))))),
0)</f>
        <v>0</v>
      </c>
      <c r="S46" s="101">
        <f t="array" ref="S46">IFERROR(
(AVERAGE((IF(DATOS_[[Sexo]:[Sexo]]=$B46,IF(DATOS_[[AGRUP. CLAS. PROF.]:[AGRUP. CLAS. PROF.]]=$B45,IF(DATOS_[[Check Periodo Ref.]:[Check Periodo Ref.]]="Dentro",IF(DATOS_[[Check Equiparado]:[Check Equiparado]]="Sí",IF(DATOS!AN$5="Sí",(1/DATOS_[[% anualiz]:[% anualiz]]),1)*IF(DATOS!AN$4="Sí",1/DATOS_[[% normaliz]:[% normaliz]],1)*(DATOS_[Conc.Sal.10])))))))),
0)</f>
        <v>0</v>
      </c>
      <c r="T46" s="101">
        <f t="array" ref="T46">IFERROR(
(AVERAGE((IF(DATOS_[[Sexo]:[Sexo]]=$B46,IF(DATOS_[[AGRUP. CLAS. PROF.]:[AGRUP. CLAS. PROF.]]=$B45,IF(DATOS_[[Check Periodo Ref.]:[Check Periodo Ref.]]="Dentro",IF(DATOS_[[Check Equiparado]:[Check Equiparado]]="Sí",IF(DATOS!AO$5="Sí",(1/DATOS_[[% anualiz]:[% anualiz]]),1)*IF(DATOS!AO$4="Sí",1/DATOS_[[% normaliz]:[% normaliz]],1)*(DATOS_[Conc.Sal.11])))))))),
0)</f>
        <v>0</v>
      </c>
      <c r="U46" s="101">
        <f t="array" ref="U46">IFERROR(
(AVERAGE((IF(DATOS_[[Sexo]:[Sexo]]=$B46,IF(DATOS_[[AGRUP. CLAS. PROF.]:[AGRUP. CLAS. PROF.]]=$B45,IF(DATOS_[[Check Periodo Ref.]:[Check Periodo Ref.]]="Dentro",IF(DATOS_[[Check Equiparado]:[Check Equiparado]]="Sí",IF(DATOS!AP$5="Sí",(1/DATOS_[[% anualiz]:[% anualiz]]),1)*IF(DATOS!AP$4="Sí",1/DATOS_[[% normaliz]:[% normaliz]],1)*(DATOS_[Conc.Sal.12])))))))),
0)</f>
        <v>0</v>
      </c>
      <c r="V46" s="101">
        <f t="array" ref="V46">IFERROR(
(AVERAGE((IF(DATOS_[[Sexo]:[Sexo]]=$B46,IF(DATOS_[[AGRUP. CLAS. PROF.]:[AGRUP. CLAS. PROF.]]=$B45,IF(DATOS_[[Check Periodo Ref.]:[Check Periodo Ref.]]="Dentro",IF(DATOS_[[Check Equiparado]:[Check Equiparado]]="Sí",IF(DATOS!AQ$5="Sí",(1/DATOS_[[% anualiz]:[% anualiz]]),1)*IF(DATOS!AQ$4="Sí",1/DATOS_[[% normaliz]:[% normaliz]],1)*(DATOS_[Conc.Sal.13])))))))),
0)</f>
        <v>0</v>
      </c>
      <c r="W46" s="101">
        <f t="array" ref="W46">IFERROR(
(AVERAGE((IF(DATOS_[[Sexo]:[Sexo]]=$B46,IF(DATOS_[[AGRUP. CLAS. PROF.]:[AGRUP. CLAS. PROF.]]=$B45,IF(DATOS_[[Check Periodo Ref.]:[Check Periodo Ref.]]="Dentro",IF(DATOS_[[Check Equiparado]:[Check Equiparado]]="Sí",IF(DATOS!AR$5="Sí",(1/DATOS_[[% anualiz]:[% anualiz]]),1)*IF(DATOS!AR$4="Sí",1/DATOS_[[% normaliz]:[% normaliz]],1)*(DATOS_[Conc.Sal.14])))))))),
0)</f>
        <v>0</v>
      </c>
      <c r="X46" s="101">
        <f t="array" ref="X46">IFERROR(
(AVERAGE((IF(DATOS_[[Sexo]:[Sexo]]=$B46,IF(DATOS_[[AGRUP. CLAS. PROF.]:[AGRUP. CLAS. PROF.]]=$B45,IF(DATOS_[[Check Periodo Ref.]:[Check Periodo Ref.]]="Dentro",IF(DATOS_[[Check Equiparado]:[Check Equiparado]]="Sí",IF(DATOS!AS$5="Sí",(1/DATOS_[[% anualiz]:[% anualiz]]),1)*IF(DATOS!AS$4="Sí",1/DATOS_[[% normaliz]:[% normaliz]],1)*(DATOS_[Conc.Sal.15])))))))),
0)</f>
        <v>0</v>
      </c>
      <c r="Y46" s="101">
        <f t="array" ref="Y46">IFERROR(
(AVERAGE((IF(DATOS_[[Sexo]:[Sexo]]=$B46,IF(DATOS_[[AGRUP. CLAS. PROF.]:[AGRUP. CLAS. PROF.]]=$B45,IF(DATOS_[[Check Periodo Ref.]:[Check Periodo Ref.]]="Dentro",IF(DATOS_[[Check Equiparado]:[Check Equiparado]]="Sí",IF(DATOS!AT$5="Sí",(1/DATOS_[[% anualiz]:[% anualiz]]),1)*IF(DATOS!AT$4="Sí",1/DATOS_[[% normaliz]:[% normaliz]],1)*(DATOS_[Conc.Sal.16])))))))),
0)</f>
        <v>0</v>
      </c>
      <c r="Z46" s="101">
        <f t="array" ref="Z46">IFERROR(
(AVERAGE((IF(DATOS_[[Sexo]:[Sexo]]=$B46,IF(DATOS_[[AGRUP. CLAS. PROF.]:[AGRUP. CLAS. PROF.]]=$B45,IF(DATOS_[[Check Periodo Ref.]:[Check Periodo Ref.]]="Dentro",IF(DATOS_[[Check Equiparado]:[Check Equiparado]]="Sí",IF(DATOS!AU$5="Sí",(1/DATOS_[[% anualiz]:[% anualiz]]),1)*IF(DATOS!AU$4="Sí",1/DATOS_[[% normaliz]:[% normaliz]],1)*(DATOS_[Conc.Sal.17])))))))),
0)</f>
        <v>0</v>
      </c>
      <c r="AA46" s="101">
        <f t="array" ref="AA46">IFERROR(
(AVERAGE((IF(DATOS_[[Sexo]:[Sexo]]=$B46,IF(DATOS_[[AGRUP. CLAS. PROF.]:[AGRUP. CLAS. PROF.]]=$B45,IF(DATOS_[[Check Periodo Ref.]:[Check Periodo Ref.]]="Dentro",IF(DATOS_[[Check Equiparado]:[Check Equiparado]]="Sí",IF(DATOS!AV$5="Sí",(1/DATOS_[[% anualiz]:[% anualiz]]),1)*IF(DATOS!AV$4="Sí",1/DATOS_[[% normaliz]:[% normaliz]],1)*(DATOS_[Conc.Sal.18])))))))),
0)</f>
        <v>0</v>
      </c>
      <c r="AB46" s="101">
        <f t="array" ref="AB46">IFERROR(
(AVERAGE((IF(DATOS_[[Sexo]:[Sexo]]=$B46,IF(DATOS_[[AGRUP. CLAS. PROF.]:[AGRUP. CLAS. PROF.]]=$B45,IF(DATOS_[[Check Periodo Ref.]:[Check Periodo Ref.]]="Dentro",IF(DATOS_[[Check Equiparado]:[Check Equiparado]]="Sí",IF(DATOS!AW$5="Sí",(1/DATOS_[[% anualiz]:[% anualiz]]),1)*IF(DATOS!AW$4="Sí",1/DATOS_[[% normaliz]:[% normaliz]],1)*(DATOS_[Conc.Sal.19])))))))),
0)</f>
        <v>0</v>
      </c>
      <c r="AC46" s="101">
        <f t="array" ref="AC46">IFERROR(
(AVERAGE((IF(DATOS_[[Sexo]:[Sexo]]=$B46,IF(DATOS_[[AGRUP. CLAS. PROF.]:[AGRUP. CLAS. PROF.]]=$B45,IF(DATOS_[[Check Periodo Ref.]:[Check Periodo Ref.]]="Dentro",IF(DATOS_[[Check Equiparado]:[Check Equiparado]]="Sí",IF(DATOS!AX$5="Sí",(1/DATOS_[[% anualiz]:[% anualiz]]),1)*IF(DATOS!AX$4="Sí",1/DATOS_[[% normaliz]:[% normaliz]],1)*(DATOS_[Conc.Sal.20])))))))),
0)</f>
        <v>0</v>
      </c>
      <c r="AD46" s="101">
        <f t="array" ref="AD46">IFERROR(
(AVERAGE((IF(DATOS_[[Sexo]:[Sexo]]=$B46,IF(DATOS_[[AGRUP. CLAS. PROF.]:[AGRUP. CLAS. PROF.]]=$B45,IF(DATOS_[[Check Periodo Ref.]:[Check Periodo Ref.]]="Dentro",IF(DATOS_[[Check Equiparado]:[Check Equiparado]]="Sí",IF(DATOS!AY$5="Sí",(1/DATOS_[[% anualiz]:[% anualiz]]),1)*IF(DATOS!AY$4="Sí",1/DATOS_[[% normaliz]:[% normaliz]],1)*(DATOS_[Conc.Sal.21])))))))),
0)</f>
        <v>0</v>
      </c>
      <c r="AE46" s="101">
        <f t="array" ref="AE46">IFERROR(
(AVERAGE((IF(DATOS_[[Sexo]:[Sexo]]=$B46,IF(DATOS_[[AGRUP. CLAS. PROF.]:[AGRUP. CLAS. PROF.]]=$B45,IF(DATOS_[[Check Periodo Ref.]:[Check Periodo Ref.]]="Dentro",IF(DATOS_[[Check Equiparado]:[Check Equiparado]]="Sí",IF(DATOS!AZ$5="Sí",(1/DATOS_[[% anualiz]:[% anualiz]]),1)*IF(DATOS!AZ$4="Sí",1/DATOS_[[% normaliz]:[% normaliz]],1)*(DATOS_[Conc.Sal.22])))))))),
0)</f>
        <v>0</v>
      </c>
      <c r="AF46" s="101">
        <f t="array" ref="AF46">IFERROR(
(AVERAGE((IF(DATOS_[[Sexo]:[Sexo]]=$B46,IF(DATOS_[[AGRUP. CLAS. PROF.]:[AGRUP. CLAS. PROF.]]=$B45,IF(DATOS_[[Check Periodo Ref.]:[Check Periodo Ref.]]="Dentro",IF(DATOS_[[Check Equiparado]:[Check Equiparado]]="Sí",IF(DATOS!BA$5="Sí",(1/DATOS_[[% anualiz]:[% anualiz]]),1)*IF(DATOS!BA$4="Sí",1/DATOS_[[% normaliz]:[% normaliz]],1)*(DATOS_[Conc.Sal.23])))))))),
0)</f>
        <v>0</v>
      </c>
      <c r="AG46" s="101">
        <f t="array" ref="AG46">IFERROR(
(AVERAGE((IF(DATOS_[[Sexo]:[Sexo]]=$B46,IF(DATOS_[[AGRUP. CLAS. PROF.]:[AGRUP. CLAS. PROF.]]=$B45,IF(DATOS_[[Check Periodo Ref.]:[Check Periodo Ref.]]="Dentro",IF(DATOS_[[Check Equiparado]:[Check Equiparado]]="Sí",IF(DATOS!BB$5="Sí",(1/DATOS_[[% anualiz]:[% anualiz]]),1)*IF(DATOS!BB$4="Sí",1/DATOS_[[% normaliz]:[% normaliz]],1)*(DATOS_[Conc.Sal.24])))))))),
0)</f>
        <v>0</v>
      </c>
      <c r="AH46" s="101">
        <f t="array" ref="AH46">IFERROR(
(AVERAGE((IF(DATOS_[[Sexo]:[Sexo]]=$B46,IF(DATOS_[[AGRUP. CLAS. PROF.]:[AGRUP. CLAS. PROF.]]=$B45,IF(DATOS_[[Check Periodo Ref.]:[Check Periodo Ref.]]="Dentro",IF(DATOS_[[Check Equiparado]:[Check Equiparado]]="Sí",IF(DATOS!BC$5="Sí",(1/DATOS_[[% anualiz]:[% anualiz]]),1)*IF(DATOS!BC$4="Sí",1/DATOS_[[% normaliz]:[% normaliz]],1)*(DATOS_[Conc.Sal.25])))))))),
0)</f>
        <v>0</v>
      </c>
      <c r="AI46" s="101">
        <f t="array" ref="AI46">IFERROR(
(AVERAGE((IF(DATOS_[[Sexo]:[Sexo]]=$B46,IF(DATOS_[[AGRUP. CLAS. PROF.]:[AGRUP. CLAS. PROF.]]=$B45,IF(DATOS_[[Check Periodo Ref.]:[Check Periodo Ref.]]="Dentro",IF(DATOS_[[Check Equiparado]:[Check Equiparado]]="Sí",IF(DATOS!BD$5="Sí",(1/DATOS_[[% anualiz]:[% anualiz]]),1)*IF(DATOS!BD$4="Sí",1/DATOS_[[% normaliz]:[% normaliz]],1)*(DATOS_[Conc.Sal.26])))))))),
0)</f>
        <v>0</v>
      </c>
      <c r="AJ46" s="101">
        <f t="array" ref="AJ46">IFERROR(
(AVERAGE((IF(DATOS_[[Sexo]:[Sexo]]=$B46,IF(DATOS_[[AGRUP. CLAS. PROF.]:[AGRUP. CLAS. PROF.]]=$B45,IF(DATOS_[[Check Periodo Ref.]:[Check Periodo Ref.]]="Dentro",IF(DATOS_[[Check Equiparado]:[Check Equiparado]]="Sí",IF(DATOS!BE$5="Sí",(1/DATOS_[[% anualiz]:[% anualiz]]),1)*IF(DATOS!BE$4="Sí",1/DATOS_[[% normaliz]:[% normaliz]],1)*(DATOS_[Conc.Sal.27])))))))),
0)</f>
        <v>0</v>
      </c>
      <c r="AK46" s="101">
        <f t="array" ref="AK46">IFERROR(
(AVERAGE((IF(DATOS_[[Sexo]:[Sexo]]=$B46,IF(DATOS_[[AGRUP. CLAS. PROF.]:[AGRUP. CLAS. PROF.]]=$B45,IF(DATOS_[[Check Periodo Ref.]:[Check Periodo Ref.]]="Dentro",IF(DATOS_[[Check Equiparado]:[Check Equiparado]]="Sí",IF(DATOS!BF$5="Sí",(1/DATOS_[[% anualiz]:[% anualiz]]),1)*IF(DATOS!BF$4="Sí",1/DATOS_[[% normaliz]:[% normaliz]],1)*(DATOS_[Conc.Sal.28])))))))),
0)</f>
        <v>0</v>
      </c>
      <c r="AL46" s="101">
        <f t="array" ref="AL46">IFERROR(
(AVERAGE((IF(DATOS_[[Sexo]:[Sexo]]=$B46,IF(DATOS_[[AGRUP. CLAS. PROF.]:[AGRUP. CLAS. PROF.]]=$B45,IF(DATOS_[[Check Periodo Ref.]:[Check Periodo Ref.]]="Dentro",IF(DATOS_[[Check Equiparado]:[Check Equiparado]]="Sí",IF(DATOS!BG$5="Sí",(1/DATOS_[[% anualiz]:[% anualiz]]),1)*IF(DATOS!BG$4="Sí",1/DATOS_[[% normaliz]:[% normaliz]],1)*(DATOS_[Conc.Sal.29])))))))),
0)</f>
        <v>0</v>
      </c>
      <c r="AM46" s="101">
        <f t="array" ref="AM46">IFERROR(
(AVERAGE((IF(DATOS_[[Sexo]:[Sexo]]=$B46,IF(DATOS_[[AGRUP. CLAS. PROF.]:[AGRUP. CLAS. PROF.]]=$B45,IF(DATOS_[[Check Periodo Ref.]:[Check Periodo Ref.]]="Dentro",IF(DATOS_[[Check Equiparado]:[Check Equiparado]]="Sí",IF(DATOS!BH$5="Sí",(1/DATOS_[[% anualiz]:[% anualiz]]),1)*IF(DATOS!BH$4="Sí",1/DATOS_[[% normaliz]:[% normaliz]],1)*(DATOS_[Conc.Sal.30])))))))),
0)</f>
        <v>0</v>
      </c>
      <c r="AN46" s="102">
        <f t="array" ref="AN46">IFERROR(
AVERAGE(IF(DATOS_[Sexo]=$B46,IF(DATOS_[[AGRUP. CLAS. PROF.]:[AGRUP. CLAS. PROF.]]=$B45,IF(DATOS_[Check Equiparado]="Sí",IF(DATOS_[Check Periodo Ref.]="Dentro",DATOS_[Tot COMPL.SAL Eq],FALSE))))),
0)</f>
        <v>0</v>
      </c>
      <c r="AO46" s="103">
        <f t="array" ref="AO46">IFERROR(
AVERAGE(IF(DATOS_[Sexo]=$B46,IF(DATOS_[[AGRUP. CLAS. PROF.]:[AGRUP. CLAS. PROF.]]=$B45,IF(DATOS_[Check Equiparado]="Sí",IF(DATOS_[Check Periodo Ref.]="Dentro",DATOS_[TOTAL SALARIO Eq],FALSE))))),
0)</f>
        <v>0</v>
      </c>
      <c r="AP46" s="104">
        <f t="array" ref="AP46">IFERROR(
(AVERAGE((IF(DATOS_[[Sexo]:[Sexo]]=$B46,IF(DATOS_[[AGRUP. CLAS. PROF.]:[AGRUP. CLAS. PROF.]]=$B45,IF(DATOS_[[Check Periodo Ref.]:[Check Periodo Ref.]]="Dentro",IF(DATOS_[[Check Equiparado]:[Check Equiparado]]="Sí",IF(DATOS!BI$5="Sí",(1/DATOS_[[% anualiz]:[% anualiz]]),1)*IF(DATOS!BI$4="Sí",1/DATOS_[[% normaliz]:[% normaliz]],1)*(DATOS_[C.Extra.01])))))))),
0)</f>
        <v>0</v>
      </c>
      <c r="AQ46" s="104">
        <f t="array" ref="AQ46">IFERROR(
(AVERAGE((IF(DATOS_[[Sexo]:[Sexo]]=$B46,IF(DATOS_[[AGRUP. CLAS. PROF.]:[AGRUP. CLAS. PROF.]]=$B45,IF(DATOS_[[Check Periodo Ref.]:[Check Periodo Ref.]]="Dentro",IF(DATOS_[[Check Equiparado]:[Check Equiparado]]="Sí",IF(DATOS!BJ$5="Sí",(1/DATOS_[[% anualiz]:[% anualiz]]),1)*IF(DATOS!BJ$4="Sí",1/DATOS_[[% normaliz]:[% normaliz]],1)*(DATOS_[C.Extra.02])))))))),
0)</f>
        <v>0</v>
      </c>
      <c r="AR46" s="104">
        <f t="array" ref="AR46">IFERROR(
(AVERAGE((IF(DATOS_[[Sexo]:[Sexo]]=$B46,IF(DATOS_[[AGRUP. CLAS. PROF.]:[AGRUP. CLAS. PROF.]]=$B45,IF(DATOS_[[Check Periodo Ref.]:[Check Periodo Ref.]]="Dentro",IF(DATOS_[[Check Equiparado]:[Check Equiparado]]="Sí",IF(DATOS!BK$5="Sí",(1/DATOS_[[% anualiz]:[% anualiz]]),1)*IF(DATOS!BK$4="Sí",1/DATOS_[[% normaliz]:[% normaliz]],1)*(DATOS_[C.Extra.03])))))))),
0)</f>
        <v>0</v>
      </c>
      <c r="AS46" s="104">
        <f t="array" ref="AS46">IFERROR(
(AVERAGE((IF(DATOS_[[Sexo]:[Sexo]]=$B46,IF(DATOS_[[AGRUP. CLAS. PROF.]:[AGRUP. CLAS. PROF.]]=$B45,IF(DATOS_[[Check Periodo Ref.]:[Check Periodo Ref.]]="Dentro",IF(DATOS_[[Check Equiparado]:[Check Equiparado]]="Sí",IF(DATOS!BL$5="Sí",(1/DATOS_[[% anualiz]:[% anualiz]]),1)*IF(DATOS!BL$4="Sí",1/DATOS_[[% normaliz]:[% normaliz]],1)*(DATOS_[C.Extra.04])))))))),
0)</f>
        <v>0</v>
      </c>
      <c r="AT46" s="104">
        <f t="array" ref="AT46">IFERROR(
(AVERAGE((IF(DATOS_[[Sexo]:[Sexo]]=$B46,IF(DATOS_[[AGRUP. CLAS. PROF.]:[AGRUP. CLAS. PROF.]]=$B45,IF(DATOS_[[Check Periodo Ref.]:[Check Periodo Ref.]]="Dentro",IF(DATOS_[[Check Equiparado]:[Check Equiparado]]="Sí",IF(DATOS!BM$5="Sí",(1/DATOS_[[% anualiz]:[% anualiz]]),1)*IF(DATOS!BM$4="Sí",1/DATOS_[[% normaliz]:[% normaliz]],1)*(DATOS_[C.Extra.05])))))))),
0)</f>
        <v>0</v>
      </c>
      <c r="AU46" s="105">
        <f t="array" ref="AU46">IFERROR(
AVERAGE(IF(DATOS_[Sexo]=$B46,IF(DATOS_[[AGRUP. CLAS. PROF.]:[AGRUP. CLAS. PROF.]]=$B45,IF(DATOS_[Check Equiparado]="Sí",IF(DATOS_[Check Periodo Ref.]="Dentro",DATOS_[Tot Extrasalarial Eq],FALSE))))),
0)</f>
        <v>0</v>
      </c>
      <c r="AV46" s="106">
        <f t="array" ref="AV46">IFERROR(
AVERAGE(IF(DATOS_[Sexo]=$B46,IF(DATOS_[[AGRUP. CLAS. PROF.]:[AGRUP. CLAS. PROF.]]=$B45,IF(DATOS_[Check Equiparado]="Sí",IF(DATOS_[Check Periodo Ref.]="Dentro",DATOS_[TOTAL Retrib Eq],FALSE))))),
0)</f>
        <v>0</v>
      </c>
    </row>
    <row r="47" spans="1:48" hidden="1" x14ac:dyDescent="0.3">
      <c r="A47" s="53" t="str">
        <f t="shared" ref="A47" si="46">+A46</f>
        <v>[ocultar]</v>
      </c>
      <c r="B47" s="57" t="s">
        <v>163</v>
      </c>
      <c r="C47" s="56">
        <f t="array" ref="C47">SUM(IF($B47=DATOS_[Sexo],
IF($B45=DATOS_[AGRUP. CLAS. PROF.],
IF("Dentro"=DATOS_[Check Periodo Ref.],
1/(COUNTIFS(DATOS_[Sexo],$B47,DATOS_[AGRUP. CLAS. PROF.],$B45,DATOS_[Check Periodo Ref.],"Dentro",DATOS_[id],DATOS_[id]))))))</f>
        <v>0</v>
      </c>
      <c r="D47" s="58">
        <f>COUNTIFS(DATOS_[AGRUP. CLAS. PROF.],$B45,DATOS_[Sexo],$B47,DATOS_[Check Periodo Ref.],"Dentro")</f>
        <v>0</v>
      </c>
      <c r="E47" s="58">
        <f>COUNTIFS(DATOS_[AGRUP. CLAS. PROF.],$B45,DATOS_[Sexo],$B47,DATOS_[Check Periodo Ref.],"Dentro",DATOS_[Check Nº SC Norm],"Sí")</f>
        <v>0</v>
      </c>
      <c r="F47" s="58">
        <f>COUNTIFS(DATOS_[AGRUP. CLAS. PROF.],$B45,DATOS_[Sexo],$B47,DATOS_[Check Periodo Ref.],"Dentro",DATOS_[Check Nº SC Anualiz],"Sí")</f>
        <v>0</v>
      </c>
      <c r="G47" s="58">
        <f>COUNTIFS(DATOS_[AGRUP. CLAS. PROF.],$B45,DATOS_[Sexo],$B47,DATOS_[Check Periodo Ref.],"Dentro",DATOS_[Check Nº SC Norm y Anualiz],"Sí")</f>
        <v>0</v>
      </c>
      <c r="H47" s="58">
        <f>COUNTIFS(DATOS_[AGRUP. CLAS. PROF.],$B45,DATOS_[Sexo],$B47,DATOS_[Check Periodo Ref.],"Dentro",DATOS_[Check Equiparación],"Sí")</f>
        <v>0</v>
      </c>
      <c r="I47" s="100" cm="1">
        <f t="array" ref="I47">IFERROR(
AVERAGE(IF(DATOS_[Sexo]=$B47,IF(DATOS_[[AGRUP. CLAS. PROF.]:[AGRUP. CLAS. PROF.]]=$B45,IF(DATOS_[Check Equiparado]="Sí",IF(DATOS_[Check Periodo Ref.]="Dentro",DATOS_[SALARIO BASE Eq],FALSE))))),
0)</f>
        <v>0</v>
      </c>
      <c r="J47" s="101">
        <f t="array" ref="J47">IFERROR(
(AVERAGE((IF(DATOS_[[Sexo]:[Sexo]]=$B47,IF(DATOS_[[AGRUP. CLAS. PROF.]:[AGRUP. CLAS. PROF.]]=$B45,IF(DATOS_[[Check Periodo Ref.]:[Check Periodo Ref.]]="Dentro",IF(DATOS_[[Check Equiparado]:[Check Equiparado]]="Sí",IF(DATOS!AE$5="Sí",(1/DATOS_[[% anualiz]:[% anualiz]]),1)*IF(DATOS!AE$4="Sí",1/DATOS_[[% normaliz]:[% normaliz]],1)*(DATOS_[Conc.Sal.01])))))))),
0)</f>
        <v>0</v>
      </c>
      <c r="K47" s="101">
        <f t="array" ref="K47">IFERROR(
(AVERAGE((IF(DATOS_[[Sexo]:[Sexo]]=$B47,IF(DATOS_[[AGRUP. CLAS. PROF.]:[AGRUP. CLAS. PROF.]]=$B45,IF(DATOS_[[Check Periodo Ref.]:[Check Periodo Ref.]]="Dentro",IF(DATOS_[[Check Equiparado]:[Check Equiparado]]="Sí",IF(DATOS!AF$5="Sí",(1/DATOS_[[% anualiz]:[% anualiz]]),1)*IF(DATOS!AF$4="Sí",1/DATOS_[[% normaliz]:[% normaliz]],1)*(DATOS_[Conc.Sal.02])))))))),
0)</f>
        <v>0</v>
      </c>
      <c r="L47" s="101">
        <f t="array" ref="L47">IFERROR(
(AVERAGE((IF(DATOS_[[Sexo]:[Sexo]]=$B47,IF(DATOS_[[AGRUP. CLAS. PROF.]:[AGRUP. CLAS. PROF.]]=$B45,IF(DATOS_[[Check Periodo Ref.]:[Check Periodo Ref.]]="Dentro",IF(DATOS_[[Check Equiparado]:[Check Equiparado]]="Sí",IF(DATOS!AG$5="Sí",(1/DATOS_[[% anualiz]:[% anualiz]]),1)*IF(DATOS!AG$4="Sí",1/DATOS_[[% normaliz]:[% normaliz]],1)*(DATOS_[Conc.Sal.03])))))))),
0)</f>
        <v>0</v>
      </c>
      <c r="M47" s="101">
        <f t="array" ref="M47">IFERROR(
(AVERAGE((IF(DATOS_[[Sexo]:[Sexo]]=$B47,IF(DATOS_[[AGRUP. CLAS. PROF.]:[AGRUP. CLAS. PROF.]]=$B45,IF(DATOS_[[Check Periodo Ref.]:[Check Periodo Ref.]]="Dentro",IF(DATOS_[[Check Equiparado]:[Check Equiparado]]="Sí",IF(DATOS!AH$5="Sí",(1/DATOS_[[% anualiz]:[% anualiz]]),1)*IF(DATOS!AH$4="Sí",1/DATOS_[[% normaliz]:[% normaliz]],1)*(DATOS_[Conc.Sal.04])))))))),
0)</f>
        <v>0</v>
      </c>
      <c r="N47" s="101">
        <f t="array" ref="N47">IFERROR(
(AVERAGE((IF(DATOS_[[Sexo]:[Sexo]]=$B47,IF(DATOS_[[AGRUP. CLAS. PROF.]:[AGRUP. CLAS. PROF.]]=$B45,IF(DATOS_[[Check Periodo Ref.]:[Check Periodo Ref.]]="Dentro",IF(DATOS_[[Check Equiparado]:[Check Equiparado]]="Sí",IF(DATOS!AI$5="Sí",(1/DATOS_[[% anualiz]:[% anualiz]]),1)*IF(DATOS!AI$4="Sí",1/DATOS_[[% normaliz]:[% normaliz]],1)*(DATOS_[Conc.Sal.05])))))))),
0)</f>
        <v>0</v>
      </c>
      <c r="O47" s="101">
        <f t="array" ref="O47">IFERROR(
(AVERAGE((IF(DATOS_[[Sexo]:[Sexo]]=$B47,IF(DATOS_[[AGRUP. CLAS. PROF.]:[AGRUP. CLAS. PROF.]]=$B45,IF(DATOS_[[Check Periodo Ref.]:[Check Periodo Ref.]]="Dentro",IF(DATOS_[[Check Equiparado]:[Check Equiparado]]="Sí",IF(DATOS!AJ$5="Sí",(1/DATOS_[[% anualiz]:[% anualiz]]),1)*IF(DATOS!AJ$4="Sí",1/DATOS_[[% normaliz]:[% normaliz]],1)*(DATOS_[Conc.Sal.06])))))))),
0)</f>
        <v>0</v>
      </c>
      <c r="P47" s="101">
        <f t="array" ref="P47">IFERROR(
(AVERAGE((IF(DATOS_[[Sexo]:[Sexo]]=$B47,IF(DATOS_[[AGRUP. CLAS. PROF.]:[AGRUP. CLAS. PROF.]]=$B45,IF(DATOS_[[Check Periodo Ref.]:[Check Periodo Ref.]]="Dentro",IF(DATOS_[[Check Equiparado]:[Check Equiparado]]="Sí",IF(DATOS!AK$5="Sí",(1/DATOS_[[% anualiz]:[% anualiz]]),1)*IF(DATOS!AK$4="Sí",1/DATOS_[[% normaliz]:[% normaliz]],1)*(DATOS_[Conc.Sal.07])))))))),
0)</f>
        <v>0</v>
      </c>
      <c r="Q47" s="101">
        <f t="array" ref="Q47">IFERROR(
(AVERAGE((IF(DATOS_[[Sexo]:[Sexo]]=$B47,IF(DATOS_[[AGRUP. CLAS. PROF.]:[AGRUP. CLAS. PROF.]]=$B45,IF(DATOS_[[Check Periodo Ref.]:[Check Periodo Ref.]]="Dentro",IF(DATOS_[[Check Equiparado]:[Check Equiparado]]="Sí",IF(DATOS!AL$5="Sí",(1/DATOS_[[% anualiz]:[% anualiz]]),1)*IF(DATOS!AL$4="Sí",1/DATOS_[[% normaliz]:[% normaliz]],1)*(DATOS_[Conc.Sal.08])))))))),
0)</f>
        <v>0</v>
      </c>
      <c r="R47" s="101">
        <f t="array" ref="R47">IFERROR(
(AVERAGE((IF(DATOS_[[Sexo]:[Sexo]]=$B47,IF(DATOS_[[AGRUP. CLAS. PROF.]:[AGRUP. CLAS. PROF.]]=$B45,IF(DATOS_[[Check Periodo Ref.]:[Check Periodo Ref.]]="Dentro",IF(DATOS_[[Check Equiparado]:[Check Equiparado]]="Sí",IF(DATOS!AM$5="Sí",(1/DATOS_[[% anualiz]:[% anualiz]]),1)*IF(DATOS!AM$4="Sí",1/DATOS_[[% normaliz]:[% normaliz]],1)*(DATOS_[Conc.Sal.09])))))))),
0)</f>
        <v>0</v>
      </c>
      <c r="S47" s="101">
        <f t="array" ref="S47">IFERROR(
(AVERAGE((IF(DATOS_[[Sexo]:[Sexo]]=$B47,IF(DATOS_[[AGRUP. CLAS. PROF.]:[AGRUP. CLAS. PROF.]]=$B45,IF(DATOS_[[Check Periodo Ref.]:[Check Periodo Ref.]]="Dentro",IF(DATOS_[[Check Equiparado]:[Check Equiparado]]="Sí",IF(DATOS!AN$5="Sí",(1/DATOS_[[% anualiz]:[% anualiz]]),1)*IF(DATOS!AN$4="Sí",1/DATOS_[[% normaliz]:[% normaliz]],1)*(DATOS_[Conc.Sal.10])))))))),
0)</f>
        <v>0</v>
      </c>
      <c r="T47" s="101">
        <f t="array" ref="T47">IFERROR(
(AVERAGE((IF(DATOS_[[Sexo]:[Sexo]]=$B47,IF(DATOS_[[AGRUP. CLAS. PROF.]:[AGRUP. CLAS. PROF.]]=$B45,IF(DATOS_[[Check Periodo Ref.]:[Check Periodo Ref.]]="Dentro",IF(DATOS_[[Check Equiparado]:[Check Equiparado]]="Sí",IF(DATOS!AO$5="Sí",(1/DATOS_[[% anualiz]:[% anualiz]]),1)*IF(DATOS!AO$4="Sí",1/DATOS_[[% normaliz]:[% normaliz]],1)*(DATOS_[Conc.Sal.11])))))))),
0)</f>
        <v>0</v>
      </c>
      <c r="U47" s="101">
        <f t="array" ref="U47">IFERROR(
(AVERAGE((IF(DATOS_[[Sexo]:[Sexo]]=$B47,IF(DATOS_[[AGRUP. CLAS. PROF.]:[AGRUP. CLAS. PROF.]]=$B45,IF(DATOS_[[Check Periodo Ref.]:[Check Periodo Ref.]]="Dentro",IF(DATOS_[[Check Equiparado]:[Check Equiparado]]="Sí",IF(DATOS!AP$5="Sí",(1/DATOS_[[% anualiz]:[% anualiz]]),1)*IF(DATOS!AP$4="Sí",1/DATOS_[[% normaliz]:[% normaliz]],1)*(DATOS_[Conc.Sal.12])))))))),
0)</f>
        <v>0</v>
      </c>
      <c r="V47" s="101">
        <f t="array" ref="V47">IFERROR(
(AVERAGE((IF(DATOS_[[Sexo]:[Sexo]]=$B47,IF(DATOS_[[AGRUP. CLAS. PROF.]:[AGRUP. CLAS. PROF.]]=$B45,IF(DATOS_[[Check Periodo Ref.]:[Check Periodo Ref.]]="Dentro",IF(DATOS_[[Check Equiparado]:[Check Equiparado]]="Sí",IF(DATOS!AQ$5="Sí",(1/DATOS_[[% anualiz]:[% anualiz]]),1)*IF(DATOS!AQ$4="Sí",1/DATOS_[[% normaliz]:[% normaliz]],1)*(DATOS_[Conc.Sal.13])))))))),
0)</f>
        <v>0</v>
      </c>
      <c r="W47" s="101">
        <f t="array" ref="W47">IFERROR(
(AVERAGE((IF(DATOS_[[Sexo]:[Sexo]]=$B47,IF(DATOS_[[AGRUP. CLAS. PROF.]:[AGRUP. CLAS. PROF.]]=$B45,IF(DATOS_[[Check Periodo Ref.]:[Check Periodo Ref.]]="Dentro",IF(DATOS_[[Check Equiparado]:[Check Equiparado]]="Sí",IF(DATOS!AR$5="Sí",(1/DATOS_[[% anualiz]:[% anualiz]]),1)*IF(DATOS!AR$4="Sí",1/DATOS_[[% normaliz]:[% normaliz]],1)*(DATOS_[Conc.Sal.14])))))))),
0)</f>
        <v>0</v>
      </c>
      <c r="X47" s="101">
        <f t="array" ref="X47">IFERROR(
(AVERAGE((IF(DATOS_[[Sexo]:[Sexo]]=$B47,IF(DATOS_[[AGRUP. CLAS. PROF.]:[AGRUP. CLAS. PROF.]]=$B45,IF(DATOS_[[Check Periodo Ref.]:[Check Periodo Ref.]]="Dentro",IF(DATOS_[[Check Equiparado]:[Check Equiparado]]="Sí",IF(DATOS!AS$5="Sí",(1/DATOS_[[% anualiz]:[% anualiz]]),1)*IF(DATOS!AS$4="Sí",1/DATOS_[[% normaliz]:[% normaliz]],1)*(DATOS_[Conc.Sal.15])))))))),
0)</f>
        <v>0</v>
      </c>
      <c r="Y47" s="101">
        <f t="array" ref="Y47">IFERROR(
(AVERAGE((IF(DATOS_[[Sexo]:[Sexo]]=$B47,IF(DATOS_[[AGRUP. CLAS. PROF.]:[AGRUP. CLAS. PROF.]]=$B45,IF(DATOS_[[Check Periodo Ref.]:[Check Periodo Ref.]]="Dentro",IF(DATOS_[[Check Equiparado]:[Check Equiparado]]="Sí",IF(DATOS!AT$5="Sí",(1/DATOS_[[% anualiz]:[% anualiz]]),1)*IF(DATOS!AT$4="Sí",1/DATOS_[[% normaliz]:[% normaliz]],1)*(DATOS_[Conc.Sal.16])))))))),
0)</f>
        <v>0</v>
      </c>
      <c r="Z47" s="101">
        <f t="array" ref="Z47">IFERROR(
(AVERAGE((IF(DATOS_[[Sexo]:[Sexo]]=$B47,IF(DATOS_[[AGRUP. CLAS. PROF.]:[AGRUP. CLAS. PROF.]]=$B45,IF(DATOS_[[Check Periodo Ref.]:[Check Periodo Ref.]]="Dentro",IF(DATOS_[[Check Equiparado]:[Check Equiparado]]="Sí",IF(DATOS!AU$5="Sí",(1/DATOS_[[% anualiz]:[% anualiz]]),1)*IF(DATOS!AU$4="Sí",1/DATOS_[[% normaliz]:[% normaliz]],1)*(DATOS_[Conc.Sal.17])))))))),
0)</f>
        <v>0</v>
      </c>
      <c r="AA47" s="101">
        <f t="array" ref="AA47">IFERROR(
(AVERAGE((IF(DATOS_[[Sexo]:[Sexo]]=$B47,IF(DATOS_[[AGRUP. CLAS. PROF.]:[AGRUP. CLAS. PROF.]]=$B45,IF(DATOS_[[Check Periodo Ref.]:[Check Periodo Ref.]]="Dentro",IF(DATOS_[[Check Equiparado]:[Check Equiparado]]="Sí",IF(DATOS!AV$5="Sí",(1/DATOS_[[% anualiz]:[% anualiz]]),1)*IF(DATOS!AV$4="Sí",1/DATOS_[[% normaliz]:[% normaliz]],1)*(DATOS_[Conc.Sal.18])))))))),
0)</f>
        <v>0</v>
      </c>
      <c r="AB47" s="101">
        <f t="array" ref="AB47">IFERROR(
(AVERAGE((IF(DATOS_[[Sexo]:[Sexo]]=$B47,IF(DATOS_[[AGRUP. CLAS. PROF.]:[AGRUP. CLAS. PROF.]]=$B45,IF(DATOS_[[Check Periodo Ref.]:[Check Periodo Ref.]]="Dentro",IF(DATOS_[[Check Equiparado]:[Check Equiparado]]="Sí",IF(DATOS!AW$5="Sí",(1/DATOS_[[% anualiz]:[% anualiz]]),1)*IF(DATOS!AW$4="Sí",1/DATOS_[[% normaliz]:[% normaliz]],1)*(DATOS_[Conc.Sal.19])))))))),
0)</f>
        <v>0</v>
      </c>
      <c r="AC47" s="101">
        <f t="array" ref="AC47">IFERROR(
(AVERAGE((IF(DATOS_[[Sexo]:[Sexo]]=$B47,IF(DATOS_[[AGRUP. CLAS. PROF.]:[AGRUP. CLAS. PROF.]]=$B45,IF(DATOS_[[Check Periodo Ref.]:[Check Periodo Ref.]]="Dentro",IF(DATOS_[[Check Equiparado]:[Check Equiparado]]="Sí",IF(DATOS!AX$5="Sí",(1/DATOS_[[% anualiz]:[% anualiz]]),1)*IF(DATOS!AX$4="Sí",1/DATOS_[[% normaliz]:[% normaliz]],1)*(DATOS_[Conc.Sal.20])))))))),
0)</f>
        <v>0</v>
      </c>
      <c r="AD47" s="101">
        <f t="array" ref="AD47">IFERROR(
(AVERAGE((IF(DATOS_[[Sexo]:[Sexo]]=$B47,IF(DATOS_[[AGRUP. CLAS. PROF.]:[AGRUP. CLAS. PROF.]]=$B45,IF(DATOS_[[Check Periodo Ref.]:[Check Periodo Ref.]]="Dentro",IF(DATOS_[[Check Equiparado]:[Check Equiparado]]="Sí",IF(DATOS!AY$5="Sí",(1/DATOS_[[% anualiz]:[% anualiz]]),1)*IF(DATOS!AY$4="Sí",1/DATOS_[[% normaliz]:[% normaliz]],1)*(DATOS_[Conc.Sal.21])))))))),
0)</f>
        <v>0</v>
      </c>
      <c r="AE47" s="101">
        <f t="array" ref="AE47">IFERROR(
(AVERAGE((IF(DATOS_[[Sexo]:[Sexo]]=$B47,IF(DATOS_[[AGRUP. CLAS. PROF.]:[AGRUP. CLAS. PROF.]]=$B45,IF(DATOS_[[Check Periodo Ref.]:[Check Periodo Ref.]]="Dentro",IF(DATOS_[[Check Equiparado]:[Check Equiparado]]="Sí",IF(DATOS!AZ$5="Sí",(1/DATOS_[[% anualiz]:[% anualiz]]),1)*IF(DATOS!AZ$4="Sí",1/DATOS_[[% normaliz]:[% normaliz]],1)*(DATOS_[Conc.Sal.22])))))))),
0)</f>
        <v>0</v>
      </c>
      <c r="AF47" s="101">
        <f t="array" ref="AF47">IFERROR(
(AVERAGE((IF(DATOS_[[Sexo]:[Sexo]]=$B47,IF(DATOS_[[AGRUP. CLAS. PROF.]:[AGRUP. CLAS. PROF.]]=$B45,IF(DATOS_[[Check Periodo Ref.]:[Check Periodo Ref.]]="Dentro",IF(DATOS_[[Check Equiparado]:[Check Equiparado]]="Sí",IF(DATOS!BA$5="Sí",(1/DATOS_[[% anualiz]:[% anualiz]]),1)*IF(DATOS!BA$4="Sí",1/DATOS_[[% normaliz]:[% normaliz]],1)*(DATOS_[Conc.Sal.23])))))))),
0)</f>
        <v>0</v>
      </c>
      <c r="AG47" s="101">
        <f t="array" ref="AG47">IFERROR(
(AVERAGE((IF(DATOS_[[Sexo]:[Sexo]]=$B47,IF(DATOS_[[AGRUP. CLAS. PROF.]:[AGRUP. CLAS. PROF.]]=$B45,IF(DATOS_[[Check Periodo Ref.]:[Check Periodo Ref.]]="Dentro",IF(DATOS_[[Check Equiparado]:[Check Equiparado]]="Sí",IF(DATOS!BB$5="Sí",(1/DATOS_[[% anualiz]:[% anualiz]]),1)*IF(DATOS!BB$4="Sí",1/DATOS_[[% normaliz]:[% normaliz]],1)*(DATOS_[Conc.Sal.24])))))))),
0)</f>
        <v>0</v>
      </c>
      <c r="AH47" s="101">
        <f t="array" ref="AH47">IFERROR(
(AVERAGE((IF(DATOS_[[Sexo]:[Sexo]]=$B47,IF(DATOS_[[AGRUP. CLAS. PROF.]:[AGRUP. CLAS. PROF.]]=$B45,IF(DATOS_[[Check Periodo Ref.]:[Check Periodo Ref.]]="Dentro",IF(DATOS_[[Check Equiparado]:[Check Equiparado]]="Sí",IF(DATOS!BC$5="Sí",(1/DATOS_[[% anualiz]:[% anualiz]]),1)*IF(DATOS!BC$4="Sí",1/DATOS_[[% normaliz]:[% normaliz]],1)*(DATOS_[Conc.Sal.25])))))))),
0)</f>
        <v>0</v>
      </c>
      <c r="AI47" s="101">
        <f t="array" ref="AI47">IFERROR(
(AVERAGE((IF(DATOS_[[Sexo]:[Sexo]]=$B47,IF(DATOS_[[AGRUP. CLAS. PROF.]:[AGRUP. CLAS. PROF.]]=$B45,IF(DATOS_[[Check Periodo Ref.]:[Check Periodo Ref.]]="Dentro",IF(DATOS_[[Check Equiparado]:[Check Equiparado]]="Sí",IF(DATOS!BD$5="Sí",(1/DATOS_[[% anualiz]:[% anualiz]]),1)*IF(DATOS!BD$4="Sí",1/DATOS_[[% normaliz]:[% normaliz]],1)*(DATOS_[Conc.Sal.26])))))))),
0)</f>
        <v>0</v>
      </c>
      <c r="AJ47" s="101">
        <f t="array" ref="AJ47">IFERROR(
(AVERAGE((IF(DATOS_[[Sexo]:[Sexo]]=$B47,IF(DATOS_[[AGRUP. CLAS. PROF.]:[AGRUP. CLAS. PROF.]]=$B45,IF(DATOS_[[Check Periodo Ref.]:[Check Periodo Ref.]]="Dentro",IF(DATOS_[[Check Equiparado]:[Check Equiparado]]="Sí",IF(DATOS!BE$5="Sí",(1/DATOS_[[% anualiz]:[% anualiz]]),1)*IF(DATOS!BE$4="Sí",1/DATOS_[[% normaliz]:[% normaliz]],1)*(DATOS_[Conc.Sal.27])))))))),
0)</f>
        <v>0</v>
      </c>
      <c r="AK47" s="101">
        <f t="array" ref="AK47">IFERROR(
(AVERAGE((IF(DATOS_[[Sexo]:[Sexo]]=$B47,IF(DATOS_[[AGRUP. CLAS. PROF.]:[AGRUP. CLAS. PROF.]]=$B45,IF(DATOS_[[Check Periodo Ref.]:[Check Periodo Ref.]]="Dentro",IF(DATOS_[[Check Equiparado]:[Check Equiparado]]="Sí",IF(DATOS!BF$5="Sí",(1/DATOS_[[% anualiz]:[% anualiz]]),1)*IF(DATOS!BF$4="Sí",1/DATOS_[[% normaliz]:[% normaliz]],1)*(DATOS_[Conc.Sal.28])))))))),
0)</f>
        <v>0</v>
      </c>
      <c r="AL47" s="101">
        <f t="array" ref="AL47">IFERROR(
(AVERAGE((IF(DATOS_[[Sexo]:[Sexo]]=$B47,IF(DATOS_[[AGRUP. CLAS. PROF.]:[AGRUP. CLAS. PROF.]]=$B45,IF(DATOS_[[Check Periodo Ref.]:[Check Periodo Ref.]]="Dentro",IF(DATOS_[[Check Equiparado]:[Check Equiparado]]="Sí",IF(DATOS!BG$5="Sí",(1/DATOS_[[% anualiz]:[% anualiz]]),1)*IF(DATOS!BG$4="Sí",1/DATOS_[[% normaliz]:[% normaliz]],1)*(DATOS_[Conc.Sal.29])))))))),
0)</f>
        <v>0</v>
      </c>
      <c r="AM47" s="101">
        <f t="array" ref="AM47">IFERROR(
(AVERAGE((IF(DATOS_[[Sexo]:[Sexo]]=$B47,IF(DATOS_[[AGRUP. CLAS. PROF.]:[AGRUP. CLAS. PROF.]]=$B45,IF(DATOS_[[Check Periodo Ref.]:[Check Periodo Ref.]]="Dentro",IF(DATOS_[[Check Equiparado]:[Check Equiparado]]="Sí",IF(DATOS!BH$5="Sí",(1/DATOS_[[% anualiz]:[% anualiz]]),1)*IF(DATOS!BH$4="Sí",1/DATOS_[[% normaliz]:[% normaliz]],1)*(DATOS_[Conc.Sal.30])))))))),
0)</f>
        <v>0</v>
      </c>
      <c r="AN47" s="102">
        <f t="array" ref="AN47">IFERROR(
AVERAGE(IF(DATOS_[Sexo]=$B47,IF(DATOS_[[AGRUP. CLAS. PROF.]:[AGRUP. CLAS. PROF.]]=$B45,IF(DATOS_[Check Equiparado]="Sí",IF(DATOS_[Check Periodo Ref.]="Dentro",DATOS_[Tot COMPL.SAL Eq],FALSE))))),
0)</f>
        <v>0</v>
      </c>
      <c r="AO47" s="103">
        <f t="array" ref="AO47">IFERROR(
AVERAGE(IF(DATOS_[Sexo]=$B47,IF(DATOS_[[AGRUP. CLAS. PROF.]:[AGRUP. CLAS. PROF.]]=$B45,IF(DATOS_[Check Equiparado]="Sí",IF(DATOS_[Check Periodo Ref.]="Dentro",DATOS_[TOTAL SALARIO Eq],FALSE))))),
0)</f>
        <v>0</v>
      </c>
      <c r="AP47" s="104">
        <f t="array" ref="AP47">IFERROR(
(AVERAGE((IF(DATOS_[[Sexo]:[Sexo]]=$B47,IF(DATOS_[[AGRUP. CLAS. PROF.]:[AGRUP. CLAS. PROF.]]=$B45,IF(DATOS_[[Check Periodo Ref.]:[Check Periodo Ref.]]="Dentro",IF(DATOS_[[Check Equiparado]:[Check Equiparado]]="Sí",IF(DATOS!BI$5="Sí",(1/DATOS_[[% anualiz]:[% anualiz]]),1)*IF(DATOS!BI$4="Sí",1/DATOS_[[% normaliz]:[% normaliz]],1)*(DATOS_[C.Extra.01])))))))),
0)</f>
        <v>0</v>
      </c>
      <c r="AQ47" s="104">
        <f t="array" ref="AQ47">IFERROR(
(AVERAGE((IF(DATOS_[[Sexo]:[Sexo]]=$B47,IF(DATOS_[[AGRUP. CLAS. PROF.]:[AGRUP. CLAS. PROF.]]=$B45,IF(DATOS_[[Check Periodo Ref.]:[Check Periodo Ref.]]="Dentro",IF(DATOS_[[Check Equiparado]:[Check Equiparado]]="Sí",IF(DATOS!BJ$5="Sí",(1/DATOS_[[% anualiz]:[% anualiz]]),1)*IF(DATOS!BJ$4="Sí",1/DATOS_[[% normaliz]:[% normaliz]],1)*(DATOS_[C.Extra.02])))))))),
0)</f>
        <v>0</v>
      </c>
      <c r="AR47" s="104">
        <f t="array" ref="AR47">IFERROR(
(AVERAGE((IF(DATOS_[[Sexo]:[Sexo]]=$B47,IF(DATOS_[[AGRUP. CLAS. PROF.]:[AGRUP. CLAS. PROF.]]=$B45,IF(DATOS_[[Check Periodo Ref.]:[Check Periodo Ref.]]="Dentro",IF(DATOS_[[Check Equiparado]:[Check Equiparado]]="Sí",IF(DATOS!BK$5="Sí",(1/DATOS_[[% anualiz]:[% anualiz]]),1)*IF(DATOS!BK$4="Sí",1/DATOS_[[% normaliz]:[% normaliz]],1)*(DATOS_[C.Extra.03])))))))),
0)</f>
        <v>0</v>
      </c>
      <c r="AS47" s="104">
        <f t="array" ref="AS47">IFERROR(
(AVERAGE((IF(DATOS_[[Sexo]:[Sexo]]=$B47,IF(DATOS_[[AGRUP. CLAS. PROF.]:[AGRUP. CLAS. PROF.]]=$B45,IF(DATOS_[[Check Periodo Ref.]:[Check Periodo Ref.]]="Dentro",IF(DATOS_[[Check Equiparado]:[Check Equiparado]]="Sí",IF(DATOS!BL$5="Sí",(1/DATOS_[[% anualiz]:[% anualiz]]),1)*IF(DATOS!BL$4="Sí",1/DATOS_[[% normaliz]:[% normaliz]],1)*(DATOS_[C.Extra.04])))))))),
0)</f>
        <v>0</v>
      </c>
      <c r="AT47" s="104">
        <f t="array" ref="AT47">IFERROR(
(AVERAGE((IF(DATOS_[[Sexo]:[Sexo]]=$B47,IF(DATOS_[[AGRUP. CLAS. PROF.]:[AGRUP. CLAS. PROF.]]=$B45,IF(DATOS_[[Check Periodo Ref.]:[Check Periodo Ref.]]="Dentro",IF(DATOS_[[Check Equiparado]:[Check Equiparado]]="Sí",IF(DATOS!BM$5="Sí",(1/DATOS_[[% anualiz]:[% anualiz]]),1)*IF(DATOS!BM$4="Sí",1/DATOS_[[% normaliz]:[% normaliz]],1)*(DATOS_[C.Extra.05])))))))),
0)</f>
        <v>0</v>
      </c>
      <c r="AU47" s="105">
        <f t="array" ref="AU47">IFERROR(
AVERAGE(IF(DATOS_[Sexo]=$B47,IF(DATOS_[[AGRUP. CLAS. PROF.]:[AGRUP. CLAS. PROF.]]=$B45,IF(DATOS_[Check Equiparado]="Sí",IF(DATOS_[Check Periodo Ref.]="Dentro",DATOS_[Tot Extrasalarial Eq],FALSE))))),
0)</f>
        <v>0</v>
      </c>
      <c r="AV47" s="106">
        <f t="array" ref="AV47">IFERROR(
AVERAGE(IF(DATOS_[Sexo]=$B47,IF(DATOS_[[AGRUP. CLAS. PROF.]:[AGRUP. CLAS. PROF.]]=$B45,IF(DATOS_[Check Equiparado]="Sí",IF(DATOS_[Check Periodo Ref.]="Dentro",DATOS_[TOTAL Retrib Eq],FALSE))))),
0)</f>
        <v>0</v>
      </c>
    </row>
    <row r="48" spans="1:48" ht="17.25" hidden="1" thickBot="1" x14ac:dyDescent="0.35">
      <c r="A48" s="53" t="str">
        <f t="shared" ref="A48" si="47">+A49</f>
        <v>[ocultar]</v>
      </c>
      <c r="B48" s="62" t="s">
        <v>228</v>
      </c>
      <c r="C48" s="99"/>
      <c r="D48" s="63"/>
      <c r="E48" s="63"/>
      <c r="F48" s="63"/>
      <c r="G48" s="63"/>
      <c r="H48" s="63"/>
      <c r="I48" s="129" t="str">
        <f t="shared" ref="I48:AV48" si="48">IFERROR((I49-I50)/I49,"")</f>
        <v/>
      </c>
      <c r="J48" s="130" t="str">
        <f t="shared" si="48"/>
        <v/>
      </c>
      <c r="K48" s="131" t="str">
        <f t="shared" si="48"/>
        <v/>
      </c>
      <c r="L48" s="131" t="str">
        <f t="shared" si="48"/>
        <v/>
      </c>
      <c r="M48" s="131" t="str">
        <f t="shared" si="48"/>
        <v/>
      </c>
      <c r="N48" s="132" t="str">
        <f t="shared" si="48"/>
        <v/>
      </c>
      <c r="O48" s="133" t="str">
        <f t="shared" si="48"/>
        <v/>
      </c>
      <c r="P48" s="133" t="str">
        <f t="shared" si="48"/>
        <v/>
      </c>
      <c r="Q48" s="133" t="str">
        <f t="shared" si="48"/>
        <v/>
      </c>
      <c r="R48" s="133" t="str">
        <f t="shared" si="48"/>
        <v/>
      </c>
      <c r="S48" s="133" t="str">
        <f t="shared" si="48"/>
        <v/>
      </c>
      <c r="T48" s="133" t="str">
        <f t="shared" si="48"/>
        <v/>
      </c>
      <c r="U48" s="133" t="str">
        <f t="shared" si="48"/>
        <v/>
      </c>
      <c r="V48" s="133" t="str">
        <f t="shared" si="48"/>
        <v/>
      </c>
      <c r="W48" s="133" t="str">
        <f t="shared" si="48"/>
        <v/>
      </c>
      <c r="X48" s="133" t="str">
        <f t="shared" si="48"/>
        <v/>
      </c>
      <c r="Y48" s="133" t="str">
        <f t="shared" si="48"/>
        <v/>
      </c>
      <c r="Z48" s="132" t="str">
        <f t="shared" si="48"/>
        <v/>
      </c>
      <c r="AA48" s="132" t="str">
        <f t="shared" si="48"/>
        <v/>
      </c>
      <c r="AB48" s="132" t="str">
        <f t="shared" si="48"/>
        <v/>
      </c>
      <c r="AC48" s="132" t="str">
        <f t="shared" si="48"/>
        <v/>
      </c>
      <c r="AD48" s="132" t="str">
        <f t="shared" si="48"/>
        <v/>
      </c>
      <c r="AE48" s="132" t="str">
        <f t="shared" si="48"/>
        <v/>
      </c>
      <c r="AF48" s="132" t="str">
        <f t="shared" si="48"/>
        <v/>
      </c>
      <c r="AG48" s="132" t="str">
        <f t="shared" si="48"/>
        <v/>
      </c>
      <c r="AH48" s="132" t="str">
        <f t="shared" si="48"/>
        <v/>
      </c>
      <c r="AI48" s="132" t="str">
        <f t="shared" si="48"/>
        <v/>
      </c>
      <c r="AJ48" s="132" t="str">
        <f t="shared" si="48"/>
        <v/>
      </c>
      <c r="AK48" s="132" t="str">
        <f t="shared" si="48"/>
        <v/>
      </c>
      <c r="AL48" s="132" t="str">
        <f t="shared" si="48"/>
        <v/>
      </c>
      <c r="AM48" s="132" t="str">
        <f t="shared" si="48"/>
        <v/>
      </c>
      <c r="AN48" s="134" t="str">
        <f t="shared" si="48"/>
        <v/>
      </c>
      <c r="AO48" s="138" t="str">
        <f t="shared" si="48"/>
        <v/>
      </c>
      <c r="AP48" s="135" t="str">
        <f t="shared" si="48"/>
        <v/>
      </c>
      <c r="AQ48" s="135" t="str">
        <f t="shared" si="48"/>
        <v/>
      </c>
      <c r="AR48" s="135" t="str">
        <f t="shared" si="48"/>
        <v/>
      </c>
      <c r="AS48" s="135" t="str">
        <f t="shared" si="48"/>
        <v/>
      </c>
      <c r="AT48" s="135" t="str">
        <f t="shared" si="48"/>
        <v/>
      </c>
      <c r="AU48" s="136" t="str">
        <f t="shared" si="48"/>
        <v/>
      </c>
      <c r="AV48" s="137" t="str">
        <f t="shared" si="48"/>
        <v/>
      </c>
    </row>
    <row r="49" spans="1:48" hidden="1" x14ac:dyDescent="0.3">
      <c r="A49" s="53" t="str">
        <f t="shared" ref="A49" si="49">+IF(C49+C50=0,"[ocultar]","")</f>
        <v>[ocultar]</v>
      </c>
      <c r="B49" s="57" t="s">
        <v>162</v>
      </c>
      <c r="C49" s="56">
        <f t="array" ref="C49">SUM(IF($B49=DATOS_[Sexo],
IF($B48=DATOS_[AGRUP. CLAS. PROF.],
IF("Dentro"=DATOS_[Check Periodo Ref.],
1/(COUNTIFS(DATOS_[Sexo],$B49,DATOS_[AGRUP. CLAS. PROF.],$B48,DATOS_[Check Periodo Ref.],"Dentro",DATOS_[id],DATOS_[id]))))))</f>
        <v>0</v>
      </c>
      <c r="D49" s="58">
        <f>COUNTIFS(DATOS_[AGRUP. CLAS. PROF.],$B48,DATOS_[Sexo],$B49,DATOS_[Check Periodo Ref.],"Dentro")</f>
        <v>0</v>
      </c>
      <c r="E49" s="58">
        <f>COUNTIFS(DATOS_[AGRUP. CLAS. PROF.],$B48,DATOS_[Sexo],$B49,DATOS_[Check Periodo Ref.],"Dentro",DATOS_[Check Nº SC Norm],"Sí")</f>
        <v>0</v>
      </c>
      <c r="F49" s="58">
        <f>COUNTIFS(DATOS_[AGRUP. CLAS. PROF.],$B48,DATOS_[Sexo],$B49,DATOS_[Check Periodo Ref.],"Dentro",DATOS_[Check Nº SC Anualiz],"Sí")</f>
        <v>0</v>
      </c>
      <c r="G49" s="58">
        <f>COUNTIFS(DATOS_[AGRUP. CLAS. PROF.],$B48,DATOS_[Sexo],$B49,DATOS_[Check Periodo Ref.],"Dentro",DATOS_[Check Nº SC Norm y Anualiz],"Sí")</f>
        <v>0</v>
      </c>
      <c r="H49" s="58">
        <f>COUNTIFS(DATOS_[AGRUP. CLAS. PROF.],$B48,DATOS_[Sexo],$B49,DATOS_[Check Periodo Ref.],"Dentro",DATOS_[Check Equiparación],"Sí")</f>
        <v>0</v>
      </c>
      <c r="I49" s="100">
        <f t="array" ref="I49">IFERROR(
AVERAGE(IF(DATOS_[Sexo]=$B49,IF(DATOS_[[AGRUP. CLAS. PROF.]:[AGRUP. CLAS. PROF.]]=$B48,IF(DATOS_[Check Equiparado]="Sí",IF(DATOS_[Check Periodo Ref.]="Dentro",DATOS_[SALARIO BASE Eq],FALSE))))),
0)</f>
        <v>0</v>
      </c>
      <c r="J49" s="101">
        <f t="array" ref="J49">IFERROR(
(AVERAGE((IF(DATOS_[[Sexo]:[Sexo]]=$B49,IF(DATOS_[[AGRUP. CLAS. PROF.]:[AGRUP. CLAS. PROF.]]=$B48,IF(DATOS_[[Check Periodo Ref.]:[Check Periodo Ref.]]="Dentro",IF(DATOS_[[Check Equiparado]:[Check Equiparado]]="Sí",IF(DATOS!AE$5="Sí",(1/DATOS_[[% anualiz]:[% anualiz]]),1)*IF(DATOS!AE$4="Sí",1/DATOS_[[% normaliz]:[% normaliz]],1)*(DATOS_[Conc.Sal.01])))))))),
0)</f>
        <v>0</v>
      </c>
      <c r="K49" s="101">
        <f t="array" ref="K49">IFERROR(
(AVERAGE((IF(DATOS_[[Sexo]:[Sexo]]=$B49,IF(DATOS_[[AGRUP. CLAS. PROF.]:[AGRUP. CLAS. PROF.]]=$B48,IF(DATOS_[[Check Periodo Ref.]:[Check Periodo Ref.]]="Dentro",IF(DATOS_[[Check Equiparado]:[Check Equiparado]]="Sí",IF(DATOS!AF$5="Sí",(1/DATOS_[[% anualiz]:[% anualiz]]),1)*IF(DATOS!AF$4="Sí",1/DATOS_[[% normaliz]:[% normaliz]],1)*(DATOS_[Conc.Sal.02])))))))),
0)</f>
        <v>0</v>
      </c>
      <c r="L49" s="101">
        <f t="array" ref="L49">IFERROR(
(AVERAGE((IF(DATOS_[[Sexo]:[Sexo]]=$B49,IF(DATOS_[[AGRUP. CLAS. PROF.]:[AGRUP. CLAS. PROF.]]=$B48,IF(DATOS_[[Check Periodo Ref.]:[Check Periodo Ref.]]="Dentro",IF(DATOS_[[Check Equiparado]:[Check Equiparado]]="Sí",IF(DATOS!AG$5="Sí",(1/DATOS_[[% anualiz]:[% anualiz]]),1)*IF(DATOS!AG$4="Sí",1/DATOS_[[% normaliz]:[% normaliz]],1)*(DATOS_[Conc.Sal.03])))))))),
0)</f>
        <v>0</v>
      </c>
      <c r="M49" s="101">
        <f t="array" ref="M49">IFERROR(
(AVERAGE((IF(DATOS_[[Sexo]:[Sexo]]=$B49,IF(DATOS_[[AGRUP. CLAS. PROF.]:[AGRUP. CLAS. PROF.]]=$B48,IF(DATOS_[[Check Periodo Ref.]:[Check Periodo Ref.]]="Dentro",IF(DATOS_[[Check Equiparado]:[Check Equiparado]]="Sí",IF(DATOS!AH$5="Sí",(1/DATOS_[[% anualiz]:[% anualiz]]),1)*IF(DATOS!AH$4="Sí",1/DATOS_[[% normaliz]:[% normaliz]],1)*(DATOS_[Conc.Sal.04])))))))),
0)</f>
        <v>0</v>
      </c>
      <c r="N49" s="101">
        <f t="array" ref="N49">IFERROR(
(AVERAGE((IF(DATOS_[[Sexo]:[Sexo]]=$B49,IF(DATOS_[[AGRUP. CLAS. PROF.]:[AGRUP. CLAS. PROF.]]=$B48,IF(DATOS_[[Check Periodo Ref.]:[Check Periodo Ref.]]="Dentro",IF(DATOS_[[Check Equiparado]:[Check Equiparado]]="Sí",IF(DATOS!AI$5="Sí",(1/DATOS_[[% anualiz]:[% anualiz]]),1)*IF(DATOS!AI$4="Sí",1/DATOS_[[% normaliz]:[% normaliz]],1)*(DATOS_[Conc.Sal.05])))))))),
0)</f>
        <v>0</v>
      </c>
      <c r="O49" s="101">
        <f t="array" ref="O49">IFERROR(
(AVERAGE((IF(DATOS_[[Sexo]:[Sexo]]=$B49,IF(DATOS_[[AGRUP. CLAS. PROF.]:[AGRUP. CLAS. PROF.]]=$B48,IF(DATOS_[[Check Periodo Ref.]:[Check Periodo Ref.]]="Dentro",IF(DATOS_[[Check Equiparado]:[Check Equiparado]]="Sí",IF(DATOS!AJ$5="Sí",(1/DATOS_[[% anualiz]:[% anualiz]]),1)*IF(DATOS!AJ$4="Sí",1/DATOS_[[% normaliz]:[% normaliz]],1)*(DATOS_[Conc.Sal.06])))))))),
0)</f>
        <v>0</v>
      </c>
      <c r="P49" s="101">
        <f t="array" ref="P49">IFERROR(
(AVERAGE((IF(DATOS_[[Sexo]:[Sexo]]=$B49,IF(DATOS_[[AGRUP. CLAS. PROF.]:[AGRUP. CLAS. PROF.]]=$B48,IF(DATOS_[[Check Periodo Ref.]:[Check Periodo Ref.]]="Dentro",IF(DATOS_[[Check Equiparado]:[Check Equiparado]]="Sí",IF(DATOS!AK$5="Sí",(1/DATOS_[[% anualiz]:[% anualiz]]),1)*IF(DATOS!AK$4="Sí",1/DATOS_[[% normaliz]:[% normaliz]],1)*(DATOS_[Conc.Sal.07])))))))),
0)</f>
        <v>0</v>
      </c>
      <c r="Q49" s="101">
        <f t="array" ref="Q49">IFERROR(
(AVERAGE((IF(DATOS_[[Sexo]:[Sexo]]=$B49,IF(DATOS_[[AGRUP. CLAS. PROF.]:[AGRUP. CLAS. PROF.]]=$B48,IF(DATOS_[[Check Periodo Ref.]:[Check Periodo Ref.]]="Dentro",IF(DATOS_[[Check Equiparado]:[Check Equiparado]]="Sí",IF(DATOS!AL$5="Sí",(1/DATOS_[[% anualiz]:[% anualiz]]),1)*IF(DATOS!AL$4="Sí",1/DATOS_[[% normaliz]:[% normaliz]],1)*(DATOS_[Conc.Sal.08])))))))),
0)</f>
        <v>0</v>
      </c>
      <c r="R49" s="101">
        <f t="array" ref="R49">IFERROR(
(AVERAGE((IF(DATOS_[[Sexo]:[Sexo]]=$B49,IF(DATOS_[[AGRUP. CLAS. PROF.]:[AGRUP. CLAS. PROF.]]=$B48,IF(DATOS_[[Check Periodo Ref.]:[Check Periodo Ref.]]="Dentro",IF(DATOS_[[Check Equiparado]:[Check Equiparado]]="Sí",IF(DATOS!AM$5="Sí",(1/DATOS_[[% anualiz]:[% anualiz]]),1)*IF(DATOS!AM$4="Sí",1/DATOS_[[% normaliz]:[% normaliz]],1)*(DATOS_[Conc.Sal.09])))))))),
0)</f>
        <v>0</v>
      </c>
      <c r="S49" s="101">
        <f t="array" ref="S49">IFERROR(
(AVERAGE((IF(DATOS_[[Sexo]:[Sexo]]=$B49,IF(DATOS_[[AGRUP. CLAS. PROF.]:[AGRUP. CLAS. PROF.]]=$B48,IF(DATOS_[[Check Periodo Ref.]:[Check Periodo Ref.]]="Dentro",IF(DATOS_[[Check Equiparado]:[Check Equiparado]]="Sí",IF(DATOS!AN$5="Sí",(1/DATOS_[[% anualiz]:[% anualiz]]),1)*IF(DATOS!AN$4="Sí",1/DATOS_[[% normaliz]:[% normaliz]],1)*(DATOS_[Conc.Sal.10])))))))),
0)</f>
        <v>0</v>
      </c>
      <c r="T49" s="101">
        <f t="array" ref="T49">IFERROR(
(AVERAGE((IF(DATOS_[[Sexo]:[Sexo]]=$B49,IF(DATOS_[[AGRUP. CLAS. PROF.]:[AGRUP. CLAS. PROF.]]=$B48,IF(DATOS_[[Check Periodo Ref.]:[Check Periodo Ref.]]="Dentro",IF(DATOS_[[Check Equiparado]:[Check Equiparado]]="Sí",IF(DATOS!AO$5="Sí",(1/DATOS_[[% anualiz]:[% anualiz]]),1)*IF(DATOS!AO$4="Sí",1/DATOS_[[% normaliz]:[% normaliz]],1)*(DATOS_[Conc.Sal.11])))))))),
0)</f>
        <v>0</v>
      </c>
      <c r="U49" s="101">
        <f t="array" ref="U49">IFERROR(
(AVERAGE((IF(DATOS_[[Sexo]:[Sexo]]=$B49,IF(DATOS_[[AGRUP. CLAS. PROF.]:[AGRUP. CLAS. PROF.]]=$B48,IF(DATOS_[[Check Periodo Ref.]:[Check Periodo Ref.]]="Dentro",IF(DATOS_[[Check Equiparado]:[Check Equiparado]]="Sí",IF(DATOS!AP$5="Sí",(1/DATOS_[[% anualiz]:[% anualiz]]),1)*IF(DATOS!AP$4="Sí",1/DATOS_[[% normaliz]:[% normaliz]],1)*(DATOS_[Conc.Sal.12])))))))),
0)</f>
        <v>0</v>
      </c>
      <c r="V49" s="101">
        <f t="array" ref="V49">IFERROR(
(AVERAGE((IF(DATOS_[[Sexo]:[Sexo]]=$B49,IF(DATOS_[[AGRUP. CLAS. PROF.]:[AGRUP. CLAS. PROF.]]=$B48,IF(DATOS_[[Check Periodo Ref.]:[Check Periodo Ref.]]="Dentro",IF(DATOS_[[Check Equiparado]:[Check Equiparado]]="Sí",IF(DATOS!AQ$5="Sí",(1/DATOS_[[% anualiz]:[% anualiz]]),1)*IF(DATOS!AQ$4="Sí",1/DATOS_[[% normaliz]:[% normaliz]],1)*(DATOS_[Conc.Sal.13])))))))),
0)</f>
        <v>0</v>
      </c>
      <c r="W49" s="101">
        <f t="array" ref="W49">IFERROR(
(AVERAGE((IF(DATOS_[[Sexo]:[Sexo]]=$B49,IF(DATOS_[[AGRUP. CLAS. PROF.]:[AGRUP. CLAS. PROF.]]=$B48,IF(DATOS_[[Check Periodo Ref.]:[Check Periodo Ref.]]="Dentro",IF(DATOS_[[Check Equiparado]:[Check Equiparado]]="Sí",IF(DATOS!AR$5="Sí",(1/DATOS_[[% anualiz]:[% anualiz]]),1)*IF(DATOS!AR$4="Sí",1/DATOS_[[% normaliz]:[% normaliz]],1)*(DATOS_[Conc.Sal.14])))))))),
0)</f>
        <v>0</v>
      </c>
      <c r="X49" s="101">
        <f t="array" ref="X49">IFERROR(
(AVERAGE((IF(DATOS_[[Sexo]:[Sexo]]=$B49,IF(DATOS_[[AGRUP. CLAS. PROF.]:[AGRUP. CLAS. PROF.]]=$B48,IF(DATOS_[[Check Periodo Ref.]:[Check Periodo Ref.]]="Dentro",IF(DATOS_[[Check Equiparado]:[Check Equiparado]]="Sí",IF(DATOS!AS$5="Sí",(1/DATOS_[[% anualiz]:[% anualiz]]),1)*IF(DATOS!AS$4="Sí",1/DATOS_[[% normaliz]:[% normaliz]],1)*(DATOS_[Conc.Sal.15])))))))),
0)</f>
        <v>0</v>
      </c>
      <c r="Y49" s="101">
        <f t="array" ref="Y49">IFERROR(
(AVERAGE((IF(DATOS_[[Sexo]:[Sexo]]=$B49,IF(DATOS_[[AGRUP. CLAS. PROF.]:[AGRUP. CLAS. PROF.]]=$B48,IF(DATOS_[[Check Periodo Ref.]:[Check Periodo Ref.]]="Dentro",IF(DATOS_[[Check Equiparado]:[Check Equiparado]]="Sí",IF(DATOS!AT$5="Sí",(1/DATOS_[[% anualiz]:[% anualiz]]),1)*IF(DATOS!AT$4="Sí",1/DATOS_[[% normaliz]:[% normaliz]],1)*(DATOS_[Conc.Sal.16])))))))),
0)</f>
        <v>0</v>
      </c>
      <c r="Z49" s="101">
        <f t="array" ref="Z49">IFERROR(
(AVERAGE((IF(DATOS_[[Sexo]:[Sexo]]=$B49,IF(DATOS_[[AGRUP. CLAS. PROF.]:[AGRUP. CLAS. PROF.]]=$B48,IF(DATOS_[[Check Periodo Ref.]:[Check Periodo Ref.]]="Dentro",IF(DATOS_[[Check Equiparado]:[Check Equiparado]]="Sí",IF(DATOS!AU$5="Sí",(1/DATOS_[[% anualiz]:[% anualiz]]),1)*IF(DATOS!AU$4="Sí",1/DATOS_[[% normaliz]:[% normaliz]],1)*(DATOS_[Conc.Sal.17])))))))),
0)</f>
        <v>0</v>
      </c>
      <c r="AA49" s="101">
        <f t="array" ref="AA49">IFERROR(
(AVERAGE((IF(DATOS_[[Sexo]:[Sexo]]=$B49,IF(DATOS_[[AGRUP. CLAS. PROF.]:[AGRUP. CLAS. PROF.]]=$B48,IF(DATOS_[[Check Periodo Ref.]:[Check Periodo Ref.]]="Dentro",IF(DATOS_[[Check Equiparado]:[Check Equiparado]]="Sí",IF(DATOS!AV$5="Sí",(1/DATOS_[[% anualiz]:[% anualiz]]),1)*IF(DATOS!AV$4="Sí",1/DATOS_[[% normaliz]:[% normaliz]],1)*(DATOS_[Conc.Sal.18])))))))),
0)</f>
        <v>0</v>
      </c>
      <c r="AB49" s="101">
        <f t="array" ref="AB49">IFERROR(
(AVERAGE((IF(DATOS_[[Sexo]:[Sexo]]=$B49,IF(DATOS_[[AGRUP. CLAS. PROF.]:[AGRUP. CLAS. PROF.]]=$B48,IF(DATOS_[[Check Periodo Ref.]:[Check Periodo Ref.]]="Dentro",IF(DATOS_[[Check Equiparado]:[Check Equiparado]]="Sí",IF(DATOS!AW$5="Sí",(1/DATOS_[[% anualiz]:[% anualiz]]),1)*IF(DATOS!AW$4="Sí",1/DATOS_[[% normaliz]:[% normaliz]],1)*(DATOS_[Conc.Sal.19])))))))),
0)</f>
        <v>0</v>
      </c>
      <c r="AC49" s="101">
        <f t="array" ref="AC49">IFERROR(
(AVERAGE((IF(DATOS_[[Sexo]:[Sexo]]=$B49,IF(DATOS_[[AGRUP. CLAS. PROF.]:[AGRUP. CLAS. PROF.]]=$B48,IF(DATOS_[[Check Periodo Ref.]:[Check Periodo Ref.]]="Dentro",IF(DATOS_[[Check Equiparado]:[Check Equiparado]]="Sí",IF(DATOS!AX$5="Sí",(1/DATOS_[[% anualiz]:[% anualiz]]),1)*IF(DATOS!AX$4="Sí",1/DATOS_[[% normaliz]:[% normaliz]],1)*(DATOS_[Conc.Sal.20])))))))),
0)</f>
        <v>0</v>
      </c>
      <c r="AD49" s="101">
        <f t="array" ref="AD49">IFERROR(
(AVERAGE((IF(DATOS_[[Sexo]:[Sexo]]=$B49,IF(DATOS_[[AGRUP. CLAS. PROF.]:[AGRUP. CLAS. PROF.]]=$B48,IF(DATOS_[[Check Periodo Ref.]:[Check Periodo Ref.]]="Dentro",IF(DATOS_[[Check Equiparado]:[Check Equiparado]]="Sí",IF(DATOS!AY$5="Sí",(1/DATOS_[[% anualiz]:[% anualiz]]),1)*IF(DATOS!AY$4="Sí",1/DATOS_[[% normaliz]:[% normaliz]],1)*(DATOS_[Conc.Sal.21])))))))),
0)</f>
        <v>0</v>
      </c>
      <c r="AE49" s="101">
        <f t="array" ref="AE49">IFERROR(
(AVERAGE((IF(DATOS_[[Sexo]:[Sexo]]=$B49,IF(DATOS_[[AGRUP. CLAS. PROF.]:[AGRUP. CLAS. PROF.]]=$B48,IF(DATOS_[[Check Periodo Ref.]:[Check Periodo Ref.]]="Dentro",IF(DATOS_[[Check Equiparado]:[Check Equiparado]]="Sí",IF(DATOS!AZ$5="Sí",(1/DATOS_[[% anualiz]:[% anualiz]]),1)*IF(DATOS!AZ$4="Sí",1/DATOS_[[% normaliz]:[% normaliz]],1)*(DATOS_[Conc.Sal.22])))))))),
0)</f>
        <v>0</v>
      </c>
      <c r="AF49" s="101">
        <f t="array" ref="AF49">IFERROR(
(AVERAGE((IF(DATOS_[[Sexo]:[Sexo]]=$B49,IF(DATOS_[[AGRUP. CLAS. PROF.]:[AGRUP. CLAS. PROF.]]=$B48,IF(DATOS_[[Check Periodo Ref.]:[Check Periodo Ref.]]="Dentro",IF(DATOS_[[Check Equiparado]:[Check Equiparado]]="Sí",IF(DATOS!BA$5="Sí",(1/DATOS_[[% anualiz]:[% anualiz]]),1)*IF(DATOS!BA$4="Sí",1/DATOS_[[% normaliz]:[% normaliz]],1)*(DATOS_[Conc.Sal.23])))))))),
0)</f>
        <v>0</v>
      </c>
      <c r="AG49" s="101">
        <f t="array" ref="AG49">IFERROR(
(AVERAGE((IF(DATOS_[[Sexo]:[Sexo]]=$B49,IF(DATOS_[[AGRUP. CLAS. PROF.]:[AGRUP. CLAS. PROF.]]=$B48,IF(DATOS_[[Check Periodo Ref.]:[Check Periodo Ref.]]="Dentro",IF(DATOS_[[Check Equiparado]:[Check Equiparado]]="Sí",IF(DATOS!BB$5="Sí",(1/DATOS_[[% anualiz]:[% anualiz]]),1)*IF(DATOS!BB$4="Sí",1/DATOS_[[% normaliz]:[% normaliz]],1)*(DATOS_[Conc.Sal.24])))))))),
0)</f>
        <v>0</v>
      </c>
      <c r="AH49" s="101">
        <f t="array" ref="AH49">IFERROR(
(AVERAGE((IF(DATOS_[[Sexo]:[Sexo]]=$B49,IF(DATOS_[[AGRUP. CLAS. PROF.]:[AGRUP. CLAS. PROF.]]=$B48,IF(DATOS_[[Check Periodo Ref.]:[Check Periodo Ref.]]="Dentro",IF(DATOS_[[Check Equiparado]:[Check Equiparado]]="Sí",IF(DATOS!BC$5="Sí",(1/DATOS_[[% anualiz]:[% anualiz]]),1)*IF(DATOS!BC$4="Sí",1/DATOS_[[% normaliz]:[% normaliz]],1)*(DATOS_[Conc.Sal.25])))))))),
0)</f>
        <v>0</v>
      </c>
      <c r="AI49" s="101">
        <f t="array" ref="AI49">IFERROR(
(AVERAGE((IF(DATOS_[[Sexo]:[Sexo]]=$B49,IF(DATOS_[[AGRUP. CLAS. PROF.]:[AGRUP. CLAS. PROF.]]=$B48,IF(DATOS_[[Check Periodo Ref.]:[Check Periodo Ref.]]="Dentro",IF(DATOS_[[Check Equiparado]:[Check Equiparado]]="Sí",IF(DATOS!BD$5="Sí",(1/DATOS_[[% anualiz]:[% anualiz]]),1)*IF(DATOS!BD$4="Sí",1/DATOS_[[% normaliz]:[% normaliz]],1)*(DATOS_[Conc.Sal.26])))))))),
0)</f>
        <v>0</v>
      </c>
      <c r="AJ49" s="101">
        <f t="array" ref="AJ49">IFERROR(
(AVERAGE((IF(DATOS_[[Sexo]:[Sexo]]=$B49,IF(DATOS_[[AGRUP. CLAS. PROF.]:[AGRUP. CLAS. PROF.]]=$B48,IF(DATOS_[[Check Periodo Ref.]:[Check Periodo Ref.]]="Dentro",IF(DATOS_[[Check Equiparado]:[Check Equiparado]]="Sí",IF(DATOS!BE$5="Sí",(1/DATOS_[[% anualiz]:[% anualiz]]),1)*IF(DATOS!BE$4="Sí",1/DATOS_[[% normaliz]:[% normaliz]],1)*(DATOS_[Conc.Sal.27])))))))),
0)</f>
        <v>0</v>
      </c>
      <c r="AK49" s="101">
        <f t="array" ref="AK49">IFERROR(
(AVERAGE((IF(DATOS_[[Sexo]:[Sexo]]=$B49,IF(DATOS_[[AGRUP. CLAS. PROF.]:[AGRUP. CLAS. PROF.]]=$B48,IF(DATOS_[[Check Periodo Ref.]:[Check Periodo Ref.]]="Dentro",IF(DATOS_[[Check Equiparado]:[Check Equiparado]]="Sí",IF(DATOS!BF$5="Sí",(1/DATOS_[[% anualiz]:[% anualiz]]),1)*IF(DATOS!BF$4="Sí",1/DATOS_[[% normaliz]:[% normaliz]],1)*(DATOS_[Conc.Sal.28])))))))),
0)</f>
        <v>0</v>
      </c>
      <c r="AL49" s="101">
        <f t="array" ref="AL49">IFERROR(
(AVERAGE((IF(DATOS_[[Sexo]:[Sexo]]=$B49,IF(DATOS_[[AGRUP. CLAS. PROF.]:[AGRUP. CLAS. PROF.]]=$B48,IF(DATOS_[[Check Periodo Ref.]:[Check Periodo Ref.]]="Dentro",IF(DATOS_[[Check Equiparado]:[Check Equiparado]]="Sí",IF(DATOS!BG$5="Sí",(1/DATOS_[[% anualiz]:[% anualiz]]),1)*IF(DATOS!BG$4="Sí",1/DATOS_[[% normaliz]:[% normaliz]],1)*(DATOS_[Conc.Sal.29])))))))),
0)</f>
        <v>0</v>
      </c>
      <c r="AM49" s="101">
        <f t="array" ref="AM49">IFERROR(
(AVERAGE((IF(DATOS_[[Sexo]:[Sexo]]=$B49,IF(DATOS_[[AGRUP. CLAS. PROF.]:[AGRUP. CLAS. PROF.]]=$B48,IF(DATOS_[[Check Periodo Ref.]:[Check Periodo Ref.]]="Dentro",IF(DATOS_[[Check Equiparado]:[Check Equiparado]]="Sí",IF(DATOS!BH$5="Sí",(1/DATOS_[[% anualiz]:[% anualiz]]),1)*IF(DATOS!BH$4="Sí",1/DATOS_[[% normaliz]:[% normaliz]],1)*(DATOS_[Conc.Sal.30])))))))),
0)</f>
        <v>0</v>
      </c>
      <c r="AN49" s="102">
        <f t="array" ref="AN49">IFERROR(
AVERAGE(IF(DATOS_[Sexo]=$B49,IF(DATOS_[[AGRUP. CLAS. PROF.]:[AGRUP. CLAS. PROF.]]=$B48,IF(DATOS_[Check Equiparado]="Sí",IF(DATOS_[Check Periodo Ref.]="Dentro",DATOS_[Tot COMPL.SAL Eq],FALSE))))),
0)</f>
        <v>0</v>
      </c>
      <c r="AO49" s="103">
        <f t="array" ref="AO49">IFERROR(
AVERAGE(IF(DATOS_[Sexo]=$B49,IF(DATOS_[[AGRUP. CLAS. PROF.]:[AGRUP. CLAS. PROF.]]=$B48,IF(DATOS_[Check Equiparado]="Sí",IF(DATOS_[Check Periodo Ref.]="Dentro",DATOS_[TOTAL SALARIO Eq],FALSE))))),
0)</f>
        <v>0</v>
      </c>
      <c r="AP49" s="104">
        <f t="array" ref="AP49">IFERROR(
(AVERAGE((IF(DATOS_[[Sexo]:[Sexo]]=$B49,IF(DATOS_[[AGRUP. CLAS. PROF.]:[AGRUP. CLAS. PROF.]]=$B48,IF(DATOS_[[Check Periodo Ref.]:[Check Periodo Ref.]]="Dentro",IF(DATOS_[[Check Equiparado]:[Check Equiparado]]="Sí",IF(DATOS!BI$5="Sí",(1/DATOS_[[% anualiz]:[% anualiz]]),1)*IF(DATOS!BI$4="Sí",1/DATOS_[[% normaliz]:[% normaliz]],1)*(DATOS_[C.Extra.01])))))))),
0)</f>
        <v>0</v>
      </c>
      <c r="AQ49" s="104">
        <f t="array" ref="AQ49">IFERROR(
(AVERAGE((IF(DATOS_[[Sexo]:[Sexo]]=$B49,IF(DATOS_[[AGRUP. CLAS. PROF.]:[AGRUP. CLAS. PROF.]]=$B48,IF(DATOS_[[Check Periodo Ref.]:[Check Periodo Ref.]]="Dentro",IF(DATOS_[[Check Equiparado]:[Check Equiparado]]="Sí",IF(DATOS!BJ$5="Sí",(1/DATOS_[[% anualiz]:[% anualiz]]),1)*IF(DATOS!BJ$4="Sí",1/DATOS_[[% normaliz]:[% normaliz]],1)*(DATOS_[C.Extra.02])))))))),
0)</f>
        <v>0</v>
      </c>
      <c r="AR49" s="104">
        <f t="array" ref="AR49">IFERROR(
(AVERAGE((IF(DATOS_[[Sexo]:[Sexo]]=$B49,IF(DATOS_[[AGRUP. CLAS. PROF.]:[AGRUP. CLAS. PROF.]]=$B48,IF(DATOS_[[Check Periodo Ref.]:[Check Periodo Ref.]]="Dentro",IF(DATOS_[[Check Equiparado]:[Check Equiparado]]="Sí",IF(DATOS!BK$5="Sí",(1/DATOS_[[% anualiz]:[% anualiz]]),1)*IF(DATOS!BK$4="Sí",1/DATOS_[[% normaliz]:[% normaliz]],1)*(DATOS_[C.Extra.03])))))))),
0)</f>
        <v>0</v>
      </c>
      <c r="AS49" s="104">
        <f t="array" ref="AS49">IFERROR(
(AVERAGE((IF(DATOS_[[Sexo]:[Sexo]]=$B49,IF(DATOS_[[AGRUP. CLAS. PROF.]:[AGRUP. CLAS. PROF.]]=$B48,IF(DATOS_[[Check Periodo Ref.]:[Check Periodo Ref.]]="Dentro",IF(DATOS_[[Check Equiparado]:[Check Equiparado]]="Sí",IF(DATOS!BL$5="Sí",(1/DATOS_[[% anualiz]:[% anualiz]]),1)*IF(DATOS!BL$4="Sí",1/DATOS_[[% normaliz]:[% normaliz]],1)*(DATOS_[C.Extra.04])))))))),
0)</f>
        <v>0</v>
      </c>
      <c r="AT49" s="104">
        <f t="array" ref="AT49">IFERROR(
(AVERAGE((IF(DATOS_[[Sexo]:[Sexo]]=$B49,IF(DATOS_[[AGRUP. CLAS. PROF.]:[AGRUP. CLAS. PROF.]]=$B48,IF(DATOS_[[Check Periodo Ref.]:[Check Periodo Ref.]]="Dentro",IF(DATOS_[[Check Equiparado]:[Check Equiparado]]="Sí",IF(DATOS!BM$5="Sí",(1/DATOS_[[% anualiz]:[% anualiz]]),1)*IF(DATOS!BM$4="Sí",1/DATOS_[[% normaliz]:[% normaliz]],1)*(DATOS_[C.Extra.05])))))))),
0)</f>
        <v>0</v>
      </c>
      <c r="AU49" s="105">
        <f t="array" ref="AU49">IFERROR(
AVERAGE(IF(DATOS_[Sexo]=$B49,IF(DATOS_[[AGRUP. CLAS. PROF.]:[AGRUP. CLAS. PROF.]]=$B48,IF(DATOS_[Check Equiparado]="Sí",IF(DATOS_[Check Periodo Ref.]="Dentro",DATOS_[Tot Extrasalarial Eq],FALSE))))),
0)</f>
        <v>0</v>
      </c>
      <c r="AV49" s="106">
        <f t="array" ref="AV49">IFERROR(
AVERAGE(IF(DATOS_[Sexo]=$B49,IF(DATOS_[[AGRUP. CLAS. PROF.]:[AGRUP. CLAS. PROF.]]=$B48,IF(DATOS_[Check Equiparado]="Sí",IF(DATOS_[Check Periodo Ref.]="Dentro",DATOS_[TOTAL Retrib Eq],FALSE))))),
0)</f>
        <v>0</v>
      </c>
    </row>
    <row r="50" spans="1:48" hidden="1" x14ac:dyDescent="0.3">
      <c r="A50" s="53" t="str">
        <f t="shared" ref="A50" si="50">+A49</f>
        <v>[ocultar]</v>
      </c>
      <c r="B50" s="57" t="s">
        <v>163</v>
      </c>
      <c r="C50" s="56">
        <f t="array" ref="C50">SUM(IF($B50=DATOS_[Sexo],
IF($B48=DATOS_[AGRUP. CLAS. PROF.],
IF("Dentro"=DATOS_[Check Periodo Ref.],
1/(COUNTIFS(DATOS_[Sexo],$B50,DATOS_[AGRUP. CLAS. PROF.],$B48,DATOS_[Check Periodo Ref.],"Dentro",DATOS_[id],DATOS_[id]))))))</f>
        <v>0</v>
      </c>
      <c r="D50" s="58">
        <f>COUNTIFS(DATOS_[AGRUP. CLAS. PROF.],$B48,DATOS_[Sexo],$B50,DATOS_[Check Periodo Ref.],"Dentro")</f>
        <v>0</v>
      </c>
      <c r="E50" s="58">
        <f>COUNTIFS(DATOS_[AGRUP. CLAS. PROF.],$B48,DATOS_[Sexo],$B50,DATOS_[Check Periodo Ref.],"Dentro",DATOS_[Check Nº SC Norm],"Sí")</f>
        <v>0</v>
      </c>
      <c r="F50" s="58">
        <f>COUNTIFS(DATOS_[AGRUP. CLAS. PROF.],$B48,DATOS_[Sexo],$B50,DATOS_[Check Periodo Ref.],"Dentro",DATOS_[Check Nº SC Anualiz],"Sí")</f>
        <v>0</v>
      </c>
      <c r="G50" s="58">
        <f>COUNTIFS(DATOS_[AGRUP. CLAS. PROF.],$B48,DATOS_[Sexo],$B50,DATOS_[Check Periodo Ref.],"Dentro",DATOS_[Check Nº SC Norm y Anualiz],"Sí")</f>
        <v>0</v>
      </c>
      <c r="H50" s="58">
        <f>COUNTIFS(DATOS_[AGRUP. CLAS. PROF.],$B48,DATOS_[Sexo],$B50,DATOS_[Check Periodo Ref.],"Dentro",DATOS_[Check Equiparación],"Sí")</f>
        <v>0</v>
      </c>
      <c r="I50" s="100" cm="1">
        <f t="array" ref="I50">IFERROR(
AVERAGE(IF(DATOS_[Sexo]=$B50,IF(DATOS_[[AGRUP. CLAS. PROF.]:[AGRUP. CLAS. PROF.]]=$B48,IF(DATOS_[Check Equiparado]="Sí",IF(DATOS_[Check Periodo Ref.]="Dentro",DATOS_[SALARIO BASE Eq],FALSE))))),
0)</f>
        <v>0</v>
      </c>
      <c r="J50" s="101">
        <f t="array" ref="J50">IFERROR(
(AVERAGE((IF(DATOS_[[Sexo]:[Sexo]]=$B50,IF(DATOS_[[AGRUP. CLAS. PROF.]:[AGRUP. CLAS. PROF.]]=$B48,IF(DATOS_[[Check Periodo Ref.]:[Check Periodo Ref.]]="Dentro",IF(DATOS_[[Check Equiparado]:[Check Equiparado]]="Sí",IF(DATOS!AE$5="Sí",(1/DATOS_[[% anualiz]:[% anualiz]]),1)*IF(DATOS!AE$4="Sí",1/DATOS_[[% normaliz]:[% normaliz]],1)*(DATOS_[Conc.Sal.01])))))))),
0)</f>
        <v>0</v>
      </c>
      <c r="K50" s="101">
        <f t="array" ref="K50">IFERROR(
(AVERAGE((IF(DATOS_[[Sexo]:[Sexo]]=$B50,IF(DATOS_[[AGRUP. CLAS. PROF.]:[AGRUP. CLAS. PROF.]]=$B48,IF(DATOS_[[Check Periodo Ref.]:[Check Periodo Ref.]]="Dentro",IF(DATOS_[[Check Equiparado]:[Check Equiparado]]="Sí",IF(DATOS!AF$5="Sí",(1/DATOS_[[% anualiz]:[% anualiz]]),1)*IF(DATOS!AF$4="Sí",1/DATOS_[[% normaliz]:[% normaliz]],1)*(DATOS_[Conc.Sal.02])))))))),
0)</f>
        <v>0</v>
      </c>
      <c r="L50" s="101">
        <f t="array" ref="L50">IFERROR(
(AVERAGE((IF(DATOS_[[Sexo]:[Sexo]]=$B50,IF(DATOS_[[AGRUP. CLAS. PROF.]:[AGRUP. CLAS. PROF.]]=$B48,IF(DATOS_[[Check Periodo Ref.]:[Check Periodo Ref.]]="Dentro",IF(DATOS_[[Check Equiparado]:[Check Equiparado]]="Sí",IF(DATOS!AG$5="Sí",(1/DATOS_[[% anualiz]:[% anualiz]]),1)*IF(DATOS!AG$4="Sí",1/DATOS_[[% normaliz]:[% normaliz]],1)*(DATOS_[Conc.Sal.03])))))))),
0)</f>
        <v>0</v>
      </c>
      <c r="M50" s="101">
        <f t="array" ref="M50">IFERROR(
(AVERAGE((IF(DATOS_[[Sexo]:[Sexo]]=$B50,IF(DATOS_[[AGRUP. CLAS. PROF.]:[AGRUP. CLAS. PROF.]]=$B48,IF(DATOS_[[Check Periodo Ref.]:[Check Periodo Ref.]]="Dentro",IF(DATOS_[[Check Equiparado]:[Check Equiparado]]="Sí",IF(DATOS!AH$5="Sí",(1/DATOS_[[% anualiz]:[% anualiz]]),1)*IF(DATOS!AH$4="Sí",1/DATOS_[[% normaliz]:[% normaliz]],1)*(DATOS_[Conc.Sal.04])))))))),
0)</f>
        <v>0</v>
      </c>
      <c r="N50" s="101">
        <f t="array" ref="N50">IFERROR(
(AVERAGE((IF(DATOS_[[Sexo]:[Sexo]]=$B50,IF(DATOS_[[AGRUP. CLAS. PROF.]:[AGRUP. CLAS. PROF.]]=$B48,IF(DATOS_[[Check Periodo Ref.]:[Check Periodo Ref.]]="Dentro",IF(DATOS_[[Check Equiparado]:[Check Equiparado]]="Sí",IF(DATOS!AI$5="Sí",(1/DATOS_[[% anualiz]:[% anualiz]]),1)*IF(DATOS!AI$4="Sí",1/DATOS_[[% normaliz]:[% normaliz]],1)*(DATOS_[Conc.Sal.05])))))))),
0)</f>
        <v>0</v>
      </c>
      <c r="O50" s="101">
        <f t="array" ref="O50">IFERROR(
(AVERAGE((IF(DATOS_[[Sexo]:[Sexo]]=$B50,IF(DATOS_[[AGRUP. CLAS. PROF.]:[AGRUP. CLAS. PROF.]]=$B48,IF(DATOS_[[Check Periodo Ref.]:[Check Periodo Ref.]]="Dentro",IF(DATOS_[[Check Equiparado]:[Check Equiparado]]="Sí",IF(DATOS!AJ$5="Sí",(1/DATOS_[[% anualiz]:[% anualiz]]),1)*IF(DATOS!AJ$4="Sí",1/DATOS_[[% normaliz]:[% normaliz]],1)*(DATOS_[Conc.Sal.06])))))))),
0)</f>
        <v>0</v>
      </c>
      <c r="P50" s="101">
        <f t="array" ref="P50">IFERROR(
(AVERAGE((IF(DATOS_[[Sexo]:[Sexo]]=$B50,IF(DATOS_[[AGRUP. CLAS. PROF.]:[AGRUP. CLAS. PROF.]]=$B48,IF(DATOS_[[Check Periodo Ref.]:[Check Periodo Ref.]]="Dentro",IF(DATOS_[[Check Equiparado]:[Check Equiparado]]="Sí",IF(DATOS!AK$5="Sí",(1/DATOS_[[% anualiz]:[% anualiz]]),1)*IF(DATOS!AK$4="Sí",1/DATOS_[[% normaliz]:[% normaliz]],1)*(DATOS_[Conc.Sal.07])))))))),
0)</f>
        <v>0</v>
      </c>
      <c r="Q50" s="101">
        <f t="array" ref="Q50">IFERROR(
(AVERAGE((IF(DATOS_[[Sexo]:[Sexo]]=$B50,IF(DATOS_[[AGRUP. CLAS. PROF.]:[AGRUP. CLAS. PROF.]]=$B48,IF(DATOS_[[Check Periodo Ref.]:[Check Periodo Ref.]]="Dentro",IF(DATOS_[[Check Equiparado]:[Check Equiparado]]="Sí",IF(DATOS!AL$5="Sí",(1/DATOS_[[% anualiz]:[% anualiz]]),1)*IF(DATOS!AL$4="Sí",1/DATOS_[[% normaliz]:[% normaliz]],1)*(DATOS_[Conc.Sal.08])))))))),
0)</f>
        <v>0</v>
      </c>
      <c r="R50" s="101">
        <f t="array" ref="R50">IFERROR(
(AVERAGE((IF(DATOS_[[Sexo]:[Sexo]]=$B50,IF(DATOS_[[AGRUP. CLAS. PROF.]:[AGRUP. CLAS. PROF.]]=$B48,IF(DATOS_[[Check Periodo Ref.]:[Check Periodo Ref.]]="Dentro",IF(DATOS_[[Check Equiparado]:[Check Equiparado]]="Sí",IF(DATOS!AM$5="Sí",(1/DATOS_[[% anualiz]:[% anualiz]]),1)*IF(DATOS!AM$4="Sí",1/DATOS_[[% normaliz]:[% normaliz]],1)*(DATOS_[Conc.Sal.09])))))))),
0)</f>
        <v>0</v>
      </c>
      <c r="S50" s="101">
        <f t="array" ref="S50">IFERROR(
(AVERAGE((IF(DATOS_[[Sexo]:[Sexo]]=$B50,IF(DATOS_[[AGRUP. CLAS. PROF.]:[AGRUP. CLAS. PROF.]]=$B48,IF(DATOS_[[Check Periodo Ref.]:[Check Periodo Ref.]]="Dentro",IF(DATOS_[[Check Equiparado]:[Check Equiparado]]="Sí",IF(DATOS!AN$5="Sí",(1/DATOS_[[% anualiz]:[% anualiz]]),1)*IF(DATOS!AN$4="Sí",1/DATOS_[[% normaliz]:[% normaliz]],1)*(DATOS_[Conc.Sal.10])))))))),
0)</f>
        <v>0</v>
      </c>
      <c r="T50" s="101">
        <f t="array" ref="T50">IFERROR(
(AVERAGE((IF(DATOS_[[Sexo]:[Sexo]]=$B50,IF(DATOS_[[AGRUP. CLAS. PROF.]:[AGRUP. CLAS. PROF.]]=$B48,IF(DATOS_[[Check Periodo Ref.]:[Check Periodo Ref.]]="Dentro",IF(DATOS_[[Check Equiparado]:[Check Equiparado]]="Sí",IF(DATOS!AO$5="Sí",(1/DATOS_[[% anualiz]:[% anualiz]]),1)*IF(DATOS!AO$4="Sí",1/DATOS_[[% normaliz]:[% normaliz]],1)*(DATOS_[Conc.Sal.11])))))))),
0)</f>
        <v>0</v>
      </c>
      <c r="U50" s="101">
        <f t="array" ref="U50">IFERROR(
(AVERAGE((IF(DATOS_[[Sexo]:[Sexo]]=$B50,IF(DATOS_[[AGRUP. CLAS. PROF.]:[AGRUP. CLAS. PROF.]]=$B48,IF(DATOS_[[Check Periodo Ref.]:[Check Periodo Ref.]]="Dentro",IF(DATOS_[[Check Equiparado]:[Check Equiparado]]="Sí",IF(DATOS!AP$5="Sí",(1/DATOS_[[% anualiz]:[% anualiz]]),1)*IF(DATOS!AP$4="Sí",1/DATOS_[[% normaliz]:[% normaliz]],1)*(DATOS_[Conc.Sal.12])))))))),
0)</f>
        <v>0</v>
      </c>
      <c r="V50" s="101">
        <f t="array" ref="V50">IFERROR(
(AVERAGE((IF(DATOS_[[Sexo]:[Sexo]]=$B50,IF(DATOS_[[AGRUP. CLAS. PROF.]:[AGRUP. CLAS. PROF.]]=$B48,IF(DATOS_[[Check Periodo Ref.]:[Check Periodo Ref.]]="Dentro",IF(DATOS_[[Check Equiparado]:[Check Equiparado]]="Sí",IF(DATOS!AQ$5="Sí",(1/DATOS_[[% anualiz]:[% anualiz]]),1)*IF(DATOS!AQ$4="Sí",1/DATOS_[[% normaliz]:[% normaliz]],1)*(DATOS_[Conc.Sal.13])))))))),
0)</f>
        <v>0</v>
      </c>
      <c r="W50" s="101">
        <f t="array" ref="W50">IFERROR(
(AVERAGE((IF(DATOS_[[Sexo]:[Sexo]]=$B50,IF(DATOS_[[AGRUP. CLAS. PROF.]:[AGRUP. CLAS. PROF.]]=$B48,IF(DATOS_[[Check Periodo Ref.]:[Check Periodo Ref.]]="Dentro",IF(DATOS_[[Check Equiparado]:[Check Equiparado]]="Sí",IF(DATOS!AR$5="Sí",(1/DATOS_[[% anualiz]:[% anualiz]]),1)*IF(DATOS!AR$4="Sí",1/DATOS_[[% normaliz]:[% normaliz]],1)*(DATOS_[Conc.Sal.14])))))))),
0)</f>
        <v>0</v>
      </c>
      <c r="X50" s="101">
        <f t="array" ref="X50">IFERROR(
(AVERAGE((IF(DATOS_[[Sexo]:[Sexo]]=$B50,IF(DATOS_[[AGRUP. CLAS. PROF.]:[AGRUP. CLAS. PROF.]]=$B48,IF(DATOS_[[Check Periodo Ref.]:[Check Periodo Ref.]]="Dentro",IF(DATOS_[[Check Equiparado]:[Check Equiparado]]="Sí",IF(DATOS!AS$5="Sí",(1/DATOS_[[% anualiz]:[% anualiz]]),1)*IF(DATOS!AS$4="Sí",1/DATOS_[[% normaliz]:[% normaliz]],1)*(DATOS_[Conc.Sal.15])))))))),
0)</f>
        <v>0</v>
      </c>
      <c r="Y50" s="101">
        <f t="array" ref="Y50">IFERROR(
(AVERAGE((IF(DATOS_[[Sexo]:[Sexo]]=$B50,IF(DATOS_[[AGRUP. CLAS. PROF.]:[AGRUP. CLAS. PROF.]]=$B48,IF(DATOS_[[Check Periodo Ref.]:[Check Periodo Ref.]]="Dentro",IF(DATOS_[[Check Equiparado]:[Check Equiparado]]="Sí",IF(DATOS!AT$5="Sí",(1/DATOS_[[% anualiz]:[% anualiz]]),1)*IF(DATOS!AT$4="Sí",1/DATOS_[[% normaliz]:[% normaliz]],1)*(DATOS_[Conc.Sal.16])))))))),
0)</f>
        <v>0</v>
      </c>
      <c r="Z50" s="101">
        <f t="array" ref="Z50">IFERROR(
(AVERAGE((IF(DATOS_[[Sexo]:[Sexo]]=$B50,IF(DATOS_[[AGRUP. CLAS. PROF.]:[AGRUP. CLAS. PROF.]]=$B48,IF(DATOS_[[Check Periodo Ref.]:[Check Periodo Ref.]]="Dentro",IF(DATOS_[[Check Equiparado]:[Check Equiparado]]="Sí",IF(DATOS!AU$5="Sí",(1/DATOS_[[% anualiz]:[% anualiz]]),1)*IF(DATOS!AU$4="Sí",1/DATOS_[[% normaliz]:[% normaliz]],1)*(DATOS_[Conc.Sal.17])))))))),
0)</f>
        <v>0</v>
      </c>
      <c r="AA50" s="101">
        <f t="array" ref="AA50">IFERROR(
(AVERAGE((IF(DATOS_[[Sexo]:[Sexo]]=$B50,IF(DATOS_[[AGRUP. CLAS. PROF.]:[AGRUP. CLAS. PROF.]]=$B48,IF(DATOS_[[Check Periodo Ref.]:[Check Periodo Ref.]]="Dentro",IF(DATOS_[[Check Equiparado]:[Check Equiparado]]="Sí",IF(DATOS!AV$5="Sí",(1/DATOS_[[% anualiz]:[% anualiz]]),1)*IF(DATOS!AV$4="Sí",1/DATOS_[[% normaliz]:[% normaliz]],1)*(DATOS_[Conc.Sal.18])))))))),
0)</f>
        <v>0</v>
      </c>
      <c r="AB50" s="101">
        <f t="array" ref="AB50">IFERROR(
(AVERAGE((IF(DATOS_[[Sexo]:[Sexo]]=$B50,IF(DATOS_[[AGRUP. CLAS. PROF.]:[AGRUP. CLAS. PROF.]]=$B48,IF(DATOS_[[Check Periodo Ref.]:[Check Periodo Ref.]]="Dentro",IF(DATOS_[[Check Equiparado]:[Check Equiparado]]="Sí",IF(DATOS!AW$5="Sí",(1/DATOS_[[% anualiz]:[% anualiz]]),1)*IF(DATOS!AW$4="Sí",1/DATOS_[[% normaliz]:[% normaliz]],1)*(DATOS_[Conc.Sal.19])))))))),
0)</f>
        <v>0</v>
      </c>
      <c r="AC50" s="101">
        <f t="array" ref="AC50">IFERROR(
(AVERAGE((IF(DATOS_[[Sexo]:[Sexo]]=$B50,IF(DATOS_[[AGRUP. CLAS. PROF.]:[AGRUP. CLAS. PROF.]]=$B48,IF(DATOS_[[Check Periodo Ref.]:[Check Periodo Ref.]]="Dentro",IF(DATOS_[[Check Equiparado]:[Check Equiparado]]="Sí",IF(DATOS!AX$5="Sí",(1/DATOS_[[% anualiz]:[% anualiz]]),1)*IF(DATOS!AX$4="Sí",1/DATOS_[[% normaliz]:[% normaliz]],1)*(DATOS_[Conc.Sal.20])))))))),
0)</f>
        <v>0</v>
      </c>
      <c r="AD50" s="101">
        <f t="array" ref="AD50">IFERROR(
(AVERAGE((IF(DATOS_[[Sexo]:[Sexo]]=$B50,IF(DATOS_[[AGRUP. CLAS. PROF.]:[AGRUP. CLAS. PROF.]]=$B48,IF(DATOS_[[Check Periodo Ref.]:[Check Periodo Ref.]]="Dentro",IF(DATOS_[[Check Equiparado]:[Check Equiparado]]="Sí",IF(DATOS!AY$5="Sí",(1/DATOS_[[% anualiz]:[% anualiz]]),1)*IF(DATOS!AY$4="Sí",1/DATOS_[[% normaliz]:[% normaliz]],1)*(DATOS_[Conc.Sal.21])))))))),
0)</f>
        <v>0</v>
      </c>
      <c r="AE50" s="101">
        <f t="array" ref="AE50">IFERROR(
(AVERAGE((IF(DATOS_[[Sexo]:[Sexo]]=$B50,IF(DATOS_[[AGRUP. CLAS. PROF.]:[AGRUP. CLAS. PROF.]]=$B48,IF(DATOS_[[Check Periodo Ref.]:[Check Periodo Ref.]]="Dentro",IF(DATOS_[[Check Equiparado]:[Check Equiparado]]="Sí",IF(DATOS!AZ$5="Sí",(1/DATOS_[[% anualiz]:[% anualiz]]),1)*IF(DATOS!AZ$4="Sí",1/DATOS_[[% normaliz]:[% normaliz]],1)*(DATOS_[Conc.Sal.22])))))))),
0)</f>
        <v>0</v>
      </c>
      <c r="AF50" s="101">
        <f t="array" ref="AF50">IFERROR(
(AVERAGE((IF(DATOS_[[Sexo]:[Sexo]]=$B50,IF(DATOS_[[AGRUP. CLAS. PROF.]:[AGRUP. CLAS. PROF.]]=$B48,IF(DATOS_[[Check Periodo Ref.]:[Check Periodo Ref.]]="Dentro",IF(DATOS_[[Check Equiparado]:[Check Equiparado]]="Sí",IF(DATOS!BA$5="Sí",(1/DATOS_[[% anualiz]:[% anualiz]]),1)*IF(DATOS!BA$4="Sí",1/DATOS_[[% normaliz]:[% normaliz]],1)*(DATOS_[Conc.Sal.23])))))))),
0)</f>
        <v>0</v>
      </c>
      <c r="AG50" s="101">
        <f t="array" ref="AG50">IFERROR(
(AVERAGE((IF(DATOS_[[Sexo]:[Sexo]]=$B50,IF(DATOS_[[AGRUP. CLAS. PROF.]:[AGRUP. CLAS. PROF.]]=$B48,IF(DATOS_[[Check Periodo Ref.]:[Check Periodo Ref.]]="Dentro",IF(DATOS_[[Check Equiparado]:[Check Equiparado]]="Sí",IF(DATOS!BB$5="Sí",(1/DATOS_[[% anualiz]:[% anualiz]]),1)*IF(DATOS!BB$4="Sí",1/DATOS_[[% normaliz]:[% normaliz]],1)*(DATOS_[Conc.Sal.24])))))))),
0)</f>
        <v>0</v>
      </c>
      <c r="AH50" s="101">
        <f t="array" ref="AH50">IFERROR(
(AVERAGE((IF(DATOS_[[Sexo]:[Sexo]]=$B50,IF(DATOS_[[AGRUP. CLAS. PROF.]:[AGRUP. CLAS. PROF.]]=$B48,IF(DATOS_[[Check Periodo Ref.]:[Check Periodo Ref.]]="Dentro",IF(DATOS_[[Check Equiparado]:[Check Equiparado]]="Sí",IF(DATOS!BC$5="Sí",(1/DATOS_[[% anualiz]:[% anualiz]]),1)*IF(DATOS!BC$4="Sí",1/DATOS_[[% normaliz]:[% normaliz]],1)*(DATOS_[Conc.Sal.25])))))))),
0)</f>
        <v>0</v>
      </c>
      <c r="AI50" s="101">
        <f t="array" ref="AI50">IFERROR(
(AVERAGE((IF(DATOS_[[Sexo]:[Sexo]]=$B50,IF(DATOS_[[AGRUP. CLAS. PROF.]:[AGRUP. CLAS. PROF.]]=$B48,IF(DATOS_[[Check Periodo Ref.]:[Check Periodo Ref.]]="Dentro",IF(DATOS_[[Check Equiparado]:[Check Equiparado]]="Sí",IF(DATOS!BD$5="Sí",(1/DATOS_[[% anualiz]:[% anualiz]]),1)*IF(DATOS!BD$4="Sí",1/DATOS_[[% normaliz]:[% normaliz]],1)*(DATOS_[Conc.Sal.26])))))))),
0)</f>
        <v>0</v>
      </c>
      <c r="AJ50" s="101">
        <f t="array" ref="AJ50">IFERROR(
(AVERAGE((IF(DATOS_[[Sexo]:[Sexo]]=$B50,IF(DATOS_[[AGRUP. CLAS. PROF.]:[AGRUP. CLAS. PROF.]]=$B48,IF(DATOS_[[Check Periodo Ref.]:[Check Periodo Ref.]]="Dentro",IF(DATOS_[[Check Equiparado]:[Check Equiparado]]="Sí",IF(DATOS!BE$5="Sí",(1/DATOS_[[% anualiz]:[% anualiz]]),1)*IF(DATOS!BE$4="Sí",1/DATOS_[[% normaliz]:[% normaliz]],1)*(DATOS_[Conc.Sal.27])))))))),
0)</f>
        <v>0</v>
      </c>
      <c r="AK50" s="101">
        <f t="array" ref="AK50">IFERROR(
(AVERAGE((IF(DATOS_[[Sexo]:[Sexo]]=$B50,IF(DATOS_[[AGRUP. CLAS. PROF.]:[AGRUP. CLAS. PROF.]]=$B48,IF(DATOS_[[Check Periodo Ref.]:[Check Periodo Ref.]]="Dentro",IF(DATOS_[[Check Equiparado]:[Check Equiparado]]="Sí",IF(DATOS!BF$5="Sí",(1/DATOS_[[% anualiz]:[% anualiz]]),1)*IF(DATOS!BF$4="Sí",1/DATOS_[[% normaliz]:[% normaliz]],1)*(DATOS_[Conc.Sal.28])))))))),
0)</f>
        <v>0</v>
      </c>
      <c r="AL50" s="101">
        <f t="array" ref="AL50">IFERROR(
(AVERAGE((IF(DATOS_[[Sexo]:[Sexo]]=$B50,IF(DATOS_[[AGRUP. CLAS. PROF.]:[AGRUP. CLAS. PROF.]]=$B48,IF(DATOS_[[Check Periodo Ref.]:[Check Periodo Ref.]]="Dentro",IF(DATOS_[[Check Equiparado]:[Check Equiparado]]="Sí",IF(DATOS!BG$5="Sí",(1/DATOS_[[% anualiz]:[% anualiz]]),1)*IF(DATOS!BG$4="Sí",1/DATOS_[[% normaliz]:[% normaliz]],1)*(DATOS_[Conc.Sal.29])))))))),
0)</f>
        <v>0</v>
      </c>
      <c r="AM50" s="101">
        <f t="array" ref="AM50">IFERROR(
(AVERAGE((IF(DATOS_[[Sexo]:[Sexo]]=$B50,IF(DATOS_[[AGRUP. CLAS. PROF.]:[AGRUP. CLAS. PROF.]]=$B48,IF(DATOS_[[Check Periodo Ref.]:[Check Periodo Ref.]]="Dentro",IF(DATOS_[[Check Equiparado]:[Check Equiparado]]="Sí",IF(DATOS!BH$5="Sí",(1/DATOS_[[% anualiz]:[% anualiz]]),1)*IF(DATOS!BH$4="Sí",1/DATOS_[[% normaliz]:[% normaliz]],1)*(DATOS_[Conc.Sal.30])))))))),
0)</f>
        <v>0</v>
      </c>
      <c r="AN50" s="102">
        <f t="array" ref="AN50">IFERROR(
AVERAGE(IF(DATOS_[Sexo]=$B50,IF(DATOS_[[AGRUP. CLAS. PROF.]:[AGRUP. CLAS. PROF.]]=$B48,IF(DATOS_[Check Equiparado]="Sí",IF(DATOS_[Check Periodo Ref.]="Dentro",DATOS_[Tot COMPL.SAL Eq],FALSE))))),
0)</f>
        <v>0</v>
      </c>
      <c r="AO50" s="103">
        <f t="array" ref="AO50">IFERROR(
AVERAGE(IF(DATOS_[Sexo]=$B50,IF(DATOS_[[AGRUP. CLAS. PROF.]:[AGRUP. CLAS. PROF.]]=$B48,IF(DATOS_[Check Equiparado]="Sí",IF(DATOS_[Check Periodo Ref.]="Dentro",DATOS_[TOTAL SALARIO Eq],FALSE))))),
0)</f>
        <v>0</v>
      </c>
      <c r="AP50" s="104">
        <f t="array" ref="AP50">IFERROR(
(AVERAGE((IF(DATOS_[[Sexo]:[Sexo]]=$B50,IF(DATOS_[[AGRUP. CLAS. PROF.]:[AGRUP. CLAS. PROF.]]=$B48,IF(DATOS_[[Check Periodo Ref.]:[Check Periodo Ref.]]="Dentro",IF(DATOS_[[Check Equiparado]:[Check Equiparado]]="Sí",IF(DATOS!BI$5="Sí",(1/DATOS_[[% anualiz]:[% anualiz]]),1)*IF(DATOS!BI$4="Sí",1/DATOS_[[% normaliz]:[% normaliz]],1)*(DATOS_[C.Extra.01])))))))),
0)</f>
        <v>0</v>
      </c>
      <c r="AQ50" s="104">
        <f t="array" ref="AQ50">IFERROR(
(AVERAGE((IF(DATOS_[[Sexo]:[Sexo]]=$B50,IF(DATOS_[[AGRUP. CLAS. PROF.]:[AGRUP. CLAS. PROF.]]=$B48,IF(DATOS_[[Check Periodo Ref.]:[Check Periodo Ref.]]="Dentro",IF(DATOS_[[Check Equiparado]:[Check Equiparado]]="Sí",IF(DATOS!BJ$5="Sí",(1/DATOS_[[% anualiz]:[% anualiz]]),1)*IF(DATOS!BJ$4="Sí",1/DATOS_[[% normaliz]:[% normaliz]],1)*(DATOS_[C.Extra.02])))))))),
0)</f>
        <v>0</v>
      </c>
      <c r="AR50" s="104">
        <f t="array" ref="AR50">IFERROR(
(AVERAGE((IF(DATOS_[[Sexo]:[Sexo]]=$B50,IF(DATOS_[[AGRUP. CLAS. PROF.]:[AGRUP. CLAS. PROF.]]=$B48,IF(DATOS_[[Check Periodo Ref.]:[Check Periodo Ref.]]="Dentro",IF(DATOS_[[Check Equiparado]:[Check Equiparado]]="Sí",IF(DATOS!BK$5="Sí",(1/DATOS_[[% anualiz]:[% anualiz]]),1)*IF(DATOS!BK$4="Sí",1/DATOS_[[% normaliz]:[% normaliz]],1)*(DATOS_[C.Extra.03])))))))),
0)</f>
        <v>0</v>
      </c>
      <c r="AS50" s="104">
        <f t="array" ref="AS50">IFERROR(
(AVERAGE((IF(DATOS_[[Sexo]:[Sexo]]=$B50,IF(DATOS_[[AGRUP. CLAS. PROF.]:[AGRUP. CLAS. PROF.]]=$B48,IF(DATOS_[[Check Periodo Ref.]:[Check Periodo Ref.]]="Dentro",IF(DATOS_[[Check Equiparado]:[Check Equiparado]]="Sí",IF(DATOS!BL$5="Sí",(1/DATOS_[[% anualiz]:[% anualiz]]),1)*IF(DATOS!BL$4="Sí",1/DATOS_[[% normaliz]:[% normaliz]],1)*(DATOS_[C.Extra.04])))))))),
0)</f>
        <v>0</v>
      </c>
      <c r="AT50" s="104">
        <f t="array" ref="AT50">IFERROR(
(AVERAGE((IF(DATOS_[[Sexo]:[Sexo]]=$B50,IF(DATOS_[[AGRUP. CLAS. PROF.]:[AGRUP. CLAS. PROF.]]=$B48,IF(DATOS_[[Check Periodo Ref.]:[Check Periodo Ref.]]="Dentro",IF(DATOS_[[Check Equiparado]:[Check Equiparado]]="Sí",IF(DATOS!BM$5="Sí",(1/DATOS_[[% anualiz]:[% anualiz]]),1)*IF(DATOS!BM$4="Sí",1/DATOS_[[% normaliz]:[% normaliz]],1)*(DATOS_[C.Extra.05])))))))),
0)</f>
        <v>0</v>
      </c>
      <c r="AU50" s="105">
        <f t="array" ref="AU50">IFERROR(
AVERAGE(IF(DATOS_[Sexo]=$B50,IF(DATOS_[[AGRUP. CLAS. PROF.]:[AGRUP. CLAS. PROF.]]=$B48,IF(DATOS_[Check Equiparado]="Sí",IF(DATOS_[Check Periodo Ref.]="Dentro",DATOS_[Tot Extrasalarial Eq],FALSE))))),
0)</f>
        <v>0</v>
      </c>
      <c r="AV50" s="106">
        <f t="array" ref="AV50">IFERROR(
AVERAGE(IF(DATOS_[Sexo]=$B50,IF(DATOS_[[AGRUP. CLAS. PROF.]:[AGRUP. CLAS. PROF.]]=$B48,IF(DATOS_[Check Equiparado]="Sí",IF(DATOS_[Check Periodo Ref.]="Dentro",DATOS_[TOTAL Retrib Eq],FALSE))))),
0)</f>
        <v>0</v>
      </c>
    </row>
    <row r="51" spans="1:48" ht="17.25" hidden="1" thickBot="1" x14ac:dyDescent="0.35">
      <c r="A51" s="53" t="str">
        <f t="shared" ref="A51" si="51">+A52</f>
        <v>[ocultar]</v>
      </c>
      <c r="B51" s="62" t="s">
        <v>229</v>
      </c>
      <c r="C51" s="99"/>
      <c r="D51" s="63"/>
      <c r="E51" s="63"/>
      <c r="F51" s="63"/>
      <c r="G51" s="63"/>
      <c r="H51" s="63"/>
      <c r="I51" s="129" t="str">
        <f t="shared" ref="I51:AV51" si="52">IFERROR((I52-I53)/I52,"")</f>
        <v/>
      </c>
      <c r="J51" s="130" t="str">
        <f t="shared" si="52"/>
        <v/>
      </c>
      <c r="K51" s="131" t="str">
        <f t="shared" si="52"/>
        <v/>
      </c>
      <c r="L51" s="131" t="str">
        <f t="shared" si="52"/>
        <v/>
      </c>
      <c r="M51" s="131" t="str">
        <f t="shared" si="52"/>
        <v/>
      </c>
      <c r="N51" s="132" t="str">
        <f t="shared" si="52"/>
        <v/>
      </c>
      <c r="O51" s="133" t="str">
        <f t="shared" si="52"/>
        <v/>
      </c>
      <c r="P51" s="133" t="str">
        <f t="shared" si="52"/>
        <v/>
      </c>
      <c r="Q51" s="133" t="str">
        <f t="shared" si="52"/>
        <v/>
      </c>
      <c r="R51" s="133" t="str">
        <f t="shared" si="52"/>
        <v/>
      </c>
      <c r="S51" s="133" t="str">
        <f t="shared" si="52"/>
        <v/>
      </c>
      <c r="T51" s="133" t="str">
        <f t="shared" si="52"/>
        <v/>
      </c>
      <c r="U51" s="133" t="str">
        <f t="shared" si="52"/>
        <v/>
      </c>
      <c r="V51" s="133" t="str">
        <f t="shared" si="52"/>
        <v/>
      </c>
      <c r="W51" s="133" t="str">
        <f t="shared" si="52"/>
        <v/>
      </c>
      <c r="X51" s="133" t="str">
        <f t="shared" si="52"/>
        <v/>
      </c>
      <c r="Y51" s="133" t="str">
        <f t="shared" si="52"/>
        <v/>
      </c>
      <c r="Z51" s="132" t="str">
        <f t="shared" si="52"/>
        <v/>
      </c>
      <c r="AA51" s="132" t="str">
        <f t="shared" si="52"/>
        <v/>
      </c>
      <c r="AB51" s="132" t="str">
        <f t="shared" si="52"/>
        <v/>
      </c>
      <c r="AC51" s="132" t="str">
        <f t="shared" si="52"/>
        <v/>
      </c>
      <c r="AD51" s="132" t="str">
        <f t="shared" si="52"/>
        <v/>
      </c>
      <c r="AE51" s="132" t="str">
        <f t="shared" si="52"/>
        <v/>
      </c>
      <c r="AF51" s="132" t="str">
        <f t="shared" si="52"/>
        <v/>
      </c>
      <c r="AG51" s="132" t="str">
        <f t="shared" si="52"/>
        <v/>
      </c>
      <c r="AH51" s="132" t="str">
        <f t="shared" si="52"/>
        <v/>
      </c>
      <c r="AI51" s="132" t="str">
        <f t="shared" si="52"/>
        <v/>
      </c>
      <c r="AJ51" s="132" t="str">
        <f t="shared" si="52"/>
        <v/>
      </c>
      <c r="AK51" s="132" t="str">
        <f t="shared" si="52"/>
        <v/>
      </c>
      <c r="AL51" s="132" t="str">
        <f t="shared" si="52"/>
        <v/>
      </c>
      <c r="AM51" s="132" t="str">
        <f t="shared" si="52"/>
        <v/>
      </c>
      <c r="AN51" s="134" t="str">
        <f t="shared" si="52"/>
        <v/>
      </c>
      <c r="AO51" s="138" t="str">
        <f t="shared" si="52"/>
        <v/>
      </c>
      <c r="AP51" s="135" t="str">
        <f t="shared" si="52"/>
        <v/>
      </c>
      <c r="AQ51" s="135" t="str">
        <f t="shared" si="52"/>
        <v/>
      </c>
      <c r="AR51" s="135" t="str">
        <f t="shared" si="52"/>
        <v/>
      </c>
      <c r="AS51" s="135" t="str">
        <f t="shared" si="52"/>
        <v/>
      </c>
      <c r="AT51" s="135" t="str">
        <f t="shared" si="52"/>
        <v/>
      </c>
      <c r="AU51" s="136" t="str">
        <f t="shared" si="52"/>
        <v/>
      </c>
      <c r="AV51" s="137" t="str">
        <f t="shared" si="52"/>
        <v/>
      </c>
    </row>
    <row r="52" spans="1:48" hidden="1" x14ac:dyDescent="0.3">
      <c r="A52" s="53" t="str">
        <f t="shared" ref="A52" si="53">+IF(C52+C53=0,"[ocultar]","")</f>
        <v>[ocultar]</v>
      </c>
      <c r="B52" s="57" t="s">
        <v>162</v>
      </c>
      <c r="C52" s="56">
        <f t="array" ref="C52">SUM(IF($B52=DATOS_[Sexo],
IF($B51=DATOS_[AGRUP. CLAS. PROF.],
IF("Dentro"=DATOS_[Check Periodo Ref.],
1/(COUNTIFS(DATOS_[Sexo],$B52,DATOS_[AGRUP. CLAS. PROF.],$B51,DATOS_[Check Periodo Ref.],"Dentro",DATOS_[id],DATOS_[id]))))))</f>
        <v>0</v>
      </c>
      <c r="D52" s="58">
        <f>COUNTIFS(DATOS_[AGRUP. CLAS. PROF.],$B51,DATOS_[Sexo],$B52,DATOS_[Check Periodo Ref.],"Dentro")</f>
        <v>0</v>
      </c>
      <c r="E52" s="58">
        <f>COUNTIFS(DATOS_[AGRUP. CLAS. PROF.],$B51,DATOS_[Sexo],$B52,DATOS_[Check Periodo Ref.],"Dentro",DATOS_[Check Nº SC Norm],"Sí")</f>
        <v>0</v>
      </c>
      <c r="F52" s="58">
        <f>COUNTIFS(DATOS_[AGRUP. CLAS. PROF.],$B51,DATOS_[Sexo],$B52,DATOS_[Check Periodo Ref.],"Dentro",DATOS_[Check Nº SC Anualiz],"Sí")</f>
        <v>0</v>
      </c>
      <c r="G52" s="58">
        <f>COUNTIFS(DATOS_[AGRUP. CLAS. PROF.],$B51,DATOS_[Sexo],$B52,DATOS_[Check Periodo Ref.],"Dentro",DATOS_[Check Nº SC Norm y Anualiz],"Sí")</f>
        <v>0</v>
      </c>
      <c r="H52" s="58">
        <f>COUNTIFS(DATOS_[AGRUP. CLAS. PROF.],$B51,DATOS_[Sexo],$B52,DATOS_[Check Periodo Ref.],"Dentro",DATOS_[Check Equiparación],"Sí")</f>
        <v>0</v>
      </c>
      <c r="I52" s="100">
        <f t="array" ref="I52">IFERROR(
AVERAGE(IF(DATOS_[Sexo]=$B52,IF(DATOS_[[AGRUP. CLAS. PROF.]:[AGRUP. CLAS. PROF.]]=$B51,IF(DATOS_[Check Equiparado]="Sí",IF(DATOS_[Check Periodo Ref.]="Dentro",DATOS_[SALARIO BASE Eq],FALSE))))),
0)</f>
        <v>0</v>
      </c>
      <c r="J52" s="101">
        <f t="array" ref="J52">IFERROR(
(AVERAGE((IF(DATOS_[[Sexo]:[Sexo]]=$B52,IF(DATOS_[[AGRUP. CLAS. PROF.]:[AGRUP. CLAS. PROF.]]=$B51,IF(DATOS_[[Check Periodo Ref.]:[Check Periodo Ref.]]="Dentro",IF(DATOS_[[Check Equiparado]:[Check Equiparado]]="Sí",IF(DATOS!AE$5="Sí",(1/DATOS_[[% anualiz]:[% anualiz]]),1)*IF(DATOS!AE$4="Sí",1/DATOS_[[% normaliz]:[% normaliz]],1)*(DATOS_[Conc.Sal.01])))))))),
0)</f>
        <v>0</v>
      </c>
      <c r="K52" s="101">
        <f t="array" ref="K52">IFERROR(
(AVERAGE((IF(DATOS_[[Sexo]:[Sexo]]=$B52,IF(DATOS_[[AGRUP. CLAS. PROF.]:[AGRUP. CLAS. PROF.]]=$B51,IF(DATOS_[[Check Periodo Ref.]:[Check Periodo Ref.]]="Dentro",IF(DATOS_[[Check Equiparado]:[Check Equiparado]]="Sí",IF(DATOS!AF$5="Sí",(1/DATOS_[[% anualiz]:[% anualiz]]),1)*IF(DATOS!AF$4="Sí",1/DATOS_[[% normaliz]:[% normaliz]],1)*(DATOS_[Conc.Sal.02])))))))),
0)</f>
        <v>0</v>
      </c>
      <c r="L52" s="101">
        <f t="array" ref="L52">IFERROR(
(AVERAGE((IF(DATOS_[[Sexo]:[Sexo]]=$B52,IF(DATOS_[[AGRUP. CLAS. PROF.]:[AGRUP. CLAS. PROF.]]=$B51,IF(DATOS_[[Check Periodo Ref.]:[Check Periodo Ref.]]="Dentro",IF(DATOS_[[Check Equiparado]:[Check Equiparado]]="Sí",IF(DATOS!AG$5="Sí",(1/DATOS_[[% anualiz]:[% anualiz]]),1)*IF(DATOS!AG$4="Sí",1/DATOS_[[% normaliz]:[% normaliz]],1)*(DATOS_[Conc.Sal.03])))))))),
0)</f>
        <v>0</v>
      </c>
      <c r="M52" s="101">
        <f t="array" ref="M52">IFERROR(
(AVERAGE((IF(DATOS_[[Sexo]:[Sexo]]=$B52,IF(DATOS_[[AGRUP. CLAS. PROF.]:[AGRUP. CLAS. PROF.]]=$B51,IF(DATOS_[[Check Periodo Ref.]:[Check Periodo Ref.]]="Dentro",IF(DATOS_[[Check Equiparado]:[Check Equiparado]]="Sí",IF(DATOS!AH$5="Sí",(1/DATOS_[[% anualiz]:[% anualiz]]),1)*IF(DATOS!AH$4="Sí",1/DATOS_[[% normaliz]:[% normaliz]],1)*(DATOS_[Conc.Sal.04])))))))),
0)</f>
        <v>0</v>
      </c>
      <c r="N52" s="101">
        <f t="array" ref="N52">IFERROR(
(AVERAGE((IF(DATOS_[[Sexo]:[Sexo]]=$B52,IF(DATOS_[[AGRUP. CLAS. PROF.]:[AGRUP. CLAS. PROF.]]=$B51,IF(DATOS_[[Check Periodo Ref.]:[Check Periodo Ref.]]="Dentro",IF(DATOS_[[Check Equiparado]:[Check Equiparado]]="Sí",IF(DATOS!AI$5="Sí",(1/DATOS_[[% anualiz]:[% anualiz]]),1)*IF(DATOS!AI$4="Sí",1/DATOS_[[% normaliz]:[% normaliz]],1)*(DATOS_[Conc.Sal.05])))))))),
0)</f>
        <v>0</v>
      </c>
      <c r="O52" s="101">
        <f t="array" ref="O52">IFERROR(
(AVERAGE((IF(DATOS_[[Sexo]:[Sexo]]=$B52,IF(DATOS_[[AGRUP. CLAS. PROF.]:[AGRUP. CLAS. PROF.]]=$B51,IF(DATOS_[[Check Periodo Ref.]:[Check Periodo Ref.]]="Dentro",IF(DATOS_[[Check Equiparado]:[Check Equiparado]]="Sí",IF(DATOS!AJ$5="Sí",(1/DATOS_[[% anualiz]:[% anualiz]]),1)*IF(DATOS!AJ$4="Sí",1/DATOS_[[% normaliz]:[% normaliz]],1)*(DATOS_[Conc.Sal.06])))))))),
0)</f>
        <v>0</v>
      </c>
      <c r="P52" s="101">
        <f t="array" ref="P52">IFERROR(
(AVERAGE((IF(DATOS_[[Sexo]:[Sexo]]=$B52,IF(DATOS_[[AGRUP. CLAS. PROF.]:[AGRUP. CLAS. PROF.]]=$B51,IF(DATOS_[[Check Periodo Ref.]:[Check Periodo Ref.]]="Dentro",IF(DATOS_[[Check Equiparado]:[Check Equiparado]]="Sí",IF(DATOS!AK$5="Sí",(1/DATOS_[[% anualiz]:[% anualiz]]),1)*IF(DATOS!AK$4="Sí",1/DATOS_[[% normaliz]:[% normaliz]],1)*(DATOS_[Conc.Sal.07])))))))),
0)</f>
        <v>0</v>
      </c>
      <c r="Q52" s="101">
        <f t="array" ref="Q52">IFERROR(
(AVERAGE((IF(DATOS_[[Sexo]:[Sexo]]=$B52,IF(DATOS_[[AGRUP. CLAS. PROF.]:[AGRUP. CLAS. PROF.]]=$B51,IF(DATOS_[[Check Periodo Ref.]:[Check Periodo Ref.]]="Dentro",IF(DATOS_[[Check Equiparado]:[Check Equiparado]]="Sí",IF(DATOS!AL$5="Sí",(1/DATOS_[[% anualiz]:[% anualiz]]),1)*IF(DATOS!AL$4="Sí",1/DATOS_[[% normaliz]:[% normaliz]],1)*(DATOS_[Conc.Sal.08])))))))),
0)</f>
        <v>0</v>
      </c>
      <c r="R52" s="101">
        <f t="array" ref="R52">IFERROR(
(AVERAGE((IF(DATOS_[[Sexo]:[Sexo]]=$B52,IF(DATOS_[[AGRUP. CLAS. PROF.]:[AGRUP. CLAS. PROF.]]=$B51,IF(DATOS_[[Check Periodo Ref.]:[Check Periodo Ref.]]="Dentro",IF(DATOS_[[Check Equiparado]:[Check Equiparado]]="Sí",IF(DATOS!AM$5="Sí",(1/DATOS_[[% anualiz]:[% anualiz]]),1)*IF(DATOS!AM$4="Sí",1/DATOS_[[% normaliz]:[% normaliz]],1)*(DATOS_[Conc.Sal.09])))))))),
0)</f>
        <v>0</v>
      </c>
      <c r="S52" s="101">
        <f t="array" ref="S52">IFERROR(
(AVERAGE((IF(DATOS_[[Sexo]:[Sexo]]=$B52,IF(DATOS_[[AGRUP. CLAS. PROF.]:[AGRUP. CLAS. PROF.]]=$B51,IF(DATOS_[[Check Periodo Ref.]:[Check Periodo Ref.]]="Dentro",IF(DATOS_[[Check Equiparado]:[Check Equiparado]]="Sí",IF(DATOS!AN$5="Sí",(1/DATOS_[[% anualiz]:[% anualiz]]),1)*IF(DATOS!AN$4="Sí",1/DATOS_[[% normaliz]:[% normaliz]],1)*(DATOS_[Conc.Sal.10])))))))),
0)</f>
        <v>0</v>
      </c>
      <c r="T52" s="101">
        <f t="array" ref="T52">IFERROR(
(AVERAGE((IF(DATOS_[[Sexo]:[Sexo]]=$B52,IF(DATOS_[[AGRUP. CLAS. PROF.]:[AGRUP. CLAS. PROF.]]=$B51,IF(DATOS_[[Check Periodo Ref.]:[Check Periodo Ref.]]="Dentro",IF(DATOS_[[Check Equiparado]:[Check Equiparado]]="Sí",IF(DATOS!AO$5="Sí",(1/DATOS_[[% anualiz]:[% anualiz]]),1)*IF(DATOS!AO$4="Sí",1/DATOS_[[% normaliz]:[% normaliz]],1)*(DATOS_[Conc.Sal.11])))))))),
0)</f>
        <v>0</v>
      </c>
      <c r="U52" s="101">
        <f t="array" ref="U52">IFERROR(
(AVERAGE((IF(DATOS_[[Sexo]:[Sexo]]=$B52,IF(DATOS_[[AGRUP. CLAS. PROF.]:[AGRUP. CLAS. PROF.]]=$B51,IF(DATOS_[[Check Periodo Ref.]:[Check Periodo Ref.]]="Dentro",IF(DATOS_[[Check Equiparado]:[Check Equiparado]]="Sí",IF(DATOS!AP$5="Sí",(1/DATOS_[[% anualiz]:[% anualiz]]),1)*IF(DATOS!AP$4="Sí",1/DATOS_[[% normaliz]:[% normaliz]],1)*(DATOS_[Conc.Sal.12])))))))),
0)</f>
        <v>0</v>
      </c>
      <c r="V52" s="101">
        <f t="array" ref="V52">IFERROR(
(AVERAGE((IF(DATOS_[[Sexo]:[Sexo]]=$B52,IF(DATOS_[[AGRUP. CLAS. PROF.]:[AGRUP. CLAS. PROF.]]=$B51,IF(DATOS_[[Check Periodo Ref.]:[Check Periodo Ref.]]="Dentro",IF(DATOS_[[Check Equiparado]:[Check Equiparado]]="Sí",IF(DATOS!AQ$5="Sí",(1/DATOS_[[% anualiz]:[% anualiz]]),1)*IF(DATOS!AQ$4="Sí",1/DATOS_[[% normaliz]:[% normaliz]],1)*(DATOS_[Conc.Sal.13])))))))),
0)</f>
        <v>0</v>
      </c>
      <c r="W52" s="101">
        <f t="array" ref="W52">IFERROR(
(AVERAGE((IF(DATOS_[[Sexo]:[Sexo]]=$B52,IF(DATOS_[[AGRUP. CLAS. PROF.]:[AGRUP. CLAS. PROF.]]=$B51,IF(DATOS_[[Check Periodo Ref.]:[Check Periodo Ref.]]="Dentro",IF(DATOS_[[Check Equiparado]:[Check Equiparado]]="Sí",IF(DATOS!AR$5="Sí",(1/DATOS_[[% anualiz]:[% anualiz]]),1)*IF(DATOS!AR$4="Sí",1/DATOS_[[% normaliz]:[% normaliz]],1)*(DATOS_[Conc.Sal.14])))))))),
0)</f>
        <v>0</v>
      </c>
      <c r="X52" s="101">
        <f t="array" ref="X52">IFERROR(
(AVERAGE((IF(DATOS_[[Sexo]:[Sexo]]=$B52,IF(DATOS_[[AGRUP. CLAS. PROF.]:[AGRUP. CLAS. PROF.]]=$B51,IF(DATOS_[[Check Periodo Ref.]:[Check Periodo Ref.]]="Dentro",IF(DATOS_[[Check Equiparado]:[Check Equiparado]]="Sí",IF(DATOS!AS$5="Sí",(1/DATOS_[[% anualiz]:[% anualiz]]),1)*IF(DATOS!AS$4="Sí",1/DATOS_[[% normaliz]:[% normaliz]],1)*(DATOS_[Conc.Sal.15])))))))),
0)</f>
        <v>0</v>
      </c>
      <c r="Y52" s="101">
        <f t="array" ref="Y52">IFERROR(
(AVERAGE((IF(DATOS_[[Sexo]:[Sexo]]=$B52,IF(DATOS_[[AGRUP. CLAS. PROF.]:[AGRUP. CLAS. PROF.]]=$B51,IF(DATOS_[[Check Periodo Ref.]:[Check Periodo Ref.]]="Dentro",IF(DATOS_[[Check Equiparado]:[Check Equiparado]]="Sí",IF(DATOS!AT$5="Sí",(1/DATOS_[[% anualiz]:[% anualiz]]),1)*IF(DATOS!AT$4="Sí",1/DATOS_[[% normaliz]:[% normaliz]],1)*(DATOS_[Conc.Sal.16])))))))),
0)</f>
        <v>0</v>
      </c>
      <c r="Z52" s="101">
        <f t="array" ref="Z52">IFERROR(
(AVERAGE((IF(DATOS_[[Sexo]:[Sexo]]=$B52,IF(DATOS_[[AGRUP. CLAS. PROF.]:[AGRUP. CLAS. PROF.]]=$B51,IF(DATOS_[[Check Periodo Ref.]:[Check Periodo Ref.]]="Dentro",IF(DATOS_[[Check Equiparado]:[Check Equiparado]]="Sí",IF(DATOS!AU$5="Sí",(1/DATOS_[[% anualiz]:[% anualiz]]),1)*IF(DATOS!AU$4="Sí",1/DATOS_[[% normaliz]:[% normaliz]],1)*(DATOS_[Conc.Sal.17])))))))),
0)</f>
        <v>0</v>
      </c>
      <c r="AA52" s="101">
        <f t="array" ref="AA52">IFERROR(
(AVERAGE((IF(DATOS_[[Sexo]:[Sexo]]=$B52,IF(DATOS_[[AGRUP. CLAS. PROF.]:[AGRUP. CLAS. PROF.]]=$B51,IF(DATOS_[[Check Periodo Ref.]:[Check Periodo Ref.]]="Dentro",IF(DATOS_[[Check Equiparado]:[Check Equiparado]]="Sí",IF(DATOS!AV$5="Sí",(1/DATOS_[[% anualiz]:[% anualiz]]),1)*IF(DATOS!AV$4="Sí",1/DATOS_[[% normaliz]:[% normaliz]],1)*(DATOS_[Conc.Sal.18])))))))),
0)</f>
        <v>0</v>
      </c>
      <c r="AB52" s="101">
        <f t="array" ref="AB52">IFERROR(
(AVERAGE((IF(DATOS_[[Sexo]:[Sexo]]=$B52,IF(DATOS_[[AGRUP. CLAS. PROF.]:[AGRUP. CLAS. PROF.]]=$B51,IF(DATOS_[[Check Periodo Ref.]:[Check Periodo Ref.]]="Dentro",IF(DATOS_[[Check Equiparado]:[Check Equiparado]]="Sí",IF(DATOS!AW$5="Sí",(1/DATOS_[[% anualiz]:[% anualiz]]),1)*IF(DATOS!AW$4="Sí",1/DATOS_[[% normaliz]:[% normaliz]],1)*(DATOS_[Conc.Sal.19])))))))),
0)</f>
        <v>0</v>
      </c>
      <c r="AC52" s="101">
        <f t="array" ref="AC52">IFERROR(
(AVERAGE((IF(DATOS_[[Sexo]:[Sexo]]=$B52,IF(DATOS_[[AGRUP. CLAS. PROF.]:[AGRUP. CLAS. PROF.]]=$B51,IF(DATOS_[[Check Periodo Ref.]:[Check Periodo Ref.]]="Dentro",IF(DATOS_[[Check Equiparado]:[Check Equiparado]]="Sí",IF(DATOS!AX$5="Sí",(1/DATOS_[[% anualiz]:[% anualiz]]),1)*IF(DATOS!AX$4="Sí",1/DATOS_[[% normaliz]:[% normaliz]],1)*(DATOS_[Conc.Sal.20])))))))),
0)</f>
        <v>0</v>
      </c>
      <c r="AD52" s="101">
        <f t="array" ref="AD52">IFERROR(
(AVERAGE((IF(DATOS_[[Sexo]:[Sexo]]=$B52,IF(DATOS_[[AGRUP. CLAS. PROF.]:[AGRUP. CLAS. PROF.]]=$B51,IF(DATOS_[[Check Periodo Ref.]:[Check Periodo Ref.]]="Dentro",IF(DATOS_[[Check Equiparado]:[Check Equiparado]]="Sí",IF(DATOS!AY$5="Sí",(1/DATOS_[[% anualiz]:[% anualiz]]),1)*IF(DATOS!AY$4="Sí",1/DATOS_[[% normaliz]:[% normaliz]],1)*(DATOS_[Conc.Sal.21])))))))),
0)</f>
        <v>0</v>
      </c>
      <c r="AE52" s="101">
        <f t="array" ref="AE52">IFERROR(
(AVERAGE((IF(DATOS_[[Sexo]:[Sexo]]=$B52,IF(DATOS_[[AGRUP. CLAS. PROF.]:[AGRUP. CLAS. PROF.]]=$B51,IF(DATOS_[[Check Periodo Ref.]:[Check Periodo Ref.]]="Dentro",IF(DATOS_[[Check Equiparado]:[Check Equiparado]]="Sí",IF(DATOS!AZ$5="Sí",(1/DATOS_[[% anualiz]:[% anualiz]]),1)*IF(DATOS!AZ$4="Sí",1/DATOS_[[% normaliz]:[% normaliz]],1)*(DATOS_[Conc.Sal.22])))))))),
0)</f>
        <v>0</v>
      </c>
      <c r="AF52" s="101">
        <f t="array" ref="AF52">IFERROR(
(AVERAGE((IF(DATOS_[[Sexo]:[Sexo]]=$B52,IF(DATOS_[[AGRUP. CLAS. PROF.]:[AGRUP. CLAS. PROF.]]=$B51,IF(DATOS_[[Check Periodo Ref.]:[Check Periodo Ref.]]="Dentro",IF(DATOS_[[Check Equiparado]:[Check Equiparado]]="Sí",IF(DATOS!BA$5="Sí",(1/DATOS_[[% anualiz]:[% anualiz]]),1)*IF(DATOS!BA$4="Sí",1/DATOS_[[% normaliz]:[% normaliz]],1)*(DATOS_[Conc.Sal.23])))))))),
0)</f>
        <v>0</v>
      </c>
      <c r="AG52" s="101">
        <f t="array" ref="AG52">IFERROR(
(AVERAGE((IF(DATOS_[[Sexo]:[Sexo]]=$B52,IF(DATOS_[[AGRUP. CLAS. PROF.]:[AGRUP. CLAS. PROF.]]=$B51,IF(DATOS_[[Check Periodo Ref.]:[Check Periodo Ref.]]="Dentro",IF(DATOS_[[Check Equiparado]:[Check Equiparado]]="Sí",IF(DATOS!BB$5="Sí",(1/DATOS_[[% anualiz]:[% anualiz]]),1)*IF(DATOS!BB$4="Sí",1/DATOS_[[% normaliz]:[% normaliz]],1)*(DATOS_[Conc.Sal.24])))))))),
0)</f>
        <v>0</v>
      </c>
      <c r="AH52" s="101">
        <f t="array" ref="AH52">IFERROR(
(AVERAGE((IF(DATOS_[[Sexo]:[Sexo]]=$B52,IF(DATOS_[[AGRUP. CLAS. PROF.]:[AGRUP. CLAS. PROF.]]=$B51,IF(DATOS_[[Check Periodo Ref.]:[Check Periodo Ref.]]="Dentro",IF(DATOS_[[Check Equiparado]:[Check Equiparado]]="Sí",IF(DATOS!BC$5="Sí",(1/DATOS_[[% anualiz]:[% anualiz]]),1)*IF(DATOS!BC$4="Sí",1/DATOS_[[% normaliz]:[% normaliz]],1)*(DATOS_[Conc.Sal.25])))))))),
0)</f>
        <v>0</v>
      </c>
      <c r="AI52" s="101">
        <f t="array" ref="AI52">IFERROR(
(AVERAGE((IF(DATOS_[[Sexo]:[Sexo]]=$B52,IF(DATOS_[[AGRUP. CLAS. PROF.]:[AGRUP. CLAS. PROF.]]=$B51,IF(DATOS_[[Check Periodo Ref.]:[Check Periodo Ref.]]="Dentro",IF(DATOS_[[Check Equiparado]:[Check Equiparado]]="Sí",IF(DATOS!BD$5="Sí",(1/DATOS_[[% anualiz]:[% anualiz]]),1)*IF(DATOS!BD$4="Sí",1/DATOS_[[% normaliz]:[% normaliz]],1)*(DATOS_[Conc.Sal.26])))))))),
0)</f>
        <v>0</v>
      </c>
      <c r="AJ52" s="101">
        <f t="array" ref="AJ52">IFERROR(
(AVERAGE((IF(DATOS_[[Sexo]:[Sexo]]=$B52,IF(DATOS_[[AGRUP. CLAS. PROF.]:[AGRUP. CLAS. PROF.]]=$B51,IF(DATOS_[[Check Periodo Ref.]:[Check Periodo Ref.]]="Dentro",IF(DATOS_[[Check Equiparado]:[Check Equiparado]]="Sí",IF(DATOS!BE$5="Sí",(1/DATOS_[[% anualiz]:[% anualiz]]),1)*IF(DATOS!BE$4="Sí",1/DATOS_[[% normaliz]:[% normaliz]],1)*(DATOS_[Conc.Sal.27])))))))),
0)</f>
        <v>0</v>
      </c>
      <c r="AK52" s="101">
        <f t="array" ref="AK52">IFERROR(
(AVERAGE((IF(DATOS_[[Sexo]:[Sexo]]=$B52,IF(DATOS_[[AGRUP. CLAS. PROF.]:[AGRUP. CLAS. PROF.]]=$B51,IF(DATOS_[[Check Periodo Ref.]:[Check Periodo Ref.]]="Dentro",IF(DATOS_[[Check Equiparado]:[Check Equiparado]]="Sí",IF(DATOS!BF$5="Sí",(1/DATOS_[[% anualiz]:[% anualiz]]),1)*IF(DATOS!BF$4="Sí",1/DATOS_[[% normaliz]:[% normaliz]],1)*(DATOS_[Conc.Sal.28])))))))),
0)</f>
        <v>0</v>
      </c>
      <c r="AL52" s="101">
        <f t="array" ref="AL52">IFERROR(
(AVERAGE((IF(DATOS_[[Sexo]:[Sexo]]=$B52,IF(DATOS_[[AGRUP. CLAS. PROF.]:[AGRUP. CLAS. PROF.]]=$B51,IF(DATOS_[[Check Periodo Ref.]:[Check Periodo Ref.]]="Dentro",IF(DATOS_[[Check Equiparado]:[Check Equiparado]]="Sí",IF(DATOS!BG$5="Sí",(1/DATOS_[[% anualiz]:[% anualiz]]),1)*IF(DATOS!BG$4="Sí",1/DATOS_[[% normaliz]:[% normaliz]],1)*(DATOS_[Conc.Sal.29])))))))),
0)</f>
        <v>0</v>
      </c>
      <c r="AM52" s="101">
        <f t="array" ref="AM52">IFERROR(
(AVERAGE((IF(DATOS_[[Sexo]:[Sexo]]=$B52,IF(DATOS_[[AGRUP. CLAS. PROF.]:[AGRUP. CLAS. PROF.]]=$B51,IF(DATOS_[[Check Periodo Ref.]:[Check Periodo Ref.]]="Dentro",IF(DATOS_[[Check Equiparado]:[Check Equiparado]]="Sí",IF(DATOS!BH$5="Sí",(1/DATOS_[[% anualiz]:[% anualiz]]),1)*IF(DATOS!BH$4="Sí",1/DATOS_[[% normaliz]:[% normaliz]],1)*(DATOS_[Conc.Sal.30])))))))),
0)</f>
        <v>0</v>
      </c>
      <c r="AN52" s="102">
        <f t="array" ref="AN52">IFERROR(
AVERAGE(IF(DATOS_[Sexo]=$B52,IF(DATOS_[[AGRUP. CLAS. PROF.]:[AGRUP. CLAS. PROF.]]=$B51,IF(DATOS_[Check Equiparado]="Sí",IF(DATOS_[Check Periodo Ref.]="Dentro",DATOS_[Tot COMPL.SAL Eq],FALSE))))),
0)</f>
        <v>0</v>
      </c>
      <c r="AO52" s="103">
        <f t="array" ref="AO52">IFERROR(
AVERAGE(IF(DATOS_[Sexo]=$B52,IF(DATOS_[[AGRUP. CLAS. PROF.]:[AGRUP. CLAS. PROF.]]=$B51,IF(DATOS_[Check Equiparado]="Sí",IF(DATOS_[Check Periodo Ref.]="Dentro",DATOS_[TOTAL SALARIO Eq],FALSE))))),
0)</f>
        <v>0</v>
      </c>
      <c r="AP52" s="104">
        <f t="array" ref="AP52">IFERROR(
(AVERAGE((IF(DATOS_[[Sexo]:[Sexo]]=$B52,IF(DATOS_[[AGRUP. CLAS. PROF.]:[AGRUP. CLAS. PROF.]]=$B51,IF(DATOS_[[Check Periodo Ref.]:[Check Periodo Ref.]]="Dentro",IF(DATOS_[[Check Equiparado]:[Check Equiparado]]="Sí",IF(DATOS!BI$5="Sí",(1/DATOS_[[% anualiz]:[% anualiz]]),1)*IF(DATOS!BI$4="Sí",1/DATOS_[[% normaliz]:[% normaliz]],1)*(DATOS_[C.Extra.01])))))))),
0)</f>
        <v>0</v>
      </c>
      <c r="AQ52" s="104">
        <f t="array" ref="AQ52">IFERROR(
(AVERAGE((IF(DATOS_[[Sexo]:[Sexo]]=$B52,IF(DATOS_[[AGRUP. CLAS. PROF.]:[AGRUP. CLAS. PROF.]]=$B51,IF(DATOS_[[Check Periodo Ref.]:[Check Periodo Ref.]]="Dentro",IF(DATOS_[[Check Equiparado]:[Check Equiparado]]="Sí",IF(DATOS!BJ$5="Sí",(1/DATOS_[[% anualiz]:[% anualiz]]),1)*IF(DATOS!BJ$4="Sí",1/DATOS_[[% normaliz]:[% normaliz]],1)*(DATOS_[C.Extra.02])))))))),
0)</f>
        <v>0</v>
      </c>
      <c r="AR52" s="104">
        <f t="array" ref="AR52">IFERROR(
(AVERAGE((IF(DATOS_[[Sexo]:[Sexo]]=$B52,IF(DATOS_[[AGRUP. CLAS. PROF.]:[AGRUP. CLAS. PROF.]]=$B51,IF(DATOS_[[Check Periodo Ref.]:[Check Periodo Ref.]]="Dentro",IF(DATOS_[[Check Equiparado]:[Check Equiparado]]="Sí",IF(DATOS!BK$5="Sí",(1/DATOS_[[% anualiz]:[% anualiz]]),1)*IF(DATOS!BK$4="Sí",1/DATOS_[[% normaliz]:[% normaliz]],1)*(DATOS_[C.Extra.03])))))))),
0)</f>
        <v>0</v>
      </c>
      <c r="AS52" s="104">
        <f t="array" ref="AS52">IFERROR(
(AVERAGE((IF(DATOS_[[Sexo]:[Sexo]]=$B52,IF(DATOS_[[AGRUP. CLAS. PROF.]:[AGRUP. CLAS. PROF.]]=$B51,IF(DATOS_[[Check Periodo Ref.]:[Check Periodo Ref.]]="Dentro",IF(DATOS_[[Check Equiparado]:[Check Equiparado]]="Sí",IF(DATOS!BL$5="Sí",(1/DATOS_[[% anualiz]:[% anualiz]]),1)*IF(DATOS!BL$4="Sí",1/DATOS_[[% normaliz]:[% normaliz]],1)*(DATOS_[C.Extra.04])))))))),
0)</f>
        <v>0</v>
      </c>
      <c r="AT52" s="104">
        <f t="array" ref="AT52">IFERROR(
(AVERAGE((IF(DATOS_[[Sexo]:[Sexo]]=$B52,IF(DATOS_[[AGRUP. CLAS. PROF.]:[AGRUP. CLAS. PROF.]]=$B51,IF(DATOS_[[Check Periodo Ref.]:[Check Periodo Ref.]]="Dentro",IF(DATOS_[[Check Equiparado]:[Check Equiparado]]="Sí",IF(DATOS!BM$5="Sí",(1/DATOS_[[% anualiz]:[% anualiz]]),1)*IF(DATOS!BM$4="Sí",1/DATOS_[[% normaliz]:[% normaliz]],1)*(DATOS_[C.Extra.05])))))))),
0)</f>
        <v>0</v>
      </c>
      <c r="AU52" s="105">
        <f t="array" ref="AU52">IFERROR(
AVERAGE(IF(DATOS_[Sexo]=$B52,IF(DATOS_[[AGRUP. CLAS. PROF.]:[AGRUP. CLAS. PROF.]]=$B51,IF(DATOS_[Check Equiparado]="Sí",IF(DATOS_[Check Periodo Ref.]="Dentro",DATOS_[Tot Extrasalarial Eq],FALSE))))),
0)</f>
        <v>0</v>
      </c>
      <c r="AV52" s="106">
        <f t="array" ref="AV52">IFERROR(
AVERAGE(IF(DATOS_[Sexo]=$B52,IF(DATOS_[[AGRUP. CLAS. PROF.]:[AGRUP. CLAS. PROF.]]=$B51,IF(DATOS_[Check Equiparado]="Sí",IF(DATOS_[Check Periodo Ref.]="Dentro",DATOS_[TOTAL Retrib Eq],FALSE))))),
0)</f>
        <v>0</v>
      </c>
    </row>
    <row r="53" spans="1:48" hidden="1" x14ac:dyDescent="0.3">
      <c r="A53" s="53" t="str">
        <f t="shared" ref="A53" si="54">+A52</f>
        <v>[ocultar]</v>
      </c>
      <c r="B53" s="57" t="s">
        <v>163</v>
      </c>
      <c r="C53" s="56">
        <f t="array" ref="C53">SUM(IF($B53=DATOS_[Sexo],
IF($B51=DATOS_[AGRUP. CLAS. PROF.],
IF("Dentro"=DATOS_[Check Periodo Ref.],
1/(COUNTIFS(DATOS_[Sexo],$B53,DATOS_[AGRUP. CLAS. PROF.],$B51,DATOS_[Check Periodo Ref.],"Dentro",DATOS_[id],DATOS_[id]))))))</f>
        <v>0</v>
      </c>
      <c r="D53" s="58">
        <f>COUNTIFS(DATOS_[AGRUP. CLAS. PROF.],$B51,DATOS_[Sexo],$B53,DATOS_[Check Periodo Ref.],"Dentro")</f>
        <v>0</v>
      </c>
      <c r="E53" s="58">
        <f>COUNTIFS(DATOS_[AGRUP. CLAS. PROF.],$B51,DATOS_[Sexo],$B53,DATOS_[Check Periodo Ref.],"Dentro",DATOS_[Check Nº SC Norm],"Sí")</f>
        <v>0</v>
      </c>
      <c r="F53" s="58">
        <f>COUNTIFS(DATOS_[AGRUP. CLAS. PROF.],$B51,DATOS_[Sexo],$B53,DATOS_[Check Periodo Ref.],"Dentro",DATOS_[Check Nº SC Anualiz],"Sí")</f>
        <v>0</v>
      </c>
      <c r="G53" s="58">
        <f>COUNTIFS(DATOS_[AGRUP. CLAS. PROF.],$B51,DATOS_[Sexo],$B53,DATOS_[Check Periodo Ref.],"Dentro",DATOS_[Check Nº SC Norm y Anualiz],"Sí")</f>
        <v>0</v>
      </c>
      <c r="H53" s="58">
        <f>COUNTIFS(DATOS_[AGRUP. CLAS. PROF.],$B51,DATOS_[Sexo],$B53,DATOS_[Check Periodo Ref.],"Dentro",DATOS_[Check Equiparación],"Sí")</f>
        <v>0</v>
      </c>
      <c r="I53" s="100" cm="1">
        <f t="array" ref="I53">IFERROR(
AVERAGE(IF(DATOS_[Sexo]=$B53,IF(DATOS_[[AGRUP. CLAS. PROF.]:[AGRUP. CLAS. PROF.]]=$B51,IF(DATOS_[Check Equiparado]="Sí",IF(DATOS_[Check Periodo Ref.]="Dentro",DATOS_[SALARIO BASE Eq],FALSE))))),
0)</f>
        <v>0</v>
      </c>
      <c r="J53" s="101">
        <f t="array" ref="J53">IFERROR(
(AVERAGE((IF(DATOS_[[Sexo]:[Sexo]]=$B53,IF(DATOS_[[AGRUP. CLAS. PROF.]:[AGRUP. CLAS. PROF.]]=$B51,IF(DATOS_[[Check Periodo Ref.]:[Check Periodo Ref.]]="Dentro",IF(DATOS_[[Check Equiparado]:[Check Equiparado]]="Sí",IF(DATOS!AE$5="Sí",(1/DATOS_[[% anualiz]:[% anualiz]]),1)*IF(DATOS!AE$4="Sí",1/DATOS_[[% normaliz]:[% normaliz]],1)*(DATOS_[Conc.Sal.01])))))))),
0)</f>
        <v>0</v>
      </c>
      <c r="K53" s="101">
        <f t="array" ref="K53">IFERROR(
(AVERAGE((IF(DATOS_[[Sexo]:[Sexo]]=$B53,IF(DATOS_[[AGRUP. CLAS. PROF.]:[AGRUP. CLAS. PROF.]]=$B51,IF(DATOS_[[Check Periodo Ref.]:[Check Periodo Ref.]]="Dentro",IF(DATOS_[[Check Equiparado]:[Check Equiparado]]="Sí",IF(DATOS!AF$5="Sí",(1/DATOS_[[% anualiz]:[% anualiz]]),1)*IF(DATOS!AF$4="Sí",1/DATOS_[[% normaliz]:[% normaliz]],1)*(DATOS_[Conc.Sal.02])))))))),
0)</f>
        <v>0</v>
      </c>
      <c r="L53" s="101">
        <f t="array" ref="L53">IFERROR(
(AVERAGE((IF(DATOS_[[Sexo]:[Sexo]]=$B53,IF(DATOS_[[AGRUP. CLAS. PROF.]:[AGRUP. CLAS. PROF.]]=$B51,IF(DATOS_[[Check Periodo Ref.]:[Check Periodo Ref.]]="Dentro",IF(DATOS_[[Check Equiparado]:[Check Equiparado]]="Sí",IF(DATOS!AG$5="Sí",(1/DATOS_[[% anualiz]:[% anualiz]]),1)*IF(DATOS!AG$4="Sí",1/DATOS_[[% normaliz]:[% normaliz]],1)*(DATOS_[Conc.Sal.03])))))))),
0)</f>
        <v>0</v>
      </c>
      <c r="M53" s="101">
        <f t="array" ref="M53">IFERROR(
(AVERAGE((IF(DATOS_[[Sexo]:[Sexo]]=$B53,IF(DATOS_[[AGRUP. CLAS. PROF.]:[AGRUP. CLAS. PROF.]]=$B51,IF(DATOS_[[Check Periodo Ref.]:[Check Periodo Ref.]]="Dentro",IF(DATOS_[[Check Equiparado]:[Check Equiparado]]="Sí",IF(DATOS!AH$5="Sí",(1/DATOS_[[% anualiz]:[% anualiz]]),1)*IF(DATOS!AH$4="Sí",1/DATOS_[[% normaliz]:[% normaliz]],1)*(DATOS_[Conc.Sal.04])))))))),
0)</f>
        <v>0</v>
      </c>
      <c r="N53" s="101">
        <f t="array" ref="N53">IFERROR(
(AVERAGE((IF(DATOS_[[Sexo]:[Sexo]]=$B53,IF(DATOS_[[AGRUP. CLAS. PROF.]:[AGRUP. CLAS. PROF.]]=$B51,IF(DATOS_[[Check Periodo Ref.]:[Check Periodo Ref.]]="Dentro",IF(DATOS_[[Check Equiparado]:[Check Equiparado]]="Sí",IF(DATOS!AI$5="Sí",(1/DATOS_[[% anualiz]:[% anualiz]]),1)*IF(DATOS!AI$4="Sí",1/DATOS_[[% normaliz]:[% normaliz]],1)*(DATOS_[Conc.Sal.05])))))))),
0)</f>
        <v>0</v>
      </c>
      <c r="O53" s="101">
        <f t="array" ref="O53">IFERROR(
(AVERAGE((IF(DATOS_[[Sexo]:[Sexo]]=$B53,IF(DATOS_[[AGRUP. CLAS. PROF.]:[AGRUP. CLAS. PROF.]]=$B51,IF(DATOS_[[Check Periodo Ref.]:[Check Periodo Ref.]]="Dentro",IF(DATOS_[[Check Equiparado]:[Check Equiparado]]="Sí",IF(DATOS!AJ$5="Sí",(1/DATOS_[[% anualiz]:[% anualiz]]),1)*IF(DATOS!AJ$4="Sí",1/DATOS_[[% normaliz]:[% normaliz]],1)*(DATOS_[Conc.Sal.06])))))))),
0)</f>
        <v>0</v>
      </c>
      <c r="P53" s="101">
        <f t="array" ref="P53">IFERROR(
(AVERAGE((IF(DATOS_[[Sexo]:[Sexo]]=$B53,IF(DATOS_[[AGRUP. CLAS. PROF.]:[AGRUP. CLAS. PROF.]]=$B51,IF(DATOS_[[Check Periodo Ref.]:[Check Periodo Ref.]]="Dentro",IF(DATOS_[[Check Equiparado]:[Check Equiparado]]="Sí",IF(DATOS!AK$5="Sí",(1/DATOS_[[% anualiz]:[% anualiz]]),1)*IF(DATOS!AK$4="Sí",1/DATOS_[[% normaliz]:[% normaliz]],1)*(DATOS_[Conc.Sal.07])))))))),
0)</f>
        <v>0</v>
      </c>
      <c r="Q53" s="101">
        <f t="array" ref="Q53">IFERROR(
(AVERAGE((IF(DATOS_[[Sexo]:[Sexo]]=$B53,IF(DATOS_[[AGRUP. CLAS. PROF.]:[AGRUP. CLAS. PROF.]]=$B51,IF(DATOS_[[Check Periodo Ref.]:[Check Periodo Ref.]]="Dentro",IF(DATOS_[[Check Equiparado]:[Check Equiparado]]="Sí",IF(DATOS!AL$5="Sí",(1/DATOS_[[% anualiz]:[% anualiz]]),1)*IF(DATOS!AL$4="Sí",1/DATOS_[[% normaliz]:[% normaliz]],1)*(DATOS_[Conc.Sal.08])))))))),
0)</f>
        <v>0</v>
      </c>
      <c r="R53" s="101">
        <f t="array" ref="R53">IFERROR(
(AVERAGE((IF(DATOS_[[Sexo]:[Sexo]]=$B53,IF(DATOS_[[AGRUP. CLAS. PROF.]:[AGRUP. CLAS. PROF.]]=$B51,IF(DATOS_[[Check Periodo Ref.]:[Check Periodo Ref.]]="Dentro",IF(DATOS_[[Check Equiparado]:[Check Equiparado]]="Sí",IF(DATOS!AM$5="Sí",(1/DATOS_[[% anualiz]:[% anualiz]]),1)*IF(DATOS!AM$4="Sí",1/DATOS_[[% normaliz]:[% normaliz]],1)*(DATOS_[Conc.Sal.09])))))))),
0)</f>
        <v>0</v>
      </c>
      <c r="S53" s="101">
        <f t="array" ref="S53">IFERROR(
(AVERAGE((IF(DATOS_[[Sexo]:[Sexo]]=$B53,IF(DATOS_[[AGRUP. CLAS. PROF.]:[AGRUP. CLAS. PROF.]]=$B51,IF(DATOS_[[Check Periodo Ref.]:[Check Periodo Ref.]]="Dentro",IF(DATOS_[[Check Equiparado]:[Check Equiparado]]="Sí",IF(DATOS!AN$5="Sí",(1/DATOS_[[% anualiz]:[% anualiz]]),1)*IF(DATOS!AN$4="Sí",1/DATOS_[[% normaliz]:[% normaliz]],1)*(DATOS_[Conc.Sal.10])))))))),
0)</f>
        <v>0</v>
      </c>
      <c r="T53" s="101">
        <f t="array" ref="T53">IFERROR(
(AVERAGE((IF(DATOS_[[Sexo]:[Sexo]]=$B53,IF(DATOS_[[AGRUP. CLAS. PROF.]:[AGRUP. CLAS. PROF.]]=$B51,IF(DATOS_[[Check Periodo Ref.]:[Check Periodo Ref.]]="Dentro",IF(DATOS_[[Check Equiparado]:[Check Equiparado]]="Sí",IF(DATOS!AO$5="Sí",(1/DATOS_[[% anualiz]:[% anualiz]]),1)*IF(DATOS!AO$4="Sí",1/DATOS_[[% normaliz]:[% normaliz]],1)*(DATOS_[Conc.Sal.11])))))))),
0)</f>
        <v>0</v>
      </c>
      <c r="U53" s="101">
        <f t="array" ref="U53">IFERROR(
(AVERAGE((IF(DATOS_[[Sexo]:[Sexo]]=$B53,IF(DATOS_[[AGRUP. CLAS. PROF.]:[AGRUP. CLAS. PROF.]]=$B51,IF(DATOS_[[Check Periodo Ref.]:[Check Periodo Ref.]]="Dentro",IF(DATOS_[[Check Equiparado]:[Check Equiparado]]="Sí",IF(DATOS!AP$5="Sí",(1/DATOS_[[% anualiz]:[% anualiz]]),1)*IF(DATOS!AP$4="Sí",1/DATOS_[[% normaliz]:[% normaliz]],1)*(DATOS_[Conc.Sal.12])))))))),
0)</f>
        <v>0</v>
      </c>
      <c r="V53" s="101">
        <f t="array" ref="V53">IFERROR(
(AVERAGE((IF(DATOS_[[Sexo]:[Sexo]]=$B53,IF(DATOS_[[AGRUP. CLAS. PROF.]:[AGRUP. CLAS. PROF.]]=$B51,IF(DATOS_[[Check Periodo Ref.]:[Check Periodo Ref.]]="Dentro",IF(DATOS_[[Check Equiparado]:[Check Equiparado]]="Sí",IF(DATOS!AQ$5="Sí",(1/DATOS_[[% anualiz]:[% anualiz]]),1)*IF(DATOS!AQ$4="Sí",1/DATOS_[[% normaliz]:[% normaliz]],1)*(DATOS_[Conc.Sal.13])))))))),
0)</f>
        <v>0</v>
      </c>
      <c r="W53" s="101">
        <f t="array" ref="W53">IFERROR(
(AVERAGE((IF(DATOS_[[Sexo]:[Sexo]]=$B53,IF(DATOS_[[AGRUP. CLAS. PROF.]:[AGRUP. CLAS. PROF.]]=$B51,IF(DATOS_[[Check Periodo Ref.]:[Check Periodo Ref.]]="Dentro",IF(DATOS_[[Check Equiparado]:[Check Equiparado]]="Sí",IF(DATOS!AR$5="Sí",(1/DATOS_[[% anualiz]:[% anualiz]]),1)*IF(DATOS!AR$4="Sí",1/DATOS_[[% normaliz]:[% normaliz]],1)*(DATOS_[Conc.Sal.14])))))))),
0)</f>
        <v>0</v>
      </c>
      <c r="X53" s="101">
        <f t="array" ref="X53">IFERROR(
(AVERAGE((IF(DATOS_[[Sexo]:[Sexo]]=$B53,IF(DATOS_[[AGRUP. CLAS. PROF.]:[AGRUP. CLAS. PROF.]]=$B51,IF(DATOS_[[Check Periodo Ref.]:[Check Periodo Ref.]]="Dentro",IF(DATOS_[[Check Equiparado]:[Check Equiparado]]="Sí",IF(DATOS!AS$5="Sí",(1/DATOS_[[% anualiz]:[% anualiz]]),1)*IF(DATOS!AS$4="Sí",1/DATOS_[[% normaliz]:[% normaliz]],1)*(DATOS_[Conc.Sal.15])))))))),
0)</f>
        <v>0</v>
      </c>
      <c r="Y53" s="101">
        <f t="array" ref="Y53">IFERROR(
(AVERAGE((IF(DATOS_[[Sexo]:[Sexo]]=$B53,IF(DATOS_[[AGRUP. CLAS. PROF.]:[AGRUP. CLAS. PROF.]]=$B51,IF(DATOS_[[Check Periodo Ref.]:[Check Periodo Ref.]]="Dentro",IF(DATOS_[[Check Equiparado]:[Check Equiparado]]="Sí",IF(DATOS!AT$5="Sí",(1/DATOS_[[% anualiz]:[% anualiz]]),1)*IF(DATOS!AT$4="Sí",1/DATOS_[[% normaliz]:[% normaliz]],1)*(DATOS_[Conc.Sal.16])))))))),
0)</f>
        <v>0</v>
      </c>
      <c r="Z53" s="101">
        <f t="array" ref="Z53">IFERROR(
(AVERAGE((IF(DATOS_[[Sexo]:[Sexo]]=$B53,IF(DATOS_[[AGRUP. CLAS. PROF.]:[AGRUP. CLAS. PROF.]]=$B51,IF(DATOS_[[Check Periodo Ref.]:[Check Periodo Ref.]]="Dentro",IF(DATOS_[[Check Equiparado]:[Check Equiparado]]="Sí",IF(DATOS!AU$5="Sí",(1/DATOS_[[% anualiz]:[% anualiz]]),1)*IF(DATOS!AU$4="Sí",1/DATOS_[[% normaliz]:[% normaliz]],1)*(DATOS_[Conc.Sal.17])))))))),
0)</f>
        <v>0</v>
      </c>
      <c r="AA53" s="101">
        <f t="array" ref="AA53">IFERROR(
(AVERAGE((IF(DATOS_[[Sexo]:[Sexo]]=$B53,IF(DATOS_[[AGRUP. CLAS. PROF.]:[AGRUP. CLAS. PROF.]]=$B51,IF(DATOS_[[Check Periodo Ref.]:[Check Periodo Ref.]]="Dentro",IF(DATOS_[[Check Equiparado]:[Check Equiparado]]="Sí",IF(DATOS!AV$5="Sí",(1/DATOS_[[% anualiz]:[% anualiz]]),1)*IF(DATOS!AV$4="Sí",1/DATOS_[[% normaliz]:[% normaliz]],1)*(DATOS_[Conc.Sal.18])))))))),
0)</f>
        <v>0</v>
      </c>
      <c r="AB53" s="101">
        <f t="array" ref="AB53">IFERROR(
(AVERAGE((IF(DATOS_[[Sexo]:[Sexo]]=$B53,IF(DATOS_[[AGRUP. CLAS. PROF.]:[AGRUP. CLAS. PROF.]]=$B51,IF(DATOS_[[Check Periodo Ref.]:[Check Periodo Ref.]]="Dentro",IF(DATOS_[[Check Equiparado]:[Check Equiparado]]="Sí",IF(DATOS!AW$5="Sí",(1/DATOS_[[% anualiz]:[% anualiz]]),1)*IF(DATOS!AW$4="Sí",1/DATOS_[[% normaliz]:[% normaliz]],1)*(DATOS_[Conc.Sal.19])))))))),
0)</f>
        <v>0</v>
      </c>
      <c r="AC53" s="101">
        <f t="array" ref="AC53">IFERROR(
(AVERAGE((IF(DATOS_[[Sexo]:[Sexo]]=$B53,IF(DATOS_[[AGRUP. CLAS. PROF.]:[AGRUP. CLAS. PROF.]]=$B51,IF(DATOS_[[Check Periodo Ref.]:[Check Periodo Ref.]]="Dentro",IF(DATOS_[[Check Equiparado]:[Check Equiparado]]="Sí",IF(DATOS!AX$5="Sí",(1/DATOS_[[% anualiz]:[% anualiz]]),1)*IF(DATOS!AX$4="Sí",1/DATOS_[[% normaliz]:[% normaliz]],1)*(DATOS_[Conc.Sal.20])))))))),
0)</f>
        <v>0</v>
      </c>
      <c r="AD53" s="101">
        <f t="array" ref="AD53">IFERROR(
(AVERAGE((IF(DATOS_[[Sexo]:[Sexo]]=$B53,IF(DATOS_[[AGRUP. CLAS. PROF.]:[AGRUP. CLAS. PROF.]]=$B51,IF(DATOS_[[Check Periodo Ref.]:[Check Periodo Ref.]]="Dentro",IF(DATOS_[[Check Equiparado]:[Check Equiparado]]="Sí",IF(DATOS!AY$5="Sí",(1/DATOS_[[% anualiz]:[% anualiz]]),1)*IF(DATOS!AY$4="Sí",1/DATOS_[[% normaliz]:[% normaliz]],1)*(DATOS_[Conc.Sal.21])))))))),
0)</f>
        <v>0</v>
      </c>
      <c r="AE53" s="101">
        <f t="array" ref="AE53">IFERROR(
(AVERAGE((IF(DATOS_[[Sexo]:[Sexo]]=$B53,IF(DATOS_[[AGRUP. CLAS. PROF.]:[AGRUP. CLAS. PROF.]]=$B51,IF(DATOS_[[Check Periodo Ref.]:[Check Periodo Ref.]]="Dentro",IF(DATOS_[[Check Equiparado]:[Check Equiparado]]="Sí",IF(DATOS!AZ$5="Sí",(1/DATOS_[[% anualiz]:[% anualiz]]),1)*IF(DATOS!AZ$4="Sí",1/DATOS_[[% normaliz]:[% normaliz]],1)*(DATOS_[Conc.Sal.22])))))))),
0)</f>
        <v>0</v>
      </c>
      <c r="AF53" s="101">
        <f t="array" ref="AF53">IFERROR(
(AVERAGE((IF(DATOS_[[Sexo]:[Sexo]]=$B53,IF(DATOS_[[AGRUP. CLAS. PROF.]:[AGRUP. CLAS. PROF.]]=$B51,IF(DATOS_[[Check Periodo Ref.]:[Check Periodo Ref.]]="Dentro",IF(DATOS_[[Check Equiparado]:[Check Equiparado]]="Sí",IF(DATOS!BA$5="Sí",(1/DATOS_[[% anualiz]:[% anualiz]]),1)*IF(DATOS!BA$4="Sí",1/DATOS_[[% normaliz]:[% normaliz]],1)*(DATOS_[Conc.Sal.23])))))))),
0)</f>
        <v>0</v>
      </c>
      <c r="AG53" s="101">
        <f t="array" ref="AG53">IFERROR(
(AVERAGE((IF(DATOS_[[Sexo]:[Sexo]]=$B53,IF(DATOS_[[AGRUP. CLAS. PROF.]:[AGRUP. CLAS. PROF.]]=$B51,IF(DATOS_[[Check Periodo Ref.]:[Check Periodo Ref.]]="Dentro",IF(DATOS_[[Check Equiparado]:[Check Equiparado]]="Sí",IF(DATOS!BB$5="Sí",(1/DATOS_[[% anualiz]:[% anualiz]]),1)*IF(DATOS!BB$4="Sí",1/DATOS_[[% normaliz]:[% normaliz]],1)*(DATOS_[Conc.Sal.24])))))))),
0)</f>
        <v>0</v>
      </c>
      <c r="AH53" s="101">
        <f t="array" ref="AH53">IFERROR(
(AVERAGE((IF(DATOS_[[Sexo]:[Sexo]]=$B53,IF(DATOS_[[AGRUP. CLAS. PROF.]:[AGRUP. CLAS. PROF.]]=$B51,IF(DATOS_[[Check Periodo Ref.]:[Check Periodo Ref.]]="Dentro",IF(DATOS_[[Check Equiparado]:[Check Equiparado]]="Sí",IF(DATOS!BC$5="Sí",(1/DATOS_[[% anualiz]:[% anualiz]]),1)*IF(DATOS!BC$4="Sí",1/DATOS_[[% normaliz]:[% normaliz]],1)*(DATOS_[Conc.Sal.25])))))))),
0)</f>
        <v>0</v>
      </c>
      <c r="AI53" s="101">
        <f t="array" ref="AI53">IFERROR(
(AVERAGE((IF(DATOS_[[Sexo]:[Sexo]]=$B53,IF(DATOS_[[AGRUP. CLAS. PROF.]:[AGRUP. CLAS. PROF.]]=$B51,IF(DATOS_[[Check Periodo Ref.]:[Check Periodo Ref.]]="Dentro",IF(DATOS_[[Check Equiparado]:[Check Equiparado]]="Sí",IF(DATOS!BD$5="Sí",(1/DATOS_[[% anualiz]:[% anualiz]]),1)*IF(DATOS!BD$4="Sí",1/DATOS_[[% normaliz]:[% normaliz]],1)*(DATOS_[Conc.Sal.26])))))))),
0)</f>
        <v>0</v>
      </c>
      <c r="AJ53" s="101">
        <f t="array" ref="AJ53">IFERROR(
(AVERAGE((IF(DATOS_[[Sexo]:[Sexo]]=$B53,IF(DATOS_[[AGRUP. CLAS. PROF.]:[AGRUP. CLAS. PROF.]]=$B51,IF(DATOS_[[Check Periodo Ref.]:[Check Periodo Ref.]]="Dentro",IF(DATOS_[[Check Equiparado]:[Check Equiparado]]="Sí",IF(DATOS!BE$5="Sí",(1/DATOS_[[% anualiz]:[% anualiz]]),1)*IF(DATOS!BE$4="Sí",1/DATOS_[[% normaliz]:[% normaliz]],1)*(DATOS_[Conc.Sal.27])))))))),
0)</f>
        <v>0</v>
      </c>
      <c r="AK53" s="101">
        <f t="array" ref="AK53">IFERROR(
(AVERAGE((IF(DATOS_[[Sexo]:[Sexo]]=$B53,IF(DATOS_[[AGRUP. CLAS. PROF.]:[AGRUP. CLAS. PROF.]]=$B51,IF(DATOS_[[Check Periodo Ref.]:[Check Periodo Ref.]]="Dentro",IF(DATOS_[[Check Equiparado]:[Check Equiparado]]="Sí",IF(DATOS!BF$5="Sí",(1/DATOS_[[% anualiz]:[% anualiz]]),1)*IF(DATOS!BF$4="Sí",1/DATOS_[[% normaliz]:[% normaliz]],1)*(DATOS_[Conc.Sal.28])))))))),
0)</f>
        <v>0</v>
      </c>
      <c r="AL53" s="101">
        <f t="array" ref="AL53">IFERROR(
(AVERAGE((IF(DATOS_[[Sexo]:[Sexo]]=$B53,IF(DATOS_[[AGRUP. CLAS. PROF.]:[AGRUP. CLAS. PROF.]]=$B51,IF(DATOS_[[Check Periodo Ref.]:[Check Periodo Ref.]]="Dentro",IF(DATOS_[[Check Equiparado]:[Check Equiparado]]="Sí",IF(DATOS!BG$5="Sí",(1/DATOS_[[% anualiz]:[% anualiz]]),1)*IF(DATOS!BG$4="Sí",1/DATOS_[[% normaliz]:[% normaliz]],1)*(DATOS_[Conc.Sal.29])))))))),
0)</f>
        <v>0</v>
      </c>
      <c r="AM53" s="101">
        <f t="array" ref="AM53">IFERROR(
(AVERAGE((IF(DATOS_[[Sexo]:[Sexo]]=$B53,IF(DATOS_[[AGRUP. CLAS. PROF.]:[AGRUP. CLAS. PROF.]]=$B51,IF(DATOS_[[Check Periodo Ref.]:[Check Periodo Ref.]]="Dentro",IF(DATOS_[[Check Equiparado]:[Check Equiparado]]="Sí",IF(DATOS!BH$5="Sí",(1/DATOS_[[% anualiz]:[% anualiz]]),1)*IF(DATOS!BH$4="Sí",1/DATOS_[[% normaliz]:[% normaliz]],1)*(DATOS_[Conc.Sal.30])))))))),
0)</f>
        <v>0</v>
      </c>
      <c r="AN53" s="102">
        <f t="array" ref="AN53">IFERROR(
AVERAGE(IF(DATOS_[Sexo]=$B53,IF(DATOS_[[AGRUP. CLAS. PROF.]:[AGRUP. CLAS. PROF.]]=$B51,IF(DATOS_[Check Equiparado]="Sí",IF(DATOS_[Check Periodo Ref.]="Dentro",DATOS_[Tot COMPL.SAL Eq],FALSE))))),
0)</f>
        <v>0</v>
      </c>
      <c r="AO53" s="103">
        <f t="array" ref="AO53">IFERROR(
AVERAGE(IF(DATOS_[Sexo]=$B53,IF(DATOS_[[AGRUP. CLAS. PROF.]:[AGRUP. CLAS. PROF.]]=$B51,IF(DATOS_[Check Equiparado]="Sí",IF(DATOS_[Check Periodo Ref.]="Dentro",DATOS_[TOTAL SALARIO Eq],FALSE))))),
0)</f>
        <v>0</v>
      </c>
      <c r="AP53" s="104">
        <f t="array" ref="AP53">IFERROR(
(AVERAGE((IF(DATOS_[[Sexo]:[Sexo]]=$B53,IF(DATOS_[[AGRUP. CLAS. PROF.]:[AGRUP. CLAS. PROF.]]=$B51,IF(DATOS_[[Check Periodo Ref.]:[Check Periodo Ref.]]="Dentro",IF(DATOS_[[Check Equiparado]:[Check Equiparado]]="Sí",IF(DATOS!BI$5="Sí",(1/DATOS_[[% anualiz]:[% anualiz]]),1)*IF(DATOS!BI$4="Sí",1/DATOS_[[% normaliz]:[% normaliz]],1)*(DATOS_[C.Extra.01])))))))),
0)</f>
        <v>0</v>
      </c>
      <c r="AQ53" s="104">
        <f t="array" ref="AQ53">IFERROR(
(AVERAGE((IF(DATOS_[[Sexo]:[Sexo]]=$B53,IF(DATOS_[[AGRUP. CLAS. PROF.]:[AGRUP. CLAS. PROF.]]=$B51,IF(DATOS_[[Check Periodo Ref.]:[Check Periodo Ref.]]="Dentro",IF(DATOS_[[Check Equiparado]:[Check Equiparado]]="Sí",IF(DATOS!BJ$5="Sí",(1/DATOS_[[% anualiz]:[% anualiz]]),1)*IF(DATOS!BJ$4="Sí",1/DATOS_[[% normaliz]:[% normaliz]],1)*(DATOS_[C.Extra.02])))))))),
0)</f>
        <v>0</v>
      </c>
      <c r="AR53" s="104">
        <f t="array" ref="AR53">IFERROR(
(AVERAGE((IF(DATOS_[[Sexo]:[Sexo]]=$B53,IF(DATOS_[[AGRUP. CLAS. PROF.]:[AGRUP. CLAS. PROF.]]=$B51,IF(DATOS_[[Check Periodo Ref.]:[Check Periodo Ref.]]="Dentro",IF(DATOS_[[Check Equiparado]:[Check Equiparado]]="Sí",IF(DATOS!BK$5="Sí",(1/DATOS_[[% anualiz]:[% anualiz]]),1)*IF(DATOS!BK$4="Sí",1/DATOS_[[% normaliz]:[% normaliz]],1)*(DATOS_[C.Extra.03])))))))),
0)</f>
        <v>0</v>
      </c>
      <c r="AS53" s="104">
        <f t="array" ref="AS53">IFERROR(
(AVERAGE((IF(DATOS_[[Sexo]:[Sexo]]=$B53,IF(DATOS_[[AGRUP. CLAS. PROF.]:[AGRUP. CLAS. PROF.]]=$B51,IF(DATOS_[[Check Periodo Ref.]:[Check Periodo Ref.]]="Dentro",IF(DATOS_[[Check Equiparado]:[Check Equiparado]]="Sí",IF(DATOS!BL$5="Sí",(1/DATOS_[[% anualiz]:[% anualiz]]),1)*IF(DATOS!BL$4="Sí",1/DATOS_[[% normaliz]:[% normaliz]],1)*(DATOS_[C.Extra.04])))))))),
0)</f>
        <v>0</v>
      </c>
      <c r="AT53" s="104">
        <f t="array" ref="AT53">IFERROR(
(AVERAGE((IF(DATOS_[[Sexo]:[Sexo]]=$B53,IF(DATOS_[[AGRUP. CLAS. PROF.]:[AGRUP. CLAS. PROF.]]=$B51,IF(DATOS_[[Check Periodo Ref.]:[Check Periodo Ref.]]="Dentro",IF(DATOS_[[Check Equiparado]:[Check Equiparado]]="Sí",IF(DATOS!BM$5="Sí",(1/DATOS_[[% anualiz]:[% anualiz]]),1)*IF(DATOS!BM$4="Sí",1/DATOS_[[% normaliz]:[% normaliz]],1)*(DATOS_[C.Extra.05])))))))),
0)</f>
        <v>0</v>
      </c>
      <c r="AU53" s="105">
        <f t="array" ref="AU53">IFERROR(
AVERAGE(IF(DATOS_[Sexo]=$B53,IF(DATOS_[[AGRUP. CLAS. PROF.]:[AGRUP. CLAS. PROF.]]=$B51,IF(DATOS_[Check Equiparado]="Sí",IF(DATOS_[Check Periodo Ref.]="Dentro",DATOS_[Tot Extrasalarial Eq],FALSE))))),
0)</f>
        <v>0</v>
      </c>
      <c r="AV53" s="106">
        <f t="array" ref="AV53">IFERROR(
AVERAGE(IF(DATOS_[Sexo]=$B53,IF(DATOS_[[AGRUP. CLAS. PROF.]:[AGRUP. CLAS. PROF.]]=$B51,IF(DATOS_[Check Equiparado]="Sí",IF(DATOS_[Check Periodo Ref.]="Dentro",DATOS_[TOTAL Retrib Eq],FALSE))))),
0)</f>
        <v>0</v>
      </c>
    </row>
    <row r="54" spans="1:48" ht="17.25" hidden="1" thickBot="1" x14ac:dyDescent="0.35">
      <c r="A54" s="53" t="str">
        <f t="shared" ref="A54" si="55">+A55</f>
        <v>[ocultar]</v>
      </c>
      <c r="B54" s="62" t="s">
        <v>230</v>
      </c>
      <c r="C54" s="99"/>
      <c r="D54" s="63"/>
      <c r="E54" s="63"/>
      <c r="F54" s="63"/>
      <c r="G54" s="63"/>
      <c r="H54" s="63"/>
      <c r="I54" s="129" t="str">
        <f t="shared" ref="I54:AV54" si="56">IFERROR((I55-I56)/I55,"")</f>
        <v/>
      </c>
      <c r="J54" s="130" t="str">
        <f t="shared" si="56"/>
        <v/>
      </c>
      <c r="K54" s="131" t="str">
        <f t="shared" si="56"/>
        <v/>
      </c>
      <c r="L54" s="131" t="str">
        <f t="shared" si="56"/>
        <v/>
      </c>
      <c r="M54" s="131" t="str">
        <f t="shared" si="56"/>
        <v/>
      </c>
      <c r="N54" s="132" t="str">
        <f t="shared" si="56"/>
        <v/>
      </c>
      <c r="O54" s="133" t="str">
        <f t="shared" si="56"/>
        <v/>
      </c>
      <c r="P54" s="133" t="str">
        <f t="shared" si="56"/>
        <v/>
      </c>
      <c r="Q54" s="133" t="str">
        <f t="shared" si="56"/>
        <v/>
      </c>
      <c r="R54" s="133" t="str">
        <f t="shared" si="56"/>
        <v/>
      </c>
      <c r="S54" s="133" t="str">
        <f t="shared" si="56"/>
        <v/>
      </c>
      <c r="T54" s="133" t="str">
        <f t="shared" si="56"/>
        <v/>
      </c>
      <c r="U54" s="133" t="str">
        <f t="shared" si="56"/>
        <v/>
      </c>
      <c r="V54" s="133" t="str">
        <f t="shared" si="56"/>
        <v/>
      </c>
      <c r="W54" s="133" t="str">
        <f t="shared" si="56"/>
        <v/>
      </c>
      <c r="X54" s="133" t="str">
        <f t="shared" si="56"/>
        <v/>
      </c>
      <c r="Y54" s="133" t="str">
        <f t="shared" si="56"/>
        <v/>
      </c>
      <c r="Z54" s="132" t="str">
        <f t="shared" si="56"/>
        <v/>
      </c>
      <c r="AA54" s="132" t="str">
        <f t="shared" si="56"/>
        <v/>
      </c>
      <c r="AB54" s="132" t="str">
        <f t="shared" si="56"/>
        <v/>
      </c>
      <c r="AC54" s="132" t="str">
        <f t="shared" si="56"/>
        <v/>
      </c>
      <c r="AD54" s="132" t="str">
        <f t="shared" si="56"/>
        <v/>
      </c>
      <c r="AE54" s="132" t="str">
        <f t="shared" si="56"/>
        <v/>
      </c>
      <c r="AF54" s="132" t="str">
        <f t="shared" si="56"/>
        <v/>
      </c>
      <c r="AG54" s="132" t="str">
        <f t="shared" si="56"/>
        <v/>
      </c>
      <c r="AH54" s="132" t="str">
        <f t="shared" si="56"/>
        <v/>
      </c>
      <c r="AI54" s="132" t="str">
        <f t="shared" si="56"/>
        <v/>
      </c>
      <c r="AJ54" s="132" t="str">
        <f t="shared" si="56"/>
        <v/>
      </c>
      <c r="AK54" s="132" t="str">
        <f t="shared" si="56"/>
        <v/>
      </c>
      <c r="AL54" s="132" t="str">
        <f t="shared" si="56"/>
        <v/>
      </c>
      <c r="AM54" s="132" t="str">
        <f t="shared" si="56"/>
        <v/>
      </c>
      <c r="AN54" s="134" t="str">
        <f t="shared" si="56"/>
        <v/>
      </c>
      <c r="AO54" s="138" t="str">
        <f t="shared" si="56"/>
        <v/>
      </c>
      <c r="AP54" s="135" t="str">
        <f t="shared" si="56"/>
        <v/>
      </c>
      <c r="AQ54" s="135" t="str">
        <f t="shared" si="56"/>
        <v/>
      </c>
      <c r="AR54" s="135" t="str">
        <f t="shared" si="56"/>
        <v/>
      </c>
      <c r="AS54" s="135" t="str">
        <f t="shared" si="56"/>
        <v/>
      </c>
      <c r="AT54" s="135" t="str">
        <f t="shared" si="56"/>
        <v/>
      </c>
      <c r="AU54" s="136" t="str">
        <f t="shared" si="56"/>
        <v/>
      </c>
      <c r="AV54" s="137" t="str">
        <f t="shared" si="56"/>
        <v/>
      </c>
    </row>
    <row r="55" spans="1:48" hidden="1" x14ac:dyDescent="0.3">
      <c r="A55" s="53" t="str">
        <f t="shared" ref="A55" si="57">+IF(C55+C56=0,"[ocultar]","")</f>
        <v>[ocultar]</v>
      </c>
      <c r="B55" s="57" t="s">
        <v>162</v>
      </c>
      <c r="C55" s="56">
        <f t="array" ref="C55">SUM(IF($B55=DATOS_[Sexo],
IF($B54=DATOS_[AGRUP. CLAS. PROF.],
IF("Dentro"=DATOS_[Check Periodo Ref.],
1/(COUNTIFS(DATOS_[Sexo],$B55,DATOS_[AGRUP. CLAS. PROF.],$B54,DATOS_[Check Periodo Ref.],"Dentro",DATOS_[id],DATOS_[id]))))))</f>
        <v>0</v>
      </c>
      <c r="D55" s="58">
        <f>COUNTIFS(DATOS_[AGRUP. CLAS. PROF.],$B54,DATOS_[Sexo],$B55,DATOS_[Check Periodo Ref.],"Dentro")</f>
        <v>0</v>
      </c>
      <c r="E55" s="58">
        <f>COUNTIFS(DATOS_[AGRUP. CLAS. PROF.],$B54,DATOS_[Sexo],$B55,DATOS_[Check Periodo Ref.],"Dentro",DATOS_[Check Nº SC Norm],"Sí")</f>
        <v>0</v>
      </c>
      <c r="F55" s="58">
        <f>COUNTIFS(DATOS_[AGRUP. CLAS. PROF.],$B54,DATOS_[Sexo],$B55,DATOS_[Check Periodo Ref.],"Dentro",DATOS_[Check Nº SC Anualiz],"Sí")</f>
        <v>0</v>
      </c>
      <c r="G55" s="58">
        <f>COUNTIFS(DATOS_[AGRUP. CLAS. PROF.],$B54,DATOS_[Sexo],$B55,DATOS_[Check Periodo Ref.],"Dentro",DATOS_[Check Nº SC Norm y Anualiz],"Sí")</f>
        <v>0</v>
      </c>
      <c r="H55" s="58">
        <f>COUNTIFS(DATOS_[AGRUP. CLAS. PROF.],$B54,DATOS_[Sexo],$B55,DATOS_[Check Periodo Ref.],"Dentro",DATOS_[Check Equiparación],"Sí")</f>
        <v>0</v>
      </c>
      <c r="I55" s="100">
        <f t="array" ref="I55">IFERROR(
AVERAGE(IF(DATOS_[Sexo]=$B55,IF(DATOS_[[AGRUP. CLAS. PROF.]:[AGRUP. CLAS. PROF.]]=$B54,IF(DATOS_[Check Equiparado]="Sí",IF(DATOS_[Check Periodo Ref.]="Dentro",DATOS_[SALARIO BASE Eq],FALSE))))),
0)</f>
        <v>0</v>
      </c>
      <c r="J55" s="101">
        <f t="array" ref="J55">IFERROR(
(AVERAGE((IF(DATOS_[[Sexo]:[Sexo]]=$B55,IF(DATOS_[[AGRUP. CLAS. PROF.]:[AGRUP. CLAS. PROF.]]=$B54,IF(DATOS_[[Check Periodo Ref.]:[Check Periodo Ref.]]="Dentro",IF(DATOS_[[Check Equiparado]:[Check Equiparado]]="Sí",IF(DATOS!AE$5="Sí",(1/DATOS_[[% anualiz]:[% anualiz]]),1)*IF(DATOS!AE$4="Sí",1/DATOS_[[% normaliz]:[% normaliz]],1)*(DATOS_[Conc.Sal.01])))))))),
0)</f>
        <v>0</v>
      </c>
      <c r="K55" s="101">
        <f t="array" ref="K55">IFERROR(
(AVERAGE((IF(DATOS_[[Sexo]:[Sexo]]=$B55,IF(DATOS_[[AGRUP. CLAS. PROF.]:[AGRUP. CLAS. PROF.]]=$B54,IF(DATOS_[[Check Periodo Ref.]:[Check Periodo Ref.]]="Dentro",IF(DATOS_[[Check Equiparado]:[Check Equiparado]]="Sí",IF(DATOS!AF$5="Sí",(1/DATOS_[[% anualiz]:[% anualiz]]),1)*IF(DATOS!AF$4="Sí",1/DATOS_[[% normaliz]:[% normaliz]],1)*(DATOS_[Conc.Sal.02])))))))),
0)</f>
        <v>0</v>
      </c>
      <c r="L55" s="101">
        <f t="array" ref="L55">IFERROR(
(AVERAGE((IF(DATOS_[[Sexo]:[Sexo]]=$B55,IF(DATOS_[[AGRUP. CLAS. PROF.]:[AGRUP. CLAS. PROF.]]=$B54,IF(DATOS_[[Check Periodo Ref.]:[Check Periodo Ref.]]="Dentro",IF(DATOS_[[Check Equiparado]:[Check Equiparado]]="Sí",IF(DATOS!AG$5="Sí",(1/DATOS_[[% anualiz]:[% anualiz]]),1)*IF(DATOS!AG$4="Sí",1/DATOS_[[% normaliz]:[% normaliz]],1)*(DATOS_[Conc.Sal.03])))))))),
0)</f>
        <v>0</v>
      </c>
      <c r="M55" s="101">
        <f t="array" ref="M55">IFERROR(
(AVERAGE((IF(DATOS_[[Sexo]:[Sexo]]=$B55,IF(DATOS_[[AGRUP. CLAS. PROF.]:[AGRUP. CLAS. PROF.]]=$B54,IF(DATOS_[[Check Periodo Ref.]:[Check Periodo Ref.]]="Dentro",IF(DATOS_[[Check Equiparado]:[Check Equiparado]]="Sí",IF(DATOS!AH$5="Sí",(1/DATOS_[[% anualiz]:[% anualiz]]),1)*IF(DATOS!AH$4="Sí",1/DATOS_[[% normaliz]:[% normaliz]],1)*(DATOS_[Conc.Sal.04])))))))),
0)</f>
        <v>0</v>
      </c>
      <c r="N55" s="101">
        <f t="array" ref="N55">IFERROR(
(AVERAGE((IF(DATOS_[[Sexo]:[Sexo]]=$B55,IF(DATOS_[[AGRUP. CLAS. PROF.]:[AGRUP. CLAS. PROF.]]=$B54,IF(DATOS_[[Check Periodo Ref.]:[Check Periodo Ref.]]="Dentro",IF(DATOS_[[Check Equiparado]:[Check Equiparado]]="Sí",IF(DATOS!AI$5="Sí",(1/DATOS_[[% anualiz]:[% anualiz]]),1)*IF(DATOS!AI$4="Sí",1/DATOS_[[% normaliz]:[% normaliz]],1)*(DATOS_[Conc.Sal.05])))))))),
0)</f>
        <v>0</v>
      </c>
      <c r="O55" s="101">
        <f t="array" ref="O55">IFERROR(
(AVERAGE((IF(DATOS_[[Sexo]:[Sexo]]=$B55,IF(DATOS_[[AGRUP. CLAS. PROF.]:[AGRUP. CLAS. PROF.]]=$B54,IF(DATOS_[[Check Periodo Ref.]:[Check Periodo Ref.]]="Dentro",IF(DATOS_[[Check Equiparado]:[Check Equiparado]]="Sí",IF(DATOS!AJ$5="Sí",(1/DATOS_[[% anualiz]:[% anualiz]]),1)*IF(DATOS!AJ$4="Sí",1/DATOS_[[% normaliz]:[% normaliz]],1)*(DATOS_[Conc.Sal.06])))))))),
0)</f>
        <v>0</v>
      </c>
      <c r="P55" s="101">
        <f t="array" ref="P55">IFERROR(
(AVERAGE((IF(DATOS_[[Sexo]:[Sexo]]=$B55,IF(DATOS_[[AGRUP. CLAS. PROF.]:[AGRUP. CLAS. PROF.]]=$B54,IF(DATOS_[[Check Periodo Ref.]:[Check Periodo Ref.]]="Dentro",IF(DATOS_[[Check Equiparado]:[Check Equiparado]]="Sí",IF(DATOS!AK$5="Sí",(1/DATOS_[[% anualiz]:[% anualiz]]),1)*IF(DATOS!AK$4="Sí",1/DATOS_[[% normaliz]:[% normaliz]],1)*(DATOS_[Conc.Sal.07])))))))),
0)</f>
        <v>0</v>
      </c>
      <c r="Q55" s="101">
        <f t="array" ref="Q55">IFERROR(
(AVERAGE((IF(DATOS_[[Sexo]:[Sexo]]=$B55,IF(DATOS_[[AGRUP. CLAS. PROF.]:[AGRUP. CLAS. PROF.]]=$B54,IF(DATOS_[[Check Periodo Ref.]:[Check Periodo Ref.]]="Dentro",IF(DATOS_[[Check Equiparado]:[Check Equiparado]]="Sí",IF(DATOS!AL$5="Sí",(1/DATOS_[[% anualiz]:[% anualiz]]),1)*IF(DATOS!AL$4="Sí",1/DATOS_[[% normaliz]:[% normaliz]],1)*(DATOS_[Conc.Sal.08])))))))),
0)</f>
        <v>0</v>
      </c>
      <c r="R55" s="101">
        <f t="array" ref="R55">IFERROR(
(AVERAGE((IF(DATOS_[[Sexo]:[Sexo]]=$B55,IF(DATOS_[[AGRUP. CLAS. PROF.]:[AGRUP. CLAS. PROF.]]=$B54,IF(DATOS_[[Check Periodo Ref.]:[Check Periodo Ref.]]="Dentro",IF(DATOS_[[Check Equiparado]:[Check Equiparado]]="Sí",IF(DATOS!AM$5="Sí",(1/DATOS_[[% anualiz]:[% anualiz]]),1)*IF(DATOS!AM$4="Sí",1/DATOS_[[% normaliz]:[% normaliz]],1)*(DATOS_[Conc.Sal.09])))))))),
0)</f>
        <v>0</v>
      </c>
      <c r="S55" s="101">
        <f t="array" ref="S55">IFERROR(
(AVERAGE((IF(DATOS_[[Sexo]:[Sexo]]=$B55,IF(DATOS_[[AGRUP. CLAS. PROF.]:[AGRUP. CLAS. PROF.]]=$B54,IF(DATOS_[[Check Periodo Ref.]:[Check Periodo Ref.]]="Dentro",IF(DATOS_[[Check Equiparado]:[Check Equiparado]]="Sí",IF(DATOS!AN$5="Sí",(1/DATOS_[[% anualiz]:[% anualiz]]),1)*IF(DATOS!AN$4="Sí",1/DATOS_[[% normaliz]:[% normaliz]],1)*(DATOS_[Conc.Sal.10])))))))),
0)</f>
        <v>0</v>
      </c>
      <c r="T55" s="101">
        <f t="array" ref="T55">IFERROR(
(AVERAGE((IF(DATOS_[[Sexo]:[Sexo]]=$B55,IF(DATOS_[[AGRUP. CLAS. PROF.]:[AGRUP. CLAS. PROF.]]=$B54,IF(DATOS_[[Check Periodo Ref.]:[Check Periodo Ref.]]="Dentro",IF(DATOS_[[Check Equiparado]:[Check Equiparado]]="Sí",IF(DATOS!AO$5="Sí",(1/DATOS_[[% anualiz]:[% anualiz]]),1)*IF(DATOS!AO$4="Sí",1/DATOS_[[% normaliz]:[% normaliz]],1)*(DATOS_[Conc.Sal.11])))))))),
0)</f>
        <v>0</v>
      </c>
      <c r="U55" s="101">
        <f t="array" ref="U55">IFERROR(
(AVERAGE((IF(DATOS_[[Sexo]:[Sexo]]=$B55,IF(DATOS_[[AGRUP. CLAS. PROF.]:[AGRUP. CLAS. PROF.]]=$B54,IF(DATOS_[[Check Periodo Ref.]:[Check Periodo Ref.]]="Dentro",IF(DATOS_[[Check Equiparado]:[Check Equiparado]]="Sí",IF(DATOS!AP$5="Sí",(1/DATOS_[[% anualiz]:[% anualiz]]),1)*IF(DATOS!AP$4="Sí",1/DATOS_[[% normaliz]:[% normaliz]],1)*(DATOS_[Conc.Sal.12])))))))),
0)</f>
        <v>0</v>
      </c>
      <c r="V55" s="101">
        <f t="array" ref="V55">IFERROR(
(AVERAGE((IF(DATOS_[[Sexo]:[Sexo]]=$B55,IF(DATOS_[[AGRUP. CLAS. PROF.]:[AGRUP. CLAS. PROF.]]=$B54,IF(DATOS_[[Check Periodo Ref.]:[Check Periodo Ref.]]="Dentro",IF(DATOS_[[Check Equiparado]:[Check Equiparado]]="Sí",IF(DATOS!AQ$5="Sí",(1/DATOS_[[% anualiz]:[% anualiz]]),1)*IF(DATOS!AQ$4="Sí",1/DATOS_[[% normaliz]:[% normaliz]],1)*(DATOS_[Conc.Sal.13])))))))),
0)</f>
        <v>0</v>
      </c>
      <c r="W55" s="101">
        <f t="array" ref="W55">IFERROR(
(AVERAGE((IF(DATOS_[[Sexo]:[Sexo]]=$B55,IF(DATOS_[[AGRUP. CLAS. PROF.]:[AGRUP. CLAS. PROF.]]=$B54,IF(DATOS_[[Check Periodo Ref.]:[Check Periodo Ref.]]="Dentro",IF(DATOS_[[Check Equiparado]:[Check Equiparado]]="Sí",IF(DATOS!AR$5="Sí",(1/DATOS_[[% anualiz]:[% anualiz]]),1)*IF(DATOS!AR$4="Sí",1/DATOS_[[% normaliz]:[% normaliz]],1)*(DATOS_[Conc.Sal.14])))))))),
0)</f>
        <v>0</v>
      </c>
      <c r="X55" s="101">
        <f t="array" ref="X55">IFERROR(
(AVERAGE((IF(DATOS_[[Sexo]:[Sexo]]=$B55,IF(DATOS_[[AGRUP. CLAS. PROF.]:[AGRUP. CLAS. PROF.]]=$B54,IF(DATOS_[[Check Periodo Ref.]:[Check Periodo Ref.]]="Dentro",IF(DATOS_[[Check Equiparado]:[Check Equiparado]]="Sí",IF(DATOS!AS$5="Sí",(1/DATOS_[[% anualiz]:[% anualiz]]),1)*IF(DATOS!AS$4="Sí",1/DATOS_[[% normaliz]:[% normaliz]],1)*(DATOS_[Conc.Sal.15])))))))),
0)</f>
        <v>0</v>
      </c>
      <c r="Y55" s="101">
        <f t="array" ref="Y55">IFERROR(
(AVERAGE((IF(DATOS_[[Sexo]:[Sexo]]=$B55,IF(DATOS_[[AGRUP. CLAS. PROF.]:[AGRUP. CLAS. PROF.]]=$B54,IF(DATOS_[[Check Periodo Ref.]:[Check Periodo Ref.]]="Dentro",IF(DATOS_[[Check Equiparado]:[Check Equiparado]]="Sí",IF(DATOS!AT$5="Sí",(1/DATOS_[[% anualiz]:[% anualiz]]),1)*IF(DATOS!AT$4="Sí",1/DATOS_[[% normaliz]:[% normaliz]],1)*(DATOS_[Conc.Sal.16])))))))),
0)</f>
        <v>0</v>
      </c>
      <c r="Z55" s="101">
        <f t="array" ref="Z55">IFERROR(
(AVERAGE((IF(DATOS_[[Sexo]:[Sexo]]=$B55,IF(DATOS_[[AGRUP. CLAS. PROF.]:[AGRUP. CLAS. PROF.]]=$B54,IF(DATOS_[[Check Periodo Ref.]:[Check Periodo Ref.]]="Dentro",IF(DATOS_[[Check Equiparado]:[Check Equiparado]]="Sí",IF(DATOS!AU$5="Sí",(1/DATOS_[[% anualiz]:[% anualiz]]),1)*IF(DATOS!AU$4="Sí",1/DATOS_[[% normaliz]:[% normaliz]],1)*(DATOS_[Conc.Sal.17])))))))),
0)</f>
        <v>0</v>
      </c>
      <c r="AA55" s="101">
        <f t="array" ref="AA55">IFERROR(
(AVERAGE((IF(DATOS_[[Sexo]:[Sexo]]=$B55,IF(DATOS_[[AGRUP. CLAS. PROF.]:[AGRUP. CLAS. PROF.]]=$B54,IF(DATOS_[[Check Periodo Ref.]:[Check Periodo Ref.]]="Dentro",IF(DATOS_[[Check Equiparado]:[Check Equiparado]]="Sí",IF(DATOS!AV$5="Sí",(1/DATOS_[[% anualiz]:[% anualiz]]),1)*IF(DATOS!AV$4="Sí",1/DATOS_[[% normaliz]:[% normaliz]],1)*(DATOS_[Conc.Sal.18])))))))),
0)</f>
        <v>0</v>
      </c>
      <c r="AB55" s="101">
        <f t="array" ref="AB55">IFERROR(
(AVERAGE((IF(DATOS_[[Sexo]:[Sexo]]=$B55,IF(DATOS_[[AGRUP. CLAS. PROF.]:[AGRUP. CLAS. PROF.]]=$B54,IF(DATOS_[[Check Periodo Ref.]:[Check Periodo Ref.]]="Dentro",IF(DATOS_[[Check Equiparado]:[Check Equiparado]]="Sí",IF(DATOS!AW$5="Sí",(1/DATOS_[[% anualiz]:[% anualiz]]),1)*IF(DATOS!AW$4="Sí",1/DATOS_[[% normaliz]:[% normaliz]],1)*(DATOS_[Conc.Sal.19])))))))),
0)</f>
        <v>0</v>
      </c>
      <c r="AC55" s="101">
        <f t="array" ref="AC55">IFERROR(
(AVERAGE((IF(DATOS_[[Sexo]:[Sexo]]=$B55,IF(DATOS_[[AGRUP. CLAS. PROF.]:[AGRUP. CLAS. PROF.]]=$B54,IF(DATOS_[[Check Periodo Ref.]:[Check Periodo Ref.]]="Dentro",IF(DATOS_[[Check Equiparado]:[Check Equiparado]]="Sí",IF(DATOS!AX$5="Sí",(1/DATOS_[[% anualiz]:[% anualiz]]),1)*IF(DATOS!AX$4="Sí",1/DATOS_[[% normaliz]:[% normaliz]],1)*(DATOS_[Conc.Sal.20])))))))),
0)</f>
        <v>0</v>
      </c>
      <c r="AD55" s="101">
        <f t="array" ref="AD55">IFERROR(
(AVERAGE((IF(DATOS_[[Sexo]:[Sexo]]=$B55,IF(DATOS_[[AGRUP. CLAS. PROF.]:[AGRUP. CLAS. PROF.]]=$B54,IF(DATOS_[[Check Periodo Ref.]:[Check Periodo Ref.]]="Dentro",IF(DATOS_[[Check Equiparado]:[Check Equiparado]]="Sí",IF(DATOS!AY$5="Sí",(1/DATOS_[[% anualiz]:[% anualiz]]),1)*IF(DATOS!AY$4="Sí",1/DATOS_[[% normaliz]:[% normaliz]],1)*(DATOS_[Conc.Sal.21])))))))),
0)</f>
        <v>0</v>
      </c>
      <c r="AE55" s="101">
        <f t="array" ref="AE55">IFERROR(
(AVERAGE((IF(DATOS_[[Sexo]:[Sexo]]=$B55,IF(DATOS_[[AGRUP. CLAS. PROF.]:[AGRUP. CLAS. PROF.]]=$B54,IF(DATOS_[[Check Periodo Ref.]:[Check Periodo Ref.]]="Dentro",IF(DATOS_[[Check Equiparado]:[Check Equiparado]]="Sí",IF(DATOS!AZ$5="Sí",(1/DATOS_[[% anualiz]:[% anualiz]]),1)*IF(DATOS!AZ$4="Sí",1/DATOS_[[% normaliz]:[% normaliz]],1)*(DATOS_[Conc.Sal.22])))))))),
0)</f>
        <v>0</v>
      </c>
      <c r="AF55" s="101">
        <f t="array" ref="AF55">IFERROR(
(AVERAGE((IF(DATOS_[[Sexo]:[Sexo]]=$B55,IF(DATOS_[[AGRUP. CLAS. PROF.]:[AGRUP. CLAS. PROF.]]=$B54,IF(DATOS_[[Check Periodo Ref.]:[Check Periodo Ref.]]="Dentro",IF(DATOS_[[Check Equiparado]:[Check Equiparado]]="Sí",IF(DATOS!BA$5="Sí",(1/DATOS_[[% anualiz]:[% anualiz]]),1)*IF(DATOS!BA$4="Sí",1/DATOS_[[% normaliz]:[% normaliz]],1)*(DATOS_[Conc.Sal.23])))))))),
0)</f>
        <v>0</v>
      </c>
      <c r="AG55" s="101">
        <f t="array" ref="AG55">IFERROR(
(AVERAGE((IF(DATOS_[[Sexo]:[Sexo]]=$B55,IF(DATOS_[[AGRUP. CLAS. PROF.]:[AGRUP. CLAS. PROF.]]=$B54,IF(DATOS_[[Check Periodo Ref.]:[Check Periodo Ref.]]="Dentro",IF(DATOS_[[Check Equiparado]:[Check Equiparado]]="Sí",IF(DATOS!BB$5="Sí",(1/DATOS_[[% anualiz]:[% anualiz]]),1)*IF(DATOS!BB$4="Sí",1/DATOS_[[% normaliz]:[% normaliz]],1)*(DATOS_[Conc.Sal.24])))))))),
0)</f>
        <v>0</v>
      </c>
      <c r="AH55" s="101">
        <f t="array" ref="AH55">IFERROR(
(AVERAGE((IF(DATOS_[[Sexo]:[Sexo]]=$B55,IF(DATOS_[[AGRUP. CLAS. PROF.]:[AGRUP. CLAS. PROF.]]=$B54,IF(DATOS_[[Check Periodo Ref.]:[Check Periodo Ref.]]="Dentro",IF(DATOS_[[Check Equiparado]:[Check Equiparado]]="Sí",IF(DATOS!BC$5="Sí",(1/DATOS_[[% anualiz]:[% anualiz]]),1)*IF(DATOS!BC$4="Sí",1/DATOS_[[% normaliz]:[% normaliz]],1)*(DATOS_[Conc.Sal.25])))))))),
0)</f>
        <v>0</v>
      </c>
      <c r="AI55" s="101">
        <f t="array" ref="AI55">IFERROR(
(AVERAGE((IF(DATOS_[[Sexo]:[Sexo]]=$B55,IF(DATOS_[[AGRUP. CLAS. PROF.]:[AGRUP. CLAS. PROF.]]=$B54,IF(DATOS_[[Check Periodo Ref.]:[Check Periodo Ref.]]="Dentro",IF(DATOS_[[Check Equiparado]:[Check Equiparado]]="Sí",IF(DATOS!BD$5="Sí",(1/DATOS_[[% anualiz]:[% anualiz]]),1)*IF(DATOS!BD$4="Sí",1/DATOS_[[% normaliz]:[% normaliz]],1)*(DATOS_[Conc.Sal.26])))))))),
0)</f>
        <v>0</v>
      </c>
      <c r="AJ55" s="101">
        <f t="array" ref="AJ55">IFERROR(
(AVERAGE((IF(DATOS_[[Sexo]:[Sexo]]=$B55,IF(DATOS_[[AGRUP. CLAS. PROF.]:[AGRUP. CLAS. PROF.]]=$B54,IF(DATOS_[[Check Periodo Ref.]:[Check Periodo Ref.]]="Dentro",IF(DATOS_[[Check Equiparado]:[Check Equiparado]]="Sí",IF(DATOS!BE$5="Sí",(1/DATOS_[[% anualiz]:[% anualiz]]),1)*IF(DATOS!BE$4="Sí",1/DATOS_[[% normaliz]:[% normaliz]],1)*(DATOS_[Conc.Sal.27])))))))),
0)</f>
        <v>0</v>
      </c>
      <c r="AK55" s="101">
        <f t="array" ref="AK55">IFERROR(
(AVERAGE((IF(DATOS_[[Sexo]:[Sexo]]=$B55,IF(DATOS_[[AGRUP. CLAS. PROF.]:[AGRUP. CLAS. PROF.]]=$B54,IF(DATOS_[[Check Periodo Ref.]:[Check Periodo Ref.]]="Dentro",IF(DATOS_[[Check Equiparado]:[Check Equiparado]]="Sí",IF(DATOS!BF$5="Sí",(1/DATOS_[[% anualiz]:[% anualiz]]),1)*IF(DATOS!BF$4="Sí",1/DATOS_[[% normaliz]:[% normaliz]],1)*(DATOS_[Conc.Sal.28])))))))),
0)</f>
        <v>0</v>
      </c>
      <c r="AL55" s="101">
        <f t="array" ref="AL55">IFERROR(
(AVERAGE((IF(DATOS_[[Sexo]:[Sexo]]=$B55,IF(DATOS_[[AGRUP. CLAS. PROF.]:[AGRUP. CLAS. PROF.]]=$B54,IF(DATOS_[[Check Periodo Ref.]:[Check Periodo Ref.]]="Dentro",IF(DATOS_[[Check Equiparado]:[Check Equiparado]]="Sí",IF(DATOS!BG$5="Sí",(1/DATOS_[[% anualiz]:[% anualiz]]),1)*IF(DATOS!BG$4="Sí",1/DATOS_[[% normaliz]:[% normaliz]],1)*(DATOS_[Conc.Sal.29])))))))),
0)</f>
        <v>0</v>
      </c>
      <c r="AM55" s="101">
        <f t="array" ref="AM55">IFERROR(
(AVERAGE((IF(DATOS_[[Sexo]:[Sexo]]=$B55,IF(DATOS_[[AGRUP. CLAS. PROF.]:[AGRUP. CLAS. PROF.]]=$B54,IF(DATOS_[[Check Periodo Ref.]:[Check Periodo Ref.]]="Dentro",IF(DATOS_[[Check Equiparado]:[Check Equiparado]]="Sí",IF(DATOS!BH$5="Sí",(1/DATOS_[[% anualiz]:[% anualiz]]),1)*IF(DATOS!BH$4="Sí",1/DATOS_[[% normaliz]:[% normaliz]],1)*(DATOS_[Conc.Sal.30])))))))),
0)</f>
        <v>0</v>
      </c>
      <c r="AN55" s="102">
        <f t="array" ref="AN55">IFERROR(
AVERAGE(IF(DATOS_[Sexo]=$B55,IF(DATOS_[[AGRUP. CLAS. PROF.]:[AGRUP. CLAS. PROF.]]=$B54,IF(DATOS_[Check Equiparado]="Sí",IF(DATOS_[Check Periodo Ref.]="Dentro",DATOS_[Tot COMPL.SAL Eq],FALSE))))),
0)</f>
        <v>0</v>
      </c>
      <c r="AO55" s="103">
        <f t="array" ref="AO55">IFERROR(
AVERAGE(IF(DATOS_[Sexo]=$B55,IF(DATOS_[[AGRUP. CLAS. PROF.]:[AGRUP. CLAS. PROF.]]=$B54,IF(DATOS_[Check Equiparado]="Sí",IF(DATOS_[Check Periodo Ref.]="Dentro",DATOS_[TOTAL SALARIO Eq],FALSE))))),
0)</f>
        <v>0</v>
      </c>
      <c r="AP55" s="104">
        <f t="array" ref="AP55">IFERROR(
(AVERAGE((IF(DATOS_[[Sexo]:[Sexo]]=$B55,IF(DATOS_[[AGRUP. CLAS. PROF.]:[AGRUP. CLAS. PROF.]]=$B54,IF(DATOS_[[Check Periodo Ref.]:[Check Periodo Ref.]]="Dentro",IF(DATOS_[[Check Equiparado]:[Check Equiparado]]="Sí",IF(DATOS!BI$5="Sí",(1/DATOS_[[% anualiz]:[% anualiz]]),1)*IF(DATOS!BI$4="Sí",1/DATOS_[[% normaliz]:[% normaliz]],1)*(DATOS_[C.Extra.01])))))))),
0)</f>
        <v>0</v>
      </c>
      <c r="AQ55" s="104">
        <f t="array" ref="AQ55">IFERROR(
(AVERAGE((IF(DATOS_[[Sexo]:[Sexo]]=$B55,IF(DATOS_[[AGRUP. CLAS. PROF.]:[AGRUP. CLAS. PROF.]]=$B54,IF(DATOS_[[Check Periodo Ref.]:[Check Periodo Ref.]]="Dentro",IF(DATOS_[[Check Equiparado]:[Check Equiparado]]="Sí",IF(DATOS!BJ$5="Sí",(1/DATOS_[[% anualiz]:[% anualiz]]),1)*IF(DATOS!BJ$4="Sí",1/DATOS_[[% normaliz]:[% normaliz]],1)*(DATOS_[C.Extra.02])))))))),
0)</f>
        <v>0</v>
      </c>
      <c r="AR55" s="104">
        <f t="array" ref="AR55">IFERROR(
(AVERAGE((IF(DATOS_[[Sexo]:[Sexo]]=$B55,IF(DATOS_[[AGRUP. CLAS. PROF.]:[AGRUP. CLAS. PROF.]]=$B54,IF(DATOS_[[Check Periodo Ref.]:[Check Periodo Ref.]]="Dentro",IF(DATOS_[[Check Equiparado]:[Check Equiparado]]="Sí",IF(DATOS!BK$5="Sí",(1/DATOS_[[% anualiz]:[% anualiz]]),1)*IF(DATOS!BK$4="Sí",1/DATOS_[[% normaliz]:[% normaliz]],1)*(DATOS_[C.Extra.03])))))))),
0)</f>
        <v>0</v>
      </c>
      <c r="AS55" s="104">
        <f t="array" ref="AS55">IFERROR(
(AVERAGE((IF(DATOS_[[Sexo]:[Sexo]]=$B55,IF(DATOS_[[AGRUP. CLAS. PROF.]:[AGRUP. CLAS. PROF.]]=$B54,IF(DATOS_[[Check Periodo Ref.]:[Check Periodo Ref.]]="Dentro",IF(DATOS_[[Check Equiparado]:[Check Equiparado]]="Sí",IF(DATOS!BL$5="Sí",(1/DATOS_[[% anualiz]:[% anualiz]]),1)*IF(DATOS!BL$4="Sí",1/DATOS_[[% normaliz]:[% normaliz]],1)*(DATOS_[C.Extra.04])))))))),
0)</f>
        <v>0</v>
      </c>
      <c r="AT55" s="104">
        <f t="array" ref="AT55">IFERROR(
(AVERAGE((IF(DATOS_[[Sexo]:[Sexo]]=$B55,IF(DATOS_[[AGRUP. CLAS. PROF.]:[AGRUP. CLAS. PROF.]]=$B54,IF(DATOS_[[Check Periodo Ref.]:[Check Periodo Ref.]]="Dentro",IF(DATOS_[[Check Equiparado]:[Check Equiparado]]="Sí",IF(DATOS!BM$5="Sí",(1/DATOS_[[% anualiz]:[% anualiz]]),1)*IF(DATOS!BM$4="Sí",1/DATOS_[[% normaliz]:[% normaliz]],1)*(DATOS_[C.Extra.05])))))))),
0)</f>
        <v>0</v>
      </c>
      <c r="AU55" s="105">
        <f t="array" ref="AU55">IFERROR(
AVERAGE(IF(DATOS_[Sexo]=$B55,IF(DATOS_[[AGRUP. CLAS. PROF.]:[AGRUP. CLAS. PROF.]]=$B54,IF(DATOS_[Check Equiparado]="Sí",IF(DATOS_[Check Periodo Ref.]="Dentro",DATOS_[Tot Extrasalarial Eq],FALSE))))),
0)</f>
        <v>0</v>
      </c>
      <c r="AV55" s="106">
        <f t="array" ref="AV55">IFERROR(
AVERAGE(IF(DATOS_[Sexo]=$B55,IF(DATOS_[[AGRUP. CLAS. PROF.]:[AGRUP. CLAS. PROF.]]=$B54,IF(DATOS_[Check Equiparado]="Sí",IF(DATOS_[Check Periodo Ref.]="Dentro",DATOS_[TOTAL Retrib Eq],FALSE))))),
0)</f>
        <v>0</v>
      </c>
    </row>
    <row r="56" spans="1:48" hidden="1" x14ac:dyDescent="0.3">
      <c r="A56" s="53" t="str">
        <f t="shared" ref="A56" si="58">+A55</f>
        <v>[ocultar]</v>
      </c>
      <c r="B56" s="57" t="s">
        <v>163</v>
      </c>
      <c r="C56" s="56">
        <f t="array" ref="C56">SUM(IF($B56=DATOS_[Sexo],
IF($B54=DATOS_[AGRUP. CLAS. PROF.],
IF("Dentro"=DATOS_[Check Periodo Ref.],
1/(COUNTIFS(DATOS_[Sexo],$B56,DATOS_[AGRUP. CLAS. PROF.],$B54,DATOS_[Check Periodo Ref.],"Dentro",DATOS_[id],DATOS_[id]))))))</f>
        <v>0</v>
      </c>
      <c r="D56" s="58">
        <f>COUNTIFS(DATOS_[AGRUP. CLAS. PROF.],$B54,DATOS_[Sexo],$B56,DATOS_[Check Periodo Ref.],"Dentro")</f>
        <v>0</v>
      </c>
      <c r="E56" s="58">
        <f>COUNTIFS(DATOS_[AGRUP. CLAS. PROF.],$B54,DATOS_[Sexo],$B56,DATOS_[Check Periodo Ref.],"Dentro",DATOS_[Check Nº SC Norm],"Sí")</f>
        <v>0</v>
      </c>
      <c r="F56" s="58">
        <f>COUNTIFS(DATOS_[AGRUP. CLAS. PROF.],$B54,DATOS_[Sexo],$B56,DATOS_[Check Periodo Ref.],"Dentro",DATOS_[Check Nº SC Anualiz],"Sí")</f>
        <v>0</v>
      </c>
      <c r="G56" s="58">
        <f>COUNTIFS(DATOS_[AGRUP. CLAS. PROF.],$B54,DATOS_[Sexo],$B56,DATOS_[Check Periodo Ref.],"Dentro",DATOS_[Check Nº SC Norm y Anualiz],"Sí")</f>
        <v>0</v>
      </c>
      <c r="H56" s="58">
        <f>COUNTIFS(DATOS_[AGRUP. CLAS. PROF.],$B54,DATOS_[Sexo],$B56,DATOS_[Check Periodo Ref.],"Dentro",DATOS_[Check Equiparación],"Sí")</f>
        <v>0</v>
      </c>
      <c r="I56" s="100" cm="1">
        <f t="array" ref="I56">IFERROR(
AVERAGE(IF(DATOS_[Sexo]=$B56,IF(DATOS_[[AGRUP. CLAS. PROF.]:[AGRUP. CLAS. PROF.]]=$B54,IF(DATOS_[Check Equiparado]="Sí",IF(DATOS_[Check Periodo Ref.]="Dentro",DATOS_[SALARIO BASE Eq],FALSE))))),
0)</f>
        <v>0</v>
      </c>
      <c r="J56" s="101">
        <f t="array" ref="J56">IFERROR(
(AVERAGE((IF(DATOS_[[Sexo]:[Sexo]]=$B56,IF(DATOS_[[AGRUP. CLAS. PROF.]:[AGRUP. CLAS. PROF.]]=$B54,IF(DATOS_[[Check Periodo Ref.]:[Check Periodo Ref.]]="Dentro",IF(DATOS_[[Check Equiparado]:[Check Equiparado]]="Sí",IF(DATOS!AE$5="Sí",(1/DATOS_[[% anualiz]:[% anualiz]]),1)*IF(DATOS!AE$4="Sí",1/DATOS_[[% normaliz]:[% normaliz]],1)*(DATOS_[Conc.Sal.01])))))))),
0)</f>
        <v>0</v>
      </c>
      <c r="K56" s="101">
        <f t="array" ref="K56">IFERROR(
(AVERAGE((IF(DATOS_[[Sexo]:[Sexo]]=$B56,IF(DATOS_[[AGRUP. CLAS. PROF.]:[AGRUP. CLAS. PROF.]]=$B54,IF(DATOS_[[Check Periodo Ref.]:[Check Periodo Ref.]]="Dentro",IF(DATOS_[[Check Equiparado]:[Check Equiparado]]="Sí",IF(DATOS!AF$5="Sí",(1/DATOS_[[% anualiz]:[% anualiz]]),1)*IF(DATOS!AF$4="Sí",1/DATOS_[[% normaliz]:[% normaliz]],1)*(DATOS_[Conc.Sal.02])))))))),
0)</f>
        <v>0</v>
      </c>
      <c r="L56" s="101">
        <f t="array" ref="L56">IFERROR(
(AVERAGE((IF(DATOS_[[Sexo]:[Sexo]]=$B56,IF(DATOS_[[AGRUP. CLAS. PROF.]:[AGRUP. CLAS. PROF.]]=$B54,IF(DATOS_[[Check Periodo Ref.]:[Check Periodo Ref.]]="Dentro",IF(DATOS_[[Check Equiparado]:[Check Equiparado]]="Sí",IF(DATOS!AG$5="Sí",(1/DATOS_[[% anualiz]:[% anualiz]]),1)*IF(DATOS!AG$4="Sí",1/DATOS_[[% normaliz]:[% normaliz]],1)*(DATOS_[Conc.Sal.03])))))))),
0)</f>
        <v>0</v>
      </c>
      <c r="M56" s="101">
        <f t="array" ref="M56">IFERROR(
(AVERAGE((IF(DATOS_[[Sexo]:[Sexo]]=$B56,IF(DATOS_[[AGRUP. CLAS. PROF.]:[AGRUP. CLAS. PROF.]]=$B54,IF(DATOS_[[Check Periodo Ref.]:[Check Periodo Ref.]]="Dentro",IF(DATOS_[[Check Equiparado]:[Check Equiparado]]="Sí",IF(DATOS!AH$5="Sí",(1/DATOS_[[% anualiz]:[% anualiz]]),1)*IF(DATOS!AH$4="Sí",1/DATOS_[[% normaliz]:[% normaliz]],1)*(DATOS_[Conc.Sal.04])))))))),
0)</f>
        <v>0</v>
      </c>
      <c r="N56" s="101">
        <f t="array" ref="N56">IFERROR(
(AVERAGE((IF(DATOS_[[Sexo]:[Sexo]]=$B56,IF(DATOS_[[AGRUP. CLAS. PROF.]:[AGRUP. CLAS. PROF.]]=$B54,IF(DATOS_[[Check Periodo Ref.]:[Check Periodo Ref.]]="Dentro",IF(DATOS_[[Check Equiparado]:[Check Equiparado]]="Sí",IF(DATOS!AI$5="Sí",(1/DATOS_[[% anualiz]:[% anualiz]]),1)*IF(DATOS!AI$4="Sí",1/DATOS_[[% normaliz]:[% normaliz]],1)*(DATOS_[Conc.Sal.05])))))))),
0)</f>
        <v>0</v>
      </c>
      <c r="O56" s="101">
        <f t="array" ref="O56">IFERROR(
(AVERAGE((IF(DATOS_[[Sexo]:[Sexo]]=$B56,IF(DATOS_[[AGRUP. CLAS. PROF.]:[AGRUP. CLAS. PROF.]]=$B54,IF(DATOS_[[Check Periodo Ref.]:[Check Periodo Ref.]]="Dentro",IF(DATOS_[[Check Equiparado]:[Check Equiparado]]="Sí",IF(DATOS!AJ$5="Sí",(1/DATOS_[[% anualiz]:[% anualiz]]),1)*IF(DATOS!AJ$4="Sí",1/DATOS_[[% normaliz]:[% normaliz]],1)*(DATOS_[Conc.Sal.06])))))))),
0)</f>
        <v>0</v>
      </c>
      <c r="P56" s="101">
        <f t="array" ref="P56">IFERROR(
(AVERAGE((IF(DATOS_[[Sexo]:[Sexo]]=$B56,IF(DATOS_[[AGRUP. CLAS. PROF.]:[AGRUP. CLAS. PROF.]]=$B54,IF(DATOS_[[Check Periodo Ref.]:[Check Periodo Ref.]]="Dentro",IF(DATOS_[[Check Equiparado]:[Check Equiparado]]="Sí",IF(DATOS!AK$5="Sí",(1/DATOS_[[% anualiz]:[% anualiz]]),1)*IF(DATOS!AK$4="Sí",1/DATOS_[[% normaliz]:[% normaliz]],1)*(DATOS_[Conc.Sal.07])))))))),
0)</f>
        <v>0</v>
      </c>
      <c r="Q56" s="101">
        <f t="array" ref="Q56">IFERROR(
(AVERAGE((IF(DATOS_[[Sexo]:[Sexo]]=$B56,IF(DATOS_[[AGRUP. CLAS. PROF.]:[AGRUP. CLAS. PROF.]]=$B54,IF(DATOS_[[Check Periodo Ref.]:[Check Periodo Ref.]]="Dentro",IF(DATOS_[[Check Equiparado]:[Check Equiparado]]="Sí",IF(DATOS!AL$5="Sí",(1/DATOS_[[% anualiz]:[% anualiz]]),1)*IF(DATOS!AL$4="Sí",1/DATOS_[[% normaliz]:[% normaliz]],1)*(DATOS_[Conc.Sal.08])))))))),
0)</f>
        <v>0</v>
      </c>
      <c r="R56" s="101">
        <f t="array" ref="R56">IFERROR(
(AVERAGE((IF(DATOS_[[Sexo]:[Sexo]]=$B56,IF(DATOS_[[AGRUP. CLAS. PROF.]:[AGRUP. CLAS. PROF.]]=$B54,IF(DATOS_[[Check Periodo Ref.]:[Check Periodo Ref.]]="Dentro",IF(DATOS_[[Check Equiparado]:[Check Equiparado]]="Sí",IF(DATOS!AM$5="Sí",(1/DATOS_[[% anualiz]:[% anualiz]]),1)*IF(DATOS!AM$4="Sí",1/DATOS_[[% normaliz]:[% normaliz]],1)*(DATOS_[Conc.Sal.09])))))))),
0)</f>
        <v>0</v>
      </c>
      <c r="S56" s="101">
        <f t="array" ref="S56">IFERROR(
(AVERAGE((IF(DATOS_[[Sexo]:[Sexo]]=$B56,IF(DATOS_[[AGRUP. CLAS. PROF.]:[AGRUP. CLAS. PROF.]]=$B54,IF(DATOS_[[Check Periodo Ref.]:[Check Periodo Ref.]]="Dentro",IF(DATOS_[[Check Equiparado]:[Check Equiparado]]="Sí",IF(DATOS!AN$5="Sí",(1/DATOS_[[% anualiz]:[% anualiz]]),1)*IF(DATOS!AN$4="Sí",1/DATOS_[[% normaliz]:[% normaliz]],1)*(DATOS_[Conc.Sal.10])))))))),
0)</f>
        <v>0</v>
      </c>
      <c r="T56" s="101">
        <f t="array" ref="T56">IFERROR(
(AVERAGE((IF(DATOS_[[Sexo]:[Sexo]]=$B56,IF(DATOS_[[AGRUP. CLAS. PROF.]:[AGRUP. CLAS. PROF.]]=$B54,IF(DATOS_[[Check Periodo Ref.]:[Check Periodo Ref.]]="Dentro",IF(DATOS_[[Check Equiparado]:[Check Equiparado]]="Sí",IF(DATOS!AO$5="Sí",(1/DATOS_[[% anualiz]:[% anualiz]]),1)*IF(DATOS!AO$4="Sí",1/DATOS_[[% normaliz]:[% normaliz]],1)*(DATOS_[Conc.Sal.11])))))))),
0)</f>
        <v>0</v>
      </c>
      <c r="U56" s="101">
        <f t="array" ref="U56">IFERROR(
(AVERAGE((IF(DATOS_[[Sexo]:[Sexo]]=$B56,IF(DATOS_[[AGRUP. CLAS. PROF.]:[AGRUP. CLAS. PROF.]]=$B54,IF(DATOS_[[Check Periodo Ref.]:[Check Periodo Ref.]]="Dentro",IF(DATOS_[[Check Equiparado]:[Check Equiparado]]="Sí",IF(DATOS!AP$5="Sí",(1/DATOS_[[% anualiz]:[% anualiz]]),1)*IF(DATOS!AP$4="Sí",1/DATOS_[[% normaliz]:[% normaliz]],1)*(DATOS_[Conc.Sal.12])))))))),
0)</f>
        <v>0</v>
      </c>
      <c r="V56" s="101">
        <f t="array" ref="V56">IFERROR(
(AVERAGE((IF(DATOS_[[Sexo]:[Sexo]]=$B56,IF(DATOS_[[AGRUP. CLAS. PROF.]:[AGRUP. CLAS. PROF.]]=$B54,IF(DATOS_[[Check Periodo Ref.]:[Check Periodo Ref.]]="Dentro",IF(DATOS_[[Check Equiparado]:[Check Equiparado]]="Sí",IF(DATOS!AQ$5="Sí",(1/DATOS_[[% anualiz]:[% anualiz]]),1)*IF(DATOS!AQ$4="Sí",1/DATOS_[[% normaliz]:[% normaliz]],1)*(DATOS_[Conc.Sal.13])))))))),
0)</f>
        <v>0</v>
      </c>
      <c r="W56" s="101">
        <f t="array" ref="W56">IFERROR(
(AVERAGE((IF(DATOS_[[Sexo]:[Sexo]]=$B56,IF(DATOS_[[AGRUP. CLAS. PROF.]:[AGRUP. CLAS. PROF.]]=$B54,IF(DATOS_[[Check Periodo Ref.]:[Check Periodo Ref.]]="Dentro",IF(DATOS_[[Check Equiparado]:[Check Equiparado]]="Sí",IF(DATOS!AR$5="Sí",(1/DATOS_[[% anualiz]:[% anualiz]]),1)*IF(DATOS!AR$4="Sí",1/DATOS_[[% normaliz]:[% normaliz]],1)*(DATOS_[Conc.Sal.14])))))))),
0)</f>
        <v>0</v>
      </c>
      <c r="X56" s="101">
        <f t="array" ref="X56">IFERROR(
(AVERAGE((IF(DATOS_[[Sexo]:[Sexo]]=$B56,IF(DATOS_[[AGRUP. CLAS. PROF.]:[AGRUP. CLAS. PROF.]]=$B54,IF(DATOS_[[Check Periodo Ref.]:[Check Periodo Ref.]]="Dentro",IF(DATOS_[[Check Equiparado]:[Check Equiparado]]="Sí",IF(DATOS!AS$5="Sí",(1/DATOS_[[% anualiz]:[% anualiz]]),1)*IF(DATOS!AS$4="Sí",1/DATOS_[[% normaliz]:[% normaliz]],1)*(DATOS_[Conc.Sal.15])))))))),
0)</f>
        <v>0</v>
      </c>
      <c r="Y56" s="101">
        <f t="array" ref="Y56">IFERROR(
(AVERAGE((IF(DATOS_[[Sexo]:[Sexo]]=$B56,IF(DATOS_[[AGRUP. CLAS. PROF.]:[AGRUP. CLAS. PROF.]]=$B54,IF(DATOS_[[Check Periodo Ref.]:[Check Periodo Ref.]]="Dentro",IF(DATOS_[[Check Equiparado]:[Check Equiparado]]="Sí",IF(DATOS!AT$5="Sí",(1/DATOS_[[% anualiz]:[% anualiz]]),1)*IF(DATOS!AT$4="Sí",1/DATOS_[[% normaliz]:[% normaliz]],1)*(DATOS_[Conc.Sal.16])))))))),
0)</f>
        <v>0</v>
      </c>
      <c r="Z56" s="101">
        <f t="array" ref="Z56">IFERROR(
(AVERAGE((IF(DATOS_[[Sexo]:[Sexo]]=$B56,IF(DATOS_[[AGRUP. CLAS. PROF.]:[AGRUP. CLAS. PROF.]]=$B54,IF(DATOS_[[Check Periodo Ref.]:[Check Periodo Ref.]]="Dentro",IF(DATOS_[[Check Equiparado]:[Check Equiparado]]="Sí",IF(DATOS!AU$5="Sí",(1/DATOS_[[% anualiz]:[% anualiz]]),1)*IF(DATOS!AU$4="Sí",1/DATOS_[[% normaliz]:[% normaliz]],1)*(DATOS_[Conc.Sal.17])))))))),
0)</f>
        <v>0</v>
      </c>
      <c r="AA56" s="101">
        <f t="array" ref="AA56">IFERROR(
(AVERAGE((IF(DATOS_[[Sexo]:[Sexo]]=$B56,IF(DATOS_[[AGRUP. CLAS. PROF.]:[AGRUP. CLAS. PROF.]]=$B54,IF(DATOS_[[Check Periodo Ref.]:[Check Periodo Ref.]]="Dentro",IF(DATOS_[[Check Equiparado]:[Check Equiparado]]="Sí",IF(DATOS!AV$5="Sí",(1/DATOS_[[% anualiz]:[% anualiz]]),1)*IF(DATOS!AV$4="Sí",1/DATOS_[[% normaliz]:[% normaliz]],1)*(DATOS_[Conc.Sal.18])))))))),
0)</f>
        <v>0</v>
      </c>
      <c r="AB56" s="101">
        <f t="array" ref="AB56">IFERROR(
(AVERAGE((IF(DATOS_[[Sexo]:[Sexo]]=$B56,IF(DATOS_[[AGRUP. CLAS. PROF.]:[AGRUP. CLAS. PROF.]]=$B54,IF(DATOS_[[Check Periodo Ref.]:[Check Periodo Ref.]]="Dentro",IF(DATOS_[[Check Equiparado]:[Check Equiparado]]="Sí",IF(DATOS!AW$5="Sí",(1/DATOS_[[% anualiz]:[% anualiz]]),1)*IF(DATOS!AW$4="Sí",1/DATOS_[[% normaliz]:[% normaliz]],1)*(DATOS_[Conc.Sal.19])))))))),
0)</f>
        <v>0</v>
      </c>
      <c r="AC56" s="101">
        <f t="array" ref="AC56">IFERROR(
(AVERAGE((IF(DATOS_[[Sexo]:[Sexo]]=$B56,IF(DATOS_[[AGRUP. CLAS. PROF.]:[AGRUP. CLAS. PROF.]]=$B54,IF(DATOS_[[Check Periodo Ref.]:[Check Periodo Ref.]]="Dentro",IF(DATOS_[[Check Equiparado]:[Check Equiparado]]="Sí",IF(DATOS!AX$5="Sí",(1/DATOS_[[% anualiz]:[% anualiz]]),1)*IF(DATOS!AX$4="Sí",1/DATOS_[[% normaliz]:[% normaliz]],1)*(DATOS_[Conc.Sal.20])))))))),
0)</f>
        <v>0</v>
      </c>
      <c r="AD56" s="101">
        <f t="array" ref="AD56">IFERROR(
(AVERAGE((IF(DATOS_[[Sexo]:[Sexo]]=$B56,IF(DATOS_[[AGRUP. CLAS. PROF.]:[AGRUP. CLAS. PROF.]]=$B54,IF(DATOS_[[Check Periodo Ref.]:[Check Periodo Ref.]]="Dentro",IF(DATOS_[[Check Equiparado]:[Check Equiparado]]="Sí",IF(DATOS!AY$5="Sí",(1/DATOS_[[% anualiz]:[% anualiz]]),1)*IF(DATOS!AY$4="Sí",1/DATOS_[[% normaliz]:[% normaliz]],1)*(DATOS_[Conc.Sal.21])))))))),
0)</f>
        <v>0</v>
      </c>
      <c r="AE56" s="101">
        <f t="array" ref="AE56">IFERROR(
(AVERAGE((IF(DATOS_[[Sexo]:[Sexo]]=$B56,IF(DATOS_[[AGRUP. CLAS. PROF.]:[AGRUP. CLAS. PROF.]]=$B54,IF(DATOS_[[Check Periodo Ref.]:[Check Periodo Ref.]]="Dentro",IF(DATOS_[[Check Equiparado]:[Check Equiparado]]="Sí",IF(DATOS!AZ$5="Sí",(1/DATOS_[[% anualiz]:[% anualiz]]),1)*IF(DATOS!AZ$4="Sí",1/DATOS_[[% normaliz]:[% normaliz]],1)*(DATOS_[Conc.Sal.22])))))))),
0)</f>
        <v>0</v>
      </c>
      <c r="AF56" s="101">
        <f t="array" ref="AF56">IFERROR(
(AVERAGE((IF(DATOS_[[Sexo]:[Sexo]]=$B56,IF(DATOS_[[AGRUP. CLAS. PROF.]:[AGRUP. CLAS. PROF.]]=$B54,IF(DATOS_[[Check Periodo Ref.]:[Check Periodo Ref.]]="Dentro",IF(DATOS_[[Check Equiparado]:[Check Equiparado]]="Sí",IF(DATOS!BA$5="Sí",(1/DATOS_[[% anualiz]:[% anualiz]]),1)*IF(DATOS!BA$4="Sí",1/DATOS_[[% normaliz]:[% normaliz]],1)*(DATOS_[Conc.Sal.23])))))))),
0)</f>
        <v>0</v>
      </c>
      <c r="AG56" s="101">
        <f t="array" ref="AG56">IFERROR(
(AVERAGE((IF(DATOS_[[Sexo]:[Sexo]]=$B56,IF(DATOS_[[AGRUP. CLAS. PROF.]:[AGRUP. CLAS. PROF.]]=$B54,IF(DATOS_[[Check Periodo Ref.]:[Check Periodo Ref.]]="Dentro",IF(DATOS_[[Check Equiparado]:[Check Equiparado]]="Sí",IF(DATOS!BB$5="Sí",(1/DATOS_[[% anualiz]:[% anualiz]]),1)*IF(DATOS!BB$4="Sí",1/DATOS_[[% normaliz]:[% normaliz]],1)*(DATOS_[Conc.Sal.24])))))))),
0)</f>
        <v>0</v>
      </c>
      <c r="AH56" s="101">
        <f t="array" ref="AH56">IFERROR(
(AVERAGE((IF(DATOS_[[Sexo]:[Sexo]]=$B56,IF(DATOS_[[AGRUP. CLAS. PROF.]:[AGRUP. CLAS. PROF.]]=$B54,IF(DATOS_[[Check Periodo Ref.]:[Check Periodo Ref.]]="Dentro",IF(DATOS_[[Check Equiparado]:[Check Equiparado]]="Sí",IF(DATOS!BC$5="Sí",(1/DATOS_[[% anualiz]:[% anualiz]]),1)*IF(DATOS!BC$4="Sí",1/DATOS_[[% normaliz]:[% normaliz]],1)*(DATOS_[Conc.Sal.25])))))))),
0)</f>
        <v>0</v>
      </c>
      <c r="AI56" s="101">
        <f t="array" ref="AI56">IFERROR(
(AVERAGE((IF(DATOS_[[Sexo]:[Sexo]]=$B56,IF(DATOS_[[AGRUP. CLAS. PROF.]:[AGRUP. CLAS. PROF.]]=$B54,IF(DATOS_[[Check Periodo Ref.]:[Check Periodo Ref.]]="Dentro",IF(DATOS_[[Check Equiparado]:[Check Equiparado]]="Sí",IF(DATOS!BD$5="Sí",(1/DATOS_[[% anualiz]:[% anualiz]]),1)*IF(DATOS!BD$4="Sí",1/DATOS_[[% normaliz]:[% normaliz]],1)*(DATOS_[Conc.Sal.26])))))))),
0)</f>
        <v>0</v>
      </c>
      <c r="AJ56" s="101">
        <f t="array" ref="AJ56">IFERROR(
(AVERAGE((IF(DATOS_[[Sexo]:[Sexo]]=$B56,IF(DATOS_[[AGRUP. CLAS. PROF.]:[AGRUP. CLAS. PROF.]]=$B54,IF(DATOS_[[Check Periodo Ref.]:[Check Periodo Ref.]]="Dentro",IF(DATOS_[[Check Equiparado]:[Check Equiparado]]="Sí",IF(DATOS!BE$5="Sí",(1/DATOS_[[% anualiz]:[% anualiz]]),1)*IF(DATOS!BE$4="Sí",1/DATOS_[[% normaliz]:[% normaliz]],1)*(DATOS_[Conc.Sal.27])))))))),
0)</f>
        <v>0</v>
      </c>
      <c r="AK56" s="101">
        <f t="array" ref="AK56">IFERROR(
(AVERAGE((IF(DATOS_[[Sexo]:[Sexo]]=$B56,IF(DATOS_[[AGRUP. CLAS. PROF.]:[AGRUP. CLAS. PROF.]]=$B54,IF(DATOS_[[Check Periodo Ref.]:[Check Periodo Ref.]]="Dentro",IF(DATOS_[[Check Equiparado]:[Check Equiparado]]="Sí",IF(DATOS!BF$5="Sí",(1/DATOS_[[% anualiz]:[% anualiz]]),1)*IF(DATOS!BF$4="Sí",1/DATOS_[[% normaliz]:[% normaliz]],1)*(DATOS_[Conc.Sal.28])))))))),
0)</f>
        <v>0</v>
      </c>
      <c r="AL56" s="101">
        <f t="array" ref="AL56">IFERROR(
(AVERAGE((IF(DATOS_[[Sexo]:[Sexo]]=$B56,IF(DATOS_[[AGRUP. CLAS. PROF.]:[AGRUP. CLAS. PROF.]]=$B54,IF(DATOS_[[Check Periodo Ref.]:[Check Periodo Ref.]]="Dentro",IF(DATOS_[[Check Equiparado]:[Check Equiparado]]="Sí",IF(DATOS!BG$5="Sí",(1/DATOS_[[% anualiz]:[% anualiz]]),1)*IF(DATOS!BG$4="Sí",1/DATOS_[[% normaliz]:[% normaliz]],1)*(DATOS_[Conc.Sal.29])))))))),
0)</f>
        <v>0</v>
      </c>
      <c r="AM56" s="101">
        <f t="array" ref="AM56">IFERROR(
(AVERAGE((IF(DATOS_[[Sexo]:[Sexo]]=$B56,IF(DATOS_[[AGRUP. CLAS. PROF.]:[AGRUP. CLAS. PROF.]]=$B54,IF(DATOS_[[Check Periodo Ref.]:[Check Periodo Ref.]]="Dentro",IF(DATOS_[[Check Equiparado]:[Check Equiparado]]="Sí",IF(DATOS!BH$5="Sí",(1/DATOS_[[% anualiz]:[% anualiz]]),1)*IF(DATOS!BH$4="Sí",1/DATOS_[[% normaliz]:[% normaliz]],1)*(DATOS_[Conc.Sal.30])))))))),
0)</f>
        <v>0</v>
      </c>
      <c r="AN56" s="102">
        <f t="array" ref="AN56">IFERROR(
AVERAGE(IF(DATOS_[Sexo]=$B56,IF(DATOS_[[AGRUP. CLAS. PROF.]:[AGRUP. CLAS. PROF.]]=$B54,IF(DATOS_[Check Equiparado]="Sí",IF(DATOS_[Check Periodo Ref.]="Dentro",DATOS_[Tot COMPL.SAL Eq],FALSE))))),
0)</f>
        <v>0</v>
      </c>
      <c r="AO56" s="103">
        <f t="array" ref="AO56">IFERROR(
AVERAGE(IF(DATOS_[Sexo]=$B56,IF(DATOS_[[AGRUP. CLAS. PROF.]:[AGRUP. CLAS. PROF.]]=$B54,IF(DATOS_[Check Equiparado]="Sí",IF(DATOS_[Check Periodo Ref.]="Dentro",DATOS_[TOTAL SALARIO Eq],FALSE))))),
0)</f>
        <v>0</v>
      </c>
      <c r="AP56" s="104">
        <f t="array" ref="AP56">IFERROR(
(AVERAGE((IF(DATOS_[[Sexo]:[Sexo]]=$B56,IF(DATOS_[[AGRUP. CLAS. PROF.]:[AGRUP. CLAS. PROF.]]=$B54,IF(DATOS_[[Check Periodo Ref.]:[Check Periodo Ref.]]="Dentro",IF(DATOS_[[Check Equiparado]:[Check Equiparado]]="Sí",IF(DATOS!BI$5="Sí",(1/DATOS_[[% anualiz]:[% anualiz]]),1)*IF(DATOS!BI$4="Sí",1/DATOS_[[% normaliz]:[% normaliz]],1)*(DATOS_[C.Extra.01])))))))),
0)</f>
        <v>0</v>
      </c>
      <c r="AQ56" s="104">
        <f t="array" ref="AQ56">IFERROR(
(AVERAGE((IF(DATOS_[[Sexo]:[Sexo]]=$B56,IF(DATOS_[[AGRUP. CLAS. PROF.]:[AGRUP. CLAS. PROF.]]=$B54,IF(DATOS_[[Check Periodo Ref.]:[Check Periodo Ref.]]="Dentro",IF(DATOS_[[Check Equiparado]:[Check Equiparado]]="Sí",IF(DATOS!BJ$5="Sí",(1/DATOS_[[% anualiz]:[% anualiz]]),1)*IF(DATOS!BJ$4="Sí",1/DATOS_[[% normaliz]:[% normaliz]],1)*(DATOS_[C.Extra.02])))))))),
0)</f>
        <v>0</v>
      </c>
      <c r="AR56" s="104">
        <f t="array" ref="AR56">IFERROR(
(AVERAGE((IF(DATOS_[[Sexo]:[Sexo]]=$B56,IF(DATOS_[[AGRUP. CLAS. PROF.]:[AGRUP. CLAS. PROF.]]=$B54,IF(DATOS_[[Check Periodo Ref.]:[Check Periodo Ref.]]="Dentro",IF(DATOS_[[Check Equiparado]:[Check Equiparado]]="Sí",IF(DATOS!BK$5="Sí",(1/DATOS_[[% anualiz]:[% anualiz]]),1)*IF(DATOS!BK$4="Sí",1/DATOS_[[% normaliz]:[% normaliz]],1)*(DATOS_[C.Extra.03])))))))),
0)</f>
        <v>0</v>
      </c>
      <c r="AS56" s="104">
        <f t="array" ref="AS56">IFERROR(
(AVERAGE((IF(DATOS_[[Sexo]:[Sexo]]=$B56,IF(DATOS_[[AGRUP. CLAS. PROF.]:[AGRUP. CLAS. PROF.]]=$B54,IF(DATOS_[[Check Periodo Ref.]:[Check Periodo Ref.]]="Dentro",IF(DATOS_[[Check Equiparado]:[Check Equiparado]]="Sí",IF(DATOS!BL$5="Sí",(1/DATOS_[[% anualiz]:[% anualiz]]),1)*IF(DATOS!BL$4="Sí",1/DATOS_[[% normaliz]:[% normaliz]],1)*(DATOS_[C.Extra.04])))))))),
0)</f>
        <v>0</v>
      </c>
      <c r="AT56" s="104">
        <f t="array" ref="AT56">IFERROR(
(AVERAGE((IF(DATOS_[[Sexo]:[Sexo]]=$B56,IF(DATOS_[[AGRUP. CLAS. PROF.]:[AGRUP. CLAS. PROF.]]=$B54,IF(DATOS_[[Check Periodo Ref.]:[Check Periodo Ref.]]="Dentro",IF(DATOS_[[Check Equiparado]:[Check Equiparado]]="Sí",IF(DATOS!BM$5="Sí",(1/DATOS_[[% anualiz]:[% anualiz]]),1)*IF(DATOS!BM$4="Sí",1/DATOS_[[% normaliz]:[% normaliz]],1)*(DATOS_[C.Extra.05])))))))),
0)</f>
        <v>0</v>
      </c>
      <c r="AU56" s="105">
        <f t="array" ref="AU56">IFERROR(
AVERAGE(IF(DATOS_[Sexo]=$B56,IF(DATOS_[[AGRUP. CLAS. PROF.]:[AGRUP. CLAS. PROF.]]=$B54,IF(DATOS_[Check Equiparado]="Sí",IF(DATOS_[Check Periodo Ref.]="Dentro",DATOS_[Tot Extrasalarial Eq],FALSE))))),
0)</f>
        <v>0</v>
      </c>
      <c r="AV56" s="106">
        <f t="array" ref="AV56">IFERROR(
AVERAGE(IF(DATOS_[Sexo]=$B56,IF(DATOS_[[AGRUP. CLAS. PROF.]:[AGRUP. CLAS. PROF.]]=$B54,IF(DATOS_[Check Equiparado]="Sí",IF(DATOS_[Check Periodo Ref.]="Dentro",DATOS_[TOTAL Retrib Eq],FALSE))))),
0)</f>
        <v>0</v>
      </c>
    </row>
    <row r="57" spans="1:48" ht="17.25" hidden="1" thickBot="1" x14ac:dyDescent="0.35">
      <c r="A57" s="53" t="str">
        <f t="shared" ref="A57" si="59">+A58</f>
        <v>[ocultar]</v>
      </c>
      <c r="B57" s="62" t="s">
        <v>231</v>
      </c>
      <c r="C57" s="99"/>
      <c r="D57" s="63"/>
      <c r="E57" s="63"/>
      <c r="F57" s="63"/>
      <c r="G57" s="63"/>
      <c r="H57" s="63"/>
      <c r="I57" s="129" t="str">
        <f t="shared" ref="I57:AV57" si="60">IFERROR((I58-I59)/I58,"")</f>
        <v/>
      </c>
      <c r="J57" s="130" t="str">
        <f t="shared" si="60"/>
        <v/>
      </c>
      <c r="K57" s="131" t="str">
        <f t="shared" si="60"/>
        <v/>
      </c>
      <c r="L57" s="131" t="str">
        <f t="shared" si="60"/>
        <v/>
      </c>
      <c r="M57" s="131" t="str">
        <f t="shared" si="60"/>
        <v/>
      </c>
      <c r="N57" s="132" t="str">
        <f t="shared" si="60"/>
        <v/>
      </c>
      <c r="O57" s="133" t="str">
        <f t="shared" si="60"/>
        <v/>
      </c>
      <c r="P57" s="133" t="str">
        <f t="shared" si="60"/>
        <v/>
      </c>
      <c r="Q57" s="133" t="str">
        <f t="shared" si="60"/>
        <v/>
      </c>
      <c r="R57" s="133" t="str">
        <f t="shared" si="60"/>
        <v/>
      </c>
      <c r="S57" s="133" t="str">
        <f t="shared" si="60"/>
        <v/>
      </c>
      <c r="T57" s="133" t="str">
        <f t="shared" si="60"/>
        <v/>
      </c>
      <c r="U57" s="133" t="str">
        <f t="shared" si="60"/>
        <v/>
      </c>
      <c r="V57" s="133" t="str">
        <f t="shared" si="60"/>
        <v/>
      </c>
      <c r="W57" s="133" t="str">
        <f t="shared" si="60"/>
        <v/>
      </c>
      <c r="X57" s="133" t="str">
        <f t="shared" si="60"/>
        <v/>
      </c>
      <c r="Y57" s="133" t="str">
        <f t="shared" si="60"/>
        <v/>
      </c>
      <c r="Z57" s="132" t="str">
        <f t="shared" si="60"/>
        <v/>
      </c>
      <c r="AA57" s="132" t="str">
        <f t="shared" si="60"/>
        <v/>
      </c>
      <c r="AB57" s="132" t="str">
        <f t="shared" si="60"/>
        <v/>
      </c>
      <c r="AC57" s="132" t="str">
        <f t="shared" si="60"/>
        <v/>
      </c>
      <c r="AD57" s="132" t="str">
        <f t="shared" si="60"/>
        <v/>
      </c>
      <c r="AE57" s="132" t="str">
        <f t="shared" si="60"/>
        <v/>
      </c>
      <c r="AF57" s="132" t="str">
        <f t="shared" si="60"/>
        <v/>
      </c>
      <c r="AG57" s="132" t="str">
        <f t="shared" si="60"/>
        <v/>
      </c>
      <c r="AH57" s="132" t="str">
        <f t="shared" si="60"/>
        <v/>
      </c>
      <c r="AI57" s="132" t="str">
        <f t="shared" si="60"/>
        <v/>
      </c>
      <c r="AJ57" s="132" t="str">
        <f t="shared" si="60"/>
        <v/>
      </c>
      <c r="AK57" s="132" t="str">
        <f t="shared" si="60"/>
        <v/>
      </c>
      <c r="AL57" s="132" t="str">
        <f t="shared" si="60"/>
        <v/>
      </c>
      <c r="AM57" s="132" t="str">
        <f t="shared" si="60"/>
        <v/>
      </c>
      <c r="AN57" s="134" t="str">
        <f t="shared" si="60"/>
        <v/>
      </c>
      <c r="AO57" s="138" t="str">
        <f t="shared" si="60"/>
        <v/>
      </c>
      <c r="AP57" s="135" t="str">
        <f t="shared" si="60"/>
        <v/>
      </c>
      <c r="AQ57" s="135" t="str">
        <f t="shared" si="60"/>
        <v/>
      </c>
      <c r="AR57" s="135" t="str">
        <f t="shared" si="60"/>
        <v/>
      </c>
      <c r="AS57" s="135" t="str">
        <f t="shared" si="60"/>
        <v/>
      </c>
      <c r="AT57" s="135" t="str">
        <f t="shared" si="60"/>
        <v/>
      </c>
      <c r="AU57" s="136" t="str">
        <f t="shared" si="60"/>
        <v/>
      </c>
      <c r="AV57" s="137" t="str">
        <f t="shared" si="60"/>
        <v/>
      </c>
    </row>
    <row r="58" spans="1:48" hidden="1" x14ac:dyDescent="0.3">
      <c r="A58" s="53" t="str">
        <f t="shared" ref="A58" si="61">+IF(C58+C59=0,"[ocultar]","")</f>
        <v>[ocultar]</v>
      </c>
      <c r="B58" s="57" t="s">
        <v>162</v>
      </c>
      <c r="C58" s="56">
        <f t="array" ref="C58">SUM(IF($B58=DATOS_[Sexo],
IF($B57=DATOS_[AGRUP. CLAS. PROF.],
IF("Dentro"=DATOS_[Check Periodo Ref.],
1/(COUNTIFS(DATOS_[Sexo],$B58,DATOS_[AGRUP. CLAS. PROF.],$B57,DATOS_[Check Periodo Ref.],"Dentro",DATOS_[id],DATOS_[id]))))))</f>
        <v>0</v>
      </c>
      <c r="D58" s="58">
        <f>COUNTIFS(DATOS_[AGRUP. CLAS. PROF.],$B57,DATOS_[Sexo],$B58,DATOS_[Check Periodo Ref.],"Dentro")</f>
        <v>0</v>
      </c>
      <c r="E58" s="58">
        <f>COUNTIFS(DATOS_[AGRUP. CLAS. PROF.],$B57,DATOS_[Sexo],$B58,DATOS_[Check Periodo Ref.],"Dentro",DATOS_[Check Nº SC Norm],"Sí")</f>
        <v>0</v>
      </c>
      <c r="F58" s="58">
        <f>COUNTIFS(DATOS_[AGRUP. CLAS. PROF.],$B57,DATOS_[Sexo],$B58,DATOS_[Check Periodo Ref.],"Dentro",DATOS_[Check Nº SC Anualiz],"Sí")</f>
        <v>0</v>
      </c>
      <c r="G58" s="58">
        <f>COUNTIFS(DATOS_[AGRUP. CLAS. PROF.],$B57,DATOS_[Sexo],$B58,DATOS_[Check Periodo Ref.],"Dentro",DATOS_[Check Nº SC Norm y Anualiz],"Sí")</f>
        <v>0</v>
      </c>
      <c r="H58" s="58">
        <f>COUNTIFS(DATOS_[AGRUP. CLAS. PROF.],$B57,DATOS_[Sexo],$B58,DATOS_[Check Periodo Ref.],"Dentro",DATOS_[Check Equiparación],"Sí")</f>
        <v>0</v>
      </c>
      <c r="I58" s="100">
        <f t="array" ref="I58">IFERROR(
AVERAGE(IF(DATOS_[Sexo]=$B58,IF(DATOS_[[AGRUP. CLAS. PROF.]:[AGRUP. CLAS. PROF.]]=$B57,IF(DATOS_[Check Equiparado]="Sí",IF(DATOS_[Check Periodo Ref.]="Dentro",DATOS_[SALARIO BASE Eq],FALSE))))),
0)</f>
        <v>0</v>
      </c>
      <c r="J58" s="101">
        <f t="array" ref="J58">IFERROR(
(AVERAGE((IF(DATOS_[[Sexo]:[Sexo]]=$B58,IF(DATOS_[[AGRUP. CLAS. PROF.]:[AGRUP. CLAS. PROF.]]=$B57,IF(DATOS_[[Check Periodo Ref.]:[Check Periodo Ref.]]="Dentro",IF(DATOS_[[Check Equiparado]:[Check Equiparado]]="Sí",IF(DATOS!AE$5="Sí",(1/DATOS_[[% anualiz]:[% anualiz]]),1)*IF(DATOS!AE$4="Sí",1/DATOS_[[% normaliz]:[% normaliz]],1)*(DATOS_[Conc.Sal.01])))))))),
0)</f>
        <v>0</v>
      </c>
      <c r="K58" s="101">
        <f t="array" ref="K58">IFERROR(
(AVERAGE((IF(DATOS_[[Sexo]:[Sexo]]=$B58,IF(DATOS_[[AGRUP. CLAS. PROF.]:[AGRUP. CLAS. PROF.]]=$B57,IF(DATOS_[[Check Periodo Ref.]:[Check Periodo Ref.]]="Dentro",IF(DATOS_[[Check Equiparado]:[Check Equiparado]]="Sí",IF(DATOS!AF$5="Sí",(1/DATOS_[[% anualiz]:[% anualiz]]),1)*IF(DATOS!AF$4="Sí",1/DATOS_[[% normaliz]:[% normaliz]],1)*(DATOS_[Conc.Sal.02])))))))),
0)</f>
        <v>0</v>
      </c>
      <c r="L58" s="101">
        <f t="array" ref="L58">IFERROR(
(AVERAGE((IF(DATOS_[[Sexo]:[Sexo]]=$B58,IF(DATOS_[[AGRUP. CLAS. PROF.]:[AGRUP. CLAS. PROF.]]=$B57,IF(DATOS_[[Check Periodo Ref.]:[Check Periodo Ref.]]="Dentro",IF(DATOS_[[Check Equiparado]:[Check Equiparado]]="Sí",IF(DATOS!AG$5="Sí",(1/DATOS_[[% anualiz]:[% anualiz]]),1)*IF(DATOS!AG$4="Sí",1/DATOS_[[% normaliz]:[% normaliz]],1)*(DATOS_[Conc.Sal.03])))))))),
0)</f>
        <v>0</v>
      </c>
      <c r="M58" s="101">
        <f t="array" ref="M58">IFERROR(
(AVERAGE((IF(DATOS_[[Sexo]:[Sexo]]=$B58,IF(DATOS_[[AGRUP. CLAS. PROF.]:[AGRUP. CLAS. PROF.]]=$B57,IF(DATOS_[[Check Periodo Ref.]:[Check Periodo Ref.]]="Dentro",IF(DATOS_[[Check Equiparado]:[Check Equiparado]]="Sí",IF(DATOS!AH$5="Sí",(1/DATOS_[[% anualiz]:[% anualiz]]),1)*IF(DATOS!AH$4="Sí",1/DATOS_[[% normaliz]:[% normaliz]],1)*(DATOS_[Conc.Sal.04])))))))),
0)</f>
        <v>0</v>
      </c>
      <c r="N58" s="101">
        <f t="array" ref="N58">IFERROR(
(AVERAGE((IF(DATOS_[[Sexo]:[Sexo]]=$B58,IF(DATOS_[[AGRUP. CLAS. PROF.]:[AGRUP. CLAS. PROF.]]=$B57,IF(DATOS_[[Check Periodo Ref.]:[Check Periodo Ref.]]="Dentro",IF(DATOS_[[Check Equiparado]:[Check Equiparado]]="Sí",IF(DATOS!AI$5="Sí",(1/DATOS_[[% anualiz]:[% anualiz]]),1)*IF(DATOS!AI$4="Sí",1/DATOS_[[% normaliz]:[% normaliz]],1)*(DATOS_[Conc.Sal.05])))))))),
0)</f>
        <v>0</v>
      </c>
      <c r="O58" s="101">
        <f t="array" ref="O58">IFERROR(
(AVERAGE((IF(DATOS_[[Sexo]:[Sexo]]=$B58,IF(DATOS_[[AGRUP. CLAS. PROF.]:[AGRUP. CLAS. PROF.]]=$B57,IF(DATOS_[[Check Periodo Ref.]:[Check Periodo Ref.]]="Dentro",IF(DATOS_[[Check Equiparado]:[Check Equiparado]]="Sí",IF(DATOS!AJ$5="Sí",(1/DATOS_[[% anualiz]:[% anualiz]]),1)*IF(DATOS!AJ$4="Sí",1/DATOS_[[% normaliz]:[% normaliz]],1)*(DATOS_[Conc.Sal.06])))))))),
0)</f>
        <v>0</v>
      </c>
      <c r="P58" s="101">
        <f t="array" ref="P58">IFERROR(
(AVERAGE((IF(DATOS_[[Sexo]:[Sexo]]=$B58,IF(DATOS_[[AGRUP. CLAS. PROF.]:[AGRUP. CLAS. PROF.]]=$B57,IF(DATOS_[[Check Periodo Ref.]:[Check Periodo Ref.]]="Dentro",IF(DATOS_[[Check Equiparado]:[Check Equiparado]]="Sí",IF(DATOS!AK$5="Sí",(1/DATOS_[[% anualiz]:[% anualiz]]),1)*IF(DATOS!AK$4="Sí",1/DATOS_[[% normaliz]:[% normaliz]],1)*(DATOS_[Conc.Sal.07])))))))),
0)</f>
        <v>0</v>
      </c>
      <c r="Q58" s="101">
        <f t="array" ref="Q58">IFERROR(
(AVERAGE((IF(DATOS_[[Sexo]:[Sexo]]=$B58,IF(DATOS_[[AGRUP. CLAS. PROF.]:[AGRUP. CLAS. PROF.]]=$B57,IF(DATOS_[[Check Periodo Ref.]:[Check Periodo Ref.]]="Dentro",IF(DATOS_[[Check Equiparado]:[Check Equiparado]]="Sí",IF(DATOS!AL$5="Sí",(1/DATOS_[[% anualiz]:[% anualiz]]),1)*IF(DATOS!AL$4="Sí",1/DATOS_[[% normaliz]:[% normaliz]],1)*(DATOS_[Conc.Sal.08])))))))),
0)</f>
        <v>0</v>
      </c>
      <c r="R58" s="101">
        <f t="array" ref="R58">IFERROR(
(AVERAGE((IF(DATOS_[[Sexo]:[Sexo]]=$B58,IF(DATOS_[[AGRUP. CLAS. PROF.]:[AGRUP. CLAS. PROF.]]=$B57,IF(DATOS_[[Check Periodo Ref.]:[Check Periodo Ref.]]="Dentro",IF(DATOS_[[Check Equiparado]:[Check Equiparado]]="Sí",IF(DATOS!AM$5="Sí",(1/DATOS_[[% anualiz]:[% anualiz]]),1)*IF(DATOS!AM$4="Sí",1/DATOS_[[% normaliz]:[% normaliz]],1)*(DATOS_[Conc.Sal.09])))))))),
0)</f>
        <v>0</v>
      </c>
      <c r="S58" s="101">
        <f t="array" ref="S58">IFERROR(
(AVERAGE((IF(DATOS_[[Sexo]:[Sexo]]=$B58,IF(DATOS_[[AGRUP. CLAS. PROF.]:[AGRUP. CLAS. PROF.]]=$B57,IF(DATOS_[[Check Periodo Ref.]:[Check Periodo Ref.]]="Dentro",IF(DATOS_[[Check Equiparado]:[Check Equiparado]]="Sí",IF(DATOS!AN$5="Sí",(1/DATOS_[[% anualiz]:[% anualiz]]),1)*IF(DATOS!AN$4="Sí",1/DATOS_[[% normaliz]:[% normaliz]],1)*(DATOS_[Conc.Sal.10])))))))),
0)</f>
        <v>0</v>
      </c>
      <c r="T58" s="101">
        <f t="array" ref="T58">IFERROR(
(AVERAGE((IF(DATOS_[[Sexo]:[Sexo]]=$B58,IF(DATOS_[[AGRUP. CLAS. PROF.]:[AGRUP. CLAS. PROF.]]=$B57,IF(DATOS_[[Check Periodo Ref.]:[Check Periodo Ref.]]="Dentro",IF(DATOS_[[Check Equiparado]:[Check Equiparado]]="Sí",IF(DATOS!AO$5="Sí",(1/DATOS_[[% anualiz]:[% anualiz]]),1)*IF(DATOS!AO$4="Sí",1/DATOS_[[% normaliz]:[% normaliz]],1)*(DATOS_[Conc.Sal.11])))))))),
0)</f>
        <v>0</v>
      </c>
      <c r="U58" s="101">
        <f t="array" ref="U58">IFERROR(
(AVERAGE((IF(DATOS_[[Sexo]:[Sexo]]=$B58,IF(DATOS_[[AGRUP. CLAS. PROF.]:[AGRUP. CLAS. PROF.]]=$B57,IF(DATOS_[[Check Periodo Ref.]:[Check Periodo Ref.]]="Dentro",IF(DATOS_[[Check Equiparado]:[Check Equiparado]]="Sí",IF(DATOS!AP$5="Sí",(1/DATOS_[[% anualiz]:[% anualiz]]),1)*IF(DATOS!AP$4="Sí",1/DATOS_[[% normaliz]:[% normaliz]],1)*(DATOS_[Conc.Sal.12])))))))),
0)</f>
        <v>0</v>
      </c>
      <c r="V58" s="101">
        <f t="array" ref="V58">IFERROR(
(AVERAGE((IF(DATOS_[[Sexo]:[Sexo]]=$B58,IF(DATOS_[[AGRUP. CLAS. PROF.]:[AGRUP. CLAS. PROF.]]=$B57,IF(DATOS_[[Check Periodo Ref.]:[Check Periodo Ref.]]="Dentro",IF(DATOS_[[Check Equiparado]:[Check Equiparado]]="Sí",IF(DATOS!AQ$5="Sí",(1/DATOS_[[% anualiz]:[% anualiz]]),1)*IF(DATOS!AQ$4="Sí",1/DATOS_[[% normaliz]:[% normaliz]],1)*(DATOS_[Conc.Sal.13])))))))),
0)</f>
        <v>0</v>
      </c>
      <c r="W58" s="101">
        <f t="array" ref="W58">IFERROR(
(AVERAGE((IF(DATOS_[[Sexo]:[Sexo]]=$B58,IF(DATOS_[[AGRUP. CLAS. PROF.]:[AGRUP. CLAS. PROF.]]=$B57,IF(DATOS_[[Check Periodo Ref.]:[Check Periodo Ref.]]="Dentro",IF(DATOS_[[Check Equiparado]:[Check Equiparado]]="Sí",IF(DATOS!AR$5="Sí",(1/DATOS_[[% anualiz]:[% anualiz]]),1)*IF(DATOS!AR$4="Sí",1/DATOS_[[% normaliz]:[% normaliz]],1)*(DATOS_[Conc.Sal.14])))))))),
0)</f>
        <v>0</v>
      </c>
      <c r="X58" s="101">
        <f t="array" ref="X58">IFERROR(
(AVERAGE((IF(DATOS_[[Sexo]:[Sexo]]=$B58,IF(DATOS_[[AGRUP. CLAS. PROF.]:[AGRUP. CLAS. PROF.]]=$B57,IF(DATOS_[[Check Periodo Ref.]:[Check Periodo Ref.]]="Dentro",IF(DATOS_[[Check Equiparado]:[Check Equiparado]]="Sí",IF(DATOS!AS$5="Sí",(1/DATOS_[[% anualiz]:[% anualiz]]),1)*IF(DATOS!AS$4="Sí",1/DATOS_[[% normaliz]:[% normaliz]],1)*(DATOS_[Conc.Sal.15])))))))),
0)</f>
        <v>0</v>
      </c>
      <c r="Y58" s="101">
        <f t="array" ref="Y58">IFERROR(
(AVERAGE((IF(DATOS_[[Sexo]:[Sexo]]=$B58,IF(DATOS_[[AGRUP. CLAS. PROF.]:[AGRUP. CLAS. PROF.]]=$B57,IF(DATOS_[[Check Periodo Ref.]:[Check Periodo Ref.]]="Dentro",IF(DATOS_[[Check Equiparado]:[Check Equiparado]]="Sí",IF(DATOS!AT$5="Sí",(1/DATOS_[[% anualiz]:[% anualiz]]),1)*IF(DATOS!AT$4="Sí",1/DATOS_[[% normaliz]:[% normaliz]],1)*(DATOS_[Conc.Sal.16])))))))),
0)</f>
        <v>0</v>
      </c>
      <c r="Z58" s="101">
        <f t="array" ref="Z58">IFERROR(
(AVERAGE((IF(DATOS_[[Sexo]:[Sexo]]=$B58,IF(DATOS_[[AGRUP. CLAS. PROF.]:[AGRUP. CLAS. PROF.]]=$B57,IF(DATOS_[[Check Periodo Ref.]:[Check Periodo Ref.]]="Dentro",IF(DATOS_[[Check Equiparado]:[Check Equiparado]]="Sí",IF(DATOS!AU$5="Sí",(1/DATOS_[[% anualiz]:[% anualiz]]),1)*IF(DATOS!AU$4="Sí",1/DATOS_[[% normaliz]:[% normaliz]],1)*(DATOS_[Conc.Sal.17])))))))),
0)</f>
        <v>0</v>
      </c>
      <c r="AA58" s="101">
        <f t="array" ref="AA58">IFERROR(
(AVERAGE((IF(DATOS_[[Sexo]:[Sexo]]=$B58,IF(DATOS_[[AGRUP. CLAS. PROF.]:[AGRUP. CLAS. PROF.]]=$B57,IF(DATOS_[[Check Periodo Ref.]:[Check Periodo Ref.]]="Dentro",IF(DATOS_[[Check Equiparado]:[Check Equiparado]]="Sí",IF(DATOS!AV$5="Sí",(1/DATOS_[[% anualiz]:[% anualiz]]),1)*IF(DATOS!AV$4="Sí",1/DATOS_[[% normaliz]:[% normaliz]],1)*(DATOS_[Conc.Sal.18])))))))),
0)</f>
        <v>0</v>
      </c>
      <c r="AB58" s="101">
        <f t="array" ref="AB58">IFERROR(
(AVERAGE((IF(DATOS_[[Sexo]:[Sexo]]=$B58,IF(DATOS_[[AGRUP. CLAS. PROF.]:[AGRUP. CLAS. PROF.]]=$B57,IF(DATOS_[[Check Periodo Ref.]:[Check Periodo Ref.]]="Dentro",IF(DATOS_[[Check Equiparado]:[Check Equiparado]]="Sí",IF(DATOS!AW$5="Sí",(1/DATOS_[[% anualiz]:[% anualiz]]),1)*IF(DATOS!AW$4="Sí",1/DATOS_[[% normaliz]:[% normaliz]],1)*(DATOS_[Conc.Sal.19])))))))),
0)</f>
        <v>0</v>
      </c>
      <c r="AC58" s="101">
        <f t="array" ref="AC58">IFERROR(
(AVERAGE((IF(DATOS_[[Sexo]:[Sexo]]=$B58,IF(DATOS_[[AGRUP. CLAS. PROF.]:[AGRUP. CLAS. PROF.]]=$B57,IF(DATOS_[[Check Periodo Ref.]:[Check Periodo Ref.]]="Dentro",IF(DATOS_[[Check Equiparado]:[Check Equiparado]]="Sí",IF(DATOS!AX$5="Sí",(1/DATOS_[[% anualiz]:[% anualiz]]),1)*IF(DATOS!AX$4="Sí",1/DATOS_[[% normaliz]:[% normaliz]],1)*(DATOS_[Conc.Sal.20])))))))),
0)</f>
        <v>0</v>
      </c>
      <c r="AD58" s="101">
        <f t="array" ref="AD58">IFERROR(
(AVERAGE((IF(DATOS_[[Sexo]:[Sexo]]=$B58,IF(DATOS_[[AGRUP. CLAS. PROF.]:[AGRUP. CLAS. PROF.]]=$B57,IF(DATOS_[[Check Periodo Ref.]:[Check Periodo Ref.]]="Dentro",IF(DATOS_[[Check Equiparado]:[Check Equiparado]]="Sí",IF(DATOS!AY$5="Sí",(1/DATOS_[[% anualiz]:[% anualiz]]),1)*IF(DATOS!AY$4="Sí",1/DATOS_[[% normaliz]:[% normaliz]],1)*(DATOS_[Conc.Sal.21])))))))),
0)</f>
        <v>0</v>
      </c>
      <c r="AE58" s="101">
        <f t="array" ref="AE58">IFERROR(
(AVERAGE((IF(DATOS_[[Sexo]:[Sexo]]=$B58,IF(DATOS_[[AGRUP. CLAS. PROF.]:[AGRUP. CLAS. PROF.]]=$B57,IF(DATOS_[[Check Periodo Ref.]:[Check Periodo Ref.]]="Dentro",IF(DATOS_[[Check Equiparado]:[Check Equiparado]]="Sí",IF(DATOS!AZ$5="Sí",(1/DATOS_[[% anualiz]:[% anualiz]]),1)*IF(DATOS!AZ$4="Sí",1/DATOS_[[% normaliz]:[% normaliz]],1)*(DATOS_[Conc.Sal.22])))))))),
0)</f>
        <v>0</v>
      </c>
      <c r="AF58" s="101">
        <f t="array" ref="AF58">IFERROR(
(AVERAGE((IF(DATOS_[[Sexo]:[Sexo]]=$B58,IF(DATOS_[[AGRUP. CLAS. PROF.]:[AGRUP. CLAS. PROF.]]=$B57,IF(DATOS_[[Check Periodo Ref.]:[Check Periodo Ref.]]="Dentro",IF(DATOS_[[Check Equiparado]:[Check Equiparado]]="Sí",IF(DATOS!BA$5="Sí",(1/DATOS_[[% anualiz]:[% anualiz]]),1)*IF(DATOS!BA$4="Sí",1/DATOS_[[% normaliz]:[% normaliz]],1)*(DATOS_[Conc.Sal.23])))))))),
0)</f>
        <v>0</v>
      </c>
      <c r="AG58" s="101">
        <f t="array" ref="AG58">IFERROR(
(AVERAGE((IF(DATOS_[[Sexo]:[Sexo]]=$B58,IF(DATOS_[[AGRUP. CLAS. PROF.]:[AGRUP. CLAS. PROF.]]=$B57,IF(DATOS_[[Check Periodo Ref.]:[Check Periodo Ref.]]="Dentro",IF(DATOS_[[Check Equiparado]:[Check Equiparado]]="Sí",IF(DATOS!BB$5="Sí",(1/DATOS_[[% anualiz]:[% anualiz]]),1)*IF(DATOS!BB$4="Sí",1/DATOS_[[% normaliz]:[% normaliz]],1)*(DATOS_[Conc.Sal.24])))))))),
0)</f>
        <v>0</v>
      </c>
      <c r="AH58" s="101">
        <f t="array" ref="AH58">IFERROR(
(AVERAGE((IF(DATOS_[[Sexo]:[Sexo]]=$B58,IF(DATOS_[[AGRUP. CLAS. PROF.]:[AGRUP. CLAS. PROF.]]=$B57,IF(DATOS_[[Check Periodo Ref.]:[Check Periodo Ref.]]="Dentro",IF(DATOS_[[Check Equiparado]:[Check Equiparado]]="Sí",IF(DATOS!BC$5="Sí",(1/DATOS_[[% anualiz]:[% anualiz]]),1)*IF(DATOS!BC$4="Sí",1/DATOS_[[% normaliz]:[% normaliz]],1)*(DATOS_[Conc.Sal.25])))))))),
0)</f>
        <v>0</v>
      </c>
      <c r="AI58" s="101">
        <f t="array" ref="AI58">IFERROR(
(AVERAGE((IF(DATOS_[[Sexo]:[Sexo]]=$B58,IF(DATOS_[[AGRUP. CLAS. PROF.]:[AGRUP. CLAS. PROF.]]=$B57,IF(DATOS_[[Check Periodo Ref.]:[Check Periodo Ref.]]="Dentro",IF(DATOS_[[Check Equiparado]:[Check Equiparado]]="Sí",IF(DATOS!BD$5="Sí",(1/DATOS_[[% anualiz]:[% anualiz]]),1)*IF(DATOS!BD$4="Sí",1/DATOS_[[% normaliz]:[% normaliz]],1)*(DATOS_[Conc.Sal.26])))))))),
0)</f>
        <v>0</v>
      </c>
      <c r="AJ58" s="101">
        <f t="array" ref="AJ58">IFERROR(
(AVERAGE((IF(DATOS_[[Sexo]:[Sexo]]=$B58,IF(DATOS_[[AGRUP. CLAS. PROF.]:[AGRUP. CLAS. PROF.]]=$B57,IF(DATOS_[[Check Periodo Ref.]:[Check Periodo Ref.]]="Dentro",IF(DATOS_[[Check Equiparado]:[Check Equiparado]]="Sí",IF(DATOS!BE$5="Sí",(1/DATOS_[[% anualiz]:[% anualiz]]),1)*IF(DATOS!BE$4="Sí",1/DATOS_[[% normaliz]:[% normaliz]],1)*(DATOS_[Conc.Sal.27])))))))),
0)</f>
        <v>0</v>
      </c>
      <c r="AK58" s="101">
        <f t="array" ref="AK58">IFERROR(
(AVERAGE((IF(DATOS_[[Sexo]:[Sexo]]=$B58,IF(DATOS_[[AGRUP. CLAS. PROF.]:[AGRUP. CLAS. PROF.]]=$B57,IF(DATOS_[[Check Periodo Ref.]:[Check Periodo Ref.]]="Dentro",IF(DATOS_[[Check Equiparado]:[Check Equiparado]]="Sí",IF(DATOS!BF$5="Sí",(1/DATOS_[[% anualiz]:[% anualiz]]),1)*IF(DATOS!BF$4="Sí",1/DATOS_[[% normaliz]:[% normaliz]],1)*(DATOS_[Conc.Sal.28])))))))),
0)</f>
        <v>0</v>
      </c>
      <c r="AL58" s="101">
        <f t="array" ref="AL58">IFERROR(
(AVERAGE((IF(DATOS_[[Sexo]:[Sexo]]=$B58,IF(DATOS_[[AGRUP. CLAS. PROF.]:[AGRUP. CLAS. PROF.]]=$B57,IF(DATOS_[[Check Periodo Ref.]:[Check Periodo Ref.]]="Dentro",IF(DATOS_[[Check Equiparado]:[Check Equiparado]]="Sí",IF(DATOS!BG$5="Sí",(1/DATOS_[[% anualiz]:[% anualiz]]),1)*IF(DATOS!BG$4="Sí",1/DATOS_[[% normaliz]:[% normaliz]],1)*(DATOS_[Conc.Sal.29])))))))),
0)</f>
        <v>0</v>
      </c>
      <c r="AM58" s="101">
        <f t="array" ref="AM58">IFERROR(
(AVERAGE((IF(DATOS_[[Sexo]:[Sexo]]=$B58,IF(DATOS_[[AGRUP. CLAS. PROF.]:[AGRUP. CLAS. PROF.]]=$B57,IF(DATOS_[[Check Periodo Ref.]:[Check Periodo Ref.]]="Dentro",IF(DATOS_[[Check Equiparado]:[Check Equiparado]]="Sí",IF(DATOS!BH$5="Sí",(1/DATOS_[[% anualiz]:[% anualiz]]),1)*IF(DATOS!BH$4="Sí",1/DATOS_[[% normaliz]:[% normaliz]],1)*(DATOS_[Conc.Sal.30])))))))),
0)</f>
        <v>0</v>
      </c>
      <c r="AN58" s="102">
        <f t="array" ref="AN58">IFERROR(
AVERAGE(IF(DATOS_[Sexo]=$B58,IF(DATOS_[[AGRUP. CLAS. PROF.]:[AGRUP. CLAS. PROF.]]=$B57,IF(DATOS_[Check Equiparado]="Sí",IF(DATOS_[Check Periodo Ref.]="Dentro",DATOS_[Tot COMPL.SAL Eq],FALSE))))),
0)</f>
        <v>0</v>
      </c>
      <c r="AO58" s="103">
        <f t="array" ref="AO58">IFERROR(
AVERAGE(IF(DATOS_[Sexo]=$B58,IF(DATOS_[[AGRUP. CLAS. PROF.]:[AGRUP. CLAS. PROF.]]=$B57,IF(DATOS_[Check Equiparado]="Sí",IF(DATOS_[Check Periodo Ref.]="Dentro",DATOS_[TOTAL SALARIO Eq],FALSE))))),
0)</f>
        <v>0</v>
      </c>
      <c r="AP58" s="104">
        <f t="array" ref="AP58">IFERROR(
(AVERAGE((IF(DATOS_[[Sexo]:[Sexo]]=$B58,IF(DATOS_[[AGRUP. CLAS. PROF.]:[AGRUP. CLAS. PROF.]]=$B57,IF(DATOS_[[Check Periodo Ref.]:[Check Periodo Ref.]]="Dentro",IF(DATOS_[[Check Equiparado]:[Check Equiparado]]="Sí",IF(DATOS!BI$5="Sí",(1/DATOS_[[% anualiz]:[% anualiz]]),1)*IF(DATOS!BI$4="Sí",1/DATOS_[[% normaliz]:[% normaliz]],1)*(DATOS_[C.Extra.01])))))))),
0)</f>
        <v>0</v>
      </c>
      <c r="AQ58" s="104">
        <f t="array" ref="AQ58">IFERROR(
(AVERAGE((IF(DATOS_[[Sexo]:[Sexo]]=$B58,IF(DATOS_[[AGRUP. CLAS. PROF.]:[AGRUP. CLAS. PROF.]]=$B57,IF(DATOS_[[Check Periodo Ref.]:[Check Periodo Ref.]]="Dentro",IF(DATOS_[[Check Equiparado]:[Check Equiparado]]="Sí",IF(DATOS!BJ$5="Sí",(1/DATOS_[[% anualiz]:[% anualiz]]),1)*IF(DATOS!BJ$4="Sí",1/DATOS_[[% normaliz]:[% normaliz]],1)*(DATOS_[C.Extra.02])))))))),
0)</f>
        <v>0</v>
      </c>
      <c r="AR58" s="104">
        <f t="array" ref="AR58">IFERROR(
(AVERAGE((IF(DATOS_[[Sexo]:[Sexo]]=$B58,IF(DATOS_[[AGRUP. CLAS. PROF.]:[AGRUP. CLAS. PROF.]]=$B57,IF(DATOS_[[Check Periodo Ref.]:[Check Periodo Ref.]]="Dentro",IF(DATOS_[[Check Equiparado]:[Check Equiparado]]="Sí",IF(DATOS!BK$5="Sí",(1/DATOS_[[% anualiz]:[% anualiz]]),1)*IF(DATOS!BK$4="Sí",1/DATOS_[[% normaliz]:[% normaliz]],1)*(DATOS_[C.Extra.03])))))))),
0)</f>
        <v>0</v>
      </c>
      <c r="AS58" s="104">
        <f t="array" ref="AS58">IFERROR(
(AVERAGE((IF(DATOS_[[Sexo]:[Sexo]]=$B58,IF(DATOS_[[AGRUP. CLAS. PROF.]:[AGRUP. CLAS. PROF.]]=$B57,IF(DATOS_[[Check Periodo Ref.]:[Check Periodo Ref.]]="Dentro",IF(DATOS_[[Check Equiparado]:[Check Equiparado]]="Sí",IF(DATOS!BL$5="Sí",(1/DATOS_[[% anualiz]:[% anualiz]]),1)*IF(DATOS!BL$4="Sí",1/DATOS_[[% normaliz]:[% normaliz]],1)*(DATOS_[C.Extra.04])))))))),
0)</f>
        <v>0</v>
      </c>
      <c r="AT58" s="104">
        <f t="array" ref="AT58">IFERROR(
(AVERAGE((IF(DATOS_[[Sexo]:[Sexo]]=$B58,IF(DATOS_[[AGRUP. CLAS. PROF.]:[AGRUP. CLAS. PROF.]]=$B57,IF(DATOS_[[Check Periodo Ref.]:[Check Periodo Ref.]]="Dentro",IF(DATOS_[[Check Equiparado]:[Check Equiparado]]="Sí",IF(DATOS!BM$5="Sí",(1/DATOS_[[% anualiz]:[% anualiz]]),1)*IF(DATOS!BM$4="Sí",1/DATOS_[[% normaliz]:[% normaliz]],1)*(DATOS_[C.Extra.05])))))))),
0)</f>
        <v>0</v>
      </c>
      <c r="AU58" s="105">
        <f t="array" ref="AU58">IFERROR(
AVERAGE(IF(DATOS_[Sexo]=$B58,IF(DATOS_[[AGRUP. CLAS. PROF.]:[AGRUP. CLAS. PROF.]]=$B57,IF(DATOS_[Check Equiparado]="Sí",IF(DATOS_[Check Periodo Ref.]="Dentro",DATOS_[Tot Extrasalarial Eq],FALSE))))),
0)</f>
        <v>0</v>
      </c>
      <c r="AV58" s="106">
        <f t="array" ref="AV58">IFERROR(
AVERAGE(IF(DATOS_[Sexo]=$B58,IF(DATOS_[[AGRUP. CLAS. PROF.]:[AGRUP. CLAS. PROF.]]=$B57,IF(DATOS_[Check Equiparado]="Sí",IF(DATOS_[Check Periodo Ref.]="Dentro",DATOS_[TOTAL Retrib Eq],FALSE))))),
0)</f>
        <v>0</v>
      </c>
    </row>
    <row r="59" spans="1:48" hidden="1" x14ac:dyDescent="0.3">
      <c r="A59" s="53" t="str">
        <f t="shared" ref="A59" si="62">+A58</f>
        <v>[ocultar]</v>
      </c>
      <c r="B59" s="57" t="s">
        <v>163</v>
      </c>
      <c r="C59" s="56">
        <f t="array" ref="C59">SUM(IF($B59=DATOS_[Sexo],
IF($B57=DATOS_[AGRUP. CLAS. PROF.],
IF("Dentro"=DATOS_[Check Periodo Ref.],
1/(COUNTIFS(DATOS_[Sexo],$B59,DATOS_[AGRUP. CLAS. PROF.],$B57,DATOS_[Check Periodo Ref.],"Dentro",DATOS_[id],DATOS_[id]))))))</f>
        <v>0</v>
      </c>
      <c r="D59" s="58">
        <f>COUNTIFS(DATOS_[AGRUP. CLAS. PROF.],$B57,DATOS_[Sexo],$B59,DATOS_[Check Periodo Ref.],"Dentro")</f>
        <v>0</v>
      </c>
      <c r="E59" s="58">
        <f>COUNTIFS(DATOS_[AGRUP. CLAS. PROF.],$B57,DATOS_[Sexo],$B59,DATOS_[Check Periodo Ref.],"Dentro",DATOS_[Check Nº SC Norm],"Sí")</f>
        <v>0</v>
      </c>
      <c r="F59" s="58">
        <f>COUNTIFS(DATOS_[AGRUP. CLAS. PROF.],$B57,DATOS_[Sexo],$B59,DATOS_[Check Periodo Ref.],"Dentro",DATOS_[Check Nº SC Anualiz],"Sí")</f>
        <v>0</v>
      </c>
      <c r="G59" s="58">
        <f>COUNTIFS(DATOS_[AGRUP. CLAS. PROF.],$B57,DATOS_[Sexo],$B59,DATOS_[Check Periodo Ref.],"Dentro",DATOS_[Check Nº SC Norm y Anualiz],"Sí")</f>
        <v>0</v>
      </c>
      <c r="H59" s="58">
        <f>COUNTIFS(DATOS_[AGRUP. CLAS. PROF.],$B57,DATOS_[Sexo],$B59,DATOS_[Check Periodo Ref.],"Dentro",DATOS_[Check Equiparación],"Sí")</f>
        <v>0</v>
      </c>
      <c r="I59" s="100" cm="1">
        <f t="array" ref="I59">IFERROR(
AVERAGE(IF(DATOS_[Sexo]=$B59,IF(DATOS_[[AGRUP. CLAS. PROF.]:[AGRUP. CLAS. PROF.]]=$B57,IF(DATOS_[Check Equiparado]="Sí",IF(DATOS_[Check Periodo Ref.]="Dentro",DATOS_[SALARIO BASE Eq],FALSE))))),
0)</f>
        <v>0</v>
      </c>
      <c r="J59" s="101">
        <f t="array" ref="J59">IFERROR(
(AVERAGE((IF(DATOS_[[Sexo]:[Sexo]]=$B59,IF(DATOS_[[AGRUP. CLAS. PROF.]:[AGRUP. CLAS. PROF.]]=$B57,IF(DATOS_[[Check Periodo Ref.]:[Check Periodo Ref.]]="Dentro",IF(DATOS_[[Check Equiparado]:[Check Equiparado]]="Sí",IF(DATOS!AE$5="Sí",(1/DATOS_[[% anualiz]:[% anualiz]]),1)*IF(DATOS!AE$4="Sí",1/DATOS_[[% normaliz]:[% normaliz]],1)*(DATOS_[Conc.Sal.01])))))))),
0)</f>
        <v>0</v>
      </c>
      <c r="K59" s="101">
        <f t="array" ref="K59">IFERROR(
(AVERAGE((IF(DATOS_[[Sexo]:[Sexo]]=$B59,IF(DATOS_[[AGRUP. CLAS. PROF.]:[AGRUP. CLAS. PROF.]]=$B57,IF(DATOS_[[Check Periodo Ref.]:[Check Periodo Ref.]]="Dentro",IF(DATOS_[[Check Equiparado]:[Check Equiparado]]="Sí",IF(DATOS!AF$5="Sí",(1/DATOS_[[% anualiz]:[% anualiz]]),1)*IF(DATOS!AF$4="Sí",1/DATOS_[[% normaliz]:[% normaliz]],1)*(DATOS_[Conc.Sal.02])))))))),
0)</f>
        <v>0</v>
      </c>
      <c r="L59" s="101">
        <f t="array" ref="L59">IFERROR(
(AVERAGE((IF(DATOS_[[Sexo]:[Sexo]]=$B59,IF(DATOS_[[AGRUP. CLAS. PROF.]:[AGRUP. CLAS. PROF.]]=$B57,IF(DATOS_[[Check Periodo Ref.]:[Check Periodo Ref.]]="Dentro",IF(DATOS_[[Check Equiparado]:[Check Equiparado]]="Sí",IF(DATOS!AG$5="Sí",(1/DATOS_[[% anualiz]:[% anualiz]]),1)*IF(DATOS!AG$4="Sí",1/DATOS_[[% normaliz]:[% normaliz]],1)*(DATOS_[Conc.Sal.03])))))))),
0)</f>
        <v>0</v>
      </c>
      <c r="M59" s="101">
        <f t="array" ref="M59">IFERROR(
(AVERAGE((IF(DATOS_[[Sexo]:[Sexo]]=$B59,IF(DATOS_[[AGRUP. CLAS. PROF.]:[AGRUP. CLAS. PROF.]]=$B57,IF(DATOS_[[Check Periodo Ref.]:[Check Periodo Ref.]]="Dentro",IF(DATOS_[[Check Equiparado]:[Check Equiparado]]="Sí",IF(DATOS!AH$5="Sí",(1/DATOS_[[% anualiz]:[% anualiz]]),1)*IF(DATOS!AH$4="Sí",1/DATOS_[[% normaliz]:[% normaliz]],1)*(DATOS_[Conc.Sal.04])))))))),
0)</f>
        <v>0</v>
      </c>
      <c r="N59" s="101">
        <f t="array" ref="N59">IFERROR(
(AVERAGE((IF(DATOS_[[Sexo]:[Sexo]]=$B59,IF(DATOS_[[AGRUP. CLAS. PROF.]:[AGRUP. CLAS. PROF.]]=$B57,IF(DATOS_[[Check Periodo Ref.]:[Check Periodo Ref.]]="Dentro",IF(DATOS_[[Check Equiparado]:[Check Equiparado]]="Sí",IF(DATOS!AI$5="Sí",(1/DATOS_[[% anualiz]:[% anualiz]]),1)*IF(DATOS!AI$4="Sí",1/DATOS_[[% normaliz]:[% normaliz]],1)*(DATOS_[Conc.Sal.05])))))))),
0)</f>
        <v>0</v>
      </c>
      <c r="O59" s="101">
        <f t="array" ref="O59">IFERROR(
(AVERAGE((IF(DATOS_[[Sexo]:[Sexo]]=$B59,IF(DATOS_[[AGRUP. CLAS. PROF.]:[AGRUP. CLAS. PROF.]]=$B57,IF(DATOS_[[Check Periodo Ref.]:[Check Periodo Ref.]]="Dentro",IF(DATOS_[[Check Equiparado]:[Check Equiparado]]="Sí",IF(DATOS!AJ$5="Sí",(1/DATOS_[[% anualiz]:[% anualiz]]),1)*IF(DATOS!AJ$4="Sí",1/DATOS_[[% normaliz]:[% normaliz]],1)*(DATOS_[Conc.Sal.06])))))))),
0)</f>
        <v>0</v>
      </c>
      <c r="P59" s="101">
        <f t="array" ref="P59">IFERROR(
(AVERAGE((IF(DATOS_[[Sexo]:[Sexo]]=$B59,IF(DATOS_[[AGRUP. CLAS. PROF.]:[AGRUP. CLAS. PROF.]]=$B57,IF(DATOS_[[Check Periodo Ref.]:[Check Periodo Ref.]]="Dentro",IF(DATOS_[[Check Equiparado]:[Check Equiparado]]="Sí",IF(DATOS!AK$5="Sí",(1/DATOS_[[% anualiz]:[% anualiz]]),1)*IF(DATOS!AK$4="Sí",1/DATOS_[[% normaliz]:[% normaliz]],1)*(DATOS_[Conc.Sal.07])))))))),
0)</f>
        <v>0</v>
      </c>
      <c r="Q59" s="101">
        <f t="array" ref="Q59">IFERROR(
(AVERAGE((IF(DATOS_[[Sexo]:[Sexo]]=$B59,IF(DATOS_[[AGRUP. CLAS. PROF.]:[AGRUP. CLAS. PROF.]]=$B57,IF(DATOS_[[Check Periodo Ref.]:[Check Periodo Ref.]]="Dentro",IF(DATOS_[[Check Equiparado]:[Check Equiparado]]="Sí",IF(DATOS!AL$5="Sí",(1/DATOS_[[% anualiz]:[% anualiz]]),1)*IF(DATOS!AL$4="Sí",1/DATOS_[[% normaliz]:[% normaliz]],1)*(DATOS_[Conc.Sal.08])))))))),
0)</f>
        <v>0</v>
      </c>
      <c r="R59" s="101">
        <f t="array" ref="R59">IFERROR(
(AVERAGE((IF(DATOS_[[Sexo]:[Sexo]]=$B59,IF(DATOS_[[AGRUP. CLAS. PROF.]:[AGRUP. CLAS. PROF.]]=$B57,IF(DATOS_[[Check Periodo Ref.]:[Check Periodo Ref.]]="Dentro",IF(DATOS_[[Check Equiparado]:[Check Equiparado]]="Sí",IF(DATOS!AM$5="Sí",(1/DATOS_[[% anualiz]:[% anualiz]]),1)*IF(DATOS!AM$4="Sí",1/DATOS_[[% normaliz]:[% normaliz]],1)*(DATOS_[Conc.Sal.09])))))))),
0)</f>
        <v>0</v>
      </c>
      <c r="S59" s="101">
        <f t="array" ref="S59">IFERROR(
(AVERAGE((IF(DATOS_[[Sexo]:[Sexo]]=$B59,IF(DATOS_[[AGRUP. CLAS. PROF.]:[AGRUP. CLAS. PROF.]]=$B57,IF(DATOS_[[Check Periodo Ref.]:[Check Periodo Ref.]]="Dentro",IF(DATOS_[[Check Equiparado]:[Check Equiparado]]="Sí",IF(DATOS!AN$5="Sí",(1/DATOS_[[% anualiz]:[% anualiz]]),1)*IF(DATOS!AN$4="Sí",1/DATOS_[[% normaliz]:[% normaliz]],1)*(DATOS_[Conc.Sal.10])))))))),
0)</f>
        <v>0</v>
      </c>
      <c r="T59" s="101">
        <f t="array" ref="T59">IFERROR(
(AVERAGE((IF(DATOS_[[Sexo]:[Sexo]]=$B59,IF(DATOS_[[AGRUP. CLAS. PROF.]:[AGRUP. CLAS. PROF.]]=$B57,IF(DATOS_[[Check Periodo Ref.]:[Check Periodo Ref.]]="Dentro",IF(DATOS_[[Check Equiparado]:[Check Equiparado]]="Sí",IF(DATOS!AO$5="Sí",(1/DATOS_[[% anualiz]:[% anualiz]]),1)*IF(DATOS!AO$4="Sí",1/DATOS_[[% normaliz]:[% normaliz]],1)*(DATOS_[Conc.Sal.11])))))))),
0)</f>
        <v>0</v>
      </c>
      <c r="U59" s="101">
        <f t="array" ref="U59">IFERROR(
(AVERAGE((IF(DATOS_[[Sexo]:[Sexo]]=$B59,IF(DATOS_[[AGRUP. CLAS. PROF.]:[AGRUP. CLAS. PROF.]]=$B57,IF(DATOS_[[Check Periodo Ref.]:[Check Periodo Ref.]]="Dentro",IF(DATOS_[[Check Equiparado]:[Check Equiparado]]="Sí",IF(DATOS!AP$5="Sí",(1/DATOS_[[% anualiz]:[% anualiz]]),1)*IF(DATOS!AP$4="Sí",1/DATOS_[[% normaliz]:[% normaliz]],1)*(DATOS_[Conc.Sal.12])))))))),
0)</f>
        <v>0</v>
      </c>
      <c r="V59" s="101">
        <f t="array" ref="V59">IFERROR(
(AVERAGE((IF(DATOS_[[Sexo]:[Sexo]]=$B59,IF(DATOS_[[AGRUP. CLAS. PROF.]:[AGRUP. CLAS. PROF.]]=$B57,IF(DATOS_[[Check Periodo Ref.]:[Check Periodo Ref.]]="Dentro",IF(DATOS_[[Check Equiparado]:[Check Equiparado]]="Sí",IF(DATOS!AQ$5="Sí",(1/DATOS_[[% anualiz]:[% anualiz]]),1)*IF(DATOS!AQ$4="Sí",1/DATOS_[[% normaliz]:[% normaliz]],1)*(DATOS_[Conc.Sal.13])))))))),
0)</f>
        <v>0</v>
      </c>
      <c r="W59" s="101">
        <f t="array" ref="W59">IFERROR(
(AVERAGE((IF(DATOS_[[Sexo]:[Sexo]]=$B59,IF(DATOS_[[AGRUP. CLAS. PROF.]:[AGRUP. CLAS. PROF.]]=$B57,IF(DATOS_[[Check Periodo Ref.]:[Check Periodo Ref.]]="Dentro",IF(DATOS_[[Check Equiparado]:[Check Equiparado]]="Sí",IF(DATOS!AR$5="Sí",(1/DATOS_[[% anualiz]:[% anualiz]]),1)*IF(DATOS!AR$4="Sí",1/DATOS_[[% normaliz]:[% normaliz]],1)*(DATOS_[Conc.Sal.14])))))))),
0)</f>
        <v>0</v>
      </c>
      <c r="X59" s="101">
        <f t="array" ref="X59">IFERROR(
(AVERAGE((IF(DATOS_[[Sexo]:[Sexo]]=$B59,IF(DATOS_[[AGRUP. CLAS. PROF.]:[AGRUP. CLAS. PROF.]]=$B57,IF(DATOS_[[Check Periodo Ref.]:[Check Periodo Ref.]]="Dentro",IF(DATOS_[[Check Equiparado]:[Check Equiparado]]="Sí",IF(DATOS!AS$5="Sí",(1/DATOS_[[% anualiz]:[% anualiz]]),1)*IF(DATOS!AS$4="Sí",1/DATOS_[[% normaliz]:[% normaliz]],1)*(DATOS_[Conc.Sal.15])))))))),
0)</f>
        <v>0</v>
      </c>
      <c r="Y59" s="101">
        <f t="array" ref="Y59">IFERROR(
(AVERAGE((IF(DATOS_[[Sexo]:[Sexo]]=$B59,IF(DATOS_[[AGRUP. CLAS. PROF.]:[AGRUP. CLAS. PROF.]]=$B57,IF(DATOS_[[Check Periodo Ref.]:[Check Periodo Ref.]]="Dentro",IF(DATOS_[[Check Equiparado]:[Check Equiparado]]="Sí",IF(DATOS!AT$5="Sí",(1/DATOS_[[% anualiz]:[% anualiz]]),1)*IF(DATOS!AT$4="Sí",1/DATOS_[[% normaliz]:[% normaliz]],1)*(DATOS_[Conc.Sal.16])))))))),
0)</f>
        <v>0</v>
      </c>
      <c r="Z59" s="101">
        <f t="array" ref="Z59">IFERROR(
(AVERAGE((IF(DATOS_[[Sexo]:[Sexo]]=$B59,IF(DATOS_[[AGRUP. CLAS. PROF.]:[AGRUP. CLAS. PROF.]]=$B57,IF(DATOS_[[Check Periodo Ref.]:[Check Periodo Ref.]]="Dentro",IF(DATOS_[[Check Equiparado]:[Check Equiparado]]="Sí",IF(DATOS!AU$5="Sí",(1/DATOS_[[% anualiz]:[% anualiz]]),1)*IF(DATOS!AU$4="Sí",1/DATOS_[[% normaliz]:[% normaliz]],1)*(DATOS_[Conc.Sal.17])))))))),
0)</f>
        <v>0</v>
      </c>
      <c r="AA59" s="101">
        <f t="array" ref="AA59">IFERROR(
(AVERAGE((IF(DATOS_[[Sexo]:[Sexo]]=$B59,IF(DATOS_[[AGRUP. CLAS. PROF.]:[AGRUP. CLAS. PROF.]]=$B57,IF(DATOS_[[Check Periodo Ref.]:[Check Periodo Ref.]]="Dentro",IF(DATOS_[[Check Equiparado]:[Check Equiparado]]="Sí",IF(DATOS!AV$5="Sí",(1/DATOS_[[% anualiz]:[% anualiz]]),1)*IF(DATOS!AV$4="Sí",1/DATOS_[[% normaliz]:[% normaliz]],1)*(DATOS_[Conc.Sal.18])))))))),
0)</f>
        <v>0</v>
      </c>
      <c r="AB59" s="101">
        <f t="array" ref="AB59">IFERROR(
(AVERAGE((IF(DATOS_[[Sexo]:[Sexo]]=$B59,IF(DATOS_[[AGRUP. CLAS. PROF.]:[AGRUP. CLAS. PROF.]]=$B57,IF(DATOS_[[Check Periodo Ref.]:[Check Periodo Ref.]]="Dentro",IF(DATOS_[[Check Equiparado]:[Check Equiparado]]="Sí",IF(DATOS!AW$5="Sí",(1/DATOS_[[% anualiz]:[% anualiz]]),1)*IF(DATOS!AW$4="Sí",1/DATOS_[[% normaliz]:[% normaliz]],1)*(DATOS_[Conc.Sal.19])))))))),
0)</f>
        <v>0</v>
      </c>
      <c r="AC59" s="101">
        <f t="array" ref="AC59">IFERROR(
(AVERAGE((IF(DATOS_[[Sexo]:[Sexo]]=$B59,IF(DATOS_[[AGRUP. CLAS. PROF.]:[AGRUP. CLAS. PROF.]]=$B57,IF(DATOS_[[Check Periodo Ref.]:[Check Periodo Ref.]]="Dentro",IF(DATOS_[[Check Equiparado]:[Check Equiparado]]="Sí",IF(DATOS!AX$5="Sí",(1/DATOS_[[% anualiz]:[% anualiz]]),1)*IF(DATOS!AX$4="Sí",1/DATOS_[[% normaliz]:[% normaliz]],1)*(DATOS_[Conc.Sal.20])))))))),
0)</f>
        <v>0</v>
      </c>
      <c r="AD59" s="101">
        <f t="array" ref="AD59">IFERROR(
(AVERAGE((IF(DATOS_[[Sexo]:[Sexo]]=$B59,IF(DATOS_[[AGRUP. CLAS. PROF.]:[AGRUP. CLAS. PROF.]]=$B57,IF(DATOS_[[Check Periodo Ref.]:[Check Periodo Ref.]]="Dentro",IF(DATOS_[[Check Equiparado]:[Check Equiparado]]="Sí",IF(DATOS!AY$5="Sí",(1/DATOS_[[% anualiz]:[% anualiz]]),1)*IF(DATOS!AY$4="Sí",1/DATOS_[[% normaliz]:[% normaliz]],1)*(DATOS_[Conc.Sal.21])))))))),
0)</f>
        <v>0</v>
      </c>
      <c r="AE59" s="101">
        <f t="array" ref="AE59">IFERROR(
(AVERAGE((IF(DATOS_[[Sexo]:[Sexo]]=$B59,IF(DATOS_[[AGRUP. CLAS. PROF.]:[AGRUP. CLAS. PROF.]]=$B57,IF(DATOS_[[Check Periodo Ref.]:[Check Periodo Ref.]]="Dentro",IF(DATOS_[[Check Equiparado]:[Check Equiparado]]="Sí",IF(DATOS!AZ$5="Sí",(1/DATOS_[[% anualiz]:[% anualiz]]),1)*IF(DATOS!AZ$4="Sí",1/DATOS_[[% normaliz]:[% normaliz]],1)*(DATOS_[Conc.Sal.22])))))))),
0)</f>
        <v>0</v>
      </c>
      <c r="AF59" s="101">
        <f t="array" ref="AF59">IFERROR(
(AVERAGE((IF(DATOS_[[Sexo]:[Sexo]]=$B59,IF(DATOS_[[AGRUP. CLAS. PROF.]:[AGRUP. CLAS. PROF.]]=$B57,IF(DATOS_[[Check Periodo Ref.]:[Check Periodo Ref.]]="Dentro",IF(DATOS_[[Check Equiparado]:[Check Equiparado]]="Sí",IF(DATOS!BA$5="Sí",(1/DATOS_[[% anualiz]:[% anualiz]]),1)*IF(DATOS!BA$4="Sí",1/DATOS_[[% normaliz]:[% normaliz]],1)*(DATOS_[Conc.Sal.23])))))))),
0)</f>
        <v>0</v>
      </c>
      <c r="AG59" s="101">
        <f t="array" ref="AG59">IFERROR(
(AVERAGE((IF(DATOS_[[Sexo]:[Sexo]]=$B59,IF(DATOS_[[AGRUP. CLAS. PROF.]:[AGRUP. CLAS. PROF.]]=$B57,IF(DATOS_[[Check Periodo Ref.]:[Check Periodo Ref.]]="Dentro",IF(DATOS_[[Check Equiparado]:[Check Equiparado]]="Sí",IF(DATOS!BB$5="Sí",(1/DATOS_[[% anualiz]:[% anualiz]]),1)*IF(DATOS!BB$4="Sí",1/DATOS_[[% normaliz]:[% normaliz]],1)*(DATOS_[Conc.Sal.24])))))))),
0)</f>
        <v>0</v>
      </c>
      <c r="AH59" s="101">
        <f t="array" ref="AH59">IFERROR(
(AVERAGE((IF(DATOS_[[Sexo]:[Sexo]]=$B59,IF(DATOS_[[AGRUP. CLAS. PROF.]:[AGRUP. CLAS. PROF.]]=$B57,IF(DATOS_[[Check Periodo Ref.]:[Check Periodo Ref.]]="Dentro",IF(DATOS_[[Check Equiparado]:[Check Equiparado]]="Sí",IF(DATOS!BC$5="Sí",(1/DATOS_[[% anualiz]:[% anualiz]]),1)*IF(DATOS!BC$4="Sí",1/DATOS_[[% normaliz]:[% normaliz]],1)*(DATOS_[Conc.Sal.25])))))))),
0)</f>
        <v>0</v>
      </c>
      <c r="AI59" s="101">
        <f t="array" ref="AI59">IFERROR(
(AVERAGE((IF(DATOS_[[Sexo]:[Sexo]]=$B59,IF(DATOS_[[AGRUP. CLAS. PROF.]:[AGRUP. CLAS. PROF.]]=$B57,IF(DATOS_[[Check Periodo Ref.]:[Check Periodo Ref.]]="Dentro",IF(DATOS_[[Check Equiparado]:[Check Equiparado]]="Sí",IF(DATOS!BD$5="Sí",(1/DATOS_[[% anualiz]:[% anualiz]]),1)*IF(DATOS!BD$4="Sí",1/DATOS_[[% normaliz]:[% normaliz]],1)*(DATOS_[Conc.Sal.26])))))))),
0)</f>
        <v>0</v>
      </c>
      <c r="AJ59" s="101">
        <f t="array" ref="AJ59">IFERROR(
(AVERAGE((IF(DATOS_[[Sexo]:[Sexo]]=$B59,IF(DATOS_[[AGRUP. CLAS. PROF.]:[AGRUP. CLAS. PROF.]]=$B57,IF(DATOS_[[Check Periodo Ref.]:[Check Periodo Ref.]]="Dentro",IF(DATOS_[[Check Equiparado]:[Check Equiparado]]="Sí",IF(DATOS!BE$5="Sí",(1/DATOS_[[% anualiz]:[% anualiz]]),1)*IF(DATOS!BE$4="Sí",1/DATOS_[[% normaliz]:[% normaliz]],1)*(DATOS_[Conc.Sal.27])))))))),
0)</f>
        <v>0</v>
      </c>
      <c r="AK59" s="101">
        <f t="array" ref="AK59">IFERROR(
(AVERAGE((IF(DATOS_[[Sexo]:[Sexo]]=$B59,IF(DATOS_[[AGRUP. CLAS. PROF.]:[AGRUP. CLAS. PROF.]]=$B57,IF(DATOS_[[Check Periodo Ref.]:[Check Periodo Ref.]]="Dentro",IF(DATOS_[[Check Equiparado]:[Check Equiparado]]="Sí",IF(DATOS!BF$5="Sí",(1/DATOS_[[% anualiz]:[% anualiz]]),1)*IF(DATOS!BF$4="Sí",1/DATOS_[[% normaliz]:[% normaliz]],1)*(DATOS_[Conc.Sal.28])))))))),
0)</f>
        <v>0</v>
      </c>
      <c r="AL59" s="101">
        <f t="array" ref="AL59">IFERROR(
(AVERAGE((IF(DATOS_[[Sexo]:[Sexo]]=$B59,IF(DATOS_[[AGRUP. CLAS. PROF.]:[AGRUP. CLAS. PROF.]]=$B57,IF(DATOS_[[Check Periodo Ref.]:[Check Periodo Ref.]]="Dentro",IF(DATOS_[[Check Equiparado]:[Check Equiparado]]="Sí",IF(DATOS!BG$5="Sí",(1/DATOS_[[% anualiz]:[% anualiz]]),1)*IF(DATOS!BG$4="Sí",1/DATOS_[[% normaliz]:[% normaliz]],1)*(DATOS_[Conc.Sal.29])))))))),
0)</f>
        <v>0</v>
      </c>
      <c r="AM59" s="101">
        <f t="array" ref="AM59">IFERROR(
(AVERAGE((IF(DATOS_[[Sexo]:[Sexo]]=$B59,IF(DATOS_[[AGRUP. CLAS. PROF.]:[AGRUP. CLAS. PROF.]]=$B57,IF(DATOS_[[Check Periodo Ref.]:[Check Periodo Ref.]]="Dentro",IF(DATOS_[[Check Equiparado]:[Check Equiparado]]="Sí",IF(DATOS!BH$5="Sí",(1/DATOS_[[% anualiz]:[% anualiz]]),1)*IF(DATOS!BH$4="Sí",1/DATOS_[[% normaliz]:[% normaliz]],1)*(DATOS_[Conc.Sal.30])))))))),
0)</f>
        <v>0</v>
      </c>
      <c r="AN59" s="102">
        <f t="array" ref="AN59">IFERROR(
AVERAGE(IF(DATOS_[Sexo]=$B59,IF(DATOS_[[AGRUP. CLAS. PROF.]:[AGRUP. CLAS. PROF.]]=$B57,IF(DATOS_[Check Equiparado]="Sí",IF(DATOS_[Check Periodo Ref.]="Dentro",DATOS_[Tot COMPL.SAL Eq],FALSE))))),
0)</f>
        <v>0</v>
      </c>
      <c r="AO59" s="103">
        <f t="array" ref="AO59">IFERROR(
AVERAGE(IF(DATOS_[Sexo]=$B59,IF(DATOS_[[AGRUP. CLAS. PROF.]:[AGRUP. CLAS. PROF.]]=$B57,IF(DATOS_[Check Equiparado]="Sí",IF(DATOS_[Check Periodo Ref.]="Dentro",DATOS_[TOTAL SALARIO Eq],FALSE))))),
0)</f>
        <v>0</v>
      </c>
      <c r="AP59" s="104">
        <f t="array" ref="AP59">IFERROR(
(AVERAGE((IF(DATOS_[[Sexo]:[Sexo]]=$B59,IF(DATOS_[[AGRUP. CLAS. PROF.]:[AGRUP. CLAS. PROF.]]=$B57,IF(DATOS_[[Check Periodo Ref.]:[Check Periodo Ref.]]="Dentro",IF(DATOS_[[Check Equiparado]:[Check Equiparado]]="Sí",IF(DATOS!BI$5="Sí",(1/DATOS_[[% anualiz]:[% anualiz]]),1)*IF(DATOS!BI$4="Sí",1/DATOS_[[% normaliz]:[% normaliz]],1)*(DATOS_[C.Extra.01])))))))),
0)</f>
        <v>0</v>
      </c>
      <c r="AQ59" s="104">
        <f t="array" ref="AQ59">IFERROR(
(AVERAGE((IF(DATOS_[[Sexo]:[Sexo]]=$B59,IF(DATOS_[[AGRUP. CLAS. PROF.]:[AGRUP. CLAS. PROF.]]=$B57,IF(DATOS_[[Check Periodo Ref.]:[Check Periodo Ref.]]="Dentro",IF(DATOS_[[Check Equiparado]:[Check Equiparado]]="Sí",IF(DATOS!BJ$5="Sí",(1/DATOS_[[% anualiz]:[% anualiz]]),1)*IF(DATOS!BJ$4="Sí",1/DATOS_[[% normaliz]:[% normaliz]],1)*(DATOS_[C.Extra.02])))))))),
0)</f>
        <v>0</v>
      </c>
      <c r="AR59" s="104">
        <f t="array" ref="AR59">IFERROR(
(AVERAGE((IF(DATOS_[[Sexo]:[Sexo]]=$B59,IF(DATOS_[[AGRUP. CLAS. PROF.]:[AGRUP. CLAS. PROF.]]=$B57,IF(DATOS_[[Check Periodo Ref.]:[Check Periodo Ref.]]="Dentro",IF(DATOS_[[Check Equiparado]:[Check Equiparado]]="Sí",IF(DATOS!BK$5="Sí",(1/DATOS_[[% anualiz]:[% anualiz]]),1)*IF(DATOS!BK$4="Sí",1/DATOS_[[% normaliz]:[% normaliz]],1)*(DATOS_[C.Extra.03])))))))),
0)</f>
        <v>0</v>
      </c>
      <c r="AS59" s="104">
        <f t="array" ref="AS59">IFERROR(
(AVERAGE((IF(DATOS_[[Sexo]:[Sexo]]=$B59,IF(DATOS_[[AGRUP. CLAS. PROF.]:[AGRUP. CLAS. PROF.]]=$B57,IF(DATOS_[[Check Periodo Ref.]:[Check Periodo Ref.]]="Dentro",IF(DATOS_[[Check Equiparado]:[Check Equiparado]]="Sí",IF(DATOS!BL$5="Sí",(1/DATOS_[[% anualiz]:[% anualiz]]),1)*IF(DATOS!BL$4="Sí",1/DATOS_[[% normaliz]:[% normaliz]],1)*(DATOS_[C.Extra.04])))))))),
0)</f>
        <v>0</v>
      </c>
      <c r="AT59" s="104">
        <f t="array" ref="AT59">IFERROR(
(AVERAGE((IF(DATOS_[[Sexo]:[Sexo]]=$B59,IF(DATOS_[[AGRUP. CLAS. PROF.]:[AGRUP. CLAS. PROF.]]=$B57,IF(DATOS_[[Check Periodo Ref.]:[Check Periodo Ref.]]="Dentro",IF(DATOS_[[Check Equiparado]:[Check Equiparado]]="Sí",IF(DATOS!BM$5="Sí",(1/DATOS_[[% anualiz]:[% anualiz]]),1)*IF(DATOS!BM$4="Sí",1/DATOS_[[% normaliz]:[% normaliz]],1)*(DATOS_[C.Extra.05])))))))),
0)</f>
        <v>0</v>
      </c>
      <c r="AU59" s="105">
        <f t="array" ref="AU59">IFERROR(
AVERAGE(IF(DATOS_[Sexo]=$B59,IF(DATOS_[[AGRUP. CLAS. PROF.]:[AGRUP. CLAS. PROF.]]=$B57,IF(DATOS_[Check Equiparado]="Sí",IF(DATOS_[Check Periodo Ref.]="Dentro",DATOS_[Tot Extrasalarial Eq],FALSE))))),
0)</f>
        <v>0</v>
      </c>
      <c r="AV59" s="106">
        <f t="array" ref="AV59">IFERROR(
AVERAGE(IF(DATOS_[Sexo]=$B59,IF(DATOS_[[AGRUP. CLAS. PROF.]:[AGRUP. CLAS. PROF.]]=$B57,IF(DATOS_[Check Equiparado]="Sí",IF(DATOS_[Check Periodo Ref.]="Dentro",DATOS_[TOTAL Retrib Eq],FALSE))))),
0)</f>
        <v>0</v>
      </c>
    </row>
    <row r="60" spans="1:48" ht="17.25" hidden="1" thickBot="1" x14ac:dyDescent="0.35">
      <c r="A60" s="53" t="str">
        <f t="shared" ref="A60" si="63">+A61</f>
        <v>[ocultar]</v>
      </c>
      <c r="B60" s="62" t="s">
        <v>232</v>
      </c>
      <c r="C60" s="99"/>
      <c r="D60" s="63"/>
      <c r="E60" s="63"/>
      <c r="F60" s="63"/>
      <c r="G60" s="63"/>
      <c r="H60" s="63"/>
      <c r="I60" s="129" t="str">
        <f t="shared" ref="I60:AV60" si="64">IFERROR((I61-I62)/I61,"")</f>
        <v/>
      </c>
      <c r="J60" s="130" t="str">
        <f t="shared" si="64"/>
        <v/>
      </c>
      <c r="K60" s="131" t="str">
        <f t="shared" si="64"/>
        <v/>
      </c>
      <c r="L60" s="131" t="str">
        <f t="shared" si="64"/>
        <v/>
      </c>
      <c r="M60" s="131" t="str">
        <f t="shared" si="64"/>
        <v/>
      </c>
      <c r="N60" s="132" t="str">
        <f t="shared" si="64"/>
        <v/>
      </c>
      <c r="O60" s="133" t="str">
        <f t="shared" si="64"/>
        <v/>
      </c>
      <c r="P60" s="133" t="str">
        <f t="shared" si="64"/>
        <v/>
      </c>
      <c r="Q60" s="133" t="str">
        <f t="shared" si="64"/>
        <v/>
      </c>
      <c r="R60" s="133" t="str">
        <f t="shared" si="64"/>
        <v/>
      </c>
      <c r="S60" s="133" t="str">
        <f t="shared" si="64"/>
        <v/>
      </c>
      <c r="T60" s="133" t="str">
        <f t="shared" si="64"/>
        <v/>
      </c>
      <c r="U60" s="133" t="str">
        <f t="shared" si="64"/>
        <v/>
      </c>
      <c r="V60" s="133" t="str">
        <f t="shared" si="64"/>
        <v/>
      </c>
      <c r="W60" s="133" t="str">
        <f t="shared" si="64"/>
        <v/>
      </c>
      <c r="X60" s="133" t="str">
        <f t="shared" si="64"/>
        <v/>
      </c>
      <c r="Y60" s="133" t="str">
        <f t="shared" si="64"/>
        <v/>
      </c>
      <c r="Z60" s="132" t="str">
        <f t="shared" si="64"/>
        <v/>
      </c>
      <c r="AA60" s="132" t="str">
        <f t="shared" si="64"/>
        <v/>
      </c>
      <c r="AB60" s="132" t="str">
        <f t="shared" si="64"/>
        <v/>
      </c>
      <c r="AC60" s="132" t="str">
        <f t="shared" si="64"/>
        <v/>
      </c>
      <c r="AD60" s="132" t="str">
        <f t="shared" si="64"/>
        <v/>
      </c>
      <c r="AE60" s="132" t="str">
        <f t="shared" si="64"/>
        <v/>
      </c>
      <c r="AF60" s="132" t="str">
        <f t="shared" si="64"/>
        <v/>
      </c>
      <c r="AG60" s="132" t="str">
        <f t="shared" si="64"/>
        <v/>
      </c>
      <c r="AH60" s="132" t="str">
        <f t="shared" si="64"/>
        <v/>
      </c>
      <c r="AI60" s="132" t="str">
        <f t="shared" si="64"/>
        <v/>
      </c>
      <c r="AJ60" s="132" t="str">
        <f t="shared" si="64"/>
        <v/>
      </c>
      <c r="AK60" s="132" t="str">
        <f t="shared" si="64"/>
        <v/>
      </c>
      <c r="AL60" s="132" t="str">
        <f t="shared" si="64"/>
        <v/>
      </c>
      <c r="AM60" s="132" t="str">
        <f t="shared" si="64"/>
        <v/>
      </c>
      <c r="AN60" s="134" t="str">
        <f t="shared" si="64"/>
        <v/>
      </c>
      <c r="AO60" s="138" t="str">
        <f t="shared" si="64"/>
        <v/>
      </c>
      <c r="AP60" s="135" t="str">
        <f t="shared" si="64"/>
        <v/>
      </c>
      <c r="AQ60" s="135" t="str">
        <f t="shared" si="64"/>
        <v/>
      </c>
      <c r="AR60" s="135" t="str">
        <f t="shared" si="64"/>
        <v/>
      </c>
      <c r="AS60" s="135" t="str">
        <f t="shared" si="64"/>
        <v/>
      </c>
      <c r="AT60" s="135" t="str">
        <f t="shared" si="64"/>
        <v/>
      </c>
      <c r="AU60" s="136" t="str">
        <f t="shared" si="64"/>
        <v/>
      </c>
      <c r="AV60" s="137" t="str">
        <f t="shared" si="64"/>
        <v/>
      </c>
    </row>
    <row r="61" spans="1:48" hidden="1" x14ac:dyDescent="0.3">
      <c r="A61" s="53" t="str">
        <f t="shared" ref="A61" si="65">+IF(C61+C62=0,"[ocultar]","")</f>
        <v>[ocultar]</v>
      </c>
      <c r="B61" s="57" t="s">
        <v>162</v>
      </c>
      <c r="C61" s="56">
        <f t="array" ref="C61">SUM(IF($B61=DATOS_[Sexo],
IF($B60=DATOS_[AGRUP. CLAS. PROF.],
IF("Dentro"=DATOS_[Check Periodo Ref.],
1/(COUNTIFS(DATOS_[Sexo],$B61,DATOS_[AGRUP. CLAS. PROF.],$B60,DATOS_[Check Periodo Ref.],"Dentro",DATOS_[id],DATOS_[id]))))))</f>
        <v>0</v>
      </c>
      <c r="D61" s="58">
        <f>COUNTIFS(DATOS_[AGRUP. CLAS. PROF.],$B60,DATOS_[Sexo],$B61,DATOS_[Check Periodo Ref.],"Dentro")</f>
        <v>0</v>
      </c>
      <c r="E61" s="58">
        <f>COUNTIFS(DATOS_[AGRUP. CLAS. PROF.],$B60,DATOS_[Sexo],$B61,DATOS_[Check Periodo Ref.],"Dentro",DATOS_[Check Nº SC Norm],"Sí")</f>
        <v>0</v>
      </c>
      <c r="F61" s="58">
        <f>COUNTIFS(DATOS_[AGRUP. CLAS. PROF.],$B60,DATOS_[Sexo],$B61,DATOS_[Check Periodo Ref.],"Dentro",DATOS_[Check Nº SC Anualiz],"Sí")</f>
        <v>0</v>
      </c>
      <c r="G61" s="58">
        <f>COUNTIFS(DATOS_[AGRUP. CLAS. PROF.],$B60,DATOS_[Sexo],$B61,DATOS_[Check Periodo Ref.],"Dentro",DATOS_[Check Nº SC Norm y Anualiz],"Sí")</f>
        <v>0</v>
      </c>
      <c r="H61" s="58">
        <f>COUNTIFS(DATOS_[AGRUP. CLAS. PROF.],$B60,DATOS_[Sexo],$B61,DATOS_[Check Periodo Ref.],"Dentro",DATOS_[Check Equiparación],"Sí")</f>
        <v>0</v>
      </c>
      <c r="I61" s="100">
        <f t="array" ref="I61">IFERROR(
AVERAGE(IF(DATOS_[Sexo]=$B61,IF(DATOS_[[AGRUP. CLAS. PROF.]:[AGRUP. CLAS. PROF.]]=$B60,IF(DATOS_[Check Equiparado]="Sí",IF(DATOS_[Check Periodo Ref.]="Dentro",DATOS_[SALARIO BASE Eq],FALSE))))),
0)</f>
        <v>0</v>
      </c>
      <c r="J61" s="101">
        <f t="array" ref="J61">IFERROR(
(AVERAGE((IF(DATOS_[[Sexo]:[Sexo]]=$B61,IF(DATOS_[[AGRUP. CLAS. PROF.]:[AGRUP. CLAS. PROF.]]=$B60,IF(DATOS_[[Check Periodo Ref.]:[Check Periodo Ref.]]="Dentro",IF(DATOS_[[Check Equiparado]:[Check Equiparado]]="Sí",IF(DATOS!AE$5="Sí",(1/DATOS_[[% anualiz]:[% anualiz]]),1)*IF(DATOS!AE$4="Sí",1/DATOS_[[% normaliz]:[% normaliz]],1)*(DATOS_[Conc.Sal.01])))))))),
0)</f>
        <v>0</v>
      </c>
      <c r="K61" s="101">
        <f t="array" ref="K61">IFERROR(
(AVERAGE((IF(DATOS_[[Sexo]:[Sexo]]=$B61,IF(DATOS_[[AGRUP. CLAS. PROF.]:[AGRUP. CLAS. PROF.]]=$B60,IF(DATOS_[[Check Periodo Ref.]:[Check Periodo Ref.]]="Dentro",IF(DATOS_[[Check Equiparado]:[Check Equiparado]]="Sí",IF(DATOS!AF$5="Sí",(1/DATOS_[[% anualiz]:[% anualiz]]),1)*IF(DATOS!AF$4="Sí",1/DATOS_[[% normaliz]:[% normaliz]],1)*(DATOS_[Conc.Sal.02])))))))),
0)</f>
        <v>0</v>
      </c>
      <c r="L61" s="101">
        <f t="array" ref="L61">IFERROR(
(AVERAGE((IF(DATOS_[[Sexo]:[Sexo]]=$B61,IF(DATOS_[[AGRUP. CLAS. PROF.]:[AGRUP. CLAS. PROF.]]=$B60,IF(DATOS_[[Check Periodo Ref.]:[Check Periodo Ref.]]="Dentro",IF(DATOS_[[Check Equiparado]:[Check Equiparado]]="Sí",IF(DATOS!AG$5="Sí",(1/DATOS_[[% anualiz]:[% anualiz]]),1)*IF(DATOS!AG$4="Sí",1/DATOS_[[% normaliz]:[% normaliz]],1)*(DATOS_[Conc.Sal.03])))))))),
0)</f>
        <v>0</v>
      </c>
      <c r="M61" s="101">
        <f t="array" ref="M61">IFERROR(
(AVERAGE((IF(DATOS_[[Sexo]:[Sexo]]=$B61,IF(DATOS_[[AGRUP. CLAS. PROF.]:[AGRUP. CLAS. PROF.]]=$B60,IF(DATOS_[[Check Periodo Ref.]:[Check Periodo Ref.]]="Dentro",IF(DATOS_[[Check Equiparado]:[Check Equiparado]]="Sí",IF(DATOS!AH$5="Sí",(1/DATOS_[[% anualiz]:[% anualiz]]),1)*IF(DATOS!AH$4="Sí",1/DATOS_[[% normaliz]:[% normaliz]],1)*(DATOS_[Conc.Sal.04])))))))),
0)</f>
        <v>0</v>
      </c>
      <c r="N61" s="101">
        <f t="array" ref="N61">IFERROR(
(AVERAGE((IF(DATOS_[[Sexo]:[Sexo]]=$B61,IF(DATOS_[[AGRUP. CLAS. PROF.]:[AGRUP. CLAS. PROF.]]=$B60,IF(DATOS_[[Check Periodo Ref.]:[Check Periodo Ref.]]="Dentro",IF(DATOS_[[Check Equiparado]:[Check Equiparado]]="Sí",IF(DATOS!AI$5="Sí",(1/DATOS_[[% anualiz]:[% anualiz]]),1)*IF(DATOS!AI$4="Sí",1/DATOS_[[% normaliz]:[% normaliz]],1)*(DATOS_[Conc.Sal.05])))))))),
0)</f>
        <v>0</v>
      </c>
      <c r="O61" s="101">
        <f t="array" ref="O61">IFERROR(
(AVERAGE((IF(DATOS_[[Sexo]:[Sexo]]=$B61,IF(DATOS_[[AGRUP. CLAS. PROF.]:[AGRUP. CLAS. PROF.]]=$B60,IF(DATOS_[[Check Periodo Ref.]:[Check Periodo Ref.]]="Dentro",IF(DATOS_[[Check Equiparado]:[Check Equiparado]]="Sí",IF(DATOS!AJ$5="Sí",(1/DATOS_[[% anualiz]:[% anualiz]]),1)*IF(DATOS!AJ$4="Sí",1/DATOS_[[% normaliz]:[% normaliz]],1)*(DATOS_[Conc.Sal.06])))))))),
0)</f>
        <v>0</v>
      </c>
      <c r="P61" s="101">
        <f t="array" ref="P61">IFERROR(
(AVERAGE((IF(DATOS_[[Sexo]:[Sexo]]=$B61,IF(DATOS_[[AGRUP. CLAS. PROF.]:[AGRUP. CLAS. PROF.]]=$B60,IF(DATOS_[[Check Periodo Ref.]:[Check Periodo Ref.]]="Dentro",IF(DATOS_[[Check Equiparado]:[Check Equiparado]]="Sí",IF(DATOS!AK$5="Sí",(1/DATOS_[[% anualiz]:[% anualiz]]),1)*IF(DATOS!AK$4="Sí",1/DATOS_[[% normaliz]:[% normaliz]],1)*(DATOS_[Conc.Sal.07])))))))),
0)</f>
        <v>0</v>
      </c>
      <c r="Q61" s="101">
        <f t="array" ref="Q61">IFERROR(
(AVERAGE((IF(DATOS_[[Sexo]:[Sexo]]=$B61,IF(DATOS_[[AGRUP. CLAS. PROF.]:[AGRUP. CLAS. PROF.]]=$B60,IF(DATOS_[[Check Periodo Ref.]:[Check Periodo Ref.]]="Dentro",IF(DATOS_[[Check Equiparado]:[Check Equiparado]]="Sí",IF(DATOS!AL$5="Sí",(1/DATOS_[[% anualiz]:[% anualiz]]),1)*IF(DATOS!AL$4="Sí",1/DATOS_[[% normaliz]:[% normaliz]],1)*(DATOS_[Conc.Sal.08])))))))),
0)</f>
        <v>0</v>
      </c>
      <c r="R61" s="101">
        <f t="array" ref="R61">IFERROR(
(AVERAGE((IF(DATOS_[[Sexo]:[Sexo]]=$B61,IF(DATOS_[[AGRUP. CLAS. PROF.]:[AGRUP. CLAS. PROF.]]=$B60,IF(DATOS_[[Check Periodo Ref.]:[Check Periodo Ref.]]="Dentro",IF(DATOS_[[Check Equiparado]:[Check Equiparado]]="Sí",IF(DATOS!AM$5="Sí",(1/DATOS_[[% anualiz]:[% anualiz]]),1)*IF(DATOS!AM$4="Sí",1/DATOS_[[% normaliz]:[% normaliz]],1)*(DATOS_[Conc.Sal.09])))))))),
0)</f>
        <v>0</v>
      </c>
      <c r="S61" s="101">
        <f t="array" ref="S61">IFERROR(
(AVERAGE((IF(DATOS_[[Sexo]:[Sexo]]=$B61,IF(DATOS_[[AGRUP. CLAS. PROF.]:[AGRUP. CLAS. PROF.]]=$B60,IF(DATOS_[[Check Periodo Ref.]:[Check Periodo Ref.]]="Dentro",IF(DATOS_[[Check Equiparado]:[Check Equiparado]]="Sí",IF(DATOS!AN$5="Sí",(1/DATOS_[[% anualiz]:[% anualiz]]),1)*IF(DATOS!AN$4="Sí",1/DATOS_[[% normaliz]:[% normaliz]],1)*(DATOS_[Conc.Sal.10])))))))),
0)</f>
        <v>0</v>
      </c>
      <c r="T61" s="101">
        <f t="array" ref="T61">IFERROR(
(AVERAGE((IF(DATOS_[[Sexo]:[Sexo]]=$B61,IF(DATOS_[[AGRUP. CLAS. PROF.]:[AGRUP. CLAS. PROF.]]=$B60,IF(DATOS_[[Check Periodo Ref.]:[Check Periodo Ref.]]="Dentro",IF(DATOS_[[Check Equiparado]:[Check Equiparado]]="Sí",IF(DATOS!AO$5="Sí",(1/DATOS_[[% anualiz]:[% anualiz]]),1)*IF(DATOS!AO$4="Sí",1/DATOS_[[% normaliz]:[% normaliz]],1)*(DATOS_[Conc.Sal.11])))))))),
0)</f>
        <v>0</v>
      </c>
      <c r="U61" s="101">
        <f t="array" ref="U61">IFERROR(
(AVERAGE((IF(DATOS_[[Sexo]:[Sexo]]=$B61,IF(DATOS_[[AGRUP. CLAS. PROF.]:[AGRUP. CLAS. PROF.]]=$B60,IF(DATOS_[[Check Periodo Ref.]:[Check Periodo Ref.]]="Dentro",IF(DATOS_[[Check Equiparado]:[Check Equiparado]]="Sí",IF(DATOS!AP$5="Sí",(1/DATOS_[[% anualiz]:[% anualiz]]),1)*IF(DATOS!AP$4="Sí",1/DATOS_[[% normaliz]:[% normaliz]],1)*(DATOS_[Conc.Sal.12])))))))),
0)</f>
        <v>0</v>
      </c>
      <c r="V61" s="101">
        <f t="array" ref="V61">IFERROR(
(AVERAGE((IF(DATOS_[[Sexo]:[Sexo]]=$B61,IF(DATOS_[[AGRUP. CLAS. PROF.]:[AGRUP. CLAS. PROF.]]=$B60,IF(DATOS_[[Check Periodo Ref.]:[Check Periodo Ref.]]="Dentro",IF(DATOS_[[Check Equiparado]:[Check Equiparado]]="Sí",IF(DATOS!AQ$5="Sí",(1/DATOS_[[% anualiz]:[% anualiz]]),1)*IF(DATOS!AQ$4="Sí",1/DATOS_[[% normaliz]:[% normaliz]],1)*(DATOS_[Conc.Sal.13])))))))),
0)</f>
        <v>0</v>
      </c>
      <c r="W61" s="101">
        <f t="array" ref="W61">IFERROR(
(AVERAGE((IF(DATOS_[[Sexo]:[Sexo]]=$B61,IF(DATOS_[[AGRUP. CLAS. PROF.]:[AGRUP. CLAS. PROF.]]=$B60,IF(DATOS_[[Check Periodo Ref.]:[Check Periodo Ref.]]="Dentro",IF(DATOS_[[Check Equiparado]:[Check Equiparado]]="Sí",IF(DATOS!AR$5="Sí",(1/DATOS_[[% anualiz]:[% anualiz]]),1)*IF(DATOS!AR$4="Sí",1/DATOS_[[% normaliz]:[% normaliz]],1)*(DATOS_[Conc.Sal.14])))))))),
0)</f>
        <v>0</v>
      </c>
      <c r="X61" s="101">
        <f t="array" ref="X61">IFERROR(
(AVERAGE((IF(DATOS_[[Sexo]:[Sexo]]=$B61,IF(DATOS_[[AGRUP. CLAS. PROF.]:[AGRUP. CLAS. PROF.]]=$B60,IF(DATOS_[[Check Periodo Ref.]:[Check Periodo Ref.]]="Dentro",IF(DATOS_[[Check Equiparado]:[Check Equiparado]]="Sí",IF(DATOS!AS$5="Sí",(1/DATOS_[[% anualiz]:[% anualiz]]),1)*IF(DATOS!AS$4="Sí",1/DATOS_[[% normaliz]:[% normaliz]],1)*(DATOS_[Conc.Sal.15])))))))),
0)</f>
        <v>0</v>
      </c>
      <c r="Y61" s="101">
        <f t="array" ref="Y61">IFERROR(
(AVERAGE((IF(DATOS_[[Sexo]:[Sexo]]=$B61,IF(DATOS_[[AGRUP. CLAS. PROF.]:[AGRUP. CLAS. PROF.]]=$B60,IF(DATOS_[[Check Periodo Ref.]:[Check Periodo Ref.]]="Dentro",IF(DATOS_[[Check Equiparado]:[Check Equiparado]]="Sí",IF(DATOS!AT$5="Sí",(1/DATOS_[[% anualiz]:[% anualiz]]),1)*IF(DATOS!AT$4="Sí",1/DATOS_[[% normaliz]:[% normaliz]],1)*(DATOS_[Conc.Sal.16])))))))),
0)</f>
        <v>0</v>
      </c>
      <c r="Z61" s="101">
        <f t="array" ref="Z61">IFERROR(
(AVERAGE((IF(DATOS_[[Sexo]:[Sexo]]=$B61,IF(DATOS_[[AGRUP. CLAS. PROF.]:[AGRUP. CLAS. PROF.]]=$B60,IF(DATOS_[[Check Periodo Ref.]:[Check Periodo Ref.]]="Dentro",IF(DATOS_[[Check Equiparado]:[Check Equiparado]]="Sí",IF(DATOS!AU$5="Sí",(1/DATOS_[[% anualiz]:[% anualiz]]),1)*IF(DATOS!AU$4="Sí",1/DATOS_[[% normaliz]:[% normaliz]],1)*(DATOS_[Conc.Sal.17])))))))),
0)</f>
        <v>0</v>
      </c>
      <c r="AA61" s="101">
        <f t="array" ref="AA61">IFERROR(
(AVERAGE((IF(DATOS_[[Sexo]:[Sexo]]=$B61,IF(DATOS_[[AGRUP. CLAS. PROF.]:[AGRUP. CLAS. PROF.]]=$B60,IF(DATOS_[[Check Periodo Ref.]:[Check Periodo Ref.]]="Dentro",IF(DATOS_[[Check Equiparado]:[Check Equiparado]]="Sí",IF(DATOS!AV$5="Sí",(1/DATOS_[[% anualiz]:[% anualiz]]),1)*IF(DATOS!AV$4="Sí",1/DATOS_[[% normaliz]:[% normaliz]],1)*(DATOS_[Conc.Sal.18])))))))),
0)</f>
        <v>0</v>
      </c>
      <c r="AB61" s="101">
        <f t="array" ref="AB61">IFERROR(
(AVERAGE((IF(DATOS_[[Sexo]:[Sexo]]=$B61,IF(DATOS_[[AGRUP. CLAS. PROF.]:[AGRUP. CLAS. PROF.]]=$B60,IF(DATOS_[[Check Periodo Ref.]:[Check Periodo Ref.]]="Dentro",IF(DATOS_[[Check Equiparado]:[Check Equiparado]]="Sí",IF(DATOS!AW$5="Sí",(1/DATOS_[[% anualiz]:[% anualiz]]),1)*IF(DATOS!AW$4="Sí",1/DATOS_[[% normaliz]:[% normaliz]],1)*(DATOS_[Conc.Sal.19])))))))),
0)</f>
        <v>0</v>
      </c>
      <c r="AC61" s="101">
        <f t="array" ref="AC61">IFERROR(
(AVERAGE((IF(DATOS_[[Sexo]:[Sexo]]=$B61,IF(DATOS_[[AGRUP. CLAS. PROF.]:[AGRUP. CLAS. PROF.]]=$B60,IF(DATOS_[[Check Periodo Ref.]:[Check Periodo Ref.]]="Dentro",IF(DATOS_[[Check Equiparado]:[Check Equiparado]]="Sí",IF(DATOS!AX$5="Sí",(1/DATOS_[[% anualiz]:[% anualiz]]),1)*IF(DATOS!AX$4="Sí",1/DATOS_[[% normaliz]:[% normaliz]],1)*(DATOS_[Conc.Sal.20])))))))),
0)</f>
        <v>0</v>
      </c>
      <c r="AD61" s="101">
        <f t="array" ref="AD61">IFERROR(
(AVERAGE((IF(DATOS_[[Sexo]:[Sexo]]=$B61,IF(DATOS_[[AGRUP. CLAS. PROF.]:[AGRUP. CLAS. PROF.]]=$B60,IF(DATOS_[[Check Periodo Ref.]:[Check Periodo Ref.]]="Dentro",IF(DATOS_[[Check Equiparado]:[Check Equiparado]]="Sí",IF(DATOS!AY$5="Sí",(1/DATOS_[[% anualiz]:[% anualiz]]),1)*IF(DATOS!AY$4="Sí",1/DATOS_[[% normaliz]:[% normaliz]],1)*(DATOS_[Conc.Sal.21])))))))),
0)</f>
        <v>0</v>
      </c>
      <c r="AE61" s="101">
        <f t="array" ref="AE61">IFERROR(
(AVERAGE((IF(DATOS_[[Sexo]:[Sexo]]=$B61,IF(DATOS_[[AGRUP. CLAS. PROF.]:[AGRUP. CLAS. PROF.]]=$B60,IF(DATOS_[[Check Periodo Ref.]:[Check Periodo Ref.]]="Dentro",IF(DATOS_[[Check Equiparado]:[Check Equiparado]]="Sí",IF(DATOS!AZ$5="Sí",(1/DATOS_[[% anualiz]:[% anualiz]]),1)*IF(DATOS!AZ$4="Sí",1/DATOS_[[% normaliz]:[% normaliz]],1)*(DATOS_[Conc.Sal.22])))))))),
0)</f>
        <v>0</v>
      </c>
      <c r="AF61" s="101">
        <f t="array" ref="AF61">IFERROR(
(AVERAGE((IF(DATOS_[[Sexo]:[Sexo]]=$B61,IF(DATOS_[[AGRUP. CLAS. PROF.]:[AGRUP. CLAS. PROF.]]=$B60,IF(DATOS_[[Check Periodo Ref.]:[Check Periodo Ref.]]="Dentro",IF(DATOS_[[Check Equiparado]:[Check Equiparado]]="Sí",IF(DATOS!BA$5="Sí",(1/DATOS_[[% anualiz]:[% anualiz]]),1)*IF(DATOS!BA$4="Sí",1/DATOS_[[% normaliz]:[% normaliz]],1)*(DATOS_[Conc.Sal.23])))))))),
0)</f>
        <v>0</v>
      </c>
      <c r="AG61" s="101">
        <f t="array" ref="AG61">IFERROR(
(AVERAGE((IF(DATOS_[[Sexo]:[Sexo]]=$B61,IF(DATOS_[[AGRUP. CLAS. PROF.]:[AGRUP. CLAS. PROF.]]=$B60,IF(DATOS_[[Check Periodo Ref.]:[Check Periodo Ref.]]="Dentro",IF(DATOS_[[Check Equiparado]:[Check Equiparado]]="Sí",IF(DATOS!BB$5="Sí",(1/DATOS_[[% anualiz]:[% anualiz]]),1)*IF(DATOS!BB$4="Sí",1/DATOS_[[% normaliz]:[% normaliz]],1)*(DATOS_[Conc.Sal.24])))))))),
0)</f>
        <v>0</v>
      </c>
      <c r="AH61" s="101">
        <f t="array" ref="AH61">IFERROR(
(AVERAGE((IF(DATOS_[[Sexo]:[Sexo]]=$B61,IF(DATOS_[[AGRUP. CLAS. PROF.]:[AGRUP. CLAS. PROF.]]=$B60,IF(DATOS_[[Check Periodo Ref.]:[Check Periodo Ref.]]="Dentro",IF(DATOS_[[Check Equiparado]:[Check Equiparado]]="Sí",IF(DATOS!BC$5="Sí",(1/DATOS_[[% anualiz]:[% anualiz]]),1)*IF(DATOS!BC$4="Sí",1/DATOS_[[% normaliz]:[% normaliz]],1)*(DATOS_[Conc.Sal.25])))))))),
0)</f>
        <v>0</v>
      </c>
      <c r="AI61" s="101">
        <f t="array" ref="AI61">IFERROR(
(AVERAGE((IF(DATOS_[[Sexo]:[Sexo]]=$B61,IF(DATOS_[[AGRUP. CLAS. PROF.]:[AGRUP. CLAS. PROF.]]=$B60,IF(DATOS_[[Check Periodo Ref.]:[Check Periodo Ref.]]="Dentro",IF(DATOS_[[Check Equiparado]:[Check Equiparado]]="Sí",IF(DATOS!BD$5="Sí",(1/DATOS_[[% anualiz]:[% anualiz]]),1)*IF(DATOS!BD$4="Sí",1/DATOS_[[% normaliz]:[% normaliz]],1)*(DATOS_[Conc.Sal.26])))))))),
0)</f>
        <v>0</v>
      </c>
      <c r="AJ61" s="101">
        <f t="array" ref="AJ61">IFERROR(
(AVERAGE((IF(DATOS_[[Sexo]:[Sexo]]=$B61,IF(DATOS_[[AGRUP. CLAS. PROF.]:[AGRUP. CLAS. PROF.]]=$B60,IF(DATOS_[[Check Periodo Ref.]:[Check Periodo Ref.]]="Dentro",IF(DATOS_[[Check Equiparado]:[Check Equiparado]]="Sí",IF(DATOS!BE$5="Sí",(1/DATOS_[[% anualiz]:[% anualiz]]),1)*IF(DATOS!BE$4="Sí",1/DATOS_[[% normaliz]:[% normaliz]],1)*(DATOS_[Conc.Sal.27])))))))),
0)</f>
        <v>0</v>
      </c>
      <c r="AK61" s="101">
        <f t="array" ref="AK61">IFERROR(
(AVERAGE((IF(DATOS_[[Sexo]:[Sexo]]=$B61,IF(DATOS_[[AGRUP. CLAS. PROF.]:[AGRUP. CLAS. PROF.]]=$B60,IF(DATOS_[[Check Periodo Ref.]:[Check Periodo Ref.]]="Dentro",IF(DATOS_[[Check Equiparado]:[Check Equiparado]]="Sí",IF(DATOS!BF$5="Sí",(1/DATOS_[[% anualiz]:[% anualiz]]),1)*IF(DATOS!BF$4="Sí",1/DATOS_[[% normaliz]:[% normaliz]],1)*(DATOS_[Conc.Sal.28])))))))),
0)</f>
        <v>0</v>
      </c>
      <c r="AL61" s="101">
        <f t="array" ref="AL61">IFERROR(
(AVERAGE((IF(DATOS_[[Sexo]:[Sexo]]=$B61,IF(DATOS_[[AGRUP. CLAS. PROF.]:[AGRUP. CLAS. PROF.]]=$B60,IF(DATOS_[[Check Periodo Ref.]:[Check Periodo Ref.]]="Dentro",IF(DATOS_[[Check Equiparado]:[Check Equiparado]]="Sí",IF(DATOS!BG$5="Sí",(1/DATOS_[[% anualiz]:[% anualiz]]),1)*IF(DATOS!BG$4="Sí",1/DATOS_[[% normaliz]:[% normaliz]],1)*(DATOS_[Conc.Sal.29])))))))),
0)</f>
        <v>0</v>
      </c>
      <c r="AM61" s="101">
        <f t="array" ref="AM61">IFERROR(
(AVERAGE((IF(DATOS_[[Sexo]:[Sexo]]=$B61,IF(DATOS_[[AGRUP. CLAS. PROF.]:[AGRUP. CLAS. PROF.]]=$B60,IF(DATOS_[[Check Periodo Ref.]:[Check Periodo Ref.]]="Dentro",IF(DATOS_[[Check Equiparado]:[Check Equiparado]]="Sí",IF(DATOS!BH$5="Sí",(1/DATOS_[[% anualiz]:[% anualiz]]),1)*IF(DATOS!BH$4="Sí",1/DATOS_[[% normaliz]:[% normaliz]],1)*(DATOS_[Conc.Sal.30])))))))),
0)</f>
        <v>0</v>
      </c>
      <c r="AN61" s="102">
        <f t="array" ref="AN61">IFERROR(
AVERAGE(IF(DATOS_[Sexo]=$B61,IF(DATOS_[[AGRUP. CLAS. PROF.]:[AGRUP. CLAS. PROF.]]=$B60,IF(DATOS_[Check Equiparado]="Sí",IF(DATOS_[Check Periodo Ref.]="Dentro",DATOS_[Tot COMPL.SAL Eq],FALSE))))),
0)</f>
        <v>0</v>
      </c>
      <c r="AO61" s="103">
        <f t="array" ref="AO61">IFERROR(
AVERAGE(IF(DATOS_[Sexo]=$B61,IF(DATOS_[[AGRUP. CLAS. PROF.]:[AGRUP. CLAS. PROF.]]=$B60,IF(DATOS_[Check Equiparado]="Sí",IF(DATOS_[Check Periodo Ref.]="Dentro",DATOS_[TOTAL SALARIO Eq],FALSE))))),
0)</f>
        <v>0</v>
      </c>
      <c r="AP61" s="104">
        <f t="array" ref="AP61">IFERROR(
(AVERAGE((IF(DATOS_[[Sexo]:[Sexo]]=$B61,IF(DATOS_[[AGRUP. CLAS. PROF.]:[AGRUP. CLAS. PROF.]]=$B60,IF(DATOS_[[Check Periodo Ref.]:[Check Periodo Ref.]]="Dentro",IF(DATOS_[[Check Equiparado]:[Check Equiparado]]="Sí",IF(DATOS!BI$5="Sí",(1/DATOS_[[% anualiz]:[% anualiz]]),1)*IF(DATOS!BI$4="Sí",1/DATOS_[[% normaliz]:[% normaliz]],1)*(DATOS_[C.Extra.01])))))))),
0)</f>
        <v>0</v>
      </c>
      <c r="AQ61" s="104">
        <f t="array" ref="AQ61">IFERROR(
(AVERAGE((IF(DATOS_[[Sexo]:[Sexo]]=$B61,IF(DATOS_[[AGRUP. CLAS. PROF.]:[AGRUP. CLAS. PROF.]]=$B60,IF(DATOS_[[Check Periodo Ref.]:[Check Periodo Ref.]]="Dentro",IF(DATOS_[[Check Equiparado]:[Check Equiparado]]="Sí",IF(DATOS!BJ$5="Sí",(1/DATOS_[[% anualiz]:[% anualiz]]),1)*IF(DATOS!BJ$4="Sí",1/DATOS_[[% normaliz]:[% normaliz]],1)*(DATOS_[C.Extra.02])))))))),
0)</f>
        <v>0</v>
      </c>
      <c r="AR61" s="104">
        <f t="array" ref="AR61">IFERROR(
(AVERAGE((IF(DATOS_[[Sexo]:[Sexo]]=$B61,IF(DATOS_[[AGRUP. CLAS. PROF.]:[AGRUP. CLAS. PROF.]]=$B60,IF(DATOS_[[Check Periodo Ref.]:[Check Periodo Ref.]]="Dentro",IF(DATOS_[[Check Equiparado]:[Check Equiparado]]="Sí",IF(DATOS!BK$5="Sí",(1/DATOS_[[% anualiz]:[% anualiz]]),1)*IF(DATOS!BK$4="Sí",1/DATOS_[[% normaliz]:[% normaliz]],1)*(DATOS_[C.Extra.03])))))))),
0)</f>
        <v>0</v>
      </c>
      <c r="AS61" s="104">
        <f t="array" ref="AS61">IFERROR(
(AVERAGE((IF(DATOS_[[Sexo]:[Sexo]]=$B61,IF(DATOS_[[AGRUP. CLAS. PROF.]:[AGRUP. CLAS. PROF.]]=$B60,IF(DATOS_[[Check Periodo Ref.]:[Check Periodo Ref.]]="Dentro",IF(DATOS_[[Check Equiparado]:[Check Equiparado]]="Sí",IF(DATOS!BL$5="Sí",(1/DATOS_[[% anualiz]:[% anualiz]]),1)*IF(DATOS!BL$4="Sí",1/DATOS_[[% normaliz]:[% normaliz]],1)*(DATOS_[C.Extra.04])))))))),
0)</f>
        <v>0</v>
      </c>
      <c r="AT61" s="104">
        <f t="array" ref="AT61">IFERROR(
(AVERAGE((IF(DATOS_[[Sexo]:[Sexo]]=$B61,IF(DATOS_[[AGRUP. CLAS. PROF.]:[AGRUP. CLAS. PROF.]]=$B60,IF(DATOS_[[Check Periodo Ref.]:[Check Periodo Ref.]]="Dentro",IF(DATOS_[[Check Equiparado]:[Check Equiparado]]="Sí",IF(DATOS!BM$5="Sí",(1/DATOS_[[% anualiz]:[% anualiz]]),1)*IF(DATOS!BM$4="Sí",1/DATOS_[[% normaliz]:[% normaliz]],1)*(DATOS_[C.Extra.05])))))))),
0)</f>
        <v>0</v>
      </c>
      <c r="AU61" s="105">
        <f t="array" ref="AU61">IFERROR(
AVERAGE(IF(DATOS_[Sexo]=$B61,IF(DATOS_[[AGRUP. CLAS. PROF.]:[AGRUP. CLAS. PROF.]]=$B60,IF(DATOS_[Check Equiparado]="Sí",IF(DATOS_[Check Periodo Ref.]="Dentro",DATOS_[Tot Extrasalarial Eq],FALSE))))),
0)</f>
        <v>0</v>
      </c>
      <c r="AV61" s="106">
        <f t="array" ref="AV61">IFERROR(
AVERAGE(IF(DATOS_[Sexo]=$B61,IF(DATOS_[[AGRUP. CLAS. PROF.]:[AGRUP. CLAS. PROF.]]=$B60,IF(DATOS_[Check Equiparado]="Sí",IF(DATOS_[Check Periodo Ref.]="Dentro",DATOS_[TOTAL Retrib Eq],FALSE))))),
0)</f>
        <v>0</v>
      </c>
    </row>
    <row r="62" spans="1:48" hidden="1" x14ac:dyDescent="0.3">
      <c r="A62" s="53" t="str">
        <f t="shared" ref="A62" si="66">+A61</f>
        <v>[ocultar]</v>
      </c>
      <c r="B62" s="57" t="s">
        <v>163</v>
      </c>
      <c r="C62" s="56">
        <f t="array" ref="C62">SUM(IF($B62=DATOS_[Sexo],
IF($B60=DATOS_[AGRUP. CLAS. PROF.],
IF("Dentro"=DATOS_[Check Periodo Ref.],
1/(COUNTIFS(DATOS_[Sexo],$B62,DATOS_[AGRUP. CLAS. PROF.],$B60,DATOS_[Check Periodo Ref.],"Dentro",DATOS_[id],DATOS_[id]))))))</f>
        <v>0</v>
      </c>
      <c r="D62" s="58">
        <f>COUNTIFS(DATOS_[AGRUP. CLAS. PROF.],$B60,DATOS_[Sexo],$B62,DATOS_[Check Periodo Ref.],"Dentro")</f>
        <v>0</v>
      </c>
      <c r="E62" s="58">
        <f>COUNTIFS(DATOS_[AGRUP. CLAS. PROF.],$B60,DATOS_[Sexo],$B62,DATOS_[Check Periodo Ref.],"Dentro",DATOS_[Check Nº SC Norm],"Sí")</f>
        <v>0</v>
      </c>
      <c r="F62" s="58">
        <f>COUNTIFS(DATOS_[AGRUP. CLAS. PROF.],$B60,DATOS_[Sexo],$B62,DATOS_[Check Periodo Ref.],"Dentro",DATOS_[Check Nº SC Anualiz],"Sí")</f>
        <v>0</v>
      </c>
      <c r="G62" s="58">
        <f>COUNTIFS(DATOS_[AGRUP. CLAS. PROF.],$B60,DATOS_[Sexo],$B62,DATOS_[Check Periodo Ref.],"Dentro",DATOS_[Check Nº SC Norm y Anualiz],"Sí")</f>
        <v>0</v>
      </c>
      <c r="H62" s="58">
        <f>COUNTIFS(DATOS_[AGRUP. CLAS. PROF.],$B60,DATOS_[Sexo],$B62,DATOS_[Check Periodo Ref.],"Dentro",DATOS_[Check Equiparación],"Sí")</f>
        <v>0</v>
      </c>
      <c r="I62" s="100" cm="1">
        <f t="array" ref="I62">IFERROR(
AVERAGE(IF(DATOS_[Sexo]=$B62,IF(DATOS_[[AGRUP. CLAS. PROF.]:[AGRUP. CLAS. PROF.]]=$B60,IF(DATOS_[Check Equiparado]="Sí",IF(DATOS_[Check Periodo Ref.]="Dentro",DATOS_[SALARIO BASE Eq],FALSE))))),
0)</f>
        <v>0</v>
      </c>
      <c r="J62" s="101">
        <f t="array" ref="J62">IFERROR(
(AVERAGE((IF(DATOS_[[Sexo]:[Sexo]]=$B62,IF(DATOS_[[AGRUP. CLAS. PROF.]:[AGRUP. CLAS. PROF.]]=$B60,IF(DATOS_[[Check Periodo Ref.]:[Check Periodo Ref.]]="Dentro",IF(DATOS_[[Check Equiparado]:[Check Equiparado]]="Sí",IF(DATOS!AE$5="Sí",(1/DATOS_[[% anualiz]:[% anualiz]]),1)*IF(DATOS!AE$4="Sí",1/DATOS_[[% normaliz]:[% normaliz]],1)*(DATOS_[Conc.Sal.01])))))))),
0)</f>
        <v>0</v>
      </c>
      <c r="K62" s="101">
        <f t="array" ref="K62">IFERROR(
(AVERAGE((IF(DATOS_[[Sexo]:[Sexo]]=$B62,IF(DATOS_[[AGRUP. CLAS. PROF.]:[AGRUP. CLAS. PROF.]]=$B60,IF(DATOS_[[Check Periodo Ref.]:[Check Periodo Ref.]]="Dentro",IF(DATOS_[[Check Equiparado]:[Check Equiparado]]="Sí",IF(DATOS!AF$5="Sí",(1/DATOS_[[% anualiz]:[% anualiz]]),1)*IF(DATOS!AF$4="Sí",1/DATOS_[[% normaliz]:[% normaliz]],1)*(DATOS_[Conc.Sal.02])))))))),
0)</f>
        <v>0</v>
      </c>
      <c r="L62" s="101">
        <f t="array" ref="L62">IFERROR(
(AVERAGE((IF(DATOS_[[Sexo]:[Sexo]]=$B62,IF(DATOS_[[AGRUP. CLAS. PROF.]:[AGRUP. CLAS. PROF.]]=$B60,IF(DATOS_[[Check Periodo Ref.]:[Check Periodo Ref.]]="Dentro",IF(DATOS_[[Check Equiparado]:[Check Equiparado]]="Sí",IF(DATOS!AG$5="Sí",(1/DATOS_[[% anualiz]:[% anualiz]]),1)*IF(DATOS!AG$4="Sí",1/DATOS_[[% normaliz]:[% normaliz]],1)*(DATOS_[Conc.Sal.03])))))))),
0)</f>
        <v>0</v>
      </c>
      <c r="M62" s="101">
        <f t="array" ref="M62">IFERROR(
(AVERAGE((IF(DATOS_[[Sexo]:[Sexo]]=$B62,IF(DATOS_[[AGRUP. CLAS. PROF.]:[AGRUP. CLAS. PROF.]]=$B60,IF(DATOS_[[Check Periodo Ref.]:[Check Periodo Ref.]]="Dentro",IF(DATOS_[[Check Equiparado]:[Check Equiparado]]="Sí",IF(DATOS!AH$5="Sí",(1/DATOS_[[% anualiz]:[% anualiz]]),1)*IF(DATOS!AH$4="Sí",1/DATOS_[[% normaliz]:[% normaliz]],1)*(DATOS_[Conc.Sal.04])))))))),
0)</f>
        <v>0</v>
      </c>
      <c r="N62" s="101">
        <f t="array" ref="N62">IFERROR(
(AVERAGE((IF(DATOS_[[Sexo]:[Sexo]]=$B62,IF(DATOS_[[AGRUP. CLAS. PROF.]:[AGRUP. CLAS. PROF.]]=$B60,IF(DATOS_[[Check Periodo Ref.]:[Check Periodo Ref.]]="Dentro",IF(DATOS_[[Check Equiparado]:[Check Equiparado]]="Sí",IF(DATOS!AI$5="Sí",(1/DATOS_[[% anualiz]:[% anualiz]]),1)*IF(DATOS!AI$4="Sí",1/DATOS_[[% normaliz]:[% normaliz]],1)*(DATOS_[Conc.Sal.05])))))))),
0)</f>
        <v>0</v>
      </c>
      <c r="O62" s="101">
        <f t="array" ref="O62">IFERROR(
(AVERAGE((IF(DATOS_[[Sexo]:[Sexo]]=$B62,IF(DATOS_[[AGRUP. CLAS. PROF.]:[AGRUP. CLAS. PROF.]]=$B60,IF(DATOS_[[Check Periodo Ref.]:[Check Periodo Ref.]]="Dentro",IF(DATOS_[[Check Equiparado]:[Check Equiparado]]="Sí",IF(DATOS!AJ$5="Sí",(1/DATOS_[[% anualiz]:[% anualiz]]),1)*IF(DATOS!AJ$4="Sí",1/DATOS_[[% normaliz]:[% normaliz]],1)*(DATOS_[Conc.Sal.06])))))))),
0)</f>
        <v>0</v>
      </c>
      <c r="P62" s="101">
        <f t="array" ref="P62">IFERROR(
(AVERAGE((IF(DATOS_[[Sexo]:[Sexo]]=$B62,IF(DATOS_[[AGRUP. CLAS. PROF.]:[AGRUP. CLAS. PROF.]]=$B60,IF(DATOS_[[Check Periodo Ref.]:[Check Periodo Ref.]]="Dentro",IF(DATOS_[[Check Equiparado]:[Check Equiparado]]="Sí",IF(DATOS!AK$5="Sí",(1/DATOS_[[% anualiz]:[% anualiz]]),1)*IF(DATOS!AK$4="Sí",1/DATOS_[[% normaliz]:[% normaliz]],1)*(DATOS_[Conc.Sal.07])))))))),
0)</f>
        <v>0</v>
      </c>
      <c r="Q62" s="101">
        <f t="array" ref="Q62">IFERROR(
(AVERAGE((IF(DATOS_[[Sexo]:[Sexo]]=$B62,IF(DATOS_[[AGRUP. CLAS. PROF.]:[AGRUP. CLAS. PROF.]]=$B60,IF(DATOS_[[Check Periodo Ref.]:[Check Periodo Ref.]]="Dentro",IF(DATOS_[[Check Equiparado]:[Check Equiparado]]="Sí",IF(DATOS!AL$5="Sí",(1/DATOS_[[% anualiz]:[% anualiz]]),1)*IF(DATOS!AL$4="Sí",1/DATOS_[[% normaliz]:[% normaliz]],1)*(DATOS_[Conc.Sal.08])))))))),
0)</f>
        <v>0</v>
      </c>
      <c r="R62" s="101">
        <f t="array" ref="R62">IFERROR(
(AVERAGE((IF(DATOS_[[Sexo]:[Sexo]]=$B62,IF(DATOS_[[AGRUP. CLAS. PROF.]:[AGRUP. CLAS. PROF.]]=$B60,IF(DATOS_[[Check Periodo Ref.]:[Check Periodo Ref.]]="Dentro",IF(DATOS_[[Check Equiparado]:[Check Equiparado]]="Sí",IF(DATOS!AM$5="Sí",(1/DATOS_[[% anualiz]:[% anualiz]]),1)*IF(DATOS!AM$4="Sí",1/DATOS_[[% normaliz]:[% normaliz]],1)*(DATOS_[Conc.Sal.09])))))))),
0)</f>
        <v>0</v>
      </c>
      <c r="S62" s="101">
        <f t="array" ref="S62">IFERROR(
(AVERAGE((IF(DATOS_[[Sexo]:[Sexo]]=$B62,IF(DATOS_[[AGRUP. CLAS. PROF.]:[AGRUP. CLAS. PROF.]]=$B60,IF(DATOS_[[Check Periodo Ref.]:[Check Periodo Ref.]]="Dentro",IF(DATOS_[[Check Equiparado]:[Check Equiparado]]="Sí",IF(DATOS!AN$5="Sí",(1/DATOS_[[% anualiz]:[% anualiz]]),1)*IF(DATOS!AN$4="Sí",1/DATOS_[[% normaliz]:[% normaliz]],1)*(DATOS_[Conc.Sal.10])))))))),
0)</f>
        <v>0</v>
      </c>
      <c r="T62" s="101">
        <f t="array" ref="T62">IFERROR(
(AVERAGE((IF(DATOS_[[Sexo]:[Sexo]]=$B62,IF(DATOS_[[AGRUP. CLAS. PROF.]:[AGRUP. CLAS. PROF.]]=$B60,IF(DATOS_[[Check Periodo Ref.]:[Check Periodo Ref.]]="Dentro",IF(DATOS_[[Check Equiparado]:[Check Equiparado]]="Sí",IF(DATOS!AO$5="Sí",(1/DATOS_[[% anualiz]:[% anualiz]]),1)*IF(DATOS!AO$4="Sí",1/DATOS_[[% normaliz]:[% normaliz]],1)*(DATOS_[Conc.Sal.11])))))))),
0)</f>
        <v>0</v>
      </c>
      <c r="U62" s="101">
        <f t="array" ref="U62">IFERROR(
(AVERAGE((IF(DATOS_[[Sexo]:[Sexo]]=$B62,IF(DATOS_[[AGRUP. CLAS. PROF.]:[AGRUP. CLAS. PROF.]]=$B60,IF(DATOS_[[Check Periodo Ref.]:[Check Periodo Ref.]]="Dentro",IF(DATOS_[[Check Equiparado]:[Check Equiparado]]="Sí",IF(DATOS!AP$5="Sí",(1/DATOS_[[% anualiz]:[% anualiz]]),1)*IF(DATOS!AP$4="Sí",1/DATOS_[[% normaliz]:[% normaliz]],1)*(DATOS_[Conc.Sal.12])))))))),
0)</f>
        <v>0</v>
      </c>
      <c r="V62" s="101">
        <f t="array" ref="V62">IFERROR(
(AVERAGE((IF(DATOS_[[Sexo]:[Sexo]]=$B62,IF(DATOS_[[AGRUP. CLAS. PROF.]:[AGRUP. CLAS. PROF.]]=$B60,IF(DATOS_[[Check Periodo Ref.]:[Check Periodo Ref.]]="Dentro",IF(DATOS_[[Check Equiparado]:[Check Equiparado]]="Sí",IF(DATOS!AQ$5="Sí",(1/DATOS_[[% anualiz]:[% anualiz]]),1)*IF(DATOS!AQ$4="Sí",1/DATOS_[[% normaliz]:[% normaliz]],1)*(DATOS_[Conc.Sal.13])))))))),
0)</f>
        <v>0</v>
      </c>
      <c r="W62" s="101">
        <f t="array" ref="W62">IFERROR(
(AVERAGE((IF(DATOS_[[Sexo]:[Sexo]]=$B62,IF(DATOS_[[AGRUP. CLAS. PROF.]:[AGRUP. CLAS. PROF.]]=$B60,IF(DATOS_[[Check Periodo Ref.]:[Check Periodo Ref.]]="Dentro",IF(DATOS_[[Check Equiparado]:[Check Equiparado]]="Sí",IF(DATOS!AR$5="Sí",(1/DATOS_[[% anualiz]:[% anualiz]]),1)*IF(DATOS!AR$4="Sí",1/DATOS_[[% normaliz]:[% normaliz]],1)*(DATOS_[Conc.Sal.14])))))))),
0)</f>
        <v>0</v>
      </c>
      <c r="X62" s="101">
        <f t="array" ref="X62">IFERROR(
(AVERAGE((IF(DATOS_[[Sexo]:[Sexo]]=$B62,IF(DATOS_[[AGRUP. CLAS. PROF.]:[AGRUP. CLAS. PROF.]]=$B60,IF(DATOS_[[Check Periodo Ref.]:[Check Periodo Ref.]]="Dentro",IF(DATOS_[[Check Equiparado]:[Check Equiparado]]="Sí",IF(DATOS!AS$5="Sí",(1/DATOS_[[% anualiz]:[% anualiz]]),1)*IF(DATOS!AS$4="Sí",1/DATOS_[[% normaliz]:[% normaliz]],1)*(DATOS_[Conc.Sal.15])))))))),
0)</f>
        <v>0</v>
      </c>
      <c r="Y62" s="101">
        <f t="array" ref="Y62">IFERROR(
(AVERAGE((IF(DATOS_[[Sexo]:[Sexo]]=$B62,IF(DATOS_[[AGRUP. CLAS. PROF.]:[AGRUP. CLAS. PROF.]]=$B60,IF(DATOS_[[Check Periodo Ref.]:[Check Periodo Ref.]]="Dentro",IF(DATOS_[[Check Equiparado]:[Check Equiparado]]="Sí",IF(DATOS!AT$5="Sí",(1/DATOS_[[% anualiz]:[% anualiz]]),1)*IF(DATOS!AT$4="Sí",1/DATOS_[[% normaliz]:[% normaliz]],1)*(DATOS_[Conc.Sal.16])))))))),
0)</f>
        <v>0</v>
      </c>
      <c r="Z62" s="101">
        <f t="array" ref="Z62">IFERROR(
(AVERAGE((IF(DATOS_[[Sexo]:[Sexo]]=$B62,IF(DATOS_[[AGRUP. CLAS. PROF.]:[AGRUP. CLAS. PROF.]]=$B60,IF(DATOS_[[Check Periodo Ref.]:[Check Periodo Ref.]]="Dentro",IF(DATOS_[[Check Equiparado]:[Check Equiparado]]="Sí",IF(DATOS!AU$5="Sí",(1/DATOS_[[% anualiz]:[% anualiz]]),1)*IF(DATOS!AU$4="Sí",1/DATOS_[[% normaliz]:[% normaliz]],1)*(DATOS_[Conc.Sal.17])))))))),
0)</f>
        <v>0</v>
      </c>
      <c r="AA62" s="101">
        <f t="array" ref="AA62">IFERROR(
(AVERAGE((IF(DATOS_[[Sexo]:[Sexo]]=$B62,IF(DATOS_[[AGRUP. CLAS. PROF.]:[AGRUP. CLAS. PROF.]]=$B60,IF(DATOS_[[Check Periodo Ref.]:[Check Periodo Ref.]]="Dentro",IF(DATOS_[[Check Equiparado]:[Check Equiparado]]="Sí",IF(DATOS!AV$5="Sí",(1/DATOS_[[% anualiz]:[% anualiz]]),1)*IF(DATOS!AV$4="Sí",1/DATOS_[[% normaliz]:[% normaliz]],1)*(DATOS_[Conc.Sal.18])))))))),
0)</f>
        <v>0</v>
      </c>
      <c r="AB62" s="101">
        <f t="array" ref="AB62">IFERROR(
(AVERAGE((IF(DATOS_[[Sexo]:[Sexo]]=$B62,IF(DATOS_[[AGRUP. CLAS. PROF.]:[AGRUP. CLAS. PROF.]]=$B60,IF(DATOS_[[Check Periodo Ref.]:[Check Periodo Ref.]]="Dentro",IF(DATOS_[[Check Equiparado]:[Check Equiparado]]="Sí",IF(DATOS!AW$5="Sí",(1/DATOS_[[% anualiz]:[% anualiz]]),1)*IF(DATOS!AW$4="Sí",1/DATOS_[[% normaliz]:[% normaliz]],1)*(DATOS_[Conc.Sal.19])))))))),
0)</f>
        <v>0</v>
      </c>
      <c r="AC62" s="101">
        <f t="array" ref="AC62">IFERROR(
(AVERAGE((IF(DATOS_[[Sexo]:[Sexo]]=$B62,IF(DATOS_[[AGRUP. CLAS. PROF.]:[AGRUP. CLAS. PROF.]]=$B60,IF(DATOS_[[Check Periodo Ref.]:[Check Periodo Ref.]]="Dentro",IF(DATOS_[[Check Equiparado]:[Check Equiparado]]="Sí",IF(DATOS!AX$5="Sí",(1/DATOS_[[% anualiz]:[% anualiz]]),1)*IF(DATOS!AX$4="Sí",1/DATOS_[[% normaliz]:[% normaliz]],1)*(DATOS_[Conc.Sal.20])))))))),
0)</f>
        <v>0</v>
      </c>
      <c r="AD62" s="101">
        <f t="array" ref="AD62">IFERROR(
(AVERAGE((IF(DATOS_[[Sexo]:[Sexo]]=$B62,IF(DATOS_[[AGRUP. CLAS. PROF.]:[AGRUP. CLAS. PROF.]]=$B60,IF(DATOS_[[Check Periodo Ref.]:[Check Periodo Ref.]]="Dentro",IF(DATOS_[[Check Equiparado]:[Check Equiparado]]="Sí",IF(DATOS!AY$5="Sí",(1/DATOS_[[% anualiz]:[% anualiz]]),1)*IF(DATOS!AY$4="Sí",1/DATOS_[[% normaliz]:[% normaliz]],1)*(DATOS_[Conc.Sal.21])))))))),
0)</f>
        <v>0</v>
      </c>
      <c r="AE62" s="101">
        <f t="array" ref="AE62">IFERROR(
(AVERAGE((IF(DATOS_[[Sexo]:[Sexo]]=$B62,IF(DATOS_[[AGRUP. CLAS. PROF.]:[AGRUP. CLAS. PROF.]]=$B60,IF(DATOS_[[Check Periodo Ref.]:[Check Periodo Ref.]]="Dentro",IF(DATOS_[[Check Equiparado]:[Check Equiparado]]="Sí",IF(DATOS!AZ$5="Sí",(1/DATOS_[[% anualiz]:[% anualiz]]),1)*IF(DATOS!AZ$4="Sí",1/DATOS_[[% normaliz]:[% normaliz]],1)*(DATOS_[Conc.Sal.22])))))))),
0)</f>
        <v>0</v>
      </c>
      <c r="AF62" s="101">
        <f t="array" ref="AF62">IFERROR(
(AVERAGE((IF(DATOS_[[Sexo]:[Sexo]]=$B62,IF(DATOS_[[AGRUP. CLAS. PROF.]:[AGRUP. CLAS. PROF.]]=$B60,IF(DATOS_[[Check Periodo Ref.]:[Check Periodo Ref.]]="Dentro",IF(DATOS_[[Check Equiparado]:[Check Equiparado]]="Sí",IF(DATOS!BA$5="Sí",(1/DATOS_[[% anualiz]:[% anualiz]]),1)*IF(DATOS!BA$4="Sí",1/DATOS_[[% normaliz]:[% normaliz]],1)*(DATOS_[Conc.Sal.23])))))))),
0)</f>
        <v>0</v>
      </c>
      <c r="AG62" s="101">
        <f t="array" ref="AG62">IFERROR(
(AVERAGE((IF(DATOS_[[Sexo]:[Sexo]]=$B62,IF(DATOS_[[AGRUP. CLAS. PROF.]:[AGRUP. CLAS. PROF.]]=$B60,IF(DATOS_[[Check Periodo Ref.]:[Check Periodo Ref.]]="Dentro",IF(DATOS_[[Check Equiparado]:[Check Equiparado]]="Sí",IF(DATOS!BB$5="Sí",(1/DATOS_[[% anualiz]:[% anualiz]]),1)*IF(DATOS!BB$4="Sí",1/DATOS_[[% normaliz]:[% normaliz]],1)*(DATOS_[Conc.Sal.24])))))))),
0)</f>
        <v>0</v>
      </c>
      <c r="AH62" s="101">
        <f t="array" ref="AH62">IFERROR(
(AVERAGE((IF(DATOS_[[Sexo]:[Sexo]]=$B62,IF(DATOS_[[AGRUP. CLAS. PROF.]:[AGRUP. CLAS. PROF.]]=$B60,IF(DATOS_[[Check Periodo Ref.]:[Check Periodo Ref.]]="Dentro",IF(DATOS_[[Check Equiparado]:[Check Equiparado]]="Sí",IF(DATOS!BC$5="Sí",(1/DATOS_[[% anualiz]:[% anualiz]]),1)*IF(DATOS!BC$4="Sí",1/DATOS_[[% normaliz]:[% normaliz]],1)*(DATOS_[Conc.Sal.25])))))))),
0)</f>
        <v>0</v>
      </c>
      <c r="AI62" s="101">
        <f t="array" ref="AI62">IFERROR(
(AVERAGE((IF(DATOS_[[Sexo]:[Sexo]]=$B62,IF(DATOS_[[AGRUP. CLAS. PROF.]:[AGRUP. CLAS. PROF.]]=$B60,IF(DATOS_[[Check Periodo Ref.]:[Check Periodo Ref.]]="Dentro",IF(DATOS_[[Check Equiparado]:[Check Equiparado]]="Sí",IF(DATOS!BD$5="Sí",(1/DATOS_[[% anualiz]:[% anualiz]]),1)*IF(DATOS!BD$4="Sí",1/DATOS_[[% normaliz]:[% normaliz]],1)*(DATOS_[Conc.Sal.26])))))))),
0)</f>
        <v>0</v>
      </c>
      <c r="AJ62" s="101">
        <f t="array" ref="AJ62">IFERROR(
(AVERAGE((IF(DATOS_[[Sexo]:[Sexo]]=$B62,IF(DATOS_[[AGRUP. CLAS. PROF.]:[AGRUP. CLAS. PROF.]]=$B60,IF(DATOS_[[Check Periodo Ref.]:[Check Periodo Ref.]]="Dentro",IF(DATOS_[[Check Equiparado]:[Check Equiparado]]="Sí",IF(DATOS!BE$5="Sí",(1/DATOS_[[% anualiz]:[% anualiz]]),1)*IF(DATOS!BE$4="Sí",1/DATOS_[[% normaliz]:[% normaliz]],1)*(DATOS_[Conc.Sal.27])))))))),
0)</f>
        <v>0</v>
      </c>
      <c r="AK62" s="101">
        <f t="array" ref="AK62">IFERROR(
(AVERAGE((IF(DATOS_[[Sexo]:[Sexo]]=$B62,IF(DATOS_[[AGRUP. CLAS. PROF.]:[AGRUP. CLAS. PROF.]]=$B60,IF(DATOS_[[Check Periodo Ref.]:[Check Periodo Ref.]]="Dentro",IF(DATOS_[[Check Equiparado]:[Check Equiparado]]="Sí",IF(DATOS!BF$5="Sí",(1/DATOS_[[% anualiz]:[% anualiz]]),1)*IF(DATOS!BF$4="Sí",1/DATOS_[[% normaliz]:[% normaliz]],1)*(DATOS_[Conc.Sal.28])))))))),
0)</f>
        <v>0</v>
      </c>
      <c r="AL62" s="101">
        <f t="array" ref="AL62">IFERROR(
(AVERAGE((IF(DATOS_[[Sexo]:[Sexo]]=$B62,IF(DATOS_[[AGRUP. CLAS. PROF.]:[AGRUP. CLAS. PROF.]]=$B60,IF(DATOS_[[Check Periodo Ref.]:[Check Periodo Ref.]]="Dentro",IF(DATOS_[[Check Equiparado]:[Check Equiparado]]="Sí",IF(DATOS!BG$5="Sí",(1/DATOS_[[% anualiz]:[% anualiz]]),1)*IF(DATOS!BG$4="Sí",1/DATOS_[[% normaliz]:[% normaliz]],1)*(DATOS_[Conc.Sal.29])))))))),
0)</f>
        <v>0</v>
      </c>
      <c r="AM62" s="101">
        <f t="array" ref="AM62">IFERROR(
(AVERAGE((IF(DATOS_[[Sexo]:[Sexo]]=$B62,IF(DATOS_[[AGRUP. CLAS. PROF.]:[AGRUP. CLAS. PROF.]]=$B60,IF(DATOS_[[Check Periodo Ref.]:[Check Periodo Ref.]]="Dentro",IF(DATOS_[[Check Equiparado]:[Check Equiparado]]="Sí",IF(DATOS!BH$5="Sí",(1/DATOS_[[% anualiz]:[% anualiz]]),1)*IF(DATOS!BH$4="Sí",1/DATOS_[[% normaliz]:[% normaliz]],1)*(DATOS_[Conc.Sal.30])))))))),
0)</f>
        <v>0</v>
      </c>
      <c r="AN62" s="102">
        <f t="array" ref="AN62">IFERROR(
AVERAGE(IF(DATOS_[Sexo]=$B62,IF(DATOS_[[AGRUP. CLAS. PROF.]:[AGRUP. CLAS. PROF.]]=$B60,IF(DATOS_[Check Equiparado]="Sí",IF(DATOS_[Check Periodo Ref.]="Dentro",DATOS_[Tot COMPL.SAL Eq],FALSE))))),
0)</f>
        <v>0</v>
      </c>
      <c r="AO62" s="103">
        <f t="array" ref="AO62">IFERROR(
AVERAGE(IF(DATOS_[Sexo]=$B62,IF(DATOS_[[AGRUP. CLAS. PROF.]:[AGRUP. CLAS. PROF.]]=$B60,IF(DATOS_[Check Equiparado]="Sí",IF(DATOS_[Check Periodo Ref.]="Dentro",DATOS_[TOTAL SALARIO Eq],FALSE))))),
0)</f>
        <v>0</v>
      </c>
      <c r="AP62" s="104">
        <f t="array" ref="AP62">IFERROR(
(AVERAGE((IF(DATOS_[[Sexo]:[Sexo]]=$B62,IF(DATOS_[[AGRUP. CLAS. PROF.]:[AGRUP. CLAS. PROF.]]=$B60,IF(DATOS_[[Check Periodo Ref.]:[Check Periodo Ref.]]="Dentro",IF(DATOS_[[Check Equiparado]:[Check Equiparado]]="Sí",IF(DATOS!BI$5="Sí",(1/DATOS_[[% anualiz]:[% anualiz]]),1)*IF(DATOS!BI$4="Sí",1/DATOS_[[% normaliz]:[% normaliz]],1)*(DATOS_[C.Extra.01])))))))),
0)</f>
        <v>0</v>
      </c>
      <c r="AQ62" s="104">
        <f t="array" ref="AQ62">IFERROR(
(AVERAGE((IF(DATOS_[[Sexo]:[Sexo]]=$B62,IF(DATOS_[[AGRUP. CLAS. PROF.]:[AGRUP. CLAS. PROF.]]=$B60,IF(DATOS_[[Check Periodo Ref.]:[Check Periodo Ref.]]="Dentro",IF(DATOS_[[Check Equiparado]:[Check Equiparado]]="Sí",IF(DATOS!BJ$5="Sí",(1/DATOS_[[% anualiz]:[% anualiz]]),1)*IF(DATOS!BJ$4="Sí",1/DATOS_[[% normaliz]:[% normaliz]],1)*(DATOS_[C.Extra.02])))))))),
0)</f>
        <v>0</v>
      </c>
      <c r="AR62" s="104">
        <f t="array" ref="AR62">IFERROR(
(AVERAGE((IF(DATOS_[[Sexo]:[Sexo]]=$B62,IF(DATOS_[[AGRUP. CLAS. PROF.]:[AGRUP. CLAS. PROF.]]=$B60,IF(DATOS_[[Check Periodo Ref.]:[Check Periodo Ref.]]="Dentro",IF(DATOS_[[Check Equiparado]:[Check Equiparado]]="Sí",IF(DATOS!BK$5="Sí",(1/DATOS_[[% anualiz]:[% anualiz]]),1)*IF(DATOS!BK$4="Sí",1/DATOS_[[% normaliz]:[% normaliz]],1)*(DATOS_[C.Extra.03])))))))),
0)</f>
        <v>0</v>
      </c>
      <c r="AS62" s="104">
        <f t="array" ref="AS62">IFERROR(
(AVERAGE((IF(DATOS_[[Sexo]:[Sexo]]=$B62,IF(DATOS_[[AGRUP. CLAS. PROF.]:[AGRUP. CLAS. PROF.]]=$B60,IF(DATOS_[[Check Periodo Ref.]:[Check Periodo Ref.]]="Dentro",IF(DATOS_[[Check Equiparado]:[Check Equiparado]]="Sí",IF(DATOS!BL$5="Sí",(1/DATOS_[[% anualiz]:[% anualiz]]),1)*IF(DATOS!BL$4="Sí",1/DATOS_[[% normaliz]:[% normaliz]],1)*(DATOS_[C.Extra.04])))))))),
0)</f>
        <v>0</v>
      </c>
      <c r="AT62" s="104">
        <f t="array" ref="AT62">IFERROR(
(AVERAGE((IF(DATOS_[[Sexo]:[Sexo]]=$B62,IF(DATOS_[[AGRUP. CLAS. PROF.]:[AGRUP. CLAS. PROF.]]=$B60,IF(DATOS_[[Check Periodo Ref.]:[Check Periodo Ref.]]="Dentro",IF(DATOS_[[Check Equiparado]:[Check Equiparado]]="Sí",IF(DATOS!BM$5="Sí",(1/DATOS_[[% anualiz]:[% anualiz]]),1)*IF(DATOS!BM$4="Sí",1/DATOS_[[% normaliz]:[% normaliz]],1)*(DATOS_[C.Extra.05])))))))),
0)</f>
        <v>0</v>
      </c>
      <c r="AU62" s="105">
        <f t="array" ref="AU62">IFERROR(
AVERAGE(IF(DATOS_[Sexo]=$B62,IF(DATOS_[[AGRUP. CLAS. PROF.]:[AGRUP. CLAS. PROF.]]=$B60,IF(DATOS_[Check Equiparado]="Sí",IF(DATOS_[Check Periodo Ref.]="Dentro",DATOS_[Tot Extrasalarial Eq],FALSE))))),
0)</f>
        <v>0</v>
      </c>
      <c r="AV62" s="106">
        <f t="array" ref="AV62">IFERROR(
AVERAGE(IF(DATOS_[Sexo]=$B62,IF(DATOS_[[AGRUP. CLAS. PROF.]:[AGRUP. CLAS. PROF.]]=$B60,IF(DATOS_[Check Equiparado]="Sí",IF(DATOS_[Check Periodo Ref.]="Dentro",DATOS_[TOTAL Retrib Eq],FALSE))))),
0)</f>
        <v>0</v>
      </c>
    </row>
    <row r="63" spans="1:48" ht="17.25" hidden="1" thickBot="1" x14ac:dyDescent="0.35">
      <c r="A63" s="53" t="str">
        <f t="shared" ref="A63" si="67">+A64</f>
        <v>[ocultar]</v>
      </c>
      <c r="B63" s="62" t="s">
        <v>233</v>
      </c>
      <c r="C63" s="99"/>
      <c r="D63" s="63"/>
      <c r="E63" s="63"/>
      <c r="F63" s="63"/>
      <c r="G63" s="63"/>
      <c r="H63" s="63"/>
      <c r="I63" s="129" t="str">
        <f t="shared" ref="I63:AV63" si="68">IFERROR((I64-I65)/I64,"")</f>
        <v/>
      </c>
      <c r="J63" s="130" t="str">
        <f t="shared" si="68"/>
        <v/>
      </c>
      <c r="K63" s="131" t="str">
        <f t="shared" si="68"/>
        <v/>
      </c>
      <c r="L63" s="131" t="str">
        <f t="shared" si="68"/>
        <v/>
      </c>
      <c r="M63" s="131" t="str">
        <f t="shared" si="68"/>
        <v/>
      </c>
      <c r="N63" s="132" t="str">
        <f t="shared" si="68"/>
        <v/>
      </c>
      <c r="O63" s="133" t="str">
        <f t="shared" si="68"/>
        <v/>
      </c>
      <c r="P63" s="133" t="str">
        <f t="shared" si="68"/>
        <v/>
      </c>
      <c r="Q63" s="133" t="str">
        <f t="shared" si="68"/>
        <v/>
      </c>
      <c r="R63" s="133" t="str">
        <f t="shared" si="68"/>
        <v/>
      </c>
      <c r="S63" s="133" t="str">
        <f t="shared" si="68"/>
        <v/>
      </c>
      <c r="T63" s="133" t="str">
        <f t="shared" si="68"/>
        <v/>
      </c>
      <c r="U63" s="133" t="str">
        <f t="shared" si="68"/>
        <v/>
      </c>
      <c r="V63" s="133" t="str">
        <f t="shared" si="68"/>
        <v/>
      </c>
      <c r="W63" s="133" t="str">
        <f t="shared" si="68"/>
        <v/>
      </c>
      <c r="X63" s="133" t="str">
        <f t="shared" si="68"/>
        <v/>
      </c>
      <c r="Y63" s="133" t="str">
        <f t="shared" si="68"/>
        <v/>
      </c>
      <c r="Z63" s="132" t="str">
        <f t="shared" si="68"/>
        <v/>
      </c>
      <c r="AA63" s="132" t="str">
        <f t="shared" si="68"/>
        <v/>
      </c>
      <c r="AB63" s="132" t="str">
        <f t="shared" si="68"/>
        <v/>
      </c>
      <c r="AC63" s="132" t="str">
        <f t="shared" si="68"/>
        <v/>
      </c>
      <c r="AD63" s="132" t="str">
        <f t="shared" si="68"/>
        <v/>
      </c>
      <c r="AE63" s="132" t="str">
        <f t="shared" si="68"/>
        <v/>
      </c>
      <c r="AF63" s="132" t="str">
        <f t="shared" si="68"/>
        <v/>
      </c>
      <c r="AG63" s="132" t="str">
        <f t="shared" si="68"/>
        <v/>
      </c>
      <c r="AH63" s="132" t="str">
        <f t="shared" si="68"/>
        <v/>
      </c>
      <c r="AI63" s="132" t="str">
        <f t="shared" si="68"/>
        <v/>
      </c>
      <c r="AJ63" s="132" t="str">
        <f t="shared" si="68"/>
        <v/>
      </c>
      <c r="AK63" s="132" t="str">
        <f t="shared" si="68"/>
        <v/>
      </c>
      <c r="AL63" s="132" t="str">
        <f t="shared" si="68"/>
        <v/>
      </c>
      <c r="AM63" s="132" t="str">
        <f t="shared" si="68"/>
        <v/>
      </c>
      <c r="AN63" s="134" t="str">
        <f t="shared" si="68"/>
        <v/>
      </c>
      <c r="AO63" s="138" t="str">
        <f t="shared" si="68"/>
        <v/>
      </c>
      <c r="AP63" s="135" t="str">
        <f t="shared" si="68"/>
        <v/>
      </c>
      <c r="AQ63" s="135" t="str">
        <f t="shared" si="68"/>
        <v/>
      </c>
      <c r="AR63" s="135" t="str">
        <f t="shared" si="68"/>
        <v/>
      </c>
      <c r="AS63" s="135" t="str">
        <f t="shared" si="68"/>
        <v/>
      </c>
      <c r="AT63" s="135" t="str">
        <f t="shared" si="68"/>
        <v/>
      </c>
      <c r="AU63" s="136" t="str">
        <f t="shared" si="68"/>
        <v/>
      </c>
      <c r="AV63" s="137" t="str">
        <f t="shared" si="68"/>
        <v/>
      </c>
    </row>
    <row r="64" spans="1:48" hidden="1" x14ac:dyDescent="0.3">
      <c r="A64" s="53" t="str">
        <f t="shared" ref="A64" si="69">+IF(C64+C65=0,"[ocultar]","")</f>
        <v>[ocultar]</v>
      </c>
      <c r="B64" s="57" t="s">
        <v>162</v>
      </c>
      <c r="C64" s="56">
        <f t="array" ref="C64">SUM(IF($B64=DATOS_[Sexo],
IF($B63=DATOS_[AGRUP. CLAS. PROF.],
IF("Dentro"=DATOS_[Check Periodo Ref.],
1/(COUNTIFS(DATOS_[Sexo],$B64,DATOS_[AGRUP. CLAS. PROF.],$B63,DATOS_[Check Periodo Ref.],"Dentro",DATOS_[id],DATOS_[id]))))))</f>
        <v>0</v>
      </c>
      <c r="D64" s="58">
        <f>COUNTIFS(DATOS_[AGRUP. CLAS. PROF.],$B63,DATOS_[Sexo],$B64,DATOS_[Check Periodo Ref.],"Dentro")</f>
        <v>0</v>
      </c>
      <c r="E64" s="58">
        <f>COUNTIFS(DATOS_[AGRUP. CLAS. PROF.],$B63,DATOS_[Sexo],$B64,DATOS_[Check Periodo Ref.],"Dentro",DATOS_[Check Nº SC Norm],"Sí")</f>
        <v>0</v>
      </c>
      <c r="F64" s="58">
        <f>COUNTIFS(DATOS_[AGRUP. CLAS. PROF.],$B63,DATOS_[Sexo],$B64,DATOS_[Check Periodo Ref.],"Dentro",DATOS_[Check Nº SC Anualiz],"Sí")</f>
        <v>0</v>
      </c>
      <c r="G64" s="58">
        <f>COUNTIFS(DATOS_[AGRUP. CLAS. PROF.],$B63,DATOS_[Sexo],$B64,DATOS_[Check Periodo Ref.],"Dentro",DATOS_[Check Nº SC Norm y Anualiz],"Sí")</f>
        <v>0</v>
      </c>
      <c r="H64" s="58">
        <f>COUNTIFS(DATOS_[AGRUP. CLAS. PROF.],$B63,DATOS_[Sexo],$B64,DATOS_[Check Periodo Ref.],"Dentro",DATOS_[Check Equiparación],"Sí")</f>
        <v>0</v>
      </c>
      <c r="I64" s="100">
        <f t="array" ref="I64">IFERROR(
AVERAGE(IF(DATOS_[Sexo]=$B64,IF(DATOS_[[AGRUP. CLAS. PROF.]:[AGRUP. CLAS. PROF.]]=$B63,IF(DATOS_[Check Equiparado]="Sí",IF(DATOS_[Check Periodo Ref.]="Dentro",DATOS_[SALARIO BASE Eq],FALSE))))),
0)</f>
        <v>0</v>
      </c>
      <c r="J64" s="101">
        <f t="array" ref="J64">IFERROR(
(AVERAGE((IF(DATOS_[[Sexo]:[Sexo]]=$B64,IF(DATOS_[[AGRUP. CLAS. PROF.]:[AGRUP. CLAS. PROF.]]=$B63,IF(DATOS_[[Check Periodo Ref.]:[Check Periodo Ref.]]="Dentro",IF(DATOS_[[Check Equiparado]:[Check Equiparado]]="Sí",IF(DATOS!AE$5="Sí",(1/DATOS_[[% anualiz]:[% anualiz]]),1)*IF(DATOS!AE$4="Sí",1/DATOS_[[% normaliz]:[% normaliz]],1)*(DATOS_[Conc.Sal.01])))))))),
0)</f>
        <v>0</v>
      </c>
      <c r="K64" s="101">
        <f t="array" ref="K64">IFERROR(
(AVERAGE((IF(DATOS_[[Sexo]:[Sexo]]=$B64,IF(DATOS_[[AGRUP. CLAS. PROF.]:[AGRUP. CLAS. PROF.]]=$B63,IF(DATOS_[[Check Periodo Ref.]:[Check Periodo Ref.]]="Dentro",IF(DATOS_[[Check Equiparado]:[Check Equiparado]]="Sí",IF(DATOS!AF$5="Sí",(1/DATOS_[[% anualiz]:[% anualiz]]),1)*IF(DATOS!AF$4="Sí",1/DATOS_[[% normaliz]:[% normaliz]],1)*(DATOS_[Conc.Sal.02])))))))),
0)</f>
        <v>0</v>
      </c>
      <c r="L64" s="101">
        <f t="array" ref="L64">IFERROR(
(AVERAGE((IF(DATOS_[[Sexo]:[Sexo]]=$B64,IF(DATOS_[[AGRUP. CLAS. PROF.]:[AGRUP. CLAS. PROF.]]=$B63,IF(DATOS_[[Check Periodo Ref.]:[Check Periodo Ref.]]="Dentro",IF(DATOS_[[Check Equiparado]:[Check Equiparado]]="Sí",IF(DATOS!AG$5="Sí",(1/DATOS_[[% anualiz]:[% anualiz]]),1)*IF(DATOS!AG$4="Sí",1/DATOS_[[% normaliz]:[% normaliz]],1)*(DATOS_[Conc.Sal.03])))))))),
0)</f>
        <v>0</v>
      </c>
      <c r="M64" s="101">
        <f t="array" ref="M64">IFERROR(
(AVERAGE((IF(DATOS_[[Sexo]:[Sexo]]=$B64,IF(DATOS_[[AGRUP. CLAS. PROF.]:[AGRUP. CLAS. PROF.]]=$B63,IF(DATOS_[[Check Periodo Ref.]:[Check Periodo Ref.]]="Dentro",IF(DATOS_[[Check Equiparado]:[Check Equiparado]]="Sí",IF(DATOS!AH$5="Sí",(1/DATOS_[[% anualiz]:[% anualiz]]),1)*IF(DATOS!AH$4="Sí",1/DATOS_[[% normaliz]:[% normaliz]],1)*(DATOS_[Conc.Sal.04])))))))),
0)</f>
        <v>0</v>
      </c>
      <c r="N64" s="101">
        <f t="array" ref="N64">IFERROR(
(AVERAGE((IF(DATOS_[[Sexo]:[Sexo]]=$B64,IF(DATOS_[[AGRUP. CLAS. PROF.]:[AGRUP. CLAS. PROF.]]=$B63,IF(DATOS_[[Check Periodo Ref.]:[Check Periodo Ref.]]="Dentro",IF(DATOS_[[Check Equiparado]:[Check Equiparado]]="Sí",IF(DATOS!AI$5="Sí",(1/DATOS_[[% anualiz]:[% anualiz]]),1)*IF(DATOS!AI$4="Sí",1/DATOS_[[% normaliz]:[% normaliz]],1)*(DATOS_[Conc.Sal.05])))))))),
0)</f>
        <v>0</v>
      </c>
      <c r="O64" s="101">
        <f t="array" ref="O64">IFERROR(
(AVERAGE((IF(DATOS_[[Sexo]:[Sexo]]=$B64,IF(DATOS_[[AGRUP. CLAS. PROF.]:[AGRUP. CLAS. PROF.]]=$B63,IF(DATOS_[[Check Periodo Ref.]:[Check Periodo Ref.]]="Dentro",IF(DATOS_[[Check Equiparado]:[Check Equiparado]]="Sí",IF(DATOS!AJ$5="Sí",(1/DATOS_[[% anualiz]:[% anualiz]]),1)*IF(DATOS!AJ$4="Sí",1/DATOS_[[% normaliz]:[% normaliz]],1)*(DATOS_[Conc.Sal.06])))))))),
0)</f>
        <v>0</v>
      </c>
      <c r="P64" s="101">
        <f t="array" ref="P64">IFERROR(
(AVERAGE((IF(DATOS_[[Sexo]:[Sexo]]=$B64,IF(DATOS_[[AGRUP. CLAS. PROF.]:[AGRUP. CLAS. PROF.]]=$B63,IF(DATOS_[[Check Periodo Ref.]:[Check Periodo Ref.]]="Dentro",IF(DATOS_[[Check Equiparado]:[Check Equiparado]]="Sí",IF(DATOS!AK$5="Sí",(1/DATOS_[[% anualiz]:[% anualiz]]),1)*IF(DATOS!AK$4="Sí",1/DATOS_[[% normaliz]:[% normaliz]],1)*(DATOS_[Conc.Sal.07])))))))),
0)</f>
        <v>0</v>
      </c>
      <c r="Q64" s="101">
        <f t="array" ref="Q64">IFERROR(
(AVERAGE((IF(DATOS_[[Sexo]:[Sexo]]=$B64,IF(DATOS_[[AGRUP. CLAS. PROF.]:[AGRUP. CLAS. PROF.]]=$B63,IF(DATOS_[[Check Periodo Ref.]:[Check Periodo Ref.]]="Dentro",IF(DATOS_[[Check Equiparado]:[Check Equiparado]]="Sí",IF(DATOS!AL$5="Sí",(1/DATOS_[[% anualiz]:[% anualiz]]),1)*IF(DATOS!AL$4="Sí",1/DATOS_[[% normaliz]:[% normaliz]],1)*(DATOS_[Conc.Sal.08])))))))),
0)</f>
        <v>0</v>
      </c>
      <c r="R64" s="101">
        <f t="array" ref="R64">IFERROR(
(AVERAGE((IF(DATOS_[[Sexo]:[Sexo]]=$B64,IF(DATOS_[[AGRUP. CLAS. PROF.]:[AGRUP. CLAS. PROF.]]=$B63,IF(DATOS_[[Check Periodo Ref.]:[Check Periodo Ref.]]="Dentro",IF(DATOS_[[Check Equiparado]:[Check Equiparado]]="Sí",IF(DATOS!AM$5="Sí",(1/DATOS_[[% anualiz]:[% anualiz]]),1)*IF(DATOS!AM$4="Sí",1/DATOS_[[% normaliz]:[% normaliz]],1)*(DATOS_[Conc.Sal.09])))))))),
0)</f>
        <v>0</v>
      </c>
      <c r="S64" s="101">
        <f t="array" ref="S64">IFERROR(
(AVERAGE((IF(DATOS_[[Sexo]:[Sexo]]=$B64,IF(DATOS_[[AGRUP. CLAS. PROF.]:[AGRUP. CLAS. PROF.]]=$B63,IF(DATOS_[[Check Periodo Ref.]:[Check Periodo Ref.]]="Dentro",IF(DATOS_[[Check Equiparado]:[Check Equiparado]]="Sí",IF(DATOS!AN$5="Sí",(1/DATOS_[[% anualiz]:[% anualiz]]),1)*IF(DATOS!AN$4="Sí",1/DATOS_[[% normaliz]:[% normaliz]],1)*(DATOS_[Conc.Sal.10])))))))),
0)</f>
        <v>0</v>
      </c>
      <c r="T64" s="101">
        <f t="array" ref="T64">IFERROR(
(AVERAGE((IF(DATOS_[[Sexo]:[Sexo]]=$B64,IF(DATOS_[[AGRUP. CLAS. PROF.]:[AGRUP. CLAS. PROF.]]=$B63,IF(DATOS_[[Check Periodo Ref.]:[Check Periodo Ref.]]="Dentro",IF(DATOS_[[Check Equiparado]:[Check Equiparado]]="Sí",IF(DATOS!AO$5="Sí",(1/DATOS_[[% anualiz]:[% anualiz]]),1)*IF(DATOS!AO$4="Sí",1/DATOS_[[% normaliz]:[% normaliz]],1)*(DATOS_[Conc.Sal.11])))))))),
0)</f>
        <v>0</v>
      </c>
      <c r="U64" s="101">
        <f t="array" ref="U64">IFERROR(
(AVERAGE((IF(DATOS_[[Sexo]:[Sexo]]=$B64,IF(DATOS_[[AGRUP. CLAS. PROF.]:[AGRUP. CLAS. PROF.]]=$B63,IF(DATOS_[[Check Periodo Ref.]:[Check Periodo Ref.]]="Dentro",IF(DATOS_[[Check Equiparado]:[Check Equiparado]]="Sí",IF(DATOS!AP$5="Sí",(1/DATOS_[[% anualiz]:[% anualiz]]),1)*IF(DATOS!AP$4="Sí",1/DATOS_[[% normaliz]:[% normaliz]],1)*(DATOS_[Conc.Sal.12])))))))),
0)</f>
        <v>0</v>
      </c>
      <c r="V64" s="101">
        <f t="array" ref="V64">IFERROR(
(AVERAGE((IF(DATOS_[[Sexo]:[Sexo]]=$B64,IF(DATOS_[[AGRUP. CLAS. PROF.]:[AGRUP. CLAS. PROF.]]=$B63,IF(DATOS_[[Check Periodo Ref.]:[Check Periodo Ref.]]="Dentro",IF(DATOS_[[Check Equiparado]:[Check Equiparado]]="Sí",IF(DATOS!AQ$5="Sí",(1/DATOS_[[% anualiz]:[% anualiz]]),1)*IF(DATOS!AQ$4="Sí",1/DATOS_[[% normaliz]:[% normaliz]],1)*(DATOS_[Conc.Sal.13])))))))),
0)</f>
        <v>0</v>
      </c>
      <c r="W64" s="101">
        <f t="array" ref="W64">IFERROR(
(AVERAGE((IF(DATOS_[[Sexo]:[Sexo]]=$B64,IF(DATOS_[[AGRUP. CLAS. PROF.]:[AGRUP. CLAS. PROF.]]=$B63,IF(DATOS_[[Check Periodo Ref.]:[Check Periodo Ref.]]="Dentro",IF(DATOS_[[Check Equiparado]:[Check Equiparado]]="Sí",IF(DATOS!AR$5="Sí",(1/DATOS_[[% anualiz]:[% anualiz]]),1)*IF(DATOS!AR$4="Sí",1/DATOS_[[% normaliz]:[% normaliz]],1)*(DATOS_[Conc.Sal.14])))))))),
0)</f>
        <v>0</v>
      </c>
      <c r="X64" s="101">
        <f t="array" ref="X64">IFERROR(
(AVERAGE((IF(DATOS_[[Sexo]:[Sexo]]=$B64,IF(DATOS_[[AGRUP. CLAS. PROF.]:[AGRUP. CLAS. PROF.]]=$B63,IF(DATOS_[[Check Periodo Ref.]:[Check Periodo Ref.]]="Dentro",IF(DATOS_[[Check Equiparado]:[Check Equiparado]]="Sí",IF(DATOS!AS$5="Sí",(1/DATOS_[[% anualiz]:[% anualiz]]),1)*IF(DATOS!AS$4="Sí",1/DATOS_[[% normaliz]:[% normaliz]],1)*(DATOS_[Conc.Sal.15])))))))),
0)</f>
        <v>0</v>
      </c>
      <c r="Y64" s="101">
        <f t="array" ref="Y64">IFERROR(
(AVERAGE((IF(DATOS_[[Sexo]:[Sexo]]=$B64,IF(DATOS_[[AGRUP. CLAS. PROF.]:[AGRUP. CLAS. PROF.]]=$B63,IF(DATOS_[[Check Periodo Ref.]:[Check Periodo Ref.]]="Dentro",IF(DATOS_[[Check Equiparado]:[Check Equiparado]]="Sí",IF(DATOS!AT$5="Sí",(1/DATOS_[[% anualiz]:[% anualiz]]),1)*IF(DATOS!AT$4="Sí",1/DATOS_[[% normaliz]:[% normaliz]],1)*(DATOS_[Conc.Sal.16])))))))),
0)</f>
        <v>0</v>
      </c>
      <c r="Z64" s="101">
        <f t="array" ref="Z64">IFERROR(
(AVERAGE((IF(DATOS_[[Sexo]:[Sexo]]=$B64,IF(DATOS_[[AGRUP. CLAS. PROF.]:[AGRUP. CLAS. PROF.]]=$B63,IF(DATOS_[[Check Periodo Ref.]:[Check Periodo Ref.]]="Dentro",IF(DATOS_[[Check Equiparado]:[Check Equiparado]]="Sí",IF(DATOS!AU$5="Sí",(1/DATOS_[[% anualiz]:[% anualiz]]),1)*IF(DATOS!AU$4="Sí",1/DATOS_[[% normaliz]:[% normaliz]],1)*(DATOS_[Conc.Sal.17])))))))),
0)</f>
        <v>0</v>
      </c>
      <c r="AA64" s="101">
        <f t="array" ref="AA64">IFERROR(
(AVERAGE((IF(DATOS_[[Sexo]:[Sexo]]=$B64,IF(DATOS_[[AGRUP. CLAS. PROF.]:[AGRUP. CLAS. PROF.]]=$B63,IF(DATOS_[[Check Periodo Ref.]:[Check Periodo Ref.]]="Dentro",IF(DATOS_[[Check Equiparado]:[Check Equiparado]]="Sí",IF(DATOS!AV$5="Sí",(1/DATOS_[[% anualiz]:[% anualiz]]),1)*IF(DATOS!AV$4="Sí",1/DATOS_[[% normaliz]:[% normaliz]],1)*(DATOS_[Conc.Sal.18])))))))),
0)</f>
        <v>0</v>
      </c>
      <c r="AB64" s="101">
        <f t="array" ref="AB64">IFERROR(
(AVERAGE((IF(DATOS_[[Sexo]:[Sexo]]=$B64,IF(DATOS_[[AGRUP. CLAS. PROF.]:[AGRUP. CLAS. PROF.]]=$B63,IF(DATOS_[[Check Periodo Ref.]:[Check Periodo Ref.]]="Dentro",IF(DATOS_[[Check Equiparado]:[Check Equiparado]]="Sí",IF(DATOS!AW$5="Sí",(1/DATOS_[[% anualiz]:[% anualiz]]),1)*IF(DATOS!AW$4="Sí",1/DATOS_[[% normaliz]:[% normaliz]],1)*(DATOS_[Conc.Sal.19])))))))),
0)</f>
        <v>0</v>
      </c>
      <c r="AC64" s="101">
        <f t="array" ref="AC64">IFERROR(
(AVERAGE((IF(DATOS_[[Sexo]:[Sexo]]=$B64,IF(DATOS_[[AGRUP. CLAS. PROF.]:[AGRUP. CLAS. PROF.]]=$B63,IF(DATOS_[[Check Periodo Ref.]:[Check Periodo Ref.]]="Dentro",IF(DATOS_[[Check Equiparado]:[Check Equiparado]]="Sí",IF(DATOS!AX$5="Sí",(1/DATOS_[[% anualiz]:[% anualiz]]),1)*IF(DATOS!AX$4="Sí",1/DATOS_[[% normaliz]:[% normaliz]],1)*(DATOS_[Conc.Sal.20])))))))),
0)</f>
        <v>0</v>
      </c>
      <c r="AD64" s="101">
        <f t="array" ref="AD64">IFERROR(
(AVERAGE((IF(DATOS_[[Sexo]:[Sexo]]=$B64,IF(DATOS_[[AGRUP. CLAS. PROF.]:[AGRUP. CLAS. PROF.]]=$B63,IF(DATOS_[[Check Periodo Ref.]:[Check Periodo Ref.]]="Dentro",IF(DATOS_[[Check Equiparado]:[Check Equiparado]]="Sí",IF(DATOS!AY$5="Sí",(1/DATOS_[[% anualiz]:[% anualiz]]),1)*IF(DATOS!AY$4="Sí",1/DATOS_[[% normaliz]:[% normaliz]],1)*(DATOS_[Conc.Sal.21])))))))),
0)</f>
        <v>0</v>
      </c>
      <c r="AE64" s="101">
        <f t="array" ref="AE64">IFERROR(
(AVERAGE((IF(DATOS_[[Sexo]:[Sexo]]=$B64,IF(DATOS_[[AGRUP. CLAS. PROF.]:[AGRUP. CLAS. PROF.]]=$B63,IF(DATOS_[[Check Periodo Ref.]:[Check Periodo Ref.]]="Dentro",IF(DATOS_[[Check Equiparado]:[Check Equiparado]]="Sí",IF(DATOS!AZ$5="Sí",(1/DATOS_[[% anualiz]:[% anualiz]]),1)*IF(DATOS!AZ$4="Sí",1/DATOS_[[% normaliz]:[% normaliz]],1)*(DATOS_[Conc.Sal.22])))))))),
0)</f>
        <v>0</v>
      </c>
      <c r="AF64" s="101">
        <f t="array" ref="AF64">IFERROR(
(AVERAGE((IF(DATOS_[[Sexo]:[Sexo]]=$B64,IF(DATOS_[[AGRUP. CLAS. PROF.]:[AGRUP. CLAS. PROF.]]=$B63,IF(DATOS_[[Check Periodo Ref.]:[Check Periodo Ref.]]="Dentro",IF(DATOS_[[Check Equiparado]:[Check Equiparado]]="Sí",IF(DATOS!BA$5="Sí",(1/DATOS_[[% anualiz]:[% anualiz]]),1)*IF(DATOS!BA$4="Sí",1/DATOS_[[% normaliz]:[% normaliz]],1)*(DATOS_[Conc.Sal.23])))))))),
0)</f>
        <v>0</v>
      </c>
      <c r="AG64" s="101">
        <f t="array" ref="AG64">IFERROR(
(AVERAGE((IF(DATOS_[[Sexo]:[Sexo]]=$B64,IF(DATOS_[[AGRUP. CLAS. PROF.]:[AGRUP. CLAS. PROF.]]=$B63,IF(DATOS_[[Check Periodo Ref.]:[Check Periodo Ref.]]="Dentro",IF(DATOS_[[Check Equiparado]:[Check Equiparado]]="Sí",IF(DATOS!BB$5="Sí",(1/DATOS_[[% anualiz]:[% anualiz]]),1)*IF(DATOS!BB$4="Sí",1/DATOS_[[% normaliz]:[% normaliz]],1)*(DATOS_[Conc.Sal.24])))))))),
0)</f>
        <v>0</v>
      </c>
      <c r="AH64" s="101">
        <f t="array" ref="AH64">IFERROR(
(AVERAGE((IF(DATOS_[[Sexo]:[Sexo]]=$B64,IF(DATOS_[[AGRUP. CLAS. PROF.]:[AGRUP. CLAS. PROF.]]=$B63,IF(DATOS_[[Check Periodo Ref.]:[Check Periodo Ref.]]="Dentro",IF(DATOS_[[Check Equiparado]:[Check Equiparado]]="Sí",IF(DATOS!BC$5="Sí",(1/DATOS_[[% anualiz]:[% anualiz]]),1)*IF(DATOS!BC$4="Sí",1/DATOS_[[% normaliz]:[% normaliz]],1)*(DATOS_[Conc.Sal.25])))))))),
0)</f>
        <v>0</v>
      </c>
      <c r="AI64" s="101">
        <f t="array" ref="AI64">IFERROR(
(AVERAGE((IF(DATOS_[[Sexo]:[Sexo]]=$B64,IF(DATOS_[[AGRUP. CLAS. PROF.]:[AGRUP. CLAS. PROF.]]=$B63,IF(DATOS_[[Check Periodo Ref.]:[Check Periodo Ref.]]="Dentro",IF(DATOS_[[Check Equiparado]:[Check Equiparado]]="Sí",IF(DATOS!BD$5="Sí",(1/DATOS_[[% anualiz]:[% anualiz]]),1)*IF(DATOS!BD$4="Sí",1/DATOS_[[% normaliz]:[% normaliz]],1)*(DATOS_[Conc.Sal.26])))))))),
0)</f>
        <v>0</v>
      </c>
      <c r="AJ64" s="101">
        <f t="array" ref="AJ64">IFERROR(
(AVERAGE((IF(DATOS_[[Sexo]:[Sexo]]=$B64,IF(DATOS_[[AGRUP. CLAS. PROF.]:[AGRUP. CLAS. PROF.]]=$B63,IF(DATOS_[[Check Periodo Ref.]:[Check Periodo Ref.]]="Dentro",IF(DATOS_[[Check Equiparado]:[Check Equiparado]]="Sí",IF(DATOS!BE$5="Sí",(1/DATOS_[[% anualiz]:[% anualiz]]),1)*IF(DATOS!BE$4="Sí",1/DATOS_[[% normaliz]:[% normaliz]],1)*(DATOS_[Conc.Sal.27])))))))),
0)</f>
        <v>0</v>
      </c>
      <c r="AK64" s="101">
        <f t="array" ref="AK64">IFERROR(
(AVERAGE((IF(DATOS_[[Sexo]:[Sexo]]=$B64,IF(DATOS_[[AGRUP. CLAS. PROF.]:[AGRUP. CLAS. PROF.]]=$B63,IF(DATOS_[[Check Periodo Ref.]:[Check Periodo Ref.]]="Dentro",IF(DATOS_[[Check Equiparado]:[Check Equiparado]]="Sí",IF(DATOS!BF$5="Sí",(1/DATOS_[[% anualiz]:[% anualiz]]),1)*IF(DATOS!BF$4="Sí",1/DATOS_[[% normaliz]:[% normaliz]],1)*(DATOS_[Conc.Sal.28])))))))),
0)</f>
        <v>0</v>
      </c>
      <c r="AL64" s="101">
        <f t="array" ref="AL64">IFERROR(
(AVERAGE((IF(DATOS_[[Sexo]:[Sexo]]=$B64,IF(DATOS_[[AGRUP. CLAS. PROF.]:[AGRUP. CLAS. PROF.]]=$B63,IF(DATOS_[[Check Periodo Ref.]:[Check Periodo Ref.]]="Dentro",IF(DATOS_[[Check Equiparado]:[Check Equiparado]]="Sí",IF(DATOS!BG$5="Sí",(1/DATOS_[[% anualiz]:[% anualiz]]),1)*IF(DATOS!BG$4="Sí",1/DATOS_[[% normaliz]:[% normaliz]],1)*(DATOS_[Conc.Sal.29])))))))),
0)</f>
        <v>0</v>
      </c>
      <c r="AM64" s="101">
        <f t="array" ref="AM64">IFERROR(
(AVERAGE((IF(DATOS_[[Sexo]:[Sexo]]=$B64,IF(DATOS_[[AGRUP. CLAS. PROF.]:[AGRUP. CLAS. PROF.]]=$B63,IF(DATOS_[[Check Periodo Ref.]:[Check Periodo Ref.]]="Dentro",IF(DATOS_[[Check Equiparado]:[Check Equiparado]]="Sí",IF(DATOS!BH$5="Sí",(1/DATOS_[[% anualiz]:[% anualiz]]),1)*IF(DATOS!BH$4="Sí",1/DATOS_[[% normaliz]:[% normaliz]],1)*(DATOS_[Conc.Sal.30])))))))),
0)</f>
        <v>0</v>
      </c>
      <c r="AN64" s="102">
        <f t="array" ref="AN64">IFERROR(
AVERAGE(IF(DATOS_[Sexo]=$B64,IF(DATOS_[[AGRUP. CLAS. PROF.]:[AGRUP. CLAS. PROF.]]=$B63,IF(DATOS_[Check Equiparado]="Sí",IF(DATOS_[Check Periodo Ref.]="Dentro",DATOS_[Tot COMPL.SAL Eq],FALSE))))),
0)</f>
        <v>0</v>
      </c>
      <c r="AO64" s="103">
        <f t="array" ref="AO64">IFERROR(
AVERAGE(IF(DATOS_[Sexo]=$B64,IF(DATOS_[[AGRUP. CLAS. PROF.]:[AGRUP. CLAS. PROF.]]=$B63,IF(DATOS_[Check Equiparado]="Sí",IF(DATOS_[Check Periodo Ref.]="Dentro",DATOS_[TOTAL SALARIO Eq],FALSE))))),
0)</f>
        <v>0</v>
      </c>
      <c r="AP64" s="104">
        <f t="array" ref="AP64">IFERROR(
(AVERAGE((IF(DATOS_[[Sexo]:[Sexo]]=$B64,IF(DATOS_[[AGRUP. CLAS. PROF.]:[AGRUP. CLAS. PROF.]]=$B63,IF(DATOS_[[Check Periodo Ref.]:[Check Periodo Ref.]]="Dentro",IF(DATOS_[[Check Equiparado]:[Check Equiparado]]="Sí",IF(DATOS!BI$5="Sí",(1/DATOS_[[% anualiz]:[% anualiz]]),1)*IF(DATOS!BI$4="Sí",1/DATOS_[[% normaliz]:[% normaliz]],1)*(DATOS_[C.Extra.01])))))))),
0)</f>
        <v>0</v>
      </c>
      <c r="AQ64" s="104">
        <f t="array" ref="AQ64">IFERROR(
(AVERAGE((IF(DATOS_[[Sexo]:[Sexo]]=$B64,IF(DATOS_[[AGRUP. CLAS. PROF.]:[AGRUP. CLAS. PROF.]]=$B63,IF(DATOS_[[Check Periodo Ref.]:[Check Periodo Ref.]]="Dentro",IF(DATOS_[[Check Equiparado]:[Check Equiparado]]="Sí",IF(DATOS!BJ$5="Sí",(1/DATOS_[[% anualiz]:[% anualiz]]),1)*IF(DATOS!BJ$4="Sí",1/DATOS_[[% normaliz]:[% normaliz]],1)*(DATOS_[C.Extra.02])))))))),
0)</f>
        <v>0</v>
      </c>
      <c r="AR64" s="104">
        <f t="array" ref="AR64">IFERROR(
(AVERAGE((IF(DATOS_[[Sexo]:[Sexo]]=$B64,IF(DATOS_[[AGRUP. CLAS. PROF.]:[AGRUP. CLAS. PROF.]]=$B63,IF(DATOS_[[Check Periodo Ref.]:[Check Periodo Ref.]]="Dentro",IF(DATOS_[[Check Equiparado]:[Check Equiparado]]="Sí",IF(DATOS!BK$5="Sí",(1/DATOS_[[% anualiz]:[% anualiz]]),1)*IF(DATOS!BK$4="Sí",1/DATOS_[[% normaliz]:[% normaliz]],1)*(DATOS_[C.Extra.03])))))))),
0)</f>
        <v>0</v>
      </c>
      <c r="AS64" s="104">
        <f t="array" ref="AS64">IFERROR(
(AVERAGE((IF(DATOS_[[Sexo]:[Sexo]]=$B64,IF(DATOS_[[AGRUP. CLAS. PROF.]:[AGRUP. CLAS. PROF.]]=$B63,IF(DATOS_[[Check Periodo Ref.]:[Check Periodo Ref.]]="Dentro",IF(DATOS_[[Check Equiparado]:[Check Equiparado]]="Sí",IF(DATOS!BL$5="Sí",(1/DATOS_[[% anualiz]:[% anualiz]]),1)*IF(DATOS!BL$4="Sí",1/DATOS_[[% normaliz]:[% normaliz]],1)*(DATOS_[C.Extra.04])))))))),
0)</f>
        <v>0</v>
      </c>
      <c r="AT64" s="104">
        <f t="array" ref="AT64">IFERROR(
(AVERAGE((IF(DATOS_[[Sexo]:[Sexo]]=$B64,IF(DATOS_[[AGRUP. CLAS. PROF.]:[AGRUP. CLAS. PROF.]]=$B63,IF(DATOS_[[Check Periodo Ref.]:[Check Periodo Ref.]]="Dentro",IF(DATOS_[[Check Equiparado]:[Check Equiparado]]="Sí",IF(DATOS!BM$5="Sí",(1/DATOS_[[% anualiz]:[% anualiz]]),1)*IF(DATOS!BM$4="Sí",1/DATOS_[[% normaliz]:[% normaliz]],1)*(DATOS_[C.Extra.05])))))))),
0)</f>
        <v>0</v>
      </c>
      <c r="AU64" s="105">
        <f t="array" ref="AU64">IFERROR(
AVERAGE(IF(DATOS_[Sexo]=$B64,IF(DATOS_[[AGRUP. CLAS. PROF.]:[AGRUP. CLAS. PROF.]]=$B63,IF(DATOS_[Check Equiparado]="Sí",IF(DATOS_[Check Periodo Ref.]="Dentro",DATOS_[Tot Extrasalarial Eq],FALSE))))),
0)</f>
        <v>0</v>
      </c>
      <c r="AV64" s="106">
        <f t="array" ref="AV64">IFERROR(
AVERAGE(IF(DATOS_[Sexo]=$B64,IF(DATOS_[[AGRUP. CLAS. PROF.]:[AGRUP. CLAS. PROF.]]=$B63,IF(DATOS_[Check Equiparado]="Sí",IF(DATOS_[Check Periodo Ref.]="Dentro",DATOS_[TOTAL Retrib Eq],FALSE))))),
0)</f>
        <v>0</v>
      </c>
    </row>
    <row r="65" spans="1:48" hidden="1" x14ac:dyDescent="0.3">
      <c r="A65" s="53" t="str">
        <f t="shared" ref="A65" si="70">+A64</f>
        <v>[ocultar]</v>
      </c>
      <c r="B65" s="57" t="s">
        <v>163</v>
      </c>
      <c r="C65" s="56">
        <f t="array" ref="C65">SUM(IF($B65=DATOS_[Sexo],
IF($B63=DATOS_[AGRUP. CLAS. PROF.],
IF("Dentro"=DATOS_[Check Periodo Ref.],
1/(COUNTIFS(DATOS_[Sexo],$B65,DATOS_[AGRUP. CLAS. PROF.],$B63,DATOS_[Check Periodo Ref.],"Dentro",DATOS_[id],DATOS_[id]))))))</f>
        <v>0</v>
      </c>
      <c r="D65" s="58">
        <f>COUNTIFS(DATOS_[AGRUP. CLAS. PROF.],$B63,DATOS_[Sexo],$B65,DATOS_[Check Periodo Ref.],"Dentro")</f>
        <v>0</v>
      </c>
      <c r="E65" s="58">
        <f>COUNTIFS(DATOS_[AGRUP. CLAS. PROF.],$B63,DATOS_[Sexo],$B65,DATOS_[Check Periodo Ref.],"Dentro",DATOS_[Check Nº SC Norm],"Sí")</f>
        <v>0</v>
      </c>
      <c r="F65" s="58">
        <f>COUNTIFS(DATOS_[AGRUP. CLAS. PROF.],$B63,DATOS_[Sexo],$B65,DATOS_[Check Periodo Ref.],"Dentro",DATOS_[Check Nº SC Anualiz],"Sí")</f>
        <v>0</v>
      </c>
      <c r="G65" s="58">
        <f>COUNTIFS(DATOS_[AGRUP. CLAS. PROF.],$B63,DATOS_[Sexo],$B65,DATOS_[Check Periodo Ref.],"Dentro",DATOS_[Check Nº SC Norm y Anualiz],"Sí")</f>
        <v>0</v>
      </c>
      <c r="H65" s="58">
        <f>COUNTIFS(DATOS_[AGRUP. CLAS. PROF.],$B63,DATOS_[Sexo],$B65,DATOS_[Check Periodo Ref.],"Dentro",DATOS_[Check Equiparación],"Sí")</f>
        <v>0</v>
      </c>
      <c r="I65" s="100" cm="1">
        <f t="array" ref="I65">IFERROR(
AVERAGE(IF(DATOS_[Sexo]=$B65,IF(DATOS_[[AGRUP. CLAS. PROF.]:[AGRUP. CLAS. PROF.]]=$B63,IF(DATOS_[Check Equiparado]="Sí",IF(DATOS_[Check Periodo Ref.]="Dentro",DATOS_[SALARIO BASE Eq],FALSE))))),
0)</f>
        <v>0</v>
      </c>
      <c r="J65" s="101">
        <f t="array" ref="J65">IFERROR(
(AVERAGE((IF(DATOS_[[Sexo]:[Sexo]]=$B65,IF(DATOS_[[AGRUP. CLAS. PROF.]:[AGRUP. CLAS. PROF.]]=$B63,IF(DATOS_[[Check Periodo Ref.]:[Check Periodo Ref.]]="Dentro",IF(DATOS_[[Check Equiparado]:[Check Equiparado]]="Sí",IF(DATOS!AE$5="Sí",(1/DATOS_[[% anualiz]:[% anualiz]]),1)*IF(DATOS!AE$4="Sí",1/DATOS_[[% normaliz]:[% normaliz]],1)*(DATOS_[Conc.Sal.01])))))))),
0)</f>
        <v>0</v>
      </c>
      <c r="K65" s="101">
        <f t="array" ref="K65">IFERROR(
(AVERAGE((IF(DATOS_[[Sexo]:[Sexo]]=$B65,IF(DATOS_[[AGRUP. CLAS. PROF.]:[AGRUP. CLAS. PROF.]]=$B63,IF(DATOS_[[Check Periodo Ref.]:[Check Periodo Ref.]]="Dentro",IF(DATOS_[[Check Equiparado]:[Check Equiparado]]="Sí",IF(DATOS!AF$5="Sí",(1/DATOS_[[% anualiz]:[% anualiz]]),1)*IF(DATOS!AF$4="Sí",1/DATOS_[[% normaliz]:[% normaliz]],1)*(DATOS_[Conc.Sal.02])))))))),
0)</f>
        <v>0</v>
      </c>
      <c r="L65" s="101">
        <f t="array" ref="L65">IFERROR(
(AVERAGE((IF(DATOS_[[Sexo]:[Sexo]]=$B65,IF(DATOS_[[AGRUP. CLAS. PROF.]:[AGRUP. CLAS. PROF.]]=$B63,IF(DATOS_[[Check Periodo Ref.]:[Check Periodo Ref.]]="Dentro",IF(DATOS_[[Check Equiparado]:[Check Equiparado]]="Sí",IF(DATOS!AG$5="Sí",(1/DATOS_[[% anualiz]:[% anualiz]]),1)*IF(DATOS!AG$4="Sí",1/DATOS_[[% normaliz]:[% normaliz]],1)*(DATOS_[Conc.Sal.03])))))))),
0)</f>
        <v>0</v>
      </c>
      <c r="M65" s="101">
        <f t="array" ref="M65">IFERROR(
(AVERAGE((IF(DATOS_[[Sexo]:[Sexo]]=$B65,IF(DATOS_[[AGRUP. CLAS. PROF.]:[AGRUP. CLAS. PROF.]]=$B63,IF(DATOS_[[Check Periodo Ref.]:[Check Periodo Ref.]]="Dentro",IF(DATOS_[[Check Equiparado]:[Check Equiparado]]="Sí",IF(DATOS!AH$5="Sí",(1/DATOS_[[% anualiz]:[% anualiz]]),1)*IF(DATOS!AH$4="Sí",1/DATOS_[[% normaliz]:[% normaliz]],1)*(DATOS_[Conc.Sal.04])))))))),
0)</f>
        <v>0</v>
      </c>
      <c r="N65" s="101">
        <f t="array" ref="N65">IFERROR(
(AVERAGE((IF(DATOS_[[Sexo]:[Sexo]]=$B65,IF(DATOS_[[AGRUP. CLAS. PROF.]:[AGRUP. CLAS. PROF.]]=$B63,IF(DATOS_[[Check Periodo Ref.]:[Check Periodo Ref.]]="Dentro",IF(DATOS_[[Check Equiparado]:[Check Equiparado]]="Sí",IF(DATOS!AI$5="Sí",(1/DATOS_[[% anualiz]:[% anualiz]]),1)*IF(DATOS!AI$4="Sí",1/DATOS_[[% normaliz]:[% normaliz]],1)*(DATOS_[Conc.Sal.05])))))))),
0)</f>
        <v>0</v>
      </c>
      <c r="O65" s="101">
        <f t="array" ref="O65">IFERROR(
(AVERAGE((IF(DATOS_[[Sexo]:[Sexo]]=$B65,IF(DATOS_[[AGRUP. CLAS. PROF.]:[AGRUP. CLAS. PROF.]]=$B63,IF(DATOS_[[Check Periodo Ref.]:[Check Periodo Ref.]]="Dentro",IF(DATOS_[[Check Equiparado]:[Check Equiparado]]="Sí",IF(DATOS!AJ$5="Sí",(1/DATOS_[[% anualiz]:[% anualiz]]),1)*IF(DATOS!AJ$4="Sí",1/DATOS_[[% normaliz]:[% normaliz]],1)*(DATOS_[Conc.Sal.06])))))))),
0)</f>
        <v>0</v>
      </c>
      <c r="P65" s="101">
        <f t="array" ref="P65">IFERROR(
(AVERAGE((IF(DATOS_[[Sexo]:[Sexo]]=$B65,IF(DATOS_[[AGRUP. CLAS. PROF.]:[AGRUP. CLAS. PROF.]]=$B63,IF(DATOS_[[Check Periodo Ref.]:[Check Periodo Ref.]]="Dentro",IF(DATOS_[[Check Equiparado]:[Check Equiparado]]="Sí",IF(DATOS!AK$5="Sí",(1/DATOS_[[% anualiz]:[% anualiz]]),1)*IF(DATOS!AK$4="Sí",1/DATOS_[[% normaliz]:[% normaliz]],1)*(DATOS_[Conc.Sal.07])))))))),
0)</f>
        <v>0</v>
      </c>
      <c r="Q65" s="101">
        <f t="array" ref="Q65">IFERROR(
(AVERAGE((IF(DATOS_[[Sexo]:[Sexo]]=$B65,IF(DATOS_[[AGRUP. CLAS. PROF.]:[AGRUP. CLAS. PROF.]]=$B63,IF(DATOS_[[Check Periodo Ref.]:[Check Periodo Ref.]]="Dentro",IF(DATOS_[[Check Equiparado]:[Check Equiparado]]="Sí",IF(DATOS!AL$5="Sí",(1/DATOS_[[% anualiz]:[% anualiz]]),1)*IF(DATOS!AL$4="Sí",1/DATOS_[[% normaliz]:[% normaliz]],1)*(DATOS_[Conc.Sal.08])))))))),
0)</f>
        <v>0</v>
      </c>
      <c r="R65" s="101">
        <f t="array" ref="R65">IFERROR(
(AVERAGE((IF(DATOS_[[Sexo]:[Sexo]]=$B65,IF(DATOS_[[AGRUP. CLAS. PROF.]:[AGRUP. CLAS. PROF.]]=$B63,IF(DATOS_[[Check Periodo Ref.]:[Check Periodo Ref.]]="Dentro",IF(DATOS_[[Check Equiparado]:[Check Equiparado]]="Sí",IF(DATOS!AM$5="Sí",(1/DATOS_[[% anualiz]:[% anualiz]]),1)*IF(DATOS!AM$4="Sí",1/DATOS_[[% normaliz]:[% normaliz]],1)*(DATOS_[Conc.Sal.09])))))))),
0)</f>
        <v>0</v>
      </c>
      <c r="S65" s="101">
        <f t="array" ref="S65">IFERROR(
(AVERAGE((IF(DATOS_[[Sexo]:[Sexo]]=$B65,IF(DATOS_[[AGRUP. CLAS. PROF.]:[AGRUP. CLAS. PROF.]]=$B63,IF(DATOS_[[Check Periodo Ref.]:[Check Periodo Ref.]]="Dentro",IF(DATOS_[[Check Equiparado]:[Check Equiparado]]="Sí",IF(DATOS!AN$5="Sí",(1/DATOS_[[% anualiz]:[% anualiz]]),1)*IF(DATOS!AN$4="Sí",1/DATOS_[[% normaliz]:[% normaliz]],1)*(DATOS_[Conc.Sal.10])))))))),
0)</f>
        <v>0</v>
      </c>
      <c r="T65" s="101">
        <f t="array" ref="T65">IFERROR(
(AVERAGE((IF(DATOS_[[Sexo]:[Sexo]]=$B65,IF(DATOS_[[AGRUP. CLAS. PROF.]:[AGRUP. CLAS. PROF.]]=$B63,IF(DATOS_[[Check Periodo Ref.]:[Check Periodo Ref.]]="Dentro",IF(DATOS_[[Check Equiparado]:[Check Equiparado]]="Sí",IF(DATOS!AO$5="Sí",(1/DATOS_[[% anualiz]:[% anualiz]]),1)*IF(DATOS!AO$4="Sí",1/DATOS_[[% normaliz]:[% normaliz]],1)*(DATOS_[Conc.Sal.11])))))))),
0)</f>
        <v>0</v>
      </c>
      <c r="U65" s="101">
        <f t="array" ref="U65">IFERROR(
(AVERAGE((IF(DATOS_[[Sexo]:[Sexo]]=$B65,IF(DATOS_[[AGRUP. CLAS. PROF.]:[AGRUP. CLAS. PROF.]]=$B63,IF(DATOS_[[Check Periodo Ref.]:[Check Periodo Ref.]]="Dentro",IF(DATOS_[[Check Equiparado]:[Check Equiparado]]="Sí",IF(DATOS!AP$5="Sí",(1/DATOS_[[% anualiz]:[% anualiz]]),1)*IF(DATOS!AP$4="Sí",1/DATOS_[[% normaliz]:[% normaliz]],1)*(DATOS_[Conc.Sal.12])))))))),
0)</f>
        <v>0</v>
      </c>
      <c r="V65" s="101">
        <f t="array" ref="V65">IFERROR(
(AVERAGE((IF(DATOS_[[Sexo]:[Sexo]]=$B65,IF(DATOS_[[AGRUP. CLAS. PROF.]:[AGRUP. CLAS. PROF.]]=$B63,IF(DATOS_[[Check Periodo Ref.]:[Check Periodo Ref.]]="Dentro",IF(DATOS_[[Check Equiparado]:[Check Equiparado]]="Sí",IF(DATOS!AQ$5="Sí",(1/DATOS_[[% anualiz]:[% anualiz]]),1)*IF(DATOS!AQ$4="Sí",1/DATOS_[[% normaliz]:[% normaliz]],1)*(DATOS_[Conc.Sal.13])))))))),
0)</f>
        <v>0</v>
      </c>
      <c r="W65" s="101">
        <f t="array" ref="W65">IFERROR(
(AVERAGE((IF(DATOS_[[Sexo]:[Sexo]]=$B65,IF(DATOS_[[AGRUP. CLAS. PROF.]:[AGRUP. CLAS. PROF.]]=$B63,IF(DATOS_[[Check Periodo Ref.]:[Check Periodo Ref.]]="Dentro",IF(DATOS_[[Check Equiparado]:[Check Equiparado]]="Sí",IF(DATOS!AR$5="Sí",(1/DATOS_[[% anualiz]:[% anualiz]]),1)*IF(DATOS!AR$4="Sí",1/DATOS_[[% normaliz]:[% normaliz]],1)*(DATOS_[Conc.Sal.14])))))))),
0)</f>
        <v>0</v>
      </c>
      <c r="X65" s="101">
        <f t="array" ref="X65">IFERROR(
(AVERAGE((IF(DATOS_[[Sexo]:[Sexo]]=$B65,IF(DATOS_[[AGRUP. CLAS. PROF.]:[AGRUP. CLAS. PROF.]]=$B63,IF(DATOS_[[Check Periodo Ref.]:[Check Periodo Ref.]]="Dentro",IF(DATOS_[[Check Equiparado]:[Check Equiparado]]="Sí",IF(DATOS!AS$5="Sí",(1/DATOS_[[% anualiz]:[% anualiz]]),1)*IF(DATOS!AS$4="Sí",1/DATOS_[[% normaliz]:[% normaliz]],1)*(DATOS_[Conc.Sal.15])))))))),
0)</f>
        <v>0</v>
      </c>
      <c r="Y65" s="101">
        <f t="array" ref="Y65">IFERROR(
(AVERAGE((IF(DATOS_[[Sexo]:[Sexo]]=$B65,IF(DATOS_[[AGRUP. CLAS. PROF.]:[AGRUP. CLAS. PROF.]]=$B63,IF(DATOS_[[Check Periodo Ref.]:[Check Periodo Ref.]]="Dentro",IF(DATOS_[[Check Equiparado]:[Check Equiparado]]="Sí",IF(DATOS!AT$5="Sí",(1/DATOS_[[% anualiz]:[% anualiz]]),1)*IF(DATOS!AT$4="Sí",1/DATOS_[[% normaliz]:[% normaliz]],1)*(DATOS_[Conc.Sal.16])))))))),
0)</f>
        <v>0</v>
      </c>
      <c r="Z65" s="101">
        <f t="array" ref="Z65">IFERROR(
(AVERAGE((IF(DATOS_[[Sexo]:[Sexo]]=$B65,IF(DATOS_[[AGRUP. CLAS. PROF.]:[AGRUP. CLAS. PROF.]]=$B63,IF(DATOS_[[Check Periodo Ref.]:[Check Periodo Ref.]]="Dentro",IF(DATOS_[[Check Equiparado]:[Check Equiparado]]="Sí",IF(DATOS!AU$5="Sí",(1/DATOS_[[% anualiz]:[% anualiz]]),1)*IF(DATOS!AU$4="Sí",1/DATOS_[[% normaliz]:[% normaliz]],1)*(DATOS_[Conc.Sal.17])))))))),
0)</f>
        <v>0</v>
      </c>
      <c r="AA65" s="101">
        <f t="array" ref="AA65">IFERROR(
(AVERAGE((IF(DATOS_[[Sexo]:[Sexo]]=$B65,IF(DATOS_[[AGRUP. CLAS. PROF.]:[AGRUP. CLAS. PROF.]]=$B63,IF(DATOS_[[Check Periodo Ref.]:[Check Periodo Ref.]]="Dentro",IF(DATOS_[[Check Equiparado]:[Check Equiparado]]="Sí",IF(DATOS!AV$5="Sí",(1/DATOS_[[% anualiz]:[% anualiz]]),1)*IF(DATOS!AV$4="Sí",1/DATOS_[[% normaliz]:[% normaliz]],1)*(DATOS_[Conc.Sal.18])))))))),
0)</f>
        <v>0</v>
      </c>
      <c r="AB65" s="101">
        <f t="array" ref="AB65">IFERROR(
(AVERAGE((IF(DATOS_[[Sexo]:[Sexo]]=$B65,IF(DATOS_[[AGRUP. CLAS. PROF.]:[AGRUP. CLAS. PROF.]]=$B63,IF(DATOS_[[Check Periodo Ref.]:[Check Periodo Ref.]]="Dentro",IF(DATOS_[[Check Equiparado]:[Check Equiparado]]="Sí",IF(DATOS!AW$5="Sí",(1/DATOS_[[% anualiz]:[% anualiz]]),1)*IF(DATOS!AW$4="Sí",1/DATOS_[[% normaliz]:[% normaliz]],1)*(DATOS_[Conc.Sal.19])))))))),
0)</f>
        <v>0</v>
      </c>
      <c r="AC65" s="101">
        <f t="array" ref="AC65">IFERROR(
(AVERAGE((IF(DATOS_[[Sexo]:[Sexo]]=$B65,IF(DATOS_[[AGRUP. CLAS. PROF.]:[AGRUP. CLAS. PROF.]]=$B63,IF(DATOS_[[Check Periodo Ref.]:[Check Periodo Ref.]]="Dentro",IF(DATOS_[[Check Equiparado]:[Check Equiparado]]="Sí",IF(DATOS!AX$5="Sí",(1/DATOS_[[% anualiz]:[% anualiz]]),1)*IF(DATOS!AX$4="Sí",1/DATOS_[[% normaliz]:[% normaliz]],1)*(DATOS_[Conc.Sal.20])))))))),
0)</f>
        <v>0</v>
      </c>
      <c r="AD65" s="101">
        <f t="array" ref="AD65">IFERROR(
(AVERAGE((IF(DATOS_[[Sexo]:[Sexo]]=$B65,IF(DATOS_[[AGRUP. CLAS. PROF.]:[AGRUP. CLAS. PROF.]]=$B63,IF(DATOS_[[Check Periodo Ref.]:[Check Periodo Ref.]]="Dentro",IF(DATOS_[[Check Equiparado]:[Check Equiparado]]="Sí",IF(DATOS!AY$5="Sí",(1/DATOS_[[% anualiz]:[% anualiz]]),1)*IF(DATOS!AY$4="Sí",1/DATOS_[[% normaliz]:[% normaliz]],1)*(DATOS_[Conc.Sal.21])))))))),
0)</f>
        <v>0</v>
      </c>
      <c r="AE65" s="101">
        <f t="array" ref="AE65">IFERROR(
(AVERAGE((IF(DATOS_[[Sexo]:[Sexo]]=$B65,IF(DATOS_[[AGRUP. CLAS. PROF.]:[AGRUP. CLAS. PROF.]]=$B63,IF(DATOS_[[Check Periodo Ref.]:[Check Periodo Ref.]]="Dentro",IF(DATOS_[[Check Equiparado]:[Check Equiparado]]="Sí",IF(DATOS!AZ$5="Sí",(1/DATOS_[[% anualiz]:[% anualiz]]),1)*IF(DATOS!AZ$4="Sí",1/DATOS_[[% normaliz]:[% normaliz]],1)*(DATOS_[Conc.Sal.22])))))))),
0)</f>
        <v>0</v>
      </c>
      <c r="AF65" s="101">
        <f t="array" ref="AF65">IFERROR(
(AVERAGE((IF(DATOS_[[Sexo]:[Sexo]]=$B65,IF(DATOS_[[AGRUP. CLAS. PROF.]:[AGRUP. CLAS. PROF.]]=$B63,IF(DATOS_[[Check Periodo Ref.]:[Check Periodo Ref.]]="Dentro",IF(DATOS_[[Check Equiparado]:[Check Equiparado]]="Sí",IF(DATOS!BA$5="Sí",(1/DATOS_[[% anualiz]:[% anualiz]]),1)*IF(DATOS!BA$4="Sí",1/DATOS_[[% normaliz]:[% normaliz]],1)*(DATOS_[Conc.Sal.23])))))))),
0)</f>
        <v>0</v>
      </c>
      <c r="AG65" s="101">
        <f t="array" ref="AG65">IFERROR(
(AVERAGE((IF(DATOS_[[Sexo]:[Sexo]]=$B65,IF(DATOS_[[AGRUP. CLAS. PROF.]:[AGRUP. CLAS. PROF.]]=$B63,IF(DATOS_[[Check Periodo Ref.]:[Check Periodo Ref.]]="Dentro",IF(DATOS_[[Check Equiparado]:[Check Equiparado]]="Sí",IF(DATOS!BB$5="Sí",(1/DATOS_[[% anualiz]:[% anualiz]]),1)*IF(DATOS!BB$4="Sí",1/DATOS_[[% normaliz]:[% normaliz]],1)*(DATOS_[Conc.Sal.24])))))))),
0)</f>
        <v>0</v>
      </c>
      <c r="AH65" s="101">
        <f t="array" ref="AH65">IFERROR(
(AVERAGE((IF(DATOS_[[Sexo]:[Sexo]]=$B65,IF(DATOS_[[AGRUP. CLAS. PROF.]:[AGRUP. CLAS. PROF.]]=$B63,IF(DATOS_[[Check Periodo Ref.]:[Check Periodo Ref.]]="Dentro",IF(DATOS_[[Check Equiparado]:[Check Equiparado]]="Sí",IF(DATOS!BC$5="Sí",(1/DATOS_[[% anualiz]:[% anualiz]]),1)*IF(DATOS!BC$4="Sí",1/DATOS_[[% normaliz]:[% normaliz]],1)*(DATOS_[Conc.Sal.25])))))))),
0)</f>
        <v>0</v>
      </c>
      <c r="AI65" s="101">
        <f t="array" ref="AI65">IFERROR(
(AVERAGE((IF(DATOS_[[Sexo]:[Sexo]]=$B65,IF(DATOS_[[AGRUP. CLAS. PROF.]:[AGRUP. CLAS. PROF.]]=$B63,IF(DATOS_[[Check Periodo Ref.]:[Check Periodo Ref.]]="Dentro",IF(DATOS_[[Check Equiparado]:[Check Equiparado]]="Sí",IF(DATOS!BD$5="Sí",(1/DATOS_[[% anualiz]:[% anualiz]]),1)*IF(DATOS!BD$4="Sí",1/DATOS_[[% normaliz]:[% normaliz]],1)*(DATOS_[Conc.Sal.26])))))))),
0)</f>
        <v>0</v>
      </c>
      <c r="AJ65" s="101">
        <f t="array" ref="AJ65">IFERROR(
(AVERAGE((IF(DATOS_[[Sexo]:[Sexo]]=$B65,IF(DATOS_[[AGRUP. CLAS. PROF.]:[AGRUP. CLAS. PROF.]]=$B63,IF(DATOS_[[Check Periodo Ref.]:[Check Periodo Ref.]]="Dentro",IF(DATOS_[[Check Equiparado]:[Check Equiparado]]="Sí",IF(DATOS!BE$5="Sí",(1/DATOS_[[% anualiz]:[% anualiz]]),1)*IF(DATOS!BE$4="Sí",1/DATOS_[[% normaliz]:[% normaliz]],1)*(DATOS_[Conc.Sal.27])))))))),
0)</f>
        <v>0</v>
      </c>
      <c r="AK65" s="101">
        <f t="array" ref="AK65">IFERROR(
(AVERAGE((IF(DATOS_[[Sexo]:[Sexo]]=$B65,IF(DATOS_[[AGRUP. CLAS. PROF.]:[AGRUP. CLAS. PROF.]]=$B63,IF(DATOS_[[Check Periodo Ref.]:[Check Periodo Ref.]]="Dentro",IF(DATOS_[[Check Equiparado]:[Check Equiparado]]="Sí",IF(DATOS!BF$5="Sí",(1/DATOS_[[% anualiz]:[% anualiz]]),1)*IF(DATOS!BF$4="Sí",1/DATOS_[[% normaliz]:[% normaliz]],1)*(DATOS_[Conc.Sal.28])))))))),
0)</f>
        <v>0</v>
      </c>
      <c r="AL65" s="101">
        <f t="array" ref="AL65">IFERROR(
(AVERAGE((IF(DATOS_[[Sexo]:[Sexo]]=$B65,IF(DATOS_[[AGRUP. CLAS. PROF.]:[AGRUP. CLAS. PROF.]]=$B63,IF(DATOS_[[Check Periodo Ref.]:[Check Periodo Ref.]]="Dentro",IF(DATOS_[[Check Equiparado]:[Check Equiparado]]="Sí",IF(DATOS!BG$5="Sí",(1/DATOS_[[% anualiz]:[% anualiz]]),1)*IF(DATOS!BG$4="Sí",1/DATOS_[[% normaliz]:[% normaliz]],1)*(DATOS_[Conc.Sal.29])))))))),
0)</f>
        <v>0</v>
      </c>
      <c r="AM65" s="101">
        <f t="array" ref="AM65">IFERROR(
(AVERAGE((IF(DATOS_[[Sexo]:[Sexo]]=$B65,IF(DATOS_[[AGRUP. CLAS. PROF.]:[AGRUP. CLAS. PROF.]]=$B63,IF(DATOS_[[Check Periodo Ref.]:[Check Periodo Ref.]]="Dentro",IF(DATOS_[[Check Equiparado]:[Check Equiparado]]="Sí",IF(DATOS!BH$5="Sí",(1/DATOS_[[% anualiz]:[% anualiz]]),1)*IF(DATOS!BH$4="Sí",1/DATOS_[[% normaliz]:[% normaliz]],1)*(DATOS_[Conc.Sal.30])))))))),
0)</f>
        <v>0</v>
      </c>
      <c r="AN65" s="102">
        <f t="array" ref="AN65">IFERROR(
AVERAGE(IF(DATOS_[Sexo]=$B65,IF(DATOS_[[AGRUP. CLAS. PROF.]:[AGRUP. CLAS. PROF.]]=$B63,IF(DATOS_[Check Equiparado]="Sí",IF(DATOS_[Check Periodo Ref.]="Dentro",DATOS_[Tot COMPL.SAL Eq],FALSE))))),
0)</f>
        <v>0</v>
      </c>
      <c r="AO65" s="103">
        <f t="array" ref="AO65">IFERROR(
AVERAGE(IF(DATOS_[Sexo]=$B65,IF(DATOS_[[AGRUP. CLAS. PROF.]:[AGRUP. CLAS. PROF.]]=$B63,IF(DATOS_[Check Equiparado]="Sí",IF(DATOS_[Check Periodo Ref.]="Dentro",DATOS_[TOTAL SALARIO Eq],FALSE))))),
0)</f>
        <v>0</v>
      </c>
      <c r="AP65" s="104">
        <f t="array" ref="AP65">IFERROR(
(AVERAGE((IF(DATOS_[[Sexo]:[Sexo]]=$B65,IF(DATOS_[[AGRUP. CLAS. PROF.]:[AGRUP. CLAS. PROF.]]=$B63,IF(DATOS_[[Check Periodo Ref.]:[Check Periodo Ref.]]="Dentro",IF(DATOS_[[Check Equiparado]:[Check Equiparado]]="Sí",IF(DATOS!BI$5="Sí",(1/DATOS_[[% anualiz]:[% anualiz]]),1)*IF(DATOS!BI$4="Sí",1/DATOS_[[% normaliz]:[% normaliz]],1)*(DATOS_[C.Extra.01])))))))),
0)</f>
        <v>0</v>
      </c>
      <c r="AQ65" s="104">
        <f t="array" ref="AQ65">IFERROR(
(AVERAGE((IF(DATOS_[[Sexo]:[Sexo]]=$B65,IF(DATOS_[[AGRUP. CLAS. PROF.]:[AGRUP. CLAS. PROF.]]=$B63,IF(DATOS_[[Check Periodo Ref.]:[Check Periodo Ref.]]="Dentro",IF(DATOS_[[Check Equiparado]:[Check Equiparado]]="Sí",IF(DATOS!BJ$5="Sí",(1/DATOS_[[% anualiz]:[% anualiz]]),1)*IF(DATOS!BJ$4="Sí",1/DATOS_[[% normaliz]:[% normaliz]],1)*(DATOS_[C.Extra.02])))))))),
0)</f>
        <v>0</v>
      </c>
      <c r="AR65" s="104">
        <f t="array" ref="AR65">IFERROR(
(AVERAGE((IF(DATOS_[[Sexo]:[Sexo]]=$B65,IF(DATOS_[[AGRUP. CLAS. PROF.]:[AGRUP. CLAS. PROF.]]=$B63,IF(DATOS_[[Check Periodo Ref.]:[Check Periodo Ref.]]="Dentro",IF(DATOS_[[Check Equiparado]:[Check Equiparado]]="Sí",IF(DATOS!BK$5="Sí",(1/DATOS_[[% anualiz]:[% anualiz]]),1)*IF(DATOS!BK$4="Sí",1/DATOS_[[% normaliz]:[% normaliz]],1)*(DATOS_[C.Extra.03])))))))),
0)</f>
        <v>0</v>
      </c>
      <c r="AS65" s="104">
        <f t="array" ref="AS65">IFERROR(
(AVERAGE((IF(DATOS_[[Sexo]:[Sexo]]=$B65,IF(DATOS_[[AGRUP. CLAS. PROF.]:[AGRUP. CLAS. PROF.]]=$B63,IF(DATOS_[[Check Periodo Ref.]:[Check Periodo Ref.]]="Dentro",IF(DATOS_[[Check Equiparado]:[Check Equiparado]]="Sí",IF(DATOS!BL$5="Sí",(1/DATOS_[[% anualiz]:[% anualiz]]),1)*IF(DATOS!BL$4="Sí",1/DATOS_[[% normaliz]:[% normaliz]],1)*(DATOS_[C.Extra.04])))))))),
0)</f>
        <v>0</v>
      </c>
      <c r="AT65" s="104">
        <f t="array" ref="AT65">IFERROR(
(AVERAGE((IF(DATOS_[[Sexo]:[Sexo]]=$B65,IF(DATOS_[[AGRUP. CLAS. PROF.]:[AGRUP. CLAS. PROF.]]=$B63,IF(DATOS_[[Check Periodo Ref.]:[Check Periodo Ref.]]="Dentro",IF(DATOS_[[Check Equiparado]:[Check Equiparado]]="Sí",IF(DATOS!BM$5="Sí",(1/DATOS_[[% anualiz]:[% anualiz]]),1)*IF(DATOS!BM$4="Sí",1/DATOS_[[% normaliz]:[% normaliz]],1)*(DATOS_[C.Extra.05])))))))),
0)</f>
        <v>0</v>
      </c>
      <c r="AU65" s="105">
        <f t="array" ref="AU65">IFERROR(
AVERAGE(IF(DATOS_[Sexo]=$B65,IF(DATOS_[[AGRUP. CLAS. PROF.]:[AGRUP. CLAS. PROF.]]=$B63,IF(DATOS_[Check Equiparado]="Sí",IF(DATOS_[Check Periodo Ref.]="Dentro",DATOS_[Tot Extrasalarial Eq],FALSE))))),
0)</f>
        <v>0</v>
      </c>
      <c r="AV65" s="106">
        <f t="array" ref="AV65">IFERROR(
AVERAGE(IF(DATOS_[Sexo]=$B65,IF(DATOS_[[AGRUP. CLAS. PROF.]:[AGRUP. CLAS. PROF.]]=$B63,IF(DATOS_[Check Equiparado]="Sí",IF(DATOS_[Check Periodo Ref.]="Dentro",DATOS_[TOTAL Retrib Eq],FALSE))))),
0)</f>
        <v>0</v>
      </c>
    </row>
    <row r="66" spans="1:48" ht="17.25" hidden="1" thickBot="1" x14ac:dyDescent="0.35">
      <c r="A66" s="53" t="str">
        <f t="shared" ref="A66" si="71">+A67</f>
        <v>[ocultar]</v>
      </c>
      <c r="B66" s="62" t="s">
        <v>234</v>
      </c>
      <c r="C66" s="99"/>
      <c r="D66" s="63"/>
      <c r="E66" s="63"/>
      <c r="F66" s="63"/>
      <c r="G66" s="63"/>
      <c r="H66" s="63"/>
      <c r="I66" s="129" t="str">
        <f t="shared" ref="I66:AV66" si="72">IFERROR((I67-I68)/I67,"")</f>
        <v/>
      </c>
      <c r="J66" s="130" t="str">
        <f t="shared" si="72"/>
        <v/>
      </c>
      <c r="K66" s="131" t="str">
        <f t="shared" si="72"/>
        <v/>
      </c>
      <c r="L66" s="131" t="str">
        <f t="shared" si="72"/>
        <v/>
      </c>
      <c r="M66" s="131" t="str">
        <f t="shared" si="72"/>
        <v/>
      </c>
      <c r="N66" s="132" t="str">
        <f t="shared" si="72"/>
        <v/>
      </c>
      <c r="O66" s="133" t="str">
        <f t="shared" si="72"/>
        <v/>
      </c>
      <c r="P66" s="133" t="str">
        <f t="shared" si="72"/>
        <v/>
      </c>
      <c r="Q66" s="133" t="str">
        <f t="shared" si="72"/>
        <v/>
      </c>
      <c r="R66" s="133" t="str">
        <f t="shared" si="72"/>
        <v/>
      </c>
      <c r="S66" s="133" t="str">
        <f t="shared" si="72"/>
        <v/>
      </c>
      <c r="T66" s="133" t="str">
        <f t="shared" si="72"/>
        <v/>
      </c>
      <c r="U66" s="133" t="str">
        <f t="shared" si="72"/>
        <v/>
      </c>
      <c r="V66" s="133" t="str">
        <f t="shared" si="72"/>
        <v/>
      </c>
      <c r="W66" s="133" t="str">
        <f t="shared" si="72"/>
        <v/>
      </c>
      <c r="X66" s="133" t="str">
        <f t="shared" si="72"/>
        <v/>
      </c>
      <c r="Y66" s="133" t="str">
        <f t="shared" si="72"/>
        <v/>
      </c>
      <c r="Z66" s="132" t="str">
        <f t="shared" si="72"/>
        <v/>
      </c>
      <c r="AA66" s="132" t="str">
        <f t="shared" si="72"/>
        <v/>
      </c>
      <c r="AB66" s="132" t="str">
        <f t="shared" si="72"/>
        <v/>
      </c>
      <c r="AC66" s="132" t="str">
        <f t="shared" si="72"/>
        <v/>
      </c>
      <c r="AD66" s="132" t="str">
        <f t="shared" si="72"/>
        <v/>
      </c>
      <c r="AE66" s="132" t="str">
        <f t="shared" si="72"/>
        <v/>
      </c>
      <c r="AF66" s="132" t="str">
        <f t="shared" si="72"/>
        <v/>
      </c>
      <c r="AG66" s="132" t="str">
        <f t="shared" si="72"/>
        <v/>
      </c>
      <c r="AH66" s="132" t="str">
        <f t="shared" si="72"/>
        <v/>
      </c>
      <c r="AI66" s="132" t="str">
        <f t="shared" si="72"/>
        <v/>
      </c>
      <c r="AJ66" s="132" t="str">
        <f t="shared" si="72"/>
        <v/>
      </c>
      <c r="AK66" s="132" t="str">
        <f t="shared" si="72"/>
        <v/>
      </c>
      <c r="AL66" s="132" t="str">
        <f t="shared" si="72"/>
        <v/>
      </c>
      <c r="AM66" s="132" t="str">
        <f t="shared" si="72"/>
        <v/>
      </c>
      <c r="AN66" s="134" t="str">
        <f t="shared" si="72"/>
        <v/>
      </c>
      <c r="AO66" s="138" t="str">
        <f t="shared" si="72"/>
        <v/>
      </c>
      <c r="AP66" s="135" t="str">
        <f t="shared" si="72"/>
        <v/>
      </c>
      <c r="AQ66" s="135" t="str">
        <f t="shared" si="72"/>
        <v/>
      </c>
      <c r="AR66" s="135" t="str">
        <f t="shared" si="72"/>
        <v/>
      </c>
      <c r="AS66" s="135" t="str">
        <f t="shared" si="72"/>
        <v/>
      </c>
      <c r="AT66" s="135" t="str">
        <f t="shared" si="72"/>
        <v/>
      </c>
      <c r="AU66" s="136" t="str">
        <f t="shared" si="72"/>
        <v/>
      </c>
      <c r="AV66" s="137" t="str">
        <f t="shared" si="72"/>
        <v/>
      </c>
    </row>
    <row r="67" spans="1:48" hidden="1" x14ac:dyDescent="0.3">
      <c r="A67" s="53" t="str">
        <f t="shared" ref="A67" si="73">+IF(C67+C68=0,"[ocultar]","")</f>
        <v>[ocultar]</v>
      </c>
      <c r="B67" s="57" t="s">
        <v>162</v>
      </c>
      <c r="C67" s="56">
        <f t="array" ref="C67">SUM(IF($B67=DATOS_[Sexo],
IF($B66=DATOS_[AGRUP. CLAS. PROF.],
IF("Dentro"=DATOS_[Check Periodo Ref.],
1/(COUNTIFS(DATOS_[Sexo],$B67,DATOS_[AGRUP. CLAS. PROF.],$B66,DATOS_[Check Periodo Ref.],"Dentro",DATOS_[id],DATOS_[id]))))))</f>
        <v>0</v>
      </c>
      <c r="D67" s="58">
        <f>COUNTIFS(DATOS_[AGRUP. CLAS. PROF.],$B66,DATOS_[Sexo],$B67,DATOS_[Check Periodo Ref.],"Dentro")</f>
        <v>0</v>
      </c>
      <c r="E67" s="58">
        <f>COUNTIFS(DATOS_[AGRUP. CLAS. PROF.],$B66,DATOS_[Sexo],$B67,DATOS_[Check Periodo Ref.],"Dentro",DATOS_[Check Nº SC Norm],"Sí")</f>
        <v>0</v>
      </c>
      <c r="F67" s="58">
        <f>COUNTIFS(DATOS_[AGRUP. CLAS. PROF.],$B66,DATOS_[Sexo],$B67,DATOS_[Check Periodo Ref.],"Dentro",DATOS_[Check Nº SC Anualiz],"Sí")</f>
        <v>0</v>
      </c>
      <c r="G67" s="58">
        <f>COUNTIFS(DATOS_[AGRUP. CLAS. PROF.],$B66,DATOS_[Sexo],$B67,DATOS_[Check Periodo Ref.],"Dentro",DATOS_[Check Nº SC Norm y Anualiz],"Sí")</f>
        <v>0</v>
      </c>
      <c r="H67" s="58">
        <f>COUNTIFS(DATOS_[AGRUP. CLAS. PROF.],$B66,DATOS_[Sexo],$B67,DATOS_[Check Periodo Ref.],"Dentro",DATOS_[Check Equiparación],"Sí")</f>
        <v>0</v>
      </c>
      <c r="I67" s="100">
        <f t="array" ref="I67">IFERROR(
AVERAGE(IF(DATOS_[Sexo]=$B67,IF(DATOS_[[AGRUP. CLAS. PROF.]:[AGRUP. CLAS. PROF.]]=$B66,IF(DATOS_[Check Equiparado]="Sí",IF(DATOS_[Check Periodo Ref.]="Dentro",DATOS_[SALARIO BASE Eq],FALSE))))),
0)</f>
        <v>0</v>
      </c>
      <c r="J67" s="101">
        <f t="array" ref="J67">IFERROR(
(AVERAGE((IF(DATOS_[[Sexo]:[Sexo]]=$B67,IF(DATOS_[[AGRUP. CLAS. PROF.]:[AGRUP. CLAS. PROF.]]=$B66,IF(DATOS_[[Check Periodo Ref.]:[Check Periodo Ref.]]="Dentro",IF(DATOS_[[Check Equiparado]:[Check Equiparado]]="Sí",IF(DATOS!AE$5="Sí",(1/DATOS_[[% anualiz]:[% anualiz]]),1)*IF(DATOS!AE$4="Sí",1/DATOS_[[% normaliz]:[% normaliz]],1)*(DATOS_[Conc.Sal.01])))))))),
0)</f>
        <v>0</v>
      </c>
      <c r="K67" s="101">
        <f t="array" ref="K67">IFERROR(
(AVERAGE((IF(DATOS_[[Sexo]:[Sexo]]=$B67,IF(DATOS_[[AGRUP. CLAS. PROF.]:[AGRUP. CLAS. PROF.]]=$B66,IF(DATOS_[[Check Periodo Ref.]:[Check Periodo Ref.]]="Dentro",IF(DATOS_[[Check Equiparado]:[Check Equiparado]]="Sí",IF(DATOS!AF$5="Sí",(1/DATOS_[[% anualiz]:[% anualiz]]),1)*IF(DATOS!AF$4="Sí",1/DATOS_[[% normaliz]:[% normaliz]],1)*(DATOS_[Conc.Sal.02])))))))),
0)</f>
        <v>0</v>
      </c>
      <c r="L67" s="101">
        <f t="array" ref="L67">IFERROR(
(AVERAGE((IF(DATOS_[[Sexo]:[Sexo]]=$B67,IF(DATOS_[[AGRUP. CLAS. PROF.]:[AGRUP. CLAS. PROF.]]=$B66,IF(DATOS_[[Check Periodo Ref.]:[Check Periodo Ref.]]="Dentro",IF(DATOS_[[Check Equiparado]:[Check Equiparado]]="Sí",IF(DATOS!AG$5="Sí",(1/DATOS_[[% anualiz]:[% anualiz]]),1)*IF(DATOS!AG$4="Sí",1/DATOS_[[% normaliz]:[% normaliz]],1)*(DATOS_[Conc.Sal.03])))))))),
0)</f>
        <v>0</v>
      </c>
      <c r="M67" s="101">
        <f t="array" ref="M67">IFERROR(
(AVERAGE((IF(DATOS_[[Sexo]:[Sexo]]=$B67,IF(DATOS_[[AGRUP. CLAS. PROF.]:[AGRUP. CLAS. PROF.]]=$B66,IF(DATOS_[[Check Periodo Ref.]:[Check Periodo Ref.]]="Dentro",IF(DATOS_[[Check Equiparado]:[Check Equiparado]]="Sí",IF(DATOS!AH$5="Sí",(1/DATOS_[[% anualiz]:[% anualiz]]),1)*IF(DATOS!AH$4="Sí",1/DATOS_[[% normaliz]:[% normaliz]],1)*(DATOS_[Conc.Sal.04])))))))),
0)</f>
        <v>0</v>
      </c>
      <c r="N67" s="101">
        <f t="array" ref="N67">IFERROR(
(AVERAGE((IF(DATOS_[[Sexo]:[Sexo]]=$B67,IF(DATOS_[[AGRUP. CLAS. PROF.]:[AGRUP. CLAS. PROF.]]=$B66,IF(DATOS_[[Check Periodo Ref.]:[Check Periodo Ref.]]="Dentro",IF(DATOS_[[Check Equiparado]:[Check Equiparado]]="Sí",IF(DATOS!AI$5="Sí",(1/DATOS_[[% anualiz]:[% anualiz]]),1)*IF(DATOS!AI$4="Sí",1/DATOS_[[% normaliz]:[% normaliz]],1)*(DATOS_[Conc.Sal.05])))))))),
0)</f>
        <v>0</v>
      </c>
      <c r="O67" s="101">
        <f t="array" ref="O67">IFERROR(
(AVERAGE((IF(DATOS_[[Sexo]:[Sexo]]=$B67,IF(DATOS_[[AGRUP. CLAS. PROF.]:[AGRUP. CLAS. PROF.]]=$B66,IF(DATOS_[[Check Periodo Ref.]:[Check Periodo Ref.]]="Dentro",IF(DATOS_[[Check Equiparado]:[Check Equiparado]]="Sí",IF(DATOS!AJ$5="Sí",(1/DATOS_[[% anualiz]:[% anualiz]]),1)*IF(DATOS!AJ$4="Sí",1/DATOS_[[% normaliz]:[% normaliz]],1)*(DATOS_[Conc.Sal.06])))))))),
0)</f>
        <v>0</v>
      </c>
      <c r="P67" s="101">
        <f t="array" ref="P67">IFERROR(
(AVERAGE((IF(DATOS_[[Sexo]:[Sexo]]=$B67,IF(DATOS_[[AGRUP. CLAS. PROF.]:[AGRUP. CLAS. PROF.]]=$B66,IF(DATOS_[[Check Periodo Ref.]:[Check Periodo Ref.]]="Dentro",IF(DATOS_[[Check Equiparado]:[Check Equiparado]]="Sí",IF(DATOS!AK$5="Sí",(1/DATOS_[[% anualiz]:[% anualiz]]),1)*IF(DATOS!AK$4="Sí",1/DATOS_[[% normaliz]:[% normaliz]],1)*(DATOS_[Conc.Sal.07])))))))),
0)</f>
        <v>0</v>
      </c>
      <c r="Q67" s="101">
        <f t="array" ref="Q67">IFERROR(
(AVERAGE((IF(DATOS_[[Sexo]:[Sexo]]=$B67,IF(DATOS_[[AGRUP. CLAS. PROF.]:[AGRUP. CLAS. PROF.]]=$B66,IF(DATOS_[[Check Periodo Ref.]:[Check Periodo Ref.]]="Dentro",IF(DATOS_[[Check Equiparado]:[Check Equiparado]]="Sí",IF(DATOS!AL$5="Sí",(1/DATOS_[[% anualiz]:[% anualiz]]),1)*IF(DATOS!AL$4="Sí",1/DATOS_[[% normaliz]:[% normaliz]],1)*(DATOS_[Conc.Sal.08])))))))),
0)</f>
        <v>0</v>
      </c>
      <c r="R67" s="101">
        <f t="array" ref="R67">IFERROR(
(AVERAGE((IF(DATOS_[[Sexo]:[Sexo]]=$B67,IF(DATOS_[[AGRUP. CLAS. PROF.]:[AGRUP. CLAS. PROF.]]=$B66,IF(DATOS_[[Check Periodo Ref.]:[Check Periodo Ref.]]="Dentro",IF(DATOS_[[Check Equiparado]:[Check Equiparado]]="Sí",IF(DATOS!AM$5="Sí",(1/DATOS_[[% anualiz]:[% anualiz]]),1)*IF(DATOS!AM$4="Sí",1/DATOS_[[% normaliz]:[% normaliz]],1)*(DATOS_[Conc.Sal.09])))))))),
0)</f>
        <v>0</v>
      </c>
      <c r="S67" s="101">
        <f t="array" ref="S67">IFERROR(
(AVERAGE((IF(DATOS_[[Sexo]:[Sexo]]=$B67,IF(DATOS_[[AGRUP. CLAS. PROF.]:[AGRUP. CLAS. PROF.]]=$B66,IF(DATOS_[[Check Periodo Ref.]:[Check Periodo Ref.]]="Dentro",IF(DATOS_[[Check Equiparado]:[Check Equiparado]]="Sí",IF(DATOS!AN$5="Sí",(1/DATOS_[[% anualiz]:[% anualiz]]),1)*IF(DATOS!AN$4="Sí",1/DATOS_[[% normaliz]:[% normaliz]],1)*(DATOS_[Conc.Sal.10])))))))),
0)</f>
        <v>0</v>
      </c>
      <c r="T67" s="101">
        <f t="array" ref="T67">IFERROR(
(AVERAGE((IF(DATOS_[[Sexo]:[Sexo]]=$B67,IF(DATOS_[[AGRUP. CLAS. PROF.]:[AGRUP. CLAS. PROF.]]=$B66,IF(DATOS_[[Check Periodo Ref.]:[Check Periodo Ref.]]="Dentro",IF(DATOS_[[Check Equiparado]:[Check Equiparado]]="Sí",IF(DATOS!AO$5="Sí",(1/DATOS_[[% anualiz]:[% anualiz]]),1)*IF(DATOS!AO$4="Sí",1/DATOS_[[% normaliz]:[% normaliz]],1)*(DATOS_[Conc.Sal.11])))))))),
0)</f>
        <v>0</v>
      </c>
      <c r="U67" s="101">
        <f t="array" ref="U67">IFERROR(
(AVERAGE((IF(DATOS_[[Sexo]:[Sexo]]=$B67,IF(DATOS_[[AGRUP. CLAS. PROF.]:[AGRUP. CLAS. PROF.]]=$B66,IF(DATOS_[[Check Periodo Ref.]:[Check Periodo Ref.]]="Dentro",IF(DATOS_[[Check Equiparado]:[Check Equiparado]]="Sí",IF(DATOS!AP$5="Sí",(1/DATOS_[[% anualiz]:[% anualiz]]),1)*IF(DATOS!AP$4="Sí",1/DATOS_[[% normaliz]:[% normaliz]],1)*(DATOS_[Conc.Sal.12])))))))),
0)</f>
        <v>0</v>
      </c>
      <c r="V67" s="101">
        <f t="array" ref="V67">IFERROR(
(AVERAGE((IF(DATOS_[[Sexo]:[Sexo]]=$B67,IF(DATOS_[[AGRUP. CLAS. PROF.]:[AGRUP. CLAS. PROF.]]=$B66,IF(DATOS_[[Check Periodo Ref.]:[Check Periodo Ref.]]="Dentro",IF(DATOS_[[Check Equiparado]:[Check Equiparado]]="Sí",IF(DATOS!AQ$5="Sí",(1/DATOS_[[% anualiz]:[% anualiz]]),1)*IF(DATOS!AQ$4="Sí",1/DATOS_[[% normaliz]:[% normaliz]],1)*(DATOS_[Conc.Sal.13])))))))),
0)</f>
        <v>0</v>
      </c>
      <c r="W67" s="101">
        <f t="array" ref="W67">IFERROR(
(AVERAGE((IF(DATOS_[[Sexo]:[Sexo]]=$B67,IF(DATOS_[[AGRUP. CLAS. PROF.]:[AGRUP. CLAS. PROF.]]=$B66,IF(DATOS_[[Check Periodo Ref.]:[Check Periodo Ref.]]="Dentro",IF(DATOS_[[Check Equiparado]:[Check Equiparado]]="Sí",IF(DATOS!AR$5="Sí",(1/DATOS_[[% anualiz]:[% anualiz]]),1)*IF(DATOS!AR$4="Sí",1/DATOS_[[% normaliz]:[% normaliz]],1)*(DATOS_[Conc.Sal.14])))))))),
0)</f>
        <v>0</v>
      </c>
      <c r="X67" s="101">
        <f t="array" ref="X67">IFERROR(
(AVERAGE((IF(DATOS_[[Sexo]:[Sexo]]=$B67,IF(DATOS_[[AGRUP. CLAS. PROF.]:[AGRUP. CLAS. PROF.]]=$B66,IF(DATOS_[[Check Periodo Ref.]:[Check Periodo Ref.]]="Dentro",IF(DATOS_[[Check Equiparado]:[Check Equiparado]]="Sí",IF(DATOS!AS$5="Sí",(1/DATOS_[[% anualiz]:[% anualiz]]),1)*IF(DATOS!AS$4="Sí",1/DATOS_[[% normaliz]:[% normaliz]],1)*(DATOS_[Conc.Sal.15])))))))),
0)</f>
        <v>0</v>
      </c>
      <c r="Y67" s="101">
        <f t="array" ref="Y67">IFERROR(
(AVERAGE((IF(DATOS_[[Sexo]:[Sexo]]=$B67,IF(DATOS_[[AGRUP. CLAS. PROF.]:[AGRUP. CLAS. PROF.]]=$B66,IF(DATOS_[[Check Periodo Ref.]:[Check Periodo Ref.]]="Dentro",IF(DATOS_[[Check Equiparado]:[Check Equiparado]]="Sí",IF(DATOS!AT$5="Sí",(1/DATOS_[[% anualiz]:[% anualiz]]),1)*IF(DATOS!AT$4="Sí",1/DATOS_[[% normaliz]:[% normaliz]],1)*(DATOS_[Conc.Sal.16])))))))),
0)</f>
        <v>0</v>
      </c>
      <c r="Z67" s="101">
        <f t="array" ref="Z67">IFERROR(
(AVERAGE((IF(DATOS_[[Sexo]:[Sexo]]=$B67,IF(DATOS_[[AGRUP. CLAS. PROF.]:[AGRUP. CLAS. PROF.]]=$B66,IF(DATOS_[[Check Periodo Ref.]:[Check Periodo Ref.]]="Dentro",IF(DATOS_[[Check Equiparado]:[Check Equiparado]]="Sí",IF(DATOS!AU$5="Sí",(1/DATOS_[[% anualiz]:[% anualiz]]),1)*IF(DATOS!AU$4="Sí",1/DATOS_[[% normaliz]:[% normaliz]],1)*(DATOS_[Conc.Sal.17])))))))),
0)</f>
        <v>0</v>
      </c>
      <c r="AA67" s="101">
        <f t="array" ref="AA67">IFERROR(
(AVERAGE((IF(DATOS_[[Sexo]:[Sexo]]=$B67,IF(DATOS_[[AGRUP. CLAS. PROF.]:[AGRUP. CLAS. PROF.]]=$B66,IF(DATOS_[[Check Periodo Ref.]:[Check Periodo Ref.]]="Dentro",IF(DATOS_[[Check Equiparado]:[Check Equiparado]]="Sí",IF(DATOS!AV$5="Sí",(1/DATOS_[[% anualiz]:[% anualiz]]),1)*IF(DATOS!AV$4="Sí",1/DATOS_[[% normaliz]:[% normaliz]],1)*(DATOS_[Conc.Sal.18])))))))),
0)</f>
        <v>0</v>
      </c>
      <c r="AB67" s="101">
        <f t="array" ref="AB67">IFERROR(
(AVERAGE((IF(DATOS_[[Sexo]:[Sexo]]=$B67,IF(DATOS_[[AGRUP. CLAS. PROF.]:[AGRUP. CLAS. PROF.]]=$B66,IF(DATOS_[[Check Periodo Ref.]:[Check Periodo Ref.]]="Dentro",IF(DATOS_[[Check Equiparado]:[Check Equiparado]]="Sí",IF(DATOS!AW$5="Sí",(1/DATOS_[[% anualiz]:[% anualiz]]),1)*IF(DATOS!AW$4="Sí",1/DATOS_[[% normaliz]:[% normaliz]],1)*(DATOS_[Conc.Sal.19])))))))),
0)</f>
        <v>0</v>
      </c>
      <c r="AC67" s="101">
        <f t="array" ref="AC67">IFERROR(
(AVERAGE((IF(DATOS_[[Sexo]:[Sexo]]=$B67,IF(DATOS_[[AGRUP. CLAS. PROF.]:[AGRUP. CLAS. PROF.]]=$B66,IF(DATOS_[[Check Periodo Ref.]:[Check Periodo Ref.]]="Dentro",IF(DATOS_[[Check Equiparado]:[Check Equiparado]]="Sí",IF(DATOS!AX$5="Sí",(1/DATOS_[[% anualiz]:[% anualiz]]),1)*IF(DATOS!AX$4="Sí",1/DATOS_[[% normaliz]:[% normaliz]],1)*(DATOS_[Conc.Sal.20])))))))),
0)</f>
        <v>0</v>
      </c>
      <c r="AD67" s="101">
        <f t="array" ref="AD67">IFERROR(
(AVERAGE((IF(DATOS_[[Sexo]:[Sexo]]=$B67,IF(DATOS_[[AGRUP. CLAS. PROF.]:[AGRUP. CLAS. PROF.]]=$B66,IF(DATOS_[[Check Periodo Ref.]:[Check Periodo Ref.]]="Dentro",IF(DATOS_[[Check Equiparado]:[Check Equiparado]]="Sí",IF(DATOS!AY$5="Sí",(1/DATOS_[[% anualiz]:[% anualiz]]),1)*IF(DATOS!AY$4="Sí",1/DATOS_[[% normaliz]:[% normaliz]],1)*(DATOS_[Conc.Sal.21])))))))),
0)</f>
        <v>0</v>
      </c>
      <c r="AE67" s="101">
        <f t="array" ref="AE67">IFERROR(
(AVERAGE((IF(DATOS_[[Sexo]:[Sexo]]=$B67,IF(DATOS_[[AGRUP. CLAS. PROF.]:[AGRUP. CLAS. PROF.]]=$B66,IF(DATOS_[[Check Periodo Ref.]:[Check Periodo Ref.]]="Dentro",IF(DATOS_[[Check Equiparado]:[Check Equiparado]]="Sí",IF(DATOS!AZ$5="Sí",(1/DATOS_[[% anualiz]:[% anualiz]]),1)*IF(DATOS!AZ$4="Sí",1/DATOS_[[% normaliz]:[% normaliz]],1)*(DATOS_[Conc.Sal.22])))))))),
0)</f>
        <v>0</v>
      </c>
      <c r="AF67" s="101">
        <f t="array" ref="AF67">IFERROR(
(AVERAGE((IF(DATOS_[[Sexo]:[Sexo]]=$B67,IF(DATOS_[[AGRUP. CLAS. PROF.]:[AGRUP. CLAS. PROF.]]=$B66,IF(DATOS_[[Check Periodo Ref.]:[Check Periodo Ref.]]="Dentro",IF(DATOS_[[Check Equiparado]:[Check Equiparado]]="Sí",IF(DATOS!BA$5="Sí",(1/DATOS_[[% anualiz]:[% anualiz]]),1)*IF(DATOS!BA$4="Sí",1/DATOS_[[% normaliz]:[% normaliz]],1)*(DATOS_[Conc.Sal.23])))))))),
0)</f>
        <v>0</v>
      </c>
      <c r="AG67" s="101">
        <f t="array" ref="AG67">IFERROR(
(AVERAGE((IF(DATOS_[[Sexo]:[Sexo]]=$B67,IF(DATOS_[[AGRUP. CLAS. PROF.]:[AGRUP. CLAS. PROF.]]=$B66,IF(DATOS_[[Check Periodo Ref.]:[Check Periodo Ref.]]="Dentro",IF(DATOS_[[Check Equiparado]:[Check Equiparado]]="Sí",IF(DATOS!BB$5="Sí",(1/DATOS_[[% anualiz]:[% anualiz]]),1)*IF(DATOS!BB$4="Sí",1/DATOS_[[% normaliz]:[% normaliz]],1)*(DATOS_[Conc.Sal.24])))))))),
0)</f>
        <v>0</v>
      </c>
      <c r="AH67" s="101">
        <f t="array" ref="AH67">IFERROR(
(AVERAGE((IF(DATOS_[[Sexo]:[Sexo]]=$B67,IF(DATOS_[[AGRUP. CLAS. PROF.]:[AGRUP. CLAS. PROF.]]=$B66,IF(DATOS_[[Check Periodo Ref.]:[Check Periodo Ref.]]="Dentro",IF(DATOS_[[Check Equiparado]:[Check Equiparado]]="Sí",IF(DATOS!BC$5="Sí",(1/DATOS_[[% anualiz]:[% anualiz]]),1)*IF(DATOS!BC$4="Sí",1/DATOS_[[% normaliz]:[% normaliz]],1)*(DATOS_[Conc.Sal.25])))))))),
0)</f>
        <v>0</v>
      </c>
      <c r="AI67" s="101">
        <f t="array" ref="AI67">IFERROR(
(AVERAGE((IF(DATOS_[[Sexo]:[Sexo]]=$B67,IF(DATOS_[[AGRUP. CLAS. PROF.]:[AGRUP. CLAS. PROF.]]=$B66,IF(DATOS_[[Check Periodo Ref.]:[Check Periodo Ref.]]="Dentro",IF(DATOS_[[Check Equiparado]:[Check Equiparado]]="Sí",IF(DATOS!BD$5="Sí",(1/DATOS_[[% anualiz]:[% anualiz]]),1)*IF(DATOS!BD$4="Sí",1/DATOS_[[% normaliz]:[% normaliz]],1)*(DATOS_[Conc.Sal.26])))))))),
0)</f>
        <v>0</v>
      </c>
      <c r="AJ67" s="101">
        <f t="array" ref="AJ67">IFERROR(
(AVERAGE((IF(DATOS_[[Sexo]:[Sexo]]=$B67,IF(DATOS_[[AGRUP. CLAS. PROF.]:[AGRUP. CLAS. PROF.]]=$B66,IF(DATOS_[[Check Periodo Ref.]:[Check Periodo Ref.]]="Dentro",IF(DATOS_[[Check Equiparado]:[Check Equiparado]]="Sí",IF(DATOS!BE$5="Sí",(1/DATOS_[[% anualiz]:[% anualiz]]),1)*IF(DATOS!BE$4="Sí",1/DATOS_[[% normaliz]:[% normaliz]],1)*(DATOS_[Conc.Sal.27])))))))),
0)</f>
        <v>0</v>
      </c>
      <c r="AK67" s="101">
        <f t="array" ref="AK67">IFERROR(
(AVERAGE((IF(DATOS_[[Sexo]:[Sexo]]=$B67,IF(DATOS_[[AGRUP. CLAS. PROF.]:[AGRUP. CLAS. PROF.]]=$B66,IF(DATOS_[[Check Periodo Ref.]:[Check Periodo Ref.]]="Dentro",IF(DATOS_[[Check Equiparado]:[Check Equiparado]]="Sí",IF(DATOS!BF$5="Sí",(1/DATOS_[[% anualiz]:[% anualiz]]),1)*IF(DATOS!BF$4="Sí",1/DATOS_[[% normaliz]:[% normaliz]],1)*(DATOS_[Conc.Sal.28])))))))),
0)</f>
        <v>0</v>
      </c>
      <c r="AL67" s="101">
        <f t="array" ref="AL67">IFERROR(
(AVERAGE((IF(DATOS_[[Sexo]:[Sexo]]=$B67,IF(DATOS_[[AGRUP. CLAS. PROF.]:[AGRUP. CLAS. PROF.]]=$B66,IF(DATOS_[[Check Periodo Ref.]:[Check Periodo Ref.]]="Dentro",IF(DATOS_[[Check Equiparado]:[Check Equiparado]]="Sí",IF(DATOS!BG$5="Sí",(1/DATOS_[[% anualiz]:[% anualiz]]),1)*IF(DATOS!BG$4="Sí",1/DATOS_[[% normaliz]:[% normaliz]],1)*(DATOS_[Conc.Sal.29])))))))),
0)</f>
        <v>0</v>
      </c>
      <c r="AM67" s="101">
        <f t="array" ref="AM67">IFERROR(
(AVERAGE((IF(DATOS_[[Sexo]:[Sexo]]=$B67,IF(DATOS_[[AGRUP. CLAS. PROF.]:[AGRUP. CLAS. PROF.]]=$B66,IF(DATOS_[[Check Periodo Ref.]:[Check Periodo Ref.]]="Dentro",IF(DATOS_[[Check Equiparado]:[Check Equiparado]]="Sí",IF(DATOS!BH$5="Sí",(1/DATOS_[[% anualiz]:[% anualiz]]),1)*IF(DATOS!BH$4="Sí",1/DATOS_[[% normaliz]:[% normaliz]],1)*(DATOS_[Conc.Sal.30])))))))),
0)</f>
        <v>0</v>
      </c>
      <c r="AN67" s="102">
        <f t="array" ref="AN67">IFERROR(
AVERAGE(IF(DATOS_[Sexo]=$B67,IF(DATOS_[[AGRUP. CLAS. PROF.]:[AGRUP. CLAS. PROF.]]=$B66,IF(DATOS_[Check Equiparado]="Sí",IF(DATOS_[Check Periodo Ref.]="Dentro",DATOS_[Tot COMPL.SAL Eq],FALSE))))),
0)</f>
        <v>0</v>
      </c>
      <c r="AO67" s="103">
        <f t="array" ref="AO67">IFERROR(
AVERAGE(IF(DATOS_[Sexo]=$B67,IF(DATOS_[[AGRUP. CLAS. PROF.]:[AGRUP. CLAS. PROF.]]=$B66,IF(DATOS_[Check Equiparado]="Sí",IF(DATOS_[Check Periodo Ref.]="Dentro",DATOS_[TOTAL SALARIO Eq],FALSE))))),
0)</f>
        <v>0</v>
      </c>
      <c r="AP67" s="104">
        <f t="array" ref="AP67">IFERROR(
(AVERAGE((IF(DATOS_[[Sexo]:[Sexo]]=$B67,IF(DATOS_[[AGRUP. CLAS. PROF.]:[AGRUP. CLAS. PROF.]]=$B66,IF(DATOS_[[Check Periodo Ref.]:[Check Periodo Ref.]]="Dentro",IF(DATOS_[[Check Equiparado]:[Check Equiparado]]="Sí",IF(DATOS!BI$5="Sí",(1/DATOS_[[% anualiz]:[% anualiz]]),1)*IF(DATOS!BI$4="Sí",1/DATOS_[[% normaliz]:[% normaliz]],1)*(DATOS_[C.Extra.01])))))))),
0)</f>
        <v>0</v>
      </c>
      <c r="AQ67" s="104">
        <f t="array" ref="AQ67">IFERROR(
(AVERAGE((IF(DATOS_[[Sexo]:[Sexo]]=$B67,IF(DATOS_[[AGRUP. CLAS. PROF.]:[AGRUP. CLAS. PROF.]]=$B66,IF(DATOS_[[Check Periodo Ref.]:[Check Periodo Ref.]]="Dentro",IF(DATOS_[[Check Equiparado]:[Check Equiparado]]="Sí",IF(DATOS!BJ$5="Sí",(1/DATOS_[[% anualiz]:[% anualiz]]),1)*IF(DATOS!BJ$4="Sí",1/DATOS_[[% normaliz]:[% normaliz]],1)*(DATOS_[C.Extra.02])))))))),
0)</f>
        <v>0</v>
      </c>
      <c r="AR67" s="104">
        <f t="array" ref="AR67">IFERROR(
(AVERAGE((IF(DATOS_[[Sexo]:[Sexo]]=$B67,IF(DATOS_[[AGRUP. CLAS. PROF.]:[AGRUP. CLAS. PROF.]]=$B66,IF(DATOS_[[Check Periodo Ref.]:[Check Periodo Ref.]]="Dentro",IF(DATOS_[[Check Equiparado]:[Check Equiparado]]="Sí",IF(DATOS!BK$5="Sí",(1/DATOS_[[% anualiz]:[% anualiz]]),1)*IF(DATOS!BK$4="Sí",1/DATOS_[[% normaliz]:[% normaliz]],1)*(DATOS_[C.Extra.03])))))))),
0)</f>
        <v>0</v>
      </c>
      <c r="AS67" s="104">
        <f t="array" ref="AS67">IFERROR(
(AVERAGE((IF(DATOS_[[Sexo]:[Sexo]]=$B67,IF(DATOS_[[AGRUP. CLAS. PROF.]:[AGRUP. CLAS. PROF.]]=$B66,IF(DATOS_[[Check Periodo Ref.]:[Check Periodo Ref.]]="Dentro",IF(DATOS_[[Check Equiparado]:[Check Equiparado]]="Sí",IF(DATOS!BL$5="Sí",(1/DATOS_[[% anualiz]:[% anualiz]]),1)*IF(DATOS!BL$4="Sí",1/DATOS_[[% normaliz]:[% normaliz]],1)*(DATOS_[C.Extra.04])))))))),
0)</f>
        <v>0</v>
      </c>
      <c r="AT67" s="104">
        <f t="array" ref="AT67">IFERROR(
(AVERAGE((IF(DATOS_[[Sexo]:[Sexo]]=$B67,IF(DATOS_[[AGRUP. CLAS. PROF.]:[AGRUP. CLAS. PROF.]]=$B66,IF(DATOS_[[Check Periodo Ref.]:[Check Periodo Ref.]]="Dentro",IF(DATOS_[[Check Equiparado]:[Check Equiparado]]="Sí",IF(DATOS!BM$5="Sí",(1/DATOS_[[% anualiz]:[% anualiz]]),1)*IF(DATOS!BM$4="Sí",1/DATOS_[[% normaliz]:[% normaliz]],1)*(DATOS_[C.Extra.05])))))))),
0)</f>
        <v>0</v>
      </c>
      <c r="AU67" s="105">
        <f t="array" ref="AU67">IFERROR(
AVERAGE(IF(DATOS_[Sexo]=$B67,IF(DATOS_[[AGRUP. CLAS. PROF.]:[AGRUP. CLAS. PROF.]]=$B66,IF(DATOS_[Check Equiparado]="Sí",IF(DATOS_[Check Periodo Ref.]="Dentro",DATOS_[Tot Extrasalarial Eq],FALSE))))),
0)</f>
        <v>0</v>
      </c>
      <c r="AV67" s="106">
        <f t="array" ref="AV67">IFERROR(
AVERAGE(IF(DATOS_[Sexo]=$B67,IF(DATOS_[[AGRUP. CLAS. PROF.]:[AGRUP. CLAS. PROF.]]=$B66,IF(DATOS_[Check Equiparado]="Sí",IF(DATOS_[Check Periodo Ref.]="Dentro",DATOS_[TOTAL Retrib Eq],FALSE))))),
0)</f>
        <v>0</v>
      </c>
    </row>
    <row r="68" spans="1:48" hidden="1" x14ac:dyDescent="0.3">
      <c r="A68" s="53" t="str">
        <f t="shared" ref="A68" si="74">+A67</f>
        <v>[ocultar]</v>
      </c>
      <c r="B68" s="57" t="s">
        <v>163</v>
      </c>
      <c r="C68" s="56">
        <f t="array" ref="C68">SUM(IF($B68=DATOS_[Sexo],
IF($B66=DATOS_[AGRUP. CLAS. PROF.],
IF("Dentro"=DATOS_[Check Periodo Ref.],
1/(COUNTIFS(DATOS_[Sexo],$B68,DATOS_[AGRUP. CLAS. PROF.],$B66,DATOS_[Check Periodo Ref.],"Dentro",DATOS_[id],DATOS_[id]))))))</f>
        <v>0</v>
      </c>
      <c r="D68" s="58">
        <f>COUNTIFS(DATOS_[AGRUP. CLAS. PROF.],$B66,DATOS_[Sexo],$B68,DATOS_[Check Periodo Ref.],"Dentro")</f>
        <v>0</v>
      </c>
      <c r="E68" s="58">
        <f>COUNTIFS(DATOS_[AGRUP. CLAS. PROF.],$B66,DATOS_[Sexo],$B68,DATOS_[Check Periodo Ref.],"Dentro",DATOS_[Check Nº SC Norm],"Sí")</f>
        <v>0</v>
      </c>
      <c r="F68" s="58">
        <f>COUNTIFS(DATOS_[AGRUP. CLAS. PROF.],$B66,DATOS_[Sexo],$B68,DATOS_[Check Periodo Ref.],"Dentro",DATOS_[Check Nº SC Anualiz],"Sí")</f>
        <v>0</v>
      </c>
      <c r="G68" s="58">
        <f>COUNTIFS(DATOS_[AGRUP. CLAS. PROF.],$B66,DATOS_[Sexo],$B68,DATOS_[Check Periodo Ref.],"Dentro",DATOS_[Check Nº SC Norm y Anualiz],"Sí")</f>
        <v>0</v>
      </c>
      <c r="H68" s="58">
        <f>COUNTIFS(DATOS_[AGRUP. CLAS. PROF.],$B66,DATOS_[Sexo],$B68,DATOS_[Check Periodo Ref.],"Dentro",DATOS_[Check Equiparación],"Sí")</f>
        <v>0</v>
      </c>
      <c r="I68" s="100" cm="1">
        <f t="array" ref="I68">IFERROR(
AVERAGE(IF(DATOS_[Sexo]=$B68,IF(DATOS_[[AGRUP. CLAS. PROF.]:[AGRUP. CLAS. PROF.]]=$B66,IF(DATOS_[Check Equiparado]="Sí",IF(DATOS_[Check Periodo Ref.]="Dentro",DATOS_[SALARIO BASE Eq],FALSE))))),
0)</f>
        <v>0</v>
      </c>
      <c r="J68" s="101">
        <f t="array" ref="J68">IFERROR(
(AVERAGE((IF(DATOS_[[Sexo]:[Sexo]]=$B68,IF(DATOS_[[AGRUP. CLAS. PROF.]:[AGRUP. CLAS. PROF.]]=$B66,IF(DATOS_[[Check Periodo Ref.]:[Check Periodo Ref.]]="Dentro",IF(DATOS_[[Check Equiparado]:[Check Equiparado]]="Sí",IF(DATOS!AE$5="Sí",(1/DATOS_[[% anualiz]:[% anualiz]]),1)*IF(DATOS!AE$4="Sí",1/DATOS_[[% normaliz]:[% normaliz]],1)*(DATOS_[Conc.Sal.01])))))))),
0)</f>
        <v>0</v>
      </c>
      <c r="K68" s="101">
        <f t="array" ref="K68">IFERROR(
(AVERAGE((IF(DATOS_[[Sexo]:[Sexo]]=$B68,IF(DATOS_[[AGRUP. CLAS. PROF.]:[AGRUP. CLAS. PROF.]]=$B66,IF(DATOS_[[Check Periodo Ref.]:[Check Periodo Ref.]]="Dentro",IF(DATOS_[[Check Equiparado]:[Check Equiparado]]="Sí",IF(DATOS!AF$5="Sí",(1/DATOS_[[% anualiz]:[% anualiz]]),1)*IF(DATOS!AF$4="Sí",1/DATOS_[[% normaliz]:[% normaliz]],1)*(DATOS_[Conc.Sal.02])))))))),
0)</f>
        <v>0</v>
      </c>
      <c r="L68" s="101">
        <f t="array" ref="L68">IFERROR(
(AVERAGE((IF(DATOS_[[Sexo]:[Sexo]]=$B68,IF(DATOS_[[AGRUP. CLAS. PROF.]:[AGRUP. CLAS. PROF.]]=$B66,IF(DATOS_[[Check Periodo Ref.]:[Check Periodo Ref.]]="Dentro",IF(DATOS_[[Check Equiparado]:[Check Equiparado]]="Sí",IF(DATOS!AG$5="Sí",(1/DATOS_[[% anualiz]:[% anualiz]]),1)*IF(DATOS!AG$4="Sí",1/DATOS_[[% normaliz]:[% normaliz]],1)*(DATOS_[Conc.Sal.03])))))))),
0)</f>
        <v>0</v>
      </c>
      <c r="M68" s="101">
        <f t="array" ref="M68">IFERROR(
(AVERAGE((IF(DATOS_[[Sexo]:[Sexo]]=$B68,IF(DATOS_[[AGRUP. CLAS. PROF.]:[AGRUP. CLAS. PROF.]]=$B66,IF(DATOS_[[Check Periodo Ref.]:[Check Periodo Ref.]]="Dentro",IF(DATOS_[[Check Equiparado]:[Check Equiparado]]="Sí",IF(DATOS!AH$5="Sí",(1/DATOS_[[% anualiz]:[% anualiz]]),1)*IF(DATOS!AH$4="Sí",1/DATOS_[[% normaliz]:[% normaliz]],1)*(DATOS_[Conc.Sal.04])))))))),
0)</f>
        <v>0</v>
      </c>
      <c r="N68" s="101">
        <f t="array" ref="N68">IFERROR(
(AVERAGE((IF(DATOS_[[Sexo]:[Sexo]]=$B68,IF(DATOS_[[AGRUP. CLAS. PROF.]:[AGRUP. CLAS. PROF.]]=$B66,IF(DATOS_[[Check Periodo Ref.]:[Check Periodo Ref.]]="Dentro",IF(DATOS_[[Check Equiparado]:[Check Equiparado]]="Sí",IF(DATOS!AI$5="Sí",(1/DATOS_[[% anualiz]:[% anualiz]]),1)*IF(DATOS!AI$4="Sí",1/DATOS_[[% normaliz]:[% normaliz]],1)*(DATOS_[Conc.Sal.05])))))))),
0)</f>
        <v>0</v>
      </c>
      <c r="O68" s="101">
        <f t="array" ref="O68">IFERROR(
(AVERAGE((IF(DATOS_[[Sexo]:[Sexo]]=$B68,IF(DATOS_[[AGRUP. CLAS. PROF.]:[AGRUP. CLAS. PROF.]]=$B66,IF(DATOS_[[Check Periodo Ref.]:[Check Periodo Ref.]]="Dentro",IF(DATOS_[[Check Equiparado]:[Check Equiparado]]="Sí",IF(DATOS!AJ$5="Sí",(1/DATOS_[[% anualiz]:[% anualiz]]),1)*IF(DATOS!AJ$4="Sí",1/DATOS_[[% normaliz]:[% normaliz]],1)*(DATOS_[Conc.Sal.06])))))))),
0)</f>
        <v>0</v>
      </c>
      <c r="P68" s="101">
        <f t="array" ref="P68">IFERROR(
(AVERAGE((IF(DATOS_[[Sexo]:[Sexo]]=$B68,IF(DATOS_[[AGRUP. CLAS. PROF.]:[AGRUP. CLAS. PROF.]]=$B66,IF(DATOS_[[Check Periodo Ref.]:[Check Periodo Ref.]]="Dentro",IF(DATOS_[[Check Equiparado]:[Check Equiparado]]="Sí",IF(DATOS!AK$5="Sí",(1/DATOS_[[% anualiz]:[% anualiz]]),1)*IF(DATOS!AK$4="Sí",1/DATOS_[[% normaliz]:[% normaliz]],1)*(DATOS_[Conc.Sal.07])))))))),
0)</f>
        <v>0</v>
      </c>
      <c r="Q68" s="101">
        <f t="array" ref="Q68">IFERROR(
(AVERAGE((IF(DATOS_[[Sexo]:[Sexo]]=$B68,IF(DATOS_[[AGRUP. CLAS. PROF.]:[AGRUP. CLAS. PROF.]]=$B66,IF(DATOS_[[Check Periodo Ref.]:[Check Periodo Ref.]]="Dentro",IF(DATOS_[[Check Equiparado]:[Check Equiparado]]="Sí",IF(DATOS!AL$5="Sí",(1/DATOS_[[% anualiz]:[% anualiz]]),1)*IF(DATOS!AL$4="Sí",1/DATOS_[[% normaliz]:[% normaliz]],1)*(DATOS_[Conc.Sal.08])))))))),
0)</f>
        <v>0</v>
      </c>
      <c r="R68" s="101">
        <f t="array" ref="R68">IFERROR(
(AVERAGE((IF(DATOS_[[Sexo]:[Sexo]]=$B68,IF(DATOS_[[AGRUP. CLAS. PROF.]:[AGRUP. CLAS. PROF.]]=$B66,IF(DATOS_[[Check Periodo Ref.]:[Check Periodo Ref.]]="Dentro",IF(DATOS_[[Check Equiparado]:[Check Equiparado]]="Sí",IF(DATOS!AM$5="Sí",(1/DATOS_[[% anualiz]:[% anualiz]]),1)*IF(DATOS!AM$4="Sí",1/DATOS_[[% normaliz]:[% normaliz]],1)*(DATOS_[Conc.Sal.09])))))))),
0)</f>
        <v>0</v>
      </c>
      <c r="S68" s="101">
        <f t="array" ref="S68">IFERROR(
(AVERAGE((IF(DATOS_[[Sexo]:[Sexo]]=$B68,IF(DATOS_[[AGRUP. CLAS. PROF.]:[AGRUP. CLAS. PROF.]]=$B66,IF(DATOS_[[Check Periodo Ref.]:[Check Periodo Ref.]]="Dentro",IF(DATOS_[[Check Equiparado]:[Check Equiparado]]="Sí",IF(DATOS!AN$5="Sí",(1/DATOS_[[% anualiz]:[% anualiz]]),1)*IF(DATOS!AN$4="Sí",1/DATOS_[[% normaliz]:[% normaliz]],1)*(DATOS_[Conc.Sal.10])))))))),
0)</f>
        <v>0</v>
      </c>
      <c r="T68" s="101">
        <f t="array" ref="T68">IFERROR(
(AVERAGE((IF(DATOS_[[Sexo]:[Sexo]]=$B68,IF(DATOS_[[AGRUP. CLAS. PROF.]:[AGRUP. CLAS. PROF.]]=$B66,IF(DATOS_[[Check Periodo Ref.]:[Check Periodo Ref.]]="Dentro",IF(DATOS_[[Check Equiparado]:[Check Equiparado]]="Sí",IF(DATOS!AO$5="Sí",(1/DATOS_[[% anualiz]:[% anualiz]]),1)*IF(DATOS!AO$4="Sí",1/DATOS_[[% normaliz]:[% normaliz]],1)*(DATOS_[Conc.Sal.11])))))))),
0)</f>
        <v>0</v>
      </c>
      <c r="U68" s="101">
        <f t="array" ref="U68">IFERROR(
(AVERAGE((IF(DATOS_[[Sexo]:[Sexo]]=$B68,IF(DATOS_[[AGRUP. CLAS. PROF.]:[AGRUP. CLAS. PROF.]]=$B66,IF(DATOS_[[Check Periodo Ref.]:[Check Periodo Ref.]]="Dentro",IF(DATOS_[[Check Equiparado]:[Check Equiparado]]="Sí",IF(DATOS!AP$5="Sí",(1/DATOS_[[% anualiz]:[% anualiz]]),1)*IF(DATOS!AP$4="Sí",1/DATOS_[[% normaliz]:[% normaliz]],1)*(DATOS_[Conc.Sal.12])))))))),
0)</f>
        <v>0</v>
      </c>
      <c r="V68" s="101">
        <f t="array" ref="V68">IFERROR(
(AVERAGE((IF(DATOS_[[Sexo]:[Sexo]]=$B68,IF(DATOS_[[AGRUP. CLAS. PROF.]:[AGRUP. CLAS. PROF.]]=$B66,IF(DATOS_[[Check Periodo Ref.]:[Check Periodo Ref.]]="Dentro",IF(DATOS_[[Check Equiparado]:[Check Equiparado]]="Sí",IF(DATOS!AQ$5="Sí",(1/DATOS_[[% anualiz]:[% anualiz]]),1)*IF(DATOS!AQ$4="Sí",1/DATOS_[[% normaliz]:[% normaliz]],1)*(DATOS_[Conc.Sal.13])))))))),
0)</f>
        <v>0</v>
      </c>
      <c r="W68" s="101">
        <f t="array" ref="W68">IFERROR(
(AVERAGE((IF(DATOS_[[Sexo]:[Sexo]]=$B68,IF(DATOS_[[AGRUP. CLAS. PROF.]:[AGRUP. CLAS. PROF.]]=$B66,IF(DATOS_[[Check Periodo Ref.]:[Check Periodo Ref.]]="Dentro",IF(DATOS_[[Check Equiparado]:[Check Equiparado]]="Sí",IF(DATOS!AR$5="Sí",(1/DATOS_[[% anualiz]:[% anualiz]]),1)*IF(DATOS!AR$4="Sí",1/DATOS_[[% normaliz]:[% normaliz]],1)*(DATOS_[Conc.Sal.14])))))))),
0)</f>
        <v>0</v>
      </c>
      <c r="X68" s="101">
        <f t="array" ref="X68">IFERROR(
(AVERAGE((IF(DATOS_[[Sexo]:[Sexo]]=$B68,IF(DATOS_[[AGRUP. CLAS. PROF.]:[AGRUP. CLAS. PROF.]]=$B66,IF(DATOS_[[Check Periodo Ref.]:[Check Periodo Ref.]]="Dentro",IF(DATOS_[[Check Equiparado]:[Check Equiparado]]="Sí",IF(DATOS!AS$5="Sí",(1/DATOS_[[% anualiz]:[% anualiz]]),1)*IF(DATOS!AS$4="Sí",1/DATOS_[[% normaliz]:[% normaliz]],1)*(DATOS_[Conc.Sal.15])))))))),
0)</f>
        <v>0</v>
      </c>
      <c r="Y68" s="101">
        <f t="array" ref="Y68">IFERROR(
(AVERAGE((IF(DATOS_[[Sexo]:[Sexo]]=$B68,IF(DATOS_[[AGRUP. CLAS. PROF.]:[AGRUP. CLAS. PROF.]]=$B66,IF(DATOS_[[Check Periodo Ref.]:[Check Periodo Ref.]]="Dentro",IF(DATOS_[[Check Equiparado]:[Check Equiparado]]="Sí",IF(DATOS!AT$5="Sí",(1/DATOS_[[% anualiz]:[% anualiz]]),1)*IF(DATOS!AT$4="Sí",1/DATOS_[[% normaliz]:[% normaliz]],1)*(DATOS_[Conc.Sal.16])))))))),
0)</f>
        <v>0</v>
      </c>
      <c r="Z68" s="101">
        <f t="array" ref="Z68">IFERROR(
(AVERAGE((IF(DATOS_[[Sexo]:[Sexo]]=$B68,IF(DATOS_[[AGRUP. CLAS. PROF.]:[AGRUP. CLAS. PROF.]]=$B66,IF(DATOS_[[Check Periodo Ref.]:[Check Periodo Ref.]]="Dentro",IF(DATOS_[[Check Equiparado]:[Check Equiparado]]="Sí",IF(DATOS!AU$5="Sí",(1/DATOS_[[% anualiz]:[% anualiz]]),1)*IF(DATOS!AU$4="Sí",1/DATOS_[[% normaliz]:[% normaliz]],1)*(DATOS_[Conc.Sal.17])))))))),
0)</f>
        <v>0</v>
      </c>
      <c r="AA68" s="101">
        <f t="array" ref="AA68">IFERROR(
(AVERAGE((IF(DATOS_[[Sexo]:[Sexo]]=$B68,IF(DATOS_[[AGRUP. CLAS. PROF.]:[AGRUP. CLAS. PROF.]]=$B66,IF(DATOS_[[Check Periodo Ref.]:[Check Periodo Ref.]]="Dentro",IF(DATOS_[[Check Equiparado]:[Check Equiparado]]="Sí",IF(DATOS!AV$5="Sí",(1/DATOS_[[% anualiz]:[% anualiz]]),1)*IF(DATOS!AV$4="Sí",1/DATOS_[[% normaliz]:[% normaliz]],1)*(DATOS_[Conc.Sal.18])))))))),
0)</f>
        <v>0</v>
      </c>
      <c r="AB68" s="101">
        <f t="array" ref="AB68">IFERROR(
(AVERAGE((IF(DATOS_[[Sexo]:[Sexo]]=$B68,IF(DATOS_[[AGRUP. CLAS. PROF.]:[AGRUP. CLAS. PROF.]]=$B66,IF(DATOS_[[Check Periodo Ref.]:[Check Periodo Ref.]]="Dentro",IF(DATOS_[[Check Equiparado]:[Check Equiparado]]="Sí",IF(DATOS!AW$5="Sí",(1/DATOS_[[% anualiz]:[% anualiz]]),1)*IF(DATOS!AW$4="Sí",1/DATOS_[[% normaliz]:[% normaliz]],1)*(DATOS_[Conc.Sal.19])))))))),
0)</f>
        <v>0</v>
      </c>
      <c r="AC68" s="101">
        <f t="array" ref="AC68">IFERROR(
(AVERAGE((IF(DATOS_[[Sexo]:[Sexo]]=$B68,IF(DATOS_[[AGRUP. CLAS. PROF.]:[AGRUP. CLAS. PROF.]]=$B66,IF(DATOS_[[Check Periodo Ref.]:[Check Periodo Ref.]]="Dentro",IF(DATOS_[[Check Equiparado]:[Check Equiparado]]="Sí",IF(DATOS!AX$5="Sí",(1/DATOS_[[% anualiz]:[% anualiz]]),1)*IF(DATOS!AX$4="Sí",1/DATOS_[[% normaliz]:[% normaliz]],1)*(DATOS_[Conc.Sal.20])))))))),
0)</f>
        <v>0</v>
      </c>
      <c r="AD68" s="101">
        <f t="array" ref="AD68">IFERROR(
(AVERAGE((IF(DATOS_[[Sexo]:[Sexo]]=$B68,IF(DATOS_[[AGRUP. CLAS. PROF.]:[AGRUP. CLAS. PROF.]]=$B66,IF(DATOS_[[Check Periodo Ref.]:[Check Periodo Ref.]]="Dentro",IF(DATOS_[[Check Equiparado]:[Check Equiparado]]="Sí",IF(DATOS!AY$5="Sí",(1/DATOS_[[% anualiz]:[% anualiz]]),1)*IF(DATOS!AY$4="Sí",1/DATOS_[[% normaliz]:[% normaliz]],1)*(DATOS_[Conc.Sal.21])))))))),
0)</f>
        <v>0</v>
      </c>
      <c r="AE68" s="101">
        <f t="array" ref="AE68">IFERROR(
(AVERAGE((IF(DATOS_[[Sexo]:[Sexo]]=$B68,IF(DATOS_[[AGRUP. CLAS. PROF.]:[AGRUP. CLAS. PROF.]]=$B66,IF(DATOS_[[Check Periodo Ref.]:[Check Periodo Ref.]]="Dentro",IF(DATOS_[[Check Equiparado]:[Check Equiparado]]="Sí",IF(DATOS!AZ$5="Sí",(1/DATOS_[[% anualiz]:[% anualiz]]),1)*IF(DATOS!AZ$4="Sí",1/DATOS_[[% normaliz]:[% normaliz]],1)*(DATOS_[Conc.Sal.22])))))))),
0)</f>
        <v>0</v>
      </c>
      <c r="AF68" s="101">
        <f t="array" ref="AF68">IFERROR(
(AVERAGE((IF(DATOS_[[Sexo]:[Sexo]]=$B68,IF(DATOS_[[AGRUP. CLAS. PROF.]:[AGRUP. CLAS. PROF.]]=$B66,IF(DATOS_[[Check Periodo Ref.]:[Check Periodo Ref.]]="Dentro",IF(DATOS_[[Check Equiparado]:[Check Equiparado]]="Sí",IF(DATOS!BA$5="Sí",(1/DATOS_[[% anualiz]:[% anualiz]]),1)*IF(DATOS!BA$4="Sí",1/DATOS_[[% normaliz]:[% normaliz]],1)*(DATOS_[Conc.Sal.23])))))))),
0)</f>
        <v>0</v>
      </c>
      <c r="AG68" s="101">
        <f t="array" ref="AG68">IFERROR(
(AVERAGE((IF(DATOS_[[Sexo]:[Sexo]]=$B68,IF(DATOS_[[AGRUP. CLAS. PROF.]:[AGRUP. CLAS. PROF.]]=$B66,IF(DATOS_[[Check Periodo Ref.]:[Check Periodo Ref.]]="Dentro",IF(DATOS_[[Check Equiparado]:[Check Equiparado]]="Sí",IF(DATOS!BB$5="Sí",(1/DATOS_[[% anualiz]:[% anualiz]]),1)*IF(DATOS!BB$4="Sí",1/DATOS_[[% normaliz]:[% normaliz]],1)*(DATOS_[Conc.Sal.24])))))))),
0)</f>
        <v>0</v>
      </c>
      <c r="AH68" s="101">
        <f t="array" ref="AH68">IFERROR(
(AVERAGE((IF(DATOS_[[Sexo]:[Sexo]]=$B68,IF(DATOS_[[AGRUP. CLAS. PROF.]:[AGRUP. CLAS. PROF.]]=$B66,IF(DATOS_[[Check Periodo Ref.]:[Check Periodo Ref.]]="Dentro",IF(DATOS_[[Check Equiparado]:[Check Equiparado]]="Sí",IF(DATOS!BC$5="Sí",(1/DATOS_[[% anualiz]:[% anualiz]]),1)*IF(DATOS!BC$4="Sí",1/DATOS_[[% normaliz]:[% normaliz]],1)*(DATOS_[Conc.Sal.25])))))))),
0)</f>
        <v>0</v>
      </c>
      <c r="AI68" s="101">
        <f t="array" ref="AI68">IFERROR(
(AVERAGE((IF(DATOS_[[Sexo]:[Sexo]]=$B68,IF(DATOS_[[AGRUP. CLAS. PROF.]:[AGRUP. CLAS. PROF.]]=$B66,IF(DATOS_[[Check Periodo Ref.]:[Check Periodo Ref.]]="Dentro",IF(DATOS_[[Check Equiparado]:[Check Equiparado]]="Sí",IF(DATOS!BD$5="Sí",(1/DATOS_[[% anualiz]:[% anualiz]]),1)*IF(DATOS!BD$4="Sí",1/DATOS_[[% normaliz]:[% normaliz]],1)*(DATOS_[Conc.Sal.26])))))))),
0)</f>
        <v>0</v>
      </c>
      <c r="AJ68" s="101">
        <f t="array" ref="AJ68">IFERROR(
(AVERAGE((IF(DATOS_[[Sexo]:[Sexo]]=$B68,IF(DATOS_[[AGRUP. CLAS. PROF.]:[AGRUP. CLAS. PROF.]]=$B66,IF(DATOS_[[Check Periodo Ref.]:[Check Periodo Ref.]]="Dentro",IF(DATOS_[[Check Equiparado]:[Check Equiparado]]="Sí",IF(DATOS!BE$5="Sí",(1/DATOS_[[% anualiz]:[% anualiz]]),1)*IF(DATOS!BE$4="Sí",1/DATOS_[[% normaliz]:[% normaliz]],1)*(DATOS_[Conc.Sal.27])))))))),
0)</f>
        <v>0</v>
      </c>
      <c r="AK68" s="101">
        <f t="array" ref="AK68">IFERROR(
(AVERAGE((IF(DATOS_[[Sexo]:[Sexo]]=$B68,IF(DATOS_[[AGRUP. CLAS. PROF.]:[AGRUP. CLAS. PROF.]]=$B66,IF(DATOS_[[Check Periodo Ref.]:[Check Periodo Ref.]]="Dentro",IF(DATOS_[[Check Equiparado]:[Check Equiparado]]="Sí",IF(DATOS!BF$5="Sí",(1/DATOS_[[% anualiz]:[% anualiz]]),1)*IF(DATOS!BF$4="Sí",1/DATOS_[[% normaliz]:[% normaliz]],1)*(DATOS_[Conc.Sal.28])))))))),
0)</f>
        <v>0</v>
      </c>
      <c r="AL68" s="101">
        <f t="array" ref="AL68">IFERROR(
(AVERAGE((IF(DATOS_[[Sexo]:[Sexo]]=$B68,IF(DATOS_[[AGRUP. CLAS. PROF.]:[AGRUP. CLAS. PROF.]]=$B66,IF(DATOS_[[Check Periodo Ref.]:[Check Periodo Ref.]]="Dentro",IF(DATOS_[[Check Equiparado]:[Check Equiparado]]="Sí",IF(DATOS!BG$5="Sí",(1/DATOS_[[% anualiz]:[% anualiz]]),1)*IF(DATOS!BG$4="Sí",1/DATOS_[[% normaliz]:[% normaliz]],1)*(DATOS_[Conc.Sal.29])))))))),
0)</f>
        <v>0</v>
      </c>
      <c r="AM68" s="101">
        <f t="array" ref="AM68">IFERROR(
(AVERAGE((IF(DATOS_[[Sexo]:[Sexo]]=$B68,IF(DATOS_[[AGRUP. CLAS. PROF.]:[AGRUP. CLAS. PROF.]]=$B66,IF(DATOS_[[Check Periodo Ref.]:[Check Periodo Ref.]]="Dentro",IF(DATOS_[[Check Equiparado]:[Check Equiparado]]="Sí",IF(DATOS!BH$5="Sí",(1/DATOS_[[% anualiz]:[% anualiz]]),1)*IF(DATOS!BH$4="Sí",1/DATOS_[[% normaliz]:[% normaliz]],1)*(DATOS_[Conc.Sal.30])))))))),
0)</f>
        <v>0</v>
      </c>
      <c r="AN68" s="102">
        <f t="array" ref="AN68">IFERROR(
AVERAGE(IF(DATOS_[Sexo]=$B68,IF(DATOS_[[AGRUP. CLAS. PROF.]:[AGRUP. CLAS. PROF.]]=$B66,IF(DATOS_[Check Equiparado]="Sí",IF(DATOS_[Check Periodo Ref.]="Dentro",DATOS_[Tot COMPL.SAL Eq],FALSE))))),
0)</f>
        <v>0</v>
      </c>
      <c r="AO68" s="103">
        <f t="array" ref="AO68">IFERROR(
AVERAGE(IF(DATOS_[Sexo]=$B68,IF(DATOS_[[AGRUP. CLAS. PROF.]:[AGRUP. CLAS. PROF.]]=$B66,IF(DATOS_[Check Equiparado]="Sí",IF(DATOS_[Check Periodo Ref.]="Dentro",DATOS_[TOTAL SALARIO Eq],FALSE))))),
0)</f>
        <v>0</v>
      </c>
      <c r="AP68" s="104">
        <f t="array" ref="AP68">IFERROR(
(AVERAGE((IF(DATOS_[[Sexo]:[Sexo]]=$B68,IF(DATOS_[[AGRUP. CLAS. PROF.]:[AGRUP. CLAS. PROF.]]=$B66,IF(DATOS_[[Check Periodo Ref.]:[Check Periodo Ref.]]="Dentro",IF(DATOS_[[Check Equiparado]:[Check Equiparado]]="Sí",IF(DATOS!BI$5="Sí",(1/DATOS_[[% anualiz]:[% anualiz]]),1)*IF(DATOS!BI$4="Sí",1/DATOS_[[% normaliz]:[% normaliz]],1)*(DATOS_[C.Extra.01])))))))),
0)</f>
        <v>0</v>
      </c>
      <c r="AQ68" s="104">
        <f t="array" ref="AQ68">IFERROR(
(AVERAGE((IF(DATOS_[[Sexo]:[Sexo]]=$B68,IF(DATOS_[[AGRUP. CLAS. PROF.]:[AGRUP. CLAS. PROF.]]=$B66,IF(DATOS_[[Check Periodo Ref.]:[Check Periodo Ref.]]="Dentro",IF(DATOS_[[Check Equiparado]:[Check Equiparado]]="Sí",IF(DATOS!BJ$5="Sí",(1/DATOS_[[% anualiz]:[% anualiz]]),1)*IF(DATOS!BJ$4="Sí",1/DATOS_[[% normaliz]:[% normaliz]],1)*(DATOS_[C.Extra.02])))))))),
0)</f>
        <v>0</v>
      </c>
      <c r="AR68" s="104">
        <f t="array" ref="AR68">IFERROR(
(AVERAGE((IF(DATOS_[[Sexo]:[Sexo]]=$B68,IF(DATOS_[[AGRUP. CLAS. PROF.]:[AGRUP. CLAS. PROF.]]=$B66,IF(DATOS_[[Check Periodo Ref.]:[Check Periodo Ref.]]="Dentro",IF(DATOS_[[Check Equiparado]:[Check Equiparado]]="Sí",IF(DATOS!BK$5="Sí",(1/DATOS_[[% anualiz]:[% anualiz]]),1)*IF(DATOS!BK$4="Sí",1/DATOS_[[% normaliz]:[% normaliz]],1)*(DATOS_[C.Extra.03])))))))),
0)</f>
        <v>0</v>
      </c>
      <c r="AS68" s="104">
        <f t="array" ref="AS68">IFERROR(
(AVERAGE((IF(DATOS_[[Sexo]:[Sexo]]=$B68,IF(DATOS_[[AGRUP. CLAS. PROF.]:[AGRUP. CLAS. PROF.]]=$B66,IF(DATOS_[[Check Periodo Ref.]:[Check Periodo Ref.]]="Dentro",IF(DATOS_[[Check Equiparado]:[Check Equiparado]]="Sí",IF(DATOS!BL$5="Sí",(1/DATOS_[[% anualiz]:[% anualiz]]),1)*IF(DATOS!BL$4="Sí",1/DATOS_[[% normaliz]:[% normaliz]],1)*(DATOS_[C.Extra.04])))))))),
0)</f>
        <v>0</v>
      </c>
      <c r="AT68" s="104">
        <f t="array" ref="AT68">IFERROR(
(AVERAGE((IF(DATOS_[[Sexo]:[Sexo]]=$B68,IF(DATOS_[[AGRUP. CLAS. PROF.]:[AGRUP. CLAS. PROF.]]=$B66,IF(DATOS_[[Check Periodo Ref.]:[Check Periodo Ref.]]="Dentro",IF(DATOS_[[Check Equiparado]:[Check Equiparado]]="Sí",IF(DATOS!BM$5="Sí",(1/DATOS_[[% anualiz]:[% anualiz]]),1)*IF(DATOS!BM$4="Sí",1/DATOS_[[% normaliz]:[% normaliz]],1)*(DATOS_[C.Extra.05])))))))),
0)</f>
        <v>0</v>
      </c>
      <c r="AU68" s="105">
        <f t="array" ref="AU68">IFERROR(
AVERAGE(IF(DATOS_[Sexo]=$B68,IF(DATOS_[[AGRUP. CLAS. PROF.]:[AGRUP. CLAS. PROF.]]=$B66,IF(DATOS_[Check Equiparado]="Sí",IF(DATOS_[Check Periodo Ref.]="Dentro",DATOS_[Tot Extrasalarial Eq],FALSE))))),
0)</f>
        <v>0</v>
      </c>
      <c r="AV68" s="106">
        <f t="array" ref="AV68">IFERROR(
AVERAGE(IF(DATOS_[Sexo]=$B68,IF(DATOS_[[AGRUP. CLAS. PROF.]:[AGRUP. CLAS. PROF.]]=$B66,IF(DATOS_[Check Equiparado]="Sí",IF(DATOS_[Check Periodo Ref.]="Dentro",DATOS_[TOTAL Retrib Eq],FALSE))))),
0)</f>
        <v>0</v>
      </c>
    </row>
    <row r="69" spans="1:48" ht="17.25" hidden="1" thickBot="1" x14ac:dyDescent="0.35">
      <c r="A69" s="53" t="str">
        <f t="shared" ref="A69" si="75">+A70</f>
        <v>[ocultar]</v>
      </c>
      <c r="B69" s="62" t="s">
        <v>235</v>
      </c>
      <c r="C69" s="99"/>
      <c r="D69" s="63"/>
      <c r="E69" s="63"/>
      <c r="F69" s="63"/>
      <c r="G69" s="63"/>
      <c r="H69" s="63"/>
      <c r="I69" s="129" t="str">
        <f t="shared" ref="I69:AV69" si="76">IFERROR((I70-I71)/I70,"")</f>
        <v/>
      </c>
      <c r="J69" s="130" t="str">
        <f t="shared" si="76"/>
        <v/>
      </c>
      <c r="K69" s="131" t="str">
        <f t="shared" si="76"/>
        <v/>
      </c>
      <c r="L69" s="131" t="str">
        <f t="shared" si="76"/>
        <v/>
      </c>
      <c r="M69" s="131" t="str">
        <f t="shared" si="76"/>
        <v/>
      </c>
      <c r="N69" s="132" t="str">
        <f t="shared" si="76"/>
        <v/>
      </c>
      <c r="O69" s="133" t="str">
        <f t="shared" si="76"/>
        <v/>
      </c>
      <c r="P69" s="133" t="str">
        <f t="shared" si="76"/>
        <v/>
      </c>
      <c r="Q69" s="133" t="str">
        <f t="shared" si="76"/>
        <v/>
      </c>
      <c r="R69" s="133" t="str">
        <f t="shared" si="76"/>
        <v/>
      </c>
      <c r="S69" s="133" t="str">
        <f t="shared" si="76"/>
        <v/>
      </c>
      <c r="T69" s="133" t="str">
        <f t="shared" si="76"/>
        <v/>
      </c>
      <c r="U69" s="133" t="str">
        <f t="shared" si="76"/>
        <v/>
      </c>
      <c r="V69" s="133" t="str">
        <f t="shared" si="76"/>
        <v/>
      </c>
      <c r="W69" s="133" t="str">
        <f t="shared" si="76"/>
        <v/>
      </c>
      <c r="X69" s="133" t="str">
        <f t="shared" si="76"/>
        <v/>
      </c>
      <c r="Y69" s="133" t="str">
        <f t="shared" si="76"/>
        <v/>
      </c>
      <c r="Z69" s="132" t="str">
        <f t="shared" si="76"/>
        <v/>
      </c>
      <c r="AA69" s="132" t="str">
        <f t="shared" si="76"/>
        <v/>
      </c>
      <c r="AB69" s="132" t="str">
        <f t="shared" si="76"/>
        <v/>
      </c>
      <c r="AC69" s="132" t="str">
        <f t="shared" si="76"/>
        <v/>
      </c>
      <c r="AD69" s="132" t="str">
        <f t="shared" si="76"/>
        <v/>
      </c>
      <c r="AE69" s="132" t="str">
        <f t="shared" si="76"/>
        <v/>
      </c>
      <c r="AF69" s="132" t="str">
        <f t="shared" si="76"/>
        <v/>
      </c>
      <c r="AG69" s="132" t="str">
        <f t="shared" si="76"/>
        <v/>
      </c>
      <c r="AH69" s="132" t="str">
        <f t="shared" si="76"/>
        <v/>
      </c>
      <c r="AI69" s="132" t="str">
        <f t="shared" si="76"/>
        <v/>
      </c>
      <c r="AJ69" s="132" t="str">
        <f t="shared" si="76"/>
        <v/>
      </c>
      <c r="AK69" s="132" t="str">
        <f t="shared" si="76"/>
        <v/>
      </c>
      <c r="AL69" s="132" t="str">
        <f t="shared" si="76"/>
        <v/>
      </c>
      <c r="AM69" s="132" t="str">
        <f t="shared" si="76"/>
        <v/>
      </c>
      <c r="AN69" s="134" t="str">
        <f t="shared" si="76"/>
        <v/>
      </c>
      <c r="AO69" s="138" t="str">
        <f t="shared" si="76"/>
        <v/>
      </c>
      <c r="AP69" s="135" t="str">
        <f t="shared" si="76"/>
        <v/>
      </c>
      <c r="AQ69" s="135" t="str">
        <f t="shared" si="76"/>
        <v/>
      </c>
      <c r="AR69" s="135" t="str">
        <f t="shared" si="76"/>
        <v/>
      </c>
      <c r="AS69" s="135" t="str">
        <f t="shared" si="76"/>
        <v/>
      </c>
      <c r="AT69" s="135" t="str">
        <f t="shared" si="76"/>
        <v/>
      </c>
      <c r="AU69" s="136" t="str">
        <f t="shared" si="76"/>
        <v/>
      </c>
      <c r="AV69" s="137" t="str">
        <f t="shared" si="76"/>
        <v/>
      </c>
    </row>
    <row r="70" spans="1:48" hidden="1" x14ac:dyDescent="0.3">
      <c r="A70" s="53" t="str">
        <f t="shared" ref="A70" si="77">+IF(C70+C71=0,"[ocultar]","")</f>
        <v>[ocultar]</v>
      </c>
      <c r="B70" s="57" t="s">
        <v>162</v>
      </c>
      <c r="C70" s="56">
        <f t="array" ref="C70">SUM(IF($B70=DATOS_[Sexo],
IF($B69=DATOS_[AGRUP. CLAS. PROF.],
IF("Dentro"=DATOS_[Check Periodo Ref.],
1/(COUNTIFS(DATOS_[Sexo],$B70,DATOS_[AGRUP. CLAS. PROF.],$B69,DATOS_[Check Periodo Ref.],"Dentro",DATOS_[id],DATOS_[id]))))))</f>
        <v>0</v>
      </c>
      <c r="D70" s="58">
        <f>COUNTIFS(DATOS_[AGRUP. CLAS. PROF.],$B69,DATOS_[Sexo],$B70,DATOS_[Check Periodo Ref.],"Dentro")</f>
        <v>0</v>
      </c>
      <c r="E70" s="58">
        <f>COUNTIFS(DATOS_[AGRUP. CLAS. PROF.],$B69,DATOS_[Sexo],$B70,DATOS_[Check Periodo Ref.],"Dentro",DATOS_[Check Nº SC Norm],"Sí")</f>
        <v>0</v>
      </c>
      <c r="F70" s="58">
        <f>COUNTIFS(DATOS_[AGRUP. CLAS. PROF.],$B69,DATOS_[Sexo],$B70,DATOS_[Check Periodo Ref.],"Dentro",DATOS_[Check Nº SC Anualiz],"Sí")</f>
        <v>0</v>
      </c>
      <c r="G70" s="58">
        <f>COUNTIFS(DATOS_[AGRUP. CLAS. PROF.],$B69,DATOS_[Sexo],$B70,DATOS_[Check Periodo Ref.],"Dentro",DATOS_[Check Nº SC Norm y Anualiz],"Sí")</f>
        <v>0</v>
      </c>
      <c r="H70" s="58">
        <f>COUNTIFS(DATOS_[AGRUP. CLAS. PROF.],$B69,DATOS_[Sexo],$B70,DATOS_[Check Periodo Ref.],"Dentro",DATOS_[Check Equiparación],"Sí")</f>
        <v>0</v>
      </c>
      <c r="I70" s="100">
        <f t="array" ref="I70">IFERROR(
AVERAGE(IF(DATOS_[Sexo]=$B70,IF(DATOS_[[AGRUP. CLAS. PROF.]:[AGRUP. CLAS. PROF.]]=$B69,IF(DATOS_[Check Equiparado]="Sí",IF(DATOS_[Check Periodo Ref.]="Dentro",DATOS_[SALARIO BASE Eq],FALSE))))),
0)</f>
        <v>0</v>
      </c>
      <c r="J70" s="101">
        <f t="array" ref="J70">IFERROR(
(AVERAGE((IF(DATOS_[[Sexo]:[Sexo]]=$B70,IF(DATOS_[[AGRUP. CLAS. PROF.]:[AGRUP. CLAS. PROF.]]=$B69,IF(DATOS_[[Check Periodo Ref.]:[Check Periodo Ref.]]="Dentro",IF(DATOS_[[Check Equiparado]:[Check Equiparado]]="Sí",IF(DATOS!AE$5="Sí",(1/DATOS_[[% anualiz]:[% anualiz]]),1)*IF(DATOS!AE$4="Sí",1/DATOS_[[% normaliz]:[% normaliz]],1)*(DATOS_[Conc.Sal.01])))))))),
0)</f>
        <v>0</v>
      </c>
      <c r="K70" s="101">
        <f t="array" ref="K70">IFERROR(
(AVERAGE((IF(DATOS_[[Sexo]:[Sexo]]=$B70,IF(DATOS_[[AGRUP. CLAS. PROF.]:[AGRUP. CLAS. PROF.]]=$B69,IF(DATOS_[[Check Periodo Ref.]:[Check Periodo Ref.]]="Dentro",IF(DATOS_[[Check Equiparado]:[Check Equiparado]]="Sí",IF(DATOS!AF$5="Sí",(1/DATOS_[[% anualiz]:[% anualiz]]),1)*IF(DATOS!AF$4="Sí",1/DATOS_[[% normaliz]:[% normaliz]],1)*(DATOS_[Conc.Sal.02])))))))),
0)</f>
        <v>0</v>
      </c>
      <c r="L70" s="101">
        <f t="array" ref="L70">IFERROR(
(AVERAGE((IF(DATOS_[[Sexo]:[Sexo]]=$B70,IF(DATOS_[[AGRUP. CLAS. PROF.]:[AGRUP. CLAS. PROF.]]=$B69,IF(DATOS_[[Check Periodo Ref.]:[Check Periodo Ref.]]="Dentro",IF(DATOS_[[Check Equiparado]:[Check Equiparado]]="Sí",IF(DATOS!AG$5="Sí",(1/DATOS_[[% anualiz]:[% anualiz]]),1)*IF(DATOS!AG$4="Sí",1/DATOS_[[% normaliz]:[% normaliz]],1)*(DATOS_[Conc.Sal.03])))))))),
0)</f>
        <v>0</v>
      </c>
      <c r="M70" s="101">
        <f t="array" ref="M70">IFERROR(
(AVERAGE((IF(DATOS_[[Sexo]:[Sexo]]=$B70,IF(DATOS_[[AGRUP. CLAS. PROF.]:[AGRUP. CLAS. PROF.]]=$B69,IF(DATOS_[[Check Periodo Ref.]:[Check Periodo Ref.]]="Dentro",IF(DATOS_[[Check Equiparado]:[Check Equiparado]]="Sí",IF(DATOS!AH$5="Sí",(1/DATOS_[[% anualiz]:[% anualiz]]),1)*IF(DATOS!AH$4="Sí",1/DATOS_[[% normaliz]:[% normaliz]],1)*(DATOS_[Conc.Sal.04])))))))),
0)</f>
        <v>0</v>
      </c>
      <c r="N70" s="101">
        <f t="array" ref="N70">IFERROR(
(AVERAGE((IF(DATOS_[[Sexo]:[Sexo]]=$B70,IF(DATOS_[[AGRUP. CLAS. PROF.]:[AGRUP. CLAS. PROF.]]=$B69,IF(DATOS_[[Check Periodo Ref.]:[Check Periodo Ref.]]="Dentro",IF(DATOS_[[Check Equiparado]:[Check Equiparado]]="Sí",IF(DATOS!AI$5="Sí",(1/DATOS_[[% anualiz]:[% anualiz]]),1)*IF(DATOS!AI$4="Sí",1/DATOS_[[% normaliz]:[% normaliz]],1)*(DATOS_[Conc.Sal.05])))))))),
0)</f>
        <v>0</v>
      </c>
      <c r="O70" s="101">
        <f t="array" ref="O70">IFERROR(
(AVERAGE((IF(DATOS_[[Sexo]:[Sexo]]=$B70,IF(DATOS_[[AGRUP. CLAS. PROF.]:[AGRUP. CLAS. PROF.]]=$B69,IF(DATOS_[[Check Periodo Ref.]:[Check Periodo Ref.]]="Dentro",IF(DATOS_[[Check Equiparado]:[Check Equiparado]]="Sí",IF(DATOS!AJ$5="Sí",(1/DATOS_[[% anualiz]:[% anualiz]]),1)*IF(DATOS!AJ$4="Sí",1/DATOS_[[% normaliz]:[% normaliz]],1)*(DATOS_[Conc.Sal.06])))))))),
0)</f>
        <v>0</v>
      </c>
      <c r="P70" s="101">
        <f t="array" ref="P70">IFERROR(
(AVERAGE((IF(DATOS_[[Sexo]:[Sexo]]=$B70,IF(DATOS_[[AGRUP. CLAS. PROF.]:[AGRUP. CLAS. PROF.]]=$B69,IF(DATOS_[[Check Periodo Ref.]:[Check Periodo Ref.]]="Dentro",IF(DATOS_[[Check Equiparado]:[Check Equiparado]]="Sí",IF(DATOS!AK$5="Sí",(1/DATOS_[[% anualiz]:[% anualiz]]),1)*IF(DATOS!AK$4="Sí",1/DATOS_[[% normaliz]:[% normaliz]],1)*(DATOS_[Conc.Sal.07])))))))),
0)</f>
        <v>0</v>
      </c>
      <c r="Q70" s="101">
        <f t="array" ref="Q70">IFERROR(
(AVERAGE((IF(DATOS_[[Sexo]:[Sexo]]=$B70,IF(DATOS_[[AGRUP. CLAS. PROF.]:[AGRUP. CLAS. PROF.]]=$B69,IF(DATOS_[[Check Periodo Ref.]:[Check Periodo Ref.]]="Dentro",IF(DATOS_[[Check Equiparado]:[Check Equiparado]]="Sí",IF(DATOS!AL$5="Sí",(1/DATOS_[[% anualiz]:[% anualiz]]),1)*IF(DATOS!AL$4="Sí",1/DATOS_[[% normaliz]:[% normaliz]],1)*(DATOS_[Conc.Sal.08])))))))),
0)</f>
        <v>0</v>
      </c>
      <c r="R70" s="101">
        <f t="array" ref="R70">IFERROR(
(AVERAGE((IF(DATOS_[[Sexo]:[Sexo]]=$B70,IF(DATOS_[[AGRUP. CLAS. PROF.]:[AGRUP. CLAS. PROF.]]=$B69,IF(DATOS_[[Check Periodo Ref.]:[Check Periodo Ref.]]="Dentro",IF(DATOS_[[Check Equiparado]:[Check Equiparado]]="Sí",IF(DATOS!AM$5="Sí",(1/DATOS_[[% anualiz]:[% anualiz]]),1)*IF(DATOS!AM$4="Sí",1/DATOS_[[% normaliz]:[% normaliz]],1)*(DATOS_[Conc.Sal.09])))))))),
0)</f>
        <v>0</v>
      </c>
      <c r="S70" s="101">
        <f t="array" ref="S70">IFERROR(
(AVERAGE((IF(DATOS_[[Sexo]:[Sexo]]=$B70,IF(DATOS_[[AGRUP. CLAS. PROF.]:[AGRUP. CLAS. PROF.]]=$B69,IF(DATOS_[[Check Periodo Ref.]:[Check Periodo Ref.]]="Dentro",IF(DATOS_[[Check Equiparado]:[Check Equiparado]]="Sí",IF(DATOS!AN$5="Sí",(1/DATOS_[[% anualiz]:[% anualiz]]),1)*IF(DATOS!AN$4="Sí",1/DATOS_[[% normaliz]:[% normaliz]],1)*(DATOS_[Conc.Sal.10])))))))),
0)</f>
        <v>0</v>
      </c>
      <c r="T70" s="101">
        <f t="array" ref="T70">IFERROR(
(AVERAGE((IF(DATOS_[[Sexo]:[Sexo]]=$B70,IF(DATOS_[[AGRUP. CLAS. PROF.]:[AGRUP. CLAS. PROF.]]=$B69,IF(DATOS_[[Check Periodo Ref.]:[Check Periodo Ref.]]="Dentro",IF(DATOS_[[Check Equiparado]:[Check Equiparado]]="Sí",IF(DATOS!AO$5="Sí",(1/DATOS_[[% anualiz]:[% anualiz]]),1)*IF(DATOS!AO$4="Sí",1/DATOS_[[% normaliz]:[% normaliz]],1)*(DATOS_[Conc.Sal.11])))))))),
0)</f>
        <v>0</v>
      </c>
      <c r="U70" s="101">
        <f t="array" ref="U70">IFERROR(
(AVERAGE((IF(DATOS_[[Sexo]:[Sexo]]=$B70,IF(DATOS_[[AGRUP. CLAS. PROF.]:[AGRUP. CLAS. PROF.]]=$B69,IF(DATOS_[[Check Periodo Ref.]:[Check Periodo Ref.]]="Dentro",IF(DATOS_[[Check Equiparado]:[Check Equiparado]]="Sí",IF(DATOS!AP$5="Sí",(1/DATOS_[[% anualiz]:[% anualiz]]),1)*IF(DATOS!AP$4="Sí",1/DATOS_[[% normaliz]:[% normaliz]],1)*(DATOS_[Conc.Sal.12])))))))),
0)</f>
        <v>0</v>
      </c>
      <c r="V70" s="101">
        <f t="array" ref="V70">IFERROR(
(AVERAGE((IF(DATOS_[[Sexo]:[Sexo]]=$B70,IF(DATOS_[[AGRUP. CLAS. PROF.]:[AGRUP. CLAS. PROF.]]=$B69,IF(DATOS_[[Check Periodo Ref.]:[Check Periodo Ref.]]="Dentro",IF(DATOS_[[Check Equiparado]:[Check Equiparado]]="Sí",IF(DATOS!AQ$5="Sí",(1/DATOS_[[% anualiz]:[% anualiz]]),1)*IF(DATOS!AQ$4="Sí",1/DATOS_[[% normaliz]:[% normaliz]],1)*(DATOS_[Conc.Sal.13])))))))),
0)</f>
        <v>0</v>
      </c>
      <c r="W70" s="101">
        <f t="array" ref="W70">IFERROR(
(AVERAGE((IF(DATOS_[[Sexo]:[Sexo]]=$B70,IF(DATOS_[[AGRUP. CLAS. PROF.]:[AGRUP. CLAS. PROF.]]=$B69,IF(DATOS_[[Check Periodo Ref.]:[Check Periodo Ref.]]="Dentro",IF(DATOS_[[Check Equiparado]:[Check Equiparado]]="Sí",IF(DATOS!AR$5="Sí",(1/DATOS_[[% anualiz]:[% anualiz]]),1)*IF(DATOS!AR$4="Sí",1/DATOS_[[% normaliz]:[% normaliz]],1)*(DATOS_[Conc.Sal.14])))))))),
0)</f>
        <v>0</v>
      </c>
      <c r="X70" s="101">
        <f t="array" ref="X70">IFERROR(
(AVERAGE((IF(DATOS_[[Sexo]:[Sexo]]=$B70,IF(DATOS_[[AGRUP. CLAS. PROF.]:[AGRUP. CLAS. PROF.]]=$B69,IF(DATOS_[[Check Periodo Ref.]:[Check Periodo Ref.]]="Dentro",IF(DATOS_[[Check Equiparado]:[Check Equiparado]]="Sí",IF(DATOS!AS$5="Sí",(1/DATOS_[[% anualiz]:[% anualiz]]),1)*IF(DATOS!AS$4="Sí",1/DATOS_[[% normaliz]:[% normaliz]],1)*(DATOS_[Conc.Sal.15])))))))),
0)</f>
        <v>0</v>
      </c>
      <c r="Y70" s="101">
        <f t="array" ref="Y70">IFERROR(
(AVERAGE((IF(DATOS_[[Sexo]:[Sexo]]=$B70,IF(DATOS_[[AGRUP. CLAS. PROF.]:[AGRUP. CLAS. PROF.]]=$B69,IF(DATOS_[[Check Periodo Ref.]:[Check Periodo Ref.]]="Dentro",IF(DATOS_[[Check Equiparado]:[Check Equiparado]]="Sí",IF(DATOS!AT$5="Sí",(1/DATOS_[[% anualiz]:[% anualiz]]),1)*IF(DATOS!AT$4="Sí",1/DATOS_[[% normaliz]:[% normaliz]],1)*(DATOS_[Conc.Sal.16])))))))),
0)</f>
        <v>0</v>
      </c>
      <c r="Z70" s="101">
        <f t="array" ref="Z70">IFERROR(
(AVERAGE((IF(DATOS_[[Sexo]:[Sexo]]=$B70,IF(DATOS_[[AGRUP. CLAS. PROF.]:[AGRUP. CLAS. PROF.]]=$B69,IF(DATOS_[[Check Periodo Ref.]:[Check Periodo Ref.]]="Dentro",IF(DATOS_[[Check Equiparado]:[Check Equiparado]]="Sí",IF(DATOS!AU$5="Sí",(1/DATOS_[[% anualiz]:[% anualiz]]),1)*IF(DATOS!AU$4="Sí",1/DATOS_[[% normaliz]:[% normaliz]],1)*(DATOS_[Conc.Sal.17])))))))),
0)</f>
        <v>0</v>
      </c>
      <c r="AA70" s="101">
        <f t="array" ref="AA70">IFERROR(
(AVERAGE((IF(DATOS_[[Sexo]:[Sexo]]=$B70,IF(DATOS_[[AGRUP. CLAS. PROF.]:[AGRUP. CLAS. PROF.]]=$B69,IF(DATOS_[[Check Periodo Ref.]:[Check Periodo Ref.]]="Dentro",IF(DATOS_[[Check Equiparado]:[Check Equiparado]]="Sí",IF(DATOS!AV$5="Sí",(1/DATOS_[[% anualiz]:[% anualiz]]),1)*IF(DATOS!AV$4="Sí",1/DATOS_[[% normaliz]:[% normaliz]],1)*(DATOS_[Conc.Sal.18])))))))),
0)</f>
        <v>0</v>
      </c>
      <c r="AB70" s="101">
        <f t="array" ref="AB70">IFERROR(
(AVERAGE((IF(DATOS_[[Sexo]:[Sexo]]=$B70,IF(DATOS_[[AGRUP. CLAS. PROF.]:[AGRUP. CLAS. PROF.]]=$B69,IF(DATOS_[[Check Periodo Ref.]:[Check Periodo Ref.]]="Dentro",IF(DATOS_[[Check Equiparado]:[Check Equiparado]]="Sí",IF(DATOS!AW$5="Sí",(1/DATOS_[[% anualiz]:[% anualiz]]),1)*IF(DATOS!AW$4="Sí",1/DATOS_[[% normaliz]:[% normaliz]],1)*(DATOS_[Conc.Sal.19])))))))),
0)</f>
        <v>0</v>
      </c>
      <c r="AC70" s="101">
        <f t="array" ref="AC70">IFERROR(
(AVERAGE((IF(DATOS_[[Sexo]:[Sexo]]=$B70,IF(DATOS_[[AGRUP. CLAS. PROF.]:[AGRUP. CLAS. PROF.]]=$B69,IF(DATOS_[[Check Periodo Ref.]:[Check Periodo Ref.]]="Dentro",IF(DATOS_[[Check Equiparado]:[Check Equiparado]]="Sí",IF(DATOS!AX$5="Sí",(1/DATOS_[[% anualiz]:[% anualiz]]),1)*IF(DATOS!AX$4="Sí",1/DATOS_[[% normaliz]:[% normaliz]],1)*(DATOS_[Conc.Sal.20])))))))),
0)</f>
        <v>0</v>
      </c>
      <c r="AD70" s="101">
        <f t="array" ref="AD70">IFERROR(
(AVERAGE((IF(DATOS_[[Sexo]:[Sexo]]=$B70,IF(DATOS_[[AGRUP. CLAS. PROF.]:[AGRUP. CLAS. PROF.]]=$B69,IF(DATOS_[[Check Periodo Ref.]:[Check Periodo Ref.]]="Dentro",IF(DATOS_[[Check Equiparado]:[Check Equiparado]]="Sí",IF(DATOS!AY$5="Sí",(1/DATOS_[[% anualiz]:[% anualiz]]),1)*IF(DATOS!AY$4="Sí",1/DATOS_[[% normaliz]:[% normaliz]],1)*(DATOS_[Conc.Sal.21])))))))),
0)</f>
        <v>0</v>
      </c>
      <c r="AE70" s="101">
        <f t="array" ref="AE70">IFERROR(
(AVERAGE((IF(DATOS_[[Sexo]:[Sexo]]=$B70,IF(DATOS_[[AGRUP. CLAS. PROF.]:[AGRUP. CLAS. PROF.]]=$B69,IF(DATOS_[[Check Periodo Ref.]:[Check Periodo Ref.]]="Dentro",IF(DATOS_[[Check Equiparado]:[Check Equiparado]]="Sí",IF(DATOS!AZ$5="Sí",(1/DATOS_[[% anualiz]:[% anualiz]]),1)*IF(DATOS!AZ$4="Sí",1/DATOS_[[% normaliz]:[% normaliz]],1)*(DATOS_[Conc.Sal.22])))))))),
0)</f>
        <v>0</v>
      </c>
      <c r="AF70" s="101">
        <f t="array" ref="AF70">IFERROR(
(AVERAGE((IF(DATOS_[[Sexo]:[Sexo]]=$B70,IF(DATOS_[[AGRUP. CLAS. PROF.]:[AGRUP. CLAS. PROF.]]=$B69,IF(DATOS_[[Check Periodo Ref.]:[Check Periodo Ref.]]="Dentro",IF(DATOS_[[Check Equiparado]:[Check Equiparado]]="Sí",IF(DATOS!BA$5="Sí",(1/DATOS_[[% anualiz]:[% anualiz]]),1)*IF(DATOS!BA$4="Sí",1/DATOS_[[% normaliz]:[% normaliz]],1)*(DATOS_[Conc.Sal.23])))))))),
0)</f>
        <v>0</v>
      </c>
      <c r="AG70" s="101">
        <f t="array" ref="AG70">IFERROR(
(AVERAGE((IF(DATOS_[[Sexo]:[Sexo]]=$B70,IF(DATOS_[[AGRUP. CLAS. PROF.]:[AGRUP. CLAS. PROF.]]=$B69,IF(DATOS_[[Check Periodo Ref.]:[Check Periodo Ref.]]="Dentro",IF(DATOS_[[Check Equiparado]:[Check Equiparado]]="Sí",IF(DATOS!BB$5="Sí",(1/DATOS_[[% anualiz]:[% anualiz]]),1)*IF(DATOS!BB$4="Sí",1/DATOS_[[% normaliz]:[% normaliz]],1)*(DATOS_[Conc.Sal.24])))))))),
0)</f>
        <v>0</v>
      </c>
      <c r="AH70" s="101">
        <f t="array" ref="AH70">IFERROR(
(AVERAGE((IF(DATOS_[[Sexo]:[Sexo]]=$B70,IF(DATOS_[[AGRUP. CLAS. PROF.]:[AGRUP. CLAS. PROF.]]=$B69,IF(DATOS_[[Check Periodo Ref.]:[Check Periodo Ref.]]="Dentro",IF(DATOS_[[Check Equiparado]:[Check Equiparado]]="Sí",IF(DATOS!BC$5="Sí",(1/DATOS_[[% anualiz]:[% anualiz]]),1)*IF(DATOS!BC$4="Sí",1/DATOS_[[% normaliz]:[% normaliz]],1)*(DATOS_[Conc.Sal.25])))))))),
0)</f>
        <v>0</v>
      </c>
      <c r="AI70" s="101">
        <f t="array" ref="AI70">IFERROR(
(AVERAGE((IF(DATOS_[[Sexo]:[Sexo]]=$B70,IF(DATOS_[[AGRUP. CLAS. PROF.]:[AGRUP. CLAS. PROF.]]=$B69,IF(DATOS_[[Check Periodo Ref.]:[Check Periodo Ref.]]="Dentro",IF(DATOS_[[Check Equiparado]:[Check Equiparado]]="Sí",IF(DATOS!BD$5="Sí",(1/DATOS_[[% anualiz]:[% anualiz]]),1)*IF(DATOS!BD$4="Sí",1/DATOS_[[% normaliz]:[% normaliz]],1)*(DATOS_[Conc.Sal.26])))))))),
0)</f>
        <v>0</v>
      </c>
      <c r="AJ70" s="101">
        <f t="array" ref="AJ70">IFERROR(
(AVERAGE((IF(DATOS_[[Sexo]:[Sexo]]=$B70,IF(DATOS_[[AGRUP. CLAS. PROF.]:[AGRUP. CLAS. PROF.]]=$B69,IF(DATOS_[[Check Periodo Ref.]:[Check Periodo Ref.]]="Dentro",IF(DATOS_[[Check Equiparado]:[Check Equiparado]]="Sí",IF(DATOS!BE$5="Sí",(1/DATOS_[[% anualiz]:[% anualiz]]),1)*IF(DATOS!BE$4="Sí",1/DATOS_[[% normaliz]:[% normaliz]],1)*(DATOS_[Conc.Sal.27])))))))),
0)</f>
        <v>0</v>
      </c>
      <c r="AK70" s="101">
        <f t="array" ref="AK70">IFERROR(
(AVERAGE((IF(DATOS_[[Sexo]:[Sexo]]=$B70,IF(DATOS_[[AGRUP. CLAS. PROF.]:[AGRUP. CLAS. PROF.]]=$B69,IF(DATOS_[[Check Periodo Ref.]:[Check Periodo Ref.]]="Dentro",IF(DATOS_[[Check Equiparado]:[Check Equiparado]]="Sí",IF(DATOS!BF$5="Sí",(1/DATOS_[[% anualiz]:[% anualiz]]),1)*IF(DATOS!BF$4="Sí",1/DATOS_[[% normaliz]:[% normaliz]],1)*(DATOS_[Conc.Sal.28])))))))),
0)</f>
        <v>0</v>
      </c>
      <c r="AL70" s="101">
        <f t="array" ref="AL70">IFERROR(
(AVERAGE((IF(DATOS_[[Sexo]:[Sexo]]=$B70,IF(DATOS_[[AGRUP. CLAS. PROF.]:[AGRUP. CLAS. PROF.]]=$B69,IF(DATOS_[[Check Periodo Ref.]:[Check Periodo Ref.]]="Dentro",IF(DATOS_[[Check Equiparado]:[Check Equiparado]]="Sí",IF(DATOS!BG$5="Sí",(1/DATOS_[[% anualiz]:[% anualiz]]),1)*IF(DATOS!BG$4="Sí",1/DATOS_[[% normaliz]:[% normaliz]],1)*(DATOS_[Conc.Sal.29])))))))),
0)</f>
        <v>0</v>
      </c>
      <c r="AM70" s="101">
        <f t="array" ref="AM70">IFERROR(
(AVERAGE((IF(DATOS_[[Sexo]:[Sexo]]=$B70,IF(DATOS_[[AGRUP. CLAS. PROF.]:[AGRUP. CLAS. PROF.]]=$B69,IF(DATOS_[[Check Periodo Ref.]:[Check Periodo Ref.]]="Dentro",IF(DATOS_[[Check Equiparado]:[Check Equiparado]]="Sí",IF(DATOS!BH$5="Sí",(1/DATOS_[[% anualiz]:[% anualiz]]),1)*IF(DATOS!BH$4="Sí",1/DATOS_[[% normaliz]:[% normaliz]],1)*(DATOS_[Conc.Sal.30])))))))),
0)</f>
        <v>0</v>
      </c>
      <c r="AN70" s="102">
        <f t="array" ref="AN70">IFERROR(
AVERAGE(IF(DATOS_[Sexo]=$B70,IF(DATOS_[[AGRUP. CLAS. PROF.]:[AGRUP. CLAS. PROF.]]=$B69,IF(DATOS_[Check Equiparado]="Sí",IF(DATOS_[Check Periodo Ref.]="Dentro",DATOS_[Tot COMPL.SAL Eq],FALSE))))),
0)</f>
        <v>0</v>
      </c>
      <c r="AO70" s="103">
        <f t="array" ref="AO70">IFERROR(
AVERAGE(IF(DATOS_[Sexo]=$B70,IF(DATOS_[[AGRUP. CLAS. PROF.]:[AGRUP. CLAS. PROF.]]=$B69,IF(DATOS_[Check Equiparado]="Sí",IF(DATOS_[Check Periodo Ref.]="Dentro",DATOS_[TOTAL SALARIO Eq],FALSE))))),
0)</f>
        <v>0</v>
      </c>
      <c r="AP70" s="104">
        <f t="array" ref="AP70">IFERROR(
(AVERAGE((IF(DATOS_[[Sexo]:[Sexo]]=$B70,IF(DATOS_[[AGRUP. CLAS. PROF.]:[AGRUP. CLAS. PROF.]]=$B69,IF(DATOS_[[Check Periodo Ref.]:[Check Periodo Ref.]]="Dentro",IF(DATOS_[[Check Equiparado]:[Check Equiparado]]="Sí",IF(DATOS!BI$5="Sí",(1/DATOS_[[% anualiz]:[% anualiz]]),1)*IF(DATOS!BI$4="Sí",1/DATOS_[[% normaliz]:[% normaliz]],1)*(DATOS_[C.Extra.01])))))))),
0)</f>
        <v>0</v>
      </c>
      <c r="AQ70" s="104">
        <f t="array" ref="AQ70">IFERROR(
(AVERAGE((IF(DATOS_[[Sexo]:[Sexo]]=$B70,IF(DATOS_[[AGRUP. CLAS. PROF.]:[AGRUP. CLAS. PROF.]]=$B69,IF(DATOS_[[Check Periodo Ref.]:[Check Periodo Ref.]]="Dentro",IF(DATOS_[[Check Equiparado]:[Check Equiparado]]="Sí",IF(DATOS!BJ$5="Sí",(1/DATOS_[[% anualiz]:[% anualiz]]),1)*IF(DATOS!BJ$4="Sí",1/DATOS_[[% normaliz]:[% normaliz]],1)*(DATOS_[C.Extra.02])))))))),
0)</f>
        <v>0</v>
      </c>
      <c r="AR70" s="104">
        <f t="array" ref="AR70">IFERROR(
(AVERAGE((IF(DATOS_[[Sexo]:[Sexo]]=$B70,IF(DATOS_[[AGRUP. CLAS. PROF.]:[AGRUP. CLAS. PROF.]]=$B69,IF(DATOS_[[Check Periodo Ref.]:[Check Periodo Ref.]]="Dentro",IF(DATOS_[[Check Equiparado]:[Check Equiparado]]="Sí",IF(DATOS!BK$5="Sí",(1/DATOS_[[% anualiz]:[% anualiz]]),1)*IF(DATOS!BK$4="Sí",1/DATOS_[[% normaliz]:[% normaliz]],1)*(DATOS_[C.Extra.03])))))))),
0)</f>
        <v>0</v>
      </c>
      <c r="AS70" s="104">
        <f t="array" ref="AS70">IFERROR(
(AVERAGE((IF(DATOS_[[Sexo]:[Sexo]]=$B70,IF(DATOS_[[AGRUP. CLAS. PROF.]:[AGRUP. CLAS. PROF.]]=$B69,IF(DATOS_[[Check Periodo Ref.]:[Check Periodo Ref.]]="Dentro",IF(DATOS_[[Check Equiparado]:[Check Equiparado]]="Sí",IF(DATOS!BL$5="Sí",(1/DATOS_[[% anualiz]:[% anualiz]]),1)*IF(DATOS!BL$4="Sí",1/DATOS_[[% normaliz]:[% normaliz]],1)*(DATOS_[C.Extra.04])))))))),
0)</f>
        <v>0</v>
      </c>
      <c r="AT70" s="104">
        <f t="array" ref="AT70">IFERROR(
(AVERAGE((IF(DATOS_[[Sexo]:[Sexo]]=$B70,IF(DATOS_[[AGRUP. CLAS. PROF.]:[AGRUP. CLAS. PROF.]]=$B69,IF(DATOS_[[Check Periodo Ref.]:[Check Periodo Ref.]]="Dentro",IF(DATOS_[[Check Equiparado]:[Check Equiparado]]="Sí",IF(DATOS!BM$5="Sí",(1/DATOS_[[% anualiz]:[% anualiz]]),1)*IF(DATOS!BM$4="Sí",1/DATOS_[[% normaliz]:[% normaliz]],1)*(DATOS_[C.Extra.05])))))))),
0)</f>
        <v>0</v>
      </c>
      <c r="AU70" s="105">
        <f t="array" ref="AU70">IFERROR(
AVERAGE(IF(DATOS_[Sexo]=$B70,IF(DATOS_[[AGRUP. CLAS. PROF.]:[AGRUP. CLAS. PROF.]]=$B69,IF(DATOS_[Check Equiparado]="Sí",IF(DATOS_[Check Periodo Ref.]="Dentro",DATOS_[Tot Extrasalarial Eq],FALSE))))),
0)</f>
        <v>0</v>
      </c>
      <c r="AV70" s="106">
        <f t="array" ref="AV70">IFERROR(
AVERAGE(IF(DATOS_[Sexo]=$B70,IF(DATOS_[[AGRUP. CLAS. PROF.]:[AGRUP. CLAS. PROF.]]=$B69,IF(DATOS_[Check Equiparado]="Sí",IF(DATOS_[Check Periodo Ref.]="Dentro",DATOS_[TOTAL Retrib Eq],FALSE))))),
0)</f>
        <v>0</v>
      </c>
    </row>
    <row r="71" spans="1:48" hidden="1" x14ac:dyDescent="0.3">
      <c r="A71" s="53" t="str">
        <f t="shared" ref="A71" si="78">+A70</f>
        <v>[ocultar]</v>
      </c>
      <c r="B71" s="57" t="s">
        <v>163</v>
      </c>
      <c r="C71" s="56">
        <f t="array" ref="C71">SUM(IF($B71=DATOS_[Sexo],
IF($B69=DATOS_[AGRUP. CLAS. PROF.],
IF("Dentro"=DATOS_[Check Periodo Ref.],
1/(COUNTIFS(DATOS_[Sexo],$B71,DATOS_[AGRUP. CLAS. PROF.],$B69,DATOS_[Check Periodo Ref.],"Dentro",DATOS_[id],DATOS_[id]))))))</f>
        <v>0</v>
      </c>
      <c r="D71" s="58">
        <f>COUNTIFS(DATOS_[AGRUP. CLAS. PROF.],$B69,DATOS_[Sexo],$B71,DATOS_[Check Periodo Ref.],"Dentro")</f>
        <v>0</v>
      </c>
      <c r="E71" s="58">
        <f>COUNTIFS(DATOS_[AGRUP. CLAS. PROF.],$B69,DATOS_[Sexo],$B71,DATOS_[Check Periodo Ref.],"Dentro",DATOS_[Check Nº SC Norm],"Sí")</f>
        <v>0</v>
      </c>
      <c r="F71" s="58">
        <f>COUNTIFS(DATOS_[AGRUP. CLAS. PROF.],$B69,DATOS_[Sexo],$B71,DATOS_[Check Periodo Ref.],"Dentro",DATOS_[Check Nº SC Anualiz],"Sí")</f>
        <v>0</v>
      </c>
      <c r="G71" s="58">
        <f>COUNTIFS(DATOS_[AGRUP. CLAS. PROF.],$B69,DATOS_[Sexo],$B71,DATOS_[Check Periodo Ref.],"Dentro",DATOS_[Check Nº SC Norm y Anualiz],"Sí")</f>
        <v>0</v>
      </c>
      <c r="H71" s="58">
        <f>COUNTIFS(DATOS_[AGRUP. CLAS. PROF.],$B69,DATOS_[Sexo],$B71,DATOS_[Check Periodo Ref.],"Dentro",DATOS_[Check Equiparación],"Sí")</f>
        <v>0</v>
      </c>
      <c r="I71" s="100" cm="1">
        <f t="array" ref="I71">IFERROR(
AVERAGE(IF(DATOS_[Sexo]=$B71,IF(DATOS_[[AGRUP. CLAS. PROF.]:[AGRUP. CLAS. PROF.]]=$B69,IF(DATOS_[Check Equiparado]="Sí",IF(DATOS_[Check Periodo Ref.]="Dentro",DATOS_[SALARIO BASE Eq],FALSE))))),
0)</f>
        <v>0</v>
      </c>
      <c r="J71" s="101">
        <f t="array" ref="J71">IFERROR(
(AVERAGE((IF(DATOS_[[Sexo]:[Sexo]]=$B71,IF(DATOS_[[AGRUP. CLAS. PROF.]:[AGRUP. CLAS. PROF.]]=$B69,IF(DATOS_[[Check Periodo Ref.]:[Check Periodo Ref.]]="Dentro",IF(DATOS_[[Check Equiparado]:[Check Equiparado]]="Sí",IF(DATOS!AE$5="Sí",(1/DATOS_[[% anualiz]:[% anualiz]]),1)*IF(DATOS!AE$4="Sí",1/DATOS_[[% normaliz]:[% normaliz]],1)*(DATOS_[Conc.Sal.01])))))))),
0)</f>
        <v>0</v>
      </c>
      <c r="K71" s="101">
        <f t="array" ref="K71">IFERROR(
(AVERAGE((IF(DATOS_[[Sexo]:[Sexo]]=$B71,IF(DATOS_[[AGRUP. CLAS. PROF.]:[AGRUP. CLAS. PROF.]]=$B69,IF(DATOS_[[Check Periodo Ref.]:[Check Periodo Ref.]]="Dentro",IF(DATOS_[[Check Equiparado]:[Check Equiparado]]="Sí",IF(DATOS!AF$5="Sí",(1/DATOS_[[% anualiz]:[% anualiz]]),1)*IF(DATOS!AF$4="Sí",1/DATOS_[[% normaliz]:[% normaliz]],1)*(DATOS_[Conc.Sal.02])))))))),
0)</f>
        <v>0</v>
      </c>
      <c r="L71" s="101">
        <f t="array" ref="L71">IFERROR(
(AVERAGE((IF(DATOS_[[Sexo]:[Sexo]]=$B71,IF(DATOS_[[AGRUP. CLAS. PROF.]:[AGRUP. CLAS. PROF.]]=$B69,IF(DATOS_[[Check Periodo Ref.]:[Check Periodo Ref.]]="Dentro",IF(DATOS_[[Check Equiparado]:[Check Equiparado]]="Sí",IF(DATOS!AG$5="Sí",(1/DATOS_[[% anualiz]:[% anualiz]]),1)*IF(DATOS!AG$4="Sí",1/DATOS_[[% normaliz]:[% normaliz]],1)*(DATOS_[Conc.Sal.03])))))))),
0)</f>
        <v>0</v>
      </c>
      <c r="M71" s="101">
        <f t="array" ref="M71">IFERROR(
(AVERAGE((IF(DATOS_[[Sexo]:[Sexo]]=$B71,IF(DATOS_[[AGRUP. CLAS. PROF.]:[AGRUP. CLAS. PROF.]]=$B69,IF(DATOS_[[Check Periodo Ref.]:[Check Periodo Ref.]]="Dentro",IF(DATOS_[[Check Equiparado]:[Check Equiparado]]="Sí",IF(DATOS!AH$5="Sí",(1/DATOS_[[% anualiz]:[% anualiz]]),1)*IF(DATOS!AH$4="Sí",1/DATOS_[[% normaliz]:[% normaliz]],1)*(DATOS_[Conc.Sal.04])))))))),
0)</f>
        <v>0</v>
      </c>
      <c r="N71" s="101">
        <f t="array" ref="N71">IFERROR(
(AVERAGE((IF(DATOS_[[Sexo]:[Sexo]]=$B71,IF(DATOS_[[AGRUP. CLAS. PROF.]:[AGRUP. CLAS. PROF.]]=$B69,IF(DATOS_[[Check Periodo Ref.]:[Check Periodo Ref.]]="Dentro",IF(DATOS_[[Check Equiparado]:[Check Equiparado]]="Sí",IF(DATOS!AI$5="Sí",(1/DATOS_[[% anualiz]:[% anualiz]]),1)*IF(DATOS!AI$4="Sí",1/DATOS_[[% normaliz]:[% normaliz]],1)*(DATOS_[Conc.Sal.05])))))))),
0)</f>
        <v>0</v>
      </c>
      <c r="O71" s="101">
        <f t="array" ref="O71">IFERROR(
(AVERAGE((IF(DATOS_[[Sexo]:[Sexo]]=$B71,IF(DATOS_[[AGRUP. CLAS. PROF.]:[AGRUP. CLAS. PROF.]]=$B69,IF(DATOS_[[Check Periodo Ref.]:[Check Periodo Ref.]]="Dentro",IF(DATOS_[[Check Equiparado]:[Check Equiparado]]="Sí",IF(DATOS!AJ$5="Sí",(1/DATOS_[[% anualiz]:[% anualiz]]),1)*IF(DATOS!AJ$4="Sí",1/DATOS_[[% normaliz]:[% normaliz]],1)*(DATOS_[Conc.Sal.06])))))))),
0)</f>
        <v>0</v>
      </c>
      <c r="P71" s="101">
        <f t="array" ref="P71">IFERROR(
(AVERAGE((IF(DATOS_[[Sexo]:[Sexo]]=$B71,IF(DATOS_[[AGRUP. CLAS. PROF.]:[AGRUP. CLAS. PROF.]]=$B69,IF(DATOS_[[Check Periodo Ref.]:[Check Periodo Ref.]]="Dentro",IF(DATOS_[[Check Equiparado]:[Check Equiparado]]="Sí",IF(DATOS!AK$5="Sí",(1/DATOS_[[% anualiz]:[% anualiz]]),1)*IF(DATOS!AK$4="Sí",1/DATOS_[[% normaliz]:[% normaliz]],1)*(DATOS_[Conc.Sal.07])))))))),
0)</f>
        <v>0</v>
      </c>
      <c r="Q71" s="101">
        <f t="array" ref="Q71">IFERROR(
(AVERAGE((IF(DATOS_[[Sexo]:[Sexo]]=$B71,IF(DATOS_[[AGRUP. CLAS. PROF.]:[AGRUP. CLAS. PROF.]]=$B69,IF(DATOS_[[Check Periodo Ref.]:[Check Periodo Ref.]]="Dentro",IF(DATOS_[[Check Equiparado]:[Check Equiparado]]="Sí",IF(DATOS!AL$5="Sí",(1/DATOS_[[% anualiz]:[% anualiz]]),1)*IF(DATOS!AL$4="Sí",1/DATOS_[[% normaliz]:[% normaliz]],1)*(DATOS_[Conc.Sal.08])))))))),
0)</f>
        <v>0</v>
      </c>
      <c r="R71" s="101">
        <f t="array" ref="R71">IFERROR(
(AVERAGE((IF(DATOS_[[Sexo]:[Sexo]]=$B71,IF(DATOS_[[AGRUP. CLAS. PROF.]:[AGRUP. CLAS. PROF.]]=$B69,IF(DATOS_[[Check Periodo Ref.]:[Check Periodo Ref.]]="Dentro",IF(DATOS_[[Check Equiparado]:[Check Equiparado]]="Sí",IF(DATOS!AM$5="Sí",(1/DATOS_[[% anualiz]:[% anualiz]]),1)*IF(DATOS!AM$4="Sí",1/DATOS_[[% normaliz]:[% normaliz]],1)*(DATOS_[Conc.Sal.09])))))))),
0)</f>
        <v>0</v>
      </c>
      <c r="S71" s="101">
        <f t="array" ref="S71">IFERROR(
(AVERAGE((IF(DATOS_[[Sexo]:[Sexo]]=$B71,IF(DATOS_[[AGRUP. CLAS. PROF.]:[AGRUP. CLAS. PROF.]]=$B69,IF(DATOS_[[Check Periodo Ref.]:[Check Periodo Ref.]]="Dentro",IF(DATOS_[[Check Equiparado]:[Check Equiparado]]="Sí",IF(DATOS!AN$5="Sí",(1/DATOS_[[% anualiz]:[% anualiz]]),1)*IF(DATOS!AN$4="Sí",1/DATOS_[[% normaliz]:[% normaliz]],1)*(DATOS_[Conc.Sal.10])))))))),
0)</f>
        <v>0</v>
      </c>
      <c r="T71" s="101">
        <f t="array" ref="T71">IFERROR(
(AVERAGE((IF(DATOS_[[Sexo]:[Sexo]]=$B71,IF(DATOS_[[AGRUP. CLAS. PROF.]:[AGRUP. CLAS. PROF.]]=$B69,IF(DATOS_[[Check Periodo Ref.]:[Check Periodo Ref.]]="Dentro",IF(DATOS_[[Check Equiparado]:[Check Equiparado]]="Sí",IF(DATOS!AO$5="Sí",(1/DATOS_[[% anualiz]:[% anualiz]]),1)*IF(DATOS!AO$4="Sí",1/DATOS_[[% normaliz]:[% normaliz]],1)*(DATOS_[Conc.Sal.11])))))))),
0)</f>
        <v>0</v>
      </c>
      <c r="U71" s="101">
        <f t="array" ref="U71">IFERROR(
(AVERAGE((IF(DATOS_[[Sexo]:[Sexo]]=$B71,IF(DATOS_[[AGRUP. CLAS. PROF.]:[AGRUP. CLAS. PROF.]]=$B69,IF(DATOS_[[Check Periodo Ref.]:[Check Periodo Ref.]]="Dentro",IF(DATOS_[[Check Equiparado]:[Check Equiparado]]="Sí",IF(DATOS!AP$5="Sí",(1/DATOS_[[% anualiz]:[% anualiz]]),1)*IF(DATOS!AP$4="Sí",1/DATOS_[[% normaliz]:[% normaliz]],1)*(DATOS_[Conc.Sal.12])))))))),
0)</f>
        <v>0</v>
      </c>
      <c r="V71" s="101">
        <f t="array" ref="V71">IFERROR(
(AVERAGE((IF(DATOS_[[Sexo]:[Sexo]]=$B71,IF(DATOS_[[AGRUP. CLAS. PROF.]:[AGRUP. CLAS. PROF.]]=$B69,IF(DATOS_[[Check Periodo Ref.]:[Check Periodo Ref.]]="Dentro",IF(DATOS_[[Check Equiparado]:[Check Equiparado]]="Sí",IF(DATOS!AQ$5="Sí",(1/DATOS_[[% anualiz]:[% anualiz]]),1)*IF(DATOS!AQ$4="Sí",1/DATOS_[[% normaliz]:[% normaliz]],1)*(DATOS_[Conc.Sal.13])))))))),
0)</f>
        <v>0</v>
      </c>
      <c r="W71" s="101">
        <f t="array" ref="W71">IFERROR(
(AVERAGE((IF(DATOS_[[Sexo]:[Sexo]]=$B71,IF(DATOS_[[AGRUP. CLAS. PROF.]:[AGRUP. CLAS. PROF.]]=$B69,IF(DATOS_[[Check Periodo Ref.]:[Check Periodo Ref.]]="Dentro",IF(DATOS_[[Check Equiparado]:[Check Equiparado]]="Sí",IF(DATOS!AR$5="Sí",(1/DATOS_[[% anualiz]:[% anualiz]]),1)*IF(DATOS!AR$4="Sí",1/DATOS_[[% normaliz]:[% normaliz]],1)*(DATOS_[Conc.Sal.14])))))))),
0)</f>
        <v>0</v>
      </c>
      <c r="X71" s="101">
        <f t="array" ref="X71">IFERROR(
(AVERAGE((IF(DATOS_[[Sexo]:[Sexo]]=$B71,IF(DATOS_[[AGRUP. CLAS. PROF.]:[AGRUP. CLAS. PROF.]]=$B69,IF(DATOS_[[Check Periodo Ref.]:[Check Periodo Ref.]]="Dentro",IF(DATOS_[[Check Equiparado]:[Check Equiparado]]="Sí",IF(DATOS!AS$5="Sí",(1/DATOS_[[% anualiz]:[% anualiz]]),1)*IF(DATOS!AS$4="Sí",1/DATOS_[[% normaliz]:[% normaliz]],1)*(DATOS_[Conc.Sal.15])))))))),
0)</f>
        <v>0</v>
      </c>
      <c r="Y71" s="101">
        <f t="array" ref="Y71">IFERROR(
(AVERAGE((IF(DATOS_[[Sexo]:[Sexo]]=$B71,IF(DATOS_[[AGRUP. CLAS. PROF.]:[AGRUP. CLAS. PROF.]]=$B69,IF(DATOS_[[Check Periodo Ref.]:[Check Periodo Ref.]]="Dentro",IF(DATOS_[[Check Equiparado]:[Check Equiparado]]="Sí",IF(DATOS!AT$5="Sí",(1/DATOS_[[% anualiz]:[% anualiz]]),1)*IF(DATOS!AT$4="Sí",1/DATOS_[[% normaliz]:[% normaliz]],1)*(DATOS_[Conc.Sal.16])))))))),
0)</f>
        <v>0</v>
      </c>
      <c r="Z71" s="101">
        <f t="array" ref="Z71">IFERROR(
(AVERAGE((IF(DATOS_[[Sexo]:[Sexo]]=$B71,IF(DATOS_[[AGRUP. CLAS. PROF.]:[AGRUP. CLAS. PROF.]]=$B69,IF(DATOS_[[Check Periodo Ref.]:[Check Periodo Ref.]]="Dentro",IF(DATOS_[[Check Equiparado]:[Check Equiparado]]="Sí",IF(DATOS!AU$5="Sí",(1/DATOS_[[% anualiz]:[% anualiz]]),1)*IF(DATOS!AU$4="Sí",1/DATOS_[[% normaliz]:[% normaliz]],1)*(DATOS_[Conc.Sal.17])))))))),
0)</f>
        <v>0</v>
      </c>
      <c r="AA71" s="101">
        <f t="array" ref="AA71">IFERROR(
(AVERAGE((IF(DATOS_[[Sexo]:[Sexo]]=$B71,IF(DATOS_[[AGRUP. CLAS. PROF.]:[AGRUP. CLAS. PROF.]]=$B69,IF(DATOS_[[Check Periodo Ref.]:[Check Periodo Ref.]]="Dentro",IF(DATOS_[[Check Equiparado]:[Check Equiparado]]="Sí",IF(DATOS!AV$5="Sí",(1/DATOS_[[% anualiz]:[% anualiz]]),1)*IF(DATOS!AV$4="Sí",1/DATOS_[[% normaliz]:[% normaliz]],1)*(DATOS_[Conc.Sal.18])))))))),
0)</f>
        <v>0</v>
      </c>
      <c r="AB71" s="101">
        <f t="array" ref="AB71">IFERROR(
(AVERAGE((IF(DATOS_[[Sexo]:[Sexo]]=$B71,IF(DATOS_[[AGRUP. CLAS. PROF.]:[AGRUP. CLAS. PROF.]]=$B69,IF(DATOS_[[Check Periodo Ref.]:[Check Periodo Ref.]]="Dentro",IF(DATOS_[[Check Equiparado]:[Check Equiparado]]="Sí",IF(DATOS!AW$5="Sí",(1/DATOS_[[% anualiz]:[% anualiz]]),1)*IF(DATOS!AW$4="Sí",1/DATOS_[[% normaliz]:[% normaliz]],1)*(DATOS_[Conc.Sal.19])))))))),
0)</f>
        <v>0</v>
      </c>
      <c r="AC71" s="101">
        <f t="array" ref="AC71">IFERROR(
(AVERAGE((IF(DATOS_[[Sexo]:[Sexo]]=$B71,IF(DATOS_[[AGRUP. CLAS. PROF.]:[AGRUP. CLAS. PROF.]]=$B69,IF(DATOS_[[Check Periodo Ref.]:[Check Periodo Ref.]]="Dentro",IF(DATOS_[[Check Equiparado]:[Check Equiparado]]="Sí",IF(DATOS!AX$5="Sí",(1/DATOS_[[% anualiz]:[% anualiz]]),1)*IF(DATOS!AX$4="Sí",1/DATOS_[[% normaliz]:[% normaliz]],1)*(DATOS_[Conc.Sal.20])))))))),
0)</f>
        <v>0</v>
      </c>
      <c r="AD71" s="101">
        <f t="array" ref="AD71">IFERROR(
(AVERAGE((IF(DATOS_[[Sexo]:[Sexo]]=$B71,IF(DATOS_[[AGRUP. CLAS. PROF.]:[AGRUP. CLAS. PROF.]]=$B69,IF(DATOS_[[Check Periodo Ref.]:[Check Periodo Ref.]]="Dentro",IF(DATOS_[[Check Equiparado]:[Check Equiparado]]="Sí",IF(DATOS!AY$5="Sí",(1/DATOS_[[% anualiz]:[% anualiz]]),1)*IF(DATOS!AY$4="Sí",1/DATOS_[[% normaliz]:[% normaliz]],1)*(DATOS_[Conc.Sal.21])))))))),
0)</f>
        <v>0</v>
      </c>
      <c r="AE71" s="101">
        <f t="array" ref="AE71">IFERROR(
(AVERAGE((IF(DATOS_[[Sexo]:[Sexo]]=$B71,IF(DATOS_[[AGRUP. CLAS. PROF.]:[AGRUP. CLAS. PROF.]]=$B69,IF(DATOS_[[Check Periodo Ref.]:[Check Periodo Ref.]]="Dentro",IF(DATOS_[[Check Equiparado]:[Check Equiparado]]="Sí",IF(DATOS!AZ$5="Sí",(1/DATOS_[[% anualiz]:[% anualiz]]),1)*IF(DATOS!AZ$4="Sí",1/DATOS_[[% normaliz]:[% normaliz]],1)*(DATOS_[Conc.Sal.22])))))))),
0)</f>
        <v>0</v>
      </c>
      <c r="AF71" s="101">
        <f t="array" ref="AF71">IFERROR(
(AVERAGE((IF(DATOS_[[Sexo]:[Sexo]]=$B71,IF(DATOS_[[AGRUP. CLAS. PROF.]:[AGRUP. CLAS. PROF.]]=$B69,IF(DATOS_[[Check Periodo Ref.]:[Check Periodo Ref.]]="Dentro",IF(DATOS_[[Check Equiparado]:[Check Equiparado]]="Sí",IF(DATOS!BA$5="Sí",(1/DATOS_[[% anualiz]:[% anualiz]]),1)*IF(DATOS!BA$4="Sí",1/DATOS_[[% normaliz]:[% normaliz]],1)*(DATOS_[Conc.Sal.23])))))))),
0)</f>
        <v>0</v>
      </c>
      <c r="AG71" s="101">
        <f t="array" ref="AG71">IFERROR(
(AVERAGE((IF(DATOS_[[Sexo]:[Sexo]]=$B71,IF(DATOS_[[AGRUP. CLAS. PROF.]:[AGRUP. CLAS. PROF.]]=$B69,IF(DATOS_[[Check Periodo Ref.]:[Check Periodo Ref.]]="Dentro",IF(DATOS_[[Check Equiparado]:[Check Equiparado]]="Sí",IF(DATOS!BB$5="Sí",(1/DATOS_[[% anualiz]:[% anualiz]]),1)*IF(DATOS!BB$4="Sí",1/DATOS_[[% normaliz]:[% normaliz]],1)*(DATOS_[Conc.Sal.24])))))))),
0)</f>
        <v>0</v>
      </c>
      <c r="AH71" s="101">
        <f t="array" ref="AH71">IFERROR(
(AVERAGE((IF(DATOS_[[Sexo]:[Sexo]]=$B71,IF(DATOS_[[AGRUP. CLAS. PROF.]:[AGRUP. CLAS. PROF.]]=$B69,IF(DATOS_[[Check Periodo Ref.]:[Check Periodo Ref.]]="Dentro",IF(DATOS_[[Check Equiparado]:[Check Equiparado]]="Sí",IF(DATOS!BC$5="Sí",(1/DATOS_[[% anualiz]:[% anualiz]]),1)*IF(DATOS!BC$4="Sí",1/DATOS_[[% normaliz]:[% normaliz]],1)*(DATOS_[Conc.Sal.25])))))))),
0)</f>
        <v>0</v>
      </c>
      <c r="AI71" s="101">
        <f t="array" ref="AI71">IFERROR(
(AVERAGE((IF(DATOS_[[Sexo]:[Sexo]]=$B71,IF(DATOS_[[AGRUP. CLAS. PROF.]:[AGRUP. CLAS. PROF.]]=$B69,IF(DATOS_[[Check Periodo Ref.]:[Check Periodo Ref.]]="Dentro",IF(DATOS_[[Check Equiparado]:[Check Equiparado]]="Sí",IF(DATOS!BD$5="Sí",(1/DATOS_[[% anualiz]:[% anualiz]]),1)*IF(DATOS!BD$4="Sí",1/DATOS_[[% normaliz]:[% normaliz]],1)*(DATOS_[Conc.Sal.26])))))))),
0)</f>
        <v>0</v>
      </c>
      <c r="AJ71" s="101">
        <f t="array" ref="AJ71">IFERROR(
(AVERAGE((IF(DATOS_[[Sexo]:[Sexo]]=$B71,IF(DATOS_[[AGRUP. CLAS. PROF.]:[AGRUP. CLAS. PROF.]]=$B69,IF(DATOS_[[Check Periodo Ref.]:[Check Periodo Ref.]]="Dentro",IF(DATOS_[[Check Equiparado]:[Check Equiparado]]="Sí",IF(DATOS!BE$5="Sí",(1/DATOS_[[% anualiz]:[% anualiz]]),1)*IF(DATOS!BE$4="Sí",1/DATOS_[[% normaliz]:[% normaliz]],1)*(DATOS_[Conc.Sal.27])))))))),
0)</f>
        <v>0</v>
      </c>
      <c r="AK71" s="101">
        <f t="array" ref="AK71">IFERROR(
(AVERAGE((IF(DATOS_[[Sexo]:[Sexo]]=$B71,IF(DATOS_[[AGRUP. CLAS. PROF.]:[AGRUP. CLAS. PROF.]]=$B69,IF(DATOS_[[Check Periodo Ref.]:[Check Periodo Ref.]]="Dentro",IF(DATOS_[[Check Equiparado]:[Check Equiparado]]="Sí",IF(DATOS!BF$5="Sí",(1/DATOS_[[% anualiz]:[% anualiz]]),1)*IF(DATOS!BF$4="Sí",1/DATOS_[[% normaliz]:[% normaliz]],1)*(DATOS_[Conc.Sal.28])))))))),
0)</f>
        <v>0</v>
      </c>
      <c r="AL71" s="101">
        <f t="array" ref="AL71">IFERROR(
(AVERAGE((IF(DATOS_[[Sexo]:[Sexo]]=$B71,IF(DATOS_[[AGRUP. CLAS. PROF.]:[AGRUP. CLAS. PROF.]]=$B69,IF(DATOS_[[Check Periodo Ref.]:[Check Periodo Ref.]]="Dentro",IF(DATOS_[[Check Equiparado]:[Check Equiparado]]="Sí",IF(DATOS!BG$5="Sí",(1/DATOS_[[% anualiz]:[% anualiz]]),1)*IF(DATOS!BG$4="Sí",1/DATOS_[[% normaliz]:[% normaliz]],1)*(DATOS_[Conc.Sal.29])))))))),
0)</f>
        <v>0</v>
      </c>
      <c r="AM71" s="101">
        <f t="array" ref="AM71">IFERROR(
(AVERAGE((IF(DATOS_[[Sexo]:[Sexo]]=$B71,IF(DATOS_[[AGRUP. CLAS. PROF.]:[AGRUP. CLAS. PROF.]]=$B69,IF(DATOS_[[Check Periodo Ref.]:[Check Periodo Ref.]]="Dentro",IF(DATOS_[[Check Equiparado]:[Check Equiparado]]="Sí",IF(DATOS!BH$5="Sí",(1/DATOS_[[% anualiz]:[% anualiz]]),1)*IF(DATOS!BH$4="Sí",1/DATOS_[[% normaliz]:[% normaliz]],1)*(DATOS_[Conc.Sal.30])))))))),
0)</f>
        <v>0</v>
      </c>
      <c r="AN71" s="102">
        <f t="array" ref="AN71">IFERROR(
AVERAGE(IF(DATOS_[Sexo]=$B71,IF(DATOS_[[AGRUP. CLAS. PROF.]:[AGRUP. CLAS. PROF.]]=$B69,IF(DATOS_[Check Equiparado]="Sí",IF(DATOS_[Check Periodo Ref.]="Dentro",DATOS_[Tot COMPL.SAL Eq],FALSE))))),
0)</f>
        <v>0</v>
      </c>
      <c r="AO71" s="103">
        <f t="array" ref="AO71">IFERROR(
AVERAGE(IF(DATOS_[Sexo]=$B71,IF(DATOS_[[AGRUP. CLAS. PROF.]:[AGRUP. CLAS. PROF.]]=$B69,IF(DATOS_[Check Equiparado]="Sí",IF(DATOS_[Check Periodo Ref.]="Dentro",DATOS_[TOTAL SALARIO Eq],FALSE))))),
0)</f>
        <v>0</v>
      </c>
      <c r="AP71" s="104">
        <f t="array" ref="AP71">IFERROR(
(AVERAGE((IF(DATOS_[[Sexo]:[Sexo]]=$B71,IF(DATOS_[[AGRUP. CLAS. PROF.]:[AGRUP. CLAS. PROF.]]=$B69,IF(DATOS_[[Check Periodo Ref.]:[Check Periodo Ref.]]="Dentro",IF(DATOS_[[Check Equiparado]:[Check Equiparado]]="Sí",IF(DATOS!BI$5="Sí",(1/DATOS_[[% anualiz]:[% anualiz]]),1)*IF(DATOS!BI$4="Sí",1/DATOS_[[% normaliz]:[% normaliz]],1)*(DATOS_[C.Extra.01])))))))),
0)</f>
        <v>0</v>
      </c>
      <c r="AQ71" s="104">
        <f t="array" ref="AQ71">IFERROR(
(AVERAGE((IF(DATOS_[[Sexo]:[Sexo]]=$B71,IF(DATOS_[[AGRUP. CLAS. PROF.]:[AGRUP. CLAS. PROF.]]=$B69,IF(DATOS_[[Check Periodo Ref.]:[Check Periodo Ref.]]="Dentro",IF(DATOS_[[Check Equiparado]:[Check Equiparado]]="Sí",IF(DATOS!BJ$5="Sí",(1/DATOS_[[% anualiz]:[% anualiz]]),1)*IF(DATOS!BJ$4="Sí",1/DATOS_[[% normaliz]:[% normaliz]],1)*(DATOS_[C.Extra.02])))))))),
0)</f>
        <v>0</v>
      </c>
      <c r="AR71" s="104">
        <f t="array" ref="AR71">IFERROR(
(AVERAGE((IF(DATOS_[[Sexo]:[Sexo]]=$B71,IF(DATOS_[[AGRUP. CLAS. PROF.]:[AGRUP. CLAS. PROF.]]=$B69,IF(DATOS_[[Check Periodo Ref.]:[Check Periodo Ref.]]="Dentro",IF(DATOS_[[Check Equiparado]:[Check Equiparado]]="Sí",IF(DATOS!BK$5="Sí",(1/DATOS_[[% anualiz]:[% anualiz]]),1)*IF(DATOS!BK$4="Sí",1/DATOS_[[% normaliz]:[% normaliz]],1)*(DATOS_[C.Extra.03])))))))),
0)</f>
        <v>0</v>
      </c>
      <c r="AS71" s="104">
        <f t="array" ref="AS71">IFERROR(
(AVERAGE((IF(DATOS_[[Sexo]:[Sexo]]=$B71,IF(DATOS_[[AGRUP. CLAS. PROF.]:[AGRUP. CLAS. PROF.]]=$B69,IF(DATOS_[[Check Periodo Ref.]:[Check Periodo Ref.]]="Dentro",IF(DATOS_[[Check Equiparado]:[Check Equiparado]]="Sí",IF(DATOS!BL$5="Sí",(1/DATOS_[[% anualiz]:[% anualiz]]),1)*IF(DATOS!BL$4="Sí",1/DATOS_[[% normaliz]:[% normaliz]],1)*(DATOS_[C.Extra.04])))))))),
0)</f>
        <v>0</v>
      </c>
      <c r="AT71" s="104">
        <f t="array" ref="AT71">IFERROR(
(AVERAGE((IF(DATOS_[[Sexo]:[Sexo]]=$B71,IF(DATOS_[[AGRUP. CLAS. PROF.]:[AGRUP. CLAS. PROF.]]=$B69,IF(DATOS_[[Check Periodo Ref.]:[Check Periodo Ref.]]="Dentro",IF(DATOS_[[Check Equiparado]:[Check Equiparado]]="Sí",IF(DATOS!BM$5="Sí",(1/DATOS_[[% anualiz]:[% anualiz]]),1)*IF(DATOS!BM$4="Sí",1/DATOS_[[% normaliz]:[% normaliz]],1)*(DATOS_[C.Extra.05])))))))),
0)</f>
        <v>0</v>
      </c>
      <c r="AU71" s="105">
        <f t="array" ref="AU71">IFERROR(
AVERAGE(IF(DATOS_[Sexo]=$B71,IF(DATOS_[[AGRUP. CLAS. PROF.]:[AGRUP. CLAS. PROF.]]=$B69,IF(DATOS_[Check Equiparado]="Sí",IF(DATOS_[Check Periodo Ref.]="Dentro",DATOS_[Tot Extrasalarial Eq],FALSE))))),
0)</f>
        <v>0</v>
      </c>
      <c r="AV71" s="106">
        <f t="array" ref="AV71">IFERROR(
AVERAGE(IF(DATOS_[Sexo]=$B71,IF(DATOS_[[AGRUP. CLAS. PROF.]:[AGRUP. CLAS. PROF.]]=$B69,IF(DATOS_[Check Equiparado]="Sí",IF(DATOS_[Check Periodo Ref.]="Dentro",DATOS_[TOTAL Retrib Eq],FALSE))))),
0)</f>
        <v>0</v>
      </c>
    </row>
    <row r="72" spans="1:48" ht="17.25" hidden="1" thickBot="1" x14ac:dyDescent="0.35">
      <c r="A72" s="53" t="str">
        <f t="shared" ref="A72" si="79">+A73</f>
        <v>[ocultar]</v>
      </c>
      <c r="B72" s="62" t="s">
        <v>236</v>
      </c>
      <c r="C72" s="99"/>
      <c r="D72" s="63"/>
      <c r="E72" s="63"/>
      <c r="F72" s="63"/>
      <c r="G72" s="63"/>
      <c r="H72" s="63"/>
      <c r="I72" s="129" t="str">
        <f t="shared" ref="I72:AV72" si="80">IFERROR((I73-I74)/I73,"")</f>
        <v/>
      </c>
      <c r="J72" s="130" t="str">
        <f t="shared" si="80"/>
        <v/>
      </c>
      <c r="K72" s="131" t="str">
        <f t="shared" si="80"/>
        <v/>
      </c>
      <c r="L72" s="131" t="str">
        <f t="shared" si="80"/>
        <v/>
      </c>
      <c r="M72" s="131" t="str">
        <f t="shared" si="80"/>
        <v/>
      </c>
      <c r="N72" s="132" t="str">
        <f t="shared" si="80"/>
        <v/>
      </c>
      <c r="O72" s="133" t="str">
        <f t="shared" si="80"/>
        <v/>
      </c>
      <c r="P72" s="133" t="str">
        <f t="shared" si="80"/>
        <v/>
      </c>
      <c r="Q72" s="133" t="str">
        <f t="shared" si="80"/>
        <v/>
      </c>
      <c r="R72" s="133" t="str">
        <f t="shared" si="80"/>
        <v/>
      </c>
      <c r="S72" s="133" t="str">
        <f t="shared" si="80"/>
        <v/>
      </c>
      <c r="T72" s="133" t="str">
        <f t="shared" si="80"/>
        <v/>
      </c>
      <c r="U72" s="133" t="str">
        <f t="shared" si="80"/>
        <v/>
      </c>
      <c r="V72" s="133" t="str">
        <f t="shared" si="80"/>
        <v/>
      </c>
      <c r="W72" s="133" t="str">
        <f t="shared" si="80"/>
        <v/>
      </c>
      <c r="X72" s="133" t="str">
        <f t="shared" si="80"/>
        <v/>
      </c>
      <c r="Y72" s="133" t="str">
        <f t="shared" si="80"/>
        <v/>
      </c>
      <c r="Z72" s="132" t="str">
        <f t="shared" si="80"/>
        <v/>
      </c>
      <c r="AA72" s="132" t="str">
        <f t="shared" si="80"/>
        <v/>
      </c>
      <c r="AB72" s="132" t="str">
        <f t="shared" si="80"/>
        <v/>
      </c>
      <c r="AC72" s="132" t="str">
        <f t="shared" si="80"/>
        <v/>
      </c>
      <c r="AD72" s="132" t="str">
        <f t="shared" si="80"/>
        <v/>
      </c>
      <c r="AE72" s="132" t="str">
        <f t="shared" si="80"/>
        <v/>
      </c>
      <c r="AF72" s="132" t="str">
        <f t="shared" si="80"/>
        <v/>
      </c>
      <c r="AG72" s="132" t="str">
        <f t="shared" si="80"/>
        <v/>
      </c>
      <c r="AH72" s="132" t="str">
        <f t="shared" si="80"/>
        <v/>
      </c>
      <c r="AI72" s="132" t="str">
        <f t="shared" si="80"/>
        <v/>
      </c>
      <c r="AJ72" s="132" t="str">
        <f t="shared" si="80"/>
        <v/>
      </c>
      <c r="AK72" s="132" t="str">
        <f t="shared" si="80"/>
        <v/>
      </c>
      <c r="AL72" s="132" t="str">
        <f t="shared" si="80"/>
        <v/>
      </c>
      <c r="AM72" s="132" t="str">
        <f t="shared" si="80"/>
        <v/>
      </c>
      <c r="AN72" s="134" t="str">
        <f t="shared" si="80"/>
        <v/>
      </c>
      <c r="AO72" s="138" t="str">
        <f t="shared" si="80"/>
        <v/>
      </c>
      <c r="AP72" s="135" t="str">
        <f t="shared" si="80"/>
        <v/>
      </c>
      <c r="AQ72" s="135" t="str">
        <f t="shared" si="80"/>
        <v/>
      </c>
      <c r="AR72" s="135" t="str">
        <f t="shared" si="80"/>
        <v/>
      </c>
      <c r="AS72" s="135" t="str">
        <f t="shared" si="80"/>
        <v/>
      </c>
      <c r="AT72" s="135" t="str">
        <f t="shared" si="80"/>
        <v/>
      </c>
      <c r="AU72" s="136" t="str">
        <f t="shared" si="80"/>
        <v/>
      </c>
      <c r="AV72" s="137" t="str">
        <f t="shared" si="80"/>
        <v/>
      </c>
    </row>
    <row r="73" spans="1:48" hidden="1" x14ac:dyDescent="0.3">
      <c r="A73" s="53" t="str">
        <f t="shared" ref="A73" si="81">+IF(C73+C74=0,"[ocultar]","")</f>
        <v>[ocultar]</v>
      </c>
      <c r="B73" s="57" t="s">
        <v>162</v>
      </c>
      <c r="C73" s="56">
        <f t="array" ref="C73">SUM(IF($B73=DATOS_[Sexo],
IF($B72=DATOS_[AGRUP. CLAS. PROF.],
IF("Dentro"=DATOS_[Check Periodo Ref.],
1/(COUNTIFS(DATOS_[Sexo],$B73,DATOS_[AGRUP. CLAS. PROF.],$B72,DATOS_[Check Periodo Ref.],"Dentro",DATOS_[id],DATOS_[id]))))))</f>
        <v>0</v>
      </c>
      <c r="D73" s="58">
        <f>COUNTIFS(DATOS_[AGRUP. CLAS. PROF.],$B72,DATOS_[Sexo],$B73,DATOS_[Check Periodo Ref.],"Dentro")</f>
        <v>0</v>
      </c>
      <c r="E73" s="58">
        <f>COUNTIFS(DATOS_[AGRUP. CLAS. PROF.],$B72,DATOS_[Sexo],$B73,DATOS_[Check Periodo Ref.],"Dentro",DATOS_[Check Nº SC Norm],"Sí")</f>
        <v>0</v>
      </c>
      <c r="F73" s="58">
        <f>COUNTIFS(DATOS_[AGRUP. CLAS. PROF.],$B72,DATOS_[Sexo],$B73,DATOS_[Check Periodo Ref.],"Dentro",DATOS_[Check Nº SC Anualiz],"Sí")</f>
        <v>0</v>
      </c>
      <c r="G73" s="58">
        <f>COUNTIFS(DATOS_[AGRUP. CLAS. PROF.],$B72,DATOS_[Sexo],$B73,DATOS_[Check Periodo Ref.],"Dentro",DATOS_[Check Nº SC Norm y Anualiz],"Sí")</f>
        <v>0</v>
      </c>
      <c r="H73" s="58">
        <f>COUNTIFS(DATOS_[AGRUP. CLAS. PROF.],$B72,DATOS_[Sexo],$B73,DATOS_[Check Periodo Ref.],"Dentro",DATOS_[Check Equiparación],"Sí")</f>
        <v>0</v>
      </c>
      <c r="I73" s="100">
        <f t="array" ref="I73">IFERROR(
AVERAGE(IF(DATOS_[Sexo]=$B73,IF(DATOS_[[AGRUP. CLAS. PROF.]:[AGRUP. CLAS. PROF.]]=$B72,IF(DATOS_[Check Equiparado]="Sí",IF(DATOS_[Check Periodo Ref.]="Dentro",DATOS_[SALARIO BASE Eq],FALSE))))),
0)</f>
        <v>0</v>
      </c>
      <c r="J73" s="101">
        <f t="array" ref="J73">IFERROR(
(AVERAGE((IF(DATOS_[[Sexo]:[Sexo]]=$B73,IF(DATOS_[[AGRUP. CLAS. PROF.]:[AGRUP. CLAS. PROF.]]=$B72,IF(DATOS_[[Check Periodo Ref.]:[Check Periodo Ref.]]="Dentro",IF(DATOS_[[Check Equiparado]:[Check Equiparado]]="Sí",IF(DATOS!AE$5="Sí",(1/DATOS_[[% anualiz]:[% anualiz]]),1)*IF(DATOS!AE$4="Sí",1/DATOS_[[% normaliz]:[% normaliz]],1)*(DATOS_[Conc.Sal.01])))))))),
0)</f>
        <v>0</v>
      </c>
      <c r="K73" s="101">
        <f t="array" ref="K73">IFERROR(
(AVERAGE((IF(DATOS_[[Sexo]:[Sexo]]=$B73,IF(DATOS_[[AGRUP. CLAS. PROF.]:[AGRUP. CLAS. PROF.]]=$B72,IF(DATOS_[[Check Periodo Ref.]:[Check Periodo Ref.]]="Dentro",IF(DATOS_[[Check Equiparado]:[Check Equiparado]]="Sí",IF(DATOS!AF$5="Sí",(1/DATOS_[[% anualiz]:[% anualiz]]),1)*IF(DATOS!AF$4="Sí",1/DATOS_[[% normaliz]:[% normaliz]],1)*(DATOS_[Conc.Sal.02])))))))),
0)</f>
        <v>0</v>
      </c>
      <c r="L73" s="101">
        <f t="array" ref="L73">IFERROR(
(AVERAGE((IF(DATOS_[[Sexo]:[Sexo]]=$B73,IF(DATOS_[[AGRUP. CLAS. PROF.]:[AGRUP. CLAS. PROF.]]=$B72,IF(DATOS_[[Check Periodo Ref.]:[Check Periodo Ref.]]="Dentro",IF(DATOS_[[Check Equiparado]:[Check Equiparado]]="Sí",IF(DATOS!AG$5="Sí",(1/DATOS_[[% anualiz]:[% anualiz]]),1)*IF(DATOS!AG$4="Sí",1/DATOS_[[% normaliz]:[% normaliz]],1)*(DATOS_[Conc.Sal.03])))))))),
0)</f>
        <v>0</v>
      </c>
      <c r="M73" s="101">
        <f t="array" ref="M73">IFERROR(
(AVERAGE((IF(DATOS_[[Sexo]:[Sexo]]=$B73,IF(DATOS_[[AGRUP. CLAS. PROF.]:[AGRUP. CLAS. PROF.]]=$B72,IF(DATOS_[[Check Periodo Ref.]:[Check Periodo Ref.]]="Dentro",IF(DATOS_[[Check Equiparado]:[Check Equiparado]]="Sí",IF(DATOS!AH$5="Sí",(1/DATOS_[[% anualiz]:[% anualiz]]),1)*IF(DATOS!AH$4="Sí",1/DATOS_[[% normaliz]:[% normaliz]],1)*(DATOS_[Conc.Sal.04])))))))),
0)</f>
        <v>0</v>
      </c>
      <c r="N73" s="101">
        <f t="array" ref="N73">IFERROR(
(AVERAGE((IF(DATOS_[[Sexo]:[Sexo]]=$B73,IF(DATOS_[[AGRUP. CLAS. PROF.]:[AGRUP. CLAS. PROF.]]=$B72,IF(DATOS_[[Check Periodo Ref.]:[Check Periodo Ref.]]="Dentro",IF(DATOS_[[Check Equiparado]:[Check Equiparado]]="Sí",IF(DATOS!AI$5="Sí",(1/DATOS_[[% anualiz]:[% anualiz]]),1)*IF(DATOS!AI$4="Sí",1/DATOS_[[% normaliz]:[% normaliz]],1)*(DATOS_[Conc.Sal.05])))))))),
0)</f>
        <v>0</v>
      </c>
      <c r="O73" s="101">
        <f t="array" ref="O73">IFERROR(
(AVERAGE((IF(DATOS_[[Sexo]:[Sexo]]=$B73,IF(DATOS_[[AGRUP. CLAS. PROF.]:[AGRUP. CLAS. PROF.]]=$B72,IF(DATOS_[[Check Periodo Ref.]:[Check Periodo Ref.]]="Dentro",IF(DATOS_[[Check Equiparado]:[Check Equiparado]]="Sí",IF(DATOS!AJ$5="Sí",(1/DATOS_[[% anualiz]:[% anualiz]]),1)*IF(DATOS!AJ$4="Sí",1/DATOS_[[% normaliz]:[% normaliz]],1)*(DATOS_[Conc.Sal.06])))))))),
0)</f>
        <v>0</v>
      </c>
      <c r="P73" s="101">
        <f t="array" ref="P73">IFERROR(
(AVERAGE((IF(DATOS_[[Sexo]:[Sexo]]=$B73,IF(DATOS_[[AGRUP. CLAS. PROF.]:[AGRUP. CLAS. PROF.]]=$B72,IF(DATOS_[[Check Periodo Ref.]:[Check Periodo Ref.]]="Dentro",IF(DATOS_[[Check Equiparado]:[Check Equiparado]]="Sí",IF(DATOS!AK$5="Sí",(1/DATOS_[[% anualiz]:[% anualiz]]),1)*IF(DATOS!AK$4="Sí",1/DATOS_[[% normaliz]:[% normaliz]],1)*(DATOS_[Conc.Sal.07])))))))),
0)</f>
        <v>0</v>
      </c>
      <c r="Q73" s="101">
        <f t="array" ref="Q73">IFERROR(
(AVERAGE((IF(DATOS_[[Sexo]:[Sexo]]=$B73,IF(DATOS_[[AGRUP. CLAS. PROF.]:[AGRUP. CLAS. PROF.]]=$B72,IF(DATOS_[[Check Periodo Ref.]:[Check Periodo Ref.]]="Dentro",IF(DATOS_[[Check Equiparado]:[Check Equiparado]]="Sí",IF(DATOS!AL$5="Sí",(1/DATOS_[[% anualiz]:[% anualiz]]),1)*IF(DATOS!AL$4="Sí",1/DATOS_[[% normaliz]:[% normaliz]],1)*(DATOS_[Conc.Sal.08])))))))),
0)</f>
        <v>0</v>
      </c>
      <c r="R73" s="101">
        <f t="array" ref="R73">IFERROR(
(AVERAGE((IF(DATOS_[[Sexo]:[Sexo]]=$B73,IF(DATOS_[[AGRUP. CLAS. PROF.]:[AGRUP. CLAS. PROF.]]=$B72,IF(DATOS_[[Check Periodo Ref.]:[Check Periodo Ref.]]="Dentro",IF(DATOS_[[Check Equiparado]:[Check Equiparado]]="Sí",IF(DATOS!AM$5="Sí",(1/DATOS_[[% anualiz]:[% anualiz]]),1)*IF(DATOS!AM$4="Sí",1/DATOS_[[% normaliz]:[% normaliz]],1)*(DATOS_[Conc.Sal.09])))))))),
0)</f>
        <v>0</v>
      </c>
      <c r="S73" s="101">
        <f t="array" ref="S73">IFERROR(
(AVERAGE((IF(DATOS_[[Sexo]:[Sexo]]=$B73,IF(DATOS_[[AGRUP. CLAS. PROF.]:[AGRUP. CLAS. PROF.]]=$B72,IF(DATOS_[[Check Periodo Ref.]:[Check Periodo Ref.]]="Dentro",IF(DATOS_[[Check Equiparado]:[Check Equiparado]]="Sí",IF(DATOS!AN$5="Sí",(1/DATOS_[[% anualiz]:[% anualiz]]),1)*IF(DATOS!AN$4="Sí",1/DATOS_[[% normaliz]:[% normaliz]],1)*(DATOS_[Conc.Sal.10])))))))),
0)</f>
        <v>0</v>
      </c>
      <c r="T73" s="101">
        <f t="array" ref="T73">IFERROR(
(AVERAGE((IF(DATOS_[[Sexo]:[Sexo]]=$B73,IF(DATOS_[[AGRUP. CLAS. PROF.]:[AGRUP. CLAS. PROF.]]=$B72,IF(DATOS_[[Check Periodo Ref.]:[Check Periodo Ref.]]="Dentro",IF(DATOS_[[Check Equiparado]:[Check Equiparado]]="Sí",IF(DATOS!AO$5="Sí",(1/DATOS_[[% anualiz]:[% anualiz]]),1)*IF(DATOS!AO$4="Sí",1/DATOS_[[% normaliz]:[% normaliz]],1)*(DATOS_[Conc.Sal.11])))))))),
0)</f>
        <v>0</v>
      </c>
      <c r="U73" s="101">
        <f t="array" ref="U73">IFERROR(
(AVERAGE((IF(DATOS_[[Sexo]:[Sexo]]=$B73,IF(DATOS_[[AGRUP. CLAS. PROF.]:[AGRUP. CLAS. PROF.]]=$B72,IF(DATOS_[[Check Periodo Ref.]:[Check Periodo Ref.]]="Dentro",IF(DATOS_[[Check Equiparado]:[Check Equiparado]]="Sí",IF(DATOS!AP$5="Sí",(1/DATOS_[[% anualiz]:[% anualiz]]),1)*IF(DATOS!AP$4="Sí",1/DATOS_[[% normaliz]:[% normaliz]],1)*(DATOS_[Conc.Sal.12])))))))),
0)</f>
        <v>0</v>
      </c>
      <c r="V73" s="101">
        <f t="array" ref="V73">IFERROR(
(AVERAGE((IF(DATOS_[[Sexo]:[Sexo]]=$B73,IF(DATOS_[[AGRUP. CLAS. PROF.]:[AGRUP. CLAS. PROF.]]=$B72,IF(DATOS_[[Check Periodo Ref.]:[Check Periodo Ref.]]="Dentro",IF(DATOS_[[Check Equiparado]:[Check Equiparado]]="Sí",IF(DATOS!AQ$5="Sí",(1/DATOS_[[% anualiz]:[% anualiz]]),1)*IF(DATOS!AQ$4="Sí",1/DATOS_[[% normaliz]:[% normaliz]],1)*(DATOS_[Conc.Sal.13])))))))),
0)</f>
        <v>0</v>
      </c>
      <c r="W73" s="101">
        <f t="array" ref="W73">IFERROR(
(AVERAGE((IF(DATOS_[[Sexo]:[Sexo]]=$B73,IF(DATOS_[[AGRUP. CLAS. PROF.]:[AGRUP. CLAS. PROF.]]=$B72,IF(DATOS_[[Check Periodo Ref.]:[Check Periodo Ref.]]="Dentro",IF(DATOS_[[Check Equiparado]:[Check Equiparado]]="Sí",IF(DATOS!AR$5="Sí",(1/DATOS_[[% anualiz]:[% anualiz]]),1)*IF(DATOS!AR$4="Sí",1/DATOS_[[% normaliz]:[% normaliz]],1)*(DATOS_[Conc.Sal.14])))))))),
0)</f>
        <v>0</v>
      </c>
      <c r="X73" s="101">
        <f t="array" ref="X73">IFERROR(
(AVERAGE((IF(DATOS_[[Sexo]:[Sexo]]=$B73,IF(DATOS_[[AGRUP. CLAS. PROF.]:[AGRUP. CLAS. PROF.]]=$B72,IF(DATOS_[[Check Periodo Ref.]:[Check Periodo Ref.]]="Dentro",IF(DATOS_[[Check Equiparado]:[Check Equiparado]]="Sí",IF(DATOS!AS$5="Sí",(1/DATOS_[[% anualiz]:[% anualiz]]),1)*IF(DATOS!AS$4="Sí",1/DATOS_[[% normaliz]:[% normaliz]],1)*(DATOS_[Conc.Sal.15])))))))),
0)</f>
        <v>0</v>
      </c>
      <c r="Y73" s="101">
        <f t="array" ref="Y73">IFERROR(
(AVERAGE((IF(DATOS_[[Sexo]:[Sexo]]=$B73,IF(DATOS_[[AGRUP. CLAS. PROF.]:[AGRUP. CLAS. PROF.]]=$B72,IF(DATOS_[[Check Periodo Ref.]:[Check Periodo Ref.]]="Dentro",IF(DATOS_[[Check Equiparado]:[Check Equiparado]]="Sí",IF(DATOS!AT$5="Sí",(1/DATOS_[[% anualiz]:[% anualiz]]),1)*IF(DATOS!AT$4="Sí",1/DATOS_[[% normaliz]:[% normaliz]],1)*(DATOS_[Conc.Sal.16])))))))),
0)</f>
        <v>0</v>
      </c>
      <c r="Z73" s="101">
        <f t="array" ref="Z73">IFERROR(
(AVERAGE((IF(DATOS_[[Sexo]:[Sexo]]=$B73,IF(DATOS_[[AGRUP. CLAS. PROF.]:[AGRUP. CLAS. PROF.]]=$B72,IF(DATOS_[[Check Periodo Ref.]:[Check Periodo Ref.]]="Dentro",IF(DATOS_[[Check Equiparado]:[Check Equiparado]]="Sí",IF(DATOS!AU$5="Sí",(1/DATOS_[[% anualiz]:[% anualiz]]),1)*IF(DATOS!AU$4="Sí",1/DATOS_[[% normaliz]:[% normaliz]],1)*(DATOS_[Conc.Sal.17])))))))),
0)</f>
        <v>0</v>
      </c>
      <c r="AA73" s="101">
        <f t="array" ref="AA73">IFERROR(
(AVERAGE((IF(DATOS_[[Sexo]:[Sexo]]=$B73,IF(DATOS_[[AGRUP. CLAS. PROF.]:[AGRUP. CLAS. PROF.]]=$B72,IF(DATOS_[[Check Periodo Ref.]:[Check Periodo Ref.]]="Dentro",IF(DATOS_[[Check Equiparado]:[Check Equiparado]]="Sí",IF(DATOS!AV$5="Sí",(1/DATOS_[[% anualiz]:[% anualiz]]),1)*IF(DATOS!AV$4="Sí",1/DATOS_[[% normaliz]:[% normaliz]],1)*(DATOS_[Conc.Sal.18])))))))),
0)</f>
        <v>0</v>
      </c>
      <c r="AB73" s="101">
        <f t="array" ref="AB73">IFERROR(
(AVERAGE((IF(DATOS_[[Sexo]:[Sexo]]=$B73,IF(DATOS_[[AGRUP. CLAS. PROF.]:[AGRUP. CLAS. PROF.]]=$B72,IF(DATOS_[[Check Periodo Ref.]:[Check Periodo Ref.]]="Dentro",IF(DATOS_[[Check Equiparado]:[Check Equiparado]]="Sí",IF(DATOS!AW$5="Sí",(1/DATOS_[[% anualiz]:[% anualiz]]),1)*IF(DATOS!AW$4="Sí",1/DATOS_[[% normaliz]:[% normaliz]],1)*(DATOS_[Conc.Sal.19])))))))),
0)</f>
        <v>0</v>
      </c>
      <c r="AC73" s="101">
        <f t="array" ref="AC73">IFERROR(
(AVERAGE((IF(DATOS_[[Sexo]:[Sexo]]=$B73,IF(DATOS_[[AGRUP. CLAS. PROF.]:[AGRUP. CLAS. PROF.]]=$B72,IF(DATOS_[[Check Periodo Ref.]:[Check Periodo Ref.]]="Dentro",IF(DATOS_[[Check Equiparado]:[Check Equiparado]]="Sí",IF(DATOS!AX$5="Sí",(1/DATOS_[[% anualiz]:[% anualiz]]),1)*IF(DATOS!AX$4="Sí",1/DATOS_[[% normaliz]:[% normaliz]],1)*(DATOS_[Conc.Sal.20])))))))),
0)</f>
        <v>0</v>
      </c>
      <c r="AD73" s="101">
        <f t="array" ref="AD73">IFERROR(
(AVERAGE((IF(DATOS_[[Sexo]:[Sexo]]=$B73,IF(DATOS_[[AGRUP. CLAS. PROF.]:[AGRUP. CLAS. PROF.]]=$B72,IF(DATOS_[[Check Periodo Ref.]:[Check Periodo Ref.]]="Dentro",IF(DATOS_[[Check Equiparado]:[Check Equiparado]]="Sí",IF(DATOS!AY$5="Sí",(1/DATOS_[[% anualiz]:[% anualiz]]),1)*IF(DATOS!AY$4="Sí",1/DATOS_[[% normaliz]:[% normaliz]],1)*(DATOS_[Conc.Sal.21])))))))),
0)</f>
        <v>0</v>
      </c>
      <c r="AE73" s="101">
        <f t="array" ref="AE73">IFERROR(
(AVERAGE((IF(DATOS_[[Sexo]:[Sexo]]=$B73,IF(DATOS_[[AGRUP. CLAS. PROF.]:[AGRUP. CLAS. PROF.]]=$B72,IF(DATOS_[[Check Periodo Ref.]:[Check Periodo Ref.]]="Dentro",IF(DATOS_[[Check Equiparado]:[Check Equiparado]]="Sí",IF(DATOS!AZ$5="Sí",(1/DATOS_[[% anualiz]:[% anualiz]]),1)*IF(DATOS!AZ$4="Sí",1/DATOS_[[% normaliz]:[% normaliz]],1)*(DATOS_[Conc.Sal.22])))))))),
0)</f>
        <v>0</v>
      </c>
      <c r="AF73" s="101">
        <f t="array" ref="AF73">IFERROR(
(AVERAGE((IF(DATOS_[[Sexo]:[Sexo]]=$B73,IF(DATOS_[[AGRUP. CLAS. PROF.]:[AGRUP. CLAS. PROF.]]=$B72,IF(DATOS_[[Check Periodo Ref.]:[Check Periodo Ref.]]="Dentro",IF(DATOS_[[Check Equiparado]:[Check Equiparado]]="Sí",IF(DATOS!BA$5="Sí",(1/DATOS_[[% anualiz]:[% anualiz]]),1)*IF(DATOS!BA$4="Sí",1/DATOS_[[% normaliz]:[% normaliz]],1)*(DATOS_[Conc.Sal.23])))))))),
0)</f>
        <v>0</v>
      </c>
      <c r="AG73" s="101">
        <f t="array" ref="AG73">IFERROR(
(AVERAGE((IF(DATOS_[[Sexo]:[Sexo]]=$B73,IF(DATOS_[[AGRUP. CLAS. PROF.]:[AGRUP. CLAS. PROF.]]=$B72,IF(DATOS_[[Check Periodo Ref.]:[Check Periodo Ref.]]="Dentro",IF(DATOS_[[Check Equiparado]:[Check Equiparado]]="Sí",IF(DATOS!BB$5="Sí",(1/DATOS_[[% anualiz]:[% anualiz]]),1)*IF(DATOS!BB$4="Sí",1/DATOS_[[% normaliz]:[% normaliz]],1)*(DATOS_[Conc.Sal.24])))))))),
0)</f>
        <v>0</v>
      </c>
      <c r="AH73" s="101">
        <f t="array" ref="AH73">IFERROR(
(AVERAGE((IF(DATOS_[[Sexo]:[Sexo]]=$B73,IF(DATOS_[[AGRUP. CLAS. PROF.]:[AGRUP. CLAS. PROF.]]=$B72,IF(DATOS_[[Check Periodo Ref.]:[Check Periodo Ref.]]="Dentro",IF(DATOS_[[Check Equiparado]:[Check Equiparado]]="Sí",IF(DATOS!BC$5="Sí",(1/DATOS_[[% anualiz]:[% anualiz]]),1)*IF(DATOS!BC$4="Sí",1/DATOS_[[% normaliz]:[% normaliz]],1)*(DATOS_[Conc.Sal.25])))))))),
0)</f>
        <v>0</v>
      </c>
      <c r="AI73" s="101">
        <f t="array" ref="AI73">IFERROR(
(AVERAGE((IF(DATOS_[[Sexo]:[Sexo]]=$B73,IF(DATOS_[[AGRUP. CLAS. PROF.]:[AGRUP. CLAS. PROF.]]=$B72,IF(DATOS_[[Check Periodo Ref.]:[Check Periodo Ref.]]="Dentro",IF(DATOS_[[Check Equiparado]:[Check Equiparado]]="Sí",IF(DATOS!BD$5="Sí",(1/DATOS_[[% anualiz]:[% anualiz]]),1)*IF(DATOS!BD$4="Sí",1/DATOS_[[% normaliz]:[% normaliz]],1)*(DATOS_[Conc.Sal.26])))))))),
0)</f>
        <v>0</v>
      </c>
      <c r="AJ73" s="101">
        <f t="array" ref="AJ73">IFERROR(
(AVERAGE((IF(DATOS_[[Sexo]:[Sexo]]=$B73,IF(DATOS_[[AGRUP. CLAS. PROF.]:[AGRUP. CLAS. PROF.]]=$B72,IF(DATOS_[[Check Periodo Ref.]:[Check Periodo Ref.]]="Dentro",IF(DATOS_[[Check Equiparado]:[Check Equiparado]]="Sí",IF(DATOS!BE$5="Sí",(1/DATOS_[[% anualiz]:[% anualiz]]),1)*IF(DATOS!BE$4="Sí",1/DATOS_[[% normaliz]:[% normaliz]],1)*(DATOS_[Conc.Sal.27])))))))),
0)</f>
        <v>0</v>
      </c>
      <c r="AK73" s="101">
        <f t="array" ref="AK73">IFERROR(
(AVERAGE((IF(DATOS_[[Sexo]:[Sexo]]=$B73,IF(DATOS_[[AGRUP. CLAS. PROF.]:[AGRUP. CLAS. PROF.]]=$B72,IF(DATOS_[[Check Periodo Ref.]:[Check Periodo Ref.]]="Dentro",IF(DATOS_[[Check Equiparado]:[Check Equiparado]]="Sí",IF(DATOS!BF$5="Sí",(1/DATOS_[[% anualiz]:[% anualiz]]),1)*IF(DATOS!BF$4="Sí",1/DATOS_[[% normaliz]:[% normaliz]],1)*(DATOS_[Conc.Sal.28])))))))),
0)</f>
        <v>0</v>
      </c>
      <c r="AL73" s="101">
        <f t="array" ref="AL73">IFERROR(
(AVERAGE((IF(DATOS_[[Sexo]:[Sexo]]=$B73,IF(DATOS_[[AGRUP. CLAS. PROF.]:[AGRUP. CLAS. PROF.]]=$B72,IF(DATOS_[[Check Periodo Ref.]:[Check Periodo Ref.]]="Dentro",IF(DATOS_[[Check Equiparado]:[Check Equiparado]]="Sí",IF(DATOS!BG$5="Sí",(1/DATOS_[[% anualiz]:[% anualiz]]),1)*IF(DATOS!BG$4="Sí",1/DATOS_[[% normaliz]:[% normaliz]],1)*(DATOS_[Conc.Sal.29])))))))),
0)</f>
        <v>0</v>
      </c>
      <c r="AM73" s="101">
        <f t="array" ref="AM73">IFERROR(
(AVERAGE((IF(DATOS_[[Sexo]:[Sexo]]=$B73,IF(DATOS_[[AGRUP. CLAS. PROF.]:[AGRUP. CLAS. PROF.]]=$B72,IF(DATOS_[[Check Periodo Ref.]:[Check Periodo Ref.]]="Dentro",IF(DATOS_[[Check Equiparado]:[Check Equiparado]]="Sí",IF(DATOS!BH$5="Sí",(1/DATOS_[[% anualiz]:[% anualiz]]),1)*IF(DATOS!BH$4="Sí",1/DATOS_[[% normaliz]:[% normaliz]],1)*(DATOS_[Conc.Sal.30])))))))),
0)</f>
        <v>0</v>
      </c>
      <c r="AN73" s="102">
        <f t="array" ref="AN73">IFERROR(
AVERAGE(IF(DATOS_[Sexo]=$B73,IF(DATOS_[[AGRUP. CLAS. PROF.]:[AGRUP. CLAS. PROF.]]=$B72,IF(DATOS_[Check Equiparado]="Sí",IF(DATOS_[Check Periodo Ref.]="Dentro",DATOS_[Tot COMPL.SAL Eq],FALSE))))),
0)</f>
        <v>0</v>
      </c>
      <c r="AO73" s="103">
        <f t="array" ref="AO73">IFERROR(
AVERAGE(IF(DATOS_[Sexo]=$B73,IF(DATOS_[[AGRUP. CLAS. PROF.]:[AGRUP. CLAS. PROF.]]=$B72,IF(DATOS_[Check Equiparado]="Sí",IF(DATOS_[Check Periodo Ref.]="Dentro",DATOS_[TOTAL SALARIO Eq],FALSE))))),
0)</f>
        <v>0</v>
      </c>
      <c r="AP73" s="104">
        <f t="array" ref="AP73">IFERROR(
(AVERAGE((IF(DATOS_[[Sexo]:[Sexo]]=$B73,IF(DATOS_[[AGRUP. CLAS. PROF.]:[AGRUP. CLAS. PROF.]]=$B72,IF(DATOS_[[Check Periodo Ref.]:[Check Periodo Ref.]]="Dentro",IF(DATOS_[[Check Equiparado]:[Check Equiparado]]="Sí",IF(DATOS!BI$5="Sí",(1/DATOS_[[% anualiz]:[% anualiz]]),1)*IF(DATOS!BI$4="Sí",1/DATOS_[[% normaliz]:[% normaliz]],1)*(DATOS_[C.Extra.01])))))))),
0)</f>
        <v>0</v>
      </c>
      <c r="AQ73" s="104">
        <f t="array" ref="AQ73">IFERROR(
(AVERAGE((IF(DATOS_[[Sexo]:[Sexo]]=$B73,IF(DATOS_[[AGRUP. CLAS. PROF.]:[AGRUP. CLAS. PROF.]]=$B72,IF(DATOS_[[Check Periodo Ref.]:[Check Periodo Ref.]]="Dentro",IF(DATOS_[[Check Equiparado]:[Check Equiparado]]="Sí",IF(DATOS!BJ$5="Sí",(1/DATOS_[[% anualiz]:[% anualiz]]),1)*IF(DATOS!BJ$4="Sí",1/DATOS_[[% normaliz]:[% normaliz]],1)*(DATOS_[C.Extra.02])))))))),
0)</f>
        <v>0</v>
      </c>
      <c r="AR73" s="104">
        <f t="array" ref="AR73">IFERROR(
(AVERAGE((IF(DATOS_[[Sexo]:[Sexo]]=$B73,IF(DATOS_[[AGRUP. CLAS. PROF.]:[AGRUP. CLAS. PROF.]]=$B72,IF(DATOS_[[Check Periodo Ref.]:[Check Periodo Ref.]]="Dentro",IF(DATOS_[[Check Equiparado]:[Check Equiparado]]="Sí",IF(DATOS!BK$5="Sí",(1/DATOS_[[% anualiz]:[% anualiz]]),1)*IF(DATOS!BK$4="Sí",1/DATOS_[[% normaliz]:[% normaliz]],1)*(DATOS_[C.Extra.03])))))))),
0)</f>
        <v>0</v>
      </c>
      <c r="AS73" s="104">
        <f t="array" ref="AS73">IFERROR(
(AVERAGE((IF(DATOS_[[Sexo]:[Sexo]]=$B73,IF(DATOS_[[AGRUP. CLAS. PROF.]:[AGRUP. CLAS. PROF.]]=$B72,IF(DATOS_[[Check Periodo Ref.]:[Check Periodo Ref.]]="Dentro",IF(DATOS_[[Check Equiparado]:[Check Equiparado]]="Sí",IF(DATOS!BL$5="Sí",(1/DATOS_[[% anualiz]:[% anualiz]]),1)*IF(DATOS!BL$4="Sí",1/DATOS_[[% normaliz]:[% normaliz]],1)*(DATOS_[C.Extra.04])))))))),
0)</f>
        <v>0</v>
      </c>
      <c r="AT73" s="104">
        <f t="array" ref="AT73">IFERROR(
(AVERAGE((IF(DATOS_[[Sexo]:[Sexo]]=$B73,IF(DATOS_[[AGRUP. CLAS. PROF.]:[AGRUP. CLAS. PROF.]]=$B72,IF(DATOS_[[Check Periodo Ref.]:[Check Periodo Ref.]]="Dentro",IF(DATOS_[[Check Equiparado]:[Check Equiparado]]="Sí",IF(DATOS!BM$5="Sí",(1/DATOS_[[% anualiz]:[% anualiz]]),1)*IF(DATOS!BM$4="Sí",1/DATOS_[[% normaliz]:[% normaliz]],1)*(DATOS_[C.Extra.05])))))))),
0)</f>
        <v>0</v>
      </c>
      <c r="AU73" s="105">
        <f t="array" ref="AU73">IFERROR(
AVERAGE(IF(DATOS_[Sexo]=$B73,IF(DATOS_[[AGRUP. CLAS. PROF.]:[AGRUP. CLAS. PROF.]]=$B72,IF(DATOS_[Check Equiparado]="Sí",IF(DATOS_[Check Periodo Ref.]="Dentro",DATOS_[Tot Extrasalarial Eq],FALSE))))),
0)</f>
        <v>0</v>
      </c>
      <c r="AV73" s="106">
        <f t="array" ref="AV73">IFERROR(
AVERAGE(IF(DATOS_[Sexo]=$B73,IF(DATOS_[[AGRUP. CLAS. PROF.]:[AGRUP. CLAS. PROF.]]=$B72,IF(DATOS_[Check Equiparado]="Sí",IF(DATOS_[Check Periodo Ref.]="Dentro",DATOS_[TOTAL Retrib Eq],FALSE))))),
0)</f>
        <v>0</v>
      </c>
    </row>
    <row r="74" spans="1:48" hidden="1" x14ac:dyDescent="0.3">
      <c r="A74" s="53" t="str">
        <f t="shared" ref="A74" si="82">+A73</f>
        <v>[ocultar]</v>
      </c>
      <c r="B74" s="57" t="s">
        <v>163</v>
      </c>
      <c r="C74" s="56">
        <f t="array" ref="C74">SUM(IF($B74=DATOS_[Sexo],
IF($B72=DATOS_[AGRUP. CLAS. PROF.],
IF("Dentro"=DATOS_[Check Periodo Ref.],
1/(COUNTIFS(DATOS_[Sexo],$B74,DATOS_[AGRUP. CLAS. PROF.],$B72,DATOS_[Check Periodo Ref.],"Dentro",DATOS_[id],DATOS_[id]))))))</f>
        <v>0</v>
      </c>
      <c r="D74" s="58">
        <f>COUNTIFS(DATOS_[AGRUP. CLAS. PROF.],$B72,DATOS_[Sexo],$B74,DATOS_[Check Periodo Ref.],"Dentro")</f>
        <v>0</v>
      </c>
      <c r="E74" s="58">
        <f>COUNTIFS(DATOS_[AGRUP. CLAS. PROF.],$B72,DATOS_[Sexo],$B74,DATOS_[Check Periodo Ref.],"Dentro",DATOS_[Check Nº SC Norm],"Sí")</f>
        <v>0</v>
      </c>
      <c r="F74" s="58">
        <f>COUNTIFS(DATOS_[AGRUP. CLAS. PROF.],$B72,DATOS_[Sexo],$B74,DATOS_[Check Periodo Ref.],"Dentro",DATOS_[Check Nº SC Anualiz],"Sí")</f>
        <v>0</v>
      </c>
      <c r="G74" s="58">
        <f>COUNTIFS(DATOS_[AGRUP. CLAS. PROF.],$B72,DATOS_[Sexo],$B74,DATOS_[Check Periodo Ref.],"Dentro",DATOS_[Check Nº SC Norm y Anualiz],"Sí")</f>
        <v>0</v>
      </c>
      <c r="H74" s="58">
        <f>COUNTIFS(DATOS_[AGRUP. CLAS. PROF.],$B72,DATOS_[Sexo],$B74,DATOS_[Check Periodo Ref.],"Dentro",DATOS_[Check Equiparación],"Sí")</f>
        <v>0</v>
      </c>
      <c r="I74" s="100" cm="1">
        <f t="array" ref="I74">IFERROR(
AVERAGE(IF(DATOS_[Sexo]=$B74,IF(DATOS_[[AGRUP. CLAS. PROF.]:[AGRUP. CLAS. PROF.]]=$B72,IF(DATOS_[Check Equiparado]="Sí",IF(DATOS_[Check Periodo Ref.]="Dentro",DATOS_[SALARIO BASE Eq],FALSE))))),
0)</f>
        <v>0</v>
      </c>
      <c r="J74" s="101">
        <f t="array" ref="J74">IFERROR(
(AVERAGE((IF(DATOS_[[Sexo]:[Sexo]]=$B74,IF(DATOS_[[AGRUP. CLAS. PROF.]:[AGRUP. CLAS. PROF.]]=$B72,IF(DATOS_[[Check Periodo Ref.]:[Check Periodo Ref.]]="Dentro",IF(DATOS_[[Check Equiparado]:[Check Equiparado]]="Sí",IF(DATOS!AE$5="Sí",(1/DATOS_[[% anualiz]:[% anualiz]]),1)*IF(DATOS!AE$4="Sí",1/DATOS_[[% normaliz]:[% normaliz]],1)*(DATOS_[Conc.Sal.01])))))))),
0)</f>
        <v>0</v>
      </c>
      <c r="K74" s="101">
        <f t="array" ref="K74">IFERROR(
(AVERAGE((IF(DATOS_[[Sexo]:[Sexo]]=$B74,IF(DATOS_[[AGRUP. CLAS. PROF.]:[AGRUP. CLAS. PROF.]]=$B72,IF(DATOS_[[Check Periodo Ref.]:[Check Periodo Ref.]]="Dentro",IF(DATOS_[[Check Equiparado]:[Check Equiparado]]="Sí",IF(DATOS!AF$5="Sí",(1/DATOS_[[% anualiz]:[% anualiz]]),1)*IF(DATOS!AF$4="Sí",1/DATOS_[[% normaliz]:[% normaliz]],1)*(DATOS_[Conc.Sal.02])))))))),
0)</f>
        <v>0</v>
      </c>
      <c r="L74" s="101">
        <f t="array" ref="L74">IFERROR(
(AVERAGE((IF(DATOS_[[Sexo]:[Sexo]]=$B74,IF(DATOS_[[AGRUP. CLAS. PROF.]:[AGRUP. CLAS. PROF.]]=$B72,IF(DATOS_[[Check Periodo Ref.]:[Check Periodo Ref.]]="Dentro",IF(DATOS_[[Check Equiparado]:[Check Equiparado]]="Sí",IF(DATOS!AG$5="Sí",(1/DATOS_[[% anualiz]:[% anualiz]]),1)*IF(DATOS!AG$4="Sí",1/DATOS_[[% normaliz]:[% normaliz]],1)*(DATOS_[Conc.Sal.03])))))))),
0)</f>
        <v>0</v>
      </c>
      <c r="M74" s="101">
        <f t="array" ref="M74">IFERROR(
(AVERAGE((IF(DATOS_[[Sexo]:[Sexo]]=$B74,IF(DATOS_[[AGRUP. CLAS. PROF.]:[AGRUP. CLAS. PROF.]]=$B72,IF(DATOS_[[Check Periodo Ref.]:[Check Periodo Ref.]]="Dentro",IF(DATOS_[[Check Equiparado]:[Check Equiparado]]="Sí",IF(DATOS!AH$5="Sí",(1/DATOS_[[% anualiz]:[% anualiz]]),1)*IF(DATOS!AH$4="Sí",1/DATOS_[[% normaliz]:[% normaliz]],1)*(DATOS_[Conc.Sal.04])))))))),
0)</f>
        <v>0</v>
      </c>
      <c r="N74" s="101">
        <f t="array" ref="N74">IFERROR(
(AVERAGE((IF(DATOS_[[Sexo]:[Sexo]]=$B74,IF(DATOS_[[AGRUP. CLAS. PROF.]:[AGRUP. CLAS. PROF.]]=$B72,IF(DATOS_[[Check Periodo Ref.]:[Check Periodo Ref.]]="Dentro",IF(DATOS_[[Check Equiparado]:[Check Equiparado]]="Sí",IF(DATOS!AI$5="Sí",(1/DATOS_[[% anualiz]:[% anualiz]]),1)*IF(DATOS!AI$4="Sí",1/DATOS_[[% normaliz]:[% normaliz]],1)*(DATOS_[Conc.Sal.05])))))))),
0)</f>
        <v>0</v>
      </c>
      <c r="O74" s="101">
        <f t="array" ref="O74">IFERROR(
(AVERAGE((IF(DATOS_[[Sexo]:[Sexo]]=$B74,IF(DATOS_[[AGRUP. CLAS. PROF.]:[AGRUP. CLAS. PROF.]]=$B72,IF(DATOS_[[Check Periodo Ref.]:[Check Periodo Ref.]]="Dentro",IF(DATOS_[[Check Equiparado]:[Check Equiparado]]="Sí",IF(DATOS!AJ$5="Sí",(1/DATOS_[[% anualiz]:[% anualiz]]),1)*IF(DATOS!AJ$4="Sí",1/DATOS_[[% normaliz]:[% normaliz]],1)*(DATOS_[Conc.Sal.06])))))))),
0)</f>
        <v>0</v>
      </c>
      <c r="P74" s="101">
        <f t="array" ref="P74">IFERROR(
(AVERAGE((IF(DATOS_[[Sexo]:[Sexo]]=$B74,IF(DATOS_[[AGRUP. CLAS. PROF.]:[AGRUP. CLAS. PROF.]]=$B72,IF(DATOS_[[Check Periodo Ref.]:[Check Periodo Ref.]]="Dentro",IF(DATOS_[[Check Equiparado]:[Check Equiparado]]="Sí",IF(DATOS!AK$5="Sí",(1/DATOS_[[% anualiz]:[% anualiz]]),1)*IF(DATOS!AK$4="Sí",1/DATOS_[[% normaliz]:[% normaliz]],1)*(DATOS_[Conc.Sal.07])))))))),
0)</f>
        <v>0</v>
      </c>
      <c r="Q74" s="101">
        <f t="array" ref="Q74">IFERROR(
(AVERAGE((IF(DATOS_[[Sexo]:[Sexo]]=$B74,IF(DATOS_[[AGRUP. CLAS. PROF.]:[AGRUP. CLAS. PROF.]]=$B72,IF(DATOS_[[Check Periodo Ref.]:[Check Periodo Ref.]]="Dentro",IF(DATOS_[[Check Equiparado]:[Check Equiparado]]="Sí",IF(DATOS!AL$5="Sí",(1/DATOS_[[% anualiz]:[% anualiz]]),1)*IF(DATOS!AL$4="Sí",1/DATOS_[[% normaliz]:[% normaliz]],1)*(DATOS_[Conc.Sal.08])))))))),
0)</f>
        <v>0</v>
      </c>
      <c r="R74" s="101">
        <f t="array" ref="R74">IFERROR(
(AVERAGE((IF(DATOS_[[Sexo]:[Sexo]]=$B74,IF(DATOS_[[AGRUP. CLAS. PROF.]:[AGRUP. CLAS. PROF.]]=$B72,IF(DATOS_[[Check Periodo Ref.]:[Check Periodo Ref.]]="Dentro",IF(DATOS_[[Check Equiparado]:[Check Equiparado]]="Sí",IF(DATOS!AM$5="Sí",(1/DATOS_[[% anualiz]:[% anualiz]]),1)*IF(DATOS!AM$4="Sí",1/DATOS_[[% normaliz]:[% normaliz]],1)*(DATOS_[Conc.Sal.09])))))))),
0)</f>
        <v>0</v>
      </c>
      <c r="S74" s="101">
        <f t="array" ref="S74">IFERROR(
(AVERAGE((IF(DATOS_[[Sexo]:[Sexo]]=$B74,IF(DATOS_[[AGRUP. CLAS. PROF.]:[AGRUP. CLAS. PROF.]]=$B72,IF(DATOS_[[Check Periodo Ref.]:[Check Periodo Ref.]]="Dentro",IF(DATOS_[[Check Equiparado]:[Check Equiparado]]="Sí",IF(DATOS!AN$5="Sí",(1/DATOS_[[% anualiz]:[% anualiz]]),1)*IF(DATOS!AN$4="Sí",1/DATOS_[[% normaliz]:[% normaliz]],1)*(DATOS_[Conc.Sal.10])))))))),
0)</f>
        <v>0</v>
      </c>
      <c r="T74" s="101">
        <f t="array" ref="T74">IFERROR(
(AVERAGE((IF(DATOS_[[Sexo]:[Sexo]]=$B74,IF(DATOS_[[AGRUP. CLAS. PROF.]:[AGRUP. CLAS. PROF.]]=$B72,IF(DATOS_[[Check Periodo Ref.]:[Check Periodo Ref.]]="Dentro",IF(DATOS_[[Check Equiparado]:[Check Equiparado]]="Sí",IF(DATOS!AO$5="Sí",(1/DATOS_[[% anualiz]:[% anualiz]]),1)*IF(DATOS!AO$4="Sí",1/DATOS_[[% normaliz]:[% normaliz]],1)*(DATOS_[Conc.Sal.11])))))))),
0)</f>
        <v>0</v>
      </c>
      <c r="U74" s="101">
        <f t="array" ref="U74">IFERROR(
(AVERAGE((IF(DATOS_[[Sexo]:[Sexo]]=$B74,IF(DATOS_[[AGRUP. CLAS. PROF.]:[AGRUP. CLAS. PROF.]]=$B72,IF(DATOS_[[Check Periodo Ref.]:[Check Periodo Ref.]]="Dentro",IF(DATOS_[[Check Equiparado]:[Check Equiparado]]="Sí",IF(DATOS!AP$5="Sí",(1/DATOS_[[% anualiz]:[% anualiz]]),1)*IF(DATOS!AP$4="Sí",1/DATOS_[[% normaliz]:[% normaliz]],1)*(DATOS_[Conc.Sal.12])))))))),
0)</f>
        <v>0</v>
      </c>
      <c r="V74" s="101">
        <f t="array" ref="V74">IFERROR(
(AVERAGE((IF(DATOS_[[Sexo]:[Sexo]]=$B74,IF(DATOS_[[AGRUP. CLAS. PROF.]:[AGRUP. CLAS. PROF.]]=$B72,IF(DATOS_[[Check Periodo Ref.]:[Check Periodo Ref.]]="Dentro",IF(DATOS_[[Check Equiparado]:[Check Equiparado]]="Sí",IF(DATOS!AQ$5="Sí",(1/DATOS_[[% anualiz]:[% anualiz]]),1)*IF(DATOS!AQ$4="Sí",1/DATOS_[[% normaliz]:[% normaliz]],1)*(DATOS_[Conc.Sal.13])))))))),
0)</f>
        <v>0</v>
      </c>
      <c r="W74" s="101">
        <f t="array" ref="W74">IFERROR(
(AVERAGE((IF(DATOS_[[Sexo]:[Sexo]]=$B74,IF(DATOS_[[AGRUP. CLAS. PROF.]:[AGRUP. CLAS. PROF.]]=$B72,IF(DATOS_[[Check Periodo Ref.]:[Check Periodo Ref.]]="Dentro",IF(DATOS_[[Check Equiparado]:[Check Equiparado]]="Sí",IF(DATOS!AR$5="Sí",(1/DATOS_[[% anualiz]:[% anualiz]]),1)*IF(DATOS!AR$4="Sí",1/DATOS_[[% normaliz]:[% normaliz]],1)*(DATOS_[Conc.Sal.14])))))))),
0)</f>
        <v>0</v>
      </c>
      <c r="X74" s="101">
        <f t="array" ref="X74">IFERROR(
(AVERAGE((IF(DATOS_[[Sexo]:[Sexo]]=$B74,IF(DATOS_[[AGRUP. CLAS. PROF.]:[AGRUP. CLAS. PROF.]]=$B72,IF(DATOS_[[Check Periodo Ref.]:[Check Periodo Ref.]]="Dentro",IF(DATOS_[[Check Equiparado]:[Check Equiparado]]="Sí",IF(DATOS!AS$5="Sí",(1/DATOS_[[% anualiz]:[% anualiz]]),1)*IF(DATOS!AS$4="Sí",1/DATOS_[[% normaliz]:[% normaliz]],1)*(DATOS_[Conc.Sal.15])))))))),
0)</f>
        <v>0</v>
      </c>
      <c r="Y74" s="101">
        <f t="array" ref="Y74">IFERROR(
(AVERAGE((IF(DATOS_[[Sexo]:[Sexo]]=$B74,IF(DATOS_[[AGRUP. CLAS. PROF.]:[AGRUP. CLAS. PROF.]]=$B72,IF(DATOS_[[Check Periodo Ref.]:[Check Periodo Ref.]]="Dentro",IF(DATOS_[[Check Equiparado]:[Check Equiparado]]="Sí",IF(DATOS!AT$5="Sí",(1/DATOS_[[% anualiz]:[% anualiz]]),1)*IF(DATOS!AT$4="Sí",1/DATOS_[[% normaliz]:[% normaliz]],1)*(DATOS_[Conc.Sal.16])))))))),
0)</f>
        <v>0</v>
      </c>
      <c r="Z74" s="101">
        <f t="array" ref="Z74">IFERROR(
(AVERAGE((IF(DATOS_[[Sexo]:[Sexo]]=$B74,IF(DATOS_[[AGRUP. CLAS. PROF.]:[AGRUP. CLAS. PROF.]]=$B72,IF(DATOS_[[Check Periodo Ref.]:[Check Periodo Ref.]]="Dentro",IF(DATOS_[[Check Equiparado]:[Check Equiparado]]="Sí",IF(DATOS!AU$5="Sí",(1/DATOS_[[% anualiz]:[% anualiz]]),1)*IF(DATOS!AU$4="Sí",1/DATOS_[[% normaliz]:[% normaliz]],1)*(DATOS_[Conc.Sal.17])))))))),
0)</f>
        <v>0</v>
      </c>
      <c r="AA74" s="101">
        <f t="array" ref="AA74">IFERROR(
(AVERAGE((IF(DATOS_[[Sexo]:[Sexo]]=$B74,IF(DATOS_[[AGRUP. CLAS. PROF.]:[AGRUP. CLAS. PROF.]]=$B72,IF(DATOS_[[Check Periodo Ref.]:[Check Periodo Ref.]]="Dentro",IF(DATOS_[[Check Equiparado]:[Check Equiparado]]="Sí",IF(DATOS!AV$5="Sí",(1/DATOS_[[% anualiz]:[% anualiz]]),1)*IF(DATOS!AV$4="Sí",1/DATOS_[[% normaliz]:[% normaliz]],1)*(DATOS_[Conc.Sal.18])))))))),
0)</f>
        <v>0</v>
      </c>
      <c r="AB74" s="101">
        <f t="array" ref="AB74">IFERROR(
(AVERAGE((IF(DATOS_[[Sexo]:[Sexo]]=$B74,IF(DATOS_[[AGRUP. CLAS. PROF.]:[AGRUP. CLAS. PROF.]]=$B72,IF(DATOS_[[Check Periodo Ref.]:[Check Periodo Ref.]]="Dentro",IF(DATOS_[[Check Equiparado]:[Check Equiparado]]="Sí",IF(DATOS!AW$5="Sí",(1/DATOS_[[% anualiz]:[% anualiz]]),1)*IF(DATOS!AW$4="Sí",1/DATOS_[[% normaliz]:[% normaliz]],1)*(DATOS_[Conc.Sal.19])))))))),
0)</f>
        <v>0</v>
      </c>
      <c r="AC74" s="101">
        <f t="array" ref="AC74">IFERROR(
(AVERAGE((IF(DATOS_[[Sexo]:[Sexo]]=$B74,IF(DATOS_[[AGRUP. CLAS. PROF.]:[AGRUP. CLAS. PROF.]]=$B72,IF(DATOS_[[Check Periodo Ref.]:[Check Periodo Ref.]]="Dentro",IF(DATOS_[[Check Equiparado]:[Check Equiparado]]="Sí",IF(DATOS!AX$5="Sí",(1/DATOS_[[% anualiz]:[% anualiz]]),1)*IF(DATOS!AX$4="Sí",1/DATOS_[[% normaliz]:[% normaliz]],1)*(DATOS_[Conc.Sal.20])))))))),
0)</f>
        <v>0</v>
      </c>
      <c r="AD74" s="101">
        <f t="array" ref="AD74">IFERROR(
(AVERAGE((IF(DATOS_[[Sexo]:[Sexo]]=$B74,IF(DATOS_[[AGRUP. CLAS. PROF.]:[AGRUP. CLAS. PROF.]]=$B72,IF(DATOS_[[Check Periodo Ref.]:[Check Periodo Ref.]]="Dentro",IF(DATOS_[[Check Equiparado]:[Check Equiparado]]="Sí",IF(DATOS!AY$5="Sí",(1/DATOS_[[% anualiz]:[% anualiz]]),1)*IF(DATOS!AY$4="Sí",1/DATOS_[[% normaliz]:[% normaliz]],1)*(DATOS_[Conc.Sal.21])))))))),
0)</f>
        <v>0</v>
      </c>
      <c r="AE74" s="101">
        <f t="array" ref="AE74">IFERROR(
(AVERAGE((IF(DATOS_[[Sexo]:[Sexo]]=$B74,IF(DATOS_[[AGRUP. CLAS. PROF.]:[AGRUP. CLAS. PROF.]]=$B72,IF(DATOS_[[Check Periodo Ref.]:[Check Periodo Ref.]]="Dentro",IF(DATOS_[[Check Equiparado]:[Check Equiparado]]="Sí",IF(DATOS!AZ$5="Sí",(1/DATOS_[[% anualiz]:[% anualiz]]),1)*IF(DATOS!AZ$4="Sí",1/DATOS_[[% normaliz]:[% normaliz]],1)*(DATOS_[Conc.Sal.22])))))))),
0)</f>
        <v>0</v>
      </c>
      <c r="AF74" s="101">
        <f t="array" ref="AF74">IFERROR(
(AVERAGE((IF(DATOS_[[Sexo]:[Sexo]]=$B74,IF(DATOS_[[AGRUP. CLAS. PROF.]:[AGRUP. CLAS. PROF.]]=$B72,IF(DATOS_[[Check Periodo Ref.]:[Check Periodo Ref.]]="Dentro",IF(DATOS_[[Check Equiparado]:[Check Equiparado]]="Sí",IF(DATOS!BA$5="Sí",(1/DATOS_[[% anualiz]:[% anualiz]]),1)*IF(DATOS!BA$4="Sí",1/DATOS_[[% normaliz]:[% normaliz]],1)*(DATOS_[Conc.Sal.23])))))))),
0)</f>
        <v>0</v>
      </c>
      <c r="AG74" s="101">
        <f t="array" ref="AG74">IFERROR(
(AVERAGE((IF(DATOS_[[Sexo]:[Sexo]]=$B74,IF(DATOS_[[AGRUP. CLAS. PROF.]:[AGRUP. CLAS. PROF.]]=$B72,IF(DATOS_[[Check Periodo Ref.]:[Check Periodo Ref.]]="Dentro",IF(DATOS_[[Check Equiparado]:[Check Equiparado]]="Sí",IF(DATOS!BB$5="Sí",(1/DATOS_[[% anualiz]:[% anualiz]]),1)*IF(DATOS!BB$4="Sí",1/DATOS_[[% normaliz]:[% normaliz]],1)*(DATOS_[Conc.Sal.24])))))))),
0)</f>
        <v>0</v>
      </c>
      <c r="AH74" s="101">
        <f t="array" ref="AH74">IFERROR(
(AVERAGE((IF(DATOS_[[Sexo]:[Sexo]]=$B74,IF(DATOS_[[AGRUP. CLAS. PROF.]:[AGRUP. CLAS. PROF.]]=$B72,IF(DATOS_[[Check Periodo Ref.]:[Check Periodo Ref.]]="Dentro",IF(DATOS_[[Check Equiparado]:[Check Equiparado]]="Sí",IF(DATOS!BC$5="Sí",(1/DATOS_[[% anualiz]:[% anualiz]]),1)*IF(DATOS!BC$4="Sí",1/DATOS_[[% normaliz]:[% normaliz]],1)*(DATOS_[Conc.Sal.25])))))))),
0)</f>
        <v>0</v>
      </c>
      <c r="AI74" s="101">
        <f t="array" ref="AI74">IFERROR(
(AVERAGE((IF(DATOS_[[Sexo]:[Sexo]]=$B74,IF(DATOS_[[AGRUP. CLAS. PROF.]:[AGRUP. CLAS. PROF.]]=$B72,IF(DATOS_[[Check Periodo Ref.]:[Check Periodo Ref.]]="Dentro",IF(DATOS_[[Check Equiparado]:[Check Equiparado]]="Sí",IF(DATOS!BD$5="Sí",(1/DATOS_[[% anualiz]:[% anualiz]]),1)*IF(DATOS!BD$4="Sí",1/DATOS_[[% normaliz]:[% normaliz]],1)*(DATOS_[Conc.Sal.26])))))))),
0)</f>
        <v>0</v>
      </c>
      <c r="AJ74" s="101">
        <f t="array" ref="AJ74">IFERROR(
(AVERAGE((IF(DATOS_[[Sexo]:[Sexo]]=$B74,IF(DATOS_[[AGRUP. CLAS. PROF.]:[AGRUP. CLAS. PROF.]]=$B72,IF(DATOS_[[Check Periodo Ref.]:[Check Periodo Ref.]]="Dentro",IF(DATOS_[[Check Equiparado]:[Check Equiparado]]="Sí",IF(DATOS!BE$5="Sí",(1/DATOS_[[% anualiz]:[% anualiz]]),1)*IF(DATOS!BE$4="Sí",1/DATOS_[[% normaliz]:[% normaliz]],1)*(DATOS_[Conc.Sal.27])))))))),
0)</f>
        <v>0</v>
      </c>
      <c r="AK74" s="101">
        <f t="array" ref="AK74">IFERROR(
(AVERAGE((IF(DATOS_[[Sexo]:[Sexo]]=$B74,IF(DATOS_[[AGRUP. CLAS. PROF.]:[AGRUP. CLAS. PROF.]]=$B72,IF(DATOS_[[Check Periodo Ref.]:[Check Periodo Ref.]]="Dentro",IF(DATOS_[[Check Equiparado]:[Check Equiparado]]="Sí",IF(DATOS!BF$5="Sí",(1/DATOS_[[% anualiz]:[% anualiz]]),1)*IF(DATOS!BF$4="Sí",1/DATOS_[[% normaliz]:[% normaliz]],1)*(DATOS_[Conc.Sal.28])))))))),
0)</f>
        <v>0</v>
      </c>
      <c r="AL74" s="101">
        <f t="array" ref="AL74">IFERROR(
(AVERAGE((IF(DATOS_[[Sexo]:[Sexo]]=$B74,IF(DATOS_[[AGRUP. CLAS. PROF.]:[AGRUP. CLAS. PROF.]]=$B72,IF(DATOS_[[Check Periodo Ref.]:[Check Periodo Ref.]]="Dentro",IF(DATOS_[[Check Equiparado]:[Check Equiparado]]="Sí",IF(DATOS!BG$5="Sí",(1/DATOS_[[% anualiz]:[% anualiz]]),1)*IF(DATOS!BG$4="Sí",1/DATOS_[[% normaliz]:[% normaliz]],1)*(DATOS_[Conc.Sal.29])))))))),
0)</f>
        <v>0</v>
      </c>
      <c r="AM74" s="101">
        <f t="array" ref="AM74">IFERROR(
(AVERAGE((IF(DATOS_[[Sexo]:[Sexo]]=$B74,IF(DATOS_[[AGRUP. CLAS. PROF.]:[AGRUP. CLAS. PROF.]]=$B72,IF(DATOS_[[Check Periodo Ref.]:[Check Periodo Ref.]]="Dentro",IF(DATOS_[[Check Equiparado]:[Check Equiparado]]="Sí",IF(DATOS!BH$5="Sí",(1/DATOS_[[% anualiz]:[% anualiz]]),1)*IF(DATOS!BH$4="Sí",1/DATOS_[[% normaliz]:[% normaliz]],1)*(DATOS_[Conc.Sal.30])))))))),
0)</f>
        <v>0</v>
      </c>
      <c r="AN74" s="102">
        <f t="array" ref="AN74">IFERROR(
AVERAGE(IF(DATOS_[Sexo]=$B74,IF(DATOS_[[AGRUP. CLAS. PROF.]:[AGRUP. CLAS. PROF.]]=$B72,IF(DATOS_[Check Equiparado]="Sí",IF(DATOS_[Check Periodo Ref.]="Dentro",DATOS_[Tot COMPL.SAL Eq],FALSE))))),
0)</f>
        <v>0</v>
      </c>
      <c r="AO74" s="103">
        <f t="array" ref="AO74">IFERROR(
AVERAGE(IF(DATOS_[Sexo]=$B74,IF(DATOS_[[AGRUP. CLAS. PROF.]:[AGRUP. CLAS. PROF.]]=$B72,IF(DATOS_[Check Equiparado]="Sí",IF(DATOS_[Check Periodo Ref.]="Dentro",DATOS_[TOTAL SALARIO Eq],FALSE))))),
0)</f>
        <v>0</v>
      </c>
      <c r="AP74" s="104">
        <f t="array" ref="AP74">IFERROR(
(AVERAGE((IF(DATOS_[[Sexo]:[Sexo]]=$B74,IF(DATOS_[[AGRUP. CLAS. PROF.]:[AGRUP. CLAS. PROF.]]=$B72,IF(DATOS_[[Check Periodo Ref.]:[Check Periodo Ref.]]="Dentro",IF(DATOS_[[Check Equiparado]:[Check Equiparado]]="Sí",IF(DATOS!BI$5="Sí",(1/DATOS_[[% anualiz]:[% anualiz]]),1)*IF(DATOS!BI$4="Sí",1/DATOS_[[% normaliz]:[% normaliz]],1)*(DATOS_[C.Extra.01])))))))),
0)</f>
        <v>0</v>
      </c>
      <c r="AQ74" s="104">
        <f t="array" ref="AQ74">IFERROR(
(AVERAGE((IF(DATOS_[[Sexo]:[Sexo]]=$B74,IF(DATOS_[[AGRUP. CLAS. PROF.]:[AGRUP. CLAS. PROF.]]=$B72,IF(DATOS_[[Check Periodo Ref.]:[Check Periodo Ref.]]="Dentro",IF(DATOS_[[Check Equiparado]:[Check Equiparado]]="Sí",IF(DATOS!BJ$5="Sí",(1/DATOS_[[% anualiz]:[% anualiz]]),1)*IF(DATOS!BJ$4="Sí",1/DATOS_[[% normaliz]:[% normaliz]],1)*(DATOS_[C.Extra.02])))))))),
0)</f>
        <v>0</v>
      </c>
      <c r="AR74" s="104">
        <f t="array" ref="AR74">IFERROR(
(AVERAGE((IF(DATOS_[[Sexo]:[Sexo]]=$B74,IF(DATOS_[[AGRUP. CLAS. PROF.]:[AGRUP. CLAS. PROF.]]=$B72,IF(DATOS_[[Check Periodo Ref.]:[Check Periodo Ref.]]="Dentro",IF(DATOS_[[Check Equiparado]:[Check Equiparado]]="Sí",IF(DATOS!BK$5="Sí",(1/DATOS_[[% anualiz]:[% anualiz]]),1)*IF(DATOS!BK$4="Sí",1/DATOS_[[% normaliz]:[% normaliz]],1)*(DATOS_[C.Extra.03])))))))),
0)</f>
        <v>0</v>
      </c>
      <c r="AS74" s="104">
        <f t="array" ref="AS74">IFERROR(
(AVERAGE((IF(DATOS_[[Sexo]:[Sexo]]=$B74,IF(DATOS_[[AGRUP. CLAS. PROF.]:[AGRUP. CLAS. PROF.]]=$B72,IF(DATOS_[[Check Periodo Ref.]:[Check Periodo Ref.]]="Dentro",IF(DATOS_[[Check Equiparado]:[Check Equiparado]]="Sí",IF(DATOS!BL$5="Sí",(1/DATOS_[[% anualiz]:[% anualiz]]),1)*IF(DATOS!BL$4="Sí",1/DATOS_[[% normaliz]:[% normaliz]],1)*(DATOS_[C.Extra.04])))))))),
0)</f>
        <v>0</v>
      </c>
      <c r="AT74" s="104">
        <f t="array" ref="AT74">IFERROR(
(AVERAGE((IF(DATOS_[[Sexo]:[Sexo]]=$B74,IF(DATOS_[[AGRUP. CLAS. PROF.]:[AGRUP. CLAS. PROF.]]=$B72,IF(DATOS_[[Check Periodo Ref.]:[Check Periodo Ref.]]="Dentro",IF(DATOS_[[Check Equiparado]:[Check Equiparado]]="Sí",IF(DATOS!BM$5="Sí",(1/DATOS_[[% anualiz]:[% anualiz]]),1)*IF(DATOS!BM$4="Sí",1/DATOS_[[% normaliz]:[% normaliz]],1)*(DATOS_[C.Extra.05])))))))),
0)</f>
        <v>0</v>
      </c>
      <c r="AU74" s="105">
        <f t="array" ref="AU74">IFERROR(
AVERAGE(IF(DATOS_[Sexo]=$B74,IF(DATOS_[[AGRUP. CLAS. PROF.]:[AGRUP. CLAS. PROF.]]=$B72,IF(DATOS_[Check Equiparado]="Sí",IF(DATOS_[Check Periodo Ref.]="Dentro",DATOS_[Tot Extrasalarial Eq],FALSE))))),
0)</f>
        <v>0</v>
      </c>
      <c r="AV74" s="106">
        <f t="array" ref="AV74">IFERROR(
AVERAGE(IF(DATOS_[Sexo]=$B74,IF(DATOS_[[AGRUP. CLAS. PROF.]:[AGRUP. CLAS. PROF.]]=$B72,IF(DATOS_[Check Equiparado]="Sí",IF(DATOS_[Check Periodo Ref.]="Dentro",DATOS_[TOTAL Retrib Eq],FALSE))))),
0)</f>
        <v>0</v>
      </c>
    </row>
    <row r="75" spans="1:48" ht="17.25" hidden="1" thickBot="1" x14ac:dyDescent="0.35">
      <c r="A75" s="53" t="str">
        <f t="shared" ref="A75" si="83">+A76</f>
        <v>[ocultar]</v>
      </c>
      <c r="B75" s="62" t="s">
        <v>237</v>
      </c>
      <c r="C75" s="99"/>
      <c r="D75" s="63"/>
      <c r="E75" s="63"/>
      <c r="F75" s="63"/>
      <c r="G75" s="63"/>
      <c r="H75" s="63"/>
      <c r="I75" s="129" t="str">
        <f t="shared" ref="I75:AV75" si="84">IFERROR((I76-I77)/I76,"")</f>
        <v/>
      </c>
      <c r="J75" s="130" t="str">
        <f t="shared" si="84"/>
        <v/>
      </c>
      <c r="K75" s="131" t="str">
        <f t="shared" si="84"/>
        <v/>
      </c>
      <c r="L75" s="131" t="str">
        <f t="shared" si="84"/>
        <v/>
      </c>
      <c r="M75" s="131" t="str">
        <f t="shared" si="84"/>
        <v/>
      </c>
      <c r="N75" s="132" t="str">
        <f t="shared" si="84"/>
        <v/>
      </c>
      <c r="O75" s="133" t="str">
        <f t="shared" si="84"/>
        <v/>
      </c>
      <c r="P75" s="133" t="str">
        <f t="shared" si="84"/>
        <v/>
      </c>
      <c r="Q75" s="133" t="str">
        <f t="shared" si="84"/>
        <v/>
      </c>
      <c r="R75" s="133" t="str">
        <f t="shared" si="84"/>
        <v/>
      </c>
      <c r="S75" s="133" t="str">
        <f t="shared" si="84"/>
        <v/>
      </c>
      <c r="T75" s="133" t="str">
        <f t="shared" si="84"/>
        <v/>
      </c>
      <c r="U75" s="133" t="str">
        <f t="shared" si="84"/>
        <v/>
      </c>
      <c r="V75" s="133" t="str">
        <f t="shared" si="84"/>
        <v/>
      </c>
      <c r="W75" s="133" t="str">
        <f t="shared" si="84"/>
        <v/>
      </c>
      <c r="X75" s="133" t="str">
        <f t="shared" si="84"/>
        <v/>
      </c>
      <c r="Y75" s="133" t="str">
        <f t="shared" si="84"/>
        <v/>
      </c>
      <c r="Z75" s="132" t="str">
        <f t="shared" si="84"/>
        <v/>
      </c>
      <c r="AA75" s="132" t="str">
        <f t="shared" si="84"/>
        <v/>
      </c>
      <c r="AB75" s="132" t="str">
        <f t="shared" si="84"/>
        <v/>
      </c>
      <c r="AC75" s="132" t="str">
        <f t="shared" si="84"/>
        <v/>
      </c>
      <c r="AD75" s="132" t="str">
        <f t="shared" si="84"/>
        <v/>
      </c>
      <c r="AE75" s="132" t="str">
        <f t="shared" si="84"/>
        <v/>
      </c>
      <c r="AF75" s="132" t="str">
        <f t="shared" si="84"/>
        <v/>
      </c>
      <c r="AG75" s="132" t="str">
        <f t="shared" si="84"/>
        <v/>
      </c>
      <c r="AH75" s="132" t="str">
        <f t="shared" si="84"/>
        <v/>
      </c>
      <c r="AI75" s="132" t="str">
        <f t="shared" si="84"/>
        <v/>
      </c>
      <c r="AJ75" s="132" t="str">
        <f t="shared" si="84"/>
        <v/>
      </c>
      <c r="AK75" s="132" t="str">
        <f t="shared" si="84"/>
        <v/>
      </c>
      <c r="AL75" s="132" t="str">
        <f t="shared" si="84"/>
        <v/>
      </c>
      <c r="AM75" s="132" t="str">
        <f t="shared" si="84"/>
        <v/>
      </c>
      <c r="AN75" s="134" t="str">
        <f t="shared" si="84"/>
        <v/>
      </c>
      <c r="AO75" s="138" t="str">
        <f t="shared" si="84"/>
        <v/>
      </c>
      <c r="AP75" s="135" t="str">
        <f t="shared" si="84"/>
        <v/>
      </c>
      <c r="AQ75" s="135" t="str">
        <f t="shared" si="84"/>
        <v/>
      </c>
      <c r="AR75" s="135" t="str">
        <f t="shared" si="84"/>
        <v/>
      </c>
      <c r="AS75" s="135" t="str">
        <f t="shared" si="84"/>
        <v/>
      </c>
      <c r="AT75" s="135" t="str">
        <f t="shared" si="84"/>
        <v/>
      </c>
      <c r="AU75" s="136" t="str">
        <f t="shared" si="84"/>
        <v/>
      </c>
      <c r="AV75" s="137" t="str">
        <f t="shared" si="84"/>
        <v/>
      </c>
    </row>
    <row r="76" spans="1:48" hidden="1" x14ac:dyDescent="0.3">
      <c r="A76" s="53" t="str">
        <f t="shared" ref="A76" si="85">+IF(C76+C77=0,"[ocultar]","")</f>
        <v>[ocultar]</v>
      </c>
      <c r="B76" s="57" t="s">
        <v>162</v>
      </c>
      <c r="C76" s="56">
        <f t="array" ref="C76">SUM(IF($B76=DATOS_[Sexo],
IF($B75=DATOS_[AGRUP. CLAS. PROF.],
IF("Dentro"=DATOS_[Check Periodo Ref.],
1/(COUNTIFS(DATOS_[Sexo],$B76,DATOS_[AGRUP. CLAS. PROF.],$B75,DATOS_[Check Periodo Ref.],"Dentro",DATOS_[id],DATOS_[id]))))))</f>
        <v>0</v>
      </c>
      <c r="D76" s="58">
        <f>COUNTIFS(DATOS_[AGRUP. CLAS. PROF.],$B75,DATOS_[Sexo],$B76,DATOS_[Check Periodo Ref.],"Dentro")</f>
        <v>0</v>
      </c>
      <c r="E76" s="58">
        <f>COUNTIFS(DATOS_[AGRUP. CLAS. PROF.],$B75,DATOS_[Sexo],$B76,DATOS_[Check Periodo Ref.],"Dentro",DATOS_[Check Nº SC Norm],"Sí")</f>
        <v>0</v>
      </c>
      <c r="F76" s="58">
        <f>COUNTIFS(DATOS_[AGRUP. CLAS. PROF.],$B75,DATOS_[Sexo],$B76,DATOS_[Check Periodo Ref.],"Dentro",DATOS_[Check Nº SC Anualiz],"Sí")</f>
        <v>0</v>
      </c>
      <c r="G76" s="58">
        <f>COUNTIFS(DATOS_[AGRUP. CLAS. PROF.],$B75,DATOS_[Sexo],$B76,DATOS_[Check Periodo Ref.],"Dentro",DATOS_[Check Nº SC Norm y Anualiz],"Sí")</f>
        <v>0</v>
      </c>
      <c r="H76" s="58">
        <f>COUNTIFS(DATOS_[AGRUP. CLAS. PROF.],$B75,DATOS_[Sexo],$B76,DATOS_[Check Periodo Ref.],"Dentro",DATOS_[Check Equiparación],"Sí")</f>
        <v>0</v>
      </c>
      <c r="I76" s="100">
        <f t="array" ref="I76">IFERROR(
AVERAGE(IF(DATOS_[Sexo]=$B76,IF(DATOS_[[AGRUP. CLAS. PROF.]:[AGRUP. CLAS. PROF.]]=$B75,IF(DATOS_[Check Equiparado]="Sí",IF(DATOS_[Check Periodo Ref.]="Dentro",DATOS_[SALARIO BASE Eq],FALSE))))),
0)</f>
        <v>0</v>
      </c>
      <c r="J76" s="101">
        <f t="array" ref="J76">IFERROR(
(AVERAGE((IF(DATOS_[[Sexo]:[Sexo]]=$B76,IF(DATOS_[[AGRUP. CLAS. PROF.]:[AGRUP. CLAS. PROF.]]=$B75,IF(DATOS_[[Check Periodo Ref.]:[Check Periodo Ref.]]="Dentro",IF(DATOS_[[Check Equiparado]:[Check Equiparado]]="Sí",IF(DATOS!AE$5="Sí",(1/DATOS_[[% anualiz]:[% anualiz]]),1)*IF(DATOS!AE$4="Sí",1/DATOS_[[% normaliz]:[% normaliz]],1)*(DATOS_[Conc.Sal.01])))))))),
0)</f>
        <v>0</v>
      </c>
      <c r="K76" s="101">
        <f t="array" ref="K76">IFERROR(
(AVERAGE((IF(DATOS_[[Sexo]:[Sexo]]=$B76,IF(DATOS_[[AGRUP. CLAS. PROF.]:[AGRUP. CLAS. PROF.]]=$B75,IF(DATOS_[[Check Periodo Ref.]:[Check Periodo Ref.]]="Dentro",IF(DATOS_[[Check Equiparado]:[Check Equiparado]]="Sí",IF(DATOS!AF$5="Sí",(1/DATOS_[[% anualiz]:[% anualiz]]),1)*IF(DATOS!AF$4="Sí",1/DATOS_[[% normaliz]:[% normaliz]],1)*(DATOS_[Conc.Sal.02])))))))),
0)</f>
        <v>0</v>
      </c>
      <c r="L76" s="101">
        <f t="array" ref="L76">IFERROR(
(AVERAGE((IF(DATOS_[[Sexo]:[Sexo]]=$B76,IF(DATOS_[[AGRUP. CLAS. PROF.]:[AGRUP. CLAS. PROF.]]=$B75,IF(DATOS_[[Check Periodo Ref.]:[Check Periodo Ref.]]="Dentro",IF(DATOS_[[Check Equiparado]:[Check Equiparado]]="Sí",IF(DATOS!AG$5="Sí",(1/DATOS_[[% anualiz]:[% anualiz]]),1)*IF(DATOS!AG$4="Sí",1/DATOS_[[% normaliz]:[% normaliz]],1)*(DATOS_[Conc.Sal.03])))))))),
0)</f>
        <v>0</v>
      </c>
      <c r="M76" s="101">
        <f t="array" ref="M76">IFERROR(
(AVERAGE((IF(DATOS_[[Sexo]:[Sexo]]=$B76,IF(DATOS_[[AGRUP. CLAS. PROF.]:[AGRUP. CLAS. PROF.]]=$B75,IF(DATOS_[[Check Periodo Ref.]:[Check Periodo Ref.]]="Dentro",IF(DATOS_[[Check Equiparado]:[Check Equiparado]]="Sí",IF(DATOS!AH$5="Sí",(1/DATOS_[[% anualiz]:[% anualiz]]),1)*IF(DATOS!AH$4="Sí",1/DATOS_[[% normaliz]:[% normaliz]],1)*(DATOS_[Conc.Sal.04])))))))),
0)</f>
        <v>0</v>
      </c>
      <c r="N76" s="101">
        <f t="array" ref="N76">IFERROR(
(AVERAGE((IF(DATOS_[[Sexo]:[Sexo]]=$B76,IF(DATOS_[[AGRUP. CLAS. PROF.]:[AGRUP. CLAS. PROF.]]=$B75,IF(DATOS_[[Check Periodo Ref.]:[Check Periodo Ref.]]="Dentro",IF(DATOS_[[Check Equiparado]:[Check Equiparado]]="Sí",IF(DATOS!AI$5="Sí",(1/DATOS_[[% anualiz]:[% anualiz]]),1)*IF(DATOS!AI$4="Sí",1/DATOS_[[% normaliz]:[% normaliz]],1)*(DATOS_[Conc.Sal.05])))))))),
0)</f>
        <v>0</v>
      </c>
      <c r="O76" s="101">
        <f t="array" ref="O76">IFERROR(
(AVERAGE((IF(DATOS_[[Sexo]:[Sexo]]=$B76,IF(DATOS_[[AGRUP. CLAS. PROF.]:[AGRUP. CLAS. PROF.]]=$B75,IF(DATOS_[[Check Periodo Ref.]:[Check Periodo Ref.]]="Dentro",IF(DATOS_[[Check Equiparado]:[Check Equiparado]]="Sí",IF(DATOS!AJ$5="Sí",(1/DATOS_[[% anualiz]:[% anualiz]]),1)*IF(DATOS!AJ$4="Sí",1/DATOS_[[% normaliz]:[% normaliz]],1)*(DATOS_[Conc.Sal.06])))))))),
0)</f>
        <v>0</v>
      </c>
      <c r="P76" s="101">
        <f t="array" ref="P76">IFERROR(
(AVERAGE((IF(DATOS_[[Sexo]:[Sexo]]=$B76,IF(DATOS_[[AGRUP. CLAS. PROF.]:[AGRUP. CLAS. PROF.]]=$B75,IF(DATOS_[[Check Periodo Ref.]:[Check Periodo Ref.]]="Dentro",IF(DATOS_[[Check Equiparado]:[Check Equiparado]]="Sí",IF(DATOS!AK$5="Sí",(1/DATOS_[[% anualiz]:[% anualiz]]),1)*IF(DATOS!AK$4="Sí",1/DATOS_[[% normaliz]:[% normaliz]],1)*(DATOS_[Conc.Sal.07])))))))),
0)</f>
        <v>0</v>
      </c>
      <c r="Q76" s="101">
        <f t="array" ref="Q76">IFERROR(
(AVERAGE((IF(DATOS_[[Sexo]:[Sexo]]=$B76,IF(DATOS_[[AGRUP. CLAS. PROF.]:[AGRUP. CLAS. PROF.]]=$B75,IF(DATOS_[[Check Periodo Ref.]:[Check Periodo Ref.]]="Dentro",IF(DATOS_[[Check Equiparado]:[Check Equiparado]]="Sí",IF(DATOS!AL$5="Sí",(1/DATOS_[[% anualiz]:[% anualiz]]),1)*IF(DATOS!AL$4="Sí",1/DATOS_[[% normaliz]:[% normaliz]],1)*(DATOS_[Conc.Sal.08])))))))),
0)</f>
        <v>0</v>
      </c>
      <c r="R76" s="101">
        <f t="array" ref="R76">IFERROR(
(AVERAGE((IF(DATOS_[[Sexo]:[Sexo]]=$B76,IF(DATOS_[[AGRUP. CLAS. PROF.]:[AGRUP. CLAS. PROF.]]=$B75,IF(DATOS_[[Check Periodo Ref.]:[Check Periodo Ref.]]="Dentro",IF(DATOS_[[Check Equiparado]:[Check Equiparado]]="Sí",IF(DATOS!AM$5="Sí",(1/DATOS_[[% anualiz]:[% anualiz]]),1)*IF(DATOS!AM$4="Sí",1/DATOS_[[% normaliz]:[% normaliz]],1)*(DATOS_[Conc.Sal.09])))))))),
0)</f>
        <v>0</v>
      </c>
      <c r="S76" s="101">
        <f t="array" ref="S76">IFERROR(
(AVERAGE((IF(DATOS_[[Sexo]:[Sexo]]=$B76,IF(DATOS_[[AGRUP. CLAS. PROF.]:[AGRUP. CLAS. PROF.]]=$B75,IF(DATOS_[[Check Periodo Ref.]:[Check Periodo Ref.]]="Dentro",IF(DATOS_[[Check Equiparado]:[Check Equiparado]]="Sí",IF(DATOS!AN$5="Sí",(1/DATOS_[[% anualiz]:[% anualiz]]),1)*IF(DATOS!AN$4="Sí",1/DATOS_[[% normaliz]:[% normaliz]],1)*(DATOS_[Conc.Sal.10])))))))),
0)</f>
        <v>0</v>
      </c>
      <c r="T76" s="101">
        <f t="array" ref="T76">IFERROR(
(AVERAGE((IF(DATOS_[[Sexo]:[Sexo]]=$B76,IF(DATOS_[[AGRUP. CLAS. PROF.]:[AGRUP. CLAS. PROF.]]=$B75,IF(DATOS_[[Check Periodo Ref.]:[Check Periodo Ref.]]="Dentro",IF(DATOS_[[Check Equiparado]:[Check Equiparado]]="Sí",IF(DATOS!AO$5="Sí",(1/DATOS_[[% anualiz]:[% anualiz]]),1)*IF(DATOS!AO$4="Sí",1/DATOS_[[% normaliz]:[% normaliz]],1)*(DATOS_[Conc.Sal.11])))))))),
0)</f>
        <v>0</v>
      </c>
      <c r="U76" s="101">
        <f t="array" ref="U76">IFERROR(
(AVERAGE((IF(DATOS_[[Sexo]:[Sexo]]=$B76,IF(DATOS_[[AGRUP. CLAS. PROF.]:[AGRUP. CLAS. PROF.]]=$B75,IF(DATOS_[[Check Periodo Ref.]:[Check Periodo Ref.]]="Dentro",IF(DATOS_[[Check Equiparado]:[Check Equiparado]]="Sí",IF(DATOS!AP$5="Sí",(1/DATOS_[[% anualiz]:[% anualiz]]),1)*IF(DATOS!AP$4="Sí",1/DATOS_[[% normaliz]:[% normaliz]],1)*(DATOS_[Conc.Sal.12])))))))),
0)</f>
        <v>0</v>
      </c>
      <c r="V76" s="101">
        <f t="array" ref="V76">IFERROR(
(AVERAGE((IF(DATOS_[[Sexo]:[Sexo]]=$B76,IF(DATOS_[[AGRUP. CLAS. PROF.]:[AGRUP. CLAS. PROF.]]=$B75,IF(DATOS_[[Check Periodo Ref.]:[Check Periodo Ref.]]="Dentro",IF(DATOS_[[Check Equiparado]:[Check Equiparado]]="Sí",IF(DATOS!AQ$5="Sí",(1/DATOS_[[% anualiz]:[% anualiz]]),1)*IF(DATOS!AQ$4="Sí",1/DATOS_[[% normaliz]:[% normaliz]],1)*(DATOS_[Conc.Sal.13])))))))),
0)</f>
        <v>0</v>
      </c>
      <c r="W76" s="101">
        <f t="array" ref="W76">IFERROR(
(AVERAGE((IF(DATOS_[[Sexo]:[Sexo]]=$B76,IF(DATOS_[[AGRUP. CLAS. PROF.]:[AGRUP. CLAS. PROF.]]=$B75,IF(DATOS_[[Check Periodo Ref.]:[Check Periodo Ref.]]="Dentro",IF(DATOS_[[Check Equiparado]:[Check Equiparado]]="Sí",IF(DATOS!AR$5="Sí",(1/DATOS_[[% anualiz]:[% anualiz]]),1)*IF(DATOS!AR$4="Sí",1/DATOS_[[% normaliz]:[% normaliz]],1)*(DATOS_[Conc.Sal.14])))))))),
0)</f>
        <v>0</v>
      </c>
      <c r="X76" s="101">
        <f t="array" ref="X76">IFERROR(
(AVERAGE((IF(DATOS_[[Sexo]:[Sexo]]=$B76,IF(DATOS_[[AGRUP. CLAS. PROF.]:[AGRUP. CLAS. PROF.]]=$B75,IF(DATOS_[[Check Periodo Ref.]:[Check Periodo Ref.]]="Dentro",IF(DATOS_[[Check Equiparado]:[Check Equiparado]]="Sí",IF(DATOS!AS$5="Sí",(1/DATOS_[[% anualiz]:[% anualiz]]),1)*IF(DATOS!AS$4="Sí",1/DATOS_[[% normaliz]:[% normaliz]],1)*(DATOS_[Conc.Sal.15])))))))),
0)</f>
        <v>0</v>
      </c>
      <c r="Y76" s="101">
        <f t="array" ref="Y76">IFERROR(
(AVERAGE((IF(DATOS_[[Sexo]:[Sexo]]=$B76,IF(DATOS_[[AGRUP. CLAS. PROF.]:[AGRUP. CLAS. PROF.]]=$B75,IF(DATOS_[[Check Periodo Ref.]:[Check Periodo Ref.]]="Dentro",IF(DATOS_[[Check Equiparado]:[Check Equiparado]]="Sí",IF(DATOS!AT$5="Sí",(1/DATOS_[[% anualiz]:[% anualiz]]),1)*IF(DATOS!AT$4="Sí",1/DATOS_[[% normaliz]:[% normaliz]],1)*(DATOS_[Conc.Sal.16])))))))),
0)</f>
        <v>0</v>
      </c>
      <c r="Z76" s="101">
        <f t="array" ref="Z76">IFERROR(
(AVERAGE((IF(DATOS_[[Sexo]:[Sexo]]=$B76,IF(DATOS_[[AGRUP. CLAS. PROF.]:[AGRUP. CLAS. PROF.]]=$B75,IF(DATOS_[[Check Periodo Ref.]:[Check Periodo Ref.]]="Dentro",IF(DATOS_[[Check Equiparado]:[Check Equiparado]]="Sí",IF(DATOS!AU$5="Sí",(1/DATOS_[[% anualiz]:[% anualiz]]),1)*IF(DATOS!AU$4="Sí",1/DATOS_[[% normaliz]:[% normaliz]],1)*(DATOS_[Conc.Sal.17])))))))),
0)</f>
        <v>0</v>
      </c>
      <c r="AA76" s="101">
        <f t="array" ref="AA76">IFERROR(
(AVERAGE((IF(DATOS_[[Sexo]:[Sexo]]=$B76,IF(DATOS_[[AGRUP. CLAS. PROF.]:[AGRUP. CLAS. PROF.]]=$B75,IF(DATOS_[[Check Periodo Ref.]:[Check Periodo Ref.]]="Dentro",IF(DATOS_[[Check Equiparado]:[Check Equiparado]]="Sí",IF(DATOS!AV$5="Sí",(1/DATOS_[[% anualiz]:[% anualiz]]),1)*IF(DATOS!AV$4="Sí",1/DATOS_[[% normaliz]:[% normaliz]],1)*(DATOS_[Conc.Sal.18])))))))),
0)</f>
        <v>0</v>
      </c>
      <c r="AB76" s="101">
        <f t="array" ref="AB76">IFERROR(
(AVERAGE((IF(DATOS_[[Sexo]:[Sexo]]=$B76,IF(DATOS_[[AGRUP. CLAS. PROF.]:[AGRUP. CLAS. PROF.]]=$B75,IF(DATOS_[[Check Periodo Ref.]:[Check Periodo Ref.]]="Dentro",IF(DATOS_[[Check Equiparado]:[Check Equiparado]]="Sí",IF(DATOS!AW$5="Sí",(1/DATOS_[[% anualiz]:[% anualiz]]),1)*IF(DATOS!AW$4="Sí",1/DATOS_[[% normaliz]:[% normaliz]],1)*(DATOS_[Conc.Sal.19])))))))),
0)</f>
        <v>0</v>
      </c>
      <c r="AC76" s="101">
        <f t="array" ref="AC76">IFERROR(
(AVERAGE((IF(DATOS_[[Sexo]:[Sexo]]=$B76,IF(DATOS_[[AGRUP. CLAS. PROF.]:[AGRUP. CLAS. PROF.]]=$B75,IF(DATOS_[[Check Periodo Ref.]:[Check Periodo Ref.]]="Dentro",IF(DATOS_[[Check Equiparado]:[Check Equiparado]]="Sí",IF(DATOS!AX$5="Sí",(1/DATOS_[[% anualiz]:[% anualiz]]),1)*IF(DATOS!AX$4="Sí",1/DATOS_[[% normaliz]:[% normaliz]],1)*(DATOS_[Conc.Sal.20])))))))),
0)</f>
        <v>0</v>
      </c>
      <c r="AD76" s="101">
        <f t="array" ref="AD76">IFERROR(
(AVERAGE((IF(DATOS_[[Sexo]:[Sexo]]=$B76,IF(DATOS_[[AGRUP. CLAS. PROF.]:[AGRUP. CLAS. PROF.]]=$B75,IF(DATOS_[[Check Periodo Ref.]:[Check Periodo Ref.]]="Dentro",IF(DATOS_[[Check Equiparado]:[Check Equiparado]]="Sí",IF(DATOS!AY$5="Sí",(1/DATOS_[[% anualiz]:[% anualiz]]),1)*IF(DATOS!AY$4="Sí",1/DATOS_[[% normaliz]:[% normaliz]],1)*(DATOS_[Conc.Sal.21])))))))),
0)</f>
        <v>0</v>
      </c>
      <c r="AE76" s="101">
        <f t="array" ref="AE76">IFERROR(
(AVERAGE((IF(DATOS_[[Sexo]:[Sexo]]=$B76,IF(DATOS_[[AGRUP. CLAS. PROF.]:[AGRUP. CLAS. PROF.]]=$B75,IF(DATOS_[[Check Periodo Ref.]:[Check Periodo Ref.]]="Dentro",IF(DATOS_[[Check Equiparado]:[Check Equiparado]]="Sí",IF(DATOS!AZ$5="Sí",(1/DATOS_[[% anualiz]:[% anualiz]]),1)*IF(DATOS!AZ$4="Sí",1/DATOS_[[% normaliz]:[% normaliz]],1)*(DATOS_[Conc.Sal.22])))))))),
0)</f>
        <v>0</v>
      </c>
      <c r="AF76" s="101">
        <f t="array" ref="AF76">IFERROR(
(AVERAGE((IF(DATOS_[[Sexo]:[Sexo]]=$B76,IF(DATOS_[[AGRUP. CLAS. PROF.]:[AGRUP. CLAS. PROF.]]=$B75,IF(DATOS_[[Check Periodo Ref.]:[Check Periodo Ref.]]="Dentro",IF(DATOS_[[Check Equiparado]:[Check Equiparado]]="Sí",IF(DATOS!BA$5="Sí",(1/DATOS_[[% anualiz]:[% anualiz]]),1)*IF(DATOS!BA$4="Sí",1/DATOS_[[% normaliz]:[% normaliz]],1)*(DATOS_[Conc.Sal.23])))))))),
0)</f>
        <v>0</v>
      </c>
      <c r="AG76" s="101">
        <f t="array" ref="AG76">IFERROR(
(AVERAGE((IF(DATOS_[[Sexo]:[Sexo]]=$B76,IF(DATOS_[[AGRUP. CLAS. PROF.]:[AGRUP. CLAS. PROF.]]=$B75,IF(DATOS_[[Check Periodo Ref.]:[Check Periodo Ref.]]="Dentro",IF(DATOS_[[Check Equiparado]:[Check Equiparado]]="Sí",IF(DATOS!BB$5="Sí",(1/DATOS_[[% anualiz]:[% anualiz]]),1)*IF(DATOS!BB$4="Sí",1/DATOS_[[% normaliz]:[% normaliz]],1)*(DATOS_[Conc.Sal.24])))))))),
0)</f>
        <v>0</v>
      </c>
      <c r="AH76" s="101">
        <f t="array" ref="AH76">IFERROR(
(AVERAGE((IF(DATOS_[[Sexo]:[Sexo]]=$B76,IF(DATOS_[[AGRUP. CLAS. PROF.]:[AGRUP. CLAS. PROF.]]=$B75,IF(DATOS_[[Check Periodo Ref.]:[Check Periodo Ref.]]="Dentro",IF(DATOS_[[Check Equiparado]:[Check Equiparado]]="Sí",IF(DATOS!BC$5="Sí",(1/DATOS_[[% anualiz]:[% anualiz]]),1)*IF(DATOS!BC$4="Sí",1/DATOS_[[% normaliz]:[% normaliz]],1)*(DATOS_[Conc.Sal.25])))))))),
0)</f>
        <v>0</v>
      </c>
      <c r="AI76" s="101">
        <f t="array" ref="AI76">IFERROR(
(AVERAGE((IF(DATOS_[[Sexo]:[Sexo]]=$B76,IF(DATOS_[[AGRUP. CLAS. PROF.]:[AGRUP. CLAS. PROF.]]=$B75,IF(DATOS_[[Check Periodo Ref.]:[Check Periodo Ref.]]="Dentro",IF(DATOS_[[Check Equiparado]:[Check Equiparado]]="Sí",IF(DATOS!BD$5="Sí",(1/DATOS_[[% anualiz]:[% anualiz]]),1)*IF(DATOS!BD$4="Sí",1/DATOS_[[% normaliz]:[% normaliz]],1)*(DATOS_[Conc.Sal.26])))))))),
0)</f>
        <v>0</v>
      </c>
      <c r="AJ76" s="101">
        <f t="array" ref="AJ76">IFERROR(
(AVERAGE((IF(DATOS_[[Sexo]:[Sexo]]=$B76,IF(DATOS_[[AGRUP. CLAS. PROF.]:[AGRUP. CLAS. PROF.]]=$B75,IF(DATOS_[[Check Periodo Ref.]:[Check Periodo Ref.]]="Dentro",IF(DATOS_[[Check Equiparado]:[Check Equiparado]]="Sí",IF(DATOS!BE$5="Sí",(1/DATOS_[[% anualiz]:[% anualiz]]),1)*IF(DATOS!BE$4="Sí",1/DATOS_[[% normaliz]:[% normaliz]],1)*(DATOS_[Conc.Sal.27])))))))),
0)</f>
        <v>0</v>
      </c>
      <c r="AK76" s="101">
        <f t="array" ref="AK76">IFERROR(
(AVERAGE((IF(DATOS_[[Sexo]:[Sexo]]=$B76,IF(DATOS_[[AGRUP. CLAS. PROF.]:[AGRUP. CLAS. PROF.]]=$B75,IF(DATOS_[[Check Periodo Ref.]:[Check Periodo Ref.]]="Dentro",IF(DATOS_[[Check Equiparado]:[Check Equiparado]]="Sí",IF(DATOS!BF$5="Sí",(1/DATOS_[[% anualiz]:[% anualiz]]),1)*IF(DATOS!BF$4="Sí",1/DATOS_[[% normaliz]:[% normaliz]],1)*(DATOS_[Conc.Sal.28])))))))),
0)</f>
        <v>0</v>
      </c>
      <c r="AL76" s="101">
        <f t="array" ref="AL76">IFERROR(
(AVERAGE((IF(DATOS_[[Sexo]:[Sexo]]=$B76,IF(DATOS_[[AGRUP. CLAS. PROF.]:[AGRUP. CLAS. PROF.]]=$B75,IF(DATOS_[[Check Periodo Ref.]:[Check Periodo Ref.]]="Dentro",IF(DATOS_[[Check Equiparado]:[Check Equiparado]]="Sí",IF(DATOS!BG$5="Sí",(1/DATOS_[[% anualiz]:[% anualiz]]),1)*IF(DATOS!BG$4="Sí",1/DATOS_[[% normaliz]:[% normaliz]],1)*(DATOS_[Conc.Sal.29])))))))),
0)</f>
        <v>0</v>
      </c>
      <c r="AM76" s="101">
        <f t="array" ref="AM76">IFERROR(
(AVERAGE((IF(DATOS_[[Sexo]:[Sexo]]=$B76,IF(DATOS_[[AGRUP. CLAS. PROF.]:[AGRUP. CLAS. PROF.]]=$B75,IF(DATOS_[[Check Periodo Ref.]:[Check Periodo Ref.]]="Dentro",IF(DATOS_[[Check Equiparado]:[Check Equiparado]]="Sí",IF(DATOS!BH$5="Sí",(1/DATOS_[[% anualiz]:[% anualiz]]),1)*IF(DATOS!BH$4="Sí",1/DATOS_[[% normaliz]:[% normaliz]],1)*(DATOS_[Conc.Sal.30])))))))),
0)</f>
        <v>0</v>
      </c>
      <c r="AN76" s="102">
        <f t="array" ref="AN76">IFERROR(
AVERAGE(IF(DATOS_[Sexo]=$B76,IF(DATOS_[[AGRUP. CLAS. PROF.]:[AGRUP. CLAS. PROF.]]=$B75,IF(DATOS_[Check Equiparado]="Sí",IF(DATOS_[Check Periodo Ref.]="Dentro",DATOS_[Tot COMPL.SAL Eq],FALSE))))),
0)</f>
        <v>0</v>
      </c>
      <c r="AO76" s="103">
        <f t="array" ref="AO76">IFERROR(
AVERAGE(IF(DATOS_[Sexo]=$B76,IF(DATOS_[[AGRUP. CLAS. PROF.]:[AGRUP. CLAS. PROF.]]=$B75,IF(DATOS_[Check Equiparado]="Sí",IF(DATOS_[Check Periodo Ref.]="Dentro",DATOS_[TOTAL SALARIO Eq],FALSE))))),
0)</f>
        <v>0</v>
      </c>
      <c r="AP76" s="104">
        <f t="array" ref="AP76">IFERROR(
(AVERAGE((IF(DATOS_[[Sexo]:[Sexo]]=$B76,IF(DATOS_[[AGRUP. CLAS. PROF.]:[AGRUP. CLAS. PROF.]]=$B75,IF(DATOS_[[Check Periodo Ref.]:[Check Periodo Ref.]]="Dentro",IF(DATOS_[[Check Equiparado]:[Check Equiparado]]="Sí",IF(DATOS!BI$5="Sí",(1/DATOS_[[% anualiz]:[% anualiz]]),1)*IF(DATOS!BI$4="Sí",1/DATOS_[[% normaliz]:[% normaliz]],1)*(DATOS_[C.Extra.01])))))))),
0)</f>
        <v>0</v>
      </c>
      <c r="AQ76" s="104">
        <f t="array" ref="AQ76">IFERROR(
(AVERAGE((IF(DATOS_[[Sexo]:[Sexo]]=$B76,IF(DATOS_[[AGRUP. CLAS. PROF.]:[AGRUP. CLAS. PROF.]]=$B75,IF(DATOS_[[Check Periodo Ref.]:[Check Periodo Ref.]]="Dentro",IF(DATOS_[[Check Equiparado]:[Check Equiparado]]="Sí",IF(DATOS!BJ$5="Sí",(1/DATOS_[[% anualiz]:[% anualiz]]),1)*IF(DATOS!BJ$4="Sí",1/DATOS_[[% normaliz]:[% normaliz]],1)*(DATOS_[C.Extra.02])))))))),
0)</f>
        <v>0</v>
      </c>
      <c r="AR76" s="104">
        <f t="array" ref="AR76">IFERROR(
(AVERAGE((IF(DATOS_[[Sexo]:[Sexo]]=$B76,IF(DATOS_[[AGRUP. CLAS. PROF.]:[AGRUP. CLAS. PROF.]]=$B75,IF(DATOS_[[Check Periodo Ref.]:[Check Periodo Ref.]]="Dentro",IF(DATOS_[[Check Equiparado]:[Check Equiparado]]="Sí",IF(DATOS!BK$5="Sí",(1/DATOS_[[% anualiz]:[% anualiz]]),1)*IF(DATOS!BK$4="Sí",1/DATOS_[[% normaliz]:[% normaliz]],1)*(DATOS_[C.Extra.03])))))))),
0)</f>
        <v>0</v>
      </c>
      <c r="AS76" s="104">
        <f t="array" ref="AS76">IFERROR(
(AVERAGE((IF(DATOS_[[Sexo]:[Sexo]]=$B76,IF(DATOS_[[AGRUP. CLAS. PROF.]:[AGRUP. CLAS. PROF.]]=$B75,IF(DATOS_[[Check Periodo Ref.]:[Check Periodo Ref.]]="Dentro",IF(DATOS_[[Check Equiparado]:[Check Equiparado]]="Sí",IF(DATOS!BL$5="Sí",(1/DATOS_[[% anualiz]:[% anualiz]]),1)*IF(DATOS!BL$4="Sí",1/DATOS_[[% normaliz]:[% normaliz]],1)*(DATOS_[C.Extra.04])))))))),
0)</f>
        <v>0</v>
      </c>
      <c r="AT76" s="104">
        <f t="array" ref="AT76">IFERROR(
(AVERAGE((IF(DATOS_[[Sexo]:[Sexo]]=$B76,IF(DATOS_[[AGRUP. CLAS. PROF.]:[AGRUP. CLAS. PROF.]]=$B75,IF(DATOS_[[Check Periodo Ref.]:[Check Periodo Ref.]]="Dentro",IF(DATOS_[[Check Equiparado]:[Check Equiparado]]="Sí",IF(DATOS!BM$5="Sí",(1/DATOS_[[% anualiz]:[% anualiz]]),1)*IF(DATOS!BM$4="Sí",1/DATOS_[[% normaliz]:[% normaliz]],1)*(DATOS_[C.Extra.05])))))))),
0)</f>
        <v>0</v>
      </c>
      <c r="AU76" s="105">
        <f t="array" ref="AU76">IFERROR(
AVERAGE(IF(DATOS_[Sexo]=$B76,IF(DATOS_[[AGRUP. CLAS. PROF.]:[AGRUP. CLAS. PROF.]]=$B75,IF(DATOS_[Check Equiparado]="Sí",IF(DATOS_[Check Periodo Ref.]="Dentro",DATOS_[Tot Extrasalarial Eq],FALSE))))),
0)</f>
        <v>0</v>
      </c>
      <c r="AV76" s="106">
        <f t="array" ref="AV76">IFERROR(
AVERAGE(IF(DATOS_[Sexo]=$B76,IF(DATOS_[[AGRUP. CLAS. PROF.]:[AGRUP. CLAS. PROF.]]=$B75,IF(DATOS_[Check Equiparado]="Sí",IF(DATOS_[Check Periodo Ref.]="Dentro",DATOS_[TOTAL Retrib Eq],FALSE))))),
0)</f>
        <v>0</v>
      </c>
    </row>
    <row r="77" spans="1:48" hidden="1" x14ac:dyDescent="0.3">
      <c r="A77" s="53" t="str">
        <f t="shared" ref="A77" si="86">+A76</f>
        <v>[ocultar]</v>
      </c>
      <c r="B77" s="57" t="s">
        <v>163</v>
      </c>
      <c r="C77" s="56">
        <f t="array" ref="C77">SUM(IF($B77=DATOS_[Sexo],
IF($B75=DATOS_[AGRUP. CLAS. PROF.],
IF("Dentro"=DATOS_[Check Periodo Ref.],
1/(COUNTIFS(DATOS_[Sexo],$B77,DATOS_[AGRUP. CLAS. PROF.],$B75,DATOS_[Check Periodo Ref.],"Dentro",DATOS_[id],DATOS_[id]))))))</f>
        <v>0</v>
      </c>
      <c r="D77" s="58">
        <f>COUNTIFS(DATOS_[AGRUP. CLAS. PROF.],$B75,DATOS_[Sexo],$B77,DATOS_[Check Periodo Ref.],"Dentro")</f>
        <v>0</v>
      </c>
      <c r="E77" s="58">
        <f>COUNTIFS(DATOS_[AGRUP. CLAS. PROF.],$B75,DATOS_[Sexo],$B77,DATOS_[Check Periodo Ref.],"Dentro",DATOS_[Check Nº SC Norm],"Sí")</f>
        <v>0</v>
      </c>
      <c r="F77" s="58">
        <f>COUNTIFS(DATOS_[AGRUP. CLAS. PROF.],$B75,DATOS_[Sexo],$B77,DATOS_[Check Periodo Ref.],"Dentro",DATOS_[Check Nº SC Anualiz],"Sí")</f>
        <v>0</v>
      </c>
      <c r="G77" s="58">
        <f>COUNTIFS(DATOS_[AGRUP. CLAS. PROF.],$B75,DATOS_[Sexo],$B77,DATOS_[Check Periodo Ref.],"Dentro",DATOS_[Check Nº SC Norm y Anualiz],"Sí")</f>
        <v>0</v>
      </c>
      <c r="H77" s="58">
        <f>COUNTIFS(DATOS_[AGRUP. CLAS. PROF.],$B75,DATOS_[Sexo],$B77,DATOS_[Check Periodo Ref.],"Dentro",DATOS_[Check Equiparación],"Sí")</f>
        <v>0</v>
      </c>
      <c r="I77" s="100" cm="1">
        <f t="array" ref="I77">IFERROR(
AVERAGE(IF(DATOS_[Sexo]=$B77,IF(DATOS_[[AGRUP. CLAS. PROF.]:[AGRUP. CLAS. PROF.]]=$B75,IF(DATOS_[Check Equiparado]="Sí",IF(DATOS_[Check Periodo Ref.]="Dentro",DATOS_[SALARIO BASE Eq],FALSE))))),
0)</f>
        <v>0</v>
      </c>
      <c r="J77" s="101">
        <f t="array" ref="J77">IFERROR(
(AVERAGE((IF(DATOS_[[Sexo]:[Sexo]]=$B77,IF(DATOS_[[AGRUP. CLAS. PROF.]:[AGRUP. CLAS. PROF.]]=$B75,IF(DATOS_[[Check Periodo Ref.]:[Check Periodo Ref.]]="Dentro",IF(DATOS_[[Check Equiparado]:[Check Equiparado]]="Sí",IF(DATOS!AE$5="Sí",(1/DATOS_[[% anualiz]:[% anualiz]]),1)*IF(DATOS!AE$4="Sí",1/DATOS_[[% normaliz]:[% normaliz]],1)*(DATOS_[Conc.Sal.01])))))))),
0)</f>
        <v>0</v>
      </c>
      <c r="K77" s="101">
        <f t="array" ref="K77">IFERROR(
(AVERAGE((IF(DATOS_[[Sexo]:[Sexo]]=$B77,IF(DATOS_[[AGRUP. CLAS. PROF.]:[AGRUP. CLAS. PROF.]]=$B75,IF(DATOS_[[Check Periodo Ref.]:[Check Periodo Ref.]]="Dentro",IF(DATOS_[[Check Equiparado]:[Check Equiparado]]="Sí",IF(DATOS!AF$5="Sí",(1/DATOS_[[% anualiz]:[% anualiz]]),1)*IF(DATOS!AF$4="Sí",1/DATOS_[[% normaliz]:[% normaliz]],1)*(DATOS_[Conc.Sal.02])))))))),
0)</f>
        <v>0</v>
      </c>
      <c r="L77" s="101">
        <f t="array" ref="L77">IFERROR(
(AVERAGE((IF(DATOS_[[Sexo]:[Sexo]]=$B77,IF(DATOS_[[AGRUP. CLAS. PROF.]:[AGRUP. CLAS. PROF.]]=$B75,IF(DATOS_[[Check Periodo Ref.]:[Check Periodo Ref.]]="Dentro",IF(DATOS_[[Check Equiparado]:[Check Equiparado]]="Sí",IF(DATOS!AG$5="Sí",(1/DATOS_[[% anualiz]:[% anualiz]]),1)*IF(DATOS!AG$4="Sí",1/DATOS_[[% normaliz]:[% normaliz]],1)*(DATOS_[Conc.Sal.03])))))))),
0)</f>
        <v>0</v>
      </c>
      <c r="M77" s="101">
        <f t="array" ref="M77">IFERROR(
(AVERAGE((IF(DATOS_[[Sexo]:[Sexo]]=$B77,IF(DATOS_[[AGRUP. CLAS. PROF.]:[AGRUP. CLAS. PROF.]]=$B75,IF(DATOS_[[Check Periodo Ref.]:[Check Periodo Ref.]]="Dentro",IF(DATOS_[[Check Equiparado]:[Check Equiparado]]="Sí",IF(DATOS!AH$5="Sí",(1/DATOS_[[% anualiz]:[% anualiz]]),1)*IF(DATOS!AH$4="Sí",1/DATOS_[[% normaliz]:[% normaliz]],1)*(DATOS_[Conc.Sal.04])))))))),
0)</f>
        <v>0</v>
      </c>
      <c r="N77" s="101">
        <f t="array" ref="N77">IFERROR(
(AVERAGE((IF(DATOS_[[Sexo]:[Sexo]]=$B77,IF(DATOS_[[AGRUP. CLAS. PROF.]:[AGRUP. CLAS. PROF.]]=$B75,IF(DATOS_[[Check Periodo Ref.]:[Check Periodo Ref.]]="Dentro",IF(DATOS_[[Check Equiparado]:[Check Equiparado]]="Sí",IF(DATOS!AI$5="Sí",(1/DATOS_[[% anualiz]:[% anualiz]]),1)*IF(DATOS!AI$4="Sí",1/DATOS_[[% normaliz]:[% normaliz]],1)*(DATOS_[Conc.Sal.05])))))))),
0)</f>
        <v>0</v>
      </c>
      <c r="O77" s="101">
        <f t="array" ref="O77">IFERROR(
(AVERAGE((IF(DATOS_[[Sexo]:[Sexo]]=$B77,IF(DATOS_[[AGRUP. CLAS. PROF.]:[AGRUP. CLAS. PROF.]]=$B75,IF(DATOS_[[Check Periodo Ref.]:[Check Periodo Ref.]]="Dentro",IF(DATOS_[[Check Equiparado]:[Check Equiparado]]="Sí",IF(DATOS!AJ$5="Sí",(1/DATOS_[[% anualiz]:[% anualiz]]),1)*IF(DATOS!AJ$4="Sí",1/DATOS_[[% normaliz]:[% normaliz]],1)*(DATOS_[Conc.Sal.06])))))))),
0)</f>
        <v>0</v>
      </c>
      <c r="P77" s="101">
        <f t="array" ref="P77">IFERROR(
(AVERAGE((IF(DATOS_[[Sexo]:[Sexo]]=$B77,IF(DATOS_[[AGRUP. CLAS. PROF.]:[AGRUP. CLAS. PROF.]]=$B75,IF(DATOS_[[Check Periodo Ref.]:[Check Periodo Ref.]]="Dentro",IF(DATOS_[[Check Equiparado]:[Check Equiparado]]="Sí",IF(DATOS!AK$5="Sí",(1/DATOS_[[% anualiz]:[% anualiz]]),1)*IF(DATOS!AK$4="Sí",1/DATOS_[[% normaliz]:[% normaliz]],1)*(DATOS_[Conc.Sal.07])))))))),
0)</f>
        <v>0</v>
      </c>
      <c r="Q77" s="101">
        <f t="array" ref="Q77">IFERROR(
(AVERAGE((IF(DATOS_[[Sexo]:[Sexo]]=$B77,IF(DATOS_[[AGRUP. CLAS. PROF.]:[AGRUP. CLAS. PROF.]]=$B75,IF(DATOS_[[Check Periodo Ref.]:[Check Periodo Ref.]]="Dentro",IF(DATOS_[[Check Equiparado]:[Check Equiparado]]="Sí",IF(DATOS!AL$5="Sí",(1/DATOS_[[% anualiz]:[% anualiz]]),1)*IF(DATOS!AL$4="Sí",1/DATOS_[[% normaliz]:[% normaliz]],1)*(DATOS_[Conc.Sal.08])))))))),
0)</f>
        <v>0</v>
      </c>
      <c r="R77" s="101">
        <f t="array" ref="R77">IFERROR(
(AVERAGE((IF(DATOS_[[Sexo]:[Sexo]]=$B77,IF(DATOS_[[AGRUP. CLAS. PROF.]:[AGRUP. CLAS. PROF.]]=$B75,IF(DATOS_[[Check Periodo Ref.]:[Check Periodo Ref.]]="Dentro",IF(DATOS_[[Check Equiparado]:[Check Equiparado]]="Sí",IF(DATOS!AM$5="Sí",(1/DATOS_[[% anualiz]:[% anualiz]]),1)*IF(DATOS!AM$4="Sí",1/DATOS_[[% normaliz]:[% normaliz]],1)*(DATOS_[Conc.Sal.09])))))))),
0)</f>
        <v>0</v>
      </c>
      <c r="S77" s="101">
        <f t="array" ref="S77">IFERROR(
(AVERAGE((IF(DATOS_[[Sexo]:[Sexo]]=$B77,IF(DATOS_[[AGRUP. CLAS. PROF.]:[AGRUP. CLAS. PROF.]]=$B75,IF(DATOS_[[Check Periodo Ref.]:[Check Periodo Ref.]]="Dentro",IF(DATOS_[[Check Equiparado]:[Check Equiparado]]="Sí",IF(DATOS!AN$5="Sí",(1/DATOS_[[% anualiz]:[% anualiz]]),1)*IF(DATOS!AN$4="Sí",1/DATOS_[[% normaliz]:[% normaliz]],1)*(DATOS_[Conc.Sal.10])))))))),
0)</f>
        <v>0</v>
      </c>
      <c r="T77" s="101">
        <f t="array" ref="T77">IFERROR(
(AVERAGE((IF(DATOS_[[Sexo]:[Sexo]]=$B77,IF(DATOS_[[AGRUP. CLAS. PROF.]:[AGRUP. CLAS. PROF.]]=$B75,IF(DATOS_[[Check Periodo Ref.]:[Check Periodo Ref.]]="Dentro",IF(DATOS_[[Check Equiparado]:[Check Equiparado]]="Sí",IF(DATOS!AO$5="Sí",(1/DATOS_[[% anualiz]:[% anualiz]]),1)*IF(DATOS!AO$4="Sí",1/DATOS_[[% normaliz]:[% normaliz]],1)*(DATOS_[Conc.Sal.11])))))))),
0)</f>
        <v>0</v>
      </c>
      <c r="U77" s="101">
        <f t="array" ref="U77">IFERROR(
(AVERAGE((IF(DATOS_[[Sexo]:[Sexo]]=$B77,IF(DATOS_[[AGRUP. CLAS. PROF.]:[AGRUP. CLAS. PROF.]]=$B75,IF(DATOS_[[Check Periodo Ref.]:[Check Periodo Ref.]]="Dentro",IF(DATOS_[[Check Equiparado]:[Check Equiparado]]="Sí",IF(DATOS!AP$5="Sí",(1/DATOS_[[% anualiz]:[% anualiz]]),1)*IF(DATOS!AP$4="Sí",1/DATOS_[[% normaliz]:[% normaliz]],1)*(DATOS_[Conc.Sal.12])))))))),
0)</f>
        <v>0</v>
      </c>
      <c r="V77" s="101">
        <f t="array" ref="V77">IFERROR(
(AVERAGE((IF(DATOS_[[Sexo]:[Sexo]]=$B77,IF(DATOS_[[AGRUP. CLAS. PROF.]:[AGRUP. CLAS. PROF.]]=$B75,IF(DATOS_[[Check Periodo Ref.]:[Check Periodo Ref.]]="Dentro",IF(DATOS_[[Check Equiparado]:[Check Equiparado]]="Sí",IF(DATOS!AQ$5="Sí",(1/DATOS_[[% anualiz]:[% anualiz]]),1)*IF(DATOS!AQ$4="Sí",1/DATOS_[[% normaliz]:[% normaliz]],1)*(DATOS_[Conc.Sal.13])))))))),
0)</f>
        <v>0</v>
      </c>
      <c r="W77" s="101">
        <f t="array" ref="W77">IFERROR(
(AVERAGE((IF(DATOS_[[Sexo]:[Sexo]]=$B77,IF(DATOS_[[AGRUP. CLAS. PROF.]:[AGRUP. CLAS. PROF.]]=$B75,IF(DATOS_[[Check Periodo Ref.]:[Check Periodo Ref.]]="Dentro",IF(DATOS_[[Check Equiparado]:[Check Equiparado]]="Sí",IF(DATOS!AR$5="Sí",(1/DATOS_[[% anualiz]:[% anualiz]]),1)*IF(DATOS!AR$4="Sí",1/DATOS_[[% normaliz]:[% normaliz]],1)*(DATOS_[Conc.Sal.14])))))))),
0)</f>
        <v>0</v>
      </c>
      <c r="X77" s="101">
        <f t="array" ref="X77">IFERROR(
(AVERAGE((IF(DATOS_[[Sexo]:[Sexo]]=$B77,IF(DATOS_[[AGRUP. CLAS. PROF.]:[AGRUP. CLAS. PROF.]]=$B75,IF(DATOS_[[Check Periodo Ref.]:[Check Periodo Ref.]]="Dentro",IF(DATOS_[[Check Equiparado]:[Check Equiparado]]="Sí",IF(DATOS!AS$5="Sí",(1/DATOS_[[% anualiz]:[% anualiz]]),1)*IF(DATOS!AS$4="Sí",1/DATOS_[[% normaliz]:[% normaliz]],1)*(DATOS_[Conc.Sal.15])))))))),
0)</f>
        <v>0</v>
      </c>
      <c r="Y77" s="101">
        <f t="array" ref="Y77">IFERROR(
(AVERAGE((IF(DATOS_[[Sexo]:[Sexo]]=$B77,IF(DATOS_[[AGRUP. CLAS. PROF.]:[AGRUP. CLAS. PROF.]]=$B75,IF(DATOS_[[Check Periodo Ref.]:[Check Periodo Ref.]]="Dentro",IF(DATOS_[[Check Equiparado]:[Check Equiparado]]="Sí",IF(DATOS!AT$5="Sí",(1/DATOS_[[% anualiz]:[% anualiz]]),1)*IF(DATOS!AT$4="Sí",1/DATOS_[[% normaliz]:[% normaliz]],1)*(DATOS_[Conc.Sal.16])))))))),
0)</f>
        <v>0</v>
      </c>
      <c r="Z77" s="101">
        <f t="array" ref="Z77">IFERROR(
(AVERAGE((IF(DATOS_[[Sexo]:[Sexo]]=$B77,IF(DATOS_[[AGRUP. CLAS. PROF.]:[AGRUP. CLAS. PROF.]]=$B75,IF(DATOS_[[Check Periodo Ref.]:[Check Periodo Ref.]]="Dentro",IF(DATOS_[[Check Equiparado]:[Check Equiparado]]="Sí",IF(DATOS!AU$5="Sí",(1/DATOS_[[% anualiz]:[% anualiz]]),1)*IF(DATOS!AU$4="Sí",1/DATOS_[[% normaliz]:[% normaliz]],1)*(DATOS_[Conc.Sal.17])))))))),
0)</f>
        <v>0</v>
      </c>
      <c r="AA77" s="101">
        <f t="array" ref="AA77">IFERROR(
(AVERAGE((IF(DATOS_[[Sexo]:[Sexo]]=$B77,IF(DATOS_[[AGRUP. CLAS. PROF.]:[AGRUP. CLAS. PROF.]]=$B75,IF(DATOS_[[Check Periodo Ref.]:[Check Periodo Ref.]]="Dentro",IF(DATOS_[[Check Equiparado]:[Check Equiparado]]="Sí",IF(DATOS!AV$5="Sí",(1/DATOS_[[% anualiz]:[% anualiz]]),1)*IF(DATOS!AV$4="Sí",1/DATOS_[[% normaliz]:[% normaliz]],1)*(DATOS_[Conc.Sal.18])))))))),
0)</f>
        <v>0</v>
      </c>
      <c r="AB77" s="101">
        <f t="array" ref="AB77">IFERROR(
(AVERAGE((IF(DATOS_[[Sexo]:[Sexo]]=$B77,IF(DATOS_[[AGRUP. CLAS. PROF.]:[AGRUP. CLAS. PROF.]]=$B75,IF(DATOS_[[Check Periodo Ref.]:[Check Periodo Ref.]]="Dentro",IF(DATOS_[[Check Equiparado]:[Check Equiparado]]="Sí",IF(DATOS!AW$5="Sí",(1/DATOS_[[% anualiz]:[% anualiz]]),1)*IF(DATOS!AW$4="Sí",1/DATOS_[[% normaliz]:[% normaliz]],1)*(DATOS_[Conc.Sal.19])))))))),
0)</f>
        <v>0</v>
      </c>
      <c r="AC77" s="101">
        <f t="array" ref="AC77">IFERROR(
(AVERAGE((IF(DATOS_[[Sexo]:[Sexo]]=$B77,IF(DATOS_[[AGRUP. CLAS. PROF.]:[AGRUP. CLAS. PROF.]]=$B75,IF(DATOS_[[Check Periodo Ref.]:[Check Periodo Ref.]]="Dentro",IF(DATOS_[[Check Equiparado]:[Check Equiparado]]="Sí",IF(DATOS!AX$5="Sí",(1/DATOS_[[% anualiz]:[% anualiz]]),1)*IF(DATOS!AX$4="Sí",1/DATOS_[[% normaliz]:[% normaliz]],1)*(DATOS_[Conc.Sal.20])))))))),
0)</f>
        <v>0</v>
      </c>
      <c r="AD77" s="101">
        <f t="array" ref="AD77">IFERROR(
(AVERAGE((IF(DATOS_[[Sexo]:[Sexo]]=$B77,IF(DATOS_[[AGRUP. CLAS. PROF.]:[AGRUP. CLAS. PROF.]]=$B75,IF(DATOS_[[Check Periodo Ref.]:[Check Periodo Ref.]]="Dentro",IF(DATOS_[[Check Equiparado]:[Check Equiparado]]="Sí",IF(DATOS!AY$5="Sí",(1/DATOS_[[% anualiz]:[% anualiz]]),1)*IF(DATOS!AY$4="Sí",1/DATOS_[[% normaliz]:[% normaliz]],1)*(DATOS_[Conc.Sal.21])))))))),
0)</f>
        <v>0</v>
      </c>
      <c r="AE77" s="101">
        <f t="array" ref="AE77">IFERROR(
(AVERAGE((IF(DATOS_[[Sexo]:[Sexo]]=$B77,IF(DATOS_[[AGRUP. CLAS. PROF.]:[AGRUP. CLAS. PROF.]]=$B75,IF(DATOS_[[Check Periodo Ref.]:[Check Periodo Ref.]]="Dentro",IF(DATOS_[[Check Equiparado]:[Check Equiparado]]="Sí",IF(DATOS!AZ$5="Sí",(1/DATOS_[[% anualiz]:[% anualiz]]),1)*IF(DATOS!AZ$4="Sí",1/DATOS_[[% normaliz]:[% normaliz]],1)*(DATOS_[Conc.Sal.22])))))))),
0)</f>
        <v>0</v>
      </c>
      <c r="AF77" s="101">
        <f t="array" ref="AF77">IFERROR(
(AVERAGE((IF(DATOS_[[Sexo]:[Sexo]]=$B77,IF(DATOS_[[AGRUP. CLAS. PROF.]:[AGRUP. CLAS. PROF.]]=$B75,IF(DATOS_[[Check Periodo Ref.]:[Check Periodo Ref.]]="Dentro",IF(DATOS_[[Check Equiparado]:[Check Equiparado]]="Sí",IF(DATOS!BA$5="Sí",(1/DATOS_[[% anualiz]:[% anualiz]]),1)*IF(DATOS!BA$4="Sí",1/DATOS_[[% normaliz]:[% normaliz]],1)*(DATOS_[Conc.Sal.23])))))))),
0)</f>
        <v>0</v>
      </c>
      <c r="AG77" s="101">
        <f t="array" ref="AG77">IFERROR(
(AVERAGE((IF(DATOS_[[Sexo]:[Sexo]]=$B77,IF(DATOS_[[AGRUP. CLAS. PROF.]:[AGRUP. CLAS. PROF.]]=$B75,IF(DATOS_[[Check Periodo Ref.]:[Check Periodo Ref.]]="Dentro",IF(DATOS_[[Check Equiparado]:[Check Equiparado]]="Sí",IF(DATOS!BB$5="Sí",(1/DATOS_[[% anualiz]:[% anualiz]]),1)*IF(DATOS!BB$4="Sí",1/DATOS_[[% normaliz]:[% normaliz]],1)*(DATOS_[Conc.Sal.24])))))))),
0)</f>
        <v>0</v>
      </c>
      <c r="AH77" s="101">
        <f t="array" ref="AH77">IFERROR(
(AVERAGE((IF(DATOS_[[Sexo]:[Sexo]]=$B77,IF(DATOS_[[AGRUP. CLAS. PROF.]:[AGRUP. CLAS. PROF.]]=$B75,IF(DATOS_[[Check Periodo Ref.]:[Check Periodo Ref.]]="Dentro",IF(DATOS_[[Check Equiparado]:[Check Equiparado]]="Sí",IF(DATOS!BC$5="Sí",(1/DATOS_[[% anualiz]:[% anualiz]]),1)*IF(DATOS!BC$4="Sí",1/DATOS_[[% normaliz]:[% normaliz]],1)*(DATOS_[Conc.Sal.25])))))))),
0)</f>
        <v>0</v>
      </c>
      <c r="AI77" s="101">
        <f t="array" ref="AI77">IFERROR(
(AVERAGE((IF(DATOS_[[Sexo]:[Sexo]]=$B77,IF(DATOS_[[AGRUP. CLAS. PROF.]:[AGRUP. CLAS. PROF.]]=$B75,IF(DATOS_[[Check Periodo Ref.]:[Check Periodo Ref.]]="Dentro",IF(DATOS_[[Check Equiparado]:[Check Equiparado]]="Sí",IF(DATOS!BD$5="Sí",(1/DATOS_[[% anualiz]:[% anualiz]]),1)*IF(DATOS!BD$4="Sí",1/DATOS_[[% normaliz]:[% normaliz]],1)*(DATOS_[Conc.Sal.26])))))))),
0)</f>
        <v>0</v>
      </c>
      <c r="AJ77" s="101">
        <f t="array" ref="AJ77">IFERROR(
(AVERAGE((IF(DATOS_[[Sexo]:[Sexo]]=$B77,IF(DATOS_[[AGRUP. CLAS. PROF.]:[AGRUP. CLAS. PROF.]]=$B75,IF(DATOS_[[Check Periodo Ref.]:[Check Periodo Ref.]]="Dentro",IF(DATOS_[[Check Equiparado]:[Check Equiparado]]="Sí",IF(DATOS!BE$5="Sí",(1/DATOS_[[% anualiz]:[% anualiz]]),1)*IF(DATOS!BE$4="Sí",1/DATOS_[[% normaliz]:[% normaliz]],1)*(DATOS_[Conc.Sal.27])))))))),
0)</f>
        <v>0</v>
      </c>
      <c r="AK77" s="101">
        <f t="array" ref="AK77">IFERROR(
(AVERAGE((IF(DATOS_[[Sexo]:[Sexo]]=$B77,IF(DATOS_[[AGRUP. CLAS. PROF.]:[AGRUP. CLAS. PROF.]]=$B75,IF(DATOS_[[Check Periodo Ref.]:[Check Periodo Ref.]]="Dentro",IF(DATOS_[[Check Equiparado]:[Check Equiparado]]="Sí",IF(DATOS!BF$5="Sí",(1/DATOS_[[% anualiz]:[% anualiz]]),1)*IF(DATOS!BF$4="Sí",1/DATOS_[[% normaliz]:[% normaliz]],1)*(DATOS_[Conc.Sal.28])))))))),
0)</f>
        <v>0</v>
      </c>
      <c r="AL77" s="101">
        <f t="array" ref="AL77">IFERROR(
(AVERAGE((IF(DATOS_[[Sexo]:[Sexo]]=$B77,IF(DATOS_[[AGRUP. CLAS. PROF.]:[AGRUP. CLAS. PROF.]]=$B75,IF(DATOS_[[Check Periodo Ref.]:[Check Periodo Ref.]]="Dentro",IF(DATOS_[[Check Equiparado]:[Check Equiparado]]="Sí",IF(DATOS!BG$5="Sí",(1/DATOS_[[% anualiz]:[% anualiz]]),1)*IF(DATOS!BG$4="Sí",1/DATOS_[[% normaliz]:[% normaliz]],1)*(DATOS_[Conc.Sal.29])))))))),
0)</f>
        <v>0</v>
      </c>
      <c r="AM77" s="101">
        <f t="array" ref="AM77">IFERROR(
(AVERAGE((IF(DATOS_[[Sexo]:[Sexo]]=$B77,IF(DATOS_[[AGRUP. CLAS. PROF.]:[AGRUP. CLAS. PROF.]]=$B75,IF(DATOS_[[Check Periodo Ref.]:[Check Periodo Ref.]]="Dentro",IF(DATOS_[[Check Equiparado]:[Check Equiparado]]="Sí",IF(DATOS!BH$5="Sí",(1/DATOS_[[% anualiz]:[% anualiz]]),1)*IF(DATOS!BH$4="Sí",1/DATOS_[[% normaliz]:[% normaliz]],1)*(DATOS_[Conc.Sal.30])))))))),
0)</f>
        <v>0</v>
      </c>
      <c r="AN77" s="102">
        <f t="array" ref="AN77">IFERROR(
AVERAGE(IF(DATOS_[Sexo]=$B77,IF(DATOS_[[AGRUP. CLAS. PROF.]:[AGRUP. CLAS. PROF.]]=$B75,IF(DATOS_[Check Equiparado]="Sí",IF(DATOS_[Check Periodo Ref.]="Dentro",DATOS_[Tot COMPL.SAL Eq],FALSE))))),
0)</f>
        <v>0</v>
      </c>
      <c r="AO77" s="103">
        <f t="array" ref="AO77">IFERROR(
AVERAGE(IF(DATOS_[Sexo]=$B77,IF(DATOS_[[AGRUP. CLAS. PROF.]:[AGRUP. CLAS. PROF.]]=$B75,IF(DATOS_[Check Equiparado]="Sí",IF(DATOS_[Check Periodo Ref.]="Dentro",DATOS_[TOTAL SALARIO Eq],FALSE))))),
0)</f>
        <v>0</v>
      </c>
      <c r="AP77" s="104">
        <f t="array" ref="AP77">IFERROR(
(AVERAGE((IF(DATOS_[[Sexo]:[Sexo]]=$B77,IF(DATOS_[[AGRUP. CLAS. PROF.]:[AGRUP. CLAS. PROF.]]=$B75,IF(DATOS_[[Check Periodo Ref.]:[Check Periodo Ref.]]="Dentro",IF(DATOS_[[Check Equiparado]:[Check Equiparado]]="Sí",IF(DATOS!BI$5="Sí",(1/DATOS_[[% anualiz]:[% anualiz]]),1)*IF(DATOS!BI$4="Sí",1/DATOS_[[% normaliz]:[% normaliz]],1)*(DATOS_[C.Extra.01])))))))),
0)</f>
        <v>0</v>
      </c>
      <c r="AQ77" s="104">
        <f t="array" ref="AQ77">IFERROR(
(AVERAGE((IF(DATOS_[[Sexo]:[Sexo]]=$B77,IF(DATOS_[[AGRUP. CLAS. PROF.]:[AGRUP. CLAS. PROF.]]=$B75,IF(DATOS_[[Check Periodo Ref.]:[Check Periodo Ref.]]="Dentro",IF(DATOS_[[Check Equiparado]:[Check Equiparado]]="Sí",IF(DATOS!BJ$5="Sí",(1/DATOS_[[% anualiz]:[% anualiz]]),1)*IF(DATOS!BJ$4="Sí",1/DATOS_[[% normaliz]:[% normaliz]],1)*(DATOS_[C.Extra.02])))))))),
0)</f>
        <v>0</v>
      </c>
      <c r="AR77" s="104">
        <f t="array" ref="AR77">IFERROR(
(AVERAGE((IF(DATOS_[[Sexo]:[Sexo]]=$B77,IF(DATOS_[[AGRUP. CLAS. PROF.]:[AGRUP. CLAS. PROF.]]=$B75,IF(DATOS_[[Check Periodo Ref.]:[Check Periodo Ref.]]="Dentro",IF(DATOS_[[Check Equiparado]:[Check Equiparado]]="Sí",IF(DATOS!BK$5="Sí",(1/DATOS_[[% anualiz]:[% anualiz]]),1)*IF(DATOS!BK$4="Sí",1/DATOS_[[% normaliz]:[% normaliz]],1)*(DATOS_[C.Extra.03])))))))),
0)</f>
        <v>0</v>
      </c>
      <c r="AS77" s="104">
        <f t="array" ref="AS77">IFERROR(
(AVERAGE((IF(DATOS_[[Sexo]:[Sexo]]=$B77,IF(DATOS_[[AGRUP. CLAS. PROF.]:[AGRUP. CLAS. PROF.]]=$B75,IF(DATOS_[[Check Periodo Ref.]:[Check Periodo Ref.]]="Dentro",IF(DATOS_[[Check Equiparado]:[Check Equiparado]]="Sí",IF(DATOS!BL$5="Sí",(1/DATOS_[[% anualiz]:[% anualiz]]),1)*IF(DATOS!BL$4="Sí",1/DATOS_[[% normaliz]:[% normaliz]],1)*(DATOS_[C.Extra.04])))))))),
0)</f>
        <v>0</v>
      </c>
      <c r="AT77" s="104">
        <f t="array" ref="AT77">IFERROR(
(AVERAGE((IF(DATOS_[[Sexo]:[Sexo]]=$B77,IF(DATOS_[[AGRUP. CLAS. PROF.]:[AGRUP. CLAS. PROF.]]=$B75,IF(DATOS_[[Check Periodo Ref.]:[Check Periodo Ref.]]="Dentro",IF(DATOS_[[Check Equiparado]:[Check Equiparado]]="Sí",IF(DATOS!BM$5="Sí",(1/DATOS_[[% anualiz]:[% anualiz]]),1)*IF(DATOS!BM$4="Sí",1/DATOS_[[% normaliz]:[% normaliz]],1)*(DATOS_[C.Extra.05])))))))),
0)</f>
        <v>0</v>
      </c>
      <c r="AU77" s="105">
        <f t="array" ref="AU77">IFERROR(
AVERAGE(IF(DATOS_[Sexo]=$B77,IF(DATOS_[[AGRUP. CLAS. PROF.]:[AGRUP. CLAS. PROF.]]=$B75,IF(DATOS_[Check Equiparado]="Sí",IF(DATOS_[Check Periodo Ref.]="Dentro",DATOS_[Tot Extrasalarial Eq],FALSE))))),
0)</f>
        <v>0</v>
      </c>
      <c r="AV77" s="106">
        <f t="array" ref="AV77">IFERROR(
AVERAGE(IF(DATOS_[Sexo]=$B77,IF(DATOS_[[AGRUP. CLAS. PROF.]:[AGRUP. CLAS. PROF.]]=$B75,IF(DATOS_[Check Equiparado]="Sí",IF(DATOS_[Check Periodo Ref.]="Dentro",DATOS_[TOTAL Retrib Eq],FALSE))))),
0)</f>
        <v>0</v>
      </c>
    </row>
    <row r="78" spans="1:48" ht="17.25" hidden="1" thickBot="1" x14ac:dyDescent="0.35">
      <c r="A78" s="53" t="str">
        <f t="shared" ref="A78" si="87">+A79</f>
        <v>[ocultar]</v>
      </c>
      <c r="B78" s="62" t="s">
        <v>238</v>
      </c>
      <c r="C78" s="99"/>
      <c r="D78" s="63"/>
      <c r="E78" s="63"/>
      <c r="F78" s="63"/>
      <c r="G78" s="63"/>
      <c r="H78" s="63"/>
      <c r="I78" s="129" t="str">
        <f t="shared" ref="I78:AV78" si="88">IFERROR((I79-I80)/I79,"")</f>
        <v/>
      </c>
      <c r="J78" s="130" t="str">
        <f t="shared" si="88"/>
        <v/>
      </c>
      <c r="K78" s="131" t="str">
        <f t="shared" si="88"/>
        <v/>
      </c>
      <c r="L78" s="131" t="str">
        <f t="shared" si="88"/>
        <v/>
      </c>
      <c r="M78" s="131" t="str">
        <f t="shared" si="88"/>
        <v/>
      </c>
      <c r="N78" s="132" t="str">
        <f t="shared" si="88"/>
        <v/>
      </c>
      <c r="O78" s="133" t="str">
        <f t="shared" si="88"/>
        <v/>
      </c>
      <c r="P78" s="133" t="str">
        <f t="shared" si="88"/>
        <v/>
      </c>
      <c r="Q78" s="133" t="str">
        <f t="shared" si="88"/>
        <v/>
      </c>
      <c r="R78" s="133" t="str">
        <f t="shared" si="88"/>
        <v/>
      </c>
      <c r="S78" s="133" t="str">
        <f t="shared" si="88"/>
        <v/>
      </c>
      <c r="T78" s="133" t="str">
        <f t="shared" si="88"/>
        <v/>
      </c>
      <c r="U78" s="133" t="str">
        <f t="shared" si="88"/>
        <v/>
      </c>
      <c r="V78" s="133" t="str">
        <f t="shared" si="88"/>
        <v/>
      </c>
      <c r="W78" s="133" t="str">
        <f t="shared" si="88"/>
        <v/>
      </c>
      <c r="X78" s="133" t="str">
        <f t="shared" si="88"/>
        <v/>
      </c>
      <c r="Y78" s="133" t="str">
        <f t="shared" si="88"/>
        <v/>
      </c>
      <c r="Z78" s="132" t="str">
        <f t="shared" si="88"/>
        <v/>
      </c>
      <c r="AA78" s="132" t="str">
        <f t="shared" si="88"/>
        <v/>
      </c>
      <c r="AB78" s="132" t="str">
        <f t="shared" si="88"/>
        <v/>
      </c>
      <c r="AC78" s="132" t="str">
        <f t="shared" si="88"/>
        <v/>
      </c>
      <c r="AD78" s="132" t="str">
        <f t="shared" si="88"/>
        <v/>
      </c>
      <c r="AE78" s="132" t="str">
        <f t="shared" si="88"/>
        <v/>
      </c>
      <c r="AF78" s="132" t="str">
        <f t="shared" si="88"/>
        <v/>
      </c>
      <c r="AG78" s="132" t="str">
        <f t="shared" si="88"/>
        <v/>
      </c>
      <c r="AH78" s="132" t="str">
        <f t="shared" si="88"/>
        <v/>
      </c>
      <c r="AI78" s="132" t="str">
        <f t="shared" si="88"/>
        <v/>
      </c>
      <c r="AJ78" s="132" t="str">
        <f t="shared" si="88"/>
        <v/>
      </c>
      <c r="AK78" s="132" t="str">
        <f t="shared" si="88"/>
        <v/>
      </c>
      <c r="AL78" s="132" t="str">
        <f t="shared" si="88"/>
        <v/>
      </c>
      <c r="AM78" s="132" t="str">
        <f t="shared" si="88"/>
        <v/>
      </c>
      <c r="AN78" s="134" t="str">
        <f t="shared" si="88"/>
        <v/>
      </c>
      <c r="AO78" s="138" t="str">
        <f t="shared" si="88"/>
        <v/>
      </c>
      <c r="AP78" s="135" t="str">
        <f t="shared" si="88"/>
        <v/>
      </c>
      <c r="AQ78" s="135" t="str">
        <f t="shared" si="88"/>
        <v/>
      </c>
      <c r="AR78" s="135" t="str">
        <f t="shared" si="88"/>
        <v/>
      </c>
      <c r="AS78" s="135" t="str">
        <f t="shared" si="88"/>
        <v/>
      </c>
      <c r="AT78" s="135" t="str">
        <f t="shared" si="88"/>
        <v/>
      </c>
      <c r="AU78" s="136" t="str">
        <f t="shared" si="88"/>
        <v/>
      </c>
      <c r="AV78" s="137" t="str">
        <f t="shared" si="88"/>
        <v/>
      </c>
    </row>
    <row r="79" spans="1:48" hidden="1" x14ac:dyDescent="0.3">
      <c r="A79" s="53" t="str">
        <f t="shared" ref="A79" si="89">+IF(C79+C80=0,"[ocultar]","")</f>
        <v>[ocultar]</v>
      </c>
      <c r="B79" s="57" t="s">
        <v>162</v>
      </c>
      <c r="C79" s="56">
        <f t="array" ref="C79">SUM(IF($B79=DATOS_[Sexo],
IF($B78=DATOS_[AGRUP. CLAS. PROF.],
IF("Dentro"=DATOS_[Check Periodo Ref.],
1/(COUNTIFS(DATOS_[Sexo],$B79,DATOS_[AGRUP. CLAS. PROF.],$B78,DATOS_[Check Periodo Ref.],"Dentro",DATOS_[id],DATOS_[id]))))))</f>
        <v>0</v>
      </c>
      <c r="D79" s="58">
        <f>COUNTIFS(DATOS_[AGRUP. CLAS. PROF.],$B78,DATOS_[Sexo],$B79,DATOS_[Check Periodo Ref.],"Dentro")</f>
        <v>0</v>
      </c>
      <c r="E79" s="58">
        <f>COUNTIFS(DATOS_[AGRUP. CLAS. PROF.],$B78,DATOS_[Sexo],$B79,DATOS_[Check Periodo Ref.],"Dentro",DATOS_[Check Nº SC Norm],"Sí")</f>
        <v>0</v>
      </c>
      <c r="F79" s="58">
        <f>COUNTIFS(DATOS_[AGRUP. CLAS. PROF.],$B78,DATOS_[Sexo],$B79,DATOS_[Check Periodo Ref.],"Dentro",DATOS_[Check Nº SC Anualiz],"Sí")</f>
        <v>0</v>
      </c>
      <c r="G79" s="58">
        <f>COUNTIFS(DATOS_[AGRUP. CLAS. PROF.],$B78,DATOS_[Sexo],$B79,DATOS_[Check Periodo Ref.],"Dentro",DATOS_[Check Nº SC Norm y Anualiz],"Sí")</f>
        <v>0</v>
      </c>
      <c r="H79" s="58">
        <f>COUNTIFS(DATOS_[AGRUP. CLAS. PROF.],$B78,DATOS_[Sexo],$B79,DATOS_[Check Periodo Ref.],"Dentro",DATOS_[Check Equiparación],"Sí")</f>
        <v>0</v>
      </c>
      <c r="I79" s="100">
        <f t="array" ref="I79">IFERROR(
AVERAGE(IF(DATOS_[Sexo]=$B79,IF(DATOS_[[AGRUP. CLAS. PROF.]:[AGRUP. CLAS. PROF.]]=$B78,IF(DATOS_[Check Equiparado]="Sí",IF(DATOS_[Check Periodo Ref.]="Dentro",DATOS_[SALARIO BASE Eq],FALSE))))),
0)</f>
        <v>0</v>
      </c>
      <c r="J79" s="101">
        <f t="array" ref="J79">IFERROR(
(AVERAGE((IF(DATOS_[[Sexo]:[Sexo]]=$B79,IF(DATOS_[[AGRUP. CLAS. PROF.]:[AGRUP. CLAS. PROF.]]=$B78,IF(DATOS_[[Check Periodo Ref.]:[Check Periodo Ref.]]="Dentro",IF(DATOS_[[Check Equiparado]:[Check Equiparado]]="Sí",IF(DATOS!AE$5="Sí",(1/DATOS_[[% anualiz]:[% anualiz]]),1)*IF(DATOS!AE$4="Sí",1/DATOS_[[% normaliz]:[% normaliz]],1)*(DATOS_[Conc.Sal.01])))))))),
0)</f>
        <v>0</v>
      </c>
      <c r="K79" s="101">
        <f t="array" ref="K79">IFERROR(
(AVERAGE((IF(DATOS_[[Sexo]:[Sexo]]=$B79,IF(DATOS_[[AGRUP. CLAS. PROF.]:[AGRUP. CLAS. PROF.]]=$B78,IF(DATOS_[[Check Periodo Ref.]:[Check Periodo Ref.]]="Dentro",IF(DATOS_[[Check Equiparado]:[Check Equiparado]]="Sí",IF(DATOS!AF$5="Sí",(1/DATOS_[[% anualiz]:[% anualiz]]),1)*IF(DATOS!AF$4="Sí",1/DATOS_[[% normaliz]:[% normaliz]],1)*(DATOS_[Conc.Sal.02])))))))),
0)</f>
        <v>0</v>
      </c>
      <c r="L79" s="101">
        <f t="array" ref="L79">IFERROR(
(AVERAGE((IF(DATOS_[[Sexo]:[Sexo]]=$B79,IF(DATOS_[[AGRUP. CLAS. PROF.]:[AGRUP. CLAS. PROF.]]=$B78,IF(DATOS_[[Check Periodo Ref.]:[Check Periodo Ref.]]="Dentro",IF(DATOS_[[Check Equiparado]:[Check Equiparado]]="Sí",IF(DATOS!AG$5="Sí",(1/DATOS_[[% anualiz]:[% anualiz]]),1)*IF(DATOS!AG$4="Sí",1/DATOS_[[% normaliz]:[% normaliz]],1)*(DATOS_[Conc.Sal.03])))))))),
0)</f>
        <v>0</v>
      </c>
      <c r="M79" s="101">
        <f t="array" ref="M79">IFERROR(
(AVERAGE((IF(DATOS_[[Sexo]:[Sexo]]=$B79,IF(DATOS_[[AGRUP. CLAS. PROF.]:[AGRUP. CLAS. PROF.]]=$B78,IF(DATOS_[[Check Periodo Ref.]:[Check Periodo Ref.]]="Dentro",IF(DATOS_[[Check Equiparado]:[Check Equiparado]]="Sí",IF(DATOS!AH$5="Sí",(1/DATOS_[[% anualiz]:[% anualiz]]),1)*IF(DATOS!AH$4="Sí",1/DATOS_[[% normaliz]:[% normaliz]],1)*(DATOS_[Conc.Sal.04])))))))),
0)</f>
        <v>0</v>
      </c>
      <c r="N79" s="101">
        <f t="array" ref="N79">IFERROR(
(AVERAGE((IF(DATOS_[[Sexo]:[Sexo]]=$B79,IF(DATOS_[[AGRUP. CLAS. PROF.]:[AGRUP. CLAS. PROF.]]=$B78,IF(DATOS_[[Check Periodo Ref.]:[Check Periodo Ref.]]="Dentro",IF(DATOS_[[Check Equiparado]:[Check Equiparado]]="Sí",IF(DATOS!AI$5="Sí",(1/DATOS_[[% anualiz]:[% anualiz]]),1)*IF(DATOS!AI$4="Sí",1/DATOS_[[% normaliz]:[% normaliz]],1)*(DATOS_[Conc.Sal.05])))))))),
0)</f>
        <v>0</v>
      </c>
      <c r="O79" s="101">
        <f t="array" ref="O79">IFERROR(
(AVERAGE((IF(DATOS_[[Sexo]:[Sexo]]=$B79,IF(DATOS_[[AGRUP. CLAS. PROF.]:[AGRUP. CLAS. PROF.]]=$B78,IF(DATOS_[[Check Periodo Ref.]:[Check Periodo Ref.]]="Dentro",IF(DATOS_[[Check Equiparado]:[Check Equiparado]]="Sí",IF(DATOS!AJ$5="Sí",(1/DATOS_[[% anualiz]:[% anualiz]]),1)*IF(DATOS!AJ$4="Sí",1/DATOS_[[% normaliz]:[% normaliz]],1)*(DATOS_[Conc.Sal.06])))))))),
0)</f>
        <v>0</v>
      </c>
      <c r="P79" s="101">
        <f t="array" ref="P79">IFERROR(
(AVERAGE((IF(DATOS_[[Sexo]:[Sexo]]=$B79,IF(DATOS_[[AGRUP. CLAS. PROF.]:[AGRUP. CLAS. PROF.]]=$B78,IF(DATOS_[[Check Periodo Ref.]:[Check Periodo Ref.]]="Dentro",IF(DATOS_[[Check Equiparado]:[Check Equiparado]]="Sí",IF(DATOS!AK$5="Sí",(1/DATOS_[[% anualiz]:[% anualiz]]),1)*IF(DATOS!AK$4="Sí",1/DATOS_[[% normaliz]:[% normaliz]],1)*(DATOS_[Conc.Sal.07])))))))),
0)</f>
        <v>0</v>
      </c>
      <c r="Q79" s="101">
        <f t="array" ref="Q79">IFERROR(
(AVERAGE((IF(DATOS_[[Sexo]:[Sexo]]=$B79,IF(DATOS_[[AGRUP. CLAS. PROF.]:[AGRUP. CLAS. PROF.]]=$B78,IF(DATOS_[[Check Periodo Ref.]:[Check Periodo Ref.]]="Dentro",IF(DATOS_[[Check Equiparado]:[Check Equiparado]]="Sí",IF(DATOS!AL$5="Sí",(1/DATOS_[[% anualiz]:[% anualiz]]),1)*IF(DATOS!AL$4="Sí",1/DATOS_[[% normaliz]:[% normaliz]],1)*(DATOS_[Conc.Sal.08])))))))),
0)</f>
        <v>0</v>
      </c>
      <c r="R79" s="101">
        <f t="array" ref="R79">IFERROR(
(AVERAGE((IF(DATOS_[[Sexo]:[Sexo]]=$B79,IF(DATOS_[[AGRUP. CLAS. PROF.]:[AGRUP. CLAS. PROF.]]=$B78,IF(DATOS_[[Check Periodo Ref.]:[Check Periodo Ref.]]="Dentro",IF(DATOS_[[Check Equiparado]:[Check Equiparado]]="Sí",IF(DATOS!AM$5="Sí",(1/DATOS_[[% anualiz]:[% anualiz]]),1)*IF(DATOS!AM$4="Sí",1/DATOS_[[% normaliz]:[% normaliz]],1)*(DATOS_[Conc.Sal.09])))))))),
0)</f>
        <v>0</v>
      </c>
      <c r="S79" s="101">
        <f t="array" ref="S79">IFERROR(
(AVERAGE((IF(DATOS_[[Sexo]:[Sexo]]=$B79,IF(DATOS_[[AGRUP. CLAS. PROF.]:[AGRUP. CLAS. PROF.]]=$B78,IF(DATOS_[[Check Periodo Ref.]:[Check Periodo Ref.]]="Dentro",IF(DATOS_[[Check Equiparado]:[Check Equiparado]]="Sí",IF(DATOS!AN$5="Sí",(1/DATOS_[[% anualiz]:[% anualiz]]),1)*IF(DATOS!AN$4="Sí",1/DATOS_[[% normaliz]:[% normaliz]],1)*(DATOS_[Conc.Sal.10])))))))),
0)</f>
        <v>0</v>
      </c>
      <c r="T79" s="101">
        <f t="array" ref="T79">IFERROR(
(AVERAGE((IF(DATOS_[[Sexo]:[Sexo]]=$B79,IF(DATOS_[[AGRUP. CLAS. PROF.]:[AGRUP. CLAS. PROF.]]=$B78,IF(DATOS_[[Check Periodo Ref.]:[Check Periodo Ref.]]="Dentro",IF(DATOS_[[Check Equiparado]:[Check Equiparado]]="Sí",IF(DATOS!AO$5="Sí",(1/DATOS_[[% anualiz]:[% anualiz]]),1)*IF(DATOS!AO$4="Sí",1/DATOS_[[% normaliz]:[% normaliz]],1)*(DATOS_[Conc.Sal.11])))))))),
0)</f>
        <v>0</v>
      </c>
      <c r="U79" s="101">
        <f t="array" ref="U79">IFERROR(
(AVERAGE((IF(DATOS_[[Sexo]:[Sexo]]=$B79,IF(DATOS_[[AGRUP. CLAS. PROF.]:[AGRUP. CLAS. PROF.]]=$B78,IF(DATOS_[[Check Periodo Ref.]:[Check Periodo Ref.]]="Dentro",IF(DATOS_[[Check Equiparado]:[Check Equiparado]]="Sí",IF(DATOS!AP$5="Sí",(1/DATOS_[[% anualiz]:[% anualiz]]),1)*IF(DATOS!AP$4="Sí",1/DATOS_[[% normaliz]:[% normaliz]],1)*(DATOS_[Conc.Sal.12])))))))),
0)</f>
        <v>0</v>
      </c>
      <c r="V79" s="101">
        <f t="array" ref="V79">IFERROR(
(AVERAGE((IF(DATOS_[[Sexo]:[Sexo]]=$B79,IF(DATOS_[[AGRUP. CLAS. PROF.]:[AGRUP. CLAS. PROF.]]=$B78,IF(DATOS_[[Check Periodo Ref.]:[Check Periodo Ref.]]="Dentro",IF(DATOS_[[Check Equiparado]:[Check Equiparado]]="Sí",IF(DATOS!AQ$5="Sí",(1/DATOS_[[% anualiz]:[% anualiz]]),1)*IF(DATOS!AQ$4="Sí",1/DATOS_[[% normaliz]:[% normaliz]],1)*(DATOS_[Conc.Sal.13])))))))),
0)</f>
        <v>0</v>
      </c>
      <c r="W79" s="101">
        <f t="array" ref="W79">IFERROR(
(AVERAGE((IF(DATOS_[[Sexo]:[Sexo]]=$B79,IF(DATOS_[[AGRUP. CLAS. PROF.]:[AGRUP. CLAS. PROF.]]=$B78,IF(DATOS_[[Check Periodo Ref.]:[Check Periodo Ref.]]="Dentro",IF(DATOS_[[Check Equiparado]:[Check Equiparado]]="Sí",IF(DATOS!AR$5="Sí",(1/DATOS_[[% anualiz]:[% anualiz]]),1)*IF(DATOS!AR$4="Sí",1/DATOS_[[% normaliz]:[% normaliz]],1)*(DATOS_[Conc.Sal.14])))))))),
0)</f>
        <v>0</v>
      </c>
      <c r="X79" s="101">
        <f t="array" ref="X79">IFERROR(
(AVERAGE((IF(DATOS_[[Sexo]:[Sexo]]=$B79,IF(DATOS_[[AGRUP. CLAS. PROF.]:[AGRUP. CLAS. PROF.]]=$B78,IF(DATOS_[[Check Periodo Ref.]:[Check Periodo Ref.]]="Dentro",IF(DATOS_[[Check Equiparado]:[Check Equiparado]]="Sí",IF(DATOS!AS$5="Sí",(1/DATOS_[[% anualiz]:[% anualiz]]),1)*IF(DATOS!AS$4="Sí",1/DATOS_[[% normaliz]:[% normaliz]],1)*(DATOS_[Conc.Sal.15])))))))),
0)</f>
        <v>0</v>
      </c>
      <c r="Y79" s="101">
        <f t="array" ref="Y79">IFERROR(
(AVERAGE((IF(DATOS_[[Sexo]:[Sexo]]=$B79,IF(DATOS_[[AGRUP. CLAS. PROF.]:[AGRUP. CLAS. PROF.]]=$B78,IF(DATOS_[[Check Periodo Ref.]:[Check Periodo Ref.]]="Dentro",IF(DATOS_[[Check Equiparado]:[Check Equiparado]]="Sí",IF(DATOS!AT$5="Sí",(1/DATOS_[[% anualiz]:[% anualiz]]),1)*IF(DATOS!AT$4="Sí",1/DATOS_[[% normaliz]:[% normaliz]],1)*(DATOS_[Conc.Sal.16])))))))),
0)</f>
        <v>0</v>
      </c>
      <c r="Z79" s="101">
        <f t="array" ref="Z79">IFERROR(
(AVERAGE((IF(DATOS_[[Sexo]:[Sexo]]=$B79,IF(DATOS_[[AGRUP. CLAS. PROF.]:[AGRUP. CLAS. PROF.]]=$B78,IF(DATOS_[[Check Periodo Ref.]:[Check Periodo Ref.]]="Dentro",IF(DATOS_[[Check Equiparado]:[Check Equiparado]]="Sí",IF(DATOS!AU$5="Sí",(1/DATOS_[[% anualiz]:[% anualiz]]),1)*IF(DATOS!AU$4="Sí",1/DATOS_[[% normaliz]:[% normaliz]],1)*(DATOS_[Conc.Sal.17])))))))),
0)</f>
        <v>0</v>
      </c>
      <c r="AA79" s="101">
        <f t="array" ref="AA79">IFERROR(
(AVERAGE((IF(DATOS_[[Sexo]:[Sexo]]=$B79,IF(DATOS_[[AGRUP. CLAS. PROF.]:[AGRUP. CLAS. PROF.]]=$B78,IF(DATOS_[[Check Periodo Ref.]:[Check Periodo Ref.]]="Dentro",IF(DATOS_[[Check Equiparado]:[Check Equiparado]]="Sí",IF(DATOS!AV$5="Sí",(1/DATOS_[[% anualiz]:[% anualiz]]),1)*IF(DATOS!AV$4="Sí",1/DATOS_[[% normaliz]:[% normaliz]],1)*(DATOS_[Conc.Sal.18])))))))),
0)</f>
        <v>0</v>
      </c>
      <c r="AB79" s="101">
        <f t="array" ref="AB79">IFERROR(
(AVERAGE((IF(DATOS_[[Sexo]:[Sexo]]=$B79,IF(DATOS_[[AGRUP. CLAS. PROF.]:[AGRUP. CLAS. PROF.]]=$B78,IF(DATOS_[[Check Periodo Ref.]:[Check Periodo Ref.]]="Dentro",IF(DATOS_[[Check Equiparado]:[Check Equiparado]]="Sí",IF(DATOS!AW$5="Sí",(1/DATOS_[[% anualiz]:[% anualiz]]),1)*IF(DATOS!AW$4="Sí",1/DATOS_[[% normaliz]:[% normaliz]],1)*(DATOS_[Conc.Sal.19])))))))),
0)</f>
        <v>0</v>
      </c>
      <c r="AC79" s="101">
        <f t="array" ref="AC79">IFERROR(
(AVERAGE((IF(DATOS_[[Sexo]:[Sexo]]=$B79,IF(DATOS_[[AGRUP. CLAS. PROF.]:[AGRUP. CLAS. PROF.]]=$B78,IF(DATOS_[[Check Periodo Ref.]:[Check Periodo Ref.]]="Dentro",IF(DATOS_[[Check Equiparado]:[Check Equiparado]]="Sí",IF(DATOS!AX$5="Sí",(1/DATOS_[[% anualiz]:[% anualiz]]),1)*IF(DATOS!AX$4="Sí",1/DATOS_[[% normaliz]:[% normaliz]],1)*(DATOS_[Conc.Sal.20])))))))),
0)</f>
        <v>0</v>
      </c>
      <c r="AD79" s="101">
        <f t="array" ref="AD79">IFERROR(
(AVERAGE((IF(DATOS_[[Sexo]:[Sexo]]=$B79,IF(DATOS_[[AGRUP. CLAS. PROF.]:[AGRUP. CLAS. PROF.]]=$B78,IF(DATOS_[[Check Periodo Ref.]:[Check Periodo Ref.]]="Dentro",IF(DATOS_[[Check Equiparado]:[Check Equiparado]]="Sí",IF(DATOS!AY$5="Sí",(1/DATOS_[[% anualiz]:[% anualiz]]),1)*IF(DATOS!AY$4="Sí",1/DATOS_[[% normaliz]:[% normaliz]],1)*(DATOS_[Conc.Sal.21])))))))),
0)</f>
        <v>0</v>
      </c>
      <c r="AE79" s="101">
        <f t="array" ref="AE79">IFERROR(
(AVERAGE((IF(DATOS_[[Sexo]:[Sexo]]=$B79,IF(DATOS_[[AGRUP. CLAS. PROF.]:[AGRUP. CLAS. PROF.]]=$B78,IF(DATOS_[[Check Periodo Ref.]:[Check Periodo Ref.]]="Dentro",IF(DATOS_[[Check Equiparado]:[Check Equiparado]]="Sí",IF(DATOS!AZ$5="Sí",(1/DATOS_[[% anualiz]:[% anualiz]]),1)*IF(DATOS!AZ$4="Sí",1/DATOS_[[% normaliz]:[% normaliz]],1)*(DATOS_[Conc.Sal.22])))))))),
0)</f>
        <v>0</v>
      </c>
      <c r="AF79" s="101">
        <f t="array" ref="AF79">IFERROR(
(AVERAGE((IF(DATOS_[[Sexo]:[Sexo]]=$B79,IF(DATOS_[[AGRUP. CLAS. PROF.]:[AGRUP. CLAS. PROF.]]=$B78,IF(DATOS_[[Check Periodo Ref.]:[Check Periodo Ref.]]="Dentro",IF(DATOS_[[Check Equiparado]:[Check Equiparado]]="Sí",IF(DATOS!BA$5="Sí",(1/DATOS_[[% anualiz]:[% anualiz]]),1)*IF(DATOS!BA$4="Sí",1/DATOS_[[% normaliz]:[% normaliz]],1)*(DATOS_[Conc.Sal.23])))))))),
0)</f>
        <v>0</v>
      </c>
      <c r="AG79" s="101">
        <f t="array" ref="AG79">IFERROR(
(AVERAGE((IF(DATOS_[[Sexo]:[Sexo]]=$B79,IF(DATOS_[[AGRUP. CLAS. PROF.]:[AGRUP. CLAS. PROF.]]=$B78,IF(DATOS_[[Check Periodo Ref.]:[Check Periodo Ref.]]="Dentro",IF(DATOS_[[Check Equiparado]:[Check Equiparado]]="Sí",IF(DATOS!BB$5="Sí",(1/DATOS_[[% anualiz]:[% anualiz]]),1)*IF(DATOS!BB$4="Sí",1/DATOS_[[% normaliz]:[% normaliz]],1)*(DATOS_[Conc.Sal.24])))))))),
0)</f>
        <v>0</v>
      </c>
      <c r="AH79" s="101">
        <f t="array" ref="AH79">IFERROR(
(AVERAGE((IF(DATOS_[[Sexo]:[Sexo]]=$B79,IF(DATOS_[[AGRUP. CLAS. PROF.]:[AGRUP. CLAS. PROF.]]=$B78,IF(DATOS_[[Check Periodo Ref.]:[Check Periodo Ref.]]="Dentro",IF(DATOS_[[Check Equiparado]:[Check Equiparado]]="Sí",IF(DATOS!BC$5="Sí",(1/DATOS_[[% anualiz]:[% anualiz]]),1)*IF(DATOS!BC$4="Sí",1/DATOS_[[% normaliz]:[% normaliz]],1)*(DATOS_[Conc.Sal.25])))))))),
0)</f>
        <v>0</v>
      </c>
      <c r="AI79" s="101">
        <f t="array" ref="AI79">IFERROR(
(AVERAGE((IF(DATOS_[[Sexo]:[Sexo]]=$B79,IF(DATOS_[[AGRUP. CLAS. PROF.]:[AGRUP. CLAS. PROF.]]=$B78,IF(DATOS_[[Check Periodo Ref.]:[Check Periodo Ref.]]="Dentro",IF(DATOS_[[Check Equiparado]:[Check Equiparado]]="Sí",IF(DATOS!BD$5="Sí",(1/DATOS_[[% anualiz]:[% anualiz]]),1)*IF(DATOS!BD$4="Sí",1/DATOS_[[% normaliz]:[% normaliz]],1)*(DATOS_[Conc.Sal.26])))))))),
0)</f>
        <v>0</v>
      </c>
      <c r="AJ79" s="101">
        <f t="array" ref="AJ79">IFERROR(
(AVERAGE((IF(DATOS_[[Sexo]:[Sexo]]=$B79,IF(DATOS_[[AGRUP. CLAS. PROF.]:[AGRUP. CLAS. PROF.]]=$B78,IF(DATOS_[[Check Periodo Ref.]:[Check Periodo Ref.]]="Dentro",IF(DATOS_[[Check Equiparado]:[Check Equiparado]]="Sí",IF(DATOS!BE$5="Sí",(1/DATOS_[[% anualiz]:[% anualiz]]),1)*IF(DATOS!BE$4="Sí",1/DATOS_[[% normaliz]:[% normaliz]],1)*(DATOS_[Conc.Sal.27])))))))),
0)</f>
        <v>0</v>
      </c>
      <c r="AK79" s="101">
        <f t="array" ref="AK79">IFERROR(
(AVERAGE((IF(DATOS_[[Sexo]:[Sexo]]=$B79,IF(DATOS_[[AGRUP. CLAS. PROF.]:[AGRUP. CLAS. PROF.]]=$B78,IF(DATOS_[[Check Periodo Ref.]:[Check Periodo Ref.]]="Dentro",IF(DATOS_[[Check Equiparado]:[Check Equiparado]]="Sí",IF(DATOS!BF$5="Sí",(1/DATOS_[[% anualiz]:[% anualiz]]),1)*IF(DATOS!BF$4="Sí",1/DATOS_[[% normaliz]:[% normaliz]],1)*(DATOS_[Conc.Sal.28])))))))),
0)</f>
        <v>0</v>
      </c>
      <c r="AL79" s="101">
        <f t="array" ref="AL79">IFERROR(
(AVERAGE((IF(DATOS_[[Sexo]:[Sexo]]=$B79,IF(DATOS_[[AGRUP. CLAS. PROF.]:[AGRUP. CLAS. PROF.]]=$B78,IF(DATOS_[[Check Periodo Ref.]:[Check Periodo Ref.]]="Dentro",IF(DATOS_[[Check Equiparado]:[Check Equiparado]]="Sí",IF(DATOS!BG$5="Sí",(1/DATOS_[[% anualiz]:[% anualiz]]),1)*IF(DATOS!BG$4="Sí",1/DATOS_[[% normaliz]:[% normaliz]],1)*(DATOS_[Conc.Sal.29])))))))),
0)</f>
        <v>0</v>
      </c>
      <c r="AM79" s="101">
        <f t="array" ref="AM79">IFERROR(
(AVERAGE((IF(DATOS_[[Sexo]:[Sexo]]=$B79,IF(DATOS_[[AGRUP. CLAS. PROF.]:[AGRUP. CLAS. PROF.]]=$B78,IF(DATOS_[[Check Periodo Ref.]:[Check Periodo Ref.]]="Dentro",IF(DATOS_[[Check Equiparado]:[Check Equiparado]]="Sí",IF(DATOS!BH$5="Sí",(1/DATOS_[[% anualiz]:[% anualiz]]),1)*IF(DATOS!BH$4="Sí",1/DATOS_[[% normaliz]:[% normaliz]],1)*(DATOS_[Conc.Sal.30])))))))),
0)</f>
        <v>0</v>
      </c>
      <c r="AN79" s="102">
        <f t="array" ref="AN79">IFERROR(
AVERAGE(IF(DATOS_[Sexo]=$B79,IF(DATOS_[[AGRUP. CLAS. PROF.]:[AGRUP. CLAS. PROF.]]=$B78,IF(DATOS_[Check Equiparado]="Sí",IF(DATOS_[Check Periodo Ref.]="Dentro",DATOS_[Tot COMPL.SAL Eq],FALSE))))),
0)</f>
        <v>0</v>
      </c>
      <c r="AO79" s="103">
        <f t="array" ref="AO79">IFERROR(
AVERAGE(IF(DATOS_[Sexo]=$B79,IF(DATOS_[[AGRUP. CLAS. PROF.]:[AGRUP. CLAS. PROF.]]=$B78,IF(DATOS_[Check Equiparado]="Sí",IF(DATOS_[Check Periodo Ref.]="Dentro",DATOS_[TOTAL SALARIO Eq],FALSE))))),
0)</f>
        <v>0</v>
      </c>
      <c r="AP79" s="104">
        <f t="array" ref="AP79">IFERROR(
(AVERAGE((IF(DATOS_[[Sexo]:[Sexo]]=$B79,IF(DATOS_[[AGRUP. CLAS. PROF.]:[AGRUP. CLAS. PROF.]]=$B78,IF(DATOS_[[Check Periodo Ref.]:[Check Periodo Ref.]]="Dentro",IF(DATOS_[[Check Equiparado]:[Check Equiparado]]="Sí",IF(DATOS!BI$5="Sí",(1/DATOS_[[% anualiz]:[% anualiz]]),1)*IF(DATOS!BI$4="Sí",1/DATOS_[[% normaliz]:[% normaliz]],1)*(DATOS_[C.Extra.01])))))))),
0)</f>
        <v>0</v>
      </c>
      <c r="AQ79" s="104">
        <f t="array" ref="AQ79">IFERROR(
(AVERAGE((IF(DATOS_[[Sexo]:[Sexo]]=$B79,IF(DATOS_[[AGRUP. CLAS. PROF.]:[AGRUP. CLAS. PROF.]]=$B78,IF(DATOS_[[Check Periodo Ref.]:[Check Periodo Ref.]]="Dentro",IF(DATOS_[[Check Equiparado]:[Check Equiparado]]="Sí",IF(DATOS!BJ$5="Sí",(1/DATOS_[[% anualiz]:[% anualiz]]),1)*IF(DATOS!BJ$4="Sí",1/DATOS_[[% normaliz]:[% normaliz]],1)*(DATOS_[C.Extra.02])))))))),
0)</f>
        <v>0</v>
      </c>
      <c r="AR79" s="104">
        <f t="array" ref="AR79">IFERROR(
(AVERAGE((IF(DATOS_[[Sexo]:[Sexo]]=$B79,IF(DATOS_[[AGRUP. CLAS. PROF.]:[AGRUP. CLAS. PROF.]]=$B78,IF(DATOS_[[Check Periodo Ref.]:[Check Periodo Ref.]]="Dentro",IF(DATOS_[[Check Equiparado]:[Check Equiparado]]="Sí",IF(DATOS!BK$5="Sí",(1/DATOS_[[% anualiz]:[% anualiz]]),1)*IF(DATOS!BK$4="Sí",1/DATOS_[[% normaliz]:[% normaliz]],1)*(DATOS_[C.Extra.03])))))))),
0)</f>
        <v>0</v>
      </c>
      <c r="AS79" s="104">
        <f t="array" ref="AS79">IFERROR(
(AVERAGE((IF(DATOS_[[Sexo]:[Sexo]]=$B79,IF(DATOS_[[AGRUP. CLAS. PROF.]:[AGRUP. CLAS. PROF.]]=$B78,IF(DATOS_[[Check Periodo Ref.]:[Check Periodo Ref.]]="Dentro",IF(DATOS_[[Check Equiparado]:[Check Equiparado]]="Sí",IF(DATOS!BL$5="Sí",(1/DATOS_[[% anualiz]:[% anualiz]]),1)*IF(DATOS!BL$4="Sí",1/DATOS_[[% normaliz]:[% normaliz]],1)*(DATOS_[C.Extra.04])))))))),
0)</f>
        <v>0</v>
      </c>
      <c r="AT79" s="104">
        <f t="array" ref="AT79">IFERROR(
(AVERAGE((IF(DATOS_[[Sexo]:[Sexo]]=$B79,IF(DATOS_[[AGRUP. CLAS. PROF.]:[AGRUP. CLAS. PROF.]]=$B78,IF(DATOS_[[Check Periodo Ref.]:[Check Periodo Ref.]]="Dentro",IF(DATOS_[[Check Equiparado]:[Check Equiparado]]="Sí",IF(DATOS!BM$5="Sí",(1/DATOS_[[% anualiz]:[% anualiz]]),1)*IF(DATOS!BM$4="Sí",1/DATOS_[[% normaliz]:[% normaliz]],1)*(DATOS_[C.Extra.05])))))))),
0)</f>
        <v>0</v>
      </c>
      <c r="AU79" s="105">
        <f t="array" ref="AU79">IFERROR(
AVERAGE(IF(DATOS_[Sexo]=$B79,IF(DATOS_[[AGRUP. CLAS. PROF.]:[AGRUP. CLAS. PROF.]]=$B78,IF(DATOS_[Check Equiparado]="Sí",IF(DATOS_[Check Periodo Ref.]="Dentro",DATOS_[Tot Extrasalarial Eq],FALSE))))),
0)</f>
        <v>0</v>
      </c>
      <c r="AV79" s="106">
        <f t="array" ref="AV79">IFERROR(
AVERAGE(IF(DATOS_[Sexo]=$B79,IF(DATOS_[[AGRUP. CLAS. PROF.]:[AGRUP. CLAS. PROF.]]=$B78,IF(DATOS_[Check Equiparado]="Sí",IF(DATOS_[Check Periodo Ref.]="Dentro",DATOS_[TOTAL Retrib Eq],FALSE))))),
0)</f>
        <v>0</v>
      </c>
    </row>
    <row r="80" spans="1:48" hidden="1" x14ac:dyDescent="0.3">
      <c r="A80" s="53" t="str">
        <f t="shared" ref="A80" si="90">+A79</f>
        <v>[ocultar]</v>
      </c>
      <c r="B80" s="57" t="s">
        <v>163</v>
      </c>
      <c r="C80" s="56">
        <f t="array" ref="C80">SUM(IF($B80=DATOS_[Sexo],
IF($B78=DATOS_[AGRUP. CLAS. PROF.],
IF("Dentro"=DATOS_[Check Periodo Ref.],
1/(COUNTIFS(DATOS_[Sexo],$B80,DATOS_[AGRUP. CLAS. PROF.],$B78,DATOS_[Check Periodo Ref.],"Dentro",DATOS_[id],DATOS_[id]))))))</f>
        <v>0</v>
      </c>
      <c r="D80" s="58">
        <f>COUNTIFS(DATOS_[AGRUP. CLAS. PROF.],$B78,DATOS_[Sexo],$B80,DATOS_[Check Periodo Ref.],"Dentro")</f>
        <v>0</v>
      </c>
      <c r="E80" s="58">
        <f>COUNTIFS(DATOS_[AGRUP. CLAS. PROF.],$B78,DATOS_[Sexo],$B80,DATOS_[Check Periodo Ref.],"Dentro",DATOS_[Check Nº SC Norm],"Sí")</f>
        <v>0</v>
      </c>
      <c r="F80" s="58">
        <f>COUNTIFS(DATOS_[AGRUP. CLAS. PROF.],$B78,DATOS_[Sexo],$B80,DATOS_[Check Periodo Ref.],"Dentro",DATOS_[Check Nº SC Anualiz],"Sí")</f>
        <v>0</v>
      </c>
      <c r="G80" s="58">
        <f>COUNTIFS(DATOS_[AGRUP. CLAS. PROF.],$B78,DATOS_[Sexo],$B80,DATOS_[Check Periodo Ref.],"Dentro",DATOS_[Check Nº SC Norm y Anualiz],"Sí")</f>
        <v>0</v>
      </c>
      <c r="H80" s="58">
        <f>COUNTIFS(DATOS_[AGRUP. CLAS. PROF.],$B78,DATOS_[Sexo],$B80,DATOS_[Check Periodo Ref.],"Dentro",DATOS_[Check Equiparación],"Sí")</f>
        <v>0</v>
      </c>
      <c r="I80" s="100" cm="1">
        <f t="array" ref="I80">IFERROR(
AVERAGE(IF(DATOS_[Sexo]=$B80,IF(DATOS_[[AGRUP. CLAS. PROF.]:[AGRUP. CLAS. PROF.]]=$B78,IF(DATOS_[Check Equiparado]="Sí",IF(DATOS_[Check Periodo Ref.]="Dentro",DATOS_[SALARIO BASE Eq],FALSE))))),
0)</f>
        <v>0</v>
      </c>
      <c r="J80" s="101">
        <f t="array" ref="J80">IFERROR(
(AVERAGE((IF(DATOS_[[Sexo]:[Sexo]]=$B80,IF(DATOS_[[AGRUP. CLAS. PROF.]:[AGRUP. CLAS. PROF.]]=$B78,IF(DATOS_[[Check Periodo Ref.]:[Check Periodo Ref.]]="Dentro",IF(DATOS_[[Check Equiparado]:[Check Equiparado]]="Sí",IF(DATOS!AE$5="Sí",(1/DATOS_[[% anualiz]:[% anualiz]]),1)*IF(DATOS!AE$4="Sí",1/DATOS_[[% normaliz]:[% normaliz]],1)*(DATOS_[Conc.Sal.01])))))))),
0)</f>
        <v>0</v>
      </c>
      <c r="K80" s="101">
        <f t="array" ref="K80">IFERROR(
(AVERAGE((IF(DATOS_[[Sexo]:[Sexo]]=$B80,IF(DATOS_[[AGRUP. CLAS. PROF.]:[AGRUP. CLAS. PROF.]]=$B78,IF(DATOS_[[Check Periodo Ref.]:[Check Periodo Ref.]]="Dentro",IF(DATOS_[[Check Equiparado]:[Check Equiparado]]="Sí",IF(DATOS!AF$5="Sí",(1/DATOS_[[% anualiz]:[% anualiz]]),1)*IF(DATOS!AF$4="Sí",1/DATOS_[[% normaliz]:[% normaliz]],1)*(DATOS_[Conc.Sal.02])))))))),
0)</f>
        <v>0</v>
      </c>
      <c r="L80" s="101">
        <f t="array" ref="L80">IFERROR(
(AVERAGE((IF(DATOS_[[Sexo]:[Sexo]]=$B80,IF(DATOS_[[AGRUP. CLAS. PROF.]:[AGRUP. CLAS. PROF.]]=$B78,IF(DATOS_[[Check Periodo Ref.]:[Check Periodo Ref.]]="Dentro",IF(DATOS_[[Check Equiparado]:[Check Equiparado]]="Sí",IF(DATOS!AG$5="Sí",(1/DATOS_[[% anualiz]:[% anualiz]]),1)*IF(DATOS!AG$4="Sí",1/DATOS_[[% normaliz]:[% normaliz]],1)*(DATOS_[Conc.Sal.03])))))))),
0)</f>
        <v>0</v>
      </c>
      <c r="M80" s="101">
        <f t="array" ref="M80">IFERROR(
(AVERAGE((IF(DATOS_[[Sexo]:[Sexo]]=$B80,IF(DATOS_[[AGRUP. CLAS. PROF.]:[AGRUP. CLAS. PROF.]]=$B78,IF(DATOS_[[Check Periodo Ref.]:[Check Periodo Ref.]]="Dentro",IF(DATOS_[[Check Equiparado]:[Check Equiparado]]="Sí",IF(DATOS!AH$5="Sí",(1/DATOS_[[% anualiz]:[% anualiz]]),1)*IF(DATOS!AH$4="Sí",1/DATOS_[[% normaliz]:[% normaliz]],1)*(DATOS_[Conc.Sal.04])))))))),
0)</f>
        <v>0</v>
      </c>
      <c r="N80" s="101">
        <f t="array" ref="N80">IFERROR(
(AVERAGE((IF(DATOS_[[Sexo]:[Sexo]]=$B80,IF(DATOS_[[AGRUP. CLAS. PROF.]:[AGRUP. CLAS. PROF.]]=$B78,IF(DATOS_[[Check Periodo Ref.]:[Check Periodo Ref.]]="Dentro",IF(DATOS_[[Check Equiparado]:[Check Equiparado]]="Sí",IF(DATOS!AI$5="Sí",(1/DATOS_[[% anualiz]:[% anualiz]]),1)*IF(DATOS!AI$4="Sí",1/DATOS_[[% normaliz]:[% normaliz]],1)*(DATOS_[Conc.Sal.05])))))))),
0)</f>
        <v>0</v>
      </c>
      <c r="O80" s="101">
        <f t="array" ref="O80">IFERROR(
(AVERAGE((IF(DATOS_[[Sexo]:[Sexo]]=$B80,IF(DATOS_[[AGRUP. CLAS. PROF.]:[AGRUP. CLAS. PROF.]]=$B78,IF(DATOS_[[Check Periodo Ref.]:[Check Periodo Ref.]]="Dentro",IF(DATOS_[[Check Equiparado]:[Check Equiparado]]="Sí",IF(DATOS!AJ$5="Sí",(1/DATOS_[[% anualiz]:[% anualiz]]),1)*IF(DATOS!AJ$4="Sí",1/DATOS_[[% normaliz]:[% normaliz]],1)*(DATOS_[Conc.Sal.06])))))))),
0)</f>
        <v>0</v>
      </c>
      <c r="P80" s="101">
        <f t="array" ref="P80">IFERROR(
(AVERAGE((IF(DATOS_[[Sexo]:[Sexo]]=$B80,IF(DATOS_[[AGRUP. CLAS. PROF.]:[AGRUP. CLAS. PROF.]]=$B78,IF(DATOS_[[Check Periodo Ref.]:[Check Periodo Ref.]]="Dentro",IF(DATOS_[[Check Equiparado]:[Check Equiparado]]="Sí",IF(DATOS!AK$5="Sí",(1/DATOS_[[% anualiz]:[% anualiz]]),1)*IF(DATOS!AK$4="Sí",1/DATOS_[[% normaliz]:[% normaliz]],1)*(DATOS_[Conc.Sal.07])))))))),
0)</f>
        <v>0</v>
      </c>
      <c r="Q80" s="101">
        <f t="array" ref="Q80">IFERROR(
(AVERAGE((IF(DATOS_[[Sexo]:[Sexo]]=$B80,IF(DATOS_[[AGRUP. CLAS. PROF.]:[AGRUP. CLAS. PROF.]]=$B78,IF(DATOS_[[Check Periodo Ref.]:[Check Periodo Ref.]]="Dentro",IF(DATOS_[[Check Equiparado]:[Check Equiparado]]="Sí",IF(DATOS!AL$5="Sí",(1/DATOS_[[% anualiz]:[% anualiz]]),1)*IF(DATOS!AL$4="Sí",1/DATOS_[[% normaliz]:[% normaliz]],1)*(DATOS_[Conc.Sal.08])))))))),
0)</f>
        <v>0</v>
      </c>
      <c r="R80" s="101">
        <f t="array" ref="R80">IFERROR(
(AVERAGE((IF(DATOS_[[Sexo]:[Sexo]]=$B80,IF(DATOS_[[AGRUP. CLAS. PROF.]:[AGRUP. CLAS. PROF.]]=$B78,IF(DATOS_[[Check Periodo Ref.]:[Check Periodo Ref.]]="Dentro",IF(DATOS_[[Check Equiparado]:[Check Equiparado]]="Sí",IF(DATOS!AM$5="Sí",(1/DATOS_[[% anualiz]:[% anualiz]]),1)*IF(DATOS!AM$4="Sí",1/DATOS_[[% normaliz]:[% normaliz]],1)*(DATOS_[Conc.Sal.09])))))))),
0)</f>
        <v>0</v>
      </c>
      <c r="S80" s="101">
        <f t="array" ref="S80">IFERROR(
(AVERAGE((IF(DATOS_[[Sexo]:[Sexo]]=$B80,IF(DATOS_[[AGRUP. CLAS. PROF.]:[AGRUP. CLAS. PROF.]]=$B78,IF(DATOS_[[Check Periodo Ref.]:[Check Periodo Ref.]]="Dentro",IF(DATOS_[[Check Equiparado]:[Check Equiparado]]="Sí",IF(DATOS!AN$5="Sí",(1/DATOS_[[% anualiz]:[% anualiz]]),1)*IF(DATOS!AN$4="Sí",1/DATOS_[[% normaliz]:[% normaliz]],1)*(DATOS_[Conc.Sal.10])))))))),
0)</f>
        <v>0</v>
      </c>
      <c r="T80" s="101">
        <f t="array" ref="T80">IFERROR(
(AVERAGE((IF(DATOS_[[Sexo]:[Sexo]]=$B80,IF(DATOS_[[AGRUP. CLAS. PROF.]:[AGRUP. CLAS. PROF.]]=$B78,IF(DATOS_[[Check Periodo Ref.]:[Check Periodo Ref.]]="Dentro",IF(DATOS_[[Check Equiparado]:[Check Equiparado]]="Sí",IF(DATOS!AO$5="Sí",(1/DATOS_[[% anualiz]:[% anualiz]]),1)*IF(DATOS!AO$4="Sí",1/DATOS_[[% normaliz]:[% normaliz]],1)*(DATOS_[Conc.Sal.11])))))))),
0)</f>
        <v>0</v>
      </c>
      <c r="U80" s="101">
        <f t="array" ref="U80">IFERROR(
(AVERAGE((IF(DATOS_[[Sexo]:[Sexo]]=$B80,IF(DATOS_[[AGRUP. CLAS. PROF.]:[AGRUP. CLAS. PROF.]]=$B78,IF(DATOS_[[Check Periodo Ref.]:[Check Periodo Ref.]]="Dentro",IF(DATOS_[[Check Equiparado]:[Check Equiparado]]="Sí",IF(DATOS!AP$5="Sí",(1/DATOS_[[% anualiz]:[% anualiz]]),1)*IF(DATOS!AP$4="Sí",1/DATOS_[[% normaliz]:[% normaliz]],1)*(DATOS_[Conc.Sal.12])))))))),
0)</f>
        <v>0</v>
      </c>
      <c r="V80" s="101">
        <f t="array" ref="V80">IFERROR(
(AVERAGE((IF(DATOS_[[Sexo]:[Sexo]]=$B80,IF(DATOS_[[AGRUP. CLAS. PROF.]:[AGRUP. CLAS. PROF.]]=$B78,IF(DATOS_[[Check Periodo Ref.]:[Check Periodo Ref.]]="Dentro",IF(DATOS_[[Check Equiparado]:[Check Equiparado]]="Sí",IF(DATOS!AQ$5="Sí",(1/DATOS_[[% anualiz]:[% anualiz]]),1)*IF(DATOS!AQ$4="Sí",1/DATOS_[[% normaliz]:[% normaliz]],1)*(DATOS_[Conc.Sal.13])))))))),
0)</f>
        <v>0</v>
      </c>
      <c r="W80" s="101">
        <f t="array" ref="W80">IFERROR(
(AVERAGE((IF(DATOS_[[Sexo]:[Sexo]]=$B80,IF(DATOS_[[AGRUP. CLAS. PROF.]:[AGRUP. CLAS. PROF.]]=$B78,IF(DATOS_[[Check Periodo Ref.]:[Check Periodo Ref.]]="Dentro",IF(DATOS_[[Check Equiparado]:[Check Equiparado]]="Sí",IF(DATOS!AR$5="Sí",(1/DATOS_[[% anualiz]:[% anualiz]]),1)*IF(DATOS!AR$4="Sí",1/DATOS_[[% normaliz]:[% normaliz]],1)*(DATOS_[Conc.Sal.14])))))))),
0)</f>
        <v>0</v>
      </c>
      <c r="X80" s="101">
        <f t="array" ref="X80">IFERROR(
(AVERAGE((IF(DATOS_[[Sexo]:[Sexo]]=$B80,IF(DATOS_[[AGRUP. CLAS. PROF.]:[AGRUP. CLAS. PROF.]]=$B78,IF(DATOS_[[Check Periodo Ref.]:[Check Periodo Ref.]]="Dentro",IF(DATOS_[[Check Equiparado]:[Check Equiparado]]="Sí",IF(DATOS!AS$5="Sí",(1/DATOS_[[% anualiz]:[% anualiz]]),1)*IF(DATOS!AS$4="Sí",1/DATOS_[[% normaliz]:[% normaliz]],1)*(DATOS_[Conc.Sal.15])))))))),
0)</f>
        <v>0</v>
      </c>
      <c r="Y80" s="101">
        <f t="array" ref="Y80">IFERROR(
(AVERAGE((IF(DATOS_[[Sexo]:[Sexo]]=$B80,IF(DATOS_[[AGRUP. CLAS. PROF.]:[AGRUP. CLAS. PROF.]]=$B78,IF(DATOS_[[Check Periodo Ref.]:[Check Periodo Ref.]]="Dentro",IF(DATOS_[[Check Equiparado]:[Check Equiparado]]="Sí",IF(DATOS!AT$5="Sí",(1/DATOS_[[% anualiz]:[% anualiz]]),1)*IF(DATOS!AT$4="Sí",1/DATOS_[[% normaliz]:[% normaliz]],1)*(DATOS_[Conc.Sal.16])))))))),
0)</f>
        <v>0</v>
      </c>
      <c r="Z80" s="101">
        <f t="array" ref="Z80">IFERROR(
(AVERAGE((IF(DATOS_[[Sexo]:[Sexo]]=$B80,IF(DATOS_[[AGRUP. CLAS. PROF.]:[AGRUP. CLAS. PROF.]]=$B78,IF(DATOS_[[Check Periodo Ref.]:[Check Periodo Ref.]]="Dentro",IF(DATOS_[[Check Equiparado]:[Check Equiparado]]="Sí",IF(DATOS!AU$5="Sí",(1/DATOS_[[% anualiz]:[% anualiz]]),1)*IF(DATOS!AU$4="Sí",1/DATOS_[[% normaliz]:[% normaliz]],1)*(DATOS_[Conc.Sal.17])))))))),
0)</f>
        <v>0</v>
      </c>
      <c r="AA80" s="101">
        <f t="array" ref="AA80">IFERROR(
(AVERAGE((IF(DATOS_[[Sexo]:[Sexo]]=$B80,IF(DATOS_[[AGRUP. CLAS. PROF.]:[AGRUP. CLAS. PROF.]]=$B78,IF(DATOS_[[Check Periodo Ref.]:[Check Periodo Ref.]]="Dentro",IF(DATOS_[[Check Equiparado]:[Check Equiparado]]="Sí",IF(DATOS!AV$5="Sí",(1/DATOS_[[% anualiz]:[% anualiz]]),1)*IF(DATOS!AV$4="Sí",1/DATOS_[[% normaliz]:[% normaliz]],1)*(DATOS_[Conc.Sal.18])))))))),
0)</f>
        <v>0</v>
      </c>
      <c r="AB80" s="101">
        <f t="array" ref="AB80">IFERROR(
(AVERAGE((IF(DATOS_[[Sexo]:[Sexo]]=$B80,IF(DATOS_[[AGRUP. CLAS. PROF.]:[AGRUP. CLAS. PROF.]]=$B78,IF(DATOS_[[Check Periodo Ref.]:[Check Periodo Ref.]]="Dentro",IF(DATOS_[[Check Equiparado]:[Check Equiparado]]="Sí",IF(DATOS!AW$5="Sí",(1/DATOS_[[% anualiz]:[% anualiz]]),1)*IF(DATOS!AW$4="Sí",1/DATOS_[[% normaliz]:[% normaliz]],1)*(DATOS_[Conc.Sal.19])))))))),
0)</f>
        <v>0</v>
      </c>
      <c r="AC80" s="101">
        <f t="array" ref="AC80">IFERROR(
(AVERAGE((IF(DATOS_[[Sexo]:[Sexo]]=$B80,IF(DATOS_[[AGRUP. CLAS. PROF.]:[AGRUP. CLAS. PROF.]]=$B78,IF(DATOS_[[Check Periodo Ref.]:[Check Periodo Ref.]]="Dentro",IF(DATOS_[[Check Equiparado]:[Check Equiparado]]="Sí",IF(DATOS!AX$5="Sí",(1/DATOS_[[% anualiz]:[% anualiz]]),1)*IF(DATOS!AX$4="Sí",1/DATOS_[[% normaliz]:[% normaliz]],1)*(DATOS_[Conc.Sal.20])))))))),
0)</f>
        <v>0</v>
      </c>
      <c r="AD80" s="101">
        <f t="array" ref="AD80">IFERROR(
(AVERAGE((IF(DATOS_[[Sexo]:[Sexo]]=$B80,IF(DATOS_[[AGRUP. CLAS. PROF.]:[AGRUP. CLAS. PROF.]]=$B78,IF(DATOS_[[Check Periodo Ref.]:[Check Periodo Ref.]]="Dentro",IF(DATOS_[[Check Equiparado]:[Check Equiparado]]="Sí",IF(DATOS!AY$5="Sí",(1/DATOS_[[% anualiz]:[% anualiz]]),1)*IF(DATOS!AY$4="Sí",1/DATOS_[[% normaliz]:[% normaliz]],1)*(DATOS_[Conc.Sal.21])))))))),
0)</f>
        <v>0</v>
      </c>
      <c r="AE80" s="101">
        <f t="array" ref="AE80">IFERROR(
(AVERAGE((IF(DATOS_[[Sexo]:[Sexo]]=$B80,IF(DATOS_[[AGRUP. CLAS. PROF.]:[AGRUP. CLAS. PROF.]]=$B78,IF(DATOS_[[Check Periodo Ref.]:[Check Periodo Ref.]]="Dentro",IF(DATOS_[[Check Equiparado]:[Check Equiparado]]="Sí",IF(DATOS!AZ$5="Sí",(1/DATOS_[[% anualiz]:[% anualiz]]),1)*IF(DATOS!AZ$4="Sí",1/DATOS_[[% normaliz]:[% normaliz]],1)*(DATOS_[Conc.Sal.22])))))))),
0)</f>
        <v>0</v>
      </c>
      <c r="AF80" s="101">
        <f t="array" ref="AF80">IFERROR(
(AVERAGE((IF(DATOS_[[Sexo]:[Sexo]]=$B80,IF(DATOS_[[AGRUP. CLAS. PROF.]:[AGRUP. CLAS. PROF.]]=$B78,IF(DATOS_[[Check Periodo Ref.]:[Check Periodo Ref.]]="Dentro",IF(DATOS_[[Check Equiparado]:[Check Equiparado]]="Sí",IF(DATOS!BA$5="Sí",(1/DATOS_[[% anualiz]:[% anualiz]]),1)*IF(DATOS!BA$4="Sí",1/DATOS_[[% normaliz]:[% normaliz]],1)*(DATOS_[Conc.Sal.23])))))))),
0)</f>
        <v>0</v>
      </c>
      <c r="AG80" s="101">
        <f t="array" ref="AG80">IFERROR(
(AVERAGE((IF(DATOS_[[Sexo]:[Sexo]]=$B80,IF(DATOS_[[AGRUP. CLAS. PROF.]:[AGRUP. CLAS. PROF.]]=$B78,IF(DATOS_[[Check Periodo Ref.]:[Check Periodo Ref.]]="Dentro",IF(DATOS_[[Check Equiparado]:[Check Equiparado]]="Sí",IF(DATOS!BB$5="Sí",(1/DATOS_[[% anualiz]:[% anualiz]]),1)*IF(DATOS!BB$4="Sí",1/DATOS_[[% normaliz]:[% normaliz]],1)*(DATOS_[Conc.Sal.24])))))))),
0)</f>
        <v>0</v>
      </c>
      <c r="AH80" s="101">
        <f t="array" ref="AH80">IFERROR(
(AVERAGE((IF(DATOS_[[Sexo]:[Sexo]]=$B80,IF(DATOS_[[AGRUP. CLAS. PROF.]:[AGRUP. CLAS. PROF.]]=$B78,IF(DATOS_[[Check Periodo Ref.]:[Check Periodo Ref.]]="Dentro",IF(DATOS_[[Check Equiparado]:[Check Equiparado]]="Sí",IF(DATOS!BC$5="Sí",(1/DATOS_[[% anualiz]:[% anualiz]]),1)*IF(DATOS!BC$4="Sí",1/DATOS_[[% normaliz]:[% normaliz]],1)*(DATOS_[Conc.Sal.25])))))))),
0)</f>
        <v>0</v>
      </c>
      <c r="AI80" s="101">
        <f t="array" ref="AI80">IFERROR(
(AVERAGE((IF(DATOS_[[Sexo]:[Sexo]]=$B80,IF(DATOS_[[AGRUP. CLAS. PROF.]:[AGRUP. CLAS. PROF.]]=$B78,IF(DATOS_[[Check Periodo Ref.]:[Check Periodo Ref.]]="Dentro",IF(DATOS_[[Check Equiparado]:[Check Equiparado]]="Sí",IF(DATOS!BD$5="Sí",(1/DATOS_[[% anualiz]:[% anualiz]]),1)*IF(DATOS!BD$4="Sí",1/DATOS_[[% normaliz]:[% normaliz]],1)*(DATOS_[Conc.Sal.26])))))))),
0)</f>
        <v>0</v>
      </c>
      <c r="AJ80" s="101">
        <f t="array" ref="AJ80">IFERROR(
(AVERAGE((IF(DATOS_[[Sexo]:[Sexo]]=$B80,IF(DATOS_[[AGRUP. CLAS. PROF.]:[AGRUP. CLAS. PROF.]]=$B78,IF(DATOS_[[Check Periodo Ref.]:[Check Periodo Ref.]]="Dentro",IF(DATOS_[[Check Equiparado]:[Check Equiparado]]="Sí",IF(DATOS!BE$5="Sí",(1/DATOS_[[% anualiz]:[% anualiz]]),1)*IF(DATOS!BE$4="Sí",1/DATOS_[[% normaliz]:[% normaliz]],1)*(DATOS_[Conc.Sal.27])))))))),
0)</f>
        <v>0</v>
      </c>
      <c r="AK80" s="101">
        <f t="array" ref="AK80">IFERROR(
(AVERAGE((IF(DATOS_[[Sexo]:[Sexo]]=$B80,IF(DATOS_[[AGRUP. CLAS. PROF.]:[AGRUP. CLAS. PROF.]]=$B78,IF(DATOS_[[Check Periodo Ref.]:[Check Periodo Ref.]]="Dentro",IF(DATOS_[[Check Equiparado]:[Check Equiparado]]="Sí",IF(DATOS!BF$5="Sí",(1/DATOS_[[% anualiz]:[% anualiz]]),1)*IF(DATOS!BF$4="Sí",1/DATOS_[[% normaliz]:[% normaliz]],1)*(DATOS_[Conc.Sal.28])))))))),
0)</f>
        <v>0</v>
      </c>
      <c r="AL80" s="101">
        <f t="array" ref="AL80">IFERROR(
(AVERAGE((IF(DATOS_[[Sexo]:[Sexo]]=$B80,IF(DATOS_[[AGRUP. CLAS. PROF.]:[AGRUP. CLAS. PROF.]]=$B78,IF(DATOS_[[Check Periodo Ref.]:[Check Periodo Ref.]]="Dentro",IF(DATOS_[[Check Equiparado]:[Check Equiparado]]="Sí",IF(DATOS!BG$5="Sí",(1/DATOS_[[% anualiz]:[% anualiz]]),1)*IF(DATOS!BG$4="Sí",1/DATOS_[[% normaliz]:[% normaliz]],1)*(DATOS_[Conc.Sal.29])))))))),
0)</f>
        <v>0</v>
      </c>
      <c r="AM80" s="101">
        <f t="array" ref="AM80">IFERROR(
(AVERAGE((IF(DATOS_[[Sexo]:[Sexo]]=$B80,IF(DATOS_[[AGRUP. CLAS. PROF.]:[AGRUP. CLAS. PROF.]]=$B78,IF(DATOS_[[Check Periodo Ref.]:[Check Periodo Ref.]]="Dentro",IF(DATOS_[[Check Equiparado]:[Check Equiparado]]="Sí",IF(DATOS!BH$5="Sí",(1/DATOS_[[% anualiz]:[% anualiz]]),1)*IF(DATOS!BH$4="Sí",1/DATOS_[[% normaliz]:[% normaliz]],1)*(DATOS_[Conc.Sal.30])))))))),
0)</f>
        <v>0</v>
      </c>
      <c r="AN80" s="102">
        <f t="array" ref="AN80">IFERROR(
AVERAGE(IF(DATOS_[Sexo]=$B80,IF(DATOS_[[AGRUP. CLAS. PROF.]:[AGRUP. CLAS. PROF.]]=$B78,IF(DATOS_[Check Equiparado]="Sí",IF(DATOS_[Check Periodo Ref.]="Dentro",DATOS_[Tot COMPL.SAL Eq],FALSE))))),
0)</f>
        <v>0</v>
      </c>
      <c r="AO80" s="103">
        <f t="array" ref="AO80">IFERROR(
AVERAGE(IF(DATOS_[Sexo]=$B80,IF(DATOS_[[AGRUP. CLAS. PROF.]:[AGRUP. CLAS. PROF.]]=$B78,IF(DATOS_[Check Equiparado]="Sí",IF(DATOS_[Check Periodo Ref.]="Dentro",DATOS_[TOTAL SALARIO Eq],FALSE))))),
0)</f>
        <v>0</v>
      </c>
      <c r="AP80" s="104">
        <f t="array" ref="AP80">IFERROR(
(AVERAGE((IF(DATOS_[[Sexo]:[Sexo]]=$B80,IF(DATOS_[[AGRUP. CLAS. PROF.]:[AGRUP. CLAS. PROF.]]=$B78,IF(DATOS_[[Check Periodo Ref.]:[Check Periodo Ref.]]="Dentro",IF(DATOS_[[Check Equiparado]:[Check Equiparado]]="Sí",IF(DATOS!BI$5="Sí",(1/DATOS_[[% anualiz]:[% anualiz]]),1)*IF(DATOS!BI$4="Sí",1/DATOS_[[% normaliz]:[% normaliz]],1)*(DATOS_[C.Extra.01])))))))),
0)</f>
        <v>0</v>
      </c>
      <c r="AQ80" s="104">
        <f t="array" ref="AQ80">IFERROR(
(AVERAGE((IF(DATOS_[[Sexo]:[Sexo]]=$B80,IF(DATOS_[[AGRUP. CLAS. PROF.]:[AGRUP. CLAS. PROF.]]=$B78,IF(DATOS_[[Check Periodo Ref.]:[Check Periodo Ref.]]="Dentro",IF(DATOS_[[Check Equiparado]:[Check Equiparado]]="Sí",IF(DATOS!BJ$5="Sí",(1/DATOS_[[% anualiz]:[% anualiz]]),1)*IF(DATOS!BJ$4="Sí",1/DATOS_[[% normaliz]:[% normaliz]],1)*(DATOS_[C.Extra.02])))))))),
0)</f>
        <v>0</v>
      </c>
      <c r="AR80" s="104">
        <f t="array" ref="AR80">IFERROR(
(AVERAGE((IF(DATOS_[[Sexo]:[Sexo]]=$B80,IF(DATOS_[[AGRUP. CLAS. PROF.]:[AGRUP. CLAS. PROF.]]=$B78,IF(DATOS_[[Check Periodo Ref.]:[Check Periodo Ref.]]="Dentro",IF(DATOS_[[Check Equiparado]:[Check Equiparado]]="Sí",IF(DATOS!BK$5="Sí",(1/DATOS_[[% anualiz]:[% anualiz]]),1)*IF(DATOS!BK$4="Sí",1/DATOS_[[% normaliz]:[% normaliz]],1)*(DATOS_[C.Extra.03])))))))),
0)</f>
        <v>0</v>
      </c>
      <c r="AS80" s="104">
        <f t="array" ref="AS80">IFERROR(
(AVERAGE((IF(DATOS_[[Sexo]:[Sexo]]=$B80,IF(DATOS_[[AGRUP. CLAS. PROF.]:[AGRUP. CLAS. PROF.]]=$B78,IF(DATOS_[[Check Periodo Ref.]:[Check Periodo Ref.]]="Dentro",IF(DATOS_[[Check Equiparado]:[Check Equiparado]]="Sí",IF(DATOS!BL$5="Sí",(1/DATOS_[[% anualiz]:[% anualiz]]),1)*IF(DATOS!BL$4="Sí",1/DATOS_[[% normaliz]:[% normaliz]],1)*(DATOS_[C.Extra.04])))))))),
0)</f>
        <v>0</v>
      </c>
      <c r="AT80" s="104">
        <f t="array" ref="AT80">IFERROR(
(AVERAGE((IF(DATOS_[[Sexo]:[Sexo]]=$B80,IF(DATOS_[[AGRUP. CLAS. PROF.]:[AGRUP. CLAS. PROF.]]=$B78,IF(DATOS_[[Check Periodo Ref.]:[Check Periodo Ref.]]="Dentro",IF(DATOS_[[Check Equiparado]:[Check Equiparado]]="Sí",IF(DATOS!BM$5="Sí",(1/DATOS_[[% anualiz]:[% anualiz]]),1)*IF(DATOS!BM$4="Sí",1/DATOS_[[% normaliz]:[% normaliz]],1)*(DATOS_[C.Extra.05])))))))),
0)</f>
        <v>0</v>
      </c>
      <c r="AU80" s="105">
        <f t="array" ref="AU80">IFERROR(
AVERAGE(IF(DATOS_[Sexo]=$B80,IF(DATOS_[[AGRUP. CLAS. PROF.]:[AGRUP. CLAS. PROF.]]=$B78,IF(DATOS_[Check Equiparado]="Sí",IF(DATOS_[Check Periodo Ref.]="Dentro",DATOS_[Tot Extrasalarial Eq],FALSE))))),
0)</f>
        <v>0</v>
      </c>
      <c r="AV80" s="106">
        <f t="array" ref="AV80">IFERROR(
AVERAGE(IF(DATOS_[Sexo]=$B80,IF(DATOS_[[AGRUP. CLAS. PROF.]:[AGRUP. CLAS. PROF.]]=$B78,IF(DATOS_[Check Equiparado]="Sí",IF(DATOS_[Check Periodo Ref.]="Dentro",DATOS_[TOTAL Retrib Eq],FALSE))))),
0)</f>
        <v>0</v>
      </c>
    </row>
    <row r="81" spans="1:48" ht="17.25" hidden="1" thickBot="1" x14ac:dyDescent="0.35">
      <c r="A81" s="53" t="str">
        <f t="shared" ref="A81" si="91">+A82</f>
        <v>[ocultar]</v>
      </c>
      <c r="B81" s="62" t="s">
        <v>239</v>
      </c>
      <c r="C81" s="99"/>
      <c r="D81" s="63"/>
      <c r="E81" s="63"/>
      <c r="F81" s="63"/>
      <c r="G81" s="63"/>
      <c r="H81" s="63"/>
      <c r="I81" s="129" t="str">
        <f t="shared" ref="I81:AV81" si="92">IFERROR((I82-I83)/I82,"")</f>
        <v/>
      </c>
      <c r="J81" s="130" t="str">
        <f t="shared" si="92"/>
        <v/>
      </c>
      <c r="K81" s="131" t="str">
        <f t="shared" si="92"/>
        <v/>
      </c>
      <c r="L81" s="131" t="str">
        <f t="shared" si="92"/>
        <v/>
      </c>
      <c r="M81" s="131" t="str">
        <f t="shared" si="92"/>
        <v/>
      </c>
      <c r="N81" s="132" t="str">
        <f t="shared" si="92"/>
        <v/>
      </c>
      <c r="O81" s="133" t="str">
        <f t="shared" si="92"/>
        <v/>
      </c>
      <c r="P81" s="133" t="str">
        <f t="shared" si="92"/>
        <v/>
      </c>
      <c r="Q81" s="133" t="str">
        <f t="shared" si="92"/>
        <v/>
      </c>
      <c r="R81" s="133" t="str">
        <f t="shared" si="92"/>
        <v/>
      </c>
      <c r="S81" s="133" t="str">
        <f t="shared" si="92"/>
        <v/>
      </c>
      <c r="T81" s="133" t="str">
        <f t="shared" si="92"/>
        <v/>
      </c>
      <c r="U81" s="133" t="str">
        <f t="shared" si="92"/>
        <v/>
      </c>
      <c r="V81" s="133" t="str">
        <f t="shared" si="92"/>
        <v/>
      </c>
      <c r="W81" s="133" t="str">
        <f t="shared" si="92"/>
        <v/>
      </c>
      <c r="X81" s="133" t="str">
        <f t="shared" si="92"/>
        <v/>
      </c>
      <c r="Y81" s="133" t="str">
        <f t="shared" si="92"/>
        <v/>
      </c>
      <c r="Z81" s="132" t="str">
        <f t="shared" si="92"/>
        <v/>
      </c>
      <c r="AA81" s="132" t="str">
        <f t="shared" si="92"/>
        <v/>
      </c>
      <c r="AB81" s="132" t="str">
        <f t="shared" si="92"/>
        <v/>
      </c>
      <c r="AC81" s="132" t="str">
        <f t="shared" si="92"/>
        <v/>
      </c>
      <c r="AD81" s="132" t="str">
        <f t="shared" si="92"/>
        <v/>
      </c>
      <c r="AE81" s="132" t="str">
        <f t="shared" si="92"/>
        <v/>
      </c>
      <c r="AF81" s="132" t="str">
        <f t="shared" si="92"/>
        <v/>
      </c>
      <c r="AG81" s="132" t="str">
        <f t="shared" si="92"/>
        <v/>
      </c>
      <c r="AH81" s="132" t="str">
        <f t="shared" si="92"/>
        <v/>
      </c>
      <c r="AI81" s="132" t="str">
        <f t="shared" si="92"/>
        <v/>
      </c>
      <c r="AJ81" s="132" t="str">
        <f t="shared" si="92"/>
        <v/>
      </c>
      <c r="AK81" s="132" t="str">
        <f t="shared" si="92"/>
        <v/>
      </c>
      <c r="AL81" s="132" t="str">
        <f t="shared" si="92"/>
        <v/>
      </c>
      <c r="AM81" s="132" t="str">
        <f t="shared" si="92"/>
        <v/>
      </c>
      <c r="AN81" s="134" t="str">
        <f t="shared" si="92"/>
        <v/>
      </c>
      <c r="AO81" s="138" t="str">
        <f t="shared" si="92"/>
        <v/>
      </c>
      <c r="AP81" s="135" t="str">
        <f t="shared" si="92"/>
        <v/>
      </c>
      <c r="AQ81" s="135" t="str">
        <f t="shared" si="92"/>
        <v/>
      </c>
      <c r="AR81" s="135" t="str">
        <f t="shared" si="92"/>
        <v/>
      </c>
      <c r="AS81" s="135" t="str">
        <f t="shared" si="92"/>
        <v/>
      </c>
      <c r="AT81" s="135" t="str">
        <f t="shared" si="92"/>
        <v/>
      </c>
      <c r="AU81" s="136" t="str">
        <f t="shared" si="92"/>
        <v/>
      </c>
      <c r="AV81" s="137" t="str">
        <f t="shared" si="92"/>
        <v/>
      </c>
    </row>
    <row r="82" spans="1:48" hidden="1" x14ac:dyDescent="0.3">
      <c r="A82" s="53" t="str">
        <f t="shared" ref="A82" si="93">+IF(C82+C83=0,"[ocultar]","")</f>
        <v>[ocultar]</v>
      </c>
      <c r="B82" s="57" t="s">
        <v>162</v>
      </c>
      <c r="C82" s="56">
        <f t="array" ref="C82">SUM(IF($B82=DATOS_[Sexo],
IF($B81=DATOS_[AGRUP. CLAS. PROF.],
IF("Dentro"=DATOS_[Check Periodo Ref.],
1/(COUNTIFS(DATOS_[Sexo],$B82,DATOS_[AGRUP. CLAS. PROF.],$B81,DATOS_[Check Periodo Ref.],"Dentro",DATOS_[id],DATOS_[id]))))))</f>
        <v>0</v>
      </c>
      <c r="D82" s="58">
        <f>COUNTIFS(DATOS_[AGRUP. CLAS. PROF.],$B81,DATOS_[Sexo],$B82,DATOS_[Check Periodo Ref.],"Dentro")</f>
        <v>0</v>
      </c>
      <c r="E82" s="58">
        <f>COUNTIFS(DATOS_[AGRUP. CLAS. PROF.],$B81,DATOS_[Sexo],$B82,DATOS_[Check Periodo Ref.],"Dentro",DATOS_[Check Nº SC Norm],"Sí")</f>
        <v>0</v>
      </c>
      <c r="F82" s="58">
        <f>COUNTIFS(DATOS_[AGRUP. CLAS. PROF.],$B81,DATOS_[Sexo],$B82,DATOS_[Check Periodo Ref.],"Dentro",DATOS_[Check Nº SC Anualiz],"Sí")</f>
        <v>0</v>
      </c>
      <c r="G82" s="58">
        <f>COUNTIFS(DATOS_[AGRUP. CLAS. PROF.],$B81,DATOS_[Sexo],$B82,DATOS_[Check Periodo Ref.],"Dentro",DATOS_[Check Nº SC Norm y Anualiz],"Sí")</f>
        <v>0</v>
      </c>
      <c r="H82" s="58">
        <f>COUNTIFS(DATOS_[AGRUP. CLAS. PROF.],$B81,DATOS_[Sexo],$B82,DATOS_[Check Periodo Ref.],"Dentro",DATOS_[Check Equiparación],"Sí")</f>
        <v>0</v>
      </c>
      <c r="I82" s="100">
        <f t="array" ref="I82">IFERROR(
AVERAGE(IF(DATOS_[Sexo]=$B82,IF(DATOS_[[AGRUP. CLAS. PROF.]:[AGRUP. CLAS. PROF.]]=$B81,IF(DATOS_[Check Equiparado]="Sí",IF(DATOS_[Check Periodo Ref.]="Dentro",DATOS_[SALARIO BASE Eq],FALSE))))),
0)</f>
        <v>0</v>
      </c>
      <c r="J82" s="101">
        <f t="array" ref="J82">IFERROR(
(AVERAGE((IF(DATOS_[[Sexo]:[Sexo]]=$B82,IF(DATOS_[[AGRUP. CLAS. PROF.]:[AGRUP. CLAS. PROF.]]=$B81,IF(DATOS_[[Check Periodo Ref.]:[Check Periodo Ref.]]="Dentro",IF(DATOS_[[Check Equiparado]:[Check Equiparado]]="Sí",IF(DATOS!AE$5="Sí",(1/DATOS_[[% anualiz]:[% anualiz]]),1)*IF(DATOS!AE$4="Sí",1/DATOS_[[% normaliz]:[% normaliz]],1)*(DATOS_[Conc.Sal.01])))))))),
0)</f>
        <v>0</v>
      </c>
      <c r="K82" s="101">
        <f t="array" ref="K82">IFERROR(
(AVERAGE((IF(DATOS_[[Sexo]:[Sexo]]=$B82,IF(DATOS_[[AGRUP. CLAS. PROF.]:[AGRUP. CLAS. PROF.]]=$B81,IF(DATOS_[[Check Periodo Ref.]:[Check Periodo Ref.]]="Dentro",IF(DATOS_[[Check Equiparado]:[Check Equiparado]]="Sí",IF(DATOS!AF$5="Sí",(1/DATOS_[[% anualiz]:[% anualiz]]),1)*IF(DATOS!AF$4="Sí",1/DATOS_[[% normaliz]:[% normaliz]],1)*(DATOS_[Conc.Sal.02])))))))),
0)</f>
        <v>0</v>
      </c>
      <c r="L82" s="101">
        <f t="array" ref="L82">IFERROR(
(AVERAGE((IF(DATOS_[[Sexo]:[Sexo]]=$B82,IF(DATOS_[[AGRUP. CLAS. PROF.]:[AGRUP. CLAS. PROF.]]=$B81,IF(DATOS_[[Check Periodo Ref.]:[Check Periodo Ref.]]="Dentro",IF(DATOS_[[Check Equiparado]:[Check Equiparado]]="Sí",IF(DATOS!AG$5="Sí",(1/DATOS_[[% anualiz]:[% anualiz]]),1)*IF(DATOS!AG$4="Sí",1/DATOS_[[% normaliz]:[% normaliz]],1)*(DATOS_[Conc.Sal.03])))))))),
0)</f>
        <v>0</v>
      </c>
      <c r="M82" s="101">
        <f t="array" ref="M82">IFERROR(
(AVERAGE((IF(DATOS_[[Sexo]:[Sexo]]=$B82,IF(DATOS_[[AGRUP. CLAS. PROF.]:[AGRUP. CLAS. PROF.]]=$B81,IF(DATOS_[[Check Periodo Ref.]:[Check Periodo Ref.]]="Dentro",IF(DATOS_[[Check Equiparado]:[Check Equiparado]]="Sí",IF(DATOS!AH$5="Sí",(1/DATOS_[[% anualiz]:[% anualiz]]),1)*IF(DATOS!AH$4="Sí",1/DATOS_[[% normaliz]:[% normaliz]],1)*(DATOS_[Conc.Sal.04])))))))),
0)</f>
        <v>0</v>
      </c>
      <c r="N82" s="101">
        <f t="array" ref="N82">IFERROR(
(AVERAGE((IF(DATOS_[[Sexo]:[Sexo]]=$B82,IF(DATOS_[[AGRUP. CLAS. PROF.]:[AGRUP. CLAS. PROF.]]=$B81,IF(DATOS_[[Check Periodo Ref.]:[Check Periodo Ref.]]="Dentro",IF(DATOS_[[Check Equiparado]:[Check Equiparado]]="Sí",IF(DATOS!AI$5="Sí",(1/DATOS_[[% anualiz]:[% anualiz]]),1)*IF(DATOS!AI$4="Sí",1/DATOS_[[% normaliz]:[% normaliz]],1)*(DATOS_[Conc.Sal.05])))))))),
0)</f>
        <v>0</v>
      </c>
      <c r="O82" s="101">
        <f t="array" ref="O82">IFERROR(
(AVERAGE((IF(DATOS_[[Sexo]:[Sexo]]=$B82,IF(DATOS_[[AGRUP. CLAS. PROF.]:[AGRUP. CLAS. PROF.]]=$B81,IF(DATOS_[[Check Periodo Ref.]:[Check Periodo Ref.]]="Dentro",IF(DATOS_[[Check Equiparado]:[Check Equiparado]]="Sí",IF(DATOS!AJ$5="Sí",(1/DATOS_[[% anualiz]:[% anualiz]]),1)*IF(DATOS!AJ$4="Sí",1/DATOS_[[% normaliz]:[% normaliz]],1)*(DATOS_[Conc.Sal.06])))))))),
0)</f>
        <v>0</v>
      </c>
      <c r="P82" s="101">
        <f t="array" ref="P82">IFERROR(
(AVERAGE((IF(DATOS_[[Sexo]:[Sexo]]=$B82,IF(DATOS_[[AGRUP. CLAS. PROF.]:[AGRUP. CLAS. PROF.]]=$B81,IF(DATOS_[[Check Periodo Ref.]:[Check Periodo Ref.]]="Dentro",IF(DATOS_[[Check Equiparado]:[Check Equiparado]]="Sí",IF(DATOS!AK$5="Sí",(1/DATOS_[[% anualiz]:[% anualiz]]),1)*IF(DATOS!AK$4="Sí",1/DATOS_[[% normaliz]:[% normaliz]],1)*(DATOS_[Conc.Sal.07])))))))),
0)</f>
        <v>0</v>
      </c>
      <c r="Q82" s="101">
        <f t="array" ref="Q82">IFERROR(
(AVERAGE((IF(DATOS_[[Sexo]:[Sexo]]=$B82,IF(DATOS_[[AGRUP. CLAS. PROF.]:[AGRUP. CLAS. PROF.]]=$B81,IF(DATOS_[[Check Periodo Ref.]:[Check Periodo Ref.]]="Dentro",IF(DATOS_[[Check Equiparado]:[Check Equiparado]]="Sí",IF(DATOS!AL$5="Sí",(1/DATOS_[[% anualiz]:[% anualiz]]),1)*IF(DATOS!AL$4="Sí",1/DATOS_[[% normaliz]:[% normaliz]],1)*(DATOS_[Conc.Sal.08])))))))),
0)</f>
        <v>0</v>
      </c>
      <c r="R82" s="101">
        <f t="array" ref="R82">IFERROR(
(AVERAGE((IF(DATOS_[[Sexo]:[Sexo]]=$B82,IF(DATOS_[[AGRUP. CLAS. PROF.]:[AGRUP. CLAS. PROF.]]=$B81,IF(DATOS_[[Check Periodo Ref.]:[Check Periodo Ref.]]="Dentro",IF(DATOS_[[Check Equiparado]:[Check Equiparado]]="Sí",IF(DATOS!AM$5="Sí",(1/DATOS_[[% anualiz]:[% anualiz]]),1)*IF(DATOS!AM$4="Sí",1/DATOS_[[% normaliz]:[% normaliz]],1)*(DATOS_[Conc.Sal.09])))))))),
0)</f>
        <v>0</v>
      </c>
      <c r="S82" s="101">
        <f t="array" ref="S82">IFERROR(
(AVERAGE((IF(DATOS_[[Sexo]:[Sexo]]=$B82,IF(DATOS_[[AGRUP. CLAS. PROF.]:[AGRUP. CLAS. PROF.]]=$B81,IF(DATOS_[[Check Periodo Ref.]:[Check Periodo Ref.]]="Dentro",IF(DATOS_[[Check Equiparado]:[Check Equiparado]]="Sí",IF(DATOS!AN$5="Sí",(1/DATOS_[[% anualiz]:[% anualiz]]),1)*IF(DATOS!AN$4="Sí",1/DATOS_[[% normaliz]:[% normaliz]],1)*(DATOS_[Conc.Sal.10])))))))),
0)</f>
        <v>0</v>
      </c>
      <c r="T82" s="101">
        <f t="array" ref="T82">IFERROR(
(AVERAGE((IF(DATOS_[[Sexo]:[Sexo]]=$B82,IF(DATOS_[[AGRUP. CLAS. PROF.]:[AGRUP. CLAS. PROF.]]=$B81,IF(DATOS_[[Check Periodo Ref.]:[Check Periodo Ref.]]="Dentro",IF(DATOS_[[Check Equiparado]:[Check Equiparado]]="Sí",IF(DATOS!AO$5="Sí",(1/DATOS_[[% anualiz]:[% anualiz]]),1)*IF(DATOS!AO$4="Sí",1/DATOS_[[% normaliz]:[% normaliz]],1)*(DATOS_[Conc.Sal.11])))))))),
0)</f>
        <v>0</v>
      </c>
      <c r="U82" s="101">
        <f t="array" ref="U82">IFERROR(
(AVERAGE((IF(DATOS_[[Sexo]:[Sexo]]=$B82,IF(DATOS_[[AGRUP. CLAS. PROF.]:[AGRUP. CLAS. PROF.]]=$B81,IF(DATOS_[[Check Periodo Ref.]:[Check Periodo Ref.]]="Dentro",IF(DATOS_[[Check Equiparado]:[Check Equiparado]]="Sí",IF(DATOS!AP$5="Sí",(1/DATOS_[[% anualiz]:[% anualiz]]),1)*IF(DATOS!AP$4="Sí",1/DATOS_[[% normaliz]:[% normaliz]],1)*(DATOS_[Conc.Sal.12])))))))),
0)</f>
        <v>0</v>
      </c>
      <c r="V82" s="101">
        <f t="array" ref="V82">IFERROR(
(AVERAGE((IF(DATOS_[[Sexo]:[Sexo]]=$B82,IF(DATOS_[[AGRUP. CLAS. PROF.]:[AGRUP. CLAS. PROF.]]=$B81,IF(DATOS_[[Check Periodo Ref.]:[Check Periodo Ref.]]="Dentro",IF(DATOS_[[Check Equiparado]:[Check Equiparado]]="Sí",IF(DATOS!AQ$5="Sí",(1/DATOS_[[% anualiz]:[% anualiz]]),1)*IF(DATOS!AQ$4="Sí",1/DATOS_[[% normaliz]:[% normaliz]],1)*(DATOS_[Conc.Sal.13])))))))),
0)</f>
        <v>0</v>
      </c>
      <c r="W82" s="101">
        <f t="array" ref="W82">IFERROR(
(AVERAGE((IF(DATOS_[[Sexo]:[Sexo]]=$B82,IF(DATOS_[[AGRUP. CLAS. PROF.]:[AGRUP. CLAS. PROF.]]=$B81,IF(DATOS_[[Check Periodo Ref.]:[Check Periodo Ref.]]="Dentro",IF(DATOS_[[Check Equiparado]:[Check Equiparado]]="Sí",IF(DATOS!AR$5="Sí",(1/DATOS_[[% anualiz]:[% anualiz]]),1)*IF(DATOS!AR$4="Sí",1/DATOS_[[% normaliz]:[% normaliz]],1)*(DATOS_[Conc.Sal.14])))))))),
0)</f>
        <v>0</v>
      </c>
      <c r="X82" s="101">
        <f t="array" ref="X82">IFERROR(
(AVERAGE((IF(DATOS_[[Sexo]:[Sexo]]=$B82,IF(DATOS_[[AGRUP. CLAS. PROF.]:[AGRUP. CLAS. PROF.]]=$B81,IF(DATOS_[[Check Periodo Ref.]:[Check Periodo Ref.]]="Dentro",IF(DATOS_[[Check Equiparado]:[Check Equiparado]]="Sí",IF(DATOS!AS$5="Sí",(1/DATOS_[[% anualiz]:[% anualiz]]),1)*IF(DATOS!AS$4="Sí",1/DATOS_[[% normaliz]:[% normaliz]],1)*(DATOS_[Conc.Sal.15])))))))),
0)</f>
        <v>0</v>
      </c>
      <c r="Y82" s="101">
        <f t="array" ref="Y82">IFERROR(
(AVERAGE((IF(DATOS_[[Sexo]:[Sexo]]=$B82,IF(DATOS_[[AGRUP. CLAS. PROF.]:[AGRUP. CLAS. PROF.]]=$B81,IF(DATOS_[[Check Periodo Ref.]:[Check Periodo Ref.]]="Dentro",IF(DATOS_[[Check Equiparado]:[Check Equiparado]]="Sí",IF(DATOS!AT$5="Sí",(1/DATOS_[[% anualiz]:[% anualiz]]),1)*IF(DATOS!AT$4="Sí",1/DATOS_[[% normaliz]:[% normaliz]],1)*(DATOS_[Conc.Sal.16])))))))),
0)</f>
        <v>0</v>
      </c>
      <c r="Z82" s="101">
        <f t="array" ref="Z82">IFERROR(
(AVERAGE((IF(DATOS_[[Sexo]:[Sexo]]=$B82,IF(DATOS_[[AGRUP. CLAS. PROF.]:[AGRUP. CLAS. PROF.]]=$B81,IF(DATOS_[[Check Periodo Ref.]:[Check Periodo Ref.]]="Dentro",IF(DATOS_[[Check Equiparado]:[Check Equiparado]]="Sí",IF(DATOS!AU$5="Sí",(1/DATOS_[[% anualiz]:[% anualiz]]),1)*IF(DATOS!AU$4="Sí",1/DATOS_[[% normaliz]:[% normaliz]],1)*(DATOS_[Conc.Sal.17])))))))),
0)</f>
        <v>0</v>
      </c>
      <c r="AA82" s="101">
        <f t="array" ref="AA82">IFERROR(
(AVERAGE((IF(DATOS_[[Sexo]:[Sexo]]=$B82,IF(DATOS_[[AGRUP. CLAS. PROF.]:[AGRUP. CLAS. PROF.]]=$B81,IF(DATOS_[[Check Periodo Ref.]:[Check Periodo Ref.]]="Dentro",IF(DATOS_[[Check Equiparado]:[Check Equiparado]]="Sí",IF(DATOS!AV$5="Sí",(1/DATOS_[[% anualiz]:[% anualiz]]),1)*IF(DATOS!AV$4="Sí",1/DATOS_[[% normaliz]:[% normaliz]],1)*(DATOS_[Conc.Sal.18])))))))),
0)</f>
        <v>0</v>
      </c>
      <c r="AB82" s="101">
        <f t="array" ref="AB82">IFERROR(
(AVERAGE((IF(DATOS_[[Sexo]:[Sexo]]=$B82,IF(DATOS_[[AGRUP. CLAS. PROF.]:[AGRUP. CLAS. PROF.]]=$B81,IF(DATOS_[[Check Periodo Ref.]:[Check Periodo Ref.]]="Dentro",IF(DATOS_[[Check Equiparado]:[Check Equiparado]]="Sí",IF(DATOS!AW$5="Sí",(1/DATOS_[[% anualiz]:[% anualiz]]),1)*IF(DATOS!AW$4="Sí",1/DATOS_[[% normaliz]:[% normaliz]],1)*(DATOS_[Conc.Sal.19])))))))),
0)</f>
        <v>0</v>
      </c>
      <c r="AC82" s="101">
        <f t="array" ref="AC82">IFERROR(
(AVERAGE((IF(DATOS_[[Sexo]:[Sexo]]=$B82,IF(DATOS_[[AGRUP. CLAS. PROF.]:[AGRUP. CLAS. PROF.]]=$B81,IF(DATOS_[[Check Periodo Ref.]:[Check Periodo Ref.]]="Dentro",IF(DATOS_[[Check Equiparado]:[Check Equiparado]]="Sí",IF(DATOS!AX$5="Sí",(1/DATOS_[[% anualiz]:[% anualiz]]),1)*IF(DATOS!AX$4="Sí",1/DATOS_[[% normaliz]:[% normaliz]],1)*(DATOS_[Conc.Sal.20])))))))),
0)</f>
        <v>0</v>
      </c>
      <c r="AD82" s="101">
        <f t="array" ref="AD82">IFERROR(
(AVERAGE((IF(DATOS_[[Sexo]:[Sexo]]=$B82,IF(DATOS_[[AGRUP. CLAS. PROF.]:[AGRUP. CLAS. PROF.]]=$B81,IF(DATOS_[[Check Periodo Ref.]:[Check Periodo Ref.]]="Dentro",IF(DATOS_[[Check Equiparado]:[Check Equiparado]]="Sí",IF(DATOS!AY$5="Sí",(1/DATOS_[[% anualiz]:[% anualiz]]),1)*IF(DATOS!AY$4="Sí",1/DATOS_[[% normaliz]:[% normaliz]],1)*(DATOS_[Conc.Sal.21])))))))),
0)</f>
        <v>0</v>
      </c>
      <c r="AE82" s="101">
        <f t="array" ref="AE82">IFERROR(
(AVERAGE((IF(DATOS_[[Sexo]:[Sexo]]=$B82,IF(DATOS_[[AGRUP. CLAS. PROF.]:[AGRUP. CLAS. PROF.]]=$B81,IF(DATOS_[[Check Periodo Ref.]:[Check Periodo Ref.]]="Dentro",IF(DATOS_[[Check Equiparado]:[Check Equiparado]]="Sí",IF(DATOS!AZ$5="Sí",(1/DATOS_[[% anualiz]:[% anualiz]]),1)*IF(DATOS!AZ$4="Sí",1/DATOS_[[% normaliz]:[% normaliz]],1)*(DATOS_[Conc.Sal.22])))))))),
0)</f>
        <v>0</v>
      </c>
      <c r="AF82" s="101">
        <f t="array" ref="AF82">IFERROR(
(AVERAGE((IF(DATOS_[[Sexo]:[Sexo]]=$B82,IF(DATOS_[[AGRUP. CLAS. PROF.]:[AGRUP. CLAS. PROF.]]=$B81,IF(DATOS_[[Check Periodo Ref.]:[Check Periodo Ref.]]="Dentro",IF(DATOS_[[Check Equiparado]:[Check Equiparado]]="Sí",IF(DATOS!BA$5="Sí",(1/DATOS_[[% anualiz]:[% anualiz]]),1)*IF(DATOS!BA$4="Sí",1/DATOS_[[% normaliz]:[% normaliz]],1)*(DATOS_[Conc.Sal.23])))))))),
0)</f>
        <v>0</v>
      </c>
      <c r="AG82" s="101">
        <f t="array" ref="AG82">IFERROR(
(AVERAGE((IF(DATOS_[[Sexo]:[Sexo]]=$B82,IF(DATOS_[[AGRUP. CLAS. PROF.]:[AGRUP. CLAS. PROF.]]=$B81,IF(DATOS_[[Check Periodo Ref.]:[Check Periodo Ref.]]="Dentro",IF(DATOS_[[Check Equiparado]:[Check Equiparado]]="Sí",IF(DATOS!BB$5="Sí",(1/DATOS_[[% anualiz]:[% anualiz]]),1)*IF(DATOS!BB$4="Sí",1/DATOS_[[% normaliz]:[% normaliz]],1)*(DATOS_[Conc.Sal.24])))))))),
0)</f>
        <v>0</v>
      </c>
      <c r="AH82" s="101">
        <f t="array" ref="AH82">IFERROR(
(AVERAGE((IF(DATOS_[[Sexo]:[Sexo]]=$B82,IF(DATOS_[[AGRUP. CLAS. PROF.]:[AGRUP. CLAS. PROF.]]=$B81,IF(DATOS_[[Check Periodo Ref.]:[Check Periodo Ref.]]="Dentro",IF(DATOS_[[Check Equiparado]:[Check Equiparado]]="Sí",IF(DATOS!BC$5="Sí",(1/DATOS_[[% anualiz]:[% anualiz]]),1)*IF(DATOS!BC$4="Sí",1/DATOS_[[% normaliz]:[% normaliz]],1)*(DATOS_[Conc.Sal.25])))))))),
0)</f>
        <v>0</v>
      </c>
      <c r="AI82" s="101">
        <f t="array" ref="AI82">IFERROR(
(AVERAGE((IF(DATOS_[[Sexo]:[Sexo]]=$B82,IF(DATOS_[[AGRUP. CLAS. PROF.]:[AGRUP. CLAS. PROF.]]=$B81,IF(DATOS_[[Check Periodo Ref.]:[Check Periodo Ref.]]="Dentro",IF(DATOS_[[Check Equiparado]:[Check Equiparado]]="Sí",IF(DATOS!BD$5="Sí",(1/DATOS_[[% anualiz]:[% anualiz]]),1)*IF(DATOS!BD$4="Sí",1/DATOS_[[% normaliz]:[% normaliz]],1)*(DATOS_[Conc.Sal.26])))))))),
0)</f>
        <v>0</v>
      </c>
      <c r="AJ82" s="101">
        <f t="array" ref="AJ82">IFERROR(
(AVERAGE((IF(DATOS_[[Sexo]:[Sexo]]=$B82,IF(DATOS_[[AGRUP. CLAS. PROF.]:[AGRUP. CLAS. PROF.]]=$B81,IF(DATOS_[[Check Periodo Ref.]:[Check Periodo Ref.]]="Dentro",IF(DATOS_[[Check Equiparado]:[Check Equiparado]]="Sí",IF(DATOS!BE$5="Sí",(1/DATOS_[[% anualiz]:[% anualiz]]),1)*IF(DATOS!BE$4="Sí",1/DATOS_[[% normaliz]:[% normaliz]],1)*(DATOS_[Conc.Sal.27])))))))),
0)</f>
        <v>0</v>
      </c>
      <c r="AK82" s="101">
        <f t="array" ref="AK82">IFERROR(
(AVERAGE((IF(DATOS_[[Sexo]:[Sexo]]=$B82,IF(DATOS_[[AGRUP. CLAS. PROF.]:[AGRUP. CLAS. PROF.]]=$B81,IF(DATOS_[[Check Periodo Ref.]:[Check Periodo Ref.]]="Dentro",IF(DATOS_[[Check Equiparado]:[Check Equiparado]]="Sí",IF(DATOS!BF$5="Sí",(1/DATOS_[[% anualiz]:[% anualiz]]),1)*IF(DATOS!BF$4="Sí",1/DATOS_[[% normaliz]:[% normaliz]],1)*(DATOS_[Conc.Sal.28])))))))),
0)</f>
        <v>0</v>
      </c>
      <c r="AL82" s="101">
        <f t="array" ref="AL82">IFERROR(
(AVERAGE((IF(DATOS_[[Sexo]:[Sexo]]=$B82,IF(DATOS_[[AGRUP. CLAS. PROF.]:[AGRUP. CLAS. PROF.]]=$B81,IF(DATOS_[[Check Periodo Ref.]:[Check Periodo Ref.]]="Dentro",IF(DATOS_[[Check Equiparado]:[Check Equiparado]]="Sí",IF(DATOS!BG$5="Sí",(1/DATOS_[[% anualiz]:[% anualiz]]),1)*IF(DATOS!BG$4="Sí",1/DATOS_[[% normaliz]:[% normaliz]],1)*(DATOS_[Conc.Sal.29])))))))),
0)</f>
        <v>0</v>
      </c>
      <c r="AM82" s="101">
        <f t="array" ref="AM82">IFERROR(
(AVERAGE((IF(DATOS_[[Sexo]:[Sexo]]=$B82,IF(DATOS_[[AGRUP. CLAS. PROF.]:[AGRUP. CLAS. PROF.]]=$B81,IF(DATOS_[[Check Periodo Ref.]:[Check Periodo Ref.]]="Dentro",IF(DATOS_[[Check Equiparado]:[Check Equiparado]]="Sí",IF(DATOS!BH$5="Sí",(1/DATOS_[[% anualiz]:[% anualiz]]),1)*IF(DATOS!BH$4="Sí",1/DATOS_[[% normaliz]:[% normaliz]],1)*(DATOS_[Conc.Sal.30])))))))),
0)</f>
        <v>0</v>
      </c>
      <c r="AN82" s="102">
        <f t="array" ref="AN82">IFERROR(
AVERAGE(IF(DATOS_[Sexo]=$B82,IF(DATOS_[[AGRUP. CLAS. PROF.]:[AGRUP. CLAS. PROF.]]=$B81,IF(DATOS_[Check Equiparado]="Sí",IF(DATOS_[Check Periodo Ref.]="Dentro",DATOS_[Tot COMPL.SAL Eq],FALSE))))),
0)</f>
        <v>0</v>
      </c>
      <c r="AO82" s="103">
        <f t="array" ref="AO82">IFERROR(
AVERAGE(IF(DATOS_[Sexo]=$B82,IF(DATOS_[[AGRUP. CLAS. PROF.]:[AGRUP. CLAS. PROF.]]=$B81,IF(DATOS_[Check Equiparado]="Sí",IF(DATOS_[Check Periodo Ref.]="Dentro",DATOS_[TOTAL SALARIO Eq],FALSE))))),
0)</f>
        <v>0</v>
      </c>
      <c r="AP82" s="104">
        <f t="array" ref="AP82">IFERROR(
(AVERAGE((IF(DATOS_[[Sexo]:[Sexo]]=$B82,IF(DATOS_[[AGRUP. CLAS. PROF.]:[AGRUP. CLAS. PROF.]]=$B81,IF(DATOS_[[Check Periodo Ref.]:[Check Periodo Ref.]]="Dentro",IF(DATOS_[[Check Equiparado]:[Check Equiparado]]="Sí",IF(DATOS!BI$5="Sí",(1/DATOS_[[% anualiz]:[% anualiz]]),1)*IF(DATOS!BI$4="Sí",1/DATOS_[[% normaliz]:[% normaliz]],1)*(DATOS_[C.Extra.01])))))))),
0)</f>
        <v>0</v>
      </c>
      <c r="AQ82" s="104">
        <f t="array" ref="AQ82">IFERROR(
(AVERAGE((IF(DATOS_[[Sexo]:[Sexo]]=$B82,IF(DATOS_[[AGRUP. CLAS. PROF.]:[AGRUP. CLAS. PROF.]]=$B81,IF(DATOS_[[Check Periodo Ref.]:[Check Periodo Ref.]]="Dentro",IF(DATOS_[[Check Equiparado]:[Check Equiparado]]="Sí",IF(DATOS!BJ$5="Sí",(1/DATOS_[[% anualiz]:[% anualiz]]),1)*IF(DATOS!BJ$4="Sí",1/DATOS_[[% normaliz]:[% normaliz]],1)*(DATOS_[C.Extra.02])))))))),
0)</f>
        <v>0</v>
      </c>
      <c r="AR82" s="104">
        <f t="array" ref="AR82">IFERROR(
(AVERAGE((IF(DATOS_[[Sexo]:[Sexo]]=$B82,IF(DATOS_[[AGRUP. CLAS. PROF.]:[AGRUP. CLAS. PROF.]]=$B81,IF(DATOS_[[Check Periodo Ref.]:[Check Periodo Ref.]]="Dentro",IF(DATOS_[[Check Equiparado]:[Check Equiparado]]="Sí",IF(DATOS!BK$5="Sí",(1/DATOS_[[% anualiz]:[% anualiz]]),1)*IF(DATOS!BK$4="Sí",1/DATOS_[[% normaliz]:[% normaliz]],1)*(DATOS_[C.Extra.03])))))))),
0)</f>
        <v>0</v>
      </c>
      <c r="AS82" s="104">
        <f t="array" ref="AS82">IFERROR(
(AVERAGE((IF(DATOS_[[Sexo]:[Sexo]]=$B82,IF(DATOS_[[AGRUP. CLAS. PROF.]:[AGRUP. CLAS. PROF.]]=$B81,IF(DATOS_[[Check Periodo Ref.]:[Check Periodo Ref.]]="Dentro",IF(DATOS_[[Check Equiparado]:[Check Equiparado]]="Sí",IF(DATOS!BL$5="Sí",(1/DATOS_[[% anualiz]:[% anualiz]]),1)*IF(DATOS!BL$4="Sí",1/DATOS_[[% normaliz]:[% normaliz]],1)*(DATOS_[C.Extra.04])))))))),
0)</f>
        <v>0</v>
      </c>
      <c r="AT82" s="104">
        <f t="array" ref="AT82">IFERROR(
(AVERAGE((IF(DATOS_[[Sexo]:[Sexo]]=$B82,IF(DATOS_[[AGRUP. CLAS. PROF.]:[AGRUP. CLAS. PROF.]]=$B81,IF(DATOS_[[Check Periodo Ref.]:[Check Periodo Ref.]]="Dentro",IF(DATOS_[[Check Equiparado]:[Check Equiparado]]="Sí",IF(DATOS!BM$5="Sí",(1/DATOS_[[% anualiz]:[% anualiz]]),1)*IF(DATOS!BM$4="Sí",1/DATOS_[[% normaliz]:[% normaliz]],1)*(DATOS_[C.Extra.05])))))))),
0)</f>
        <v>0</v>
      </c>
      <c r="AU82" s="105">
        <f t="array" ref="AU82">IFERROR(
AVERAGE(IF(DATOS_[Sexo]=$B82,IF(DATOS_[[AGRUP. CLAS. PROF.]:[AGRUP. CLAS. PROF.]]=$B81,IF(DATOS_[Check Equiparado]="Sí",IF(DATOS_[Check Periodo Ref.]="Dentro",DATOS_[Tot Extrasalarial Eq],FALSE))))),
0)</f>
        <v>0</v>
      </c>
      <c r="AV82" s="106">
        <f t="array" ref="AV82">IFERROR(
AVERAGE(IF(DATOS_[Sexo]=$B82,IF(DATOS_[[AGRUP. CLAS. PROF.]:[AGRUP. CLAS. PROF.]]=$B81,IF(DATOS_[Check Equiparado]="Sí",IF(DATOS_[Check Periodo Ref.]="Dentro",DATOS_[TOTAL Retrib Eq],FALSE))))),
0)</f>
        <v>0</v>
      </c>
    </row>
    <row r="83" spans="1:48" hidden="1" x14ac:dyDescent="0.3">
      <c r="A83" s="53" t="str">
        <f t="shared" ref="A83" si="94">+A82</f>
        <v>[ocultar]</v>
      </c>
      <c r="B83" s="57" t="s">
        <v>163</v>
      </c>
      <c r="C83" s="56">
        <f t="array" ref="C83">SUM(IF($B83=DATOS_[Sexo],
IF($B81=DATOS_[AGRUP. CLAS. PROF.],
IF("Dentro"=DATOS_[Check Periodo Ref.],
1/(COUNTIFS(DATOS_[Sexo],$B83,DATOS_[AGRUP. CLAS. PROF.],$B81,DATOS_[Check Periodo Ref.],"Dentro",DATOS_[id],DATOS_[id]))))))</f>
        <v>0</v>
      </c>
      <c r="D83" s="58">
        <f>COUNTIFS(DATOS_[AGRUP. CLAS. PROF.],$B81,DATOS_[Sexo],$B83,DATOS_[Check Periodo Ref.],"Dentro")</f>
        <v>0</v>
      </c>
      <c r="E83" s="58">
        <f>COUNTIFS(DATOS_[AGRUP. CLAS. PROF.],$B81,DATOS_[Sexo],$B83,DATOS_[Check Periodo Ref.],"Dentro",DATOS_[Check Nº SC Norm],"Sí")</f>
        <v>0</v>
      </c>
      <c r="F83" s="58">
        <f>COUNTIFS(DATOS_[AGRUP. CLAS. PROF.],$B81,DATOS_[Sexo],$B83,DATOS_[Check Periodo Ref.],"Dentro",DATOS_[Check Nº SC Anualiz],"Sí")</f>
        <v>0</v>
      </c>
      <c r="G83" s="58">
        <f>COUNTIFS(DATOS_[AGRUP. CLAS. PROF.],$B81,DATOS_[Sexo],$B83,DATOS_[Check Periodo Ref.],"Dentro",DATOS_[Check Nº SC Norm y Anualiz],"Sí")</f>
        <v>0</v>
      </c>
      <c r="H83" s="58">
        <f>COUNTIFS(DATOS_[AGRUP. CLAS. PROF.],$B81,DATOS_[Sexo],$B83,DATOS_[Check Periodo Ref.],"Dentro",DATOS_[Check Equiparación],"Sí")</f>
        <v>0</v>
      </c>
      <c r="I83" s="100" cm="1">
        <f t="array" ref="I83">IFERROR(
AVERAGE(IF(DATOS_[Sexo]=$B83,IF(DATOS_[[AGRUP. CLAS. PROF.]:[AGRUP. CLAS. PROF.]]=$B81,IF(DATOS_[Check Equiparado]="Sí",IF(DATOS_[Check Periodo Ref.]="Dentro",DATOS_[SALARIO BASE Eq],FALSE))))),
0)</f>
        <v>0</v>
      </c>
      <c r="J83" s="101">
        <f t="array" ref="J83">IFERROR(
(AVERAGE((IF(DATOS_[[Sexo]:[Sexo]]=$B83,IF(DATOS_[[AGRUP. CLAS. PROF.]:[AGRUP. CLAS. PROF.]]=$B81,IF(DATOS_[[Check Periodo Ref.]:[Check Periodo Ref.]]="Dentro",IF(DATOS_[[Check Equiparado]:[Check Equiparado]]="Sí",IF(DATOS!AE$5="Sí",(1/DATOS_[[% anualiz]:[% anualiz]]),1)*IF(DATOS!AE$4="Sí",1/DATOS_[[% normaliz]:[% normaliz]],1)*(DATOS_[Conc.Sal.01])))))))),
0)</f>
        <v>0</v>
      </c>
      <c r="K83" s="101">
        <f t="array" ref="K83">IFERROR(
(AVERAGE((IF(DATOS_[[Sexo]:[Sexo]]=$B83,IF(DATOS_[[AGRUP. CLAS. PROF.]:[AGRUP. CLAS. PROF.]]=$B81,IF(DATOS_[[Check Periodo Ref.]:[Check Periodo Ref.]]="Dentro",IF(DATOS_[[Check Equiparado]:[Check Equiparado]]="Sí",IF(DATOS!AF$5="Sí",(1/DATOS_[[% anualiz]:[% anualiz]]),1)*IF(DATOS!AF$4="Sí",1/DATOS_[[% normaliz]:[% normaliz]],1)*(DATOS_[Conc.Sal.02])))))))),
0)</f>
        <v>0</v>
      </c>
      <c r="L83" s="101">
        <f t="array" ref="L83">IFERROR(
(AVERAGE((IF(DATOS_[[Sexo]:[Sexo]]=$B83,IF(DATOS_[[AGRUP. CLAS. PROF.]:[AGRUP. CLAS. PROF.]]=$B81,IF(DATOS_[[Check Periodo Ref.]:[Check Periodo Ref.]]="Dentro",IF(DATOS_[[Check Equiparado]:[Check Equiparado]]="Sí",IF(DATOS!AG$5="Sí",(1/DATOS_[[% anualiz]:[% anualiz]]),1)*IF(DATOS!AG$4="Sí",1/DATOS_[[% normaliz]:[% normaliz]],1)*(DATOS_[Conc.Sal.03])))))))),
0)</f>
        <v>0</v>
      </c>
      <c r="M83" s="101">
        <f t="array" ref="M83">IFERROR(
(AVERAGE((IF(DATOS_[[Sexo]:[Sexo]]=$B83,IF(DATOS_[[AGRUP. CLAS. PROF.]:[AGRUP. CLAS. PROF.]]=$B81,IF(DATOS_[[Check Periodo Ref.]:[Check Periodo Ref.]]="Dentro",IF(DATOS_[[Check Equiparado]:[Check Equiparado]]="Sí",IF(DATOS!AH$5="Sí",(1/DATOS_[[% anualiz]:[% anualiz]]),1)*IF(DATOS!AH$4="Sí",1/DATOS_[[% normaliz]:[% normaliz]],1)*(DATOS_[Conc.Sal.04])))))))),
0)</f>
        <v>0</v>
      </c>
      <c r="N83" s="101">
        <f t="array" ref="N83">IFERROR(
(AVERAGE((IF(DATOS_[[Sexo]:[Sexo]]=$B83,IF(DATOS_[[AGRUP. CLAS. PROF.]:[AGRUP. CLAS. PROF.]]=$B81,IF(DATOS_[[Check Periodo Ref.]:[Check Periodo Ref.]]="Dentro",IF(DATOS_[[Check Equiparado]:[Check Equiparado]]="Sí",IF(DATOS!AI$5="Sí",(1/DATOS_[[% anualiz]:[% anualiz]]),1)*IF(DATOS!AI$4="Sí",1/DATOS_[[% normaliz]:[% normaliz]],1)*(DATOS_[Conc.Sal.05])))))))),
0)</f>
        <v>0</v>
      </c>
      <c r="O83" s="101">
        <f t="array" ref="O83">IFERROR(
(AVERAGE((IF(DATOS_[[Sexo]:[Sexo]]=$B83,IF(DATOS_[[AGRUP. CLAS. PROF.]:[AGRUP. CLAS. PROF.]]=$B81,IF(DATOS_[[Check Periodo Ref.]:[Check Periodo Ref.]]="Dentro",IF(DATOS_[[Check Equiparado]:[Check Equiparado]]="Sí",IF(DATOS!AJ$5="Sí",(1/DATOS_[[% anualiz]:[% anualiz]]),1)*IF(DATOS!AJ$4="Sí",1/DATOS_[[% normaliz]:[% normaliz]],1)*(DATOS_[Conc.Sal.06])))))))),
0)</f>
        <v>0</v>
      </c>
      <c r="P83" s="101">
        <f t="array" ref="P83">IFERROR(
(AVERAGE((IF(DATOS_[[Sexo]:[Sexo]]=$B83,IF(DATOS_[[AGRUP. CLAS. PROF.]:[AGRUP. CLAS. PROF.]]=$B81,IF(DATOS_[[Check Periodo Ref.]:[Check Periodo Ref.]]="Dentro",IF(DATOS_[[Check Equiparado]:[Check Equiparado]]="Sí",IF(DATOS!AK$5="Sí",(1/DATOS_[[% anualiz]:[% anualiz]]),1)*IF(DATOS!AK$4="Sí",1/DATOS_[[% normaliz]:[% normaliz]],1)*(DATOS_[Conc.Sal.07])))))))),
0)</f>
        <v>0</v>
      </c>
      <c r="Q83" s="101">
        <f t="array" ref="Q83">IFERROR(
(AVERAGE((IF(DATOS_[[Sexo]:[Sexo]]=$B83,IF(DATOS_[[AGRUP. CLAS. PROF.]:[AGRUP. CLAS. PROF.]]=$B81,IF(DATOS_[[Check Periodo Ref.]:[Check Periodo Ref.]]="Dentro",IF(DATOS_[[Check Equiparado]:[Check Equiparado]]="Sí",IF(DATOS!AL$5="Sí",(1/DATOS_[[% anualiz]:[% anualiz]]),1)*IF(DATOS!AL$4="Sí",1/DATOS_[[% normaliz]:[% normaliz]],1)*(DATOS_[Conc.Sal.08])))))))),
0)</f>
        <v>0</v>
      </c>
      <c r="R83" s="101">
        <f t="array" ref="R83">IFERROR(
(AVERAGE((IF(DATOS_[[Sexo]:[Sexo]]=$B83,IF(DATOS_[[AGRUP. CLAS. PROF.]:[AGRUP. CLAS. PROF.]]=$B81,IF(DATOS_[[Check Periodo Ref.]:[Check Periodo Ref.]]="Dentro",IF(DATOS_[[Check Equiparado]:[Check Equiparado]]="Sí",IF(DATOS!AM$5="Sí",(1/DATOS_[[% anualiz]:[% anualiz]]),1)*IF(DATOS!AM$4="Sí",1/DATOS_[[% normaliz]:[% normaliz]],1)*(DATOS_[Conc.Sal.09])))))))),
0)</f>
        <v>0</v>
      </c>
      <c r="S83" s="101">
        <f t="array" ref="S83">IFERROR(
(AVERAGE((IF(DATOS_[[Sexo]:[Sexo]]=$B83,IF(DATOS_[[AGRUP. CLAS. PROF.]:[AGRUP. CLAS. PROF.]]=$B81,IF(DATOS_[[Check Periodo Ref.]:[Check Periodo Ref.]]="Dentro",IF(DATOS_[[Check Equiparado]:[Check Equiparado]]="Sí",IF(DATOS!AN$5="Sí",(1/DATOS_[[% anualiz]:[% anualiz]]),1)*IF(DATOS!AN$4="Sí",1/DATOS_[[% normaliz]:[% normaliz]],1)*(DATOS_[Conc.Sal.10])))))))),
0)</f>
        <v>0</v>
      </c>
      <c r="T83" s="101">
        <f t="array" ref="T83">IFERROR(
(AVERAGE((IF(DATOS_[[Sexo]:[Sexo]]=$B83,IF(DATOS_[[AGRUP. CLAS. PROF.]:[AGRUP. CLAS. PROF.]]=$B81,IF(DATOS_[[Check Periodo Ref.]:[Check Periodo Ref.]]="Dentro",IF(DATOS_[[Check Equiparado]:[Check Equiparado]]="Sí",IF(DATOS!AO$5="Sí",(1/DATOS_[[% anualiz]:[% anualiz]]),1)*IF(DATOS!AO$4="Sí",1/DATOS_[[% normaliz]:[% normaliz]],1)*(DATOS_[Conc.Sal.11])))))))),
0)</f>
        <v>0</v>
      </c>
      <c r="U83" s="101">
        <f t="array" ref="U83">IFERROR(
(AVERAGE((IF(DATOS_[[Sexo]:[Sexo]]=$B83,IF(DATOS_[[AGRUP. CLAS. PROF.]:[AGRUP. CLAS. PROF.]]=$B81,IF(DATOS_[[Check Periodo Ref.]:[Check Periodo Ref.]]="Dentro",IF(DATOS_[[Check Equiparado]:[Check Equiparado]]="Sí",IF(DATOS!AP$5="Sí",(1/DATOS_[[% anualiz]:[% anualiz]]),1)*IF(DATOS!AP$4="Sí",1/DATOS_[[% normaliz]:[% normaliz]],1)*(DATOS_[Conc.Sal.12])))))))),
0)</f>
        <v>0</v>
      </c>
      <c r="V83" s="101">
        <f t="array" ref="V83">IFERROR(
(AVERAGE((IF(DATOS_[[Sexo]:[Sexo]]=$B83,IF(DATOS_[[AGRUP. CLAS. PROF.]:[AGRUP. CLAS. PROF.]]=$B81,IF(DATOS_[[Check Periodo Ref.]:[Check Periodo Ref.]]="Dentro",IF(DATOS_[[Check Equiparado]:[Check Equiparado]]="Sí",IF(DATOS!AQ$5="Sí",(1/DATOS_[[% anualiz]:[% anualiz]]),1)*IF(DATOS!AQ$4="Sí",1/DATOS_[[% normaliz]:[% normaliz]],1)*(DATOS_[Conc.Sal.13])))))))),
0)</f>
        <v>0</v>
      </c>
      <c r="W83" s="101">
        <f t="array" ref="W83">IFERROR(
(AVERAGE((IF(DATOS_[[Sexo]:[Sexo]]=$B83,IF(DATOS_[[AGRUP. CLAS. PROF.]:[AGRUP. CLAS. PROF.]]=$B81,IF(DATOS_[[Check Periodo Ref.]:[Check Periodo Ref.]]="Dentro",IF(DATOS_[[Check Equiparado]:[Check Equiparado]]="Sí",IF(DATOS!AR$5="Sí",(1/DATOS_[[% anualiz]:[% anualiz]]),1)*IF(DATOS!AR$4="Sí",1/DATOS_[[% normaliz]:[% normaliz]],1)*(DATOS_[Conc.Sal.14])))))))),
0)</f>
        <v>0</v>
      </c>
      <c r="X83" s="101">
        <f t="array" ref="X83">IFERROR(
(AVERAGE((IF(DATOS_[[Sexo]:[Sexo]]=$B83,IF(DATOS_[[AGRUP. CLAS. PROF.]:[AGRUP. CLAS. PROF.]]=$B81,IF(DATOS_[[Check Periodo Ref.]:[Check Periodo Ref.]]="Dentro",IF(DATOS_[[Check Equiparado]:[Check Equiparado]]="Sí",IF(DATOS!AS$5="Sí",(1/DATOS_[[% anualiz]:[% anualiz]]),1)*IF(DATOS!AS$4="Sí",1/DATOS_[[% normaliz]:[% normaliz]],1)*(DATOS_[Conc.Sal.15])))))))),
0)</f>
        <v>0</v>
      </c>
      <c r="Y83" s="101">
        <f t="array" ref="Y83">IFERROR(
(AVERAGE((IF(DATOS_[[Sexo]:[Sexo]]=$B83,IF(DATOS_[[AGRUP. CLAS. PROF.]:[AGRUP. CLAS. PROF.]]=$B81,IF(DATOS_[[Check Periodo Ref.]:[Check Periodo Ref.]]="Dentro",IF(DATOS_[[Check Equiparado]:[Check Equiparado]]="Sí",IF(DATOS!AT$5="Sí",(1/DATOS_[[% anualiz]:[% anualiz]]),1)*IF(DATOS!AT$4="Sí",1/DATOS_[[% normaliz]:[% normaliz]],1)*(DATOS_[Conc.Sal.16])))))))),
0)</f>
        <v>0</v>
      </c>
      <c r="Z83" s="101">
        <f t="array" ref="Z83">IFERROR(
(AVERAGE((IF(DATOS_[[Sexo]:[Sexo]]=$B83,IF(DATOS_[[AGRUP. CLAS. PROF.]:[AGRUP. CLAS. PROF.]]=$B81,IF(DATOS_[[Check Periodo Ref.]:[Check Periodo Ref.]]="Dentro",IF(DATOS_[[Check Equiparado]:[Check Equiparado]]="Sí",IF(DATOS!AU$5="Sí",(1/DATOS_[[% anualiz]:[% anualiz]]),1)*IF(DATOS!AU$4="Sí",1/DATOS_[[% normaliz]:[% normaliz]],1)*(DATOS_[Conc.Sal.17])))))))),
0)</f>
        <v>0</v>
      </c>
      <c r="AA83" s="101">
        <f t="array" ref="AA83">IFERROR(
(AVERAGE((IF(DATOS_[[Sexo]:[Sexo]]=$B83,IF(DATOS_[[AGRUP. CLAS. PROF.]:[AGRUP. CLAS. PROF.]]=$B81,IF(DATOS_[[Check Periodo Ref.]:[Check Periodo Ref.]]="Dentro",IF(DATOS_[[Check Equiparado]:[Check Equiparado]]="Sí",IF(DATOS!AV$5="Sí",(1/DATOS_[[% anualiz]:[% anualiz]]),1)*IF(DATOS!AV$4="Sí",1/DATOS_[[% normaliz]:[% normaliz]],1)*(DATOS_[Conc.Sal.18])))))))),
0)</f>
        <v>0</v>
      </c>
      <c r="AB83" s="101">
        <f t="array" ref="AB83">IFERROR(
(AVERAGE((IF(DATOS_[[Sexo]:[Sexo]]=$B83,IF(DATOS_[[AGRUP. CLAS. PROF.]:[AGRUP. CLAS. PROF.]]=$B81,IF(DATOS_[[Check Periodo Ref.]:[Check Periodo Ref.]]="Dentro",IF(DATOS_[[Check Equiparado]:[Check Equiparado]]="Sí",IF(DATOS!AW$5="Sí",(1/DATOS_[[% anualiz]:[% anualiz]]),1)*IF(DATOS!AW$4="Sí",1/DATOS_[[% normaliz]:[% normaliz]],1)*(DATOS_[Conc.Sal.19])))))))),
0)</f>
        <v>0</v>
      </c>
      <c r="AC83" s="101">
        <f t="array" ref="AC83">IFERROR(
(AVERAGE((IF(DATOS_[[Sexo]:[Sexo]]=$B83,IF(DATOS_[[AGRUP. CLAS. PROF.]:[AGRUP. CLAS. PROF.]]=$B81,IF(DATOS_[[Check Periodo Ref.]:[Check Periodo Ref.]]="Dentro",IF(DATOS_[[Check Equiparado]:[Check Equiparado]]="Sí",IF(DATOS!AX$5="Sí",(1/DATOS_[[% anualiz]:[% anualiz]]),1)*IF(DATOS!AX$4="Sí",1/DATOS_[[% normaliz]:[% normaliz]],1)*(DATOS_[Conc.Sal.20])))))))),
0)</f>
        <v>0</v>
      </c>
      <c r="AD83" s="101">
        <f t="array" ref="AD83">IFERROR(
(AVERAGE((IF(DATOS_[[Sexo]:[Sexo]]=$B83,IF(DATOS_[[AGRUP. CLAS. PROF.]:[AGRUP. CLAS. PROF.]]=$B81,IF(DATOS_[[Check Periodo Ref.]:[Check Periodo Ref.]]="Dentro",IF(DATOS_[[Check Equiparado]:[Check Equiparado]]="Sí",IF(DATOS!AY$5="Sí",(1/DATOS_[[% anualiz]:[% anualiz]]),1)*IF(DATOS!AY$4="Sí",1/DATOS_[[% normaliz]:[% normaliz]],1)*(DATOS_[Conc.Sal.21])))))))),
0)</f>
        <v>0</v>
      </c>
      <c r="AE83" s="101">
        <f t="array" ref="AE83">IFERROR(
(AVERAGE((IF(DATOS_[[Sexo]:[Sexo]]=$B83,IF(DATOS_[[AGRUP. CLAS. PROF.]:[AGRUP. CLAS. PROF.]]=$B81,IF(DATOS_[[Check Periodo Ref.]:[Check Periodo Ref.]]="Dentro",IF(DATOS_[[Check Equiparado]:[Check Equiparado]]="Sí",IF(DATOS!AZ$5="Sí",(1/DATOS_[[% anualiz]:[% anualiz]]),1)*IF(DATOS!AZ$4="Sí",1/DATOS_[[% normaliz]:[% normaliz]],1)*(DATOS_[Conc.Sal.22])))))))),
0)</f>
        <v>0</v>
      </c>
      <c r="AF83" s="101">
        <f t="array" ref="AF83">IFERROR(
(AVERAGE((IF(DATOS_[[Sexo]:[Sexo]]=$B83,IF(DATOS_[[AGRUP. CLAS. PROF.]:[AGRUP. CLAS. PROF.]]=$B81,IF(DATOS_[[Check Periodo Ref.]:[Check Periodo Ref.]]="Dentro",IF(DATOS_[[Check Equiparado]:[Check Equiparado]]="Sí",IF(DATOS!BA$5="Sí",(1/DATOS_[[% anualiz]:[% anualiz]]),1)*IF(DATOS!BA$4="Sí",1/DATOS_[[% normaliz]:[% normaliz]],1)*(DATOS_[Conc.Sal.23])))))))),
0)</f>
        <v>0</v>
      </c>
      <c r="AG83" s="101">
        <f t="array" ref="AG83">IFERROR(
(AVERAGE((IF(DATOS_[[Sexo]:[Sexo]]=$B83,IF(DATOS_[[AGRUP. CLAS. PROF.]:[AGRUP. CLAS. PROF.]]=$B81,IF(DATOS_[[Check Periodo Ref.]:[Check Periodo Ref.]]="Dentro",IF(DATOS_[[Check Equiparado]:[Check Equiparado]]="Sí",IF(DATOS!BB$5="Sí",(1/DATOS_[[% anualiz]:[% anualiz]]),1)*IF(DATOS!BB$4="Sí",1/DATOS_[[% normaliz]:[% normaliz]],1)*(DATOS_[Conc.Sal.24])))))))),
0)</f>
        <v>0</v>
      </c>
      <c r="AH83" s="101">
        <f t="array" ref="AH83">IFERROR(
(AVERAGE((IF(DATOS_[[Sexo]:[Sexo]]=$B83,IF(DATOS_[[AGRUP. CLAS. PROF.]:[AGRUP. CLAS. PROF.]]=$B81,IF(DATOS_[[Check Periodo Ref.]:[Check Periodo Ref.]]="Dentro",IF(DATOS_[[Check Equiparado]:[Check Equiparado]]="Sí",IF(DATOS!BC$5="Sí",(1/DATOS_[[% anualiz]:[% anualiz]]),1)*IF(DATOS!BC$4="Sí",1/DATOS_[[% normaliz]:[% normaliz]],1)*(DATOS_[Conc.Sal.25])))))))),
0)</f>
        <v>0</v>
      </c>
      <c r="AI83" s="101">
        <f t="array" ref="AI83">IFERROR(
(AVERAGE((IF(DATOS_[[Sexo]:[Sexo]]=$B83,IF(DATOS_[[AGRUP. CLAS. PROF.]:[AGRUP. CLAS. PROF.]]=$B81,IF(DATOS_[[Check Periodo Ref.]:[Check Periodo Ref.]]="Dentro",IF(DATOS_[[Check Equiparado]:[Check Equiparado]]="Sí",IF(DATOS!BD$5="Sí",(1/DATOS_[[% anualiz]:[% anualiz]]),1)*IF(DATOS!BD$4="Sí",1/DATOS_[[% normaliz]:[% normaliz]],1)*(DATOS_[Conc.Sal.26])))))))),
0)</f>
        <v>0</v>
      </c>
      <c r="AJ83" s="101">
        <f t="array" ref="AJ83">IFERROR(
(AVERAGE((IF(DATOS_[[Sexo]:[Sexo]]=$B83,IF(DATOS_[[AGRUP. CLAS. PROF.]:[AGRUP. CLAS. PROF.]]=$B81,IF(DATOS_[[Check Periodo Ref.]:[Check Periodo Ref.]]="Dentro",IF(DATOS_[[Check Equiparado]:[Check Equiparado]]="Sí",IF(DATOS!BE$5="Sí",(1/DATOS_[[% anualiz]:[% anualiz]]),1)*IF(DATOS!BE$4="Sí",1/DATOS_[[% normaliz]:[% normaliz]],1)*(DATOS_[Conc.Sal.27])))))))),
0)</f>
        <v>0</v>
      </c>
      <c r="AK83" s="101">
        <f t="array" ref="AK83">IFERROR(
(AVERAGE((IF(DATOS_[[Sexo]:[Sexo]]=$B83,IF(DATOS_[[AGRUP. CLAS. PROF.]:[AGRUP. CLAS. PROF.]]=$B81,IF(DATOS_[[Check Periodo Ref.]:[Check Periodo Ref.]]="Dentro",IF(DATOS_[[Check Equiparado]:[Check Equiparado]]="Sí",IF(DATOS!BF$5="Sí",(1/DATOS_[[% anualiz]:[% anualiz]]),1)*IF(DATOS!BF$4="Sí",1/DATOS_[[% normaliz]:[% normaliz]],1)*(DATOS_[Conc.Sal.28])))))))),
0)</f>
        <v>0</v>
      </c>
      <c r="AL83" s="101">
        <f t="array" ref="AL83">IFERROR(
(AVERAGE((IF(DATOS_[[Sexo]:[Sexo]]=$B83,IF(DATOS_[[AGRUP. CLAS. PROF.]:[AGRUP. CLAS. PROF.]]=$B81,IF(DATOS_[[Check Periodo Ref.]:[Check Periodo Ref.]]="Dentro",IF(DATOS_[[Check Equiparado]:[Check Equiparado]]="Sí",IF(DATOS!BG$5="Sí",(1/DATOS_[[% anualiz]:[% anualiz]]),1)*IF(DATOS!BG$4="Sí",1/DATOS_[[% normaliz]:[% normaliz]],1)*(DATOS_[Conc.Sal.29])))))))),
0)</f>
        <v>0</v>
      </c>
      <c r="AM83" s="101">
        <f t="array" ref="AM83">IFERROR(
(AVERAGE((IF(DATOS_[[Sexo]:[Sexo]]=$B83,IF(DATOS_[[AGRUP. CLAS. PROF.]:[AGRUP. CLAS. PROF.]]=$B81,IF(DATOS_[[Check Periodo Ref.]:[Check Periodo Ref.]]="Dentro",IF(DATOS_[[Check Equiparado]:[Check Equiparado]]="Sí",IF(DATOS!BH$5="Sí",(1/DATOS_[[% anualiz]:[% anualiz]]),1)*IF(DATOS!BH$4="Sí",1/DATOS_[[% normaliz]:[% normaliz]],1)*(DATOS_[Conc.Sal.30])))))))),
0)</f>
        <v>0</v>
      </c>
      <c r="AN83" s="102">
        <f t="array" ref="AN83">IFERROR(
AVERAGE(IF(DATOS_[Sexo]=$B83,IF(DATOS_[[AGRUP. CLAS. PROF.]:[AGRUP. CLAS. PROF.]]=$B81,IF(DATOS_[Check Equiparado]="Sí",IF(DATOS_[Check Periodo Ref.]="Dentro",DATOS_[Tot COMPL.SAL Eq],FALSE))))),
0)</f>
        <v>0</v>
      </c>
      <c r="AO83" s="103">
        <f t="array" ref="AO83">IFERROR(
AVERAGE(IF(DATOS_[Sexo]=$B83,IF(DATOS_[[AGRUP. CLAS. PROF.]:[AGRUP. CLAS. PROF.]]=$B81,IF(DATOS_[Check Equiparado]="Sí",IF(DATOS_[Check Periodo Ref.]="Dentro",DATOS_[TOTAL SALARIO Eq],FALSE))))),
0)</f>
        <v>0</v>
      </c>
      <c r="AP83" s="104">
        <f t="array" ref="AP83">IFERROR(
(AVERAGE((IF(DATOS_[[Sexo]:[Sexo]]=$B83,IF(DATOS_[[AGRUP. CLAS. PROF.]:[AGRUP. CLAS. PROF.]]=$B81,IF(DATOS_[[Check Periodo Ref.]:[Check Periodo Ref.]]="Dentro",IF(DATOS_[[Check Equiparado]:[Check Equiparado]]="Sí",IF(DATOS!BI$5="Sí",(1/DATOS_[[% anualiz]:[% anualiz]]),1)*IF(DATOS!BI$4="Sí",1/DATOS_[[% normaliz]:[% normaliz]],1)*(DATOS_[C.Extra.01])))))))),
0)</f>
        <v>0</v>
      </c>
      <c r="AQ83" s="104">
        <f t="array" ref="AQ83">IFERROR(
(AVERAGE((IF(DATOS_[[Sexo]:[Sexo]]=$B83,IF(DATOS_[[AGRUP. CLAS. PROF.]:[AGRUP. CLAS. PROF.]]=$B81,IF(DATOS_[[Check Periodo Ref.]:[Check Periodo Ref.]]="Dentro",IF(DATOS_[[Check Equiparado]:[Check Equiparado]]="Sí",IF(DATOS!BJ$5="Sí",(1/DATOS_[[% anualiz]:[% anualiz]]),1)*IF(DATOS!BJ$4="Sí",1/DATOS_[[% normaliz]:[% normaliz]],1)*(DATOS_[C.Extra.02])))))))),
0)</f>
        <v>0</v>
      </c>
      <c r="AR83" s="104">
        <f t="array" ref="AR83">IFERROR(
(AVERAGE((IF(DATOS_[[Sexo]:[Sexo]]=$B83,IF(DATOS_[[AGRUP. CLAS. PROF.]:[AGRUP. CLAS. PROF.]]=$B81,IF(DATOS_[[Check Periodo Ref.]:[Check Periodo Ref.]]="Dentro",IF(DATOS_[[Check Equiparado]:[Check Equiparado]]="Sí",IF(DATOS!BK$5="Sí",(1/DATOS_[[% anualiz]:[% anualiz]]),1)*IF(DATOS!BK$4="Sí",1/DATOS_[[% normaliz]:[% normaliz]],1)*(DATOS_[C.Extra.03])))))))),
0)</f>
        <v>0</v>
      </c>
      <c r="AS83" s="104">
        <f t="array" ref="AS83">IFERROR(
(AVERAGE((IF(DATOS_[[Sexo]:[Sexo]]=$B83,IF(DATOS_[[AGRUP. CLAS. PROF.]:[AGRUP. CLAS. PROF.]]=$B81,IF(DATOS_[[Check Periodo Ref.]:[Check Periodo Ref.]]="Dentro",IF(DATOS_[[Check Equiparado]:[Check Equiparado]]="Sí",IF(DATOS!BL$5="Sí",(1/DATOS_[[% anualiz]:[% anualiz]]),1)*IF(DATOS!BL$4="Sí",1/DATOS_[[% normaliz]:[% normaliz]],1)*(DATOS_[C.Extra.04])))))))),
0)</f>
        <v>0</v>
      </c>
      <c r="AT83" s="104">
        <f t="array" ref="AT83">IFERROR(
(AVERAGE((IF(DATOS_[[Sexo]:[Sexo]]=$B83,IF(DATOS_[[AGRUP. CLAS. PROF.]:[AGRUP. CLAS. PROF.]]=$B81,IF(DATOS_[[Check Periodo Ref.]:[Check Periodo Ref.]]="Dentro",IF(DATOS_[[Check Equiparado]:[Check Equiparado]]="Sí",IF(DATOS!BM$5="Sí",(1/DATOS_[[% anualiz]:[% anualiz]]),1)*IF(DATOS!BM$4="Sí",1/DATOS_[[% normaliz]:[% normaliz]],1)*(DATOS_[C.Extra.05])))))))),
0)</f>
        <v>0</v>
      </c>
      <c r="AU83" s="105">
        <f t="array" ref="AU83">IFERROR(
AVERAGE(IF(DATOS_[Sexo]=$B83,IF(DATOS_[[AGRUP. CLAS. PROF.]:[AGRUP. CLAS. PROF.]]=$B81,IF(DATOS_[Check Equiparado]="Sí",IF(DATOS_[Check Periodo Ref.]="Dentro",DATOS_[Tot Extrasalarial Eq],FALSE))))),
0)</f>
        <v>0</v>
      </c>
      <c r="AV83" s="106">
        <f t="array" ref="AV83">IFERROR(
AVERAGE(IF(DATOS_[Sexo]=$B83,IF(DATOS_[[AGRUP. CLAS. PROF.]:[AGRUP. CLAS. PROF.]]=$B81,IF(DATOS_[Check Equiparado]="Sí",IF(DATOS_[Check Periodo Ref.]="Dentro",DATOS_[TOTAL Retrib Eq],FALSE))))),
0)</f>
        <v>0</v>
      </c>
    </row>
    <row r="84" spans="1:48" ht="17.25" hidden="1" thickBot="1" x14ac:dyDescent="0.35">
      <c r="A84" s="53" t="str">
        <f t="shared" ref="A84" si="95">+A85</f>
        <v>[ocultar]</v>
      </c>
      <c r="B84" s="62" t="s">
        <v>240</v>
      </c>
      <c r="C84" s="99"/>
      <c r="D84" s="63"/>
      <c r="E84" s="63"/>
      <c r="F84" s="63"/>
      <c r="G84" s="63"/>
      <c r="H84" s="63"/>
      <c r="I84" s="129" t="str">
        <f t="shared" ref="I84:AV84" si="96">IFERROR((I85-I86)/I85,"")</f>
        <v/>
      </c>
      <c r="J84" s="130" t="str">
        <f t="shared" si="96"/>
        <v/>
      </c>
      <c r="K84" s="131" t="str">
        <f t="shared" si="96"/>
        <v/>
      </c>
      <c r="L84" s="131" t="str">
        <f t="shared" si="96"/>
        <v/>
      </c>
      <c r="M84" s="131" t="str">
        <f t="shared" si="96"/>
        <v/>
      </c>
      <c r="N84" s="132" t="str">
        <f t="shared" si="96"/>
        <v/>
      </c>
      <c r="O84" s="133" t="str">
        <f t="shared" si="96"/>
        <v/>
      </c>
      <c r="P84" s="133" t="str">
        <f t="shared" si="96"/>
        <v/>
      </c>
      <c r="Q84" s="133" t="str">
        <f t="shared" si="96"/>
        <v/>
      </c>
      <c r="R84" s="133" t="str">
        <f t="shared" si="96"/>
        <v/>
      </c>
      <c r="S84" s="133" t="str">
        <f t="shared" si="96"/>
        <v/>
      </c>
      <c r="T84" s="133" t="str">
        <f t="shared" si="96"/>
        <v/>
      </c>
      <c r="U84" s="133" t="str">
        <f t="shared" si="96"/>
        <v/>
      </c>
      <c r="V84" s="133" t="str">
        <f t="shared" si="96"/>
        <v/>
      </c>
      <c r="W84" s="133" t="str">
        <f t="shared" si="96"/>
        <v/>
      </c>
      <c r="X84" s="133" t="str">
        <f t="shared" si="96"/>
        <v/>
      </c>
      <c r="Y84" s="133" t="str">
        <f t="shared" si="96"/>
        <v/>
      </c>
      <c r="Z84" s="132" t="str">
        <f t="shared" si="96"/>
        <v/>
      </c>
      <c r="AA84" s="132" t="str">
        <f t="shared" si="96"/>
        <v/>
      </c>
      <c r="AB84" s="132" t="str">
        <f t="shared" si="96"/>
        <v/>
      </c>
      <c r="AC84" s="132" t="str">
        <f t="shared" si="96"/>
        <v/>
      </c>
      <c r="AD84" s="132" t="str">
        <f t="shared" si="96"/>
        <v/>
      </c>
      <c r="AE84" s="132" t="str">
        <f t="shared" si="96"/>
        <v/>
      </c>
      <c r="AF84" s="132" t="str">
        <f t="shared" si="96"/>
        <v/>
      </c>
      <c r="AG84" s="132" t="str">
        <f t="shared" si="96"/>
        <v/>
      </c>
      <c r="AH84" s="132" t="str">
        <f t="shared" si="96"/>
        <v/>
      </c>
      <c r="AI84" s="132" t="str">
        <f t="shared" si="96"/>
        <v/>
      </c>
      <c r="AJ84" s="132" t="str">
        <f t="shared" si="96"/>
        <v/>
      </c>
      <c r="AK84" s="132" t="str">
        <f t="shared" si="96"/>
        <v/>
      </c>
      <c r="AL84" s="132" t="str">
        <f t="shared" si="96"/>
        <v/>
      </c>
      <c r="AM84" s="132" t="str">
        <f t="shared" si="96"/>
        <v/>
      </c>
      <c r="AN84" s="134" t="str">
        <f t="shared" si="96"/>
        <v/>
      </c>
      <c r="AO84" s="138" t="str">
        <f t="shared" si="96"/>
        <v/>
      </c>
      <c r="AP84" s="135" t="str">
        <f t="shared" si="96"/>
        <v/>
      </c>
      <c r="AQ84" s="135" t="str">
        <f t="shared" si="96"/>
        <v/>
      </c>
      <c r="AR84" s="135" t="str">
        <f t="shared" si="96"/>
        <v/>
      </c>
      <c r="AS84" s="135" t="str">
        <f t="shared" si="96"/>
        <v/>
      </c>
      <c r="AT84" s="135" t="str">
        <f t="shared" si="96"/>
        <v/>
      </c>
      <c r="AU84" s="136" t="str">
        <f t="shared" si="96"/>
        <v/>
      </c>
      <c r="AV84" s="137" t="str">
        <f t="shared" si="96"/>
        <v/>
      </c>
    </row>
    <row r="85" spans="1:48" hidden="1" x14ac:dyDescent="0.3">
      <c r="A85" s="53" t="str">
        <f t="shared" ref="A85" si="97">+IF(C85+C86=0,"[ocultar]","")</f>
        <v>[ocultar]</v>
      </c>
      <c r="B85" s="57" t="s">
        <v>162</v>
      </c>
      <c r="C85" s="56">
        <f t="array" ref="C85">SUM(IF($B85=DATOS_[Sexo],
IF($B84=DATOS_[AGRUP. CLAS. PROF.],
IF("Dentro"=DATOS_[Check Periodo Ref.],
1/(COUNTIFS(DATOS_[Sexo],$B85,DATOS_[AGRUP. CLAS. PROF.],$B84,DATOS_[Check Periodo Ref.],"Dentro",DATOS_[id],DATOS_[id]))))))</f>
        <v>0</v>
      </c>
      <c r="D85" s="58">
        <f>COUNTIFS(DATOS_[AGRUP. CLAS. PROF.],$B84,DATOS_[Sexo],$B85,DATOS_[Check Periodo Ref.],"Dentro")</f>
        <v>0</v>
      </c>
      <c r="E85" s="58">
        <f>COUNTIFS(DATOS_[AGRUP. CLAS. PROF.],$B84,DATOS_[Sexo],$B85,DATOS_[Check Periodo Ref.],"Dentro",DATOS_[Check Nº SC Norm],"Sí")</f>
        <v>0</v>
      </c>
      <c r="F85" s="58">
        <f>COUNTIFS(DATOS_[AGRUP. CLAS. PROF.],$B84,DATOS_[Sexo],$B85,DATOS_[Check Periodo Ref.],"Dentro",DATOS_[Check Nº SC Anualiz],"Sí")</f>
        <v>0</v>
      </c>
      <c r="G85" s="58">
        <f>COUNTIFS(DATOS_[AGRUP. CLAS. PROF.],$B84,DATOS_[Sexo],$B85,DATOS_[Check Periodo Ref.],"Dentro",DATOS_[Check Nº SC Norm y Anualiz],"Sí")</f>
        <v>0</v>
      </c>
      <c r="H85" s="58">
        <f>COUNTIFS(DATOS_[AGRUP. CLAS. PROF.],$B84,DATOS_[Sexo],$B85,DATOS_[Check Periodo Ref.],"Dentro",DATOS_[Check Equiparación],"Sí")</f>
        <v>0</v>
      </c>
      <c r="I85" s="100">
        <f t="array" ref="I85">IFERROR(
AVERAGE(IF(DATOS_[Sexo]=$B85,IF(DATOS_[[AGRUP. CLAS. PROF.]:[AGRUP. CLAS. PROF.]]=$B84,IF(DATOS_[Check Equiparado]="Sí",IF(DATOS_[Check Periodo Ref.]="Dentro",DATOS_[SALARIO BASE Eq],FALSE))))),
0)</f>
        <v>0</v>
      </c>
      <c r="J85" s="101">
        <f t="array" ref="J85">IFERROR(
(AVERAGE((IF(DATOS_[[Sexo]:[Sexo]]=$B85,IF(DATOS_[[AGRUP. CLAS. PROF.]:[AGRUP. CLAS. PROF.]]=$B84,IF(DATOS_[[Check Periodo Ref.]:[Check Periodo Ref.]]="Dentro",IF(DATOS_[[Check Equiparado]:[Check Equiparado]]="Sí",IF(DATOS!AE$5="Sí",(1/DATOS_[[% anualiz]:[% anualiz]]),1)*IF(DATOS!AE$4="Sí",1/DATOS_[[% normaliz]:[% normaliz]],1)*(DATOS_[Conc.Sal.01])))))))),
0)</f>
        <v>0</v>
      </c>
      <c r="K85" s="101">
        <f t="array" ref="K85">IFERROR(
(AVERAGE((IF(DATOS_[[Sexo]:[Sexo]]=$B85,IF(DATOS_[[AGRUP. CLAS. PROF.]:[AGRUP. CLAS. PROF.]]=$B84,IF(DATOS_[[Check Periodo Ref.]:[Check Periodo Ref.]]="Dentro",IF(DATOS_[[Check Equiparado]:[Check Equiparado]]="Sí",IF(DATOS!AF$5="Sí",(1/DATOS_[[% anualiz]:[% anualiz]]),1)*IF(DATOS!AF$4="Sí",1/DATOS_[[% normaliz]:[% normaliz]],1)*(DATOS_[Conc.Sal.02])))))))),
0)</f>
        <v>0</v>
      </c>
      <c r="L85" s="101">
        <f t="array" ref="L85">IFERROR(
(AVERAGE((IF(DATOS_[[Sexo]:[Sexo]]=$B85,IF(DATOS_[[AGRUP. CLAS. PROF.]:[AGRUP. CLAS. PROF.]]=$B84,IF(DATOS_[[Check Periodo Ref.]:[Check Periodo Ref.]]="Dentro",IF(DATOS_[[Check Equiparado]:[Check Equiparado]]="Sí",IF(DATOS!AG$5="Sí",(1/DATOS_[[% anualiz]:[% anualiz]]),1)*IF(DATOS!AG$4="Sí",1/DATOS_[[% normaliz]:[% normaliz]],1)*(DATOS_[Conc.Sal.03])))))))),
0)</f>
        <v>0</v>
      </c>
      <c r="M85" s="101">
        <f t="array" ref="M85">IFERROR(
(AVERAGE((IF(DATOS_[[Sexo]:[Sexo]]=$B85,IF(DATOS_[[AGRUP. CLAS. PROF.]:[AGRUP. CLAS. PROF.]]=$B84,IF(DATOS_[[Check Periodo Ref.]:[Check Periodo Ref.]]="Dentro",IF(DATOS_[[Check Equiparado]:[Check Equiparado]]="Sí",IF(DATOS!AH$5="Sí",(1/DATOS_[[% anualiz]:[% anualiz]]),1)*IF(DATOS!AH$4="Sí",1/DATOS_[[% normaliz]:[% normaliz]],1)*(DATOS_[Conc.Sal.04])))))))),
0)</f>
        <v>0</v>
      </c>
      <c r="N85" s="101">
        <f t="array" ref="N85">IFERROR(
(AVERAGE((IF(DATOS_[[Sexo]:[Sexo]]=$B85,IF(DATOS_[[AGRUP. CLAS. PROF.]:[AGRUP. CLAS. PROF.]]=$B84,IF(DATOS_[[Check Periodo Ref.]:[Check Periodo Ref.]]="Dentro",IF(DATOS_[[Check Equiparado]:[Check Equiparado]]="Sí",IF(DATOS!AI$5="Sí",(1/DATOS_[[% anualiz]:[% anualiz]]),1)*IF(DATOS!AI$4="Sí",1/DATOS_[[% normaliz]:[% normaliz]],1)*(DATOS_[Conc.Sal.05])))))))),
0)</f>
        <v>0</v>
      </c>
      <c r="O85" s="101">
        <f t="array" ref="O85">IFERROR(
(AVERAGE((IF(DATOS_[[Sexo]:[Sexo]]=$B85,IF(DATOS_[[AGRUP. CLAS. PROF.]:[AGRUP. CLAS. PROF.]]=$B84,IF(DATOS_[[Check Periodo Ref.]:[Check Periodo Ref.]]="Dentro",IF(DATOS_[[Check Equiparado]:[Check Equiparado]]="Sí",IF(DATOS!AJ$5="Sí",(1/DATOS_[[% anualiz]:[% anualiz]]),1)*IF(DATOS!AJ$4="Sí",1/DATOS_[[% normaliz]:[% normaliz]],1)*(DATOS_[Conc.Sal.06])))))))),
0)</f>
        <v>0</v>
      </c>
      <c r="P85" s="101">
        <f t="array" ref="P85">IFERROR(
(AVERAGE((IF(DATOS_[[Sexo]:[Sexo]]=$B85,IF(DATOS_[[AGRUP. CLAS. PROF.]:[AGRUP. CLAS. PROF.]]=$B84,IF(DATOS_[[Check Periodo Ref.]:[Check Periodo Ref.]]="Dentro",IF(DATOS_[[Check Equiparado]:[Check Equiparado]]="Sí",IF(DATOS!AK$5="Sí",(1/DATOS_[[% anualiz]:[% anualiz]]),1)*IF(DATOS!AK$4="Sí",1/DATOS_[[% normaliz]:[% normaliz]],1)*(DATOS_[Conc.Sal.07])))))))),
0)</f>
        <v>0</v>
      </c>
      <c r="Q85" s="101">
        <f t="array" ref="Q85">IFERROR(
(AVERAGE((IF(DATOS_[[Sexo]:[Sexo]]=$B85,IF(DATOS_[[AGRUP. CLAS. PROF.]:[AGRUP. CLAS. PROF.]]=$B84,IF(DATOS_[[Check Periodo Ref.]:[Check Periodo Ref.]]="Dentro",IF(DATOS_[[Check Equiparado]:[Check Equiparado]]="Sí",IF(DATOS!AL$5="Sí",(1/DATOS_[[% anualiz]:[% anualiz]]),1)*IF(DATOS!AL$4="Sí",1/DATOS_[[% normaliz]:[% normaliz]],1)*(DATOS_[Conc.Sal.08])))))))),
0)</f>
        <v>0</v>
      </c>
      <c r="R85" s="101">
        <f t="array" ref="R85">IFERROR(
(AVERAGE((IF(DATOS_[[Sexo]:[Sexo]]=$B85,IF(DATOS_[[AGRUP. CLAS. PROF.]:[AGRUP. CLAS. PROF.]]=$B84,IF(DATOS_[[Check Periodo Ref.]:[Check Periodo Ref.]]="Dentro",IF(DATOS_[[Check Equiparado]:[Check Equiparado]]="Sí",IF(DATOS!AM$5="Sí",(1/DATOS_[[% anualiz]:[% anualiz]]),1)*IF(DATOS!AM$4="Sí",1/DATOS_[[% normaliz]:[% normaliz]],1)*(DATOS_[Conc.Sal.09])))))))),
0)</f>
        <v>0</v>
      </c>
      <c r="S85" s="101">
        <f t="array" ref="S85">IFERROR(
(AVERAGE((IF(DATOS_[[Sexo]:[Sexo]]=$B85,IF(DATOS_[[AGRUP. CLAS. PROF.]:[AGRUP. CLAS. PROF.]]=$B84,IF(DATOS_[[Check Periodo Ref.]:[Check Periodo Ref.]]="Dentro",IF(DATOS_[[Check Equiparado]:[Check Equiparado]]="Sí",IF(DATOS!AN$5="Sí",(1/DATOS_[[% anualiz]:[% anualiz]]),1)*IF(DATOS!AN$4="Sí",1/DATOS_[[% normaliz]:[% normaliz]],1)*(DATOS_[Conc.Sal.10])))))))),
0)</f>
        <v>0</v>
      </c>
      <c r="T85" s="101">
        <f t="array" ref="T85">IFERROR(
(AVERAGE((IF(DATOS_[[Sexo]:[Sexo]]=$B85,IF(DATOS_[[AGRUP. CLAS. PROF.]:[AGRUP. CLAS. PROF.]]=$B84,IF(DATOS_[[Check Periodo Ref.]:[Check Periodo Ref.]]="Dentro",IF(DATOS_[[Check Equiparado]:[Check Equiparado]]="Sí",IF(DATOS!AO$5="Sí",(1/DATOS_[[% anualiz]:[% anualiz]]),1)*IF(DATOS!AO$4="Sí",1/DATOS_[[% normaliz]:[% normaliz]],1)*(DATOS_[Conc.Sal.11])))))))),
0)</f>
        <v>0</v>
      </c>
      <c r="U85" s="101">
        <f t="array" ref="U85">IFERROR(
(AVERAGE((IF(DATOS_[[Sexo]:[Sexo]]=$B85,IF(DATOS_[[AGRUP. CLAS. PROF.]:[AGRUP. CLAS. PROF.]]=$B84,IF(DATOS_[[Check Periodo Ref.]:[Check Periodo Ref.]]="Dentro",IF(DATOS_[[Check Equiparado]:[Check Equiparado]]="Sí",IF(DATOS!AP$5="Sí",(1/DATOS_[[% anualiz]:[% anualiz]]),1)*IF(DATOS!AP$4="Sí",1/DATOS_[[% normaliz]:[% normaliz]],1)*(DATOS_[Conc.Sal.12])))))))),
0)</f>
        <v>0</v>
      </c>
      <c r="V85" s="101">
        <f t="array" ref="V85">IFERROR(
(AVERAGE((IF(DATOS_[[Sexo]:[Sexo]]=$B85,IF(DATOS_[[AGRUP. CLAS. PROF.]:[AGRUP. CLAS. PROF.]]=$B84,IF(DATOS_[[Check Periodo Ref.]:[Check Periodo Ref.]]="Dentro",IF(DATOS_[[Check Equiparado]:[Check Equiparado]]="Sí",IF(DATOS!AQ$5="Sí",(1/DATOS_[[% anualiz]:[% anualiz]]),1)*IF(DATOS!AQ$4="Sí",1/DATOS_[[% normaliz]:[% normaliz]],1)*(DATOS_[Conc.Sal.13])))))))),
0)</f>
        <v>0</v>
      </c>
      <c r="W85" s="101">
        <f t="array" ref="W85">IFERROR(
(AVERAGE((IF(DATOS_[[Sexo]:[Sexo]]=$B85,IF(DATOS_[[AGRUP. CLAS. PROF.]:[AGRUP. CLAS. PROF.]]=$B84,IF(DATOS_[[Check Periodo Ref.]:[Check Periodo Ref.]]="Dentro",IF(DATOS_[[Check Equiparado]:[Check Equiparado]]="Sí",IF(DATOS!AR$5="Sí",(1/DATOS_[[% anualiz]:[% anualiz]]),1)*IF(DATOS!AR$4="Sí",1/DATOS_[[% normaliz]:[% normaliz]],1)*(DATOS_[Conc.Sal.14])))))))),
0)</f>
        <v>0</v>
      </c>
      <c r="X85" s="101">
        <f t="array" ref="X85">IFERROR(
(AVERAGE((IF(DATOS_[[Sexo]:[Sexo]]=$B85,IF(DATOS_[[AGRUP. CLAS. PROF.]:[AGRUP. CLAS. PROF.]]=$B84,IF(DATOS_[[Check Periodo Ref.]:[Check Periodo Ref.]]="Dentro",IF(DATOS_[[Check Equiparado]:[Check Equiparado]]="Sí",IF(DATOS!AS$5="Sí",(1/DATOS_[[% anualiz]:[% anualiz]]),1)*IF(DATOS!AS$4="Sí",1/DATOS_[[% normaliz]:[% normaliz]],1)*(DATOS_[Conc.Sal.15])))))))),
0)</f>
        <v>0</v>
      </c>
      <c r="Y85" s="101">
        <f t="array" ref="Y85">IFERROR(
(AVERAGE((IF(DATOS_[[Sexo]:[Sexo]]=$B85,IF(DATOS_[[AGRUP. CLAS. PROF.]:[AGRUP. CLAS. PROF.]]=$B84,IF(DATOS_[[Check Periodo Ref.]:[Check Periodo Ref.]]="Dentro",IF(DATOS_[[Check Equiparado]:[Check Equiparado]]="Sí",IF(DATOS!AT$5="Sí",(1/DATOS_[[% anualiz]:[% anualiz]]),1)*IF(DATOS!AT$4="Sí",1/DATOS_[[% normaliz]:[% normaliz]],1)*(DATOS_[Conc.Sal.16])))))))),
0)</f>
        <v>0</v>
      </c>
      <c r="Z85" s="101">
        <f t="array" ref="Z85">IFERROR(
(AVERAGE((IF(DATOS_[[Sexo]:[Sexo]]=$B85,IF(DATOS_[[AGRUP. CLAS. PROF.]:[AGRUP. CLAS. PROF.]]=$B84,IF(DATOS_[[Check Periodo Ref.]:[Check Periodo Ref.]]="Dentro",IF(DATOS_[[Check Equiparado]:[Check Equiparado]]="Sí",IF(DATOS!AU$5="Sí",(1/DATOS_[[% anualiz]:[% anualiz]]),1)*IF(DATOS!AU$4="Sí",1/DATOS_[[% normaliz]:[% normaliz]],1)*(DATOS_[Conc.Sal.17])))))))),
0)</f>
        <v>0</v>
      </c>
      <c r="AA85" s="101">
        <f t="array" ref="AA85">IFERROR(
(AVERAGE((IF(DATOS_[[Sexo]:[Sexo]]=$B85,IF(DATOS_[[AGRUP. CLAS. PROF.]:[AGRUP. CLAS. PROF.]]=$B84,IF(DATOS_[[Check Periodo Ref.]:[Check Periodo Ref.]]="Dentro",IF(DATOS_[[Check Equiparado]:[Check Equiparado]]="Sí",IF(DATOS!AV$5="Sí",(1/DATOS_[[% anualiz]:[% anualiz]]),1)*IF(DATOS!AV$4="Sí",1/DATOS_[[% normaliz]:[% normaliz]],1)*(DATOS_[Conc.Sal.18])))))))),
0)</f>
        <v>0</v>
      </c>
      <c r="AB85" s="101">
        <f t="array" ref="AB85">IFERROR(
(AVERAGE((IF(DATOS_[[Sexo]:[Sexo]]=$B85,IF(DATOS_[[AGRUP. CLAS. PROF.]:[AGRUP. CLAS. PROF.]]=$B84,IF(DATOS_[[Check Periodo Ref.]:[Check Periodo Ref.]]="Dentro",IF(DATOS_[[Check Equiparado]:[Check Equiparado]]="Sí",IF(DATOS!AW$5="Sí",(1/DATOS_[[% anualiz]:[% anualiz]]),1)*IF(DATOS!AW$4="Sí",1/DATOS_[[% normaliz]:[% normaliz]],1)*(DATOS_[Conc.Sal.19])))))))),
0)</f>
        <v>0</v>
      </c>
      <c r="AC85" s="101">
        <f t="array" ref="AC85">IFERROR(
(AVERAGE((IF(DATOS_[[Sexo]:[Sexo]]=$B85,IF(DATOS_[[AGRUP. CLAS. PROF.]:[AGRUP. CLAS. PROF.]]=$B84,IF(DATOS_[[Check Periodo Ref.]:[Check Periodo Ref.]]="Dentro",IF(DATOS_[[Check Equiparado]:[Check Equiparado]]="Sí",IF(DATOS!AX$5="Sí",(1/DATOS_[[% anualiz]:[% anualiz]]),1)*IF(DATOS!AX$4="Sí",1/DATOS_[[% normaliz]:[% normaliz]],1)*(DATOS_[Conc.Sal.20])))))))),
0)</f>
        <v>0</v>
      </c>
      <c r="AD85" s="101">
        <f t="array" ref="AD85">IFERROR(
(AVERAGE((IF(DATOS_[[Sexo]:[Sexo]]=$B85,IF(DATOS_[[AGRUP. CLAS. PROF.]:[AGRUP. CLAS. PROF.]]=$B84,IF(DATOS_[[Check Periodo Ref.]:[Check Periodo Ref.]]="Dentro",IF(DATOS_[[Check Equiparado]:[Check Equiparado]]="Sí",IF(DATOS!AY$5="Sí",(1/DATOS_[[% anualiz]:[% anualiz]]),1)*IF(DATOS!AY$4="Sí",1/DATOS_[[% normaliz]:[% normaliz]],1)*(DATOS_[Conc.Sal.21])))))))),
0)</f>
        <v>0</v>
      </c>
      <c r="AE85" s="101">
        <f t="array" ref="AE85">IFERROR(
(AVERAGE((IF(DATOS_[[Sexo]:[Sexo]]=$B85,IF(DATOS_[[AGRUP. CLAS. PROF.]:[AGRUP. CLAS. PROF.]]=$B84,IF(DATOS_[[Check Periodo Ref.]:[Check Periodo Ref.]]="Dentro",IF(DATOS_[[Check Equiparado]:[Check Equiparado]]="Sí",IF(DATOS!AZ$5="Sí",(1/DATOS_[[% anualiz]:[% anualiz]]),1)*IF(DATOS!AZ$4="Sí",1/DATOS_[[% normaliz]:[% normaliz]],1)*(DATOS_[Conc.Sal.22])))))))),
0)</f>
        <v>0</v>
      </c>
      <c r="AF85" s="101">
        <f t="array" ref="AF85">IFERROR(
(AVERAGE((IF(DATOS_[[Sexo]:[Sexo]]=$B85,IF(DATOS_[[AGRUP. CLAS. PROF.]:[AGRUP. CLAS. PROF.]]=$B84,IF(DATOS_[[Check Periodo Ref.]:[Check Periodo Ref.]]="Dentro",IF(DATOS_[[Check Equiparado]:[Check Equiparado]]="Sí",IF(DATOS!BA$5="Sí",(1/DATOS_[[% anualiz]:[% anualiz]]),1)*IF(DATOS!BA$4="Sí",1/DATOS_[[% normaliz]:[% normaliz]],1)*(DATOS_[Conc.Sal.23])))))))),
0)</f>
        <v>0</v>
      </c>
      <c r="AG85" s="101">
        <f t="array" ref="AG85">IFERROR(
(AVERAGE((IF(DATOS_[[Sexo]:[Sexo]]=$B85,IF(DATOS_[[AGRUP. CLAS. PROF.]:[AGRUP. CLAS. PROF.]]=$B84,IF(DATOS_[[Check Periodo Ref.]:[Check Periodo Ref.]]="Dentro",IF(DATOS_[[Check Equiparado]:[Check Equiparado]]="Sí",IF(DATOS!BB$5="Sí",(1/DATOS_[[% anualiz]:[% anualiz]]),1)*IF(DATOS!BB$4="Sí",1/DATOS_[[% normaliz]:[% normaliz]],1)*(DATOS_[Conc.Sal.24])))))))),
0)</f>
        <v>0</v>
      </c>
      <c r="AH85" s="101">
        <f t="array" ref="AH85">IFERROR(
(AVERAGE((IF(DATOS_[[Sexo]:[Sexo]]=$B85,IF(DATOS_[[AGRUP. CLAS. PROF.]:[AGRUP. CLAS. PROF.]]=$B84,IF(DATOS_[[Check Periodo Ref.]:[Check Periodo Ref.]]="Dentro",IF(DATOS_[[Check Equiparado]:[Check Equiparado]]="Sí",IF(DATOS!BC$5="Sí",(1/DATOS_[[% anualiz]:[% anualiz]]),1)*IF(DATOS!BC$4="Sí",1/DATOS_[[% normaliz]:[% normaliz]],1)*(DATOS_[Conc.Sal.25])))))))),
0)</f>
        <v>0</v>
      </c>
      <c r="AI85" s="101">
        <f t="array" ref="AI85">IFERROR(
(AVERAGE((IF(DATOS_[[Sexo]:[Sexo]]=$B85,IF(DATOS_[[AGRUP. CLAS. PROF.]:[AGRUP. CLAS. PROF.]]=$B84,IF(DATOS_[[Check Periodo Ref.]:[Check Periodo Ref.]]="Dentro",IF(DATOS_[[Check Equiparado]:[Check Equiparado]]="Sí",IF(DATOS!BD$5="Sí",(1/DATOS_[[% anualiz]:[% anualiz]]),1)*IF(DATOS!BD$4="Sí",1/DATOS_[[% normaliz]:[% normaliz]],1)*(DATOS_[Conc.Sal.26])))))))),
0)</f>
        <v>0</v>
      </c>
      <c r="AJ85" s="101">
        <f t="array" ref="AJ85">IFERROR(
(AVERAGE((IF(DATOS_[[Sexo]:[Sexo]]=$B85,IF(DATOS_[[AGRUP. CLAS. PROF.]:[AGRUP. CLAS. PROF.]]=$B84,IF(DATOS_[[Check Periodo Ref.]:[Check Periodo Ref.]]="Dentro",IF(DATOS_[[Check Equiparado]:[Check Equiparado]]="Sí",IF(DATOS!BE$5="Sí",(1/DATOS_[[% anualiz]:[% anualiz]]),1)*IF(DATOS!BE$4="Sí",1/DATOS_[[% normaliz]:[% normaliz]],1)*(DATOS_[Conc.Sal.27])))))))),
0)</f>
        <v>0</v>
      </c>
      <c r="AK85" s="101">
        <f t="array" ref="AK85">IFERROR(
(AVERAGE((IF(DATOS_[[Sexo]:[Sexo]]=$B85,IF(DATOS_[[AGRUP. CLAS. PROF.]:[AGRUP. CLAS. PROF.]]=$B84,IF(DATOS_[[Check Periodo Ref.]:[Check Periodo Ref.]]="Dentro",IF(DATOS_[[Check Equiparado]:[Check Equiparado]]="Sí",IF(DATOS!BF$5="Sí",(1/DATOS_[[% anualiz]:[% anualiz]]),1)*IF(DATOS!BF$4="Sí",1/DATOS_[[% normaliz]:[% normaliz]],1)*(DATOS_[Conc.Sal.28])))))))),
0)</f>
        <v>0</v>
      </c>
      <c r="AL85" s="101">
        <f t="array" ref="AL85">IFERROR(
(AVERAGE((IF(DATOS_[[Sexo]:[Sexo]]=$B85,IF(DATOS_[[AGRUP. CLAS. PROF.]:[AGRUP. CLAS. PROF.]]=$B84,IF(DATOS_[[Check Periodo Ref.]:[Check Periodo Ref.]]="Dentro",IF(DATOS_[[Check Equiparado]:[Check Equiparado]]="Sí",IF(DATOS!BG$5="Sí",(1/DATOS_[[% anualiz]:[% anualiz]]),1)*IF(DATOS!BG$4="Sí",1/DATOS_[[% normaliz]:[% normaliz]],1)*(DATOS_[Conc.Sal.29])))))))),
0)</f>
        <v>0</v>
      </c>
      <c r="AM85" s="101">
        <f t="array" ref="AM85">IFERROR(
(AVERAGE((IF(DATOS_[[Sexo]:[Sexo]]=$B85,IF(DATOS_[[AGRUP. CLAS. PROF.]:[AGRUP. CLAS. PROF.]]=$B84,IF(DATOS_[[Check Periodo Ref.]:[Check Periodo Ref.]]="Dentro",IF(DATOS_[[Check Equiparado]:[Check Equiparado]]="Sí",IF(DATOS!BH$5="Sí",(1/DATOS_[[% anualiz]:[% anualiz]]),1)*IF(DATOS!BH$4="Sí",1/DATOS_[[% normaliz]:[% normaliz]],1)*(DATOS_[Conc.Sal.30])))))))),
0)</f>
        <v>0</v>
      </c>
      <c r="AN85" s="102">
        <f t="array" ref="AN85">IFERROR(
AVERAGE(IF(DATOS_[Sexo]=$B85,IF(DATOS_[[AGRUP. CLAS. PROF.]:[AGRUP. CLAS. PROF.]]=$B84,IF(DATOS_[Check Equiparado]="Sí",IF(DATOS_[Check Periodo Ref.]="Dentro",DATOS_[Tot COMPL.SAL Eq],FALSE))))),
0)</f>
        <v>0</v>
      </c>
      <c r="AO85" s="103">
        <f t="array" ref="AO85">IFERROR(
AVERAGE(IF(DATOS_[Sexo]=$B85,IF(DATOS_[[AGRUP. CLAS. PROF.]:[AGRUP. CLAS. PROF.]]=$B84,IF(DATOS_[Check Equiparado]="Sí",IF(DATOS_[Check Periodo Ref.]="Dentro",DATOS_[TOTAL SALARIO Eq],FALSE))))),
0)</f>
        <v>0</v>
      </c>
      <c r="AP85" s="104">
        <f t="array" ref="AP85">IFERROR(
(AVERAGE((IF(DATOS_[[Sexo]:[Sexo]]=$B85,IF(DATOS_[[AGRUP. CLAS. PROF.]:[AGRUP. CLAS. PROF.]]=$B84,IF(DATOS_[[Check Periodo Ref.]:[Check Periodo Ref.]]="Dentro",IF(DATOS_[[Check Equiparado]:[Check Equiparado]]="Sí",IF(DATOS!BI$5="Sí",(1/DATOS_[[% anualiz]:[% anualiz]]),1)*IF(DATOS!BI$4="Sí",1/DATOS_[[% normaliz]:[% normaliz]],1)*(DATOS_[C.Extra.01])))))))),
0)</f>
        <v>0</v>
      </c>
      <c r="AQ85" s="104">
        <f t="array" ref="AQ85">IFERROR(
(AVERAGE((IF(DATOS_[[Sexo]:[Sexo]]=$B85,IF(DATOS_[[AGRUP. CLAS. PROF.]:[AGRUP. CLAS. PROF.]]=$B84,IF(DATOS_[[Check Periodo Ref.]:[Check Periodo Ref.]]="Dentro",IF(DATOS_[[Check Equiparado]:[Check Equiparado]]="Sí",IF(DATOS!BJ$5="Sí",(1/DATOS_[[% anualiz]:[% anualiz]]),1)*IF(DATOS!BJ$4="Sí",1/DATOS_[[% normaliz]:[% normaliz]],1)*(DATOS_[C.Extra.02])))))))),
0)</f>
        <v>0</v>
      </c>
      <c r="AR85" s="104">
        <f t="array" ref="AR85">IFERROR(
(AVERAGE((IF(DATOS_[[Sexo]:[Sexo]]=$B85,IF(DATOS_[[AGRUP. CLAS. PROF.]:[AGRUP. CLAS. PROF.]]=$B84,IF(DATOS_[[Check Periodo Ref.]:[Check Periodo Ref.]]="Dentro",IF(DATOS_[[Check Equiparado]:[Check Equiparado]]="Sí",IF(DATOS!BK$5="Sí",(1/DATOS_[[% anualiz]:[% anualiz]]),1)*IF(DATOS!BK$4="Sí",1/DATOS_[[% normaliz]:[% normaliz]],1)*(DATOS_[C.Extra.03])))))))),
0)</f>
        <v>0</v>
      </c>
      <c r="AS85" s="104">
        <f t="array" ref="AS85">IFERROR(
(AVERAGE((IF(DATOS_[[Sexo]:[Sexo]]=$B85,IF(DATOS_[[AGRUP. CLAS. PROF.]:[AGRUP. CLAS. PROF.]]=$B84,IF(DATOS_[[Check Periodo Ref.]:[Check Periodo Ref.]]="Dentro",IF(DATOS_[[Check Equiparado]:[Check Equiparado]]="Sí",IF(DATOS!BL$5="Sí",(1/DATOS_[[% anualiz]:[% anualiz]]),1)*IF(DATOS!BL$4="Sí",1/DATOS_[[% normaliz]:[% normaliz]],1)*(DATOS_[C.Extra.04])))))))),
0)</f>
        <v>0</v>
      </c>
      <c r="AT85" s="104">
        <f t="array" ref="AT85">IFERROR(
(AVERAGE((IF(DATOS_[[Sexo]:[Sexo]]=$B85,IF(DATOS_[[AGRUP. CLAS. PROF.]:[AGRUP. CLAS. PROF.]]=$B84,IF(DATOS_[[Check Periodo Ref.]:[Check Periodo Ref.]]="Dentro",IF(DATOS_[[Check Equiparado]:[Check Equiparado]]="Sí",IF(DATOS!BM$5="Sí",(1/DATOS_[[% anualiz]:[% anualiz]]),1)*IF(DATOS!BM$4="Sí",1/DATOS_[[% normaliz]:[% normaliz]],1)*(DATOS_[C.Extra.05])))))))),
0)</f>
        <v>0</v>
      </c>
      <c r="AU85" s="105">
        <f t="array" ref="AU85">IFERROR(
AVERAGE(IF(DATOS_[Sexo]=$B85,IF(DATOS_[[AGRUP. CLAS. PROF.]:[AGRUP. CLAS. PROF.]]=$B84,IF(DATOS_[Check Equiparado]="Sí",IF(DATOS_[Check Periodo Ref.]="Dentro",DATOS_[Tot Extrasalarial Eq],FALSE))))),
0)</f>
        <v>0</v>
      </c>
      <c r="AV85" s="106">
        <f t="array" ref="AV85">IFERROR(
AVERAGE(IF(DATOS_[Sexo]=$B85,IF(DATOS_[[AGRUP. CLAS. PROF.]:[AGRUP. CLAS. PROF.]]=$B84,IF(DATOS_[Check Equiparado]="Sí",IF(DATOS_[Check Periodo Ref.]="Dentro",DATOS_[TOTAL Retrib Eq],FALSE))))),
0)</f>
        <v>0</v>
      </c>
    </row>
    <row r="86" spans="1:48" hidden="1" x14ac:dyDescent="0.3">
      <c r="A86" s="53" t="str">
        <f t="shared" ref="A86" si="98">+A85</f>
        <v>[ocultar]</v>
      </c>
      <c r="B86" s="57" t="s">
        <v>163</v>
      </c>
      <c r="C86" s="56">
        <f t="array" ref="C86">SUM(IF($B86=DATOS_[Sexo],
IF($B84=DATOS_[AGRUP. CLAS. PROF.],
IF("Dentro"=DATOS_[Check Periodo Ref.],
1/(COUNTIFS(DATOS_[Sexo],$B86,DATOS_[AGRUP. CLAS. PROF.],$B84,DATOS_[Check Periodo Ref.],"Dentro",DATOS_[id],DATOS_[id]))))))</f>
        <v>0</v>
      </c>
      <c r="D86" s="58">
        <f>COUNTIFS(DATOS_[AGRUP. CLAS. PROF.],$B84,DATOS_[Sexo],$B86,DATOS_[Check Periodo Ref.],"Dentro")</f>
        <v>0</v>
      </c>
      <c r="E86" s="58">
        <f>COUNTIFS(DATOS_[AGRUP. CLAS. PROF.],$B84,DATOS_[Sexo],$B86,DATOS_[Check Periodo Ref.],"Dentro",DATOS_[Check Nº SC Norm],"Sí")</f>
        <v>0</v>
      </c>
      <c r="F86" s="58">
        <f>COUNTIFS(DATOS_[AGRUP. CLAS. PROF.],$B84,DATOS_[Sexo],$B86,DATOS_[Check Periodo Ref.],"Dentro",DATOS_[Check Nº SC Anualiz],"Sí")</f>
        <v>0</v>
      </c>
      <c r="G86" s="58">
        <f>COUNTIFS(DATOS_[AGRUP. CLAS. PROF.],$B84,DATOS_[Sexo],$B86,DATOS_[Check Periodo Ref.],"Dentro",DATOS_[Check Nº SC Norm y Anualiz],"Sí")</f>
        <v>0</v>
      </c>
      <c r="H86" s="58">
        <f>COUNTIFS(DATOS_[AGRUP. CLAS. PROF.],$B84,DATOS_[Sexo],$B86,DATOS_[Check Periodo Ref.],"Dentro",DATOS_[Check Equiparación],"Sí")</f>
        <v>0</v>
      </c>
      <c r="I86" s="100" cm="1">
        <f t="array" ref="I86">IFERROR(
AVERAGE(IF(DATOS_[Sexo]=$B86,IF(DATOS_[[AGRUP. CLAS. PROF.]:[AGRUP. CLAS. PROF.]]=$B84,IF(DATOS_[Check Equiparado]="Sí",IF(DATOS_[Check Periodo Ref.]="Dentro",DATOS_[SALARIO BASE Eq],FALSE))))),
0)</f>
        <v>0</v>
      </c>
      <c r="J86" s="101">
        <f t="array" ref="J86">IFERROR(
(AVERAGE((IF(DATOS_[[Sexo]:[Sexo]]=$B86,IF(DATOS_[[AGRUP. CLAS. PROF.]:[AGRUP. CLAS. PROF.]]=$B84,IF(DATOS_[[Check Periodo Ref.]:[Check Periodo Ref.]]="Dentro",IF(DATOS_[[Check Equiparado]:[Check Equiparado]]="Sí",IF(DATOS!AE$5="Sí",(1/DATOS_[[% anualiz]:[% anualiz]]),1)*IF(DATOS!AE$4="Sí",1/DATOS_[[% normaliz]:[% normaliz]],1)*(DATOS_[Conc.Sal.01])))))))),
0)</f>
        <v>0</v>
      </c>
      <c r="K86" s="101">
        <f t="array" ref="K86">IFERROR(
(AVERAGE((IF(DATOS_[[Sexo]:[Sexo]]=$B86,IF(DATOS_[[AGRUP. CLAS. PROF.]:[AGRUP. CLAS. PROF.]]=$B84,IF(DATOS_[[Check Periodo Ref.]:[Check Periodo Ref.]]="Dentro",IF(DATOS_[[Check Equiparado]:[Check Equiparado]]="Sí",IF(DATOS!AF$5="Sí",(1/DATOS_[[% anualiz]:[% anualiz]]),1)*IF(DATOS!AF$4="Sí",1/DATOS_[[% normaliz]:[% normaliz]],1)*(DATOS_[Conc.Sal.02])))))))),
0)</f>
        <v>0</v>
      </c>
      <c r="L86" s="101">
        <f t="array" ref="L86">IFERROR(
(AVERAGE((IF(DATOS_[[Sexo]:[Sexo]]=$B86,IF(DATOS_[[AGRUP. CLAS. PROF.]:[AGRUP. CLAS. PROF.]]=$B84,IF(DATOS_[[Check Periodo Ref.]:[Check Periodo Ref.]]="Dentro",IF(DATOS_[[Check Equiparado]:[Check Equiparado]]="Sí",IF(DATOS!AG$5="Sí",(1/DATOS_[[% anualiz]:[% anualiz]]),1)*IF(DATOS!AG$4="Sí",1/DATOS_[[% normaliz]:[% normaliz]],1)*(DATOS_[Conc.Sal.03])))))))),
0)</f>
        <v>0</v>
      </c>
      <c r="M86" s="101">
        <f t="array" ref="M86">IFERROR(
(AVERAGE((IF(DATOS_[[Sexo]:[Sexo]]=$B86,IF(DATOS_[[AGRUP. CLAS. PROF.]:[AGRUP. CLAS. PROF.]]=$B84,IF(DATOS_[[Check Periodo Ref.]:[Check Periodo Ref.]]="Dentro",IF(DATOS_[[Check Equiparado]:[Check Equiparado]]="Sí",IF(DATOS!AH$5="Sí",(1/DATOS_[[% anualiz]:[% anualiz]]),1)*IF(DATOS!AH$4="Sí",1/DATOS_[[% normaliz]:[% normaliz]],1)*(DATOS_[Conc.Sal.04])))))))),
0)</f>
        <v>0</v>
      </c>
      <c r="N86" s="101">
        <f t="array" ref="N86">IFERROR(
(AVERAGE((IF(DATOS_[[Sexo]:[Sexo]]=$B86,IF(DATOS_[[AGRUP. CLAS. PROF.]:[AGRUP. CLAS. PROF.]]=$B84,IF(DATOS_[[Check Periodo Ref.]:[Check Periodo Ref.]]="Dentro",IF(DATOS_[[Check Equiparado]:[Check Equiparado]]="Sí",IF(DATOS!AI$5="Sí",(1/DATOS_[[% anualiz]:[% anualiz]]),1)*IF(DATOS!AI$4="Sí",1/DATOS_[[% normaliz]:[% normaliz]],1)*(DATOS_[Conc.Sal.05])))))))),
0)</f>
        <v>0</v>
      </c>
      <c r="O86" s="101">
        <f t="array" ref="O86">IFERROR(
(AVERAGE((IF(DATOS_[[Sexo]:[Sexo]]=$B86,IF(DATOS_[[AGRUP. CLAS. PROF.]:[AGRUP. CLAS. PROF.]]=$B84,IF(DATOS_[[Check Periodo Ref.]:[Check Periodo Ref.]]="Dentro",IF(DATOS_[[Check Equiparado]:[Check Equiparado]]="Sí",IF(DATOS!AJ$5="Sí",(1/DATOS_[[% anualiz]:[% anualiz]]),1)*IF(DATOS!AJ$4="Sí",1/DATOS_[[% normaliz]:[% normaliz]],1)*(DATOS_[Conc.Sal.06])))))))),
0)</f>
        <v>0</v>
      </c>
      <c r="P86" s="101">
        <f t="array" ref="P86">IFERROR(
(AVERAGE((IF(DATOS_[[Sexo]:[Sexo]]=$B86,IF(DATOS_[[AGRUP. CLAS. PROF.]:[AGRUP. CLAS. PROF.]]=$B84,IF(DATOS_[[Check Periodo Ref.]:[Check Periodo Ref.]]="Dentro",IF(DATOS_[[Check Equiparado]:[Check Equiparado]]="Sí",IF(DATOS!AK$5="Sí",(1/DATOS_[[% anualiz]:[% anualiz]]),1)*IF(DATOS!AK$4="Sí",1/DATOS_[[% normaliz]:[% normaliz]],1)*(DATOS_[Conc.Sal.07])))))))),
0)</f>
        <v>0</v>
      </c>
      <c r="Q86" s="101">
        <f t="array" ref="Q86">IFERROR(
(AVERAGE((IF(DATOS_[[Sexo]:[Sexo]]=$B86,IF(DATOS_[[AGRUP. CLAS. PROF.]:[AGRUP. CLAS. PROF.]]=$B84,IF(DATOS_[[Check Periodo Ref.]:[Check Periodo Ref.]]="Dentro",IF(DATOS_[[Check Equiparado]:[Check Equiparado]]="Sí",IF(DATOS!AL$5="Sí",(1/DATOS_[[% anualiz]:[% anualiz]]),1)*IF(DATOS!AL$4="Sí",1/DATOS_[[% normaliz]:[% normaliz]],1)*(DATOS_[Conc.Sal.08])))))))),
0)</f>
        <v>0</v>
      </c>
      <c r="R86" s="101">
        <f t="array" ref="R86">IFERROR(
(AVERAGE((IF(DATOS_[[Sexo]:[Sexo]]=$B86,IF(DATOS_[[AGRUP. CLAS. PROF.]:[AGRUP. CLAS. PROF.]]=$B84,IF(DATOS_[[Check Periodo Ref.]:[Check Periodo Ref.]]="Dentro",IF(DATOS_[[Check Equiparado]:[Check Equiparado]]="Sí",IF(DATOS!AM$5="Sí",(1/DATOS_[[% anualiz]:[% anualiz]]),1)*IF(DATOS!AM$4="Sí",1/DATOS_[[% normaliz]:[% normaliz]],1)*(DATOS_[Conc.Sal.09])))))))),
0)</f>
        <v>0</v>
      </c>
      <c r="S86" s="101">
        <f t="array" ref="S86">IFERROR(
(AVERAGE((IF(DATOS_[[Sexo]:[Sexo]]=$B86,IF(DATOS_[[AGRUP. CLAS. PROF.]:[AGRUP. CLAS. PROF.]]=$B84,IF(DATOS_[[Check Periodo Ref.]:[Check Periodo Ref.]]="Dentro",IF(DATOS_[[Check Equiparado]:[Check Equiparado]]="Sí",IF(DATOS!AN$5="Sí",(1/DATOS_[[% anualiz]:[% anualiz]]),1)*IF(DATOS!AN$4="Sí",1/DATOS_[[% normaliz]:[% normaliz]],1)*(DATOS_[Conc.Sal.10])))))))),
0)</f>
        <v>0</v>
      </c>
      <c r="T86" s="101">
        <f t="array" ref="T86">IFERROR(
(AVERAGE((IF(DATOS_[[Sexo]:[Sexo]]=$B86,IF(DATOS_[[AGRUP. CLAS. PROF.]:[AGRUP. CLAS. PROF.]]=$B84,IF(DATOS_[[Check Periodo Ref.]:[Check Periodo Ref.]]="Dentro",IF(DATOS_[[Check Equiparado]:[Check Equiparado]]="Sí",IF(DATOS!AO$5="Sí",(1/DATOS_[[% anualiz]:[% anualiz]]),1)*IF(DATOS!AO$4="Sí",1/DATOS_[[% normaliz]:[% normaliz]],1)*(DATOS_[Conc.Sal.11])))))))),
0)</f>
        <v>0</v>
      </c>
      <c r="U86" s="101">
        <f t="array" ref="U86">IFERROR(
(AVERAGE((IF(DATOS_[[Sexo]:[Sexo]]=$B86,IF(DATOS_[[AGRUP. CLAS. PROF.]:[AGRUP. CLAS. PROF.]]=$B84,IF(DATOS_[[Check Periodo Ref.]:[Check Periodo Ref.]]="Dentro",IF(DATOS_[[Check Equiparado]:[Check Equiparado]]="Sí",IF(DATOS!AP$5="Sí",(1/DATOS_[[% anualiz]:[% anualiz]]),1)*IF(DATOS!AP$4="Sí",1/DATOS_[[% normaliz]:[% normaliz]],1)*(DATOS_[Conc.Sal.12])))))))),
0)</f>
        <v>0</v>
      </c>
      <c r="V86" s="101">
        <f t="array" ref="V86">IFERROR(
(AVERAGE((IF(DATOS_[[Sexo]:[Sexo]]=$B86,IF(DATOS_[[AGRUP. CLAS. PROF.]:[AGRUP. CLAS. PROF.]]=$B84,IF(DATOS_[[Check Periodo Ref.]:[Check Periodo Ref.]]="Dentro",IF(DATOS_[[Check Equiparado]:[Check Equiparado]]="Sí",IF(DATOS!AQ$5="Sí",(1/DATOS_[[% anualiz]:[% anualiz]]),1)*IF(DATOS!AQ$4="Sí",1/DATOS_[[% normaliz]:[% normaliz]],1)*(DATOS_[Conc.Sal.13])))))))),
0)</f>
        <v>0</v>
      </c>
      <c r="W86" s="101">
        <f t="array" ref="W86">IFERROR(
(AVERAGE((IF(DATOS_[[Sexo]:[Sexo]]=$B86,IF(DATOS_[[AGRUP. CLAS. PROF.]:[AGRUP. CLAS. PROF.]]=$B84,IF(DATOS_[[Check Periodo Ref.]:[Check Periodo Ref.]]="Dentro",IF(DATOS_[[Check Equiparado]:[Check Equiparado]]="Sí",IF(DATOS!AR$5="Sí",(1/DATOS_[[% anualiz]:[% anualiz]]),1)*IF(DATOS!AR$4="Sí",1/DATOS_[[% normaliz]:[% normaliz]],1)*(DATOS_[Conc.Sal.14])))))))),
0)</f>
        <v>0</v>
      </c>
      <c r="X86" s="101">
        <f t="array" ref="X86">IFERROR(
(AVERAGE((IF(DATOS_[[Sexo]:[Sexo]]=$B86,IF(DATOS_[[AGRUP. CLAS. PROF.]:[AGRUP. CLAS. PROF.]]=$B84,IF(DATOS_[[Check Periodo Ref.]:[Check Periodo Ref.]]="Dentro",IF(DATOS_[[Check Equiparado]:[Check Equiparado]]="Sí",IF(DATOS!AS$5="Sí",(1/DATOS_[[% anualiz]:[% anualiz]]),1)*IF(DATOS!AS$4="Sí",1/DATOS_[[% normaliz]:[% normaliz]],1)*(DATOS_[Conc.Sal.15])))))))),
0)</f>
        <v>0</v>
      </c>
      <c r="Y86" s="101">
        <f t="array" ref="Y86">IFERROR(
(AVERAGE((IF(DATOS_[[Sexo]:[Sexo]]=$B86,IF(DATOS_[[AGRUP. CLAS. PROF.]:[AGRUP. CLAS. PROF.]]=$B84,IF(DATOS_[[Check Periodo Ref.]:[Check Periodo Ref.]]="Dentro",IF(DATOS_[[Check Equiparado]:[Check Equiparado]]="Sí",IF(DATOS!AT$5="Sí",(1/DATOS_[[% anualiz]:[% anualiz]]),1)*IF(DATOS!AT$4="Sí",1/DATOS_[[% normaliz]:[% normaliz]],1)*(DATOS_[Conc.Sal.16])))))))),
0)</f>
        <v>0</v>
      </c>
      <c r="Z86" s="101">
        <f t="array" ref="Z86">IFERROR(
(AVERAGE((IF(DATOS_[[Sexo]:[Sexo]]=$B86,IF(DATOS_[[AGRUP. CLAS. PROF.]:[AGRUP. CLAS. PROF.]]=$B84,IF(DATOS_[[Check Periodo Ref.]:[Check Periodo Ref.]]="Dentro",IF(DATOS_[[Check Equiparado]:[Check Equiparado]]="Sí",IF(DATOS!AU$5="Sí",(1/DATOS_[[% anualiz]:[% anualiz]]),1)*IF(DATOS!AU$4="Sí",1/DATOS_[[% normaliz]:[% normaliz]],1)*(DATOS_[Conc.Sal.17])))))))),
0)</f>
        <v>0</v>
      </c>
      <c r="AA86" s="101">
        <f t="array" ref="AA86">IFERROR(
(AVERAGE((IF(DATOS_[[Sexo]:[Sexo]]=$B86,IF(DATOS_[[AGRUP. CLAS. PROF.]:[AGRUP. CLAS. PROF.]]=$B84,IF(DATOS_[[Check Periodo Ref.]:[Check Periodo Ref.]]="Dentro",IF(DATOS_[[Check Equiparado]:[Check Equiparado]]="Sí",IF(DATOS!AV$5="Sí",(1/DATOS_[[% anualiz]:[% anualiz]]),1)*IF(DATOS!AV$4="Sí",1/DATOS_[[% normaliz]:[% normaliz]],1)*(DATOS_[Conc.Sal.18])))))))),
0)</f>
        <v>0</v>
      </c>
      <c r="AB86" s="101">
        <f t="array" ref="AB86">IFERROR(
(AVERAGE((IF(DATOS_[[Sexo]:[Sexo]]=$B86,IF(DATOS_[[AGRUP. CLAS. PROF.]:[AGRUP. CLAS. PROF.]]=$B84,IF(DATOS_[[Check Periodo Ref.]:[Check Periodo Ref.]]="Dentro",IF(DATOS_[[Check Equiparado]:[Check Equiparado]]="Sí",IF(DATOS!AW$5="Sí",(1/DATOS_[[% anualiz]:[% anualiz]]),1)*IF(DATOS!AW$4="Sí",1/DATOS_[[% normaliz]:[% normaliz]],1)*(DATOS_[Conc.Sal.19])))))))),
0)</f>
        <v>0</v>
      </c>
      <c r="AC86" s="101">
        <f t="array" ref="AC86">IFERROR(
(AVERAGE((IF(DATOS_[[Sexo]:[Sexo]]=$B86,IF(DATOS_[[AGRUP. CLAS. PROF.]:[AGRUP. CLAS. PROF.]]=$B84,IF(DATOS_[[Check Periodo Ref.]:[Check Periodo Ref.]]="Dentro",IF(DATOS_[[Check Equiparado]:[Check Equiparado]]="Sí",IF(DATOS!AX$5="Sí",(1/DATOS_[[% anualiz]:[% anualiz]]),1)*IF(DATOS!AX$4="Sí",1/DATOS_[[% normaliz]:[% normaliz]],1)*(DATOS_[Conc.Sal.20])))))))),
0)</f>
        <v>0</v>
      </c>
      <c r="AD86" s="101">
        <f t="array" ref="AD86">IFERROR(
(AVERAGE((IF(DATOS_[[Sexo]:[Sexo]]=$B86,IF(DATOS_[[AGRUP. CLAS. PROF.]:[AGRUP. CLAS. PROF.]]=$B84,IF(DATOS_[[Check Periodo Ref.]:[Check Periodo Ref.]]="Dentro",IF(DATOS_[[Check Equiparado]:[Check Equiparado]]="Sí",IF(DATOS!AY$5="Sí",(1/DATOS_[[% anualiz]:[% anualiz]]),1)*IF(DATOS!AY$4="Sí",1/DATOS_[[% normaliz]:[% normaliz]],1)*(DATOS_[Conc.Sal.21])))))))),
0)</f>
        <v>0</v>
      </c>
      <c r="AE86" s="101">
        <f t="array" ref="AE86">IFERROR(
(AVERAGE((IF(DATOS_[[Sexo]:[Sexo]]=$B86,IF(DATOS_[[AGRUP. CLAS. PROF.]:[AGRUP. CLAS. PROF.]]=$B84,IF(DATOS_[[Check Periodo Ref.]:[Check Periodo Ref.]]="Dentro",IF(DATOS_[[Check Equiparado]:[Check Equiparado]]="Sí",IF(DATOS!AZ$5="Sí",(1/DATOS_[[% anualiz]:[% anualiz]]),1)*IF(DATOS!AZ$4="Sí",1/DATOS_[[% normaliz]:[% normaliz]],1)*(DATOS_[Conc.Sal.22])))))))),
0)</f>
        <v>0</v>
      </c>
      <c r="AF86" s="101">
        <f t="array" ref="AF86">IFERROR(
(AVERAGE((IF(DATOS_[[Sexo]:[Sexo]]=$B86,IF(DATOS_[[AGRUP. CLAS. PROF.]:[AGRUP. CLAS. PROF.]]=$B84,IF(DATOS_[[Check Periodo Ref.]:[Check Periodo Ref.]]="Dentro",IF(DATOS_[[Check Equiparado]:[Check Equiparado]]="Sí",IF(DATOS!BA$5="Sí",(1/DATOS_[[% anualiz]:[% anualiz]]),1)*IF(DATOS!BA$4="Sí",1/DATOS_[[% normaliz]:[% normaliz]],1)*(DATOS_[Conc.Sal.23])))))))),
0)</f>
        <v>0</v>
      </c>
      <c r="AG86" s="101">
        <f t="array" ref="AG86">IFERROR(
(AVERAGE((IF(DATOS_[[Sexo]:[Sexo]]=$B86,IF(DATOS_[[AGRUP. CLAS. PROF.]:[AGRUP. CLAS. PROF.]]=$B84,IF(DATOS_[[Check Periodo Ref.]:[Check Periodo Ref.]]="Dentro",IF(DATOS_[[Check Equiparado]:[Check Equiparado]]="Sí",IF(DATOS!BB$5="Sí",(1/DATOS_[[% anualiz]:[% anualiz]]),1)*IF(DATOS!BB$4="Sí",1/DATOS_[[% normaliz]:[% normaliz]],1)*(DATOS_[Conc.Sal.24])))))))),
0)</f>
        <v>0</v>
      </c>
      <c r="AH86" s="101">
        <f t="array" ref="AH86">IFERROR(
(AVERAGE((IF(DATOS_[[Sexo]:[Sexo]]=$B86,IF(DATOS_[[AGRUP. CLAS. PROF.]:[AGRUP. CLAS. PROF.]]=$B84,IF(DATOS_[[Check Periodo Ref.]:[Check Periodo Ref.]]="Dentro",IF(DATOS_[[Check Equiparado]:[Check Equiparado]]="Sí",IF(DATOS!BC$5="Sí",(1/DATOS_[[% anualiz]:[% anualiz]]),1)*IF(DATOS!BC$4="Sí",1/DATOS_[[% normaliz]:[% normaliz]],1)*(DATOS_[Conc.Sal.25])))))))),
0)</f>
        <v>0</v>
      </c>
      <c r="AI86" s="101">
        <f t="array" ref="AI86">IFERROR(
(AVERAGE((IF(DATOS_[[Sexo]:[Sexo]]=$B86,IF(DATOS_[[AGRUP. CLAS. PROF.]:[AGRUP. CLAS. PROF.]]=$B84,IF(DATOS_[[Check Periodo Ref.]:[Check Periodo Ref.]]="Dentro",IF(DATOS_[[Check Equiparado]:[Check Equiparado]]="Sí",IF(DATOS!BD$5="Sí",(1/DATOS_[[% anualiz]:[% anualiz]]),1)*IF(DATOS!BD$4="Sí",1/DATOS_[[% normaliz]:[% normaliz]],1)*(DATOS_[Conc.Sal.26])))))))),
0)</f>
        <v>0</v>
      </c>
      <c r="AJ86" s="101">
        <f t="array" ref="AJ86">IFERROR(
(AVERAGE((IF(DATOS_[[Sexo]:[Sexo]]=$B86,IF(DATOS_[[AGRUP. CLAS. PROF.]:[AGRUP. CLAS. PROF.]]=$B84,IF(DATOS_[[Check Periodo Ref.]:[Check Periodo Ref.]]="Dentro",IF(DATOS_[[Check Equiparado]:[Check Equiparado]]="Sí",IF(DATOS!BE$5="Sí",(1/DATOS_[[% anualiz]:[% anualiz]]),1)*IF(DATOS!BE$4="Sí",1/DATOS_[[% normaliz]:[% normaliz]],1)*(DATOS_[Conc.Sal.27])))))))),
0)</f>
        <v>0</v>
      </c>
      <c r="AK86" s="101">
        <f t="array" ref="AK86">IFERROR(
(AVERAGE((IF(DATOS_[[Sexo]:[Sexo]]=$B86,IF(DATOS_[[AGRUP. CLAS. PROF.]:[AGRUP. CLAS. PROF.]]=$B84,IF(DATOS_[[Check Periodo Ref.]:[Check Periodo Ref.]]="Dentro",IF(DATOS_[[Check Equiparado]:[Check Equiparado]]="Sí",IF(DATOS!BF$5="Sí",(1/DATOS_[[% anualiz]:[% anualiz]]),1)*IF(DATOS!BF$4="Sí",1/DATOS_[[% normaliz]:[% normaliz]],1)*(DATOS_[Conc.Sal.28])))))))),
0)</f>
        <v>0</v>
      </c>
      <c r="AL86" s="101">
        <f t="array" ref="AL86">IFERROR(
(AVERAGE((IF(DATOS_[[Sexo]:[Sexo]]=$B86,IF(DATOS_[[AGRUP. CLAS. PROF.]:[AGRUP. CLAS. PROF.]]=$B84,IF(DATOS_[[Check Periodo Ref.]:[Check Periodo Ref.]]="Dentro",IF(DATOS_[[Check Equiparado]:[Check Equiparado]]="Sí",IF(DATOS!BG$5="Sí",(1/DATOS_[[% anualiz]:[% anualiz]]),1)*IF(DATOS!BG$4="Sí",1/DATOS_[[% normaliz]:[% normaliz]],1)*(DATOS_[Conc.Sal.29])))))))),
0)</f>
        <v>0</v>
      </c>
      <c r="AM86" s="101">
        <f t="array" ref="AM86">IFERROR(
(AVERAGE((IF(DATOS_[[Sexo]:[Sexo]]=$B86,IF(DATOS_[[AGRUP. CLAS. PROF.]:[AGRUP. CLAS. PROF.]]=$B84,IF(DATOS_[[Check Periodo Ref.]:[Check Periodo Ref.]]="Dentro",IF(DATOS_[[Check Equiparado]:[Check Equiparado]]="Sí",IF(DATOS!BH$5="Sí",(1/DATOS_[[% anualiz]:[% anualiz]]),1)*IF(DATOS!BH$4="Sí",1/DATOS_[[% normaliz]:[% normaliz]],1)*(DATOS_[Conc.Sal.30])))))))),
0)</f>
        <v>0</v>
      </c>
      <c r="AN86" s="102">
        <f t="array" ref="AN86">IFERROR(
AVERAGE(IF(DATOS_[Sexo]=$B86,IF(DATOS_[[AGRUP. CLAS. PROF.]:[AGRUP. CLAS. PROF.]]=$B84,IF(DATOS_[Check Equiparado]="Sí",IF(DATOS_[Check Periodo Ref.]="Dentro",DATOS_[Tot COMPL.SAL Eq],FALSE))))),
0)</f>
        <v>0</v>
      </c>
      <c r="AO86" s="103">
        <f t="array" ref="AO86">IFERROR(
AVERAGE(IF(DATOS_[Sexo]=$B86,IF(DATOS_[[AGRUP. CLAS. PROF.]:[AGRUP. CLAS. PROF.]]=$B84,IF(DATOS_[Check Equiparado]="Sí",IF(DATOS_[Check Periodo Ref.]="Dentro",DATOS_[TOTAL SALARIO Eq],FALSE))))),
0)</f>
        <v>0</v>
      </c>
      <c r="AP86" s="104">
        <f t="array" ref="AP86">IFERROR(
(AVERAGE((IF(DATOS_[[Sexo]:[Sexo]]=$B86,IF(DATOS_[[AGRUP. CLAS. PROF.]:[AGRUP. CLAS. PROF.]]=$B84,IF(DATOS_[[Check Periodo Ref.]:[Check Periodo Ref.]]="Dentro",IF(DATOS_[[Check Equiparado]:[Check Equiparado]]="Sí",IF(DATOS!BI$5="Sí",(1/DATOS_[[% anualiz]:[% anualiz]]),1)*IF(DATOS!BI$4="Sí",1/DATOS_[[% normaliz]:[% normaliz]],1)*(DATOS_[C.Extra.01])))))))),
0)</f>
        <v>0</v>
      </c>
      <c r="AQ86" s="104">
        <f t="array" ref="AQ86">IFERROR(
(AVERAGE((IF(DATOS_[[Sexo]:[Sexo]]=$B86,IF(DATOS_[[AGRUP. CLAS. PROF.]:[AGRUP. CLAS. PROF.]]=$B84,IF(DATOS_[[Check Periodo Ref.]:[Check Periodo Ref.]]="Dentro",IF(DATOS_[[Check Equiparado]:[Check Equiparado]]="Sí",IF(DATOS!BJ$5="Sí",(1/DATOS_[[% anualiz]:[% anualiz]]),1)*IF(DATOS!BJ$4="Sí",1/DATOS_[[% normaliz]:[% normaliz]],1)*(DATOS_[C.Extra.02])))))))),
0)</f>
        <v>0</v>
      </c>
      <c r="AR86" s="104">
        <f t="array" ref="AR86">IFERROR(
(AVERAGE((IF(DATOS_[[Sexo]:[Sexo]]=$B86,IF(DATOS_[[AGRUP. CLAS. PROF.]:[AGRUP. CLAS. PROF.]]=$B84,IF(DATOS_[[Check Periodo Ref.]:[Check Periodo Ref.]]="Dentro",IF(DATOS_[[Check Equiparado]:[Check Equiparado]]="Sí",IF(DATOS!BK$5="Sí",(1/DATOS_[[% anualiz]:[% anualiz]]),1)*IF(DATOS!BK$4="Sí",1/DATOS_[[% normaliz]:[% normaliz]],1)*(DATOS_[C.Extra.03])))))))),
0)</f>
        <v>0</v>
      </c>
      <c r="AS86" s="104">
        <f t="array" ref="AS86">IFERROR(
(AVERAGE((IF(DATOS_[[Sexo]:[Sexo]]=$B86,IF(DATOS_[[AGRUP. CLAS. PROF.]:[AGRUP. CLAS. PROF.]]=$B84,IF(DATOS_[[Check Periodo Ref.]:[Check Periodo Ref.]]="Dentro",IF(DATOS_[[Check Equiparado]:[Check Equiparado]]="Sí",IF(DATOS!BL$5="Sí",(1/DATOS_[[% anualiz]:[% anualiz]]),1)*IF(DATOS!BL$4="Sí",1/DATOS_[[% normaliz]:[% normaliz]],1)*(DATOS_[C.Extra.04])))))))),
0)</f>
        <v>0</v>
      </c>
      <c r="AT86" s="104">
        <f t="array" ref="AT86">IFERROR(
(AVERAGE((IF(DATOS_[[Sexo]:[Sexo]]=$B86,IF(DATOS_[[AGRUP. CLAS. PROF.]:[AGRUP. CLAS. PROF.]]=$B84,IF(DATOS_[[Check Periodo Ref.]:[Check Periodo Ref.]]="Dentro",IF(DATOS_[[Check Equiparado]:[Check Equiparado]]="Sí",IF(DATOS!BM$5="Sí",(1/DATOS_[[% anualiz]:[% anualiz]]),1)*IF(DATOS!BM$4="Sí",1/DATOS_[[% normaliz]:[% normaliz]],1)*(DATOS_[C.Extra.05])))))))),
0)</f>
        <v>0</v>
      </c>
      <c r="AU86" s="105">
        <f t="array" ref="AU86">IFERROR(
AVERAGE(IF(DATOS_[Sexo]=$B86,IF(DATOS_[[AGRUP. CLAS. PROF.]:[AGRUP. CLAS. PROF.]]=$B84,IF(DATOS_[Check Equiparado]="Sí",IF(DATOS_[Check Periodo Ref.]="Dentro",DATOS_[Tot Extrasalarial Eq],FALSE))))),
0)</f>
        <v>0</v>
      </c>
      <c r="AV86" s="106">
        <f t="array" ref="AV86">IFERROR(
AVERAGE(IF(DATOS_[Sexo]=$B86,IF(DATOS_[[AGRUP. CLAS. PROF.]:[AGRUP. CLAS. PROF.]]=$B84,IF(DATOS_[Check Equiparado]="Sí",IF(DATOS_[Check Periodo Ref.]="Dentro",DATOS_[TOTAL Retrib Eq],FALSE))))),
0)</f>
        <v>0</v>
      </c>
    </row>
    <row r="87" spans="1:48" ht="17.25" hidden="1" thickBot="1" x14ac:dyDescent="0.35">
      <c r="A87" s="53" t="str">
        <f t="shared" ref="A87" si="99">+A88</f>
        <v>[ocultar]</v>
      </c>
      <c r="B87" s="62" t="s">
        <v>241</v>
      </c>
      <c r="C87" s="99"/>
      <c r="D87" s="63"/>
      <c r="E87" s="63"/>
      <c r="F87" s="63"/>
      <c r="G87" s="63"/>
      <c r="H87" s="63"/>
      <c r="I87" s="129" t="str">
        <f t="shared" ref="I87:AV87" si="100">IFERROR((I88-I89)/I88,"")</f>
        <v/>
      </c>
      <c r="J87" s="130" t="str">
        <f t="shared" si="100"/>
        <v/>
      </c>
      <c r="K87" s="131" t="str">
        <f t="shared" si="100"/>
        <v/>
      </c>
      <c r="L87" s="131" t="str">
        <f t="shared" si="100"/>
        <v/>
      </c>
      <c r="M87" s="131" t="str">
        <f t="shared" si="100"/>
        <v/>
      </c>
      <c r="N87" s="132" t="str">
        <f t="shared" si="100"/>
        <v/>
      </c>
      <c r="O87" s="133" t="str">
        <f t="shared" si="100"/>
        <v/>
      </c>
      <c r="P87" s="133" t="str">
        <f t="shared" si="100"/>
        <v/>
      </c>
      <c r="Q87" s="133" t="str">
        <f t="shared" si="100"/>
        <v/>
      </c>
      <c r="R87" s="133" t="str">
        <f t="shared" si="100"/>
        <v/>
      </c>
      <c r="S87" s="133" t="str">
        <f t="shared" si="100"/>
        <v/>
      </c>
      <c r="T87" s="133" t="str">
        <f t="shared" si="100"/>
        <v/>
      </c>
      <c r="U87" s="133" t="str">
        <f t="shared" si="100"/>
        <v/>
      </c>
      <c r="V87" s="133" t="str">
        <f t="shared" si="100"/>
        <v/>
      </c>
      <c r="W87" s="133" t="str">
        <f t="shared" si="100"/>
        <v/>
      </c>
      <c r="X87" s="133" t="str">
        <f t="shared" si="100"/>
        <v/>
      </c>
      <c r="Y87" s="133" t="str">
        <f t="shared" si="100"/>
        <v/>
      </c>
      <c r="Z87" s="132" t="str">
        <f t="shared" si="100"/>
        <v/>
      </c>
      <c r="AA87" s="132" t="str">
        <f t="shared" si="100"/>
        <v/>
      </c>
      <c r="AB87" s="132" t="str">
        <f t="shared" si="100"/>
        <v/>
      </c>
      <c r="AC87" s="132" t="str">
        <f t="shared" si="100"/>
        <v/>
      </c>
      <c r="AD87" s="132" t="str">
        <f t="shared" si="100"/>
        <v/>
      </c>
      <c r="AE87" s="132" t="str">
        <f t="shared" si="100"/>
        <v/>
      </c>
      <c r="AF87" s="132" t="str">
        <f t="shared" si="100"/>
        <v/>
      </c>
      <c r="AG87" s="132" t="str">
        <f t="shared" si="100"/>
        <v/>
      </c>
      <c r="AH87" s="132" t="str">
        <f t="shared" si="100"/>
        <v/>
      </c>
      <c r="AI87" s="132" t="str">
        <f t="shared" si="100"/>
        <v/>
      </c>
      <c r="AJ87" s="132" t="str">
        <f t="shared" si="100"/>
        <v/>
      </c>
      <c r="AK87" s="132" t="str">
        <f t="shared" si="100"/>
        <v/>
      </c>
      <c r="AL87" s="132" t="str">
        <f t="shared" si="100"/>
        <v/>
      </c>
      <c r="AM87" s="132" t="str">
        <f t="shared" si="100"/>
        <v/>
      </c>
      <c r="AN87" s="134" t="str">
        <f t="shared" si="100"/>
        <v/>
      </c>
      <c r="AO87" s="138" t="str">
        <f t="shared" si="100"/>
        <v/>
      </c>
      <c r="AP87" s="135" t="str">
        <f t="shared" si="100"/>
        <v/>
      </c>
      <c r="AQ87" s="135" t="str">
        <f t="shared" si="100"/>
        <v/>
      </c>
      <c r="AR87" s="135" t="str">
        <f t="shared" si="100"/>
        <v/>
      </c>
      <c r="AS87" s="135" t="str">
        <f t="shared" si="100"/>
        <v/>
      </c>
      <c r="AT87" s="135" t="str">
        <f t="shared" si="100"/>
        <v/>
      </c>
      <c r="AU87" s="136" t="str">
        <f t="shared" si="100"/>
        <v/>
      </c>
      <c r="AV87" s="137" t="str">
        <f t="shared" si="100"/>
        <v/>
      </c>
    </row>
    <row r="88" spans="1:48" hidden="1" x14ac:dyDescent="0.3">
      <c r="A88" s="53" t="str">
        <f t="shared" ref="A88" si="101">+IF(C88+C89=0,"[ocultar]","")</f>
        <v>[ocultar]</v>
      </c>
      <c r="B88" s="57" t="s">
        <v>162</v>
      </c>
      <c r="C88" s="56">
        <f t="array" ref="C88">SUM(IF($B88=DATOS_[Sexo],
IF($B87=DATOS_[AGRUP. CLAS. PROF.],
IF("Dentro"=DATOS_[Check Periodo Ref.],
1/(COUNTIFS(DATOS_[Sexo],$B88,DATOS_[AGRUP. CLAS. PROF.],$B87,DATOS_[Check Periodo Ref.],"Dentro",DATOS_[id],DATOS_[id]))))))</f>
        <v>0</v>
      </c>
      <c r="D88" s="58">
        <f>COUNTIFS(DATOS_[AGRUP. CLAS. PROF.],$B87,DATOS_[Sexo],$B88,DATOS_[Check Periodo Ref.],"Dentro")</f>
        <v>0</v>
      </c>
      <c r="E88" s="58">
        <f>COUNTIFS(DATOS_[AGRUP. CLAS. PROF.],$B87,DATOS_[Sexo],$B88,DATOS_[Check Periodo Ref.],"Dentro",DATOS_[Check Nº SC Norm],"Sí")</f>
        <v>0</v>
      </c>
      <c r="F88" s="58">
        <f>COUNTIFS(DATOS_[AGRUP. CLAS. PROF.],$B87,DATOS_[Sexo],$B88,DATOS_[Check Periodo Ref.],"Dentro",DATOS_[Check Nº SC Anualiz],"Sí")</f>
        <v>0</v>
      </c>
      <c r="G88" s="58">
        <f>COUNTIFS(DATOS_[AGRUP. CLAS. PROF.],$B87,DATOS_[Sexo],$B88,DATOS_[Check Periodo Ref.],"Dentro",DATOS_[Check Nº SC Norm y Anualiz],"Sí")</f>
        <v>0</v>
      </c>
      <c r="H88" s="58">
        <f>COUNTIFS(DATOS_[AGRUP. CLAS. PROF.],$B87,DATOS_[Sexo],$B88,DATOS_[Check Periodo Ref.],"Dentro",DATOS_[Check Equiparación],"Sí")</f>
        <v>0</v>
      </c>
      <c r="I88" s="100">
        <f t="array" ref="I88">IFERROR(
AVERAGE(IF(DATOS_[Sexo]=$B88,IF(DATOS_[[AGRUP. CLAS. PROF.]:[AGRUP. CLAS. PROF.]]=$B87,IF(DATOS_[Check Equiparado]="Sí",IF(DATOS_[Check Periodo Ref.]="Dentro",DATOS_[SALARIO BASE Eq],FALSE))))),
0)</f>
        <v>0</v>
      </c>
      <c r="J88" s="101">
        <f t="array" ref="J88">IFERROR(
(AVERAGE((IF(DATOS_[[Sexo]:[Sexo]]=$B88,IF(DATOS_[[AGRUP. CLAS. PROF.]:[AGRUP. CLAS. PROF.]]=$B87,IF(DATOS_[[Check Periodo Ref.]:[Check Periodo Ref.]]="Dentro",IF(DATOS_[[Check Equiparado]:[Check Equiparado]]="Sí",IF(DATOS!AE$5="Sí",(1/DATOS_[[% anualiz]:[% anualiz]]),1)*IF(DATOS!AE$4="Sí",1/DATOS_[[% normaliz]:[% normaliz]],1)*(DATOS_[Conc.Sal.01])))))))),
0)</f>
        <v>0</v>
      </c>
      <c r="K88" s="101">
        <f t="array" ref="K88">IFERROR(
(AVERAGE((IF(DATOS_[[Sexo]:[Sexo]]=$B88,IF(DATOS_[[AGRUP. CLAS. PROF.]:[AGRUP. CLAS. PROF.]]=$B87,IF(DATOS_[[Check Periodo Ref.]:[Check Periodo Ref.]]="Dentro",IF(DATOS_[[Check Equiparado]:[Check Equiparado]]="Sí",IF(DATOS!AF$5="Sí",(1/DATOS_[[% anualiz]:[% anualiz]]),1)*IF(DATOS!AF$4="Sí",1/DATOS_[[% normaliz]:[% normaliz]],1)*(DATOS_[Conc.Sal.02])))))))),
0)</f>
        <v>0</v>
      </c>
      <c r="L88" s="101">
        <f t="array" ref="L88">IFERROR(
(AVERAGE((IF(DATOS_[[Sexo]:[Sexo]]=$B88,IF(DATOS_[[AGRUP. CLAS. PROF.]:[AGRUP. CLAS. PROF.]]=$B87,IF(DATOS_[[Check Periodo Ref.]:[Check Periodo Ref.]]="Dentro",IF(DATOS_[[Check Equiparado]:[Check Equiparado]]="Sí",IF(DATOS!AG$5="Sí",(1/DATOS_[[% anualiz]:[% anualiz]]),1)*IF(DATOS!AG$4="Sí",1/DATOS_[[% normaliz]:[% normaliz]],1)*(DATOS_[Conc.Sal.03])))))))),
0)</f>
        <v>0</v>
      </c>
      <c r="M88" s="101">
        <f t="array" ref="M88">IFERROR(
(AVERAGE((IF(DATOS_[[Sexo]:[Sexo]]=$B88,IF(DATOS_[[AGRUP. CLAS. PROF.]:[AGRUP. CLAS. PROF.]]=$B87,IF(DATOS_[[Check Periodo Ref.]:[Check Periodo Ref.]]="Dentro",IF(DATOS_[[Check Equiparado]:[Check Equiparado]]="Sí",IF(DATOS!AH$5="Sí",(1/DATOS_[[% anualiz]:[% anualiz]]),1)*IF(DATOS!AH$4="Sí",1/DATOS_[[% normaliz]:[% normaliz]],1)*(DATOS_[Conc.Sal.04])))))))),
0)</f>
        <v>0</v>
      </c>
      <c r="N88" s="101">
        <f t="array" ref="N88">IFERROR(
(AVERAGE((IF(DATOS_[[Sexo]:[Sexo]]=$B88,IF(DATOS_[[AGRUP. CLAS. PROF.]:[AGRUP. CLAS. PROF.]]=$B87,IF(DATOS_[[Check Periodo Ref.]:[Check Periodo Ref.]]="Dentro",IF(DATOS_[[Check Equiparado]:[Check Equiparado]]="Sí",IF(DATOS!AI$5="Sí",(1/DATOS_[[% anualiz]:[% anualiz]]),1)*IF(DATOS!AI$4="Sí",1/DATOS_[[% normaliz]:[% normaliz]],1)*(DATOS_[Conc.Sal.05])))))))),
0)</f>
        <v>0</v>
      </c>
      <c r="O88" s="101">
        <f t="array" ref="O88">IFERROR(
(AVERAGE((IF(DATOS_[[Sexo]:[Sexo]]=$B88,IF(DATOS_[[AGRUP. CLAS. PROF.]:[AGRUP. CLAS. PROF.]]=$B87,IF(DATOS_[[Check Periodo Ref.]:[Check Periodo Ref.]]="Dentro",IF(DATOS_[[Check Equiparado]:[Check Equiparado]]="Sí",IF(DATOS!AJ$5="Sí",(1/DATOS_[[% anualiz]:[% anualiz]]),1)*IF(DATOS!AJ$4="Sí",1/DATOS_[[% normaliz]:[% normaliz]],1)*(DATOS_[Conc.Sal.06])))))))),
0)</f>
        <v>0</v>
      </c>
      <c r="P88" s="101">
        <f t="array" ref="P88">IFERROR(
(AVERAGE((IF(DATOS_[[Sexo]:[Sexo]]=$B88,IF(DATOS_[[AGRUP. CLAS. PROF.]:[AGRUP. CLAS. PROF.]]=$B87,IF(DATOS_[[Check Periodo Ref.]:[Check Periodo Ref.]]="Dentro",IF(DATOS_[[Check Equiparado]:[Check Equiparado]]="Sí",IF(DATOS!AK$5="Sí",(1/DATOS_[[% anualiz]:[% anualiz]]),1)*IF(DATOS!AK$4="Sí",1/DATOS_[[% normaliz]:[% normaliz]],1)*(DATOS_[Conc.Sal.07])))))))),
0)</f>
        <v>0</v>
      </c>
      <c r="Q88" s="101">
        <f t="array" ref="Q88">IFERROR(
(AVERAGE((IF(DATOS_[[Sexo]:[Sexo]]=$B88,IF(DATOS_[[AGRUP. CLAS. PROF.]:[AGRUP. CLAS. PROF.]]=$B87,IF(DATOS_[[Check Periodo Ref.]:[Check Periodo Ref.]]="Dentro",IF(DATOS_[[Check Equiparado]:[Check Equiparado]]="Sí",IF(DATOS!AL$5="Sí",(1/DATOS_[[% anualiz]:[% anualiz]]),1)*IF(DATOS!AL$4="Sí",1/DATOS_[[% normaliz]:[% normaliz]],1)*(DATOS_[Conc.Sal.08])))))))),
0)</f>
        <v>0</v>
      </c>
      <c r="R88" s="101">
        <f t="array" ref="R88">IFERROR(
(AVERAGE((IF(DATOS_[[Sexo]:[Sexo]]=$B88,IF(DATOS_[[AGRUP. CLAS. PROF.]:[AGRUP. CLAS. PROF.]]=$B87,IF(DATOS_[[Check Periodo Ref.]:[Check Periodo Ref.]]="Dentro",IF(DATOS_[[Check Equiparado]:[Check Equiparado]]="Sí",IF(DATOS!AM$5="Sí",(1/DATOS_[[% anualiz]:[% anualiz]]),1)*IF(DATOS!AM$4="Sí",1/DATOS_[[% normaliz]:[% normaliz]],1)*(DATOS_[Conc.Sal.09])))))))),
0)</f>
        <v>0</v>
      </c>
      <c r="S88" s="101">
        <f t="array" ref="S88">IFERROR(
(AVERAGE((IF(DATOS_[[Sexo]:[Sexo]]=$B88,IF(DATOS_[[AGRUP. CLAS. PROF.]:[AGRUP. CLAS. PROF.]]=$B87,IF(DATOS_[[Check Periodo Ref.]:[Check Periodo Ref.]]="Dentro",IF(DATOS_[[Check Equiparado]:[Check Equiparado]]="Sí",IF(DATOS!AN$5="Sí",(1/DATOS_[[% anualiz]:[% anualiz]]),1)*IF(DATOS!AN$4="Sí",1/DATOS_[[% normaliz]:[% normaliz]],1)*(DATOS_[Conc.Sal.10])))))))),
0)</f>
        <v>0</v>
      </c>
      <c r="T88" s="101">
        <f t="array" ref="T88">IFERROR(
(AVERAGE((IF(DATOS_[[Sexo]:[Sexo]]=$B88,IF(DATOS_[[AGRUP. CLAS. PROF.]:[AGRUP. CLAS. PROF.]]=$B87,IF(DATOS_[[Check Periodo Ref.]:[Check Periodo Ref.]]="Dentro",IF(DATOS_[[Check Equiparado]:[Check Equiparado]]="Sí",IF(DATOS!AO$5="Sí",(1/DATOS_[[% anualiz]:[% anualiz]]),1)*IF(DATOS!AO$4="Sí",1/DATOS_[[% normaliz]:[% normaliz]],1)*(DATOS_[Conc.Sal.11])))))))),
0)</f>
        <v>0</v>
      </c>
      <c r="U88" s="101">
        <f t="array" ref="U88">IFERROR(
(AVERAGE((IF(DATOS_[[Sexo]:[Sexo]]=$B88,IF(DATOS_[[AGRUP. CLAS. PROF.]:[AGRUP. CLAS. PROF.]]=$B87,IF(DATOS_[[Check Periodo Ref.]:[Check Periodo Ref.]]="Dentro",IF(DATOS_[[Check Equiparado]:[Check Equiparado]]="Sí",IF(DATOS!AP$5="Sí",(1/DATOS_[[% anualiz]:[% anualiz]]),1)*IF(DATOS!AP$4="Sí",1/DATOS_[[% normaliz]:[% normaliz]],1)*(DATOS_[Conc.Sal.12])))))))),
0)</f>
        <v>0</v>
      </c>
      <c r="V88" s="101">
        <f t="array" ref="V88">IFERROR(
(AVERAGE((IF(DATOS_[[Sexo]:[Sexo]]=$B88,IF(DATOS_[[AGRUP. CLAS. PROF.]:[AGRUP. CLAS. PROF.]]=$B87,IF(DATOS_[[Check Periodo Ref.]:[Check Periodo Ref.]]="Dentro",IF(DATOS_[[Check Equiparado]:[Check Equiparado]]="Sí",IF(DATOS!AQ$5="Sí",(1/DATOS_[[% anualiz]:[% anualiz]]),1)*IF(DATOS!AQ$4="Sí",1/DATOS_[[% normaliz]:[% normaliz]],1)*(DATOS_[Conc.Sal.13])))))))),
0)</f>
        <v>0</v>
      </c>
      <c r="W88" s="101">
        <f t="array" ref="W88">IFERROR(
(AVERAGE((IF(DATOS_[[Sexo]:[Sexo]]=$B88,IF(DATOS_[[AGRUP. CLAS. PROF.]:[AGRUP. CLAS. PROF.]]=$B87,IF(DATOS_[[Check Periodo Ref.]:[Check Periodo Ref.]]="Dentro",IF(DATOS_[[Check Equiparado]:[Check Equiparado]]="Sí",IF(DATOS!AR$5="Sí",(1/DATOS_[[% anualiz]:[% anualiz]]),1)*IF(DATOS!AR$4="Sí",1/DATOS_[[% normaliz]:[% normaliz]],1)*(DATOS_[Conc.Sal.14])))))))),
0)</f>
        <v>0</v>
      </c>
      <c r="X88" s="101">
        <f t="array" ref="X88">IFERROR(
(AVERAGE((IF(DATOS_[[Sexo]:[Sexo]]=$B88,IF(DATOS_[[AGRUP. CLAS. PROF.]:[AGRUP. CLAS. PROF.]]=$B87,IF(DATOS_[[Check Periodo Ref.]:[Check Periodo Ref.]]="Dentro",IF(DATOS_[[Check Equiparado]:[Check Equiparado]]="Sí",IF(DATOS!AS$5="Sí",(1/DATOS_[[% anualiz]:[% anualiz]]),1)*IF(DATOS!AS$4="Sí",1/DATOS_[[% normaliz]:[% normaliz]],1)*(DATOS_[Conc.Sal.15])))))))),
0)</f>
        <v>0</v>
      </c>
      <c r="Y88" s="101">
        <f t="array" ref="Y88">IFERROR(
(AVERAGE((IF(DATOS_[[Sexo]:[Sexo]]=$B88,IF(DATOS_[[AGRUP. CLAS. PROF.]:[AGRUP. CLAS. PROF.]]=$B87,IF(DATOS_[[Check Periodo Ref.]:[Check Periodo Ref.]]="Dentro",IF(DATOS_[[Check Equiparado]:[Check Equiparado]]="Sí",IF(DATOS!AT$5="Sí",(1/DATOS_[[% anualiz]:[% anualiz]]),1)*IF(DATOS!AT$4="Sí",1/DATOS_[[% normaliz]:[% normaliz]],1)*(DATOS_[Conc.Sal.16])))))))),
0)</f>
        <v>0</v>
      </c>
      <c r="Z88" s="101">
        <f t="array" ref="Z88">IFERROR(
(AVERAGE((IF(DATOS_[[Sexo]:[Sexo]]=$B88,IF(DATOS_[[AGRUP. CLAS. PROF.]:[AGRUP. CLAS. PROF.]]=$B87,IF(DATOS_[[Check Periodo Ref.]:[Check Periodo Ref.]]="Dentro",IF(DATOS_[[Check Equiparado]:[Check Equiparado]]="Sí",IF(DATOS!AU$5="Sí",(1/DATOS_[[% anualiz]:[% anualiz]]),1)*IF(DATOS!AU$4="Sí",1/DATOS_[[% normaliz]:[% normaliz]],1)*(DATOS_[Conc.Sal.17])))))))),
0)</f>
        <v>0</v>
      </c>
      <c r="AA88" s="101">
        <f t="array" ref="AA88">IFERROR(
(AVERAGE((IF(DATOS_[[Sexo]:[Sexo]]=$B88,IF(DATOS_[[AGRUP. CLAS. PROF.]:[AGRUP. CLAS. PROF.]]=$B87,IF(DATOS_[[Check Periodo Ref.]:[Check Periodo Ref.]]="Dentro",IF(DATOS_[[Check Equiparado]:[Check Equiparado]]="Sí",IF(DATOS!AV$5="Sí",(1/DATOS_[[% anualiz]:[% anualiz]]),1)*IF(DATOS!AV$4="Sí",1/DATOS_[[% normaliz]:[% normaliz]],1)*(DATOS_[Conc.Sal.18])))))))),
0)</f>
        <v>0</v>
      </c>
      <c r="AB88" s="101">
        <f t="array" ref="AB88">IFERROR(
(AVERAGE((IF(DATOS_[[Sexo]:[Sexo]]=$B88,IF(DATOS_[[AGRUP. CLAS. PROF.]:[AGRUP. CLAS. PROF.]]=$B87,IF(DATOS_[[Check Periodo Ref.]:[Check Periodo Ref.]]="Dentro",IF(DATOS_[[Check Equiparado]:[Check Equiparado]]="Sí",IF(DATOS!AW$5="Sí",(1/DATOS_[[% anualiz]:[% anualiz]]),1)*IF(DATOS!AW$4="Sí",1/DATOS_[[% normaliz]:[% normaliz]],1)*(DATOS_[Conc.Sal.19])))))))),
0)</f>
        <v>0</v>
      </c>
      <c r="AC88" s="101">
        <f t="array" ref="AC88">IFERROR(
(AVERAGE((IF(DATOS_[[Sexo]:[Sexo]]=$B88,IF(DATOS_[[AGRUP. CLAS. PROF.]:[AGRUP. CLAS. PROF.]]=$B87,IF(DATOS_[[Check Periodo Ref.]:[Check Periodo Ref.]]="Dentro",IF(DATOS_[[Check Equiparado]:[Check Equiparado]]="Sí",IF(DATOS!AX$5="Sí",(1/DATOS_[[% anualiz]:[% anualiz]]),1)*IF(DATOS!AX$4="Sí",1/DATOS_[[% normaliz]:[% normaliz]],1)*(DATOS_[Conc.Sal.20])))))))),
0)</f>
        <v>0</v>
      </c>
      <c r="AD88" s="101">
        <f t="array" ref="AD88">IFERROR(
(AVERAGE((IF(DATOS_[[Sexo]:[Sexo]]=$B88,IF(DATOS_[[AGRUP. CLAS. PROF.]:[AGRUP. CLAS. PROF.]]=$B87,IF(DATOS_[[Check Periodo Ref.]:[Check Periodo Ref.]]="Dentro",IF(DATOS_[[Check Equiparado]:[Check Equiparado]]="Sí",IF(DATOS!AY$5="Sí",(1/DATOS_[[% anualiz]:[% anualiz]]),1)*IF(DATOS!AY$4="Sí",1/DATOS_[[% normaliz]:[% normaliz]],1)*(DATOS_[Conc.Sal.21])))))))),
0)</f>
        <v>0</v>
      </c>
      <c r="AE88" s="101">
        <f t="array" ref="AE88">IFERROR(
(AVERAGE((IF(DATOS_[[Sexo]:[Sexo]]=$B88,IF(DATOS_[[AGRUP. CLAS. PROF.]:[AGRUP. CLAS. PROF.]]=$B87,IF(DATOS_[[Check Periodo Ref.]:[Check Periodo Ref.]]="Dentro",IF(DATOS_[[Check Equiparado]:[Check Equiparado]]="Sí",IF(DATOS!AZ$5="Sí",(1/DATOS_[[% anualiz]:[% anualiz]]),1)*IF(DATOS!AZ$4="Sí",1/DATOS_[[% normaliz]:[% normaliz]],1)*(DATOS_[Conc.Sal.22])))))))),
0)</f>
        <v>0</v>
      </c>
      <c r="AF88" s="101">
        <f t="array" ref="AF88">IFERROR(
(AVERAGE((IF(DATOS_[[Sexo]:[Sexo]]=$B88,IF(DATOS_[[AGRUP. CLAS. PROF.]:[AGRUP. CLAS. PROF.]]=$B87,IF(DATOS_[[Check Periodo Ref.]:[Check Periodo Ref.]]="Dentro",IF(DATOS_[[Check Equiparado]:[Check Equiparado]]="Sí",IF(DATOS!BA$5="Sí",(1/DATOS_[[% anualiz]:[% anualiz]]),1)*IF(DATOS!BA$4="Sí",1/DATOS_[[% normaliz]:[% normaliz]],1)*(DATOS_[Conc.Sal.23])))))))),
0)</f>
        <v>0</v>
      </c>
      <c r="AG88" s="101">
        <f t="array" ref="AG88">IFERROR(
(AVERAGE((IF(DATOS_[[Sexo]:[Sexo]]=$B88,IF(DATOS_[[AGRUP. CLAS. PROF.]:[AGRUP. CLAS. PROF.]]=$B87,IF(DATOS_[[Check Periodo Ref.]:[Check Periodo Ref.]]="Dentro",IF(DATOS_[[Check Equiparado]:[Check Equiparado]]="Sí",IF(DATOS!BB$5="Sí",(1/DATOS_[[% anualiz]:[% anualiz]]),1)*IF(DATOS!BB$4="Sí",1/DATOS_[[% normaliz]:[% normaliz]],1)*(DATOS_[Conc.Sal.24])))))))),
0)</f>
        <v>0</v>
      </c>
      <c r="AH88" s="101">
        <f t="array" ref="AH88">IFERROR(
(AVERAGE((IF(DATOS_[[Sexo]:[Sexo]]=$B88,IF(DATOS_[[AGRUP. CLAS. PROF.]:[AGRUP. CLAS. PROF.]]=$B87,IF(DATOS_[[Check Periodo Ref.]:[Check Periodo Ref.]]="Dentro",IF(DATOS_[[Check Equiparado]:[Check Equiparado]]="Sí",IF(DATOS!BC$5="Sí",(1/DATOS_[[% anualiz]:[% anualiz]]),1)*IF(DATOS!BC$4="Sí",1/DATOS_[[% normaliz]:[% normaliz]],1)*(DATOS_[Conc.Sal.25])))))))),
0)</f>
        <v>0</v>
      </c>
      <c r="AI88" s="101">
        <f t="array" ref="AI88">IFERROR(
(AVERAGE((IF(DATOS_[[Sexo]:[Sexo]]=$B88,IF(DATOS_[[AGRUP. CLAS. PROF.]:[AGRUP. CLAS. PROF.]]=$B87,IF(DATOS_[[Check Periodo Ref.]:[Check Periodo Ref.]]="Dentro",IF(DATOS_[[Check Equiparado]:[Check Equiparado]]="Sí",IF(DATOS!BD$5="Sí",(1/DATOS_[[% anualiz]:[% anualiz]]),1)*IF(DATOS!BD$4="Sí",1/DATOS_[[% normaliz]:[% normaliz]],1)*(DATOS_[Conc.Sal.26])))))))),
0)</f>
        <v>0</v>
      </c>
      <c r="AJ88" s="101">
        <f t="array" ref="AJ88">IFERROR(
(AVERAGE((IF(DATOS_[[Sexo]:[Sexo]]=$B88,IF(DATOS_[[AGRUP. CLAS. PROF.]:[AGRUP. CLAS. PROF.]]=$B87,IF(DATOS_[[Check Periodo Ref.]:[Check Periodo Ref.]]="Dentro",IF(DATOS_[[Check Equiparado]:[Check Equiparado]]="Sí",IF(DATOS!BE$5="Sí",(1/DATOS_[[% anualiz]:[% anualiz]]),1)*IF(DATOS!BE$4="Sí",1/DATOS_[[% normaliz]:[% normaliz]],1)*(DATOS_[Conc.Sal.27])))))))),
0)</f>
        <v>0</v>
      </c>
      <c r="AK88" s="101">
        <f t="array" ref="AK88">IFERROR(
(AVERAGE((IF(DATOS_[[Sexo]:[Sexo]]=$B88,IF(DATOS_[[AGRUP. CLAS. PROF.]:[AGRUP. CLAS. PROF.]]=$B87,IF(DATOS_[[Check Periodo Ref.]:[Check Periodo Ref.]]="Dentro",IF(DATOS_[[Check Equiparado]:[Check Equiparado]]="Sí",IF(DATOS!BF$5="Sí",(1/DATOS_[[% anualiz]:[% anualiz]]),1)*IF(DATOS!BF$4="Sí",1/DATOS_[[% normaliz]:[% normaliz]],1)*(DATOS_[Conc.Sal.28])))))))),
0)</f>
        <v>0</v>
      </c>
      <c r="AL88" s="101">
        <f t="array" ref="AL88">IFERROR(
(AVERAGE((IF(DATOS_[[Sexo]:[Sexo]]=$B88,IF(DATOS_[[AGRUP. CLAS. PROF.]:[AGRUP. CLAS. PROF.]]=$B87,IF(DATOS_[[Check Periodo Ref.]:[Check Periodo Ref.]]="Dentro",IF(DATOS_[[Check Equiparado]:[Check Equiparado]]="Sí",IF(DATOS!BG$5="Sí",(1/DATOS_[[% anualiz]:[% anualiz]]),1)*IF(DATOS!BG$4="Sí",1/DATOS_[[% normaliz]:[% normaliz]],1)*(DATOS_[Conc.Sal.29])))))))),
0)</f>
        <v>0</v>
      </c>
      <c r="AM88" s="101">
        <f t="array" ref="AM88">IFERROR(
(AVERAGE((IF(DATOS_[[Sexo]:[Sexo]]=$B88,IF(DATOS_[[AGRUP. CLAS. PROF.]:[AGRUP. CLAS. PROF.]]=$B87,IF(DATOS_[[Check Periodo Ref.]:[Check Periodo Ref.]]="Dentro",IF(DATOS_[[Check Equiparado]:[Check Equiparado]]="Sí",IF(DATOS!BH$5="Sí",(1/DATOS_[[% anualiz]:[% anualiz]]),1)*IF(DATOS!BH$4="Sí",1/DATOS_[[% normaliz]:[% normaliz]],1)*(DATOS_[Conc.Sal.30])))))))),
0)</f>
        <v>0</v>
      </c>
      <c r="AN88" s="102">
        <f t="array" ref="AN88">IFERROR(
AVERAGE(IF(DATOS_[Sexo]=$B88,IF(DATOS_[[AGRUP. CLAS. PROF.]:[AGRUP. CLAS. PROF.]]=$B87,IF(DATOS_[Check Equiparado]="Sí",IF(DATOS_[Check Periodo Ref.]="Dentro",DATOS_[Tot COMPL.SAL Eq],FALSE))))),
0)</f>
        <v>0</v>
      </c>
      <c r="AO88" s="103">
        <f t="array" ref="AO88">IFERROR(
AVERAGE(IF(DATOS_[Sexo]=$B88,IF(DATOS_[[AGRUP. CLAS. PROF.]:[AGRUP. CLAS. PROF.]]=$B87,IF(DATOS_[Check Equiparado]="Sí",IF(DATOS_[Check Periodo Ref.]="Dentro",DATOS_[TOTAL SALARIO Eq],FALSE))))),
0)</f>
        <v>0</v>
      </c>
      <c r="AP88" s="104">
        <f t="array" ref="AP88">IFERROR(
(AVERAGE((IF(DATOS_[[Sexo]:[Sexo]]=$B88,IF(DATOS_[[AGRUP. CLAS. PROF.]:[AGRUP. CLAS. PROF.]]=$B87,IF(DATOS_[[Check Periodo Ref.]:[Check Periodo Ref.]]="Dentro",IF(DATOS_[[Check Equiparado]:[Check Equiparado]]="Sí",IF(DATOS!BI$5="Sí",(1/DATOS_[[% anualiz]:[% anualiz]]),1)*IF(DATOS!BI$4="Sí",1/DATOS_[[% normaliz]:[% normaliz]],1)*(DATOS_[C.Extra.01])))))))),
0)</f>
        <v>0</v>
      </c>
      <c r="AQ88" s="104">
        <f t="array" ref="AQ88">IFERROR(
(AVERAGE((IF(DATOS_[[Sexo]:[Sexo]]=$B88,IF(DATOS_[[AGRUP. CLAS. PROF.]:[AGRUP. CLAS. PROF.]]=$B87,IF(DATOS_[[Check Periodo Ref.]:[Check Periodo Ref.]]="Dentro",IF(DATOS_[[Check Equiparado]:[Check Equiparado]]="Sí",IF(DATOS!BJ$5="Sí",(1/DATOS_[[% anualiz]:[% anualiz]]),1)*IF(DATOS!BJ$4="Sí",1/DATOS_[[% normaliz]:[% normaliz]],1)*(DATOS_[C.Extra.02])))))))),
0)</f>
        <v>0</v>
      </c>
      <c r="AR88" s="104">
        <f t="array" ref="AR88">IFERROR(
(AVERAGE((IF(DATOS_[[Sexo]:[Sexo]]=$B88,IF(DATOS_[[AGRUP. CLAS. PROF.]:[AGRUP. CLAS. PROF.]]=$B87,IF(DATOS_[[Check Periodo Ref.]:[Check Periodo Ref.]]="Dentro",IF(DATOS_[[Check Equiparado]:[Check Equiparado]]="Sí",IF(DATOS!BK$5="Sí",(1/DATOS_[[% anualiz]:[% anualiz]]),1)*IF(DATOS!BK$4="Sí",1/DATOS_[[% normaliz]:[% normaliz]],1)*(DATOS_[C.Extra.03])))))))),
0)</f>
        <v>0</v>
      </c>
      <c r="AS88" s="104">
        <f t="array" ref="AS88">IFERROR(
(AVERAGE((IF(DATOS_[[Sexo]:[Sexo]]=$B88,IF(DATOS_[[AGRUP. CLAS. PROF.]:[AGRUP. CLAS. PROF.]]=$B87,IF(DATOS_[[Check Periodo Ref.]:[Check Periodo Ref.]]="Dentro",IF(DATOS_[[Check Equiparado]:[Check Equiparado]]="Sí",IF(DATOS!BL$5="Sí",(1/DATOS_[[% anualiz]:[% anualiz]]),1)*IF(DATOS!BL$4="Sí",1/DATOS_[[% normaliz]:[% normaliz]],1)*(DATOS_[C.Extra.04])))))))),
0)</f>
        <v>0</v>
      </c>
      <c r="AT88" s="104">
        <f t="array" ref="AT88">IFERROR(
(AVERAGE((IF(DATOS_[[Sexo]:[Sexo]]=$B88,IF(DATOS_[[AGRUP. CLAS. PROF.]:[AGRUP. CLAS. PROF.]]=$B87,IF(DATOS_[[Check Periodo Ref.]:[Check Periodo Ref.]]="Dentro",IF(DATOS_[[Check Equiparado]:[Check Equiparado]]="Sí",IF(DATOS!BM$5="Sí",(1/DATOS_[[% anualiz]:[% anualiz]]),1)*IF(DATOS!BM$4="Sí",1/DATOS_[[% normaliz]:[% normaliz]],1)*(DATOS_[C.Extra.05])))))))),
0)</f>
        <v>0</v>
      </c>
      <c r="AU88" s="105">
        <f t="array" ref="AU88">IFERROR(
AVERAGE(IF(DATOS_[Sexo]=$B88,IF(DATOS_[[AGRUP. CLAS. PROF.]:[AGRUP. CLAS. PROF.]]=$B87,IF(DATOS_[Check Equiparado]="Sí",IF(DATOS_[Check Periodo Ref.]="Dentro",DATOS_[Tot Extrasalarial Eq],FALSE))))),
0)</f>
        <v>0</v>
      </c>
      <c r="AV88" s="106">
        <f t="array" ref="AV88">IFERROR(
AVERAGE(IF(DATOS_[Sexo]=$B88,IF(DATOS_[[AGRUP. CLAS. PROF.]:[AGRUP. CLAS. PROF.]]=$B87,IF(DATOS_[Check Equiparado]="Sí",IF(DATOS_[Check Periodo Ref.]="Dentro",DATOS_[TOTAL Retrib Eq],FALSE))))),
0)</f>
        <v>0</v>
      </c>
    </row>
    <row r="89" spans="1:48" hidden="1" x14ac:dyDescent="0.3">
      <c r="A89" s="53" t="str">
        <f t="shared" ref="A89" si="102">+A88</f>
        <v>[ocultar]</v>
      </c>
      <c r="B89" s="57" t="s">
        <v>163</v>
      </c>
      <c r="C89" s="56">
        <f t="array" ref="C89">SUM(IF($B89=DATOS_[Sexo],
IF($B87=DATOS_[AGRUP. CLAS. PROF.],
IF("Dentro"=DATOS_[Check Periodo Ref.],
1/(COUNTIFS(DATOS_[Sexo],$B89,DATOS_[AGRUP. CLAS. PROF.],$B87,DATOS_[Check Periodo Ref.],"Dentro",DATOS_[id],DATOS_[id]))))))</f>
        <v>0</v>
      </c>
      <c r="D89" s="58">
        <f>COUNTIFS(DATOS_[AGRUP. CLAS. PROF.],$B87,DATOS_[Sexo],$B89,DATOS_[Check Periodo Ref.],"Dentro")</f>
        <v>0</v>
      </c>
      <c r="E89" s="58">
        <f>COUNTIFS(DATOS_[AGRUP. CLAS. PROF.],$B87,DATOS_[Sexo],$B89,DATOS_[Check Periodo Ref.],"Dentro",DATOS_[Check Nº SC Norm],"Sí")</f>
        <v>0</v>
      </c>
      <c r="F89" s="58">
        <f>COUNTIFS(DATOS_[AGRUP. CLAS. PROF.],$B87,DATOS_[Sexo],$B89,DATOS_[Check Periodo Ref.],"Dentro",DATOS_[Check Nº SC Anualiz],"Sí")</f>
        <v>0</v>
      </c>
      <c r="G89" s="58">
        <f>COUNTIFS(DATOS_[AGRUP. CLAS. PROF.],$B87,DATOS_[Sexo],$B89,DATOS_[Check Periodo Ref.],"Dentro",DATOS_[Check Nº SC Norm y Anualiz],"Sí")</f>
        <v>0</v>
      </c>
      <c r="H89" s="58">
        <f>COUNTIFS(DATOS_[AGRUP. CLAS. PROF.],$B87,DATOS_[Sexo],$B89,DATOS_[Check Periodo Ref.],"Dentro",DATOS_[Check Equiparación],"Sí")</f>
        <v>0</v>
      </c>
      <c r="I89" s="100" cm="1">
        <f t="array" ref="I89">IFERROR(
AVERAGE(IF(DATOS_[Sexo]=$B89,IF(DATOS_[[AGRUP. CLAS. PROF.]:[AGRUP. CLAS. PROF.]]=$B87,IF(DATOS_[Check Equiparado]="Sí",IF(DATOS_[Check Periodo Ref.]="Dentro",DATOS_[SALARIO BASE Eq],FALSE))))),
0)</f>
        <v>0</v>
      </c>
      <c r="J89" s="101">
        <f t="array" ref="J89">IFERROR(
(AVERAGE((IF(DATOS_[[Sexo]:[Sexo]]=$B89,IF(DATOS_[[AGRUP. CLAS. PROF.]:[AGRUP. CLAS. PROF.]]=$B87,IF(DATOS_[[Check Periodo Ref.]:[Check Periodo Ref.]]="Dentro",IF(DATOS_[[Check Equiparado]:[Check Equiparado]]="Sí",IF(DATOS!AE$5="Sí",(1/DATOS_[[% anualiz]:[% anualiz]]),1)*IF(DATOS!AE$4="Sí",1/DATOS_[[% normaliz]:[% normaliz]],1)*(DATOS_[Conc.Sal.01])))))))),
0)</f>
        <v>0</v>
      </c>
      <c r="K89" s="101">
        <f t="array" ref="K89">IFERROR(
(AVERAGE((IF(DATOS_[[Sexo]:[Sexo]]=$B89,IF(DATOS_[[AGRUP. CLAS. PROF.]:[AGRUP. CLAS. PROF.]]=$B87,IF(DATOS_[[Check Periodo Ref.]:[Check Periodo Ref.]]="Dentro",IF(DATOS_[[Check Equiparado]:[Check Equiparado]]="Sí",IF(DATOS!AF$5="Sí",(1/DATOS_[[% anualiz]:[% anualiz]]),1)*IF(DATOS!AF$4="Sí",1/DATOS_[[% normaliz]:[% normaliz]],1)*(DATOS_[Conc.Sal.02])))))))),
0)</f>
        <v>0</v>
      </c>
      <c r="L89" s="101">
        <f t="array" ref="L89">IFERROR(
(AVERAGE((IF(DATOS_[[Sexo]:[Sexo]]=$B89,IF(DATOS_[[AGRUP. CLAS. PROF.]:[AGRUP. CLAS. PROF.]]=$B87,IF(DATOS_[[Check Periodo Ref.]:[Check Periodo Ref.]]="Dentro",IF(DATOS_[[Check Equiparado]:[Check Equiparado]]="Sí",IF(DATOS!AG$5="Sí",(1/DATOS_[[% anualiz]:[% anualiz]]),1)*IF(DATOS!AG$4="Sí",1/DATOS_[[% normaliz]:[% normaliz]],1)*(DATOS_[Conc.Sal.03])))))))),
0)</f>
        <v>0</v>
      </c>
      <c r="M89" s="101">
        <f t="array" ref="M89">IFERROR(
(AVERAGE((IF(DATOS_[[Sexo]:[Sexo]]=$B89,IF(DATOS_[[AGRUP. CLAS. PROF.]:[AGRUP. CLAS. PROF.]]=$B87,IF(DATOS_[[Check Periodo Ref.]:[Check Periodo Ref.]]="Dentro",IF(DATOS_[[Check Equiparado]:[Check Equiparado]]="Sí",IF(DATOS!AH$5="Sí",(1/DATOS_[[% anualiz]:[% anualiz]]),1)*IF(DATOS!AH$4="Sí",1/DATOS_[[% normaliz]:[% normaliz]],1)*(DATOS_[Conc.Sal.04])))))))),
0)</f>
        <v>0</v>
      </c>
      <c r="N89" s="101">
        <f t="array" ref="N89">IFERROR(
(AVERAGE((IF(DATOS_[[Sexo]:[Sexo]]=$B89,IF(DATOS_[[AGRUP. CLAS. PROF.]:[AGRUP. CLAS. PROF.]]=$B87,IF(DATOS_[[Check Periodo Ref.]:[Check Periodo Ref.]]="Dentro",IF(DATOS_[[Check Equiparado]:[Check Equiparado]]="Sí",IF(DATOS!AI$5="Sí",(1/DATOS_[[% anualiz]:[% anualiz]]),1)*IF(DATOS!AI$4="Sí",1/DATOS_[[% normaliz]:[% normaliz]],1)*(DATOS_[Conc.Sal.05])))))))),
0)</f>
        <v>0</v>
      </c>
      <c r="O89" s="101">
        <f t="array" ref="O89">IFERROR(
(AVERAGE((IF(DATOS_[[Sexo]:[Sexo]]=$B89,IF(DATOS_[[AGRUP. CLAS. PROF.]:[AGRUP. CLAS. PROF.]]=$B87,IF(DATOS_[[Check Periodo Ref.]:[Check Periodo Ref.]]="Dentro",IF(DATOS_[[Check Equiparado]:[Check Equiparado]]="Sí",IF(DATOS!AJ$5="Sí",(1/DATOS_[[% anualiz]:[% anualiz]]),1)*IF(DATOS!AJ$4="Sí",1/DATOS_[[% normaliz]:[% normaliz]],1)*(DATOS_[Conc.Sal.06])))))))),
0)</f>
        <v>0</v>
      </c>
      <c r="P89" s="101">
        <f t="array" ref="P89">IFERROR(
(AVERAGE((IF(DATOS_[[Sexo]:[Sexo]]=$B89,IF(DATOS_[[AGRUP. CLAS. PROF.]:[AGRUP. CLAS. PROF.]]=$B87,IF(DATOS_[[Check Periodo Ref.]:[Check Periodo Ref.]]="Dentro",IF(DATOS_[[Check Equiparado]:[Check Equiparado]]="Sí",IF(DATOS!AK$5="Sí",(1/DATOS_[[% anualiz]:[% anualiz]]),1)*IF(DATOS!AK$4="Sí",1/DATOS_[[% normaliz]:[% normaliz]],1)*(DATOS_[Conc.Sal.07])))))))),
0)</f>
        <v>0</v>
      </c>
      <c r="Q89" s="101">
        <f t="array" ref="Q89">IFERROR(
(AVERAGE((IF(DATOS_[[Sexo]:[Sexo]]=$B89,IF(DATOS_[[AGRUP. CLAS. PROF.]:[AGRUP. CLAS. PROF.]]=$B87,IF(DATOS_[[Check Periodo Ref.]:[Check Periodo Ref.]]="Dentro",IF(DATOS_[[Check Equiparado]:[Check Equiparado]]="Sí",IF(DATOS!AL$5="Sí",(1/DATOS_[[% anualiz]:[% anualiz]]),1)*IF(DATOS!AL$4="Sí",1/DATOS_[[% normaliz]:[% normaliz]],1)*(DATOS_[Conc.Sal.08])))))))),
0)</f>
        <v>0</v>
      </c>
      <c r="R89" s="101">
        <f t="array" ref="R89">IFERROR(
(AVERAGE((IF(DATOS_[[Sexo]:[Sexo]]=$B89,IF(DATOS_[[AGRUP. CLAS. PROF.]:[AGRUP. CLAS. PROF.]]=$B87,IF(DATOS_[[Check Periodo Ref.]:[Check Periodo Ref.]]="Dentro",IF(DATOS_[[Check Equiparado]:[Check Equiparado]]="Sí",IF(DATOS!AM$5="Sí",(1/DATOS_[[% anualiz]:[% anualiz]]),1)*IF(DATOS!AM$4="Sí",1/DATOS_[[% normaliz]:[% normaliz]],1)*(DATOS_[Conc.Sal.09])))))))),
0)</f>
        <v>0</v>
      </c>
      <c r="S89" s="101">
        <f t="array" ref="S89">IFERROR(
(AVERAGE((IF(DATOS_[[Sexo]:[Sexo]]=$B89,IF(DATOS_[[AGRUP. CLAS. PROF.]:[AGRUP. CLAS. PROF.]]=$B87,IF(DATOS_[[Check Periodo Ref.]:[Check Periodo Ref.]]="Dentro",IF(DATOS_[[Check Equiparado]:[Check Equiparado]]="Sí",IF(DATOS!AN$5="Sí",(1/DATOS_[[% anualiz]:[% anualiz]]),1)*IF(DATOS!AN$4="Sí",1/DATOS_[[% normaliz]:[% normaliz]],1)*(DATOS_[Conc.Sal.10])))))))),
0)</f>
        <v>0</v>
      </c>
      <c r="T89" s="101">
        <f t="array" ref="T89">IFERROR(
(AVERAGE((IF(DATOS_[[Sexo]:[Sexo]]=$B89,IF(DATOS_[[AGRUP. CLAS. PROF.]:[AGRUP. CLAS. PROF.]]=$B87,IF(DATOS_[[Check Periodo Ref.]:[Check Periodo Ref.]]="Dentro",IF(DATOS_[[Check Equiparado]:[Check Equiparado]]="Sí",IF(DATOS!AO$5="Sí",(1/DATOS_[[% anualiz]:[% anualiz]]),1)*IF(DATOS!AO$4="Sí",1/DATOS_[[% normaliz]:[% normaliz]],1)*(DATOS_[Conc.Sal.11])))))))),
0)</f>
        <v>0</v>
      </c>
      <c r="U89" s="101">
        <f t="array" ref="U89">IFERROR(
(AVERAGE((IF(DATOS_[[Sexo]:[Sexo]]=$B89,IF(DATOS_[[AGRUP. CLAS. PROF.]:[AGRUP. CLAS. PROF.]]=$B87,IF(DATOS_[[Check Periodo Ref.]:[Check Periodo Ref.]]="Dentro",IF(DATOS_[[Check Equiparado]:[Check Equiparado]]="Sí",IF(DATOS!AP$5="Sí",(1/DATOS_[[% anualiz]:[% anualiz]]),1)*IF(DATOS!AP$4="Sí",1/DATOS_[[% normaliz]:[% normaliz]],1)*(DATOS_[Conc.Sal.12])))))))),
0)</f>
        <v>0</v>
      </c>
      <c r="V89" s="101">
        <f t="array" ref="V89">IFERROR(
(AVERAGE((IF(DATOS_[[Sexo]:[Sexo]]=$B89,IF(DATOS_[[AGRUP. CLAS. PROF.]:[AGRUP. CLAS. PROF.]]=$B87,IF(DATOS_[[Check Periodo Ref.]:[Check Periodo Ref.]]="Dentro",IF(DATOS_[[Check Equiparado]:[Check Equiparado]]="Sí",IF(DATOS!AQ$5="Sí",(1/DATOS_[[% anualiz]:[% anualiz]]),1)*IF(DATOS!AQ$4="Sí",1/DATOS_[[% normaliz]:[% normaliz]],1)*(DATOS_[Conc.Sal.13])))))))),
0)</f>
        <v>0</v>
      </c>
      <c r="W89" s="101">
        <f t="array" ref="W89">IFERROR(
(AVERAGE((IF(DATOS_[[Sexo]:[Sexo]]=$B89,IF(DATOS_[[AGRUP. CLAS. PROF.]:[AGRUP. CLAS. PROF.]]=$B87,IF(DATOS_[[Check Periodo Ref.]:[Check Periodo Ref.]]="Dentro",IF(DATOS_[[Check Equiparado]:[Check Equiparado]]="Sí",IF(DATOS!AR$5="Sí",(1/DATOS_[[% anualiz]:[% anualiz]]),1)*IF(DATOS!AR$4="Sí",1/DATOS_[[% normaliz]:[% normaliz]],1)*(DATOS_[Conc.Sal.14])))))))),
0)</f>
        <v>0</v>
      </c>
      <c r="X89" s="101">
        <f t="array" ref="X89">IFERROR(
(AVERAGE((IF(DATOS_[[Sexo]:[Sexo]]=$B89,IF(DATOS_[[AGRUP. CLAS. PROF.]:[AGRUP. CLAS. PROF.]]=$B87,IF(DATOS_[[Check Periodo Ref.]:[Check Periodo Ref.]]="Dentro",IF(DATOS_[[Check Equiparado]:[Check Equiparado]]="Sí",IF(DATOS!AS$5="Sí",(1/DATOS_[[% anualiz]:[% anualiz]]),1)*IF(DATOS!AS$4="Sí",1/DATOS_[[% normaliz]:[% normaliz]],1)*(DATOS_[Conc.Sal.15])))))))),
0)</f>
        <v>0</v>
      </c>
      <c r="Y89" s="101">
        <f t="array" ref="Y89">IFERROR(
(AVERAGE((IF(DATOS_[[Sexo]:[Sexo]]=$B89,IF(DATOS_[[AGRUP. CLAS. PROF.]:[AGRUP. CLAS. PROF.]]=$B87,IF(DATOS_[[Check Periodo Ref.]:[Check Periodo Ref.]]="Dentro",IF(DATOS_[[Check Equiparado]:[Check Equiparado]]="Sí",IF(DATOS!AT$5="Sí",(1/DATOS_[[% anualiz]:[% anualiz]]),1)*IF(DATOS!AT$4="Sí",1/DATOS_[[% normaliz]:[% normaliz]],1)*(DATOS_[Conc.Sal.16])))))))),
0)</f>
        <v>0</v>
      </c>
      <c r="Z89" s="101">
        <f t="array" ref="Z89">IFERROR(
(AVERAGE((IF(DATOS_[[Sexo]:[Sexo]]=$B89,IF(DATOS_[[AGRUP. CLAS. PROF.]:[AGRUP. CLAS. PROF.]]=$B87,IF(DATOS_[[Check Periodo Ref.]:[Check Periodo Ref.]]="Dentro",IF(DATOS_[[Check Equiparado]:[Check Equiparado]]="Sí",IF(DATOS!AU$5="Sí",(1/DATOS_[[% anualiz]:[% anualiz]]),1)*IF(DATOS!AU$4="Sí",1/DATOS_[[% normaliz]:[% normaliz]],1)*(DATOS_[Conc.Sal.17])))))))),
0)</f>
        <v>0</v>
      </c>
      <c r="AA89" s="101">
        <f t="array" ref="AA89">IFERROR(
(AVERAGE((IF(DATOS_[[Sexo]:[Sexo]]=$B89,IF(DATOS_[[AGRUP. CLAS. PROF.]:[AGRUP. CLAS. PROF.]]=$B87,IF(DATOS_[[Check Periodo Ref.]:[Check Periodo Ref.]]="Dentro",IF(DATOS_[[Check Equiparado]:[Check Equiparado]]="Sí",IF(DATOS!AV$5="Sí",(1/DATOS_[[% anualiz]:[% anualiz]]),1)*IF(DATOS!AV$4="Sí",1/DATOS_[[% normaliz]:[% normaliz]],1)*(DATOS_[Conc.Sal.18])))))))),
0)</f>
        <v>0</v>
      </c>
      <c r="AB89" s="101">
        <f t="array" ref="AB89">IFERROR(
(AVERAGE((IF(DATOS_[[Sexo]:[Sexo]]=$B89,IF(DATOS_[[AGRUP. CLAS. PROF.]:[AGRUP. CLAS. PROF.]]=$B87,IF(DATOS_[[Check Periodo Ref.]:[Check Periodo Ref.]]="Dentro",IF(DATOS_[[Check Equiparado]:[Check Equiparado]]="Sí",IF(DATOS!AW$5="Sí",(1/DATOS_[[% anualiz]:[% anualiz]]),1)*IF(DATOS!AW$4="Sí",1/DATOS_[[% normaliz]:[% normaliz]],1)*(DATOS_[Conc.Sal.19])))))))),
0)</f>
        <v>0</v>
      </c>
      <c r="AC89" s="101">
        <f t="array" ref="AC89">IFERROR(
(AVERAGE((IF(DATOS_[[Sexo]:[Sexo]]=$B89,IF(DATOS_[[AGRUP. CLAS. PROF.]:[AGRUP. CLAS. PROF.]]=$B87,IF(DATOS_[[Check Periodo Ref.]:[Check Periodo Ref.]]="Dentro",IF(DATOS_[[Check Equiparado]:[Check Equiparado]]="Sí",IF(DATOS!AX$5="Sí",(1/DATOS_[[% anualiz]:[% anualiz]]),1)*IF(DATOS!AX$4="Sí",1/DATOS_[[% normaliz]:[% normaliz]],1)*(DATOS_[Conc.Sal.20])))))))),
0)</f>
        <v>0</v>
      </c>
      <c r="AD89" s="101">
        <f t="array" ref="AD89">IFERROR(
(AVERAGE((IF(DATOS_[[Sexo]:[Sexo]]=$B89,IF(DATOS_[[AGRUP. CLAS. PROF.]:[AGRUP. CLAS. PROF.]]=$B87,IF(DATOS_[[Check Periodo Ref.]:[Check Periodo Ref.]]="Dentro",IF(DATOS_[[Check Equiparado]:[Check Equiparado]]="Sí",IF(DATOS!AY$5="Sí",(1/DATOS_[[% anualiz]:[% anualiz]]),1)*IF(DATOS!AY$4="Sí",1/DATOS_[[% normaliz]:[% normaliz]],1)*(DATOS_[Conc.Sal.21])))))))),
0)</f>
        <v>0</v>
      </c>
      <c r="AE89" s="101">
        <f t="array" ref="AE89">IFERROR(
(AVERAGE((IF(DATOS_[[Sexo]:[Sexo]]=$B89,IF(DATOS_[[AGRUP. CLAS. PROF.]:[AGRUP. CLAS. PROF.]]=$B87,IF(DATOS_[[Check Periodo Ref.]:[Check Periodo Ref.]]="Dentro",IF(DATOS_[[Check Equiparado]:[Check Equiparado]]="Sí",IF(DATOS!AZ$5="Sí",(1/DATOS_[[% anualiz]:[% anualiz]]),1)*IF(DATOS!AZ$4="Sí",1/DATOS_[[% normaliz]:[% normaliz]],1)*(DATOS_[Conc.Sal.22])))))))),
0)</f>
        <v>0</v>
      </c>
      <c r="AF89" s="101">
        <f t="array" ref="AF89">IFERROR(
(AVERAGE((IF(DATOS_[[Sexo]:[Sexo]]=$B89,IF(DATOS_[[AGRUP. CLAS. PROF.]:[AGRUP. CLAS. PROF.]]=$B87,IF(DATOS_[[Check Periodo Ref.]:[Check Periodo Ref.]]="Dentro",IF(DATOS_[[Check Equiparado]:[Check Equiparado]]="Sí",IF(DATOS!BA$5="Sí",(1/DATOS_[[% anualiz]:[% anualiz]]),1)*IF(DATOS!BA$4="Sí",1/DATOS_[[% normaliz]:[% normaliz]],1)*(DATOS_[Conc.Sal.23])))))))),
0)</f>
        <v>0</v>
      </c>
      <c r="AG89" s="101">
        <f t="array" ref="AG89">IFERROR(
(AVERAGE((IF(DATOS_[[Sexo]:[Sexo]]=$B89,IF(DATOS_[[AGRUP. CLAS. PROF.]:[AGRUP. CLAS. PROF.]]=$B87,IF(DATOS_[[Check Periodo Ref.]:[Check Periodo Ref.]]="Dentro",IF(DATOS_[[Check Equiparado]:[Check Equiparado]]="Sí",IF(DATOS!BB$5="Sí",(1/DATOS_[[% anualiz]:[% anualiz]]),1)*IF(DATOS!BB$4="Sí",1/DATOS_[[% normaliz]:[% normaliz]],1)*(DATOS_[Conc.Sal.24])))))))),
0)</f>
        <v>0</v>
      </c>
      <c r="AH89" s="101">
        <f t="array" ref="AH89">IFERROR(
(AVERAGE((IF(DATOS_[[Sexo]:[Sexo]]=$B89,IF(DATOS_[[AGRUP. CLAS. PROF.]:[AGRUP. CLAS. PROF.]]=$B87,IF(DATOS_[[Check Periodo Ref.]:[Check Periodo Ref.]]="Dentro",IF(DATOS_[[Check Equiparado]:[Check Equiparado]]="Sí",IF(DATOS!BC$5="Sí",(1/DATOS_[[% anualiz]:[% anualiz]]),1)*IF(DATOS!BC$4="Sí",1/DATOS_[[% normaliz]:[% normaliz]],1)*(DATOS_[Conc.Sal.25])))))))),
0)</f>
        <v>0</v>
      </c>
      <c r="AI89" s="101">
        <f t="array" ref="AI89">IFERROR(
(AVERAGE((IF(DATOS_[[Sexo]:[Sexo]]=$B89,IF(DATOS_[[AGRUP. CLAS. PROF.]:[AGRUP. CLAS. PROF.]]=$B87,IF(DATOS_[[Check Periodo Ref.]:[Check Periodo Ref.]]="Dentro",IF(DATOS_[[Check Equiparado]:[Check Equiparado]]="Sí",IF(DATOS!BD$5="Sí",(1/DATOS_[[% anualiz]:[% anualiz]]),1)*IF(DATOS!BD$4="Sí",1/DATOS_[[% normaliz]:[% normaliz]],1)*(DATOS_[Conc.Sal.26])))))))),
0)</f>
        <v>0</v>
      </c>
      <c r="AJ89" s="101">
        <f t="array" ref="AJ89">IFERROR(
(AVERAGE((IF(DATOS_[[Sexo]:[Sexo]]=$B89,IF(DATOS_[[AGRUP. CLAS. PROF.]:[AGRUP. CLAS. PROF.]]=$B87,IF(DATOS_[[Check Periodo Ref.]:[Check Periodo Ref.]]="Dentro",IF(DATOS_[[Check Equiparado]:[Check Equiparado]]="Sí",IF(DATOS!BE$5="Sí",(1/DATOS_[[% anualiz]:[% anualiz]]),1)*IF(DATOS!BE$4="Sí",1/DATOS_[[% normaliz]:[% normaliz]],1)*(DATOS_[Conc.Sal.27])))))))),
0)</f>
        <v>0</v>
      </c>
      <c r="AK89" s="101">
        <f t="array" ref="AK89">IFERROR(
(AVERAGE((IF(DATOS_[[Sexo]:[Sexo]]=$B89,IF(DATOS_[[AGRUP. CLAS. PROF.]:[AGRUP. CLAS. PROF.]]=$B87,IF(DATOS_[[Check Periodo Ref.]:[Check Periodo Ref.]]="Dentro",IF(DATOS_[[Check Equiparado]:[Check Equiparado]]="Sí",IF(DATOS!BF$5="Sí",(1/DATOS_[[% anualiz]:[% anualiz]]),1)*IF(DATOS!BF$4="Sí",1/DATOS_[[% normaliz]:[% normaliz]],1)*(DATOS_[Conc.Sal.28])))))))),
0)</f>
        <v>0</v>
      </c>
      <c r="AL89" s="101">
        <f t="array" ref="AL89">IFERROR(
(AVERAGE((IF(DATOS_[[Sexo]:[Sexo]]=$B89,IF(DATOS_[[AGRUP. CLAS. PROF.]:[AGRUP. CLAS. PROF.]]=$B87,IF(DATOS_[[Check Periodo Ref.]:[Check Periodo Ref.]]="Dentro",IF(DATOS_[[Check Equiparado]:[Check Equiparado]]="Sí",IF(DATOS!BG$5="Sí",(1/DATOS_[[% anualiz]:[% anualiz]]),1)*IF(DATOS!BG$4="Sí",1/DATOS_[[% normaliz]:[% normaliz]],1)*(DATOS_[Conc.Sal.29])))))))),
0)</f>
        <v>0</v>
      </c>
      <c r="AM89" s="101">
        <f t="array" ref="AM89">IFERROR(
(AVERAGE((IF(DATOS_[[Sexo]:[Sexo]]=$B89,IF(DATOS_[[AGRUP. CLAS. PROF.]:[AGRUP. CLAS. PROF.]]=$B87,IF(DATOS_[[Check Periodo Ref.]:[Check Periodo Ref.]]="Dentro",IF(DATOS_[[Check Equiparado]:[Check Equiparado]]="Sí",IF(DATOS!BH$5="Sí",(1/DATOS_[[% anualiz]:[% anualiz]]),1)*IF(DATOS!BH$4="Sí",1/DATOS_[[% normaliz]:[% normaliz]],1)*(DATOS_[Conc.Sal.30])))))))),
0)</f>
        <v>0</v>
      </c>
      <c r="AN89" s="102">
        <f t="array" ref="AN89">IFERROR(
AVERAGE(IF(DATOS_[Sexo]=$B89,IF(DATOS_[[AGRUP. CLAS. PROF.]:[AGRUP. CLAS. PROF.]]=$B87,IF(DATOS_[Check Equiparado]="Sí",IF(DATOS_[Check Periodo Ref.]="Dentro",DATOS_[Tot COMPL.SAL Eq],FALSE))))),
0)</f>
        <v>0</v>
      </c>
      <c r="AO89" s="103">
        <f t="array" ref="AO89">IFERROR(
AVERAGE(IF(DATOS_[Sexo]=$B89,IF(DATOS_[[AGRUP. CLAS. PROF.]:[AGRUP. CLAS. PROF.]]=$B87,IF(DATOS_[Check Equiparado]="Sí",IF(DATOS_[Check Periodo Ref.]="Dentro",DATOS_[TOTAL SALARIO Eq],FALSE))))),
0)</f>
        <v>0</v>
      </c>
      <c r="AP89" s="104">
        <f t="array" ref="AP89">IFERROR(
(AVERAGE((IF(DATOS_[[Sexo]:[Sexo]]=$B89,IF(DATOS_[[AGRUP. CLAS. PROF.]:[AGRUP. CLAS. PROF.]]=$B87,IF(DATOS_[[Check Periodo Ref.]:[Check Periodo Ref.]]="Dentro",IF(DATOS_[[Check Equiparado]:[Check Equiparado]]="Sí",IF(DATOS!BI$5="Sí",(1/DATOS_[[% anualiz]:[% anualiz]]),1)*IF(DATOS!BI$4="Sí",1/DATOS_[[% normaliz]:[% normaliz]],1)*(DATOS_[C.Extra.01])))))))),
0)</f>
        <v>0</v>
      </c>
      <c r="AQ89" s="104">
        <f t="array" ref="AQ89">IFERROR(
(AVERAGE((IF(DATOS_[[Sexo]:[Sexo]]=$B89,IF(DATOS_[[AGRUP. CLAS. PROF.]:[AGRUP. CLAS. PROF.]]=$B87,IF(DATOS_[[Check Periodo Ref.]:[Check Periodo Ref.]]="Dentro",IF(DATOS_[[Check Equiparado]:[Check Equiparado]]="Sí",IF(DATOS!BJ$5="Sí",(1/DATOS_[[% anualiz]:[% anualiz]]),1)*IF(DATOS!BJ$4="Sí",1/DATOS_[[% normaliz]:[% normaliz]],1)*(DATOS_[C.Extra.02])))))))),
0)</f>
        <v>0</v>
      </c>
      <c r="AR89" s="104">
        <f t="array" ref="AR89">IFERROR(
(AVERAGE((IF(DATOS_[[Sexo]:[Sexo]]=$B89,IF(DATOS_[[AGRUP. CLAS. PROF.]:[AGRUP. CLAS. PROF.]]=$B87,IF(DATOS_[[Check Periodo Ref.]:[Check Periodo Ref.]]="Dentro",IF(DATOS_[[Check Equiparado]:[Check Equiparado]]="Sí",IF(DATOS!BK$5="Sí",(1/DATOS_[[% anualiz]:[% anualiz]]),1)*IF(DATOS!BK$4="Sí",1/DATOS_[[% normaliz]:[% normaliz]],1)*(DATOS_[C.Extra.03])))))))),
0)</f>
        <v>0</v>
      </c>
      <c r="AS89" s="104">
        <f t="array" ref="AS89">IFERROR(
(AVERAGE((IF(DATOS_[[Sexo]:[Sexo]]=$B89,IF(DATOS_[[AGRUP. CLAS. PROF.]:[AGRUP. CLAS. PROF.]]=$B87,IF(DATOS_[[Check Periodo Ref.]:[Check Periodo Ref.]]="Dentro",IF(DATOS_[[Check Equiparado]:[Check Equiparado]]="Sí",IF(DATOS!BL$5="Sí",(1/DATOS_[[% anualiz]:[% anualiz]]),1)*IF(DATOS!BL$4="Sí",1/DATOS_[[% normaliz]:[% normaliz]],1)*(DATOS_[C.Extra.04])))))))),
0)</f>
        <v>0</v>
      </c>
      <c r="AT89" s="104">
        <f t="array" ref="AT89">IFERROR(
(AVERAGE((IF(DATOS_[[Sexo]:[Sexo]]=$B89,IF(DATOS_[[AGRUP. CLAS. PROF.]:[AGRUP. CLAS. PROF.]]=$B87,IF(DATOS_[[Check Periodo Ref.]:[Check Periodo Ref.]]="Dentro",IF(DATOS_[[Check Equiparado]:[Check Equiparado]]="Sí",IF(DATOS!BM$5="Sí",(1/DATOS_[[% anualiz]:[% anualiz]]),1)*IF(DATOS!BM$4="Sí",1/DATOS_[[% normaliz]:[% normaliz]],1)*(DATOS_[C.Extra.05])))))))),
0)</f>
        <v>0</v>
      </c>
      <c r="AU89" s="105">
        <f t="array" ref="AU89">IFERROR(
AVERAGE(IF(DATOS_[Sexo]=$B89,IF(DATOS_[[AGRUP. CLAS. PROF.]:[AGRUP. CLAS. PROF.]]=$B87,IF(DATOS_[Check Equiparado]="Sí",IF(DATOS_[Check Periodo Ref.]="Dentro",DATOS_[Tot Extrasalarial Eq],FALSE))))),
0)</f>
        <v>0</v>
      </c>
      <c r="AV89" s="106">
        <f t="array" ref="AV89">IFERROR(
AVERAGE(IF(DATOS_[Sexo]=$B89,IF(DATOS_[[AGRUP. CLAS. PROF.]:[AGRUP. CLAS. PROF.]]=$B87,IF(DATOS_[Check Equiparado]="Sí",IF(DATOS_[Check Periodo Ref.]="Dentro",DATOS_[TOTAL Retrib Eq],FALSE))))),
0)</f>
        <v>0</v>
      </c>
    </row>
    <row r="90" spans="1:48" ht="17.25" hidden="1" thickBot="1" x14ac:dyDescent="0.35">
      <c r="A90" s="53" t="str">
        <f t="shared" ref="A90" si="103">+A91</f>
        <v>[ocultar]</v>
      </c>
      <c r="B90" s="62" t="s">
        <v>242</v>
      </c>
      <c r="C90" s="99"/>
      <c r="D90" s="63"/>
      <c r="E90" s="63"/>
      <c r="F90" s="63"/>
      <c r="G90" s="63"/>
      <c r="H90" s="63"/>
      <c r="I90" s="129" t="str">
        <f t="shared" ref="I90:AV90" si="104">IFERROR((I91-I92)/I91,"")</f>
        <v/>
      </c>
      <c r="J90" s="130" t="str">
        <f t="shared" si="104"/>
        <v/>
      </c>
      <c r="K90" s="131" t="str">
        <f t="shared" si="104"/>
        <v/>
      </c>
      <c r="L90" s="131" t="str">
        <f t="shared" si="104"/>
        <v/>
      </c>
      <c r="M90" s="131" t="str">
        <f t="shared" si="104"/>
        <v/>
      </c>
      <c r="N90" s="132" t="str">
        <f t="shared" si="104"/>
        <v/>
      </c>
      <c r="O90" s="133" t="str">
        <f t="shared" si="104"/>
        <v/>
      </c>
      <c r="P90" s="133" t="str">
        <f t="shared" si="104"/>
        <v/>
      </c>
      <c r="Q90" s="133" t="str">
        <f t="shared" si="104"/>
        <v/>
      </c>
      <c r="R90" s="133" t="str">
        <f t="shared" si="104"/>
        <v/>
      </c>
      <c r="S90" s="133" t="str">
        <f t="shared" si="104"/>
        <v/>
      </c>
      <c r="T90" s="133" t="str">
        <f t="shared" si="104"/>
        <v/>
      </c>
      <c r="U90" s="133" t="str">
        <f t="shared" si="104"/>
        <v/>
      </c>
      <c r="V90" s="133" t="str">
        <f t="shared" si="104"/>
        <v/>
      </c>
      <c r="W90" s="133" t="str">
        <f t="shared" si="104"/>
        <v/>
      </c>
      <c r="X90" s="133" t="str">
        <f t="shared" si="104"/>
        <v/>
      </c>
      <c r="Y90" s="133" t="str">
        <f t="shared" si="104"/>
        <v/>
      </c>
      <c r="Z90" s="132" t="str">
        <f t="shared" si="104"/>
        <v/>
      </c>
      <c r="AA90" s="132" t="str">
        <f t="shared" si="104"/>
        <v/>
      </c>
      <c r="AB90" s="132" t="str">
        <f t="shared" si="104"/>
        <v/>
      </c>
      <c r="AC90" s="132" t="str">
        <f t="shared" si="104"/>
        <v/>
      </c>
      <c r="AD90" s="132" t="str">
        <f t="shared" si="104"/>
        <v/>
      </c>
      <c r="AE90" s="132" t="str">
        <f t="shared" si="104"/>
        <v/>
      </c>
      <c r="AF90" s="132" t="str">
        <f t="shared" si="104"/>
        <v/>
      </c>
      <c r="AG90" s="132" t="str">
        <f t="shared" si="104"/>
        <v/>
      </c>
      <c r="AH90" s="132" t="str">
        <f t="shared" si="104"/>
        <v/>
      </c>
      <c r="AI90" s="132" t="str">
        <f t="shared" si="104"/>
        <v/>
      </c>
      <c r="AJ90" s="132" t="str">
        <f t="shared" si="104"/>
        <v/>
      </c>
      <c r="AK90" s="132" t="str">
        <f t="shared" si="104"/>
        <v/>
      </c>
      <c r="AL90" s="132" t="str">
        <f t="shared" si="104"/>
        <v/>
      </c>
      <c r="AM90" s="132" t="str">
        <f t="shared" si="104"/>
        <v/>
      </c>
      <c r="AN90" s="134" t="str">
        <f t="shared" si="104"/>
        <v/>
      </c>
      <c r="AO90" s="138" t="str">
        <f t="shared" si="104"/>
        <v/>
      </c>
      <c r="AP90" s="135" t="str">
        <f t="shared" si="104"/>
        <v/>
      </c>
      <c r="AQ90" s="135" t="str">
        <f t="shared" si="104"/>
        <v/>
      </c>
      <c r="AR90" s="135" t="str">
        <f t="shared" si="104"/>
        <v/>
      </c>
      <c r="AS90" s="135" t="str">
        <f t="shared" si="104"/>
        <v/>
      </c>
      <c r="AT90" s="135" t="str">
        <f t="shared" si="104"/>
        <v/>
      </c>
      <c r="AU90" s="136" t="str">
        <f t="shared" si="104"/>
        <v/>
      </c>
      <c r="AV90" s="137" t="str">
        <f t="shared" si="104"/>
        <v/>
      </c>
    </row>
    <row r="91" spans="1:48" hidden="1" x14ac:dyDescent="0.3">
      <c r="A91" s="53" t="str">
        <f t="shared" ref="A91" si="105">+IF(C91+C92=0,"[ocultar]","")</f>
        <v>[ocultar]</v>
      </c>
      <c r="B91" s="57" t="s">
        <v>162</v>
      </c>
      <c r="C91" s="56">
        <f t="array" ref="C91">SUM(IF($B91=DATOS_[Sexo],
IF($B90=DATOS_[AGRUP. CLAS. PROF.],
IF("Dentro"=DATOS_[Check Periodo Ref.],
1/(COUNTIFS(DATOS_[Sexo],$B91,DATOS_[AGRUP. CLAS. PROF.],$B90,DATOS_[Check Periodo Ref.],"Dentro",DATOS_[id],DATOS_[id]))))))</f>
        <v>0</v>
      </c>
      <c r="D91" s="58">
        <f>COUNTIFS(DATOS_[AGRUP. CLAS. PROF.],$B90,DATOS_[Sexo],$B91,DATOS_[Check Periodo Ref.],"Dentro")</f>
        <v>0</v>
      </c>
      <c r="E91" s="58">
        <f>COUNTIFS(DATOS_[AGRUP. CLAS. PROF.],$B90,DATOS_[Sexo],$B91,DATOS_[Check Periodo Ref.],"Dentro",DATOS_[Check Nº SC Norm],"Sí")</f>
        <v>0</v>
      </c>
      <c r="F91" s="58">
        <f>COUNTIFS(DATOS_[AGRUP. CLAS. PROF.],$B90,DATOS_[Sexo],$B91,DATOS_[Check Periodo Ref.],"Dentro",DATOS_[Check Nº SC Anualiz],"Sí")</f>
        <v>0</v>
      </c>
      <c r="G91" s="58">
        <f>COUNTIFS(DATOS_[AGRUP. CLAS. PROF.],$B90,DATOS_[Sexo],$B91,DATOS_[Check Periodo Ref.],"Dentro",DATOS_[Check Nº SC Norm y Anualiz],"Sí")</f>
        <v>0</v>
      </c>
      <c r="H91" s="58">
        <f>COUNTIFS(DATOS_[AGRUP. CLAS. PROF.],$B90,DATOS_[Sexo],$B91,DATOS_[Check Periodo Ref.],"Dentro",DATOS_[Check Equiparación],"Sí")</f>
        <v>0</v>
      </c>
      <c r="I91" s="100">
        <f t="array" ref="I91">IFERROR(
AVERAGE(IF(DATOS_[Sexo]=$B91,IF(DATOS_[[AGRUP. CLAS. PROF.]:[AGRUP. CLAS. PROF.]]=$B90,IF(DATOS_[Check Equiparado]="Sí",IF(DATOS_[Check Periodo Ref.]="Dentro",DATOS_[SALARIO BASE Eq],FALSE))))),
0)</f>
        <v>0</v>
      </c>
      <c r="J91" s="101">
        <f t="array" ref="J91">IFERROR(
(AVERAGE((IF(DATOS_[[Sexo]:[Sexo]]=$B91,IF(DATOS_[[AGRUP. CLAS. PROF.]:[AGRUP. CLAS. PROF.]]=$B90,IF(DATOS_[[Check Periodo Ref.]:[Check Periodo Ref.]]="Dentro",IF(DATOS_[[Check Equiparado]:[Check Equiparado]]="Sí",IF(DATOS!AE$5="Sí",(1/DATOS_[[% anualiz]:[% anualiz]]),1)*IF(DATOS!AE$4="Sí",1/DATOS_[[% normaliz]:[% normaliz]],1)*(DATOS_[Conc.Sal.01])))))))),
0)</f>
        <v>0</v>
      </c>
      <c r="K91" s="101">
        <f t="array" ref="K91">IFERROR(
(AVERAGE((IF(DATOS_[[Sexo]:[Sexo]]=$B91,IF(DATOS_[[AGRUP. CLAS. PROF.]:[AGRUP. CLAS. PROF.]]=$B90,IF(DATOS_[[Check Periodo Ref.]:[Check Periodo Ref.]]="Dentro",IF(DATOS_[[Check Equiparado]:[Check Equiparado]]="Sí",IF(DATOS!AF$5="Sí",(1/DATOS_[[% anualiz]:[% anualiz]]),1)*IF(DATOS!AF$4="Sí",1/DATOS_[[% normaliz]:[% normaliz]],1)*(DATOS_[Conc.Sal.02])))))))),
0)</f>
        <v>0</v>
      </c>
      <c r="L91" s="101">
        <f t="array" ref="L91">IFERROR(
(AVERAGE((IF(DATOS_[[Sexo]:[Sexo]]=$B91,IF(DATOS_[[AGRUP. CLAS. PROF.]:[AGRUP. CLAS. PROF.]]=$B90,IF(DATOS_[[Check Periodo Ref.]:[Check Periodo Ref.]]="Dentro",IF(DATOS_[[Check Equiparado]:[Check Equiparado]]="Sí",IF(DATOS!AG$5="Sí",(1/DATOS_[[% anualiz]:[% anualiz]]),1)*IF(DATOS!AG$4="Sí",1/DATOS_[[% normaliz]:[% normaliz]],1)*(DATOS_[Conc.Sal.03])))))))),
0)</f>
        <v>0</v>
      </c>
      <c r="M91" s="101">
        <f t="array" ref="M91">IFERROR(
(AVERAGE((IF(DATOS_[[Sexo]:[Sexo]]=$B91,IF(DATOS_[[AGRUP. CLAS. PROF.]:[AGRUP. CLAS. PROF.]]=$B90,IF(DATOS_[[Check Periodo Ref.]:[Check Periodo Ref.]]="Dentro",IF(DATOS_[[Check Equiparado]:[Check Equiparado]]="Sí",IF(DATOS!AH$5="Sí",(1/DATOS_[[% anualiz]:[% anualiz]]),1)*IF(DATOS!AH$4="Sí",1/DATOS_[[% normaliz]:[% normaliz]],1)*(DATOS_[Conc.Sal.04])))))))),
0)</f>
        <v>0</v>
      </c>
      <c r="N91" s="101">
        <f t="array" ref="N91">IFERROR(
(AVERAGE((IF(DATOS_[[Sexo]:[Sexo]]=$B91,IF(DATOS_[[AGRUP. CLAS. PROF.]:[AGRUP. CLAS. PROF.]]=$B90,IF(DATOS_[[Check Periodo Ref.]:[Check Periodo Ref.]]="Dentro",IF(DATOS_[[Check Equiparado]:[Check Equiparado]]="Sí",IF(DATOS!AI$5="Sí",(1/DATOS_[[% anualiz]:[% anualiz]]),1)*IF(DATOS!AI$4="Sí",1/DATOS_[[% normaliz]:[% normaliz]],1)*(DATOS_[Conc.Sal.05])))))))),
0)</f>
        <v>0</v>
      </c>
      <c r="O91" s="101">
        <f t="array" ref="O91">IFERROR(
(AVERAGE((IF(DATOS_[[Sexo]:[Sexo]]=$B91,IF(DATOS_[[AGRUP. CLAS. PROF.]:[AGRUP. CLAS. PROF.]]=$B90,IF(DATOS_[[Check Periodo Ref.]:[Check Periodo Ref.]]="Dentro",IF(DATOS_[[Check Equiparado]:[Check Equiparado]]="Sí",IF(DATOS!AJ$5="Sí",(1/DATOS_[[% anualiz]:[% anualiz]]),1)*IF(DATOS!AJ$4="Sí",1/DATOS_[[% normaliz]:[% normaliz]],1)*(DATOS_[Conc.Sal.06])))))))),
0)</f>
        <v>0</v>
      </c>
      <c r="P91" s="101">
        <f t="array" ref="P91">IFERROR(
(AVERAGE((IF(DATOS_[[Sexo]:[Sexo]]=$B91,IF(DATOS_[[AGRUP. CLAS. PROF.]:[AGRUP. CLAS. PROF.]]=$B90,IF(DATOS_[[Check Periodo Ref.]:[Check Periodo Ref.]]="Dentro",IF(DATOS_[[Check Equiparado]:[Check Equiparado]]="Sí",IF(DATOS!AK$5="Sí",(1/DATOS_[[% anualiz]:[% anualiz]]),1)*IF(DATOS!AK$4="Sí",1/DATOS_[[% normaliz]:[% normaliz]],1)*(DATOS_[Conc.Sal.07])))))))),
0)</f>
        <v>0</v>
      </c>
      <c r="Q91" s="101">
        <f t="array" ref="Q91">IFERROR(
(AVERAGE((IF(DATOS_[[Sexo]:[Sexo]]=$B91,IF(DATOS_[[AGRUP. CLAS. PROF.]:[AGRUP. CLAS. PROF.]]=$B90,IF(DATOS_[[Check Periodo Ref.]:[Check Periodo Ref.]]="Dentro",IF(DATOS_[[Check Equiparado]:[Check Equiparado]]="Sí",IF(DATOS!AL$5="Sí",(1/DATOS_[[% anualiz]:[% anualiz]]),1)*IF(DATOS!AL$4="Sí",1/DATOS_[[% normaliz]:[% normaliz]],1)*(DATOS_[Conc.Sal.08])))))))),
0)</f>
        <v>0</v>
      </c>
      <c r="R91" s="101">
        <f t="array" ref="R91">IFERROR(
(AVERAGE((IF(DATOS_[[Sexo]:[Sexo]]=$B91,IF(DATOS_[[AGRUP. CLAS. PROF.]:[AGRUP. CLAS. PROF.]]=$B90,IF(DATOS_[[Check Periodo Ref.]:[Check Periodo Ref.]]="Dentro",IF(DATOS_[[Check Equiparado]:[Check Equiparado]]="Sí",IF(DATOS!AM$5="Sí",(1/DATOS_[[% anualiz]:[% anualiz]]),1)*IF(DATOS!AM$4="Sí",1/DATOS_[[% normaliz]:[% normaliz]],1)*(DATOS_[Conc.Sal.09])))))))),
0)</f>
        <v>0</v>
      </c>
      <c r="S91" s="101">
        <f t="array" ref="S91">IFERROR(
(AVERAGE((IF(DATOS_[[Sexo]:[Sexo]]=$B91,IF(DATOS_[[AGRUP. CLAS. PROF.]:[AGRUP. CLAS. PROF.]]=$B90,IF(DATOS_[[Check Periodo Ref.]:[Check Periodo Ref.]]="Dentro",IF(DATOS_[[Check Equiparado]:[Check Equiparado]]="Sí",IF(DATOS!AN$5="Sí",(1/DATOS_[[% anualiz]:[% anualiz]]),1)*IF(DATOS!AN$4="Sí",1/DATOS_[[% normaliz]:[% normaliz]],1)*(DATOS_[Conc.Sal.10])))))))),
0)</f>
        <v>0</v>
      </c>
      <c r="T91" s="101">
        <f t="array" ref="T91">IFERROR(
(AVERAGE((IF(DATOS_[[Sexo]:[Sexo]]=$B91,IF(DATOS_[[AGRUP. CLAS. PROF.]:[AGRUP. CLAS. PROF.]]=$B90,IF(DATOS_[[Check Periodo Ref.]:[Check Periodo Ref.]]="Dentro",IF(DATOS_[[Check Equiparado]:[Check Equiparado]]="Sí",IF(DATOS!AO$5="Sí",(1/DATOS_[[% anualiz]:[% anualiz]]),1)*IF(DATOS!AO$4="Sí",1/DATOS_[[% normaliz]:[% normaliz]],1)*(DATOS_[Conc.Sal.11])))))))),
0)</f>
        <v>0</v>
      </c>
      <c r="U91" s="101">
        <f t="array" ref="U91">IFERROR(
(AVERAGE((IF(DATOS_[[Sexo]:[Sexo]]=$B91,IF(DATOS_[[AGRUP. CLAS. PROF.]:[AGRUP. CLAS. PROF.]]=$B90,IF(DATOS_[[Check Periodo Ref.]:[Check Periodo Ref.]]="Dentro",IF(DATOS_[[Check Equiparado]:[Check Equiparado]]="Sí",IF(DATOS!AP$5="Sí",(1/DATOS_[[% anualiz]:[% anualiz]]),1)*IF(DATOS!AP$4="Sí",1/DATOS_[[% normaliz]:[% normaliz]],1)*(DATOS_[Conc.Sal.12])))))))),
0)</f>
        <v>0</v>
      </c>
      <c r="V91" s="101">
        <f t="array" ref="V91">IFERROR(
(AVERAGE((IF(DATOS_[[Sexo]:[Sexo]]=$B91,IF(DATOS_[[AGRUP. CLAS. PROF.]:[AGRUP. CLAS. PROF.]]=$B90,IF(DATOS_[[Check Periodo Ref.]:[Check Periodo Ref.]]="Dentro",IF(DATOS_[[Check Equiparado]:[Check Equiparado]]="Sí",IF(DATOS!AQ$5="Sí",(1/DATOS_[[% anualiz]:[% anualiz]]),1)*IF(DATOS!AQ$4="Sí",1/DATOS_[[% normaliz]:[% normaliz]],1)*(DATOS_[Conc.Sal.13])))))))),
0)</f>
        <v>0</v>
      </c>
      <c r="W91" s="101">
        <f t="array" ref="W91">IFERROR(
(AVERAGE((IF(DATOS_[[Sexo]:[Sexo]]=$B91,IF(DATOS_[[AGRUP. CLAS. PROF.]:[AGRUP. CLAS. PROF.]]=$B90,IF(DATOS_[[Check Periodo Ref.]:[Check Periodo Ref.]]="Dentro",IF(DATOS_[[Check Equiparado]:[Check Equiparado]]="Sí",IF(DATOS!AR$5="Sí",(1/DATOS_[[% anualiz]:[% anualiz]]),1)*IF(DATOS!AR$4="Sí",1/DATOS_[[% normaliz]:[% normaliz]],1)*(DATOS_[Conc.Sal.14])))))))),
0)</f>
        <v>0</v>
      </c>
      <c r="X91" s="101">
        <f t="array" ref="X91">IFERROR(
(AVERAGE((IF(DATOS_[[Sexo]:[Sexo]]=$B91,IF(DATOS_[[AGRUP. CLAS. PROF.]:[AGRUP. CLAS. PROF.]]=$B90,IF(DATOS_[[Check Periodo Ref.]:[Check Periodo Ref.]]="Dentro",IF(DATOS_[[Check Equiparado]:[Check Equiparado]]="Sí",IF(DATOS!AS$5="Sí",(1/DATOS_[[% anualiz]:[% anualiz]]),1)*IF(DATOS!AS$4="Sí",1/DATOS_[[% normaliz]:[% normaliz]],1)*(DATOS_[Conc.Sal.15])))))))),
0)</f>
        <v>0</v>
      </c>
      <c r="Y91" s="101">
        <f t="array" ref="Y91">IFERROR(
(AVERAGE((IF(DATOS_[[Sexo]:[Sexo]]=$B91,IF(DATOS_[[AGRUP. CLAS. PROF.]:[AGRUP. CLAS. PROF.]]=$B90,IF(DATOS_[[Check Periodo Ref.]:[Check Periodo Ref.]]="Dentro",IF(DATOS_[[Check Equiparado]:[Check Equiparado]]="Sí",IF(DATOS!AT$5="Sí",(1/DATOS_[[% anualiz]:[% anualiz]]),1)*IF(DATOS!AT$4="Sí",1/DATOS_[[% normaliz]:[% normaliz]],1)*(DATOS_[Conc.Sal.16])))))))),
0)</f>
        <v>0</v>
      </c>
      <c r="Z91" s="101">
        <f t="array" ref="Z91">IFERROR(
(AVERAGE((IF(DATOS_[[Sexo]:[Sexo]]=$B91,IF(DATOS_[[AGRUP. CLAS. PROF.]:[AGRUP. CLAS. PROF.]]=$B90,IF(DATOS_[[Check Periodo Ref.]:[Check Periodo Ref.]]="Dentro",IF(DATOS_[[Check Equiparado]:[Check Equiparado]]="Sí",IF(DATOS!AU$5="Sí",(1/DATOS_[[% anualiz]:[% anualiz]]),1)*IF(DATOS!AU$4="Sí",1/DATOS_[[% normaliz]:[% normaliz]],1)*(DATOS_[Conc.Sal.17])))))))),
0)</f>
        <v>0</v>
      </c>
      <c r="AA91" s="101">
        <f t="array" ref="AA91">IFERROR(
(AVERAGE((IF(DATOS_[[Sexo]:[Sexo]]=$B91,IF(DATOS_[[AGRUP. CLAS. PROF.]:[AGRUP. CLAS. PROF.]]=$B90,IF(DATOS_[[Check Periodo Ref.]:[Check Periodo Ref.]]="Dentro",IF(DATOS_[[Check Equiparado]:[Check Equiparado]]="Sí",IF(DATOS!AV$5="Sí",(1/DATOS_[[% anualiz]:[% anualiz]]),1)*IF(DATOS!AV$4="Sí",1/DATOS_[[% normaliz]:[% normaliz]],1)*(DATOS_[Conc.Sal.18])))))))),
0)</f>
        <v>0</v>
      </c>
      <c r="AB91" s="101">
        <f t="array" ref="AB91">IFERROR(
(AVERAGE((IF(DATOS_[[Sexo]:[Sexo]]=$B91,IF(DATOS_[[AGRUP. CLAS. PROF.]:[AGRUP. CLAS. PROF.]]=$B90,IF(DATOS_[[Check Periodo Ref.]:[Check Periodo Ref.]]="Dentro",IF(DATOS_[[Check Equiparado]:[Check Equiparado]]="Sí",IF(DATOS!AW$5="Sí",(1/DATOS_[[% anualiz]:[% anualiz]]),1)*IF(DATOS!AW$4="Sí",1/DATOS_[[% normaliz]:[% normaliz]],1)*(DATOS_[Conc.Sal.19])))))))),
0)</f>
        <v>0</v>
      </c>
      <c r="AC91" s="101">
        <f t="array" ref="AC91">IFERROR(
(AVERAGE((IF(DATOS_[[Sexo]:[Sexo]]=$B91,IF(DATOS_[[AGRUP. CLAS. PROF.]:[AGRUP. CLAS. PROF.]]=$B90,IF(DATOS_[[Check Periodo Ref.]:[Check Periodo Ref.]]="Dentro",IF(DATOS_[[Check Equiparado]:[Check Equiparado]]="Sí",IF(DATOS!AX$5="Sí",(1/DATOS_[[% anualiz]:[% anualiz]]),1)*IF(DATOS!AX$4="Sí",1/DATOS_[[% normaliz]:[% normaliz]],1)*(DATOS_[Conc.Sal.20])))))))),
0)</f>
        <v>0</v>
      </c>
      <c r="AD91" s="101">
        <f t="array" ref="AD91">IFERROR(
(AVERAGE((IF(DATOS_[[Sexo]:[Sexo]]=$B91,IF(DATOS_[[AGRUP. CLAS. PROF.]:[AGRUP. CLAS. PROF.]]=$B90,IF(DATOS_[[Check Periodo Ref.]:[Check Periodo Ref.]]="Dentro",IF(DATOS_[[Check Equiparado]:[Check Equiparado]]="Sí",IF(DATOS!AY$5="Sí",(1/DATOS_[[% anualiz]:[% anualiz]]),1)*IF(DATOS!AY$4="Sí",1/DATOS_[[% normaliz]:[% normaliz]],1)*(DATOS_[Conc.Sal.21])))))))),
0)</f>
        <v>0</v>
      </c>
      <c r="AE91" s="101">
        <f t="array" ref="AE91">IFERROR(
(AVERAGE((IF(DATOS_[[Sexo]:[Sexo]]=$B91,IF(DATOS_[[AGRUP. CLAS. PROF.]:[AGRUP. CLAS. PROF.]]=$B90,IF(DATOS_[[Check Periodo Ref.]:[Check Periodo Ref.]]="Dentro",IF(DATOS_[[Check Equiparado]:[Check Equiparado]]="Sí",IF(DATOS!AZ$5="Sí",(1/DATOS_[[% anualiz]:[% anualiz]]),1)*IF(DATOS!AZ$4="Sí",1/DATOS_[[% normaliz]:[% normaliz]],1)*(DATOS_[Conc.Sal.22])))))))),
0)</f>
        <v>0</v>
      </c>
      <c r="AF91" s="101">
        <f t="array" ref="AF91">IFERROR(
(AVERAGE((IF(DATOS_[[Sexo]:[Sexo]]=$B91,IF(DATOS_[[AGRUP. CLAS. PROF.]:[AGRUP. CLAS. PROF.]]=$B90,IF(DATOS_[[Check Periodo Ref.]:[Check Periodo Ref.]]="Dentro",IF(DATOS_[[Check Equiparado]:[Check Equiparado]]="Sí",IF(DATOS!BA$5="Sí",(1/DATOS_[[% anualiz]:[% anualiz]]),1)*IF(DATOS!BA$4="Sí",1/DATOS_[[% normaliz]:[% normaliz]],1)*(DATOS_[Conc.Sal.23])))))))),
0)</f>
        <v>0</v>
      </c>
      <c r="AG91" s="101">
        <f t="array" ref="AG91">IFERROR(
(AVERAGE((IF(DATOS_[[Sexo]:[Sexo]]=$B91,IF(DATOS_[[AGRUP. CLAS. PROF.]:[AGRUP. CLAS. PROF.]]=$B90,IF(DATOS_[[Check Periodo Ref.]:[Check Periodo Ref.]]="Dentro",IF(DATOS_[[Check Equiparado]:[Check Equiparado]]="Sí",IF(DATOS!BB$5="Sí",(1/DATOS_[[% anualiz]:[% anualiz]]),1)*IF(DATOS!BB$4="Sí",1/DATOS_[[% normaliz]:[% normaliz]],1)*(DATOS_[Conc.Sal.24])))))))),
0)</f>
        <v>0</v>
      </c>
      <c r="AH91" s="101">
        <f t="array" ref="AH91">IFERROR(
(AVERAGE((IF(DATOS_[[Sexo]:[Sexo]]=$B91,IF(DATOS_[[AGRUP. CLAS. PROF.]:[AGRUP. CLAS. PROF.]]=$B90,IF(DATOS_[[Check Periodo Ref.]:[Check Periodo Ref.]]="Dentro",IF(DATOS_[[Check Equiparado]:[Check Equiparado]]="Sí",IF(DATOS!BC$5="Sí",(1/DATOS_[[% anualiz]:[% anualiz]]),1)*IF(DATOS!BC$4="Sí",1/DATOS_[[% normaliz]:[% normaliz]],1)*(DATOS_[Conc.Sal.25])))))))),
0)</f>
        <v>0</v>
      </c>
      <c r="AI91" s="101">
        <f t="array" ref="AI91">IFERROR(
(AVERAGE((IF(DATOS_[[Sexo]:[Sexo]]=$B91,IF(DATOS_[[AGRUP. CLAS. PROF.]:[AGRUP. CLAS. PROF.]]=$B90,IF(DATOS_[[Check Periodo Ref.]:[Check Periodo Ref.]]="Dentro",IF(DATOS_[[Check Equiparado]:[Check Equiparado]]="Sí",IF(DATOS!BD$5="Sí",(1/DATOS_[[% anualiz]:[% anualiz]]),1)*IF(DATOS!BD$4="Sí",1/DATOS_[[% normaliz]:[% normaliz]],1)*(DATOS_[Conc.Sal.26])))))))),
0)</f>
        <v>0</v>
      </c>
      <c r="AJ91" s="101">
        <f t="array" ref="AJ91">IFERROR(
(AVERAGE((IF(DATOS_[[Sexo]:[Sexo]]=$B91,IF(DATOS_[[AGRUP. CLAS. PROF.]:[AGRUP. CLAS. PROF.]]=$B90,IF(DATOS_[[Check Periodo Ref.]:[Check Periodo Ref.]]="Dentro",IF(DATOS_[[Check Equiparado]:[Check Equiparado]]="Sí",IF(DATOS!BE$5="Sí",(1/DATOS_[[% anualiz]:[% anualiz]]),1)*IF(DATOS!BE$4="Sí",1/DATOS_[[% normaliz]:[% normaliz]],1)*(DATOS_[Conc.Sal.27])))))))),
0)</f>
        <v>0</v>
      </c>
      <c r="AK91" s="101">
        <f t="array" ref="AK91">IFERROR(
(AVERAGE((IF(DATOS_[[Sexo]:[Sexo]]=$B91,IF(DATOS_[[AGRUP. CLAS. PROF.]:[AGRUP. CLAS. PROF.]]=$B90,IF(DATOS_[[Check Periodo Ref.]:[Check Periodo Ref.]]="Dentro",IF(DATOS_[[Check Equiparado]:[Check Equiparado]]="Sí",IF(DATOS!BF$5="Sí",(1/DATOS_[[% anualiz]:[% anualiz]]),1)*IF(DATOS!BF$4="Sí",1/DATOS_[[% normaliz]:[% normaliz]],1)*(DATOS_[Conc.Sal.28])))))))),
0)</f>
        <v>0</v>
      </c>
      <c r="AL91" s="101">
        <f t="array" ref="AL91">IFERROR(
(AVERAGE((IF(DATOS_[[Sexo]:[Sexo]]=$B91,IF(DATOS_[[AGRUP. CLAS. PROF.]:[AGRUP. CLAS. PROF.]]=$B90,IF(DATOS_[[Check Periodo Ref.]:[Check Periodo Ref.]]="Dentro",IF(DATOS_[[Check Equiparado]:[Check Equiparado]]="Sí",IF(DATOS!BG$5="Sí",(1/DATOS_[[% anualiz]:[% anualiz]]),1)*IF(DATOS!BG$4="Sí",1/DATOS_[[% normaliz]:[% normaliz]],1)*(DATOS_[Conc.Sal.29])))))))),
0)</f>
        <v>0</v>
      </c>
      <c r="AM91" s="101">
        <f t="array" ref="AM91">IFERROR(
(AVERAGE((IF(DATOS_[[Sexo]:[Sexo]]=$B91,IF(DATOS_[[AGRUP. CLAS. PROF.]:[AGRUP. CLAS. PROF.]]=$B90,IF(DATOS_[[Check Periodo Ref.]:[Check Periodo Ref.]]="Dentro",IF(DATOS_[[Check Equiparado]:[Check Equiparado]]="Sí",IF(DATOS!BH$5="Sí",(1/DATOS_[[% anualiz]:[% anualiz]]),1)*IF(DATOS!BH$4="Sí",1/DATOS_[[% normaliz]:[% normaliz]],1)*(DATOS_[Conc.Sal.30])))))))),
0)</f>
        <v>0</v>
      </c>
      <c r="AN91" s="102">
        <f t="array" ref="AN91">IFERROR(
AVERAGE(IF(DATOS_[Sexo]=$B91,IF(DATOS_[[AGRUP. CLAS. PROF.]:[AGRUP. CLAS. PROF.]]=$B90,IF(DATOS_[Check Equiparado]="Sí",IF(DATOS_[Check Periodo Ref.]="Dentro",DATOS_[Tot COMPL.SAL Eq],FALSE))))),
0)</f>
        <v>0</v>
      </c>
      <c r="AO91" s="103">
        <f t="array" ref="AO91">IFERROR(
AVERAGE(IF(DATOS_[Sexo]=$B91,IF(DATOS_[[AGRUP. CLAS. PROF.]:[AGRUP. CLAS. PROF.]]=$B90,IF(DATOS_[Check Equiparado]="Sí",IF(DATOS_[Check Periodo Ref.]="Dentro",DATOS_[TOTAL SALARIO Eq],FALSE))))),
0)</f>
        <v>0</v>
      </c>
      <c r="AP91" s="104">
        <f t="array" ref="AP91">IFERROR(
(AVERAGE((IF(DATOS_[[Sexo]:[Sexo]]=$B91,IF(DATOS_[[AGRUP. CLAS. PROF.]:[AGRUP. CLAS. PROF.]]=$B90,IF(DATOS_[[Check Periodo Ref.]:[Check Periodo Ref.]]="Dentro",IF(DATOS_[[Check Equiparado]:[Check Equiparado]]="Sí",IF(DATOS!BI$5="Sí",(1/DATOS_[[% anualiz]:[% anualiz]]),1)*IF(DATOS!BI$4="Sí",1/DATOS_[[% normaliz]:[% normaliz]],1)*(DATOS_[C.Extra.01])))))))),
0)</f>
        <v>0</v>
      </c>
      <c r="AQ91" s="104">
        <f t="array" ref="AQ91">IFERROR(
(AVERAGE((IF(DATOS_[[Sexo]:[Sexo]]=$B91,IF(DATOS_[[AGRUP. CLAS. PROF.]:[AGRUP. CLAS. PROF.]]=$B90,IF(DATOS_[[Check Periodo Ref.]:[Check Periodo Ref.]]="Dentro",IF(DATOS_[[Check Equiparado]:[Check Equiparado]]="Sí",IF(DATOS!BJ$5="Sí",(1/DATOS_[[% anualiz]:[% anualiz]]),1)*IF(DATOS!BJ$4="Sí",1/DATOS_[[% normaliz]:[% normaliz]],1)*(DATOS_[C.Extra.02])))))))),
0)</f>
        <v>0</v>
      </c>
      <c r="AR91" s="104">
        <f t="array" ref="AR91">IFERROR(
(AVERAGE((IF(DATOS_[[Sexo]:[Sexo]]=$B91,IF(DATOS_[[AGRUP. CLAS. PROF.]:[AGRUP. CLAS. PROF.]]=$B90,IF(DATOS_[[Check Periodo Ref.]:[Check Periodo Ref.]]="Dentro",IF(DATOS_[[Check Equiparado]:[Check Equiparado]]="Sí",IF(DATOS!BK$5="Sí",(1/DATOS_[[% anualiz]:[% anualiz]]),1)*IF(DATOS!BK$4="Sí",1/DATOS_[[% normaliz]:[% normaliz]],1)*(DATOS_[C.Extra.03])))))))),
0)</f>
        <v>0</v>
      </c>
      <c r="AS91" s="104">
        <f t="array" ref="AS91">IFERROR(
(AVERAGE((IF(DATOS_[[Sexo]:[Sexo]]=$B91,IF(DATOS_[[AGRUP. CLAS. PROF.]:[AGRUP. CLAS. PROF.]]=$B90,IF(DATOS_[[Check Periodo Ref.]:[Check Periodo Ref.]]="Dentro",IF(DATOS_[[Check Equiparado]:[Check Equiparado]]="Sí",IF(DATOS!BL$5="Sí",(1/DATOS_[[% anualiz]:[% anualiz]]),1)*IF(DATOS!BL$4="Sí",1/DATOS_[[% normaliz]:[% normaliz]],1)*(DATOS_[C.Extra.04])))))))),
0)</f>
        <v>0</v>
      </c>
      <c r="AT91" s="104">
        <f t="array" ref="AT91">IFERROR(
(AVERAGE((IF(DATOS_[[Sexo]:[Sexo]]=$B91,IF(DATOS_[[AGRUP. CLAS. PROF.]:[AGRUP. CLAS. PROF.]]=$B90,IF(DATOS_[[Check Periodo Ref.]:[Check Periodo Ref.]]="Dentro",IF(DATOS_[[Check Equiparado]:[Check Equiparado]]="Sí",IF(DATOS!BM$5="Sí",(1/DATOS_[[% anualiz]:[% anualiz]]),1)*IF(DATOS!BM$4="Sí",1/DATOS_[[% normaliz]:[% normaliz]],1)*(DATOS_[C.Extra.05])))))))),
0)</f>
        <v>0</v>
      </c>
      <c r="AU91" s="105">
        <f t="array" ref="AU91">IFERROR(
AVERAGE(IF(DATOS_[Sexo]=$B91,IF(DATOS_[[AGRUP. CLAS. PROF.]:[AGRUP. CLAS. PROF.]]=$B90,IF(DATOS_[Check Equiparado]="Sí",IF(DATOS_[Check Periodo Ref.]="Dentro",DATOS_[Tot Extrasalarial Eq],FALSE))))),
0)</f>
        <v>0</v>
      </c>
      <c r="AV91" s="106">
        <f t="array" ref="AV91">IFERROR(
AVERAGE(IF(DATOS_[Sexo]=$B91,IF(DATOS_[[AGRUP. CLAS. PROF.]:[AGRUP. CLAS. PROF.]]=$B90,IF(DATOS_[Check Equiparado]="Sí",IF(DATOS_[Check Periodo Ref.]="Dentro",DATOS_[TOTAL Retrib Eq],FALSE))))),
0)</f>
        <v>0</v>
      </c>
    </row>
    <row r="92" spans="1:48" hidden="1" x14ac:dyDescent="0.3">
      <c r="A92" s="53" t="str">
        <f t="shared" ref="A92" si="106">+A91</f>
        <v>[ocultar]</v>
      </c>
      <c r="B92" s="57" t="s">
        <v>163</v>
      </c>
      <c r="C92" s="56">
        <f t="array" ref="C92">SUM(IF($B92=DATOS_[Sexo],
IF($B90=DATOS_[AGRUP. CLAS. PROF.],
IF("Dentro"=DATOS_[Check Periodo Ref.],
1/(COUNTIFS(DATOS_[Sexo],$B92,DATOS_[AGRUP. CLAS. PROF.],$B90,DATOS_[Check Periodo Ref.],"Dentro",DATOS_[id],DATOS_[id]))))))</f>
        <v>0</v>
      </c>
      <c r="D92" s="58">
        <f>COUNTIFS(DATOS_[AGRUP. CLAS. PROF.],$B90,DATOS_[Sexo],$B92,DATOS_[Check Periodo Ref.],"Dentro")</f>
        <v>0</v>
      </c>
      <c r="E92" s="58">
        <f>COUNTIFS(DATOS_[AGRUP. CLAS. PROF.],$B90,DATOS_[Sexo],$B92,DATOS_[Check Periodo Ref.],"Dentro",DATOS_[Check Nº SC Norm],"Sí")</f>
        <v>0</v>
      </c>
      <c r="F92" s="58">
        <f>COUNTIFS(DATOS_[AGRUP. CLAS. PROF.],$B90,DATOS_[Sexo],$B92,DATOS_[Check Periodo Ref.],"Dentro",DATOS_[Check Nº SC Anualiz],"Sí")</f>
        <v>0</v>
      </c>
      <c r="G92" s="58">
        <f>COUNTIFS(DATOS_[AGRUP. CLAS. PROF.],$B90,DATOS_[Sexo],$B92,DATOS_[Check Periodo Ref.],"Dentro",DATOS_[Check Nº SC Norm y Anualiz],"Sí")</f>
        <v>0</v>
      </c>
      <c r="H92" s="58">
        <f>COUNTIFS(DATOS_[AGRUP. CLAS. PROF.],$B90,DATOS_[Sexo],$B92,DATOS_[Check Periodo Ref.],"Dentro",DATOS_[Check Equiparación],"Sí")</f>
        <v>0</v>
      </c>
      <c r="I92" s="100" cm="1">
        <f t="array" ref="I92">IFERROR(
AVERAGE(IF(DATOS_[Sexo]=$B92,IF(DATOS_[[AGRUP. CLAS. PROF.]:[AGRUP. CLAS. PROF.]]=$B90,IF(DATOS_[Check Equiparado]="Sí",IF(DATOS_[Check Periodo Ref.]="Dentro",DATOS_[SALARIO BASE Eq],FALSE))))),
0)</f>
        <v>0</v>
      </c>
      <c r="J92" s="101">
        <f t="array" ref="J92">IFERROR(
(AVERAGE((IF(DATOS_[[Sexo]:[Sexo]]=$B92,IF(DATOS_[[AGRUP. CLAS. PROF.]:[AGRUP. CLAS. PROF.]]=$B90,IF(DATOS_[[Check Periodo Ref.]:[Check Periodo Ref.]]="Dentro",IF(DATOS_[[Check Equiparado]:[Check Equiparado]]="Sí",IF(DATOS!AE$5="Sí",(1/DATOS_[[% anualiz]:[% anualiz]]),1)*IF(DATOS!AE$4="Sí",1/DATOS_[[% normaliz]:[% normaliz]],1)*(DATOS_[Conc.Sal.01])))))))),
0)</f>
        <v>0</v>
      </c>
      <c r="K92" s="101">
        <f t="array" ref="K92">IFERROR(
(AVERAGE((IF(DATOS_[[Sexo]:[Sexo]]=$B92,IF(DATOS_[[AGRUP. CLAS. PROF.]:[AGRUP. CLAS. PROF.]]=$B90,IF(DATOS_[[Check Periodo Ref.]:[Check Periodo Ref.]]="Dentro",IF(DATOS_[[Check Equiparado]:[Check Equiparado]]="Sí",IF(DATOS!AF$5="Sí",(1/DATOS_[[% anualiz]:[% anualiz]]),1)*IF(DATOS!AF$4="Sí",1/DATOS_[[% normaliz]:[% normaliz]],1)*(DATOS_[Conc.Sal.02])))))))),
0)</f>
        <v>0</v>
      </c>
      <c r="L92" s="101">
        <f t="array" ref="L92">IFERROR(
(AVERAGE((IF(DATOS_[[Sexo]:[Sexo]]=$B92,IF(DATOS_[[AGRUP. CLAS. PROF.]:[AGRUP. CLAS. PROF.]]=$B90,IF(DATOS_[[Check Periodo Ref.]:[Check Periodo Ref.]]="Dentro",IF(DATOS_[[Check Equiparado]:[Check Equiparado]]="Sí",IF(DATOS!AG$5="Sí",(1/DATOS_[[% anualiz]:[% anualiz]]),1)*IF(DATOS!AG$4="Sí",1/DATOS_[[% normaliz]:[% normaliz]],1)*(DATOS_[Conc.Sal.03])))))))),
0)</f>
        <v>0</v>
      </c>
      <c r="M92" s="101">
        <f t="array" ref="M92">IFERROR(
(AVERAGE((IF(DATOS_[[Sexo]:[Sexo]]=$B92,IF(DATOS_[[AGRUP. CLAS. PROF.]:[AGRUP. CLAS. PROF.]]=$B90,IF(DATOS_[[Check Periodo Ref.]:[Check Periodo Ref.]]="Dentro",IF(DATOS_[[Check Equiparado]:[Check Equiparado]]="Sí",IF(DATOS!AH$5="Sí",(1/DATOS_[[% anualiz]:[% anualiz]]),1)*IF(DATOS!AH$4="Sí",1/DATOS_[[% normaliz]:[% normaliz]],1)*(DATOS_[Conc.Sal.04])))))))),
0)</f>
        <v>0</v>
      </c>
      <c r="N92" s="101">
        <f t="array" ref="N92">IFERROR(
(AVERAGE((IF(DATOS_[[Sexo]:[Sexo]]=$B92,IF(DATOS_[[AGRUP. CLAS. PROF.]:[AGRUP. CLAS. PROF.]]=$B90,IF(DATOS_[[Check Periodo Ref.]:[Check Periodo Ref.]]="Dentro",IF(DATOS_[[Check Equiparado]:[Check Equiparado]]="Sí",IF(DATOS!AI$5="Sí",(1/DATOS_[[% anualiz]:[% anualiz]]),1)*IF(DATOS!AI$4="Sí",1/DATOS_[[% normaliz]:[% normaliz]],1)*(DATOS_[Conc.Sal.05])))))))),
0)</f>
        <v>0</v>
      </c>
      <c r="O92" s="101">
        <f t="array" ref="O92">IFERROR(
(AVERAGE((IF(DATOS_[[Sexo]:[Sexo]]=$B92,IF(DATOS_[[AGRUP. CLAS. PROF.]:[AGRUP. CLAS. PROF.]]=$B90,IF(DATOS_[[Check Periodo Ref.]:[Check Periodo Ref.]]="Dentro",IF(DATOS_[[Check Equiparado]:[Check Equiparado]]="Sí",IF(DATOS!AJ$5="Sí",(1/DATOS_[[% anualiz]:[% anualiz]]),1)*IF(DATOS!AJ$4="Sí",1/DATOS_[[% normaliz]:[% normaliz]],1)*(DATOS_[Conc.Sal.06])))))))),
0)</f>
        <v>0</v>
      </c>
      <c r="P92" s="101">
        <f t="array" ref="P92">IFERROR(
(AVERAGE((IF(DATOS_[[Sexo]:[Sexo]]=$B92,IF(DATOS_[[AGRUP. CLAS. PROF.]:[AGRUP. CLAS. PROF.]]=$B90,IF(DATOS_[[Check Periodo Ref.]:[Check Periodo Ref.]]="Dentro",IF(DATOS_[[Check Equiparado]:[Check Equiparado]]="Sí",IF(DATOS!AK$5="Sí",(1/DATOS_[[% anualiz]:[% anualiz]]),1)*IF(DATOS!AK$4="Sí",1/DATOS_[[% normaliz]:[% normaliz]],1)*(DATOS_[Conc.Sal.07])))))))),
0)</f>
        <v>0</v>
      </c>
      <c r="Q92" s="101">
        <f t="array" ref="Q92">IFERROR(
(AVERAGE((IF(DATOS_[[Sexo]:[Sexo]]=$B92,IF(DATOS_[[AGRUP. CLAS. PROF.]:[AGRUP. CLAS. PROF.]]=$B90,IF(DATOS_[[Check Periodo Ref.]:[Check Periodo Ref.]]="Dentro",IF(DATOS_[[Check Equiparado]:[Check Equiparado]]="Sí",IF(DATOS!AL$5="Sí",(1/DATOS_[[% anualiz]:[% anualiz]]),1)*IF(DATOS!AL$4="Sí",1/DATOS_[[% normaliz]:[% normaliz]],1)*(DATOS_[Conc.Sal.08])))))))),
0)</f>
        <v>0</v>
      </c>
      <c r="R92" s="101">
        <f t="array" ref="R92">IFERROR(
(AVERAGE((IF(DATOS_[[Sexo]:[Sexo]]=$B92,IF(DATOS_[[AGRUP. CLAS. PROF.]:[AGRUP. CLAS. PROF.]]=$B90,IF(DATOS_[[Check Periodo Ref.]:[Check Periodo Ref.]]="Dentro",IF(DATOS_[[Check Equiparado]:[Check Equiparado]]="Sí",IF(DATOS!AM$5="Sí",(1/DATOS_[[% anualiz]:[% anualiz]]),1)*IF(DATOS!AM$4="Sí",1/DATOS_[[% normaliz]:[% normaliz]],1)*(DATOS_[Conc.Sal.09])))))))),
0)</f>
        <v>0</v>
      </c>
      <c r="S92" s="101">
        <f t="array" ref="S92">IFERROR(
(AVERAGE((IF(DATOS_[[Sexo]:[Sexo]]=$B92,IF(DATOS_[[AGRUP. CLAS. PROF.]:[AGRUP. CLAS. PROF.]]=$B90,IF(DATOS_[[Check Periodo Ref.]:[Check Periodo Ref.]]="Dentro",IF(DATOS_[[Check Equiparado]:[Check Equiparado]]="Sí",IF(DATOS!AN$5="Sí",(1/DATOS_[[% anualiz]:[% anualiz]]),1)*IF(DATOS!AN$4="Sí",1/DATOS_[[% normaliz]:[% normaliz]],1)*(DATOS_[Conc.Sal.10])))))))),
0)</f>
        <v>0</v>
      </c>
      <c r="T92" s="101">
        <f t="array" ref="T92">IFERROR(
(AVERAGE((IF(DATOS_[[Sexo]:[Sexo]]=$B92,IF(DATOS_[[AGRUP. CLAS. PROF.]:[AGRUP. CLAS. PROF.]]=$B90,IF(DATOS_[[Check Periodo Ref.]:[Check Periodo Ref.]]="Dentro",IF(DATOS_[[Check Equiparado]:[Check Equiparado]]="Sí",IF(DATOS!AO$5="Sí",(1/DATOS_[[% anualiz]:[% anualiz]]),1)*IF(DATOS!AO$4="Sí",1/DATOS_[[% normaliz]:[% normaliz]],1)*(DATOS_[Conc.Sal.11])))))))),
0)</f>
        <v>0</v>
      </c>
      <c r="U92" s="101">
        <f t="array" ref="U92">IFERROR(
(AVERAGE((IF(DATOS_[[Sexo]:[Sexo]]=$B92,IF(DATOS_[[AGRUP. CLAS. PROF.]:[AGRUP. CLAS. PROF.]]=$B90,IF(DATOS_[[Check Periodo Ref.]:[Check Periodo Ref.]]="Dentro",IF(DATOS_[[Check Equiparado]:[Check Equiparado]]="Sí",IF(DATOS!AP$5="Sí",(1/DATOS_[[% anualiz]:[% anualiz]]),1)*IF(DATOS!AP$4="Sí",1/DATOS_[[% normaliz]:[% normaliz]],1)*(DATOS_[Conc.Sal.12])))))))),
0)</f>
        <v>0</v>
      </c>
      <c r="V92" s="101">
        <f t="array" ref="V92">IFERROR(
(AVERAGE((IF(DATOS_[[Sexo]:[Sexo]]=$B92,IF(DATOS_[[AGRUP. CLAS. PROF.]:[AGRUP. CLAS. PROF.]]=$B90,IF(DATOS_[[Check Periodo Ref.]:[Check Periodo Ref.]]="Dentro",IF(DATOS_[[Check Equiparado]:[Check Equiparado]]="Sí",IF(DATOS!AQ$5="Sí",(1/DATOS_[[% anualiz]:[% anualiz]]),1)*IF(DATOS!AQ$4="Sí",1/DATOS_[[% normaliz]:[% normaliz]],1)*(DATOS_[Conc.Sal.13])))))))),
0)</f>
        <v>0</v>
      </c>
      <c r="W92" s="101">
        <f t="array" ref="W92">IFERROR(
(AVERAGE((IF(DATOS_[[Sexo]:[Sexo]]=$B92,IF(DATOS_[[AGRUP. CLAS. PROF.]:[AGRUP. CLAS. PROF.]]=$B90,IF(DATOS_[[Check Periodo Ref.]:[Check Periodo Ref.]]="Dentro",IF(DATOS_[[Check Equiparado]:[Check Equiparado]]="Sí",IF(DATOS!AR$5="Sí",(1/DATOS_[[% anualiz]:[% anualiz]]),1)*IF(DATOS!AR$4="Sí",1/DATOS_[[% normaliz]:[% normaliz]],1)*(DATOS_[Conc.Sal.14])))))))),
0)</f>
        <v>0</v>
      </c>
      <c r="X92" s="101">
        <f t="array" ref="X92">IFERROR(
(AVERAGE((IF(DATOS_[[Sexo]:[Sexo]]=$B92,IF(DATOS_[[AGRUP. CLAS. PROF.]:[AGRUP. CLAS. PROF.]]=$B90,IF(DATOS_[[Check Periodo Ref.]:[Check Periodo Ref.]]="Dentro",IF(DATOS_[[Check Equiparado]:[Check Equiparado]]="Sí",IF(DATOS!AS$5="Sí",(1/DATOS_[[% anualiz]:[% anualiz]]),1)*IF(DATOS!AS$4="Sí",1/DATOS_[[% normaliz]:[% normaliz]],1)*(DATOS_[Conc.Sal.15])))))))),
0)</f>
        <v>0</v>
      </c>
      <c r="Y92" s="101">
        <f t="array" ref="Y92">IFERROR(
(AVERAGE((IF(DATOS_[[Sexo]:[Sexo]]=$B92,IF(DATOS_[[AGRUP. CLAS. PROF.]:[AGRUP. CLAS. PROF.]]=$B90,IF(DATOS_[[Check Periodo Ref.]:[Check Periodo Ref.]]="Dentro",IF(DATOS_[[Check Equiparado]:[Check Equiparado]]="Sí",IF(DATOS!AT$5="Sí",(1/DATOS_[[% anualiz]:[% anualiz]]),1)*IF(DATOS!AT$4="Sí",1/DATOS_[[% normaliz]:[% normaliz]],1)*(DATOS_[Conc.Sal.16])))))))),
0)</f>
        <v>0</v>
      </c>
      <c r="Z92" s="101">
        <f t="array" ref="Z92">IFERROR(
(AVERAGE((IF(DATOS_[[Sexo]:[Sexo]]=$B92,IF(DATOS_[[AGRUP. CLAS. PROF.]:[AGRUP. CLAS. PROF.]]=$B90,IF(DATOS_[[Check Periodo Ref.]:[Check Periodo Ref.]]="Dentro",IF(DATOS_[[Check Equiparado]:[Check Equiparado]]="Sí",IF(DATOS!AU$5="Sí",(1/DATOS_[[% anualiz]:[% anualiz]]),1)*IF(DATOS!AU$4="Sí",1/DATOS_[[% normaliz]:[% normaliz]],1)*(DATOS_[Conc.Sal.17])))))))),
0)</f>
        <v>0</v>
      </c>
      <c r="AA92" s="101">
        <f t="array" ref="AA92">IFERROR(
(AVERAGE((IF(DATOS_[[Sexo]:[Sexo]]=$B92,IF(DATOS_[[AGRUP. CLAS. PROF.]:[AGRUP. CLAS. PROF.]]=$B90,IF(DATOS_[[Check Periodo Ref.]:[Check Periodo Ref.]]="Dentro",IF(DATOS_[[Check Equiparado]:[Check Equiparado]]="Sí",IF(DATOS!AV$5="Sí",(1/DATOS_[[% anualiz]:[% anualiz]]),1)*IF(DATOS!AV$4="Sí",1/DATOS_[[% normaliz]:[% normaliz]],1)*(DATOS_[Conc.Sal.18])))))))),
0)</f>
        <v>0</v>
      </c>
      <c r="AB92" s="101">
        <f t="array" ref="AB92">IFERROR(
(AVERAGE((IF(DATOS_[[Sexo]:[Sexo]]=$B92,IF(DATOS_[[AGRUP. CLAS. PROF.]:[AGRUP. CLAS. PROF.]]=$B90,IF(DATOS_[[Check Periodo Ref.]:[Check Periodo Ref.]]="Dentro",IF(DATOS_[[Check Equiparado]:[Check Equiparado]]="Sí",IF(DATOS!AW$5="Sí",(1/DATOS_[[% anualiz]:[% anualiz]]),1)*IF(DATOS!AW$4="Sí",1/DATOS_[[% normaliz]:[% normaliz]],1)*(DATOS_[Conc.Sal.19])))))))),
0)</f>
        <v>0</v>
      </c>
      <c r="AC92" s="101">
        <f t="array" ref="AC92">IFERROR(
(AVERAGE((IF(DATOS_[[Sexo]:[Sexo]]=$B92,IF(DATOS_[[AGRUP. CLAS. PROF.]:[AGRUP. CLAS. PROF.]]=$B90,IF(DATOS_[[Check Periodo Ref.]:[Check Periodo Ref.]]="Dentro",IF(DATOS_[[Check Equiparado]:[Check Equiparado]]="Sí",IF(DATOS!AX$5="Sí",(1/DATOS_[[% anualiz]:[% anualiz]]),1)*IF(DATOS!AX$4="Sí",1/DATOS_[[% normaliz]:[% normaliz]],1)*(DATOS_[Conc.Sal.20])))))))),
0)</f>
        <v>0</v>
      </c>
      <c r="AD92" s="101">
        <f t="array" ref="AD92">IFERROR(
(AVERAGE((IF(DATOS_[[Sexo]:[Sexo]]=$B92,IF(DATOS_[[AGRUP. CLAS. PROF.]:[AGRUP. CLAS. PROF.]]=$B90,IF(DATOS_[[Check Periodo Ref.]:[Check Periodo Ref.]]="Dentro",IF(DATOS_[[Check Equiparado]:[Check Equiparado]]="Sí",IF(DATOS!AY$5="Sí",(1/DATOS_[[% anualiz]:[% anualiz]]),1)*IF(DATOS!AY$4="Sí",1/DATOS_[[% normaliz]:[% normaliz]],1)*(DATOS_[Conc.Sal.21])))))))),
0)</f>
        <v>0</v>
      </c>
      <c r="AE92" s="101">
        <f t="array" ref="AE92">IFERROR(
(AVERAGE((IF(DATOS_[[Sexo]:[Sexo]]=$B92,IF(DATOS_[[AGRUP. CLAS. PROF.]:[AGRUP. CLAS. PROF.]]=$B90,IF(DATOS_[[Check Periodo Ref.]:[Check Periodo Ref.]]="Dentro",IF(DATOS_[[Check Equiparado]:[Check Equiparado]]="Sí",IF(DATOS!AZ$5="Sí",(1/DATOS_[[% anualiz]:[% anualiz]]),1)*IF(DATOS!AZ$4="Sí",1/DATOS_[[% normaliz]:[% normaliz]],1)*(DATOS_[Conc.Sal.22])))))))),
0)</f>
        <v>0</v>
      </c>
      <c r="AF92" s="101">
        <f t="array" ref="AF92">IFERROR(
(AVERAGE((IF(DATOS_[[Sexo]:[Sexo]]=$B92,IF(DATOS_[[AGRUP. CLAS. PROF.]:[AGRUP. CLAS. PROF.]]=$B90,IF(DATOS_[[Check Periodo Ref.]:[Check Periodo Ref.]]="Dentro",IF(DATOS_[[Check Equiparado]:[Check Equiparado]]="Sí",IF(DATOS!BA$5="Sí",(1/DATOS_[[% anualiz]:[% anualiz]]),1)*IF(DATOS!BA$4="Sí",1/DATOS_[[% normaliz]:[% normaliz]],1)*(DATOS_[Conc.Sal.23])))))))),
0)</f>
        <v>0</v>
      </c>
      <c r="AG92" s="101">
        <f t="array" ref="AG92">IFERROR(
(AVERAGE((IF(DATOS_[[Sexo]:[Sexo]]=$B92,IF(DATOS_[[AGRUP. CLAS. PROF.]:[AGRUP. CLAS. PROF.]]=$B90,IF(DATOS_[[Check Periodo Ref.]:[Check Periodo Ref.]]="Dentro",IF(DATOS_[[Check Equiparado]:[Check Equiparado]]="Sí",IF(DATOS!BB$5="Sí",(1/DATOS_[[% anualiz]:[% anualiz]]),1)*IF(DATOS!BB$4="Sí",1/DATOS_[[% normaliz]:[% normaliz]],1)*(DATOS_[Conc.Sal.24])))))))),
0)</f>
        <v>0</v>
      </c>
      <c r="AH92" s="101">
        <f t="array" ref="AH92">IFERROR(
(AVERAGE((IF(DATOS_[[Sexo]:[Sexo]]=$B92,IF(DATOS_[[AGRUP. CLAS. PROF.]:[AGRUP. CLAS. PROF.]]=$B90,IF(DATOS_[[Check Periodo Ref.]:[Check Periodo Ref.]]="Dentro",IF(DATOS_[[Check Equiparado]:[Check Equiparado]]="Sí",IF(DATOS!BC$5="Sí",(1/DATOS_[[% anualiz]:[% anualiz]]),1)*IF(DATOS!BC$4="Sí",1/DATOS_[[% normaliz]:[% normaliz]],1)*(DATOS_[Conc.Sal.25])))))))),
0)</f>
        <v>0</v>
      </c>
      <c r="AI92" s="101">
        <f t="array" ref="AI92">IFERROR(
(AVERAGE((IF(DATOS_[[Sexo]:[Sexo]]=$B92,IF(DATOS_[[AGRUP. CLAS. PROF.]:[AGRUP. CLAS. PROF.]]=$B90,IF(DATOS_[[Check Periodo Ref.]:[Check Periodo Ref.]]="Dentro",IF(DATOS_[[Check Equiparado]:[Check Equiparado]]="Sí",IF(DATOS!BD$5="Sí",(1/DATOS_[[% anualiz]:[% anualiz]]),1)*IF(DATOS!BD$4="Sí",1/DATOS_[[% normaliz]:[% normaliz]],1)*(DATOS_[Conc.Sal.26])))))))),
0)</f>
        <v>0</v>
      </c>
      <c r="AJ92" s="101">
        <f t="array" ref="AJ92">IFERROR(
(AVERAGE((IF(DATOS_[[Sexo]:[Sexo]]=$B92,IF(DATOS_[[AGRUP. CLAS. PROF.]:[AGRUP. CLAS. PROF.]]=$B90,IF(DATOS_[[Check Periodo Ref.]:[Check Periodo Ref.]]="Dentro",IF(DATOS_[[Check Equiparado]:[Check Equiparado]]="Sí",IF(DATOS!BE$5="Sí",(1/DATOS_[[% anualiz]:[% anualiz]]),1)*IF(DATOS!BE$4="Sí",1/DATOS_[[% normaliz]:[% normaliz]],1)*(DATOS_[Conc.Sal.27])))))))),
0)</f>
        <v>0</v>
      </c>
      <c r="AK92" s="101">
        <f t="array" ref="AK92">IFERROR(
(AVERAGE((IF(DATOS_[[Sexo]:[Sexo]]=$B92,IF(DATOS_[[AGRUP. CLAS. PROF.]:[AGRUP. CLAS. PROF.]]=$B90,IF(DATOS_[[Check Periodo Ref.]:[Check Periodo Ref.]]="Dentro",IF(DATOS_[[Check Equiparado]:[Check Equiparado]]="Sí",IF(DATOS!BF$5="Sí",(1/DATOS_[[% anualiz]:[% anualiz]]),1)*IF(DATOS!BF$4="Sí",1/DATOS_[[% normaliz]:[% normaliz]],1)*(DATOS_[Conc.Sal.28])))))))),
0)</f>
        <v>0</v>
      </c>
      <c r="AL92" s="101">
        <f t="array" ref="AL92">IFERROR(
(AVERAGE((IF(DATOS_[[Sexo]:[Sexo]]=$B92,IF(DATOS_[[AGRUP. CLAS. PROF.]:[AGRUP. CLAS. PROF.]]=$B90,IF(DATOS_[[Check Periodo Ref.]:[Check Periodo Ref.]]="Dentro",IF(DATOS_[[Check Equiparado]:[Check Equiparado]]="Sí",IF(DATOS!BG$5="Sí",(1/DATOS_[[% anualiz]:[% anualiz]]),1)*IF(DATOS!BG$4="Sí",1/DATOS_[[% normaliz]:[% normaliz]],1)*(DATOS_[Conc.Sal.29])))))))),
0)</f>
        <v>0</v>
      </c>
      <c r="AM92" s="101">
        <f t="array" ref="AM92">IFERROR(
(AVERAGE((IF(DATOS_[[Sexo]:[Sexo]]=$B92,IF(DATOS_[[AGRUP. CLAS. PROF.]:[AGRUP. CLAS. PROF.]]=$B90,IF(DATOS_[[Check Periodo Ref.]:[Check Periodo Ref.]]="Dentro",IF(DATOS_[[Check Equiparado]:[Check Equiparado]]="Sí",IF(DATOS!BH$5="Sí",(1/DATOS_[[% anualiz]:[% anualiz]]),1)*IF(DATOS!BH$4="Sí",1/DATOS_[[% normaliz]:[% normaliz]],1)*(DATOS_[Conc.Sal.30])))))))),
0)</f>
        <v>0</v>
      </c>
      <c r="AN92" s="102">
        <f t="array" ref="AN92">IFERROR(
AVERAGE(IF(DATOS_[Sexo]=$B92,IF(DATOS_[[AGRUP. CLAS. PROF.]:[AGRUP. CLAS. PROF.]]=$B90,IF(DATOS_[Check Equiparado]="Sí",IF(DATOS_[Check Periodo Ref.]="Dentro",DATOS_[Tot COMPL.SAL Eq],FALSE))))),
0)</f>
        <v>0</v>
      </c>
      <c r="AO92" s="103">
        <f t="array" ref="AO92">IFERROR(
AVERAGE(IF(DATOS_[Sexo]=$B92,IF(DATOS_[[AGRUP. CLAS. PROF.]:[AGRUP. CLAS. PROF.]]=$B90,IF(DATOS_[Check Equiparado]="Sí",IF(DATOS_[Check Periodo Ref.]="Dentro",DATOS_[TOTAL SALARIO Eq],FALSE))))),
0)</f>
        <v>0</v>
      </c>
      <c r="AP92" s="104">
        <f t="array" ref="AP92">IFERROR(
(AVERAGE((IF(DATOS_[[Sexo]:[Sexo]]=$B92,IF(DATOS_[[AGRUP. CLAS. PROF.]:[AGRUP. CLAS. PROF.]]=$B90,IF(DATOS_[[Check Periodo Ref.]:[Check Periodo Ref.]]="Dentro",IF(DATOS_[[Check Equiparado]:[Check Equiparado]]="Sí",IF(DATOS!BI$5="Sí",(1/DATOS_[[% anualiz]:[% anualiz]]),1)*IF(DATOS!BI$4="Sí",1/DATOS_[[% normaliz]:[% normaliz]],1)*(DATOS_[C.Extra.01])))))))),
0)</f>
        <v>0</v>
      </c>
      <c r="AQ92" s="104">
        <f t="array" ref="AQ92">IFERROR(
(AVERAGE((IF(DATOS_[[Sexo]:[Sexo]]=$B92,IF(DATOS_[[AGRUP. CLAS. PROF.]:[AGRUP. CLAS. PROF.]]=$B90,IF(DATOS_[[Check Periodo Ref.]:[Check Periodo Ref.]]="Dentro",IF(DATOS_[[Check Equiparado]:[Check Equiparado]]="Sí",IF(DATOS!BJ$5="Sí",(1/DATOS_[[% anualiz]:[% anualiz]]),1)*IF(DATOS!BJ$4="Sí",1/DATOS_[[% normaliz]:[% normaliz]],1)*(DATOS_[C.Extra.02])))))))),
0)</f>
        <v>0</v>
      </c>
      <c r="AR92" s="104">
        <f t="array" ref="AR92">IFERROR(
(AVERAGE((IF(DATOS_[[Sexo]:[Sexo]]=$B92,IF(DATOS_[[AGRUP. CLAS. PROF.]:[AGRUP. CLAS. PROF.]]=$B90,IF(DATOS_[[Check Periodo Ref.]:[Check Periodo Ref.]]="Dentro",IF(DATOS_[[Check Equiparado]:[Check Equiparado]]="Sí",IF(DATOS!BK$5="Sí",(1/DATOS_[[% anualiz]:[% anualiz]]),1)*IF(DATOS!BK$4="Sí",1/DATOS_[[% normaliz]:[% normaliz]],1)*(DATOS_[C.Extra.03])))))))),
0)</f>
        <v>0</v>
      </c>
      <c r="AS92" s="104">
        <f t="array" ref="AS92">IFERROR(
(AVERAGE((IF(DATOS_[[Sexo]:[Sexo]]=$B92,IF(DATOS_[[AGRUP. CLAS. PROF.]:[AGRUP. CLAS. PROF.]]=$B90,IF(DATOS_[[Check Periodo Ref.]:[Check Periodo Ref.]]="Dentro",IF(DATOS_[[Check Equiparado]:[Check Equiparado]]="Sí",IF(DATOS!BL$5="Sí",(1/DATOS_[[% anualiz]:[% anualiz]]),1)*IF(DATOS!BL$4="Sí",1/DATOS_[[% normaliz]:[% normaliz]],1)*(DATOS_[C.Extra.04])))))))),
0)</f>
        <v>0</v>
      </c>
      <c r="AT92" s="104">
        <f t="array" ref="AT92">IFERROR(
(AVERAGE((IF(DATOS_[[Sexo]:[Sexo]]=$B92,IF(DATOS_[[AGRUP. CLAS. PROF.]:[AGRUP. CLAS. PROF.]]=$B90,IF(DATOS_[[Check Periodo Ref.]:[Check Periodo Ref.]]="Dentro",IF(DATOS_[[Check Equiparado]:[Check Equiparado]]="Sí",IF(DATOS!BM$5="Sí",(1/DATOS_[[% anualiz]:[% anualiz]]),1)*IF(DATOS!BM$4="Sí",1/DATOS_[[% normaliz]:[% normaliz]],1)*(DATOS_[C.Extra.05])))))))),
0)</f>
        <v>0</v>
      </c>
      <c r="AU92" s="105">
        <f t="array" ref="AU92">IFERROR(
AVERAGE(IF(DATOS_[Sexo]=$B92,IF(DATOS_[[AGRUP. CLAS. PROF.]:[AGRUP. CLAS. PROF.]]=$B90,IF(DATOS_[Check Equiparado]="Sí",IF(DATOS_[Check Periodo Ref.]="Dentro",DATOS_[Tot Extrasalarial Eq],FALSE))))),
0)</f>
        <v>0</v>
      </c>
      <c r="AV92" s="106">
        <f t="array" ref="AV92">IFERROR(
AVERAGE(IF(DATOS_[Sexo]=$B92,IF(DATOS_[[AGRUP. CLAS. PROF.]:[AGRUP. CLAS. PROF.]]=$B90,IF(DATOS_[Check Equiparado]="Sí",IF(DATOS_[Check Periodo Ref.]="Dentro",DATOS_[TOTAL Retrib Eq],FALSE))))),
0)</f>
        <v>0</v>
      </c>
    </row>
    <row r="93" spans="1:48" ht="17.25" hidden="1" thickBot="1" x14ac:dyDescent="0.35">
      <c r="A93" s="53" t="str">
        <f t="shared" ref="A93" si="107">+A94</f>
        <v>[ocultar]</v>
      </c>
      <c r="B93" s="62" t="s">
        <v>243</v>
      </c>
      <c r="C93" s="99"/>
      <c r="D93" s="63"/>
      <c r="E93" s="63"/>
      <c r="F93" s="63"/>
      <c r="G93" s="63"/>
      <c r="H93" s="63"/>
      <c r="I93" s="129" t="str">
        <f t="shared" ref="I93:AV93" si="108">IFERROR((I94-I95)/I94,"")</f>
        <v/>
      </c>
      <c r="J93" s="130" t="str">
        <f t="shared" si="108"/>
        <v/>
      </c>
      <c r="K93" s="131" t="str">
        <f t="shared" si="108"/>
        <v/>
      </c>
      <c r="L93" s="131" t="str">
        <f t="shared" si="108"/>
        <v/>
      </c>
      <c r="M93" s="131" t="str">
        <f t="shared" si="108"/>
        <v/>
      </c>
      <c r="N93" s="132" t="str">
        <f t="shared" si="108"/>
        <v/>
      </c>
      <c r="O93" s="133" t="str">
        <f t="shared" si="108"/>
        <v/>
      </c>
      <c r="P93" s="133" t="str">
        <f t="shared" si="108"/>
        <v/>
      </c>
      <c r="Q93" s="133" t="str">
        <f t="shared" si="108"/>
        <v/>
      </c>
      <c r="R93" s="133" t="str">
        <f t="shared" si="108"/>
        <v/>
      </c>
      <c r="S93" s="133" t="str">
        <f t="shared" si="108"/>
        <v/>
      </c>
      <c r="T93" s="133" t="str">
        <f t="shared" si="108"/>
        <v/>
      </c>
      <c r="U93" s="133" t="str">
        <f t="shared" si="108"/>
        <v/>
      </c>
      <c r="V93" s="133" t="str">
        <f t="shared" si="108"/>
        <v/>
      </c>
      <c r="W93" s="133" t="str">
        <f t="shared" si="108"/>
        <v/>
      </c>
      <c r="X93" s="133" t="str">
        <f t="shared" si="108"/>
        <v/>
      </c>
      <c r="Y93" s="133" t="str">
        <f t="shared" si="108"/>
        <v/>
      </c>
      <c r="Z93" s="132" t="str">
        <f t="shared" si="108"/>
        <v/>
      </c>
      <c r="AA93" s="132" t="str">
        <f t="shared" si="108"/>
        <v/>
      </c>
      <c r="AB93" s="132" t="str">
        <f t="shared" si="108"/>
        <v/>
      </c>
      <c r="AC93" s="132" t="str">
        <f t="shared" si="108"/>
        <v/>
      </c>
      <c r="AD93" s="132" t="str">
        <f t="shared" si="108"/>
        <v/>
      </c>
      <c r="AE93" s="132" t="str">
        <f t="shared" si="108"/>
        <v/>
      </c>
      <c r="AF93" s="132" t="str">
        <f t="shared" si="108"/>
        <v/>
      </c>
      <c r="AG93" s="132" t="str">
        <f t="shared" si="108"/>
        <v/>
      </c>
      <c r="AH93" s="132" t="str">
        <f t="shared" si="108"/>
        <v/>
      </c>
      <c r="AI93" s="132" t="str">
        <f t="shared" si="108"/>
        <v/>
      </c>
      <c r="AJ93" s="132" t="str">
        <f t="shared" si="108"/>
        <v/>
      </c>
      <c r="AK93" s="132" t="str">
        <f t="shared" si="108"/>
        <v/>
      </c>
      <c r="AL93" s="132" t="str">
        <f t="shared" si="108"/>
        <v/>
      </c>
      <c r="AM93" s="132" t="str">
        <f t="shared" si="108"/>
        <v/>
      </c>
      <c r="AN93" s="134" t="str">
        <f t="shared" si="108"/>
        <v/>
      </c>
      <c r="AO93" s="138" t="str">
        <f t="shared" si="108"/>
        <v/>
      </c>
      <c r="AP93" s="135" t="str">
        <f t="shared" si="108"/>
        <v/>
      </c>
      <c r="AQ93" s="135" t="str">
        <f t="shared" si="108"/>
        <v/>
      </c>
      <c r="AR93" s="135" t="str">
        <f t="shared" si="108"/>
        <v/>
      </c>
      <c r="AS93" s="135" t="str">
        <f t="shared" si="108"/>
        <v/>
      </c>
      <c r="AT93" s="135" t="str">
        <f t="shared" si="108"/>
        <v/>
      </c>
      <c r="AU93" s="136" t="str">
        <f t="shared" si="108"/>
        <v/>
      </c>
      <c r="AV93" s="137" t="str">
        <f t="shared" si="108"/>
        <v/>
      </c>
    </row>
    <row r="94" spans="1:48" hidden="1" x14ac:dyDescent="0.3">
      <c r="A94" s="53" t="str">
        <f t="shared" ref="A94" si="109">+IF(C94+C95=0,"[ocultar]","")</f>
        <v>[ocultar]</v>
      </c>
      <c r="B94" s="57" t="s">
        <v>162</v>
      </c>
      <c r="C94" s="56">
        <f t="array" ref="C94">SUM(IF($B94=DATOS_[Sexo],
IF($B93=DATOS_[AGRUP. CLAS. PROF.],
IF("Dentro"=DATOS_[Check Periodo Ref.],
1/(COUNTIFS(DATOS_[Sexo],$B94,DATOS_[AGRUP. CLAS. PROF.],$B93,DATOS_[Check Periodo Ref.],"Dentro",DATOS_[id],DATOS_[id]))))))</f>
        <v>0</v>
      </c>
      <c r="D94" s="58">
        <f>COUNTIFS(DATOS_[AGRUP. CLAS. PROF.],$B93,DATOS_[Sexo],$B94,DATOS_[Check Periodo Ref.],"Dentro")</f>
        <v>0</v>
      </c>
      <c r="E94" s="58">
        <f>COUNTIFS(DATOS_[AGRUP. CLAS. PROF.],$B93,DATOS_[Sexo],$B94,DATOS_[Check Periodo Ref.],"Dentro",DATOS_[Check Nº SC Norm],"Sí")</f>
        <v>0</v>
      </c>
      <c r="F94" s="58">
        <f>COUNTIFS(DATOS_[AGRUP. CLAS. PROF.],$B93,DATOS_[Sexo],$B94,DATOS_[Check Periodo Ref.],"Dentro",DATOS_[Check Nº SC Anualiz],"Sí")</f>
        <v>0</v>
      </c>
      <c r="G94" s="58">
        <f>COUNTIFS(DATOS_[AGRUP. CLAS. PROF.],$B93,DATOS_[Sexo],$B94,DATOS_[Check Periodo Ref.],"Dentro",DATOS_[Check Nº SC Norm y Anualiz],"Sí")</f>
        <v>0</v>
      </c>
      <c r="H94" s="58">
        <f>COUNTIFS(DATOS_[AGRUP. CLAS. PROF.],$B93,DATOS_[Sexo],$B94,DATOS_[Check Periodo Ref.],"Dentro",DATOS_[Check Equiparación],"Sí")</f>
        <v>0</v>
      </c>
      <c r="I94" s="100">
        <f t="array" ref="I94">IFERROR(
AVERAGE(IF(DATOS_[Sexo]=$B94,IF(DATOS_[[AGRUP. CLAS. PROF.]:[AGRUP. CLAS. PROF.]]=$B93,IF(DATOS_[Check Equiparado]="Sí",IF(DATOS_[Check Periodo Ref.]="Dentro",DATOS_[SALARIO BASE Eq],FALSE))))),
0)</f>
        <v>0</v>
      </c>
      <c r="J94" s="101">
        <f t="array" ref="J94">IFERROR(
(AVERAGE((IF(DATOS_[[Sexo]:[Sexo]]=$B94,IF(DATOS_[[AGRUP. CLAS. PROF.]:[AGRUP. CLAS. PROF.]]=$B93,IF(DATOS_[[Check Periodo Ref.]:[Check Periodo Ref.]]="Dentro",IF(DATOS_[[Check Equiparado]:[Check Equiparado]]="Sí",IF(DATOS!AE$5="Sí",(1/DATOS_[[% anualiz]:[% anualiz]]),1)*IF(DATOS!AE$4="Sí",1/DATOS_[[% normaliz]:[% normaliz]],1)*(DATOS_[Conc.Sal.01])))))))),
0)</f>
        <v>0</v>
      </c>
      <c r="K94" s="101">
        <f t="array" ref="K94">IFERROR(
(AVERAGE((IF(DATOS_[[Sexo]:[Sexo]]=$B94,IF(DATOS_[[AGRUP. CLAS. PROF.]:[AGRUP. CLAS. PROF.]]=$B93,IF(DATOS_[[Check Periodo Ref.]:[Check Periodo Ref.]]="Dentro",IF(DATOS_[[Check Equiparado]:[Check Equiparado]]="Sí",IF(DATOS!AF$5="Sí",(1/DATOS_[[% anualiz]:[% anualiz]]),1)*IF(DATOS!AF$4="Sí",1/DATOS_[[% normaliz]:[% normaliz]],1)*(DATOS_[Conc.Sal.02])))))))),
0)</f>
        <v>0</v>
      </c>
      <c r="L94" s="101">
        <f t="array" ref="L94">IFERROR(
(AVERAGE((IF(DATOS_[[Sexo]:[Sexo]]=$B94,IF(DATOS_[[AGRUP. CLAS. PROF.]:[AGRUP. CLAS. PROF.]]=$B93,IF(DATOS_[[Check Periodo Ref.]:[Check Periodo Ref.]]="Dentro",IF(DATOS_[[Check Equiparado]:[Check Equiparado]]="Sí",IF(DATOS!AG$5="Sí",(1/DATOS_[[% anualiz]:[% anualiz]]),1)*IF(DATOS!AG$4="Sí",1/DATOS_[[% normaliz]:[% normaliz]],1)*(DATOS_[Conc.Sal.03])))))))),
0)</f>
        <v>0</v>
      </c>
      <c r="M94" s="101">
        <f t="array" ref="M94">IFERROR(
(AVERAGE((IF(DATOS_[[Sexo]:[Sexo]]=$B94,IF(DATOS_[[AGRUP. CLAS. PROF.]:[AGRUP. CLAS. PROF.]]=$B93,IF(DATOS_[[Check Periodo Ref.]:[Check Periodo Ref.]]="Dentro",IF(DATOS_[[Check Equiparado]:[Check Equiparado]]="Sí",IF(DATOS!AH$5="Sí",(1/DATOS_[[% anualiz]:[% anualiz]]),1)*IF(DATOS!AH$4="Sí",1/DATOS_[[% normaliz]:[% normaliz]],1)*(DATOS_[Conc.Sal.04])))))))),
0)</f>
        <v>0</v>
      </c>
      <c r="N94" s="101">
        <f t="array" ref="N94">IFERROR(
(AVERAGE((IF(DATOS_[[Sexo]:[Sexo]]=$B94,IF(DATOS_[[AGRUP. CLAS. PROF.]:[AGRUP. CLAS. PROF.]]=$B93,IF(DATOS_[[Check Periodo Ref.]:[Check Periodo Ref.]]="Dentro",IF(DATOS_[[Check Equiparado]:[Check Equiparado]]="Sí",IF(DATOS!AI$5="Sí",(1/DATOS_[[% anualiz]:[% anualiz]]),1)*IF(DATOS!AI$4="Sí",1/DATOS_[[% normaliz]:[% normaliz]],1)*(DATOS_[Conc.Sal.05])))))))),
0)</f>
        <v>0</v>
      </c>
      <c r="O94" s="101">
        <f t="array" ref="O94">IFERROR(
(AVERAGE((IF(DATOS_[[Sexo]:[Sexo]]=$B94,IF(DATOS_[[AGRUP. CLAS. PROF.]:[AGRUP. CLAS. PROF.]]=$B93,IF(DATOS_[[Check Periodo Ref.]:[Check Periodo Ref.]]="Dentro",IF(DATOS_[[Check Equiparado]:[Check Equiparado]]="Sí",IF(DATOS!AJ$5="Sí",(1/DATOS_[[% anualiz]:[% anualiz]]),1)*IF(DATOS!AJ$4="Sí",1/DATOS_[[% normaliz]:[% normaliz]],1)*(DATOS_[Conc.Sal.06])))))))),
0)</f>
        <v>0</v>
      </c>
      <c r="P94" s="101">
        <f t="array" ref="P94">IFERROR(
(AVERAGE((IF(DATOS_[[Sexo]:[Sexo]]=$B94,IF(DATOS_[[AGRUP. CLAS. PROF.]:[AGRUP. CLAS. PROF.]]=$B93,IF(DATOS_[[Check Periodo Ref.]:[Check Periodo Ref.]]="Dentro",IF(DATOS_[[Check Equiparado]:[Check Equiparado]]="Sí",IF(DATOS!AK$5="Sí",(1/DATOS_[[% anualiz]:[% anualiz]]),1)*IF(DATOS!AK$4="Sí",1/DATOS_[[% normaliz]:[% normaliz]],1)*(DATOS_[Conc.Sal.07])))))))),
0)</f>
        <v>0</v>
      </c>
      <c r="Q94" s="101">
        <f t="array" ref="Q94">IFERROR(
(AVERAGE((IF(DATOS_[[Sexo]:[Sexo]]=$B94,IF(DATOS_[[AGRUP. CLAS. PROF.]:[AGRUP. CLAS. PROF.]]=$B93,IF(DATOS_[[Check Periodo Ref.]:[Check Periodo Ref.]]="Dentro",IF(DATOS_[[Check Equiparado]:[Check Equiparado]]="Sí",IF(DATOS!AL$5="Sí",(1/DATOS_[[% anualiz]:[% anualiz]]),1)*IF(DATOS!AL$4="Sí",1/DATOS_[[% normaliz]:[% normaliz]],1)*(DATOS_[Conc.Sal.08])))))))),
0)</f>
        <v>0</v>
      </c>
      <c r="R94" s="101">
        <f t="array" ref="R94">IFERROR(
(AVERAGE((IF(DATOS_[[Sexo]:[Sexo]]=$B94,IF(DATOS_[[AGRUP. CLAS. PROF.]:[AGRUP. CLAS. PROF.]]=$B93,IF(DATOS_[[Check Periodo Ref.]:[Check Periodo Ref.]]="Dentro",IF(DATOS_[[Check Equiparado]:[Check Equiparado]]="Sí",IF(DATOS!AM$5="Sí",(1/DATOS_[[% anualiz]:[% anualiz]]),1)*IF(DATOS!AM$4="Sí",1/DATOS_[[% normaliz]:[% normaliz]],1)*(DATOS_[Conc.Sal.09])))))))),
0)</f>
        <v>0</v>
      </c>
      <c r="S94" s="101">
        <f t="array" ref="S94">IFERROR(
(AVERAGE((IF(DATOS_[[Sexo]:[Sexo]]=$B94,IF(DATOS_[[AGRUP. CLAS. PROF.]:[AGRUP. CLAS. PROF.]]=$B93,IF(DATOS_[[Check Periodo Ref.]:[Check Periodo Ref.]]="Dentro",IF(DATOS_[[Check Equiparado]:[Check Equiparado]]="Sí",IF(DATOS!AN$5="Sí",(1/DATOS_[[% anualiz]:[% anualiz]]),1)*IF(DATOS!AN$4="Sí",1/DATOS_[[% normaliz]:[% normaliz]],1)*(DATOS_[Conc.Sal.10])))))))),
0)</f>
        <v>0</v>
      </c>
      <c r="T94" s="101">
        <f t="array" ref="T94">IFERROR(
(AVERAGE((IF(DATOS_[[Sexo]:[Sexo]]=$B94,IF(DATOS_[[AGRUP. CLAS. PROF.]:[AGRUP. CLAS. PROF.]]=$B93,IF(DATOS_[[Check Periodo Ref.]:[Check Periodo Ref.]]="Dentro",IF(DATOS_[[Check Equiparado]:[Check Equiparado]]="Sí",IF(DATOS!AO$5="Sí",(1/DATOS_[[% anualiz]:[% anualiz]]),1)*IF(DATOS!AO$4="Sí",1/DATOS_[[% normaliz]:[% normaliz]],1)*(DATOS_[Conc.Sal.11])))))))),
0)</f>
        <v>0</v>
      </c>
      <c r="U94" s="101">
        <f t="array" ref="U94">IFERROR(
(AVERAGE((IF(DATOS_[[Sexo]:[Sexo]]=$B94,IF(DATOS_[[AGRUP. CLAS. PROF.]:[AGRUP. CLAS. PROF.]]=$B93,IF(DATOS_[[Check Periodo Ref.]:[Check Periodo Ref.]]="Dentro",IF(DATOS_[[Check Equiparado]:[Check Equiparado]]="Sí",IF(DATOS!AP$5="Sí",(1/DATOS_[[% anualiz]:[% anualiz]]),1)*IF(DATOS!AP$4="Sí",1/DATOS_[[% normaliz]:[% normaliz]],1)*(DATOS_[Conc.Sal.12])))))))),
0)</f>
        <v>0</v>
      </c>
      <c r="V94" s="101">
        <f t="array" ref="V94">IFERROR(
(AVERAGE((IF(DATOS_[[Sexo]:[Sexo]]=$B94,IF(DATOS_[[AGRUP. CLAS. PROF.]:[AGRUP. CLAS. PROF.]]=$B93,IF(DATOS_[[Check Periodo Ref.]:[Check Periodo Ref.]]="Dentro",IF(DATOS_[[Check Equiparado]:[Check Equiparado]]="Sí",IF(DATOS!AQ$5="Sí",(1/DATOS_[[% anualiz]:[% anualiz]]),1)*IF(DATOS!AQ$4="Sí",1/DATOS_[[% normaliz]:[% normaliz]],1)*(DATOS_[Conc.Sal.13])))))))),
0)</f>
        <v>0</v>
      </c>
      <c r="W94" s="101">
        <f t="array" ref="W94">IFERROR(
(AVERAGE((IF(DATOS_[[Sexo]:[Sexo]]=$B94,IF(DATOS_[[AGRUP. CLAS. PROF.]:[AGRUP. CLAS. PROF.]]=$B93,IF(DATOS_[[Check Periodo Ref.]:[Check Periodo Ref.]]="Dentro",IF(DATOS_[[Check Equiparado]:[Check Equiparado]]="Sí",IF(DATOS!AR$5="Sí",(1/DATOS_[[% anualiz]:[% anualiz]]),1)*IF(DATOS!AR$4="Sí",1/DATOS_[[% normaliz]:[% normaliz]],1)*(DATOS_[Conc.Sal.14])))))))),
0)</f>
        <v>0</v>
      </c>
      <c r="X94" s="101">
        <f t="array" ref="X94">IFERROR(
(AVERAGE((IF(DATOS_[[Sexo]:[Sexo]]=$B94,IF(DATOS_[[AGRUP. CLAS. PROF.]:[AGRUP. CLAS. PROF.]]=$B93,IF(DATOS_[[Check Periodo Ref.]:[Check Periodo Ref.]]="Dentro",IF(DATOS_[[Check Equiparado]:[Check Equiparado]]="Sí",IF(DATOS!AS$5="Sí",(1/DATOS_[[% anualiz]:[% anualiz]]),1)*IF(DATOS!AS$4="Sí",1/DATOS_[[% normaliz]:[% normaliz]],1)*(DATOS_[Conc.Sal.15])))))))),
0)</f>
        <v>0</v>
      </c>
      <c r="Y94" s="101">
        <f t="array" ref="Y94">IFERROR(
(AVERAGE((IF(DATOS_[[Sexo]:[Sexo]]=$B94,IF(DATOS_[[AGRUP. CLAS. PROF.]:[AGRUP. CLAS. PROF.]]=$B93,IF(DATOS_[[Check Periodo Ref.]:[Check Periodo Ref.]]="Dentro",IF(DATOS_[[Check Equiparado]:[Check Equiparado]]="Sí",IF(DATOS!AT$5="Sí",(1/DATOS_[[% anualiz]:[% anualiz]]),1)*IF(DATOS!AT$4="Sí",1/DATOS_[[% normaliz]:[% normaliz]],1)*(DATOS_[Conc.Sal.16])))))))),
0)</f>
        <v>0</v>
      </c>
      <c r="Z94" s="101">
        <f t="array" ref="Z94">IFERROR(
(AVERAGE((IF(DATOS_[[Sexo]:[Sexo]]=$B94,IF(DATOS_[[AGRUP. CLAS. PROF.]:[AGRUP. CLAS. PROF.]]=$B93,IF(DATOS_[[Check Periodo Ref.]:[Check Periodo Ref.]]="Dentro",IF(DATOS_[[Check Equiparado]:[Check Equiparado]]="Sí",IF(DATOS!AU$5="Sí",(1/DATOS_[[% anualiz]:[% anualiz]]),1)*IF(DATOS!AU$4="Sí",1/DATOS_[[% normaliz]:[% normaliz]],1)*(DATOS_[Conc.Sal.17])))))))),
0)</f>
        <v>0</v>
      </c>
      <c r="AA94" s="101">
        <f t="array" ref="AA94">IFERROR(
(AVERAGE((IF(DATOS_[[Sexo]:[Sexo]]=$B94,IF(DATOS_[[AGRUP. CLAS. PROF.]:[AGRUP. CLAS. PROF.]]=$B93,IF(DATOS_[[Check Periodo Ref.]:[Check Periodo Ref.]]="Dentro",IF(DATOS_[[Check Equiparado]:[Check Equiparado]]="Sí",IF(DATOS!AV$5="Sí",(1/DATOS_[[% anualiz]:[% anualiz]]),1)*IF(DATOS!AV$4="Sí",1/DATOS_[[% normaliz]:[% normaliz]],1)*(DATOS_[Conc.Sal.18])))))))),
0)</f>
        <v>0</v>
      </c>
      <c r="AB94" s="101">
        <f t="array" ref="AB94">IFERROR(
(AVERAGE((IF(DATOS_[[Sexo]:[Sexo]]=$B94,IF(DATOS_[[AGRUP. CLAS. PROF.]:[AGRUP. CLAS. PROF.]]=$B93,IF(DATOS_[[Check Periodo Ref.]:[Check Periodo Ref.]]="Dentro",IF(DATOS_[[Check Equiparado]:[Check Equiparado]]="Sí",IF(DATOS!AW$5="Sí",(1/DATOS_[[% anualiz]:[% anualiz]]),1)*IF(DATOS!AW$4="Sí",1/DATOS_[[% normaliz]:[% normaliz]],1)*(DATOS_[Conc.Sal.19])))))))),
0)</f>
        <v>0</v>
      </c>
      <c r="AC94" s="101">
        <f t="array" ref="AC94">IFERROR(
(AVERAGE((IF(DATOS_[[Sexo]:[Sexo]]=$B94,IF(DATOS_[[AGRUP. CLAS. PROF.]:[AGRUP. CLAS. PROF.]]=$B93,IF(DATOS_[[Check Periodo Ref.]:[Check Periodo Ref.]]="Dentro",IF(DATOS_[[Check Equiparado]:[Check Equiparado]]="Sí",IF(DATOS!AX$5="Sí",(1/DATOS_[[% anualiz]:[% anualiz]]),1)*IF(DATOS!AX$4="Sí",1/DATOS_[[% normaliz]:[% normaliz]],1)*(DATOS_[Conc.Sal.20])))))))),
0)</f>
        <v>0</v>
      </c>
      <c r="AD94" s="101">
        <f t="array" ref="AD94">IFERROR(
(AVERAGE((IF(DATOS_[[Sexo]:[Sexo]]=$B94,IF(DATOS_[[AGRUP. CLAS. PROF.]:[AGRUP. CLAS. PROF.]]=$B93,IF(DATOS_[[Check Periodo Ref.]:[Check Periodo Ref.]]="Dentro",IF(DATOS_[[Check Equiparado]:[Check Equiparado]]="Sí",IF(DATOS!AY$5="Sí",(1/DATOS_[[% anualiz]:[% anualiz]]),1)*IF(DATOS!AY$4="Sí",1/DATOS_[[% normaliz]:[% normaliz]],1)*(DATOS_[Conc.Sal.21])))))))),
0)</f>
        <v>0</v>
      </c>
      <c r="AE94" s="101">
        <f t="array" ref="AE94">IFERROR(
(AVERAGE((IF(DATOS_[[Sexo]:[Sexo]]=$B94,IF(DATOS_[[AGRUP. CLAS. PROF.]:[AGRUP. CLAS. PROF.]]=$B93,IF(DATOS_[[Check Periodo Ref.]:[Check Periodo Ref.]]="Dentro",IF(DATOS_[[Check Equiparado]:[Check Equiparado]]="Sí",IF(DATOS!AZ$5="Sí",(1/DATOS_[[% anualiz]:[% anualiz]]),1)*IF(DATOS!AZ$4="Sí",1/DATOS_[[% normaliz]:[% normaliz]],1)*(DATOS_[Conc.Sal.22])))))))),
0)</f>
        <v>0</v>
      </c>
      <c r="AF94" s="101">
        <f t="array" ref="AF94">IFERROR(
(AVERAGE((IF(DATOS_[[Sexo]:[Sexo]]=$B94,IF(DATOS_[[AGRUP. CLAS. PROF.]:[AGRUP. CLAS. PROF.]]=$B93,IF(DATOS_[[Check Periodo Ref.]:[Check Periodo Ref.]]="Dentro",IF(DATOS_[[Check Equiparado]:[Check Equiparado]]="Sí",IF(DATOS!BA$5="Sí",(1/DATOS_[[% anualiz]:[% anualiz]]),1)*IF(DATOS!BA$4="Sí",1/DATOS_[[% normaliz]:[% normaliz]],1)*(DATOS_[Conc.Sal.23])))))))),
0)</f>
        <v>0</v>
      </c>
      <c r="AG94" s="101">
        <f t="array" ref="AG94">IFERROR(
(AVERAGE((IF(DATOS_[[Sexo]:[Sexo]]=$B94,IF(DATOS_[[AGRUP. CLAS. PROF.]:[AGRUP. CLAS. PROF.]]=$B93,IF(DATOS_[[Check Periodo Ref.]:[Check Periodo Ref.]]="Dentro",IF(DATOS_[[Check Equiparado]:[Check Equiparado]]="Sí",IF(DATOS!BB$5="Sí",(1/DATOS_[[% anualiz]:[% anualiz]]),1)*IF(DATOS!BB$4="Sí",1/DATOS_[[% normaliz]:[% normaliz]],1)*(DATOS_[Conc.Sal.24])))))))),
0)</f>
        <v>0</v>
      </c>
      <c r="AH94" s="101">
        <f t="array" ref="AH94">IFERROR(
(AVERAGE((IF(DATOS_[[Sexo]:[Sexo]]=$B94,IF(DATOS_[[AGRUP. CLAS. PROF.]:[AGRUP. CLAS. PROF.]]=$B93,IF(DATOS_[[Check Periodo Ref.]:[Check Periodo Ref.]]="Dentro",IF(DATOS_[[Check Equiparado]:[Check Equiparado]]="Sí",IF(DATOS!BC$5="Sí",(1/DATOS_[[% anualiz]:[% anualiz]]),1)*IF(DATOS!BC$4="Sí",1/DATOS_[[% normaliz]:[% normaliz]],1)*(DATOS_[Conc.Sal.25])))))))),
0)</f>
        <v>0</v>
      </c>
      <c r="AI94" s="101">
        <f t="array" ref="AI94">IFERROR(
(AVERAGE((IF(DATOS_[[Sexo]:[Sexo]]=$B94,IF(DATOS_[[AGRUP. CLAS. PROF.]:[AGRUP. CLAS. PROF.]]=$B93,IF(DATOS_[[Check Periodo Ref.]:[Check Periodo Ref.]]="Dentro",IF(DATOS_[[Check Equiparado]:[Check Equiparado]]="Sí",IF(DATOS!BD$5="Sí",(1/DATOS_[[% anualiz]:[% anualiz]]),1)*IF(DATOS!BD$4="Sí",1/DATOS_[[% normaliz]:[% normaliz]],1)*(DATOS_[Conc.Sal.26])))))))),
0)</f>
        <v>0</v>
      </c>
      <c r="AJ94" s="101">
        <f t="array" ref="AJ94">IFERROR(
(AVERAGE((IF(DATOS_[[Sexo]:[Sexo]]=$B94,IF(DATOS_[[AGRUP. CLAS. PROF.]:[AGRUP. CLAS. PROF.]]=$B93,IF(DATOS_[[Check Periodo Ref.]:[Check Periodo Ref.]]="Dentro",IF(DATOS_[[Check Equiparado]:[Check Equiparado]]="Sí",IF(DATOS!BE$5="Sí",(1/DATOS_[[% anualiz]:[% anualiz]]),1)*IF(DATOS!BE$4="Sí",1/DATOS_[[% normaliz]:[% normaliz]],1)*(DATOS_[Conc.Sal.27])))))))),
0)</f>
        <v>0</v>
      </c>
      <c r="AK94" s="101">
        <f t="array" ref="AK94">IFERROR(
(AVERAGE((IF(DATOS_[[Sexo]:[Sexo]]=$B94,IF(DATOS_[[AGRUP. CLAS. PROF.]:[AGRUP. CLAS. PROF.]]=$B93,IF(DATOS_[[Check Periodo Ref.]:[Check Periodo Ref.]]="Dentro",IF(DATOS_[[Check Equiparado]:[Check Equiparado]]="Sí",IF(DATOS!BF$5="Sí",(1/DATOS_[[% anualiz]:[% anualiz]]),1)*IF(DATOS!BF$4="Sí",1/DATOS_[[% normaliz]:[% normaliz]],1)*(DATOS_[Conc.Sal.28])))))))),
0)</f>
        <v>0</v>
      </c>
      <c r="AL94" s="101">
        <f t="array" ref="AL94">IFERROR(
(AVERAGE((IF(DATOS_[[Sexo]:[Sexo]]=$B94,IF(DATOS_[[AGRUP. CLAS. PROF.]:[AGRUP. CLAS. PROF.]]=$B93,IF(DATOS_[[Check Periodo Ref.]:[Check Periodo Ref.]]="Dentro",IF(DATOS_[[Check Equiparado]:[Check Equiparado]]="Sí",IF(DATOS!BG$5="Sí",(1/DATOS_[[% anualiz]:[% anualiz]]),1)*IF(DATOS!BG$4="Sí",1/DATOS_[[% normaliz]:[% normaliz]],1)*(DATOS_[Conc.Sal.29])))))))),
0)</f>
        <v>0</v>
      </c>
      <c r="AM94" s="101">
        <f t="array" ref="AM94">IFERROR(
(AVERAGE((IF(DATOS_[[Sexo]:[Sexo]]=$B94,IF(DATOS_[[AGRUP. CLAS. PROF.]:[AGRUP. CLAS. PROF.]]=$B93,IF(DATOS_[[Check Periodo Ref.]:[Check Periodo Ref.]]="Dentro",IF(DATOS_[[Check Equiparado]:[Check Equiparado]]="Sí",IF(DATOS!BH$5="Sí",(1/DATOS_[[% anualiz]:[% anualiz]]),1)*IF(DATOS!BH$4="Sí",1/DATOS_[[% normaliz]:[% normaliz]],1)*(DATOS_[Conc.Sal.30])))))))),
0)</f>
        <v>0</v>
      </c>
      <c r="AN94" s="102">
        <f t="array" ref="AN94">IFERROR(
AVERAGE(IF(DATOS_[Sexo]=$B94,IF(DATOS_[[AGRUP. CLAS. PROF.]:[AGRUP. CLAS. PROF.]]=$B93,IF(DATOS_[Check Equiparado]="Sí",IF(DATOS_[Check Periodo Ref.]="Dentro",DATOS_[Tot COMPL.SAL Eq],FALSE))))),
0)</f>
        <v>0</v>
      </c>
      <c r="AO94" s="103">
        <f t="array" ref="AO94">IFERROR(
AVERAGE(IF(DATOS_[Sexo]=$B94,IF(DATOS_[[AGRUP. CLAS. PROF.]:[AGRUP. CLAS. PROF.]]=$B93,IF(DATOS_[Check Equiparado]="Sí",IF(DATOS_[Check Periodo Ref.]="Dentro",DATOS_[TOTAL SALARIO Eq],FALSE))))),
0)</f>
        <v>0</v>
      </c>
      <c r="AP94" s="104">
        <f t="array" ref="AP94">IFERROR(
(AVERAGE((IF(DATOS_[[Sexo]:[Sexo]]=$B94,IF(DATOS_[[AGRUP. CLAS. PROF.]:[AGRUP. CLAS. PROF.]]=$B93,IF(DATOS_[[Check Periodo Ref.]:[Check Periodo Ref.]]="Dentro",IF(DATOS_[[Check Equiparado]:[Check Equiparado]]="Sí",IF(DATOS!BI$5="Sí",(1/DATOS_[[% anualiz]:[% anualiz]]),1)*IF(DATOS!BI$4="Sí",1/DATOS_[[% normaliz]:[% normaliz]],1)*(DATOS_[C.Extra.01])))))))),
0)</f>
        <v>0</v>
      </c>
      <c r="AQ94" s="104">
        <f t="array" ref="AQ94">IFERROR(
(AVERAGE((IF(DATOS_[[Sexo]:[Sexo]]=$B94,IF(DATOS_[[AGRUP. CLAS. PROF.]:[AGRUP. CLAS. PROF.]]=$B93,IF(DATOS_[[Check Periodo Ref.]:[Check Periodo Ref.]]="Dentro",IF(DATOS_[[Check Equiparado]:[Check Equiparado]]="Sí",IF(DATOS!BJ$5="Sí",(1/DATOS_[[% anualiz]:[% anualiz]]),1)*IF(DATOS!BJ$4="Sí",1/DATOS_[[% normaliz]:[% normaliz]],1)*(DATOS_[C.Extra.02])))))))),
0)</f>
        <v>0</v>
      </c>
      <c r="AR94" s="104">
        <f t="array" ref="AR94">IFERROR(
(AVERAGE((IF(DATOS_[[Sexo]:[Sexo]]=$B94,IF(DATOS_[[AGRUP. CLAS. PROF.]:[AGRUP. CLAS. PROF.]]=$B93,IF(DATOS_[[Check Periodo Ref.]:[Check Periodo Ref.]]="Dentro",IF(DATOS_[[Check Equiparado]:[Check Equiparado]]="Sí",IF(DATOS!BK$5="Sí",(1/DATOS_[[% anualiz]:[% anualiz]]),1)*IF(DATOS!BK$4="Sí",1/DATOS_[[% normaliz]:[% normaliz]],1)*(DATOS_[C.Extra.03])))))))),
0)</f>
        <v>0</v>
      </c>
      <c r="AS94" s="104">
        <f t="array" ref="AS94">IFERROR(
(AVERAGE((IF(DATOS_[[Sexo]:[Sexo]]=$B94,IF(DATOS_[[AGRUP. CLAS. PROF.]:[AGRUP. CLAS. PROF.]]=$B93,IF(DATOS_[[Check Periodo Ref.]:[Check Periodo Ref.]]="Dentro",IF(DATOS_[[Check Equiparado]:[Check Equiparado]]="Sí",IF(DATOS!BL$5="Sí",(1/DATOS_[[% anualiz]:[% anualiz]]),1)*IF(DATOS!BL$4="Sí",1/DATOS_[[% normaliz]:[% normaliz]],1)*(DATOS_[C.Extra.04])))))))),
0)</f>
        <v>0</v>
      </c>
      <c r="AT94" s="104">
        <f t="array" ref="AT94">IFERROR(
(AVERAGE((IF(DATOS_[[Sexo]:[Sexo]]=$B94,IF(DATOS_[[AGRUP. CLAS. PROF.]:[AGRUP. CLAS. PROF.]]=$B93,IF(DATOS_[[Check Periodo Ref.]:[Check Periodo Ref.]]="Dentro",IF(DATOS_[[Check Equiparado]:[Check Equiparado]]="Sí",IF(DATOS!BM$5="Sí",(1/DATOS_[[% anualiz]:[% anualiz]]),1)*IF(DATOS!BM$4="Sí",1/DATOS_[[% normaliz]:[% normaliz]],1)*(DATOS_[C.Extra.05])))))))),
0)</f>
        <v>0</v>
      </c>
      <c r="AU94" s="105">
        <f t="array" ref="AU94">IFERROR(
AVERAGE(IF(DATOS_[Sexo]=$B94,IF(DATOS_[[AGRUP. CLAS. PROF.]:[AGRUP. CLAS. PROF.]]=$B93,IF(DATOS_[Check Equiparado]="Sí",IF(DATOS_[Check Periodo Ref.]="Dentro",DATOS_[Tot Extrasalarial Eq],FALSE))))),
0)</f>
        <v>0</v>
      </c>
      <c r="AV94" s="106">
        <f t="array" ref="AV94">IFERROR(
AVERAGE(IF(DATOS_[Sexo]=$B94,IF(DATOS_[[AGRUP. CLAS. PROF.]:[AGRUP. CLAS. PROF.]]=$B93,IF(DATOS_[Check Equiparado]="Sí",IF(DATOS_[Check Periodo Ref.]="Dentro",DATOS_[TOTAL Retrib Eq],FALSE))))),
0)</f>
        <v>0</v>
      </c>
    </row>
    <row r="95" spans="1:48" hidden="1" x14ac:dyDescent="0.3">
      <c r="A95" s="53" t="str">
        <f t="shared" ref="A95" si="110">+A94</f>
        <v>[ocultar]</v>
      </c>
      <c r="B95" s="57" t="s">
        <v>163</v>
      </c>
      <c r="C95" s="56">
        <f t="array" ref="C95">SUM(IF($B95=DATOS_[Sexo],
IF($B93=DATOS_[AGRUP. CLAS. PROF.],
IF("Dentro"=DATOS_[Check Periodo Ref.],
1/(COUNTIFS(DATOS_[Sexo],$B95,DATOS_[AGRUP. CLAS. PROF.],$B93,DATOS_[Check Periodo Ref.],"Dentro",DATOS_[id],DATOS_[id]))))))</f>
        <v>0</v>
      </c>
      <c r="D95" s="58">
        <f>COUNTIFS(DATOS_[AGRUP. CLAS. PROF.],$B93,DATOS_[Sexo],$B95,DATOS_[Check Periodo Ref.],"Dentro")</f>
        <v>0</v>
      </c>
      <c r="E95" s="58">
        <f>COUNTIFS(DATOS_[AGRUP. CLAS. PROF.],$B93,DATOS_[Sexo],$B95,DATOS_[Check Periodo Ref.],"Dentro",DATOS_[Check Nº SC Norm],"Sí")</f>
        <v>0</v>
      </c>
      <c r="F95" s="58">
        <f>COUNTIFS(DATOS_[AGRUP. CLAS. PROF.],$B93,DATOS_[Sexo],$B95,DATOS_[Check Periodo Ref.],"Dentro",DATOS_[Check Nº SC Anualiz],"Sí")</f>
        <v>0</v>
      </c>
      <c r="G95" s="58">
        <f>COUNTIFS(DATOS_[AGRUP. CLAS. PROF.],$B93,DATOS_[Sexo],$B95,DATOS_[Check Periodo Ref.],"Dentro",DATOS_[Check Nº SC Norm y Anualiz],"Sí")</f>
        <v>0</v>
      </c>
      <c r="H95" s="58">
        <f>COUNTIFS(DATOS_[AGRUP. CLAS. PROF.],$B93,DATOS_[Sexo],$B95,DATOS_[Check Periodo Ref.],"Dentro",DATOS_[Check Equiparación],"Sí")</f>
        <v>0</v>
      </c>
      <c r="I95" s="100" cm="1">
        <f t="array" ref="I95">IFERROR(
AVERAGE(IF(DATOS_[Sexo]=$B95,IF(DATOS_[[AGRUP. CLAS. PROF.]:[AGRUP. CLAS. PROF.]]=$B93,IF(DATOS_[Check Equiparado]="Sí",IF(DATOS_[Check Periodo Ref.]="Dentro",DATOS_[SALARIO BASE Eq],FALSE))))),
0)</f>
        <v>0</v>
      </c>
      <c r="J95" s="101">
        <f t="array" ref="J95">IFERROR(
(AVERAGE((IF(DATOS_[[Sexo]:[Sexo]]=$B95,IF(DATOS_[[AGRUP. CLAS. PROF.]:[AGRUP. CLAS. PROF.]]=$B93,IF(DATOS_[[Check Periodo Ref.]:[Check Periodo Ref.]]="Dentro",IF(DATOS_[[Check Equiparado]:[Check Equiparado]]="Sí",IF(DATOS!AE$5="Sí",(1/DATOS_[[% anualiz]:[% anualiz]]),1)*IF(DATOS!AE$4="Sí",1/DATOS_[[% normaliz]:[% normaliz]],1)*(DATOS_[Conc.Sal.01])))))))),
0)</f>
        <v>0</v>
      </c>
      <c r="K95" s="101">
        <f t="array" ref="K95">IFERROR(
(AVERAGE((IF(DATOS_[[Sexo]:[Sexo]]=$B95,IF(DATOS_[[AGRUP. CLAS. PROF.]:[AGRUP. CLAS. PROF.]]=$B93,IF(DATOS_[[Check Periodo Ref.]:[Check Periodo Ref.]]="Dentro",IF(DATOS_[[Check Equiparado]:[Check Equiparado]]="Sí",IF(DATOS!AF$5="Sí",(1/DATOS_[[% anualiz]:[% anualiz]]),1)*IF(DATOS!AF$4="Sí",1/DATOS_[[% normaliz]:[% normaliz]],1)*(DATOS_[Conc.Sal.02])))))))),
0)</f>
        <v>0</v>
      </c>
      <c r="L95" s="101">
        <f t="array" ref="L95">IFERROR(
(AVERAGE((IF(DATOS_[[Sexo]:[Sexo]]=$B95,IF(DATOS_[[AGRUP. CLAS. PROF.]:[AGRUP. CLAS. PROF.]]=$B93,IF(DATOS_[[Check Periodo Ref.]:[Check Periodo Ref.]]="Dentro",IF(DATOS_[[Check Equiparado]:[Check Equiparado]]="Sí",IF(DATOS!AG$5="Sí",(1/DATOS_[[% anualiz]:[% anualiz]]),1)*IF(DATOS!AG$4="Sí",1/DATOS_[[% normaliz]:[% normaliz]],1)*(DATOS_[Conc.Sal.03])))))))),
0)</f>
        <v>0</v>
      </c>
      <c r="M95" s="101">
        <f t="array" ref="M95">IFERROR(
(AVERAGE((IF(DATOS_[[Sexo]:[Sexo]]=$B95,IF(DATOS_[[AGRUP. CLAS. PROF.]:[AGRUP. CLAS. PROF.]]=$B93,IF(DATOS_[[Check Periodo Ref.]:[Check Periodo Ref.]]="Dentro",IF(DATOS_[[Check Equiparado]:[Check Equiparado]]="Sí",IF(DATOS!AH$5="Sí",(1/DATOS_[[% anualiz]:[% anualiz]]),1)*IF(DATOS!AH$4="Sí",1/DATOS_[[% normaliz]:[% normaliz]],1)*(DATOS_[Conc.Sal.04])))))))),
0)</f>
        <v>0</v>
      </c>
      <c r="N95" s="101">
        <f t="array" ref="N95">IFERROR(
(AVERAGE((IF(DATOS_[[Sexo]:[Sexo]]=$B95,IF(DATOS_[[AGRUP. CLAS. PROF.]:[AGRUP. CLAS. PROF.]]=$B93,IF(DATOS_[[Check Periodo Ref.]:[Check Periodo Ref.]]="Dentro",IF(DATOS_[[Check Equiparado]:[Check Equiparado]]="Sí",IF(DATOS!AI$5="Sí",(1/DATOS_[[% anualiz]:[% anualiz]]),1)*IF(DATOS!AI$4="Sí",1/DATOS_[[% normaliz]:[% normaliz]],1)*(DATOS_[Conc.Sal.05])))))))),
0)</f>
        <v>0</v>
      </c>
      <c r="O95" s="101">
        <f t="array" ref="O95">IFERROR(
(AVERAGE((IF(DATOS_[[Sexo]:[Sexo]]=$B95,IF(DATOS_[[AGRUP. CLAS. PROF.]:[AGRUP. CLAS. PROF.]]=$B93,IF(DATOS_[[Check Periodo Ref.]:[Check Periodo Ref.]]="Dentro",IF(DATOS_[[Check Equiparado]:[Check Equiparado]]="Sí",IF(DATOS!AJ$5="Sí",(1/DATOS_[[% anualiz]:[% anualiz]]),1)*IF(DATOS!AJ$4="Sí",1/DATOS_[[% normaliz]:[% normaliz]],1)*(DATOS_[Conc.Sal.06])))))))),
0)</f>
        <v>0</v>
      </c>
      <c r="P95" s="101">
        <f t="array" ref="P95">IFERROR(
(AVERAGE((IF(DATOS_[[Sexo]:[Sexo]]=$B95,IF(DATOS_[[AGRUP. CLAS. PROF.]:[AGRUP. CLAS. PROF.]]=$B93,IF(DATOS_[[Check Periodo Ref.]:[Check Periodo Ref.]]="Dentro",IF(DATOS_[[Check Equiparado]:[Check Equiparado]]="Sí",IF(DATOS!AK$5="Sí",(1/DATOS_[[% anualiz]:[% anualiz]]),1)*IF(DATOS!AK$4="Sí",1/DATOS_[[% normaliz]:[% normaliz]],1)*(DATOS_[Conc.Sal.07])))))))),
0)</f>
        <v>0</v>
      </c>
      <c r="Q95" s="101">
        <f t="array" ref="Q95">IFERROR(
(AVERAGE((IF(DATOS_[[Sexo]:[Sexo]]=$B95,IF(DATOS_[[AGRUP. CLAS. PROF.]:[AGRUP. CLAS. PROF.]]=$B93,IF(DATOS_[[Check Periodo Ref.]:[Check Periodo Ref.]]="Dentro",IF(DATOS_[[Check Equiparado]:[Check Equiparado]]="Sí",IF(DATOS!AL$5="Sí",(1/DATOS_[[% anualiz]:[% anualiz]]),1)*IF(DATOS!AL$4="Sí",1/DATOS_[[% normaliz]:[% normaliz]],1)*(DATOS_[Conc.Sal.08])))))))),
0)</f>
        <v>0</v>
      </c>
      <c r="R95" s="101">
        <f t="array" ref="R95">IFERROR(
(AVERAGE((IF(DATOS_[[Sexo]:[Sexo]]=$B95,IF(DATOS_[[AGRUP. CLAS. PROF.]:[AGRUP. CLAS. PROF.]]=$B93,IF(DATOS_[[Check Periodo Ref.]:[Check Periodo Ref.]]="Dentro",IF(DATOS_[[Check Equiparado]:[Check Equiparado]]="Sí",IF(DATOS!AM$5="Sí",(1/DATOS_[[% anualiz]:[% anualiz]]),1)*IF(DATOS!AM$4="Sí",1/DATOS_[[% normaliz]:[% normaliz]],1)*(DATOS_[Conc.Sal.09])))))))),
0)</f>
        <v>0</v>
      </c>
      <c r="S95" s="101">
        <f t="array" ref="S95">IFERROR(
(AVERAGE((IF(DATOS_[[Sexo]:[Sexo]]=$B95,IF(DATOS_[[AGRUP. CLAS. PROF.]:[AGRUP. CLAS. PROF.]]=$B93,IF(DATOS_[[Check Periodo Ref.]:[Check Periodo Ref.]]="Dentro",IF(DATOS_[[Check Equiparado]:[Check Equiparado]]="Sí",IF(DATOS!AN$5="Sí",(1/DATOS_[[% anualiz]:[% anualiz]]),1)*IF(DATOS!AN$4="Sí",1/DATOS_[[% normaliz]:[% normaliz]],1)*(DATOS_[Conc.Sal.10])))))))),
0)</f>
        <v>0</v>
      </c>
      <c r="T95" s="101">
        <f t="array" ref="T95">IFERROR(
(AVERAGE((IF(DATOS_[[Sexo]:[Sexo]]=$B95,IF(DATOS_[[AGRUP. CLAS. PROF.]:[AGRUP. CLAS. PROF.]]=$B93,IF(DATOS_[[Check Periodo Ref.]:[Check Periodo Ref.]]="Dentro",IF(DATOS_[[Check Equiparado]:[Check Equiparado]]="Sí",IF(DATOS!AO$5="Sí",(1/DATOS_[[% anualiz]:[% anualiz]]),1)*IF(DATOS!AO$4="Sí",1/DATOS_[[% normaliz]:[% normaliz]],1)*(DATOS_[Conc.Sal.11])))))))),
0)</f>
        <v>0</v>
      </c>
      <c r="U95" s="101">
        <f t="array" ref="U95">IFERROR(
(AVERAGE((IF(DATOS_[[Sexo]:[Sexo]]=$B95,IF(DATOS_[[AGRUP. CLAS. PROF.]:[AGRUP. CLAS. PROF.]]=$B93,IF(DATOS_[[Check Periodo Ref.]:[Check Periodo Ref.]]="Dentro",IF(DATOS_[[Check Equiparado]:[Check Equiparado]]="Sí",IF(DATOS!AP$5="Sí",(1/DATOS_[[% anualiz]:[% anualiz]]),1)*IF(DATOS!AP$4="Sí",1/DATOS_[[% normaliz]:[% normaliz]],1)*(DATOS_[Conc.Sal.12])))))))),
0)</f>
        <v>0</v>
      </c>
      <c r="V95" s="101">
        <f t="array" ref="V95">IFERROR(
(AVERAGE((IF(DATOS_[[Sexo]:[Sexo]]=$B95,IF(DATOS_[[AGRUP. CLAS. PROF.]:[AGRUP. CLAS. PROF.]]=$B93,IF(DATOS_[[Check Periodo Ref.]:[Check Periodo Ref.]]="Dentro",IF(DATOS_[[Check Equiparado]:[Check Equiparado]]="Sí",IF(DATOS!AQ$5="Sí",(1/DATOS_[[% anualiz]:[% anualiz]]),1)*IF(DATOS!AQ$4="Sí",1/DATOS_[[% normaliz]:[% normaliz]],1)*(DATOS_[Conc.Sal.13])))))))),
0)</f>
        <v>0</v>
      </c>
      <c r="W95" s="101">
        <f t="array" ref="W95">IFERROR(
(AVERAGE((IF(DATOS_[[Sexo]:[Sexo]]=$B95,IF(DATOS_[[AGRUP. CLAS. PROF.]:[AGRUP. CLAS. PROF.]]=$B93,IF(DATOS_[[Check Periodo Ref.]:[Check Periodo Ref.]]="Dentro",IF(DATOS_[[Check Equiparado]:[Check Equiparado]]="Sí",IF(DATOS!AR$5="Sí",(1/DATOS_[[% anualiz]:[% anualiz]]),1)*IF(DATOS!AR$4="Sí",1/DATOS_[[% normaliz]:[% normaliz]],1)*(DATOS_[Conc.Sal.14])))))))),
0)</f>
        <v>0</v>
      </c>
      <c r="X95" s="101">
        <f t="array" ref="X95">IFERROR(
(AVERAGE((IF(DATOS_[[Sexo]:[Sexo]]=$B95,IF(DATOS_[[AGRUP. CLAS. PROF.]:[AGRUP. CLAS. PROF.]]=$B93,IF(DATOS_[[Check Periodo Ref.]:[Check Periodo Ref.]]="Dentro",IF(DATOS_[[Check Equiparado]:[Check Equiparado]]="Sí",IF(DATOS!AS$5="Sí",(1/DATOS_[[% anualiz]:[% anualiz]]),1)*IF(DATOS!AS$4="Sí",1/DATOS_[[% normaliz]:[% normaliz]],1)*(DATOS_[Conc.Sal.15])))))))),
0)</f>
        <v>0</v>
      </c>
      <c r="Y95" s="101">
        <f t="array" ref="Y95">IFERROR(
(AVERAGE((IF(DATOS_[[Sexo]:[Sexo]]=$B95,IF(DATOS_[[AGRUP. CLAS. PROF.]:[AGRUP. CLAS. PROF.]]=$B93,IF(DATOS_[[Check Periodo Ref.]:[Check Periodo Ref.]]="Dentro",IF(DATOS_[[Check Equiparado]:[Check Equiparado]]="Sí",IF(DATOS!AT$5="Sí",(1/DATOS_[[% anualiz]:[% anualiz]]),1)*IF(DATOS!AT$4="Sí",1/DATOS_[[% normaliz]:[% normaliz]],1)*(DATOS_[Conc.Sal.16])))))))),
0)</f>
        <v>0</v>
      </c>
      <c r="Z95" s="101">
        <f t="array" ref="Z95">IFERROR(
(AVERAGE((IF(DATOS_[[Sexo]:[Sexo]]=$B95,IF(DATOS_[[AGRUP. CLAS. PROF.]:[AGRUP. CLAS. PROF.]]=$B93,IF(DATOS_[[Check Periodo Ref.]:[Check Periodo Ref.]]="Dentro",IF(DATOS_[[Check Equiparado]:[Check Equiparado]]="Sí",IF(DATOS!AU$5="Sí",(1/DATOS_[[% anualiz]:[% anualiz]]),1)*IF(DATOS!AU$4="Sí",1/DATOS_[[% normaliz]:[% normaliz]],1)*(DATOS_[Conc.Sal.17])))))))),
0)</f>
        <v>0</v>
      </c>
      <c r="AA95" s="101">
        <f t="array" ref="AA95">IFERROR(
(AVERAGE((IF(DATOS_[[Sexo]:[Sexo]]=$B95,IF(DATOS_[[AGRUP. CLAS. PROF.]:[AGRUP. CLAS. PROF.]]=$B93,IF(DATOS_[[Check Periodo Ref.]:[Check Periodo Ref.]]="Dentro",IF(DATOS_[[Check Equiparado]:[Check Equiparado]]="Sí",IF(DATOS!AV$5="Sí",(1/DATOS_[[% anualiz]:[% anualiz]]),1)*IF(DATOS!AV$4="Sí",1/DATOS_[[% normaliz]:[% normaliz]],1)*(DATOS_[Conc.Sal.18])))))))),
0)</f>
        <v>0</v>
      </c>
      <c r="AB95" s="101">
        <f t="array" ref="AB95">IFERROR(
(AVERAGE((IF(DATOS_[[Sexo]:[Sexo]]=$B95,IF(DATOS_[[AGRUP. CLAS. PROF.]:[AGRUP. CLAS. PROF.]]=$B93,IF(DATOS_[[Check Periodo Ref.]:[Check Periodo Ref.]]="Dentro",IF(DATOS_[[Check Equiparado]:[Check Equiparado]]="Sí",IF(DATOS!AW$5="Sí",(1/DATOS_[[% anualiz]:[% anualiz]]),1)*IF(DATOS!AW$4="Sí",1/DATOS_[[% normaliz]:[% normaliz]],1)*(DATOS_[Conc.Sal.19])))))))),
0)</f>
        <v>0</v>
      </c>
      <c r="AC95" s="101">
        <f t="array" ref="AC95">IFERROR(
(AVERAGE((IF(DATOS_[[Sexo]:[Sexo]]=$B95,IF(DATOS_[[AGRUP. CLAS. PROF.]:[AGRUP. CLAS. PROF.]]=$B93,IF(DATOS_[[Check Periodo Ref.]:[Check Periodo Ref.]]="Dentro",IF(DATOS_[[Check Equiparado]:[Check Equiparado]]="Sí",IF(DATOS!AX$5="Sí",(1/DATOS_[[% anualiz]:[% anualiz]]),1)*IF(DATOS!AX$4="Sí",1/DATOS_[[% normaliz]:[% normaliz]],1)*(DATOS_[Conc.Sal.20])))))))),
0)</f>
        <v>0</v>
      </c>
      <c r="AD95" s="101">
        <f t="array" ref="AD95">IFERROR(
(AVERAGE((IF(DATOS_[[Sexo]:[Sexo]]=$B95,IF(DATOS_[[AGRUP. CLAS. PROF.]:[AGRUP. CLAS. PROF.]]=$B93,IF(DATOS_[[Check Periodo Ref.]:[Check Periodo Ref.]]="Dentro",IF(DATOS_[[Check Equiparado]:[Check Equiparado]]="Sí",IF(DATOS!AY$5="Sí",(1/DATOS_[[% anualiz]:[% anualiz]]),1)*IF(DATOS!AY$4="Sí",1/DATOS_[[% normaliz]:[% normaliz]],1)*(DATOS_[Conc.Sal.21])))))))),
0)</f>
        <v>0</v>
      </c>
      <c r="AE95" s="101">
        <f t="array" ref="AE95">IFERROR(
(AVERAGE((IF(DATOS_[[Sexo]:[Sexo]]=$B95,IF(DATOS_[[AGRUP. CLAS. PROF.]:[AGRUP. CLAS. PROF.]]=$B93,IF(DATOS_[[Check Periodo Ref.]:[Check Periodo Ref.]]="Dentro",IF(DATOS_[[Check Equiparado]:[Check Equiparado]]="Sí",IF(DATOS!AZ$5="Sí",(1/DATOS_[[% anualiz]:[% anualiz]]),1)*IF(DATOS!AZ$4="Sí",1/DATOS_[[% normaliz]:[% normaliz]],1)*(DATOS_[Conc.Sal.22])))))))),
0)</f>
        <v>0</v>
      </c>
      <c r="AF95" s="101">
        <f t="array" ref="AF95">IFERROR(
(AVERAGE((IF(DATOS_[[Sexo]:[Sexo]]=$B95,IF(DATOS_[[AGRUP. CLAS. PROF.]:[AGRUP. CLAS. PROF.]]=$B93,IF(DATOS_[[Check Periodo Ref.]:[Check Periodo Ref.]]="Dentro",IF(DATOS_[[Check Equiparado]:[Check Equiparado]]="Sí",IF(DATOS!BA$5="Sí",(1/DATOS_[[% anualiz]:[% anualiz]]),1)*IF(DATOS!BA$4="Sí",1/DATOS_[[% normaliz]:[% normaliz]],1)*(DATOS_[Conc.Sal.23])))))))),
0)</f>
        <v>0</v>
      </c>
      <c r="AG95" s="101">
        <f t="array" ref="AG95">IFERROR(
(AVERAGE((IF(DATOS_[[Sexo]:[Sexo]]=$B95,IF(DATOS_[[AGRUP. CLAS. PROF.]:[AGRUP. CLAS. PROF.]]=$B93,IF(DATOS_[[Check Periodo Ref.]:[Check Periodo Ref.]]="Dentro",IF(DATOS_[[Check Equiparado]:[Check Equiparado]]="Sí",IF(DATOS!BB$5="Sí",(1/DATOS_[[% anualiz]:[% anualiz]]),1)*IF(DATOS!BB$4="Sí",1/DATOS_[[% normaliz]:[% normaliz]],1)*(DATOS_[Conc.Sal.24])))))))),
0)</f>
        <v>0</v>
      </c>
      <c r="AH95" s="101">
        <f t="array" ref="AH95">IFERROR(
(AVERAGE((IF(DATOS_[[Sexo]:[Sexo]]=$B95,IF(DATOS_[[AGRUP. CLAS. PROF.]:[AGRUP. CLAS. PROF.]]=$B93,IF(DATOS_[[Check Periodo Ref.]:[Check Periodo Ref.]]="Dentro",IF(DATOS_[[Check Equiparado]:[Check Equiparado]]="Sí",IF(DATOS!BC$5="Sí",(1/DATOS_[[% anualiz]:[% anualiz]]),1)*IF(DATOS!BC$4="Sí",1/DATOS_[[% normaliz]:[% normaliz]],1)*(DATOS_[Conc.Sal.25])))))))),
0)</f>
        <v>0</v>
      </c>
      <c r="AI95" s="101">
        <f t="array" ref="AI95">IFERROR(
(AVERAGE((IF(DATOS_[[Sexo]:[Sexo]]=$B95,IF(DATOS_[[AGRUP. CLAS. PROF.]:[AGRUP. CLAS. PROF.]]=$B93,IF(DATOS_[[Check Periodo Ref.]:[Check Periodo Ref.]]="Dentro",IF(DATOS_[[Check Equiparado]:[Check Equiparado]]="Sí",IF(DATOS!BD$5="Sí",(1/DATOS_[[% anualiz]:[% anualiz]]),1)*IF(DATOS!BD$4="Sí",1/DATOS_[[% normaliz]:[% normaliz]],1)*(DATOS_[Conc.Sal.26])))))))),
0)</f>
        <v>0</v>
      </c>
      <c r="AJ95" s="101">
        <f t="array" ref="AJ95">IFERROR(
(AVERAGE((IF(DATOS_[[Sexo]:[Sexo]]=$B95,IF(DATOS_[[AGRUP. CLAS. PROF.]:[AGRUP. CLAS. PROF.]]=$B93,IF(DATOS_[[Check Periodo Ref.]:[Check Periodo Ref.]]="Dentro",IF(DATOS_[[Check Equiparado]:[Check Equiparado]]="Sí",IF(DATOS!BE$5="Sí",(1/DATOS_[[% anualiz]:[% anualiz]]),1)*IF(DATOS!BE$4="Sí",1/DATOS_[[% normaliz]:[% normaliz]],1)*(DATOS_[Conc.Sal.27])))))))),
0)</f>
        <v>0</v>
      </c>
      <c r="AK95" s="101">
        <f t="array" ref="AK95">IFERROR(
(AVERAGE((IF(DATOS_[[Sexo]:[Sexo]]=$B95,IF(DATOS_[[AGRUP. CLAS. PROF.]:[AGRUP. CLAS. PROF.]]=$B93,IF(DATOS_[[Check Periodo Ref.]:[Check Periodo Ref.]]="Dentro",IF(DATOS_[[Check Equiparado]:[Check Equiparado]]="Sí",IF(DATOS!BF$5="Sí",(1/DATOS_[[% anualiz]:[% anualiz]]),1)*IF(DATOS!BF$4="Sí",1/DATOS_[[% normaliz]:[% normaliz]],1)*(DATOS_[Conc.Sal.28])))))))),
0)</f>
        <v>0</v>
      </c>
      <c r="AL95" s="101">
        <f t="array" ref="AL95">IFERROR(
(AVERAGE((IF(DATOS_[[Sexo]:[Sexo]]=$B95,IF(DATOS_[[AGRUP. CLAS. PROF.]:[AGRUP. CLAS. PROF.]]=$B93,IF(DATOS_[[Check Periodo Ref.]:[Check Periodo Ref.]]="Dentro",IF(DATOS_[[Check Equiparado]:[Check Equiparado]]="Sí",IF(DATOS!BG$5="Sí",(1/DATOS_[[% anualiz]:[% anualiz]]),1)*IF(DATOS!BG$4="Sí",1/DATOS_[[% normaliz]:[% normaliz]],1)*(DATOS_[Conc.Sal.29])))))))),
0)</f>
        <v>0</v>
      </c>
      <c r="AM95" s="101">
        <f t="array" ref="AM95">IFERROR(
(AVERAGE((IF(DATOS_[[Sexo]:[Sexo]]=$B95,IF(DATOS_[[AGRUP. CLAS. PROF.]:[AGRUP. CLAS. PROF.]]=$B93,IF(DATOS_[[Check Periodo Ref.]:[Check Periodo Ref.]]="Dentro",IF(DATOS_[[Check Equiparado]:[Check Equiparado]]="Sí",IF(DATOS!BH$5="Sí",(1/DATOS_[[% anualiz]:[% anualiz]]),1)*IF(DATOS!BH$4="Sí",1/DATOS_[[% normaliz]:[% normaliz]],1)*(DATOS_[Conc.Sal.30])))))))),
0)</f>
        <v>0</v>
      </c>
      <c r="AN95" s="102">
        <f t="array" ref="AN95">IFERROR(
AVERAGE(IF(DATOS_[Sexo]=$B95,IF(DATOS_[[AGRUP. CLAS. PROF.]:[AGRUP. CLAS. PROF.]]=$B93,IF(DATOS_[Check Equiparado]="Sí",IF(DATOS_[Check Periodo Ref.]="Dentro",DATOS_[Tot COMPL.SAL Eq],FALSE))))),
0)</f>
        <v>0</v>
      </c>
      <c r="AO95" s="103">
        <f t="array" ref="AO95">IFERROR(
AVERAGE(IF(DATOS_[Sexo]=$B95,IF(DATOS_[[AGRUP. CLAS. PROF.]:[AGRUP. CLAS. PROF.]]=$B93,IF(DATOS_[Check Equiparado]="Sí",IF(DATOS_[Check Periodo Ref.]="Dentro",DATOS_[TOTAL SALARIO Eq],FALSE))))),
0)</f>
        <v>0</v>
      </c>
      <c r="AP95" s="104">
        <f t="array" ref="AP95">IFERROR(
(AVERAGE((IF(DATOS_[[Sexo]:[Sexo]]=$B95,IF(DATOS_[[AGRUP. CLAS. PROF.]:[AGRUP. CLAS. PROF.]]=$B93,IF(DATOS_[[Check Periodo Ref.]:[Check Periodo Ref.]]="Dentro",IF(DATOS_[[Check Equiparado]:[Check Equiparado]]="Sí",IF(DATOS!BI$5="Sí",(1/DATOS_[[% anualiz]:[% anualiz]]),1)*IF(DATOS!BI$4="Sí",1/DATOS_[[% normaliz]:[% normaliz]],1)*(DATOS_[C.Extra.01])))))))),
0)</f>
        <v>0</v>
      </c>
      <c r="AQ95" s="104">
        <f t="array" ref="AQ95">IFERROR(
(AVERAGE((IF(DATOS_[[Sexo]:[Sexo]]=$B95,IF(DATOS_[[AGRUP. CLAS. PROF.]:[AGRUP. CLAS. PROF.]]=$B93,IF(DATOS_[[Check Periodo Ref.]:[Check Periodo Ref.]]="Dentro",IF(DATOS_[[Check Equiparado]:[Check Equiparado]]="Sí",IF(DATOS!BJ$5="Sí",(1/DATOS_[[% anualiz]:[% anualiz]]),1)*IF(DATOS!BJ$4="Sí",1/DATOS_[[% normaliz]:[% normaliz]],1)*(DATOS_[C.Extra.02])))))))),
0)</f>
        <v>0</v>
      </c>
      <c r="AR95" s="104">
        <f t="array" ref="AR95">IFERROR(
(AVERAGE((IF(DATOS_[[Sexo]:[Sexo]]=$B95,IF(DATOS_[[AGRUP. CLAS. PROF.]:[AGRUP. CLAS. PROF.]]=$B93,IF(DATOS_[[Check Periodo Ref.]:[Check Periodo Ref.]]="Dentro",IF(DATOS_[[Check Equiparado]:[Check Equiparado]]="Sí",IF(DATOS!BK$5="Sí",(1/DATOS_[[% anualiz]:[% anualiz]]),1)*IF(DATOS!BK$4="Sí",1/DATOS_[[% normaliz]:[% normaliz]],1)*(DATOS_[C.Extra.03])))))))),
0)</f>
        <v>0</v>
      </c>
      <c r="AS95" s="104">
        <f t="array" ref="AS95">IFERROR(
(AVERAGE((IF(DATOS_[[Sexo]:[Sexo]]=$B95,IF(DATOS_[[AGRUP. CLAS. PROF.]:[AGRUP. CLAS. PROF.]]=$B93,IF(DATOS_[[Check Periodo Ref.]:[Check Periodo Ref.]]="Dentro",IF(DATOS_[[Check Equiparado]:[Check Equiparado]]="Sí",IF(DATOS!BL$5="Sí",(1/DATOS_[[% anualiz]:[% anualiz]]),1)*IF(DATOS!BL$4="Sí",1/DATOS_[[% normaliz]:[% normaliz]],1)*(DATOS_[C.Extra.04])))))))),
0)</f>
        <v>0</v>
      </c>
      <c r="AT95" s="104">
        <f t="array" ref="AT95">IFERROR(
(AVERAGE((IF(DATOS_[[Sexo]:[Sexo]]=$B95,IF(DATOS_[[AGRUP. CLAS. PROF.]:[AGRUP. CLAS. PROF.]]=$B93,IF(DATOS_[[Check Periodo Ref.]:[Check Periodo Ref.]]="Dentro",IF(DATOS_[[Check Equiparado]:[Check Equiparado]]="Sí",IF(DATOS!BM$5="Sí",(1/DATOS_[[% anualiz]:[% anualiz]]),1)*IF(DATOS!BM$4="Sí",1/DATOS_[[% normaliz]:[% normaliz]],1)*(DATOS_[C.Extra.05])))))))),
0)</f>
        <v>0</v>
      </c>
      <c r="AU95" s="105">
        <f t="array" ref="AU95">IFERROR(
AVERAGE(IF(DATOS_[Sexo]=$B95,IF(DATOS_[[AGRUP. CLAS. PROF.]:[AGRUP. CLAS. PROF.]]=$B93,IF(DATOS_[Check Equiparado]="Sí",IF(DATOS_[Check Periodo Ref.]="Dentro",DATOS_[Tot Extrasalarial Eq],FALSE))))),
0)</f>
        <v>0</v>
      </c>
      <c r="AV95" s="106">
        <f t="array" ref="AV95">IFERROR(
AVERAGE(IF(DATOS_[Sexo]=$B95,IF(DATOS_[[AGRUP. CLAS. PROF.]:[AGRUP. CLAS. PROF.]]=$B93,IF(DATOS_[Check Equiparado]="Sí",IF(DATOS_[Check Periodo Ref.]="Dentro",DATOS_[TOTAL Retrib Eq],FALSE))))),
0)</f>
        <v>0</v>
      </c>
    </row>
    <row r="96" spans="1:48" ht="17.25" hidden="1" thickBot="1" x14ac:dyDescent="0.35">
      <c r="A96" s="53" t="str">
        <f t="shared" ref="A96" si="111">+A97</f>
        <v>[ocultar]</v>
      </c>
      <c r="B96" s="62" t="s">
        <v>244</v>
      </c>
      <c r="C96" s="99"/>
      <c r="D96" s="63"/>
      <c r="E96" s="63"/>
      <c r="F96" s="63"/>
      <c r="G96" s="63"/>
      <c r="H96" s="63"/>
      <c r="I96" s="129" t="str">
        <f t="shared" ref="I96:AV96" si="112">IFERROR((I97-I98)/I97,"")</f>
        <v/>
      </c>
      <c r="J96" s="130" t="str">
        <f t="shared" si="112"/>
        <v/>
      </c>
      <c r="K96" s="131" t="str">
        <f t="shared" si="112"/>
        <v/>
      </c>
      <c r="L96" s="131" t="str">
        <f t="shared" si="112"/>
        <v/>
      </c>
      <c r="M96" s="131" t="str">
        <f t="shared" si="112"/>
        <v/>
      </c>
      <c r="N96" s="132" t="str">
        <f t="shared" si="112"/>
        <v/>
      </c>
      <c r="O96" s="133" t="str">
        <f t="shared" si="112"/>
        <v/>
      </c>
      <c r="P96" s="133" t="str">
        <f t="shared" si="112"/>
        <v/>
      </c>
      <c r="Q96" s="133" t="str">
        <f t="shared" si="112"/>
        <v/>
      </c>
      <c r="R96" s="133" t="str">
        <f t="shared" si="112"/>
        <v/>
      </c>
      <c r="S96" s="133" t="str">
        <f t="shared" si="112"/>
        <v/>
      </c>
      <c r="T96" s="133" t="str">
        <f t="shared" si="112"/>
        <v/>
      </c>
      <c r="U96" s="133" t="str">
        <f t="shared" si="112"/>
        <v/>
      </c>
      <c r="V96" s="133" t="str">
        <f t="shared" si="112"/>
        <v/>
      </c>
      <c r="W96" s="133" t="str">
        <f t="shared" si="112"/>
        <v/>
      </c>
      <c r="X96" s="133" t="str">
        <f t="shared" si="112"/>
        <v/>
      </c>
      <c r="Y96" s="133" t="str">
        <f t="shared" si="112"/>
        <v/>
      </c>
      <c r="Z96" s="132" t="str">
        <f t="shared" si="112"/>
        <v/>
      </c>
      <c r="AA96" s="132" t="str">
        <f t="shared" si="112"/>
        <v/>
      </c>
      <c r="AB96" s="132" t="str">
        <f t="shared" si="112"/>
        <v/>
      </c>
      <c r="AC96" s="132" t="str">
        <f t="shared" si="112"/>
        <v/>
      </c>
      <c r="AD96" s="132" t="str">
        <f t="shared" si="112"/>
        <v/>
      </c>
      <c r="AE96" s="132" t="str">
        <f t="shared" si="112"/>
        <v/>
      </c>
      <c r="AF96" s="132" t="str">
        <f t="shared" si="112"/>
        <v/>
      </c>
      <c r="AG96" s="132" t="str">
        <f t="shared" si="112"/>
        <v/>
      </c>
      <c r="AH96" s="132" t="str">
        <f t="shared" si="112"/>
        <v/>
      </c>
      <c r="AI96" s="132" t="str">
        <f t="shared" si="112"/>
        <v/>
      </c>
      <c r="AJ96" s="132" t="str">
        <f t="shared" si="112"/>
        <v/>
      </c>
      <c r="AK96" s="132" t="str">
        <f t="shared" si="112"/>
        <v/>
      </c>
      <c r="AL96" s="132" t="str">
        <f t="shared" si="112"/>
        <v/>
      </c>
      <c r="AM96" s="132" t="str">
        <f t="shared" si="112"/>
        <v/>
      </c>
      <c r="AN96" s="134" t="str">
        <f t="shared" si="112"/>
        <v/>
      </c>
      <c r="AO96" s="138" t="str">
        <f t="shared" si="112"/>
        <v/>
      </c>
      <c r="AP96" s="135" t="str">
        <f t="shared" si="112"/>
        <v/>
      </c>
      <c r="AQ96" s="135" t="str">
        <f t="shared" si="112"/>
        <v/>
      </c>
      <c r="AR96" s="135" t="str">
        <f t="shared" si="112"/>
        <v/>
      </c>
      <c r="AS96" s="135" t="str">
        <f t="shared" si="112"/>
        <v/>
      </c>
      <c r="AT96" s="135" t="str">
        <f t="shared" si="112"/>
        <v/>
      </c>
      <c r="AU96" s="136" t="str">
        <f t="shared" si="112"/>
        <v/>
      </c>
      <c r="AV96" s="137" t="str">
        <f t="shared" si="112"/>
        <v/>
      </c>
    </row>
    <row r="97" spans="1:48" hidden="1" x14ac:dyDescent="0.3">
      <c r="A97" s="53" t="str">
        <f t="shared" ref="A97" si="113">+IF(C97+C98=0,"[ocultar]","")</f>
        <v>[ocultar]</v>
      </c>
      <c r="B97" s="57" t="s">
        <v>162</v>
      </c>
      <c r="C97" s="56">
        <f t="array" ref="C97">SUM(IF($B97=DATOS_[Sexo],
IF($B96=DATOS_[AGRUP. CLAS. PROF.],
IF("Dentro"=DATOS_[Check Periodo Ref.],
1/(COUNTIFS(DATOS_[Sexo],$B97,DATOS_[AGRUP. CLAS. PROF.],$B96,DATOS_[Check Periodo Ref.],"Dentro",DATOS_[id],DATOS_[id]))))))</f>
        <v>0</v>
      </c>
      <c r="D97" s="58">
        <f>COUNTIFS(DATOS_[AGRUP. CLAS. PROF.],$B96,DATOS_[Sexo],$B97,DATOS_[Check Periodo Ref.],"Dentro")</f>
        <v>0</v>
      </c>
      <c r="E97" s="58">
        <f>COUNTIFS(DATOS_[AGRUP. CLAS. PROF.],$B96,DATOS_[Sexo],$B97,DATOS_[Check Periodo Ref.],"Dentro",DATOS_[Check Nº SC Norm],"Sí")</f>
        <v>0</v>
      </c>
      <c r="F97" s="58">
        <f>COUNTIFS(DATOS_[AGRUP. CLAS. PROF.],$B96,DATOS_[Sexo],$B97,DATOS_[Check Periodo Ref.],"Dentro",DATOS_[Check Nº SC Anualiz],"Sí")</f>
        <v>0</v>
      </c>
      <c r="G97" s="58">
        <f>COUNTIFS(DATOS_[AGRUP. CLAS. PROF.],$B96,DATOS_[Sexo],$B97,DATOS_[Check Periodo Ref.],"Dentro",DATOS_[Check Nº SC Norm y Anualiz],"Sí")</f>
        <v>0</v>
      </c>
      <c r="H97" s="58">
        <f>COUNTIFS(DATOS_[AGRUP. CLAS. PROF.],$B96,DATOS_[Sexo],$B97,DATOS_[Check Periodo Ref.],"Dentro",DATOS_[Check Equiparación],"Sí")</f>
        <v>0</v>
      </c>
      <c r="I97" s="100">
        <f t="array" ref="I97">IFERROR(
AVERAGE(IF(DATOS_[Sexo]=$B97,IF(DATOS_[[AGRUP. CLAS. PROF.]:[AGRUP. CLAS. PROF.]]=$B96,IF(DATOS_[Check Equiparado]="Sí",IF(DATOS_[Check Periodo Ref.]="Dentro",DATOS_[SALARIO BASE Eq],FALSE))))),
0)</f>
        <v>0</v>
      </c>
      <c r="J97" s="101">
        <f t="array" ref="J97">IFERROR(
(AVERAGE((IF(DATOS_[[Sexo]:[Sexo]]=$B97,IF(DATOS_[[AGRUP. CLAS. PROF.]:[AGRUP. CLAS. PROF.]]=$B96,IF(DATOS_[[Check Periodo Ref.]:[Check Periodo Ref.]]="Dentro",IF(DATOS_[[Check Equiparado]:[Check Equiparado]]="Sí",IF(DATOS!AE$5="Sí",(1/DATOS_[[% anualiz]:[% anualiz]]),1)*IF(DATOS!AE$4="Sí",1/DATOS_[[% normaliz]:[% normaliz]],1)*(DATOS_[Conc.Sal.01])))))))),
0)</f>
        <v>0</v>
      </c>
      <c r="K97" s="101">
        <f t="array" ref="K97">IFERROR(
(AVERAGE((IF(DATOS_[[Sexo]:[Sexo]]=$B97,IF(DATOS_[[AGRUP. CLAS. PROF.]:[AGRUP. CLAS. PROF.]]=$B96,IF(DATOS_[[Check Periodo Ref.]:[Check Periodo Ref.]]="Dentro",IF(DATOS_[[Check Equiparado]:[Check Equiparado]]="Sí",IF(DATOS!AF$5="Sí",(1/DATOS_[[% anualiz]:[% anualiz]]),1)*IF(DATOS!AF$4="Sí",1/DATOS_[[% normaliz]:[% normaliz]],1)*(DATOS_[Conc.Sal.02])))))))),
0)</f>
        <v>0</v>
      </c>
      <c r="L97" s="101">
        <f t="array" ref="L97">IFERROR(
(AVERAGE((IF(DATOS_[[Sexo]:[Sexo]]=$B97,IF(DATOS_[[AGRUP. CLAS. PROF.]:[AGRUP. CLAS. PROF.]]=$B96,IF(DATOS_[[Check Periodo Ref.]:[Check Periodo Ref.]]="Dentro",IF(DATOS_[[Check Equiparado]:[Check Equiparado]]="Sí",IF(DATOS!AG$5="Sí",(1/DATOS_[[% anualiz]:[% anualiz]]),1)*IF(DATOS!AG$4="Sí",1/DATOS_[[% normaliz]:[% normaliz]],1)*(DATOS_[Conc.Sal.03])))))))),
0)</f>
        <v>0</v>
      </c>
      <c r="M97" s="101">
        <f t="array" ref="M97">IFERROR(
(AVERAGE((IF(DATOS_[[Sexo]:[Sexo]]=$B97,IF(DATOS_[[AGRUP. CLAS. PROF.]:[AGRUP. CLAS. PROF.]]=$B96,IF(DATOS_[[Check Periodo Ref.]:[Check Periodo Ref.]]="Dentro",IF(DATOS_[[Check Equiparado]:[Check Equiparado]]="Sí",IF(DATOS!AH$5="Sí",(1/DATOS_[[% anualiz]:[% anualiz]]),1)*IF(DATOS!AH$4="Sí",1/DATOS_[[% normaliz]:[% normaliz]],1)*(DATOS_[Conc.Sal.04])))))))),
0)</f>
        <v>0</v>
      </c>
      <c r="N97" s="101">
        <f t="array" ref="N97">IFERROR(
(AVERAGE((IF(DATOS_[[Sexo]:[Sexo]]=$B97,IF(DATOS_[[AGRUP. CLAS. PROF.]:[AGRUP. CLAS. PROF.]]=$B96,IF(DATOS_[[Check Periodo Ref.]:[Check Periodo Ref.]]="Dentro",IF(DATOS_[[Check Equiparado]:[Check Equiparado]]="Sí",IF(DATOS!AI$5="Sí",(1/DATOS_[[% anualiz]:[% anualiz]]),1)*IF(DATOS!AI$4="Sí",1/DATOS_[[% normaliz]:[% normaliz]],1)*(DATOS_[Conc.Sal.05])))))))),
0)</f>
        <v>0</v>
      </c>
      <c r="O97" s="101">
        <f t="array" ref="O97">IFERROR(
(AVERAGE((IF(DATOS_[[Sexo]:[Sexo]]=$B97,IF(DATOS_[[AGRUP. CLAS. PROF.]:[AGRUP. CLAS. PROF.]]=$B96,IF(DATOS_[[Check Periodo Ref.]:[Check Periodo Ref.]]="Dentro",IF(DATOS_[[Check Equiparado]:[Check Equiparado]]="Sí",IF(DATOS!AJ$5="Sí",(1/DATOS_[[% anualiz]:[% anualiz]]),1)*IF(DATOS!AJ$4="Sí",1/DATOS_[[% normaliz]:[% normaliz]],1)*(DATOS_[Conc.Sal.06])))))))),
0)</f>
        <v>0</v>
      </c>
      <c r="P97" s="101">
        <f t="array" ref="P97">IFERROR(
(AVERAGE((IF(DATOS_[[Sexo]:[Sexo]]=$B97,IF(DATOS_[[AGRUP. CLAS. PROF.]:[AGRUP. CLAS. PROF.]]=$B96,IF(DATOS_[[Check Periodo Ref.]:[Check Periodo Ref.]]="Dentro",IF(DATOS_[[Check Equiparado]:[Check Equiparado]]="Sí",IF(DATOS!AK$5="Sí",(1/DATOS_[[% anualiz]:[% anualiz]]),1)*IF(DATOS!AK$4="Sí",1/DATOS_[[% normaliz]:[% normaliz]],1)*(DATOS_[Conc.Sal.07])))))))),
0)</f>
        <v>0</v>
      </c>
      <c r="Q97" s="101">
        <f t="array" ref="Q97">IFERROR(
(AVERAGE((IF(DATOS_[[Sexo]:[Sexo]]=$B97,IF(DATOS_[[AGRUP. CLAS. PROF.]:[AGRUP. CLAS. PROF.]]=$B96,IF(DATOS_[[Check Periodo Ref.]:[Check Periodo Ref.]]="Dentro",IF(DATOS_[[Check Equiparado]:[Check Equiparado]]="Sí",IF(DATOS!AL$5="Sí",(1/DATOS_[[% anualiz]:[% anualiz]]),1)*IF(DATOS!AL$4="Sí",1/DATOS_[[% normaliz]:[% normaliz]],1)*(DATOS_[Conc.Sal.08])))))))),
0)</f>
        <v>0</v>
      </c>
      <c r="R97" s="101">
        <f t="array" ref="R97">IFERROR(
(AVERAGE((IF(DATOS_[[Sexo]:[Sexo]]=$B97,IF(DATOS_[[AGRUP. CLAS. PROF.]:[AGRUP. CLAS. PROF.]]=$B96,IF(DATOS_[[Check Periodo Ref.]:[Check Periodo Ref.]]="Dentro",IF(DATOS_[[Check Equiparado]:[Check Equiparado]]="Sí",IF(DATOS!AM$5="Sí",(1/DATOS_[[% anualiz]:[% anualiz]]),1)*IF(DATOS!AM$4="Sí",1/DATOS_[[% normaliz]:[% normaliz]],1)*(DATOS_[Conc.Sal.09])))))))),
0)</f>
        <v>0</v>
      </c>
      <c r="S97" s="101">
        <f t="array" ref="S97">IFERROR(
(AVERAGE((IF(DATOS_[[Sexo]:[Sexo]]=$B97,IF(DATOS_[[AGRUP. CLAS. PROF.]:[AGRUP. CLAS. PROF.]]=$B96,IF(DATOS_[[Check Periodo Ref.]:[Check Periodo Ref.]]="Dentro",IF(DATOS_[[Check Equiparado]:[Check Equiparado]]="Sí",IF(DATOS!AN$5="Sí",(1/DATOS_[[% anualiz]:[% anualiz]]),1)*IF(DATOS!AN$4="Sí",1/DATOS_[[% normaliz]:[% normaliz]],1)*(DATOS_[Conc.Sal.10])))))))),
0)</f>
        <v>0</v>
      </c>
      <c r="T97" s="101">
        <f t="array" ref="T97">IFERROR(
(AVERAGE((IF(DATOS_[[Sexo]:[Sexo]]=$B97,IF(DATOS_[[AGRUP. CLAS. PROF.]:[AGRUP. CLAS. PROF.]]=$B96,IF(DATOS_[[Check Periodo Ref.]:[Check Periodo Ref.]]="Dentro",IF(DATOS_[[Check Equiparado]:[Check Equiparado]]="Sí",IF(DATOS!AO$5="Sí",(1/DATOS_[[% anualiz]:[% anualiz]]),1)*IF(DATOS!AO$4="Sí",1/DATOS_[[% normaliz]:[% normaliz]],1)*(DATOS_[Conc.Sal.11])))))))),
0)</f>
        <v>0</v>
      </c>
      <c r="U97" s="101">
        <f t="array" ref="U97">IFERROR(
(AVERAGE((IF(DATOS_[[Sexo]:[Sexo]]=$B97,IF(DATOS_[[AGRUP. CLAS. PROF.]:[AGRUP. CLAS. PROF.]]=$B96,IF(DATOS_[[Check Periodo Ref.]:[Check Periodo Ref.]]="Dentro",IF(DATOS_[[Check Equiparado]:[Check Equiparado]]="Sí",IF(DATOS!AP$5="Sí",(1/DATOS_[[% anualiz]:[% anualiz]]),1)*IF(DATOS!AP$4="Sí",1/DATOS_[[% normaliz]:[% normaliz]],1)*(DATOS_[Conc.Sal.12])))))))),
0)</f>
        <v>0</v>
      </c>
      <c r="V97" s="101">
        <f t="array" ref="V97">IFERROR(
(AVERAGE((IF(DATOS_[[Sexo]:[Sexo]]=$B97,IF(DATOS_[[AGRUP. CLAS. PROF.]:[AGRUP. CLAS. PROF.]]=$B96,IF(DATOS_[[Check Periodo Ref.]:[Check Periodo Ref.]]="Dentro",IF(DATOS_[[Check Equiparado]:[Check Equiparado]]="Sí",IF(DATOS!AQ$5="Sí",(1/DATOS_[[% anualiz]:[% anualiz]]),1)*IF(DATOS!AQ$4="Sí",1/DATOS_[[% normaliz]:[% normaliz]],1)*(DATOS_[Conc.Sal.13])))))))),
0)</f>
        <v>0</v>
      </c>
      <c r="W97" s="101">
        <f t="array" ref="W97">IFERROR(
(AVERAGE((IF(DATOS_[[Sexo]:[Sexo]]=$B97,IF(DATOS_[[AGRUP. CLAS. PROF.]:[AGRUP. CLAS. PROF.]]=$B96,IF(DATOS_[[Check Periodo Ref.]:[Check Periodo Ref.]]="Dentro",IF(DATOS_[[Check Equiparado]:[Check Equiparado]]="Sí",IF(DATOS!AR$5="Sí",(1/DATOS_[[% anualiz]:[% anualiz]]),1)*IF(DATOS!AR$4="Sí",1/DATOS_[[% normaliz]:[% normaliz]],1)*(DATOS_[Conc.Sal.14])))))))),
0)</f>
        <v>0</v>
      </c>
      <c r="X97" s="101">
        <f t="array" ref="X97">IFERROR(
(AVERAGE((IF(DATOS_[[Sexo]:[Sexo]]=$B97,IF(DATOS_[[AGRUP. CLAS. PROF.]:[AGRUP. CLAS. PROF.]]=$B96,IF(DATOS_[[Check Periodo Ref.]:[Check Periodo Ref.]]="Dentro",IF(DATOS_[[Check Equiparado]:[Check Equiparado]]="Sí",IF(DATOS!AS$5="Sí",(1/DATOS_[[% anualiz]:[% anualiz]]),1)*IF(DATOS!AS$4="Sí",1/DATOS_[[% normaliz]:[% normaliz]],1)*(DATOS_[Conc.Sal.15])))))))),
0)</f>
        <v>0</v>
      </c>
      <c r="Y97" s="101">
        <f t="array" ref="Y97">IFERROR(
(AVERAGE((IF(DATOS_[[Sexo]:[Sexo]]=$B97,IF(DATOS_[[AGRUP. CLAS. PROF.]:[AGRUP. CLAS. PROF.]]=$B96,IF(DATOS_[[Check Periodo Ref.]:[Check Periodo Ref.]]="Dentro",IF(DATOS_[[Check Equiparado]:[Check Equiparado]]="Sí",IF(DATOS!AT$5="Sí",(1/DATOS_[[% anualiz]:[% anualiz]]),1)*IF(DATOS!AT$4="Sí",1/DATOS_[[% normaliz]:[% normaliz]],1)*(DATOS_[Conc.Sal.16])))))))),
0)</f>
        <v>0</v>
      </c>
      <c r="Z97" s="101">
        <f t="array" ref="Z97">IFERROR(
(AVERAGE((IF(DATOS_[[Sexo]:[Sexo]]=$B97,IF(DATOS_[[AGRUP. CLAS. PROF.]:[AGRUP. CLAS. PROF.]]=$B96,IF(DATOS_[[Check Periodo Ref.]:[Check Periodo Ref.]]="Dentro",IF(DATOS_[[Check Equiparado]:[Check Equiparado]]="Sí",IF(DATOS!AU$5="Sí",(1/DATOS_[[% anualiz]:[% anualiz]]),1)*IF(DATOS!AU$4="Sí",1/DATOS_[[% normaliz]:[% normaliz]],1)*(DATOS_[Conc.Sal.17])))))))),
0)</f>
        <v>0</v>
      </c>
      <c r="AA97" s="101">
        <f t="array" ref="AA97">IFERROR(
(AVERAGE((IF(DATOS_[[Sexo]:[Sexo]]=$B97,IF(DATOS_[[AGRUP. CLAS. PROF.]:[AGRUP. CLAS. PROF.]]=$B96,IF(DATOS_[[Check Periodo Ref.]:[Check Periodo Ref.]]="Dentro",IF(DATOS_[[Check Equiparado]:[Check Equiparado]]="Sí",IF(DATOS!AV$5="Sí",(1/DATOS_[[% anualiz]:[% anualiz]]),1)*IF(DATOS!AV$4="Sí",1/DATOS_[[% normaliz]:[% normaliz]],1)*(DATOS_[Conc.Sal.18])))))))),
0)</f>
        <v>0</v>
      </c>
      <c r="AB97" s="101">
        <f t="array" ref="AB97">IFERROR(
(AVERAGE((IF(DATOS_[[Sexo]:[Sexo]]=$B97,IF(DATOS_[[AGRUP. CLAS. PROF.]:[AGRUP. CLAS. PROF.]]=$B96,IF(DATOS_[[Check Periodo Ref.]:[Check Periodo Ref.]]="Dentro",IF(DATOS_[[Check Equiparado]:[Check Equiparado]]="Sí",IF(DATOS!AW$5="Sí",(1/DATOS_[[% anualiz]:[% anualiz]]),1)*IF(DATOS!AW$4="Sí",1/DATOS_[[% normaliz]:[% normaliz]],1)*(DATOS_[Conc.Sal.19])))))))),
0)</f>
        <v>0</v>
      </c>
      <c r="AC97" s="101">
        <f t="array" ref="AC97">IFERROR(
(AVERAGE((IF(DATOS_[[Sexo]:[Sexo]]=$B97,IF(DATOS_[[AGRUP. CLAS. PROF.]:[AGRUP. CLAS. PROF.]]=$B96,IF(DATOS_[[Check Periodo Ref.]:[Check Periodo Ref.]]="Dentro",IF(DATOS_[[Check Equiparado]:[Check Equiparado]]="Sí",IF(DATOS!AX$5="Sí",(1/DATOS_[[% anualiz]:[% anualiz]]),1)*IF(DATOS!AX$4="Sí",1/DATOS_[[% normaliz]:[% normaliz]],1)*(DATOS_[Conc.Sal.20])))))))),
0)</f>
        <v>0</v>
      </c>
      <c r="AD97" s="101">
        <f t="array" ref="AD97">IFERROR(
(AVERAGE((IF(DATOS_[[Sexo]:[Sexo]]=$B97,IF(DATOS_[[AGRUP. CLAS. PROF.]:[AGRUP. CLAS. PROF.]]=$B96,IF(DATOS_[[Check Periodo Ref.]:[Check Periodo Ref.]]="Dentro",IF(DATOS_[[Check Equiparado]:[Check Equiparado]]="Sí",IF(DATOS!AY$5="Sí",(1/DATOS_[[% anualiz]:[% anualiz]]),1)*IF(DATOS!AY$4="Sí",1/DATOS_[[% normaliz]:[% normaliz]],1)*(DATOS_[Conc.Sal.21])))))))),
0)</f>
        <v>0</v>
      </c>
      <c r="AE97" s="101">
        <f t="array" ref="AE97">IFERROR(
(AVERAGE((IF(DATOS_[[Sexo]:[Sexo]]=$B97,IF(DATOS_[[AGRUP. CLAS. PROF.]:[AGRUP. CLAS. PROF.]]=$B96,IF(DATOS_[[Check Periodo Ref.]:[Check Periodo Ref.]]="Dentro",IF(DATOS_[[Check Equiparado]:[Check Equiparado]]="Sí",IF(DATOS!AZ$5="Sí",(1/DATOS_[[% anualiz]:[% anualiz]]),1)*IF(DATOS!AZ$4="Sí",1/DATOS_[[% normaliz]:[% normaliz]],1)*(DATOS_[Conc.Sal.22])))))))),
0)</f>
        <v>0</v>
      </c>
      <c r="AF97" s="101">
        <f t="array" ref="AF97">IFERROR(
(AVERAGE((IF(DATOS_[[Sexo]:[Sexo]]=$B97,IF(DATOS_[[AGRUP. CLAS. PROF.]:[AGRUP. CLAS. PROF.]]=$B96,IF(DATOS_[[Check Periodo Ref.]:[Check Periodo Ref.]]="Dentro",IF(DATOS_[[Check Equiparado]:[Check Equiparado]]="Sí",IF(DATOS!BA$5="Sí",(1/DATOS_[[% anualiz]:[% anualiz]]),1)*IF(DATOS!BA$4="Sí",1/DATOS_[[% normaliz]:[% normaliz]],1)*(DATOS_[Conc.Sal.23])))))))),
0)</f>
        <v>0</v>
      </c>
      <c r="AG97" s="101">
        <f t="array" ref="AG97">IFERROR(
(AVERAGE((IF(DATOS_[[Sexo]:[Sexo]]=$B97,IF(DATOS_[[AGRUP. CLAS. PROF.]:[AGRUP. CLAS. PROF.]]=$B96,IF(DATOS_[[Check Periodo Ref.]:[Check Periodo Ref.]]="Dentro",IF(DATOS_[[Check Equiparado]:[Check Equiparado]]="Sí",IF(DATOS!BB$5="Sí",(1/DATOS_[[% anualiz]:[% anualiz]]),1)*IF(DATOS!BB$4="Sí",1/DATOS_[[% normaliz]:[% normaliz]],1)*(DATOS_[Conc.Sal.24])))))))),
0)</f>
        <v>0</v>
      </c>
      <c r="AH97" s="101">
        <f t="array" ref="AH97">IFERROR(
(AVERAGE((IF(DATOS_[[Sexo]:[Sexo]]=$B97,IF(DATOS_[[AGRUP. CLAS. PROF.]:[AGRUP. CLAS. PROF.]]=$B96,IF(DATOS_[[Check Periodo Ref.]:[Check Periodo Ref.]]="Dentro",IF(DATOS_[[Check Equiparado]:[Check Equiparado]]="Sí",IF(DATOS!BC$5="Sí",(1/DATOS_[[% anualiz]:[% anualiz]]),1)*IF(DATOS!BC$4="Sí",1/DATOS_[[% normaliz]:[% normaliz]],1)*(DATOS_[Conc.Sal.25])))))))),
0)</f>
        <v>0</v>
      </c>
      <c r="AI97" s="101">
        <f t="array" ref="AI97">IFERROR(
(AVERAGE((IF(DATOS_[[Sexo]:[Sexo]]=$B97,IF(DATOS_[[AGRUP. CLAS. PROF.]:[AGRUP. CLAS. PROF.]]=$B96,IF(DATOS_[[Check Periodo Ref.]:[Check Periodo Ref.]]="Dentro",IF(DATOS_[[Check Equiparado]:[Check Equiparado]]="Sí",IF(DATOS!BD$5="Sí",(1/DATOS_[[% anualiz]:[% anualiz]]),1)*IF(DATOS!BD$4="Sí",1/DATOS_[[% normaliz]:[% normaliz]],1)*(DATOS_[Conc.Sal.26])))))))),
0)</f>
        <v>0</v>
      </c>
      <c r="AJ97" s="101">
        <f t="array" ref="AJ97">IFERROR(
(AVERAGE((IF(DATOS_[[Sexo]:[Sexo]]=$B97,IF(DATOS_[[AGRUP. CLAS. PROF.]:[AGRUP. CLAS. PROF.]]=$B96,IF(DATOS_[[Check Periodo Ref.]:[Check Periodo Ref.]]="Dentro",IF(DATOS_[[Check Equiparado]:[Check Equiparado]]="Sí",IF(DATOS!BE$5="Sí",(1/DATOS_[[% anualiz]:[% anualiz]]),1)*IF(DATOS!BE$4="Sí",1/DATOS_[[% normaliz]:[% normaliz]],1)*(DATOS_[Conc.Sal.27])))))))),
0)</f>
        <v>0</v>
      </c>
      <c r="AK97" s="101">
        <f t="array" ref="AK97">IFERROR(
(AVERAGE((IF(DATOS_[[Sexo]:[Sexo]]=$B97,IF(DATOS_[[AGRUP. CLAS. PROF.]:[AGRUP. CLAS. PROF.]]=$B96,IF(DATOS_[[Check Periodo Ref.]:[Check Periodo Ref.]]="Dentro",IF(DATOS_[[Check Equiparado]:[Check Equiparado]]="Sí",IF(DATOS!BF$5="Sí",(1/DATOS_[[% anualiz]:[% anualiz]]),1)*IF(DATOS!BF$4="Sí",1/DATOS_[[% normaliz]:[% normaliz]],1)*(DATOS_[Conc.Sal.28])))))))),
0)</f>
        <v>0</v>
      </c>
      <c r="AL97" s="101">
        <f t="array" ref="AL97">IFERROR(
(AVERAGE((IF(DATOS_[[Sexo]:[Sexo]]=$B97,IF(DATOS_[[AGRUP. CLAS. PROF.]:[AGRUP. CLAS. PROF.]]=$B96,IF(DATOS_[[Check Periodo Ref.]:[Check Periodo Ref.]]="Dentro",IF(DATOS_[[Check Equiparado]:[Check Equiparado]]="Sí",IF(DATOS!BG$5="Sí",(1/DATOS_[[% anualiz]:[% anualiz]]),1)*IF(DATOS!BG$4="Sí",1/DATOS_[[% normaliz]:[% normaliz]],1)*(DATOS_[Conc.Sal.29])))))))),
0)</f>
        <v>0</v>
      </c>
      <c r="AM97" s="101">
        <f t="array" ref="AM97">IFERROR(
(AVERAGE((IF(DATOS_[[Sexo]:[Sexo]]=$B97,IF(DATOS_[[AGRUP. CLAS. PROF.]:[AGRUP. CLAS. PROF.]]=$B96,IF(DATOS_[[Check Periodo Ref.]:[Check Periodo Ref.]]="Dentro",IF(DATOS_[[Check Equiparado]:[Check Equiparado]]="Sí",IF(DATOS!BH$5="Sí",(1/DATOS_[[% anualiz]:[% anualiz]]),1)*IF(DATOS!BH$4="Sí",1/DATOS_[[% normaliz]:[% normaliz]],1)*(DATOS_[Conc.Sal.30])))))))),
0)</f>
        <v>0</v>
      </c>
      <c r="AN97" s="102">
        <f t="array" ref="AN97">IFERROR(
AVERAGE(IF(DATOS_[Sexo]=$B97,IF(DATOS_[[AGRUP. CLAS. PROF.]:[AGRUP. CLAS. PROF.]]=$B96,IF(DATOS_[Check Equiparado]="Sí",IF(DATOS_[Check Periodo Ref.]="Dentro",DATOS_[Tot COMPL.SAL Eq],FALSE))))),
0)</f>
        <v>0</v>
      </c>
      <c r="AO97" s="103">
        <f t="array" ref="AO97">IFERROR(
AVERAGE(IF(DATOS_[Sexo]=$B97,IF(DATOS_[[AGRUP. CLAS. PROF.]:[AGRUP. CLAS. PROF.]]=$B96,IF(DATOS_[Check Equiparado]="Sí",IF(DATOS_[Check Periodo Ref.]="Dentro",DATOS_[TOTAL SALARIO Eq],FALSE))))),
0)</f>
        <v>0</v>
      </c>
      <c r="AP97" s="104">
        <f t="array" ref="AP97">IFERROR(
(AVERAGE((IF(DATOS_[[Sexo]:[Sexo]]=$B97,IF(DATOS_[[AGRUP. CLAS. PROF.]:[AGRUP. CLAS. PROF.]]=$B96,IF(DATOS_[[Check Periodo Ref.]:[Check Periodo Ref.]]="Dentro",IF(DATOS_[[Check Equiparado]:[Check Equiparado]]="Sí",IF(DATOS!BI$5="Sí",(1/DATOS_[[% anualiz]:[% anualiz]]),1)*IF(DATOS!BI$4="Sí",1/DATOS_[[% normaliz]:[% normaliz]],1)*(DATOS_[C.Extra.01])))))))),
0)</f>
        <v>0</v>
      </c>
      <c r="AQ97" s="104">
        <f t="array" ref="AQ97">IFERROR(
(AVERAGE((IF(DATOS_[[Sexo]:[Sexo]]=$B97,IF(DATOS_[[AGRUP. CLAS. PROF.]:[AGRUP. CLAS. PROF.]]=$B96,IF(DATOS_[[Check Periodo Ref.]:[Check Periodo Ref.]]="Dentro",IF(DATOS_[[Check Equiparado]:[Check Equiparado]]="Sí",IF(DATOS!BJ$5="Sí",(1/DATOS_[[% anualiz]:[% anualiz]]),1)*IF(DATOS!BJ$4="Sí",1/DATOS_[[% normaliz]:[% normaliz]],1)*(DATOS_[C.Extra.02])))))))),
0)</f>
        <v>0</v>
      </c>
      <c r="AR97" s="104">
        <f t="array" ref="AR97">IFERROR(
(AVERAGE((IF(DATOS_[[Sexo]:[Sexo]]=$B97,IF(DATOS_[[AGRUP. CLAS. PROF.]:[AGRUP. CLAS. PROF.]]=$B96,IF(DATOS_[[Check Periodo Ref.]:[Check Periodo Ref.]]="Dentro",IF(DATOS_[[Check Equiparado]:[Check Equiparado]]="Sí",IF(DATOS!BK$5="Sí",(1/DATOS_[[% anualiz]:[% anualiz]]),1)*IF(DATOS!BK$4="Sí",1/DATOS_[[% normaliz]:[% normaliz]],1)*(DATOS_[C.Extra.03])))))))),
0)</f>
        <v>0</v>
      </c>
      <c r="AS97" s="104">
        <f t="array" ref="AS97">IFERROR(
(AVERAGE((IF(DATOS_[[Sexo]:[Sexo]]=$B97,IF(DATOS_[[AGRUP. CLAS. PROF.]:[AGRUP. CLAS. PROF.]]=$B96,IF(DATOS_[[Check Periodo Ref.]:[Check Periodo Ref.]]="Dentro",IF(DATOS_[[Check Equiparado]:[Check Equiparado]]="Sí",IF(DATOS!BL$5="Sí",(1/DATOS_[[% anualiz]:[% anualiz]]),1)*IF(DATOS!BL$4="Sí",1/DATOS_[[% normaliz]:[% normaliz]],1)*(DATOS_[C.Extra.04])))))))),
0)</f>
        <v>0</v>
      </c>
      <c r="AT97" s="104">
        <f t="array" ref="AT97">IFERROR(
(AVERAGE((IF(DATOS_[[Sexo]:[Sexo]]=$B97,IF(DATOS_[[AGRUP. CLAS. PROF.]:[AGRUP. CLAS. PROF.]]=$B96,IF(DATOS_[[Check Periodo Ref.]:[Check Periodo Ref.]]="Dentro",IF(DATOS_[[Check Equiparado]:[Check Equiparado]]="Sí",IF(DATOS!BM$5="Sí",(1/DATOS_[[% anualiz]:[% anualiz]]),1)*IF(DATOS!BM$4="Sí",1/DATOS_[[% normaliz]:[% normaliz]],1)*(DATOS_[C.Extra.05])))))))),
0)</f>
        <v>0</v>
      </c>
      <c r="AU97" s="105">
        <f t="array" ref="AU97">IFERROR(
AVERAGE(IF(DATOS_[Sexo]=$B97,IF(DATOS_[[AGRUP. CLAS. PROF.]:[AGRUP. CLAS. PROF.]]=$B96,IF(DATOS_[Check Equiparado]="Sí",IF(DATOS_[Check Periodo Ref.]="Dentro",DATOS_[Tot Extrasalarial Eq],FALSE))))),
0)</f>
        <v>0</v>
      </c>
      <c r="AV97" s="106">
        <f t="array" ref="AV97">IFERROR(
AVERAGE(IF(DATOS_[Sexo]=$B97,IF(DATOS_[[AGRUP. CLAS. PROF.]:[AGRUP. CLAS. PROF.]]=$B96,IF(DATOS_[Check Equiparado]="Sí",IF(DATOS_[Check Periodo Ref.]="Dentro",DATOS_[TOTAL Retrib Eq],FALSE))))),
0)</f>
        <v>0</v>
      </c>
    </row>
    <row r="98" spans="1:48" hidden="1" x14ac:dyDescent="0.3">
      <c r="A98" s="53" t="str">
        <f t="shared" ref="A98" si="114">+A97</f>
        <v>[ocultar]</v>
      </c>
      <c r="B98" s="57" t="s">
        <v>163</v>
      </c>
      <c r="C98" s="56">
        <f t="array" ref="C98">SUM(IF($B98=DATOS_[Sexo],
IF($B96=DATOS_[AGRUP. CLAS. PROF.],
IF("Dentro"=DATOS_[Check Periodo Ref.],
1/(COUNTIFS(DATOS_[Sexo],$B98,DATOS_[AGRUP. CLAS. PROF.],$B96,DATOS_[Check Periodo Ref.],"Dentro",DATOS_[id],DATOS_[id]))))))</f>
        <v>0</v>
      </c>
      <c r="D98" s="58">
        <f>COUNTIFS(DATOS_[AGRUP. CLAS. PROF.],$B96,DATOS_[Sexo],$B98,DATOS_[Check Periodo Ref.],"Dentro")</f>
        <v>0</v>
      </c>
      <c r="E98" s="58">
        <f>COUNTIFS(DATOS_[AGRUP. CLAS. PROF.],$B96,DATOS_[Sexo],$B98,DATOS_[Check Periodo Ref.],"Dentro",DATOS_[Check Nº SC Norm],"Sí")</f>
        <v>0</v>
      </c>
      <c r="F98" s="58">
        <f>COUNTIFS(DATOS_[AGRUP. CLAS. PROF.],$B96,DATOS_[Sexo],$B98,DATOS_[Check Periodo Ref.],"Dentro",DATOS_[Check Nº SC Anualiz],"Sí")</f>
        <v>0</v>
      </c>
      <c r="G98" s="58">
        <f>COUNTIFS(DATOS_[AGRUP. CLAS. PROF.],$B96,DATOS_[Sexo],$B98,DATOS_[Check Periodo Ref.],"Dentro",DATOS_[Check Nº SC Norm y Anualiz],"Sí")</f>
        <v>0</v>
      </c>
      <c r="H98" s="58">
        <f>COUNTIFS(DATOS_[AGRUP. CLAS. PROF.],$B96,DATOS_[Sexo],$B98,DATOS_[Check Periodo Ref.],"Dentro",DATOS_[Check Equiparación],"Sí")</f>
        <v>0</v>
      </c>
      <c r="I98" s="100" cm="1">
        <f t="array" ref="I98">IFERROR(
AVERAGE(IF(DATOS_[Sexo]=$B98,IF(DATOS_[[AGRUP. CLAS. PROF.]:[AGRUP. CLAS. PROF.]]=$B96,IF(DATOS_[Check Equiparado]="Sí",IF(DATOS_[Check Periodo Ref.]="Dentro",DATOS_[SALARIO BASE Eq],FALSE))))),
0)</f>
        <v>0</v>
      </c>
      <c r="J98" s="101">
        <f t="array" ref="J98">IFERROR(
(AVERAGE((IF(DATOS_[[Sexo]:[Sexo]]=$B98,IF(DATOS_[[AGRUP. CLAS. PROF.]:[AGRUP. CLAS. PROF.]]=$B96,IF(DATOS_[[Check Periodo Ref.]:[Check Periodo Ref.]]="Dentro",IF(DATOS_[[Check Equiparado]:[Check Equiparado]]="Sí",IF(DATOS!AE$5="Sí",(1/DATOS_[[% anualiz]:[% anualiz]]),1)*IF(DATOS!AE$4="Sí",1/DATOS_[[% normaliz]:[% normaliz]],1)*(DATOS_[Conc.Sal.01])))))))),
0)</f>
        <v>0</v>
      </c>
      <c r="K98" s="101">
        <f t="array" ref="K98">IFERROR(
(AVERAGE((IF(DATOS_[[Sexo]:[Sexo]]=$B98,IF(DATOS_[[AGRUP. CLAS. PROF.]:[AGRUP. CLAS. PROF.]]=$B96,IF(DATOS_[[Check Periodo Ref.]:[Check Periodo Ref.]]="Dentro",IF(DATOS_[[Check Equiparado]:[Check Equiparado]]="Sí",IF(DATOS!AF$5="Sí",(1/DATOS_[[% anualiz]:[% anualiz]]),1)*IF(DATOS!AF$4="Sí",1/DATOS_[[% normaliz]:[% normaliz]],1)*(DATOS_[Conc.Sal.02])))))))),
0)</f>
        <v>0</v>
      </c>
      <c r="L98" s="101">
        <f t="array" ref="L98">IFERROR(
(AVERAGE((IF(DATOS_[[Sexo]:[Sexo]]=$B98,IF(DATOS_[[AGRUP. CLAS. PROF.]:[AGRUP. CLAS. PROF.]]=$B96,IF(DATOS_[[Check Periodo Ref.]:[Check Periodo Ref.]]="Dentro",IF(DATOS_[[Check Equiparado]:[Check Equiparado]]="Sí",IF(DATOS!AG$5="Sí",(1/DATOS_[[% anualiz]:[% anualiz]]),1)*IF(DATOS!AG$4="Sí",1/DATOS_[[% normaliz]:[% normaliz]],1)*(DATOS_[Conc.Sal.03])))))))),
0)</f>
        <v>0</v>
      </c>
      <c r="M98" s="101">
        <f t="array" ref="M98">IFERROR(
(AVERAGE((IF(DATOS_[[Sexo]:[Sexo]]=$B98,IF(DATOS_[[AGRUP. CLAS. PROF.]:[AGRUP. CLAS. PROF.]]=$B96,IF(DATOS_[[Check Periodo Ref.]:[Check Periodo Ref.]]="Dentro",IF(DATOS_[[Check Equiparado]:[Check Equiparado]]="Sí",IF(DATOS!AH$5="Sí",(1/DATOS_[[% anualiz]:[% anualiz]]),1)*IF(DATOS!AH$4="Sí",1/DATOS_[[% normaliz]:[% normaliz]],1)*(DATOS_[Conc.Sal.04])))))))),
0)</f>
        <v>0</v>
      </c>
      <c r="N98" s="101">
        <f t="array" ref="N98">IFERROR(
(AVERAGE((IF(DATOS_[[Sexo]:[Sexo]]=$B98,IF(DATOS_[[AGRUP. CLAS. PROF.]:[AGRUP. CLAS. PROF.]]=$B96,IF(DATOS_[[Check Periodo Ref.]:[Check Periodo Ref.]]="Dentro",IF(DATOS_[[Check Equiparado]:[Check Equiparado]]="Sí",IF(DATOS!AI$5="Sí",(1/DATOS_[[% anualiz]:[% anualiz]]),1)*IF(DATOS!AI$4="Sí",1/DATOS_[[% normaliz]:[% normaliz]],1)*(DATOS_[Conc.Sal.05])))))))),
0)</f>
        <v>0</v>
      </c>
      <c r="O98" s="101">
        <f t="array" ref="O98">IFERROR(
(AVERAGE((IF(DATOS_[[Sexo]:[Sexo]]=$B98,IF(DATOS_[[AGRUP. CLAS. PROF.]:[AGRUP. CLAS. PROF.]]=$B96,IF(DATOS_[[Check Periodo Ref.]:[Check Periodo Ref.]]="Dentro",IF(DATOS_[[Check Equiparado]:[Check Equiparado]]="Sí",IF(DATOS!AJ$5="Sí",(1/DATOS_[[% anualiz]:[% anualiz]]),1)*IF(DATOS!AJ$4="Sí",1/DATOS_[[% normaliz]:[% normaliz]],1)*(DATOS_[Conc.Sal.06])))))))),
0)</f>
        <v>0</v>
      </c>
      <c r="P98" s="101">
        <f t="array" ref="P98">IFERROR(
(AVERAGE((IF(DATOS_[[Sexo]:[Sexo]]=$B98,IF(DATOS_[[AGRUP. CLAS. PROF.]:[AGRUP. CLAS. PROF.]]=$B96,IF(DATOS_[[Check Periodo Ref.]:[Check Periodo Ref.]]="Dentro",IF(DATOS_[[Check Equiparado]:[Check Equiparado]]="Sí",IF(DATOS!AK$5="Sí",(1/DATOS_[[% anualiz]:[% anualiz]]),1)*IF(DATOS!AK$4="Sí",1/DATOS_[[% normaliz]:[% normaliz]],1)*(DATOS_[Conc.Sal.07])))))))),
0)</f>
        <v>0</v>
      </c>
      <c r="Q98" s="101">
        <f t="array" ref="Q98">IFERROR(
(AVERAGE((IF(DATOS_[[Sexo]:[Sexo]]=$B98,IF(DATOS_[[AGRUP. CLAS. PROF.]:[AGRUP. CLAS. PROF.]]=$B96,IF(DATOS_[[Check Periodo Ref.]:[Check Periodo Ref.]]="Dentro",IF(DATOS_[[Check Equiparado]:[Check Equiparado]]="Sí",IF(DATOS!AL$5="Sí",(1/DATOS_[[% anualiz]:[% anualiz]]),1)*IF(DATOS!AL$4="Sí",1/DATOS_[[% normaliz]:[% normaliz]],1)*(DATOS_[Conc.Sal.08])))))))),
0)</f>
        <v>0</v>
      </c>
      <c r="R98" s="101">
        <f t="array" ref="R98">IFERROR(
(AVERAGE((IF(DATOS_[[Sexo]:[Sexo]]=$B98,IF(DATOS_[[AGRUP. CLAS. PROF.]:[AGRUP. CLAS. PROF.]]=$B96,IF(DATOS_[[Check Periodo Ref.]:[Check Periodo Ref.]]="Dentro",IF(DATOS_[[Check Equiparado]:[Check Equiparado]]="Sí",IF(DATOS!AM$5="Sí",(1/DATOS_[[% anualiz]:[% anualiz]]),1)*IF(DATOS!AM$4="Sí",1/DATOS_[[% normaliz]:[% normaliz]],1)*(DATOS_[Conc.Sal.09])))))))),
0)</f>
        <v>0</v>
      </c>
      <c r="S98" s="101">
        <f t="array" ref="S98">IFERROR(
(AVERAGE((IF(DATOS_[[Sexo]:[Sexo]]=$B98,IF(DATOS_[[AGRUP. CLAS. PROF.]:[AGRUP. CLAS. PROF.]]=$B96,IF(DATOS_[[Check Periodo Ref.]:[Check Periodo Ref.]]="Dentro",IF(DATOS_[[Check Equiparado]:[Check Equiparado]]="Sí",IF(DATOS!AN$5="Sí",(1/DATOS_[[% anualiz]:[% anualiz]]),1)*IF(DATOS!AN$4="Sí",1/DATOS_[[% normaliz]:[% normaliz]],1)*(DATOS_[Conc.Sal.10])))))))),
0)</f>
        <v>0</v>
      </c>
      <c r="T98" s="101">
        <f t="array" ref="T98">IFERROR(
(AVERAGE((IF(DATOS_[[Sexo]:[Sexo]]=$B98,IF(DATOS_[[AGRUP. CLAS. PROF.]:[AGRUP. CLAS. PROF.]]=$B96,IF(DATOS_[[Check Periodo Ref.]:[Check Periodo Ref.]]="Dentro",IF(DATOS_[[Check Equiparado]:[Check Equiparado]]="Sí",IF(DATOS!AO$5="Sí",(1/DATOS_[[% anualiz]:[% anualiz]]),1)*IF(DATOS!AO$4="Sí",1/DATOS_[[% normaliz]:[% normaliz]],1)*(DATOS_[Conc.Sal.11])))))))),
0)</f>
        <v>0</v>
      </c>
      <c r="U98" s="101">
        <f t="array" ref="U98">IFERROR(
(AVERAGE((IF(DATOS_[[Sexo]:[Sexo]]=$B98,IF(DATOS_[[AGRUP. CLAS. PROF.]:[AGRUP. CLAS. PROF.]]=$B96,IF(DATOS_[[Check Periodo Ref.]:[Check Periodo Ref.]]="Dentro",IF(DATOS_[[Check Equiparado]:[Check Equiparado]]="Sí",IF(DATOS!AP$5="Sí",(1/DATOS_[[% anualiz]:[% anualiz]]),1)*IF(DATOS!AP$4="Sí",1/DATOS_[[% normaliz]:[% normaliz]],1)*(DATOS_[Conc.Sal.12])))))))),
0)</f>
        <v>0</v>
      </c>
      <c r="V98" s="101">
        <f t="array" ref="V98">IFERROR(
(AVERAGE((IF(DATOS_[[Sexo]:[Sexo]]=$B98,IF(DATOS_[[AGRUP. CLAS. PROF.]:[AGRUP. CLAS. PROF.]]=$B96,IF(DATOS_[[Check Periodo Ref.]:[Check Periodo Ref.]]="Dentro",IF(DATOS_[[Check Equiparado]:[Check Equiparado]]="Sí",IF(DATOS!AQ$5="Sí",(1/DATOS_[[% anualiz]:[% anualiz]]),1)*IF(DATOS!AQ$4="Sí",1/DATOS_[[% normaliz]:[% normaliz]],1)*(DATOS_[Conc.Sal.13])))))))),
0)</f>
        <v>0</v>
      </c>
      <c r="W98" s="101">
        <f t="array" ref="W98">IFERROR(
(AVERAGE((IF(DATOS_[[Sexo]:[Sexo]]=$B98,IF(DATOS_[[AGRUP. CLAS. PROF.]:[AGRUP. CLAS. PROF.]]=$B96,IF(DATOS_[[Check Periodo Ref.]:[Check Periodo Ref.]]="Dentro",IF(DATOS_[[Check Equiparado]:[Check Equiparado]]="Sí",IF(DATOS!AR$5="Sí",(1/DATOS_[[% anualiz]:[% anualiz]]),1)*IF(DATOS!AR$4="Sí",1/DATOS_[[% normaliz]:[% normaliz]],1)*(DATOS_[Conc.Sal.14])))))))),
0)</f>
        <v>0</v>
      </c>
      <c r="X98" s="101">
        <f t="array" ref="X98">IFERROR(
(AVERAGE((IF(DATOS_[[Sexo]:[Sexo]]=$B98,IF(DATOS_[[AGRUP. CLAS. PROF.]:[AGRUP. CLAS. PROF.]]=$B96,IF(DATOS_[[Check Periodo Ref.]:[Check Periodo Ref.]]="Dentro",IF(DATOS_[[Check Equiparado]:[Check Equiparado]]="Sí",IF(DATOS!AS$5="Sí",(1/DATOS_[[% anualiz]:[% anualiz]]),1)*IF(DATOS!AS$4="Sí",1/DATOS_[[% normaliz]:[% normaliz]],1)*(DATOS_[Conc.Sal.15])))))))),
0)</f>
        <v>0</v>
      </c>
      <c r="Y98" s="101">
        <f t="array" ref="Y98">IFERROR(
(AVERAGE((IF(DATOS_[[Sexo]:[Sexo]]=$B98,IF(DATOS_[[AGRUP. CLAS. PROF.]:[AGRUP. CLAS. PROF.]]=$B96,IF(DATOS_[[Check Periodo Ref.]:[Check Periodo Ref.]]="Dentro",IF(DATOS_[[Check Equiparado]:[Check Equiparado]]="Sí",IF(DATOS!AT$5="Sí",(1/DATOS_[[% anualiz]:[% anualiz]]),1)*IF(DATOS!AT$4="Sí",1/DATOS_[[% normaliz]:[% normaliz]],1)*(DATOS_[Conc.Sal.16])))))))),
0)</f>
        <v>0</v>
      </c>
      <c r="Z98" s="101">
        <f t="array" ref="Z98">IFERROR(
(AVERAGE((IF(DATOS_[[Sexo]:[Sexo]]=$B98,IF(DATOS_[[AGRUP. CLAS. PROF.]:[AGRUP. CLAS. PROF.]]=$B96,IF(DATOS_[[Check Periodo Ref.]:[Check Periodo Ref.]]="Dentro",IF(DATOS_[[Check Equiparado]:[Check Equiparado]]="Sí",IF(DATOS!AU$5="Sí",(1/DATOS_[[% anualiz]:[% anualiz]]),1)*IF(DATOS!AU$4="Sí",1/DATOS_[[% normaliz]:[% normaliz]],1)*(DATOS_[Conc.Sal.17])))))))),
0)</f>
        <v>0</v>
      </c>
      <c r="AA98" s="101">
        <f t="array" ref="AA98">IFERROR(
(AVERAGE((IF(DATOS_[[Sexo]:[Sexo]]=$B98,IF(DATOS_[[AGRUP. CLAS. PROF.]:[AGRUP. CLAS. PROF.]]=$B96,IF(DATOS_[[Check Periodo Ref.]:[Check Periodo Ref.]]="Dentro",IF(DATOS_[[Check Equiparado]:[Check Equiparado]]="Sí",IF(DATOS!AV$5="Sí",(1/DATOS_[[% anualiz]:[% anualiz]]),1)*IF(DATOS!AV$4="Sí",1/DATOS_[[% normaliz]:[% normaliz]],1)*(DATOS_[Conc.Sal.18])))))))),
0)</f>
        <v>0</v>
      </c>
      <c r="AB98" s="101">
        <f t="array" ref="AB98">IFERROR(
(AVERAGE((IF(DATOS_[[Sexo]:[Sexo]]=$B98,IF(DATOS_[[AGRUP. CLAS. PROF.]:[AGRUP. CLAS. PROF.]]=$B96,IF(DATOS_[[Check Periodo Ref.]:[Check Periodo Ref.]]="Dentro",IF(DATOS_[[Check Equiparado]:[Check Equiparado]]="Sí",IF(DATOS!AW$5="Sí",(1/DATOS_[[% anualiz]:[% anualiz]]),1)*IF(DATOS!AW$4="Sí",1/DATOS_[[% normaliz]:[% normaliz]],1)*(DATOS_[Conc.Sal.19])))))))),
0)</f>
        <v>0</v>
      </c>
      <c r="AC98" s="101">
        <f t="array" ref="AC98">IFERROR(
(AVERAGE((IF(DATOS_[[Sexo]:[Sexo]]=$B98,IF(DATOS_[[AGRUP. CLAS. PROF.]:[AGRUP. CLAS. PROF.]]=$B96,IF(DATOS_[[Check Periodo Ref.]:[Check Periodo Ref.]]="Dentro",IF(DATOS_[[Check Equiparado]:[Check Equiparado]]="Sí",IF(DATOS!AX$5="Sí",(1/DATOS_[[% anualiz]:[% anualiz]]),1)*IF(DATOS!AX$4="Sí",1/DATOS_[[% normaliz]:[% normaliz]],1)*(DATOS_[Conc.Sal.20])))))))),
0)</f>
        <v>0</v>
      </c>
      <c r="AD98" s="101">
        <f t="array" ref="AD98">IFERROR(
(AVERAGE((IF(DATOS_[[Sexo]:[Sexo]]=$B98,IF(DATOS_[[AGRUP. CLAS. PROF.]:[AGRUP. CLAS. PROF.]]=$B96,IF(DATOS_[[Check Periodo Ref.]:[Check Periodo Ref.]]="Dentro",IF(DATOS_[[Check Equiparado]:[Check Equiparado]]="Sí",IF(DATOS!AY$5="Sí",(1/DATOS_[[% anualiz]:[% anualiz]]),1)*IF(DATOS!AY$4="Sí",1/DATOS_[[% normaliz]:[% normaliz]],1)*(DATOS_[Conc.Sal.21])))))))),
0)</f>
        <v>0</v>
      </c>
      <c r="AE98" s="101">
        <f t="array" ref="AE98">IFERROR(
(AVERAGE((IF(DATOS_[[Sexo]:[Sexo]]=$B98,IF(DATOS_[[AGRUP. CLAS. PROF.]:[AGRUP. CLAS. PROF.]]=$B96,IF(DATOS_[[Check Periodo Ref.]:[Check Periodo Ref.]]="Dentro",IF(DATOS_[[Check Equiparado]:[Check Equiparado]]="Sí",IF(DATOS!AZ$5="Sí",(1/DATOS_[[% anualiz]:[% anualiz]]),1)*IF(DATOS!AZ$4="Sí",1/DATOS_[[% normaliz]:[% normaliz]],1)*(DATOS_[Conc.Sal.22])))))))),
0)</f>
        <v>0</v>
      </c>
      <c r="AF98" s="101">
        <f t="array" ref="AF98">IFERROR(
(AVERAGE((IF(DATOS_[[Sexo]:[Sexo]]=$B98,IF(DATOS_[[AGRUP. CLAS. PROF.]:[AGRUP. CLAS. PROF.]]=$B96,IF(DATOS_[[Check Periodo Ref.]:[Check Periodo Ref.]]="Dentro",IF(DATOS_[[Check Equiparado]:[Check Equiparado]]="Sí",IF(DATOS!BA$5="Sí",(1/DATOS_[[% anualiz]:[% anualiz]]),1)*IF(DATOS!BA$4="Sí",1/DATOS_[[% normaliz]:[% normaliz]],1)*(DATOS_[Conc.Sal.23])))))))),
0)</f>
        <v>0</v>
      </c>
      <c r="AG98" s="101">
        <f t="array" ref="AG98">IFERROR(
(AVERAGE((IF(DATOS_[[Sexo]:[Sexo]]=$B98,IF(DATOS_[[AGRUP. CLAS. PROF.]:[AGRUP. CLAS. PROF.]]=$B96,IF(DATOS_[[Check Periodo Ref.]:[Check Periodo Ref.]]="Dentro",IF(DATOS_[[Check Equiparado]:[Check Equiparado]]="Sí",IF(DATOS!BB$5="Sí",(1/DATOS_[[% anualiz]:[% anualiz]]),1)*IF(DATOS!BB$4="Sí",1/DATOS_[[% normaliz]:[% normaliz]],1)*(DATOS_[Conc.Sal.24])))))))),
0)</f>
        <v>0</v>
      </c>
      <c r="AH98" s="101">
        <f t="array" ref="AH98">IFERROR(
(AVERAGE((IF(DATOS_[[Sexo]:[Sexo]]=$B98,IF(DATOS_[[AGRUP. CLAS. PROF.]:[AGRUP. CLAS. PROF.]]=$B96,IF(DATOS_[[Check Periodo Ref.]:[Check Periodo Ref.]]="Dentro",IF(DATOS_[[Check Equiparado]:[Check Equiparado]]="Sí",IF(DATOS!BC$5="Sí",(1/DATOS_[[% anualiz]:[% anualiz]]),1)*IF(DATOS!BC$4="Sí",1/DATOS_[[% normaliz]:[% normaliz]],1)*(DATOS_[Conc.Sal.25])))))))),
0)</f>
        <v>0</v>
      </c>
      <c r="AI98" s="101">
        <f t="array" ref="AI98">IFERROR(
(AVERAGE((IF(DATOS_[[Sexo]:[Sexo]]=$B98,IF(DATOS_[[AGRUP. CLAS. PROF.]:[AGRUP. CLAS. PROF.]]=$B96,IF(DATOS_[[Check Periodo Ref.]:[Check Periodo Ref.]]="Dentro",IF(DATOS_[[Check Equiparado]:[Check Equiparado]]="Sí",IF(DATOS!BD$5="Sí",(1/DATOS_[[% anualiz]:[% anualiz]]),1)*IF(DATOS!BD$4="Sí",1/DATOS_[[% normaliz]:[% normaliz]],1)*(DATOS_[Conc.Sal.26])))))))),
0)</f>
        <v>0</v>
      </c>
      <c r="AJ98" s="101">
        <f t="array" ref="AJ98">IFERROR(
(AVERAGE((IF(DATOS_[[Sexo]:[Sexo]]=$B98,IF(DATOS_[[AGRUP. CLAS. PROF.]:[AGRUP. CLAS. PROF.]]=$B96,IF(DATOS_[[Check Periodo Ref.]:[Check Periodo Ref.]]="Dentro",IF(DATOS_[[Check Equiparado]:[Check Equiparado]]="Sí",IF(DATOS!BE$5="Sí",(1/DATOS_[[% anualiz]:[% anualiz]]),1)*IF(DATOS!BE$4="Sí",1/DATOS_[[% normaliz]:[% normaliz]],1)*(DATOS_[Conc.Sal.27])))))))),
0)</f>
        <v>0</v>
      </c>
      <c r="AK98" s="101">
        <f t="array" ref="AK98">IFERROR(
(AVERAGE((IF(DATOS_[[Sexo]:[Sexo]]=$B98,IF(DATOS_[[AGRUP. CLAS. PROF.]:[AGRUP. CLAS. PROF.]]=$B96,IF(DATOS_[[Check Periodo Ref.]:[Check Periodo Ref.]]="Dentro",IF(DATOS_[[Check Equiparado]:[Check Equiparado]]="Sí",IF(DATOS!BF$5="Sí",(1/DATOS_[[% anualiz]:[% anualiz]]),1)*IF(DATOS!BF$4="Sí",1/DATOS_[[% normaliz]:[% normaliz]],1)*(DATOS_[Conc.Sal.28])))))))),
0)</f>
        <v>0</v>
      </c>
      <c r="AL98" s="101">
        <f t="array" ref="AL98">IFERROR(
(AVERAGE((IF(DATOS_[[Sexo]:[Sexo]]=$B98,IF(DATOS_[[AGRUP. CLAS. PROF.]:[AGRUP. CLAS. PROF.]]=$B96,IF(DATOS_[[Check Periodo Ref.]:[Check Periodo Ref.]]="Dentro",IF(DATOS_[[Check Equiparado]:[Check Equiparado]]="Sí",IF(DATOS!BG$5="Sí",(1/DATOS_[[% anualiz]:[% anualiz]]),1)*IF(DATOS!BG$4="Sí",1/DATOS_[[% normaliz]:[% normaliz]],1)*(DATOS_[Conc.Sal.29])))))))),
0)</f>
        <v>0</v>
      </c>
      <c r="AM98" s="101">
        <f t="array" ref="AM98">IFERROR(
(AVERAGE((IF(DATOS_[[Sexo]:[Sexo]]=$B98,IF(DATOS_[[AGRUP. CLAS. PROF.]:[AGRUP. CLAS. PROF.]]=$B96,IF(DATOS_[[Check Periodo Ref.]:[Check Periodo Ref.]]="Dentro",IF(DATOS_[[Check Equiparado]:[Check Equiparado]]="Sí",IF(DATOS!BH$5="Sí",(1/DATOS_[[% anualiz]:[% anualiz]]),1)*IF(DATOS!BH$4="Sí",1/DATOS_[[% normaliz]:[% normaliz]],1)*(DATOS_[Conc.Sal.30])))))))),
0)</f>
        <v>0</v>
      </c>
      <c r="AN98" s="102">
        <f t="array" ref="AN98">IFERROR(
AVERAGE(IF(DATOS_[Sexo]=$B98,IF(DATOS_[[AGRUP. CLAS. PROF.]:[AGRUP. CLAS. PROF.]]=$B96,IF(DATOS_[Check Equiparado]="Sí",IF(DATOS_[Check Periodo Ref.]="Dentro",DATOS_[Tot COMPL.SAL Eq],FALSE))))),
0)</f>
        <v>0</v>
      </c>
      <c r="AO98" s="103">
        <f t="array" ref="AO98">IFERROR(
AVERAGE(IF(DATOS_[Sexo]=$B98,IF(DATOS_[[AGRUP. CLAS. PROF.]:[AGRUP. CLAS. PROF.]]=$B96,IF(DATOS_[Check Equiparado]="Sí",IF(DATOS_[Check Periodo Ref.]="Dentro",DATOS_[TOTAL SALARIO Eq],FALSE))))),
0)</f>
        <v>0</v>
      </c>
      <c r="AP98" s="104">
        <f t="array" ref="AP98">IFERROR(
(AVERAGE((IF(DATOS_[[Sexo]:[Sexo]]=$B98,IF(DATOS_[[AGRUP. CLAS. PROF.]:[AGRUP. CLAS. PROF.]]=$B96,IF(DATOS_[[Check Periodo Ref.]:[Check Periodo Ref.]]="Dentro",IF(DATOS_[[Check Equiparado]:[Check Equiparado]]="Sí",IF(DATOS!BI$5="Sí",(1/DATOS_[[% anualiz]:[% anualiz]]),1)*IF(DATOS!BI$4="Sí",1/DATOS_[[% normaliz]:[% normaliz]],1)*(DATOS_[C.Extra.01])))))))),
0)</f>
        <v>0</v>
      </c>
      <c r="AQ98" s="104">
        <f t="array" ref="AQ98">IFERROR(
(AVERAGE((IF(DATOS_[[Sexo]:[Sexo]]=$B98,IF(DATOS_[[AGRUP. CLAS. PROF.]:[AGRUP. CLAS. PROF.]]=$B96,IF(DATOS_[[Check Periodo Ref.]:[Check Periodo Ref.]]="Dentro",IF(DATOS_[[Check Equiparado]:[Check Equiparado]]="Sí",IF(DATOS!BJ$5="Sí",(1/DATOS_[[% anualiz]:[% anualiz]]),1)*IF(DATOS!BJ$4="Sí",1/DATOS_[[% normaliz]:[% normaliz]],1)*(DATOS_[C.Extra.02])))))))),
0)</f>
        <v>0</v>
      </c>
      <c r="AR98" s="104">
        <f t="array" ref="AR98">IFERROR(
(AVERAGE((IF(DATOS_[[Sexo]:[Sexo]]=$B98,IF(DATOS_[[AGRUP. CLAS. PROF.]:[AGRUP. CLAS. PROF.]]=$B96,IF(DATOS_[[Check Periodo Ref.]:[Check Periodo Ref.]]="Dentro",IF(DATOS_[[Check Equiparado]:[Check Equiparado]]="Sí",IF(DATOS!BK$5="Sí",(1/DATOS_[[% anualiz]:[% anualiz]]),1)*IF(DATOS!BK$4="Sí",1/DATOS_[[% normaliz]:[% normaliz]],1)*(DATOS_[C.Extra.03])))))))),
0)</f>
        <v>0</v>
      </c>
      <c r="AS98" s="104">
        <f t="array" ref="AS98">IFERROR(
(AVERAGE((IF(DATOS_[[Sexo]:[Sexo]]=$B98,IF(DATOS_[[AGRUP. CLAS. PROF.]:[AGRUP. CLAS. PROF.]]=$B96,IF(DATOS_[[Check Periodo Ref.]:[Check Periodo Ref.]]="Dentro",IF(DATOS_[[Check Equiparado]:[Check Equiparado]]="Sí",IF(DATOS!BL$5="Sí",(1/DATOS_[[% anualiz]:[% anualiz]]),1)*IF(DATOS!BL$4="Sí",1/DATOS_[[% normaliz]:[% normaliz]],1)*(DATOS_[C.Extra.04])))))))),
0)</f>
        <v>0</v>
      </c>
      <c r="AT98" s="104">
        <f t="array" ref="AT98">IFERROR(
(AVERAGE((IF(DATOS_[[Sexo]:[Sexo]]=$B98,IF(DATOS_[[AGRUP. CLAS. PROF.]:[AGRUP. CLAS. PROF.]]=$B96,IF(DATOS_[[Check Periodo Ref.]:[Check Periodo Ref.]]="Dentro",IF(DATOS_[[Check Equiparado]:[Check Equiparado]]="Sí",IF(DATOS!BM$5="Sí",(1/DATOS_[[% anualiz]:[% anualiz]]),1)*IF(DATOS!BM$4="Sí",1/DATOS_[[% normaliz]:[% normaliz]],1)*(DATOS_[C.Extra.05])))))))),
0)</f>
        <v>0</v>
      </c>
      <c r="AU98" s="105">
        <f t="array" ref="AU98">IFERROR(
AVERAGE(IF(DATOS_[Sexo]=$B98,IF(DATOS_[[AGRUP. CLAS. PROF.]:[AGRUP. CLAS. PROF.]]=$B96,IF(DATOS_[Check Equiparado]="Sí",IF(DATOS_[Check Periodo Ref.]="Dentro",DATOS_[Tot Extrasalarial Eq],FALSE))))),
0)</f>
        <v>0</v>
      </c>
      <c r="AV98" s="106">
        <f t="array" ref="AV98">IFERROR(
AVERAGE(IF(DATOS_[Sexo]=$B98,IF(DATOS_[[AGRUP. CLAS. PROF.]:[AGRUP. CLAS. PROF.]]=$B96,IF(DATOS_[Check Equiparado]="Sí",IF(DATOS_[Check Periodo Ref.]="Dentro",DATOS_[TOTAL Retrib Eq],FALSE))))),
0)</f>
        <v>0</v>
      </c>
    </row>
    <row r="99" spans="1:48" ht="17.25" hidden="1" thickBot="1" x14ac:dyDescent="0.35">
      <c r="A99" s="53" t="str">
        <f t="shared" ref="A99" si="115">+A100</f>
        <v>[ocultar]</v>
      </c>
      <c r="B99" s="62" t="s">
        <v>245</v>
      </c>
      <c r="C99" s="99"/>
      <c r="D99" s="63"/>
      <c r="E99" s="63"/>
      <c r="F99" s="63"/>
      <c r="G99" s="63"/>
      <c r="H99" s="63"/>
      <c r="I99" s="129" t="str">
        <f t="shared" ref="I99:AV99" si="116">IFERROR((I100-I101)/I100,"")</f>
        <v/>
      </c>
      <c r="J99" s="130" t="str">
        <f t="shared" si="116"/>
        <v/>
      </c>
      <c r="K99" s="131" t="str">
        <f t="shared" si="116"/>
        <v/>
      </c>
      <c r="L99" s="131" t="str">
        <f t="shared" si="116"/>
        <v/>
      </c>
      <c r="M99" s="131" t="str">
        <f t="shared" si="116"/>
        <v/>
      </c>
      <c r="N99" s="132" t="str">
        <f t="shared" si="116"/>
        <v/>
      </c>
      <c r="O99" s="133" t="str">
        <f t="shared" si="116"/>
        <v/>
      </c>
      <c r="P99" s="133" t="str">
        <f t="shared" si="116"/>
        <v/>
      </c>
      <c r="Q99" s="133" t="str">
        <f t="shared" si="116"/>
        <v/>
      </c>
      <c r="R99" s="133" t="str">
        <f t="shared" si="116"/>
        <v/>
      </c>
      <c r="S99" s="133" t="str">
        <f t="shared" si="116"/>
        <v/>
      </c>
      <c r="T99" s="133" t="str">
        <f t="shared" si="116"/>
        <v/>
      </c>
      <c r="U99" s="133" t="str">
        <f t="shared" si="116"/>
        <v/>
      </c>
      <c r="V99" s="133" t="str">
        <f t="shared" si="116"/>
        <v/>
      </c>
      <c r="W99" s="133" t="str">
        <f t="shared" si="116"/>
        <v/>
      </c>
      <c r="X99" s="133" t="str">
        <f t="shared" si="116"/>
        <v/>
      </c>
      <c r="Y99" s="133" t="str">
        <f t="shared" si="116"/>
        <v/>
      </c>
      <c r="Z99" s="132" t="str">
        <f t="shared" si="116"/>
        <v/>
      </c>
      <c r="AA99" s="132" t="str">
        <f t="shared" si="116"/>
        <v/>
      </c>
      <c r="AB99" s="132" t="str">
        <f t="shared" si="116"/>
        <v/>
      </c>
      <c r="AC99" s="132" t="str">
        <f t="shared" si="116"/>
        <v/>
      </c>
      <c r="AD99" s="132" t="str">
        <f t="shared" si="116"/>
        <v/>
      </c>
      <c r="AE99" s="132" t="str">
        <f t="shared" si="116"/>
        <v/>
      </c>
      <c r="AF99" s="132" t="str">
        <f t="shared" si="116"/>
        <v/>
      </c>
      <c r="AG99" s="132" t="str">
        <f t="shared" si="116"/>
        <v/>
      </c>
      <c r="AH99" s="132" t="str">
        <f t="shared" si="116"/>
        <v/>
      </c>
      <c r="AI99" s="132" t="str">
        <f t="shared" si="116"/>
        <v/>
      </c>
      <c r="AJ99" s="132" t="str">
        <f t="shared" si="116"/>
        <v/>
      </c>
      <c r="AK99" s="132" t="str">
        <f t="shared" si="116"/>
        <v/>
      </c>
      <c r="AL99" s="132" t="str">
        <f t="shared" si="116"/>
        <v/>
      </c>
      <c r="AM99" s="132" t="str">
        <f t="shared" si="116"/>
        <v/>
      </c>
      <c r="AN99" s="134" t="str">
        <f t="shared" si="116"/>
        <v/>
      </c>
      <c r="AO99" s="138" t="str">
        <f t="shared" si="116"/>
        <v/>
      </c>
      <c r="AP99" s="135" t="str">
        <f t="shared" si="116"/>
        <v/>
      </c>
      <c r="AQ99" s="135" t="str">
        <f t="shared" si="116"/>
        <v/>
      </c>
      <c r="AR99" s="135" t="str">
        <f t="shared" si="116"/>
        <v/>
      </c>
      <c r="AS99" s="135" t="str">
        <f t="shared" si="116"/>
        <v/>
      </c>
      <c r="AT99" s="135" t="str">
        <f t="shared" si="116"/>
        <v/>
      </c>
      <c r="AU99" s="136" t="str">
        <f t="shared" si="116"/>
        <v/>
      </c>
      <c r="AV99" s="137" t="str">
        <f t="shared" si="116"/>
        <v/>
      </c>
    </row>
    <row r="100" spans="1:48" hidden="1" x14ac:dyDescent="0.3">
      <c r="A100" s="53" t="str">
        <f t="shared" ref="A100" si="117">+IF(C100+C101=0,"[ocultar]","")</f>
        <v>[ocultar]</v>
      </c>
      <c r="B100" s="57" t="s">
        <v>162</v>
      </c>
      <c r="C100" s="56">
        <f t="array" ref="C100">SUM(IF($B100=DATOS_[Sexo],
IF($B99=DATOS_[AGRUP. CLAS. PROF.],
IF("Dentro"=DATOS_[Check Periodo Ref.],
1/(COUNTIFS(DATOS_[Sexo],$B100,DATOS_[AGRUP. CLAS. PROF.],$B99,DATOS_[Check Periodo Ref.],"Dentro",DATOS_[id],DATOS_[id]))))))</f>
        <v>0</v>
      </c>
      <c r="D100" s="58">
        <f>COUNTIFS(DATOS_[AGRUP. CLAS. PROF.],$B99,DATOS_[Sexo],$B100,DATOS_[Check Periodo Ref.],"Dentro")</f>
        <v>0</v>
      </c>
      <c r="E100" s="58">
        <f>COUNTIFS(DATOS_[AGRUP. CLAS. PROF.],$B99,DATOS_[Sexo],$B100,DATOS_[Check Periodo Ref.],"Dentro",DATOS_[Check Nº SC Norm],"Sí")</f>
        <v>0</v>
      </c>
      <c r="F100" s="58">
        <f>COUNTIFS(DATOS_[AGRUP. CLAS. PROF.],$B99,DATOS_[Sexo],$B100,DATOS_[Check Periodo Ref.],"Dentro",DATOS_[Check Nº SC Anualiz],"Sí")</f>
        <v>0</v>
      </c>
      <c r="G100" s="58">
        <f>COUNTIFS(DATOS_[AGRUP. CLAS. PROF.],$B99,DATOS_[Sexo],$B100,DATOS_[Check Periodo Ref.],"Dentro",DATOS_[Check Nº SC Norm y Anualiz],"Sí")</f>
        <v>0</v>
      </c>
      <c r="H100" s="58">
        <f>COUNTIFS(DATOS_[AGRUP. CLAS. PROF.],$B99,DATOS_[Sexo],$B100,DATOS_[Check Periodo Ref.],"Dentro",DATOS_[Check Equiparación],"Sí")</f>
        <v>0</v>
      </c>
      <c r="I100" s="100">
        <f t="array" ref="I100">IFERROR(
AVERAGE(IF(DATOS_[Sexo]=$B100,IF(DATOS_[[AGRUP. CLAS. PROF.]:[AGRUP. CLAS. PROF.]]=$B99,IF(DATOS_[Check Equiparado]="Sí",IF(DATOS_[Check Periodo Ref.]="Dentro",DATOS_[SALARIO BASE Eq],FALSE))))),
0)</f>
        <v>0</v>
      </c>
      <c r="J100" s="101">
        <f t="array" ref="J100">IFERROR(
(AVERAGE((IF(DATOS_[[Sexo]:[Sexo]]=$B100,IF(DATOS_[[AGRUP. CLAS. PROF.]:[AGRUP. CLAS. PROF.]]=$B99,IF(DATOS_[[Check Periodo Ref.]:[Check Periodo Ref.]]="Dentro",IF(DATOS_[[Check Equiparado]:[Check Equiparado]]="Sí",IF(DATOS!AE$5="Sí",(1/DATOS_[[% anualiz]:[% anualiz]]),1)*IF(DATOS!AE$4="Sí",1/DATOS_[[% normaliz]:[% normaliz]],1)*(DATOS_[Conc.Sal.01])))))))),
0)</f>
        <v>0</v>
      </c>
      <c r="K100" s="101">
        <f t="array" ref="K100">IFERROR(
(AVERAGE((IF(DATOS_[[Sexo]:[Sexo]]=$B100,IF(DATOS_[[AGRUP. CLAS. PROF.]:[AGRUP. CLAS. PROF.]]=$B99,IF(DATOS_[[Check Periodo Ref.]:[Check Periodo Ref.]]="Dentro",IF(DATOS_[[Check Equiparado]:[Check Equiparado]]="Sí",IF(DATOS!AF$5="Sí",(1/DATOS_[[% anualiz]:[% anualiz]]),1)*IF(DATOS!AF$4="Sí",1/DATOS_[[% normaliz]:[% normaliz]],1)*(DATOS_[Conc.Sal.02])))))))),
0)</f>
        <v>0</v>
      </c>
      <c r="L100" s="101">
        <f t="array" ref="L100">IFERROR(
(AVERAGE((IF(DATOS_[[Sexo]:[Sexo]]=$B100,IF(DATOS_[[AGRUP. CLAS. PROF.]:[AGRUP. CLAS. PROF.]]=$B99,IF(DATOS_[[Check Periodo Ref.]:[Check Periodo Ref.]]="Dentro",IF(DATOS_[[Check Equiparado]:[Check Equiparado]]="Sí",IF(DATOS!AG$5="Sí",(1/DATOS_[[% anualiz]:[% anualiz]]),1)*IF(DATOS!AG$4="Sí",1/DATOS_[[% normaliz]:[% normaliz]],1)*(DATOS_[Conc.Sal.03])))))))),
0)</f>
        <v>0</v>
      </c>
      <c r="M100" s="101">
        <f t="array" ref="M100">IFERROR(
(AVERAGE((IF(DATOS_[[Sexo]:[Sexo]]=$B100,IF(DATOS_[[AGRUP. CLAS. PROF.]:[AGRUP. CLAS. PROF.]]=$B99,IF(DATOS_[[Check Periodo Ref.]:[Check Periodo Ref.]]="Dentro",IF(DATOS_[[Check Equiparado]:[Check Equiparado]]="Sí",IF(DATOS!AH$5="Sí",(1/DATOS_[[% anualiz]:[% anualiz]]),1)*IF(DATOS!AH$4="Sí",1/DATOS_[[% normaliz]:[% normaliz]],1)*(DATOS_[Conc.Sal.04])))))))),
0)</f>
        <v>0</v>
      </c>
      <c r="N100" s="101">
        <f t="array" ref="N100">IFERROR(
(AVERAGE((IF(DATOS_[[Sexo]:[Sexo]]=$B100,IF(DATOS_[[AGRUP. CLAS. PROF.]:[AGRUP. CLAS. PROF.]]=$B99,IF(DATOS_[[Check Periodo Ref.]:[Check Periodo Ref.]]="Dentro",IF(DATOS_[[Check Equiparado]:[Check Equiparado]]="Sí",IF(DATOS!AI$5="Sí",(1/DATOS_[[% anualiz]:[% anualiz]]),1)*IF(DATOS!AI$4="Sí",1/DATOS_[[% normaliz]:[% normaliz]],1)*(DATOS_[Conc.Sal.05])))))))),
0)</f>
        <v>0</v>
      </c>
      <c r="O100" s="101">
        <f t="array" ref="O100">IFERROR(
(AVERAGE((IF(DATOS_[[Sexo]:[Sexo]]=$B100,IF(DATOS_[[AGRUP. CLAS. PROF.]:[AGRUP. CLAS. PROF.]]=$B99,IF(DATOS_[[Check Periodo Ref.]:[Check Periodo Ref.]]="Dentro",IF(DATOS_[[Check Equiparado]:[Check Equiparado]]="Sí",IF(DATOS!AJ$5="Sí",(1/DATOS_[[% anualiz]:[% anualiz]]),1)*IF(DATOS!AJ$4="Sí",1/DATOS_[[% normaliz]:[% normaliz]],1)*(DATOS_[Conc.Sal.06])))))))),
0)</f>
        <v>0</v>
      </c>
      <c r="P100" s="101">
        <f t="array" ref="P100">IFERROR(
(AVERAGE((IF(DATOS_[[Sexo]:[Sexo]]=$B100,IF(DATOS_[[AGRUP. CLAS. PROF.]:[AGRUP. CLAS. PROF.]]=$B99,IF(DATOS_[[Check Periodo Ref.]:[Check Periodo Ref.]]="Dentro",IF(DATOS_[[Check Equiparado]:[Check Equiparado]]="Sí",IF(DATOS!AK$5="Sí",(1/DATOS_[[% anualiz]:[% anualiz]]),1)*IF(DATOS!AK$4="Sí",1/DATOS_[[% normaliz]:[% normaliz]],1)*(DATOS_[Conc.Sal.07])))))))),
0)</f>
        <v>0</v>
      </c>
      <c r="Q100" s="101">
        <f t="array" ref="Q100">IFERROR(
(AVERAGE((IF(DATOS_[[Sexo]:[Sexo]]=$B100,IF(DATOS_[[AGRUP. CLAS. PROF.]:[AGRUP. CLAS. PROF.]]=$B99,IF(DATOS_[[Check Periodo Ref.]:[Check Periodo Ref.]]="Dentro",IF(DATOS_[[Check Equiparado]:[Check Equiparado]]="Sí",IF(DATOS!AL$5="Sí",(1/DATOS_[[% anualiz]:[% anualiz]]),1)*IF(DATOS!AL$4="Sí",1/DATOS_[[% normaliz]:[% normaliz]],1)*(DATOS_[Conc.Sal.08])))))))),
0)</f>
        <v>0</v>
      </c>
      <c r="R100" s="101">
        <f t="array" ref="R100">IFERROR(
(AVERAGE((IF(DATOS_[[Sexo]:[Sexo]]=$B100,IF(DATOS_[[AGRUP. CLAS. PROF.]:[AGRUP. CLAS. PROF.]]=$B99,IF(DATOS_[[Check Periodo Ref.]:[Check Periodo Ref.]]="Dentro",IF(DATOS_[[Check Equiparado]:[Check Equiparado]]="Sí",IF(DATOS!AM$5="Sí",(1/DATOS_[[% anualiz]:[% anualiz]]),1)*IF(DATOS!AM$4="Sí",1/DATOS_[[% normaliz]:[% normaliz]],1)*(DATOS_[Conc.Sal.09])))))))),
0)</f>
        <v>0</v>
      </c>
      <c r="S100" s="101">
        <f t="array" ref="S100">IFERROR(
(AVERAGE((IF(DATOS_[[Sexo]:[Sexo]]=$B100,IF(DATOS_[[AGRUP. CLAS. PROF.]:[AGRUP. CLAS. PROF.]]=$B99,IF(DATOS_[[Check Periodo Ref.]:[Check Periodo Ref.]]="Dentro",IF(DATOS_[[Check Equiparado]:[Check Equiparado]]="Sí",IF(DATOS!AN$5="Sí",(1/DATOS_[[% anualiz]:[% anualiz]]),1)*IF(DATOS!AN$4="Sí",1/DATOS_[[% normaliz]:[% normaliz]],1)*(DATOS_[Conc.Sal.10])))))))),
0)</f>
        <v>0</v>
      </c>
      <c r="T100" s="101">
        <f t="array" ref="T100">IFERROR(
(AVERAGE((IF(DATOS_[[Sexo]:[Sexo]]=$B100,IF(DATOS_[[AGRUP. CLAS. PROF.]:[AGRUP. CLAS. PROF.]]=$B99,IF(DATOS_[[Check Periodo Ref.]:[Check Periodo Ref.]]="Dentro",IF(DATOS_[[Check Equiparado]:[Check Equiparado]]="Sí",IF(DATOS!AO$5="Sí",(1/DATOS_[[% anualiz]:[% anualiz]]),1)*IF(DATOS!AO$4="Sí",1/DATOS_[[% normaliz]:[% normaliz]],1)*(DATOS_[Conc.Sal.11])))))))),
0)</f>
        <v>0</v>
      </c>
      <c r="U100" s="101">
        <f t="array" ref="U100">IFERROR(
(AVERAGE((IF(DATOS_[[Sexo]:[Sexo]]=$B100,IF(DATOS_[[AGRUP. CLAS. PROF.]:[AGRUP. CLAS. PROF.]]=$B99,IF(DATOS_[[Check Periodo Ref.]:[Check Periodo Ref.]]="Dentro",IF(DATOS_[[Check Equiparado]:[Check Equiparado]]="Sí",IF(DATOS!AP$5="Sí",(1/DATOS_[[% anualiz]:[% anualiz]]),1)*IF(DATOS!AP$4="Sí",1/DATOS_[[% normaliz]:[% normaliz]],1)*(DATOS_[Conc.Sal.12])))))))),
0)</f>
        <v>0</v>
      </c>
      <c r="V100" s="101">
        <f t="array" ref="V100">IFERROR(
(AVERAGE((IF(DATOS_[[Sexo]:[Sexo]]=$B100,IF(DATOS_[[AGRUP. CLAS. PROF.]:[AGRUP. CLAS. PROF.]]=$B99,IF(DATOS_[[Check Periodo Ref.]:[Check Periodo Ref.]]="Dentro",IF(DATOS_[[Check Equiparado]:[Check Equiparado]]="Sí",IF(DATOS!AQ$5="Sí",(1/DATOS_[[% anualiz]:[% anualiz]]),1)*IF(DATOS!AQ$4="Sí",1/DATOS_[[% normaliz]:[% normaliz]],1)*(DATOS_[Conc.Sal.13])))))))),
0)</f>
        <v>0</v>
      </c>
      <c r="W100" s="101">
        <f t="array" ref="W100">IFERROR(
(AVERAGE((IF(DATOS_[[Sexo]:[Sexo]]=$B100,IF(DATOS_[[AGRUP. CLAS. PROF.]:[AGRUP. CLAS. PROF.]]=$B99,IF(DATOS_[[Check Periodo Ref.]:[Check Periodo Ref.]]="Dentro",IF(DATOS_[[Check Equiparado]:[Check Equiparado]]="Sí",IF(DATOS!AR$5="Sí",(1/DATOS_[[% anualiz]:[% anualiz]]),1)*IF(DATOS!AR$4="Sí",1/DATOS_[[% normaliz]:[% normaliz]],1)*(DATOS_[Conc.Sal.14])))))))),
0)</f>
        <v>0</v>
      </c>
      <c r="X100" s="101">
        <f t="array" ref="X100">IFERROR(
(AVERAGE((IF(DATOS_[[Sexo]:[Sexo]]=$B100,IF(DATOS_[[AGRUP. CLAS. PROF.]:[AGRUP. CLAS. PROF.]]=$B99,IF(DATOS_[[Check Periodo Ref.]:[Check Periodo Ref.]]="Dentro",IF(DATOS_[[Check Equiparado]:[Check Equiparado]]="Sí",IF(DATOS!AS$5="Sí",(1/DATOS_[[% anualiz]:[% anualiz]]),1)*IF(DATOS!AS$4="Sí",1/DATOS_[[% normaliz]:[% normaliz]],1)*(DATOS_[Conc.Sal.15])))))))),
0)</f>
        <v>0</v>
      </c>
      <c r="Y100" s="101">
        <f t="array" ref="Y100">IFERROR(
(AVERAGE((IF(DATOS_[[Sexo]:[Sexo]]=$B100,IF(DATOS_[[AGRUP. CLAS. PROF.]:[AGRUP. CLAS. PROF.]]=$B99,IF(DATOS_[[Check Periodo Ref.]:[Check Periodo Ref.]]="Dentro",IF(DATOS_[[Check Equiparado]:[Check Equiparado]]="Sí",IF(DATOS!AT$5="Sí",(1/DATOS_[[% anualiz]:[% anualiz]]),1)*IF(DATOS!AT$4="Sí",1/DATOS_[[% normaliz]:[% normaliz]],1)*(DATOS_[Conc.Sal.16])))))))),
0)</f>
        <v>0</v>
      </c>
      <c r="Z100" s="101">
        <f t="array" ref="Z100">IFERROR(
(AVERAGE((IF(DATOS_[[Sexo]:[Sexo]]=$B100,IF(DATOS_[[AGRUP. CLAS. PROF.]:[AGRUP. CLAS. PROF.]]=$B99,IF(DATOS_[[Check Periodo Ref.]:[Check Periodo Ref.]]="Dentro",IF(DATOS_[[Check Equiparado]:[Check Equiparado]]="Sí",IF(DATOS!AU$5="Sí",(1/DATOS_[[% anualiz]:[% anualiz]]),1)*IF(DATOS!AU$4="Sí",1/DATOS_[[% normaliz]:[% normaliz]],1)*(DATOS_[Conc.Sal.17])))))))),
0)</f>
        <v>0</v>
      </c>
      <c r="AA100" s="101">
        <f t="array" ref="AA100">IFERROR(
(AVERAGE((IF(DATOS_[[Sexo]:[Sexo]]=$B100,IF(DATOS_[[AGRUP. CLAS. PROF.]:[AGRUP. CLAS. PROF.]]=$B99,IF(DATOS_[[Check Periodo Ref.]:[Check Periodo Ref.]]="Dentro",IF(DATOS_[[Check Equiparado]:[Check Equiparado]]="Sí",IF(DATOS!AV$5="Sí",(1/DATOS_[[% anualiz]:[% anualiz]]),1)*IF(DATOS!AV$4="Sí",1/DATOS_[[% normaliz]:[% normaliz]],1)*(DATOS_[Conc.Sal.18])))))))),
0)</f>
        <v>0</v>
      </c>
      <c r="AB100" s="101">
        <f t="array" ref="AB100">IFERROR(
(AVERAGE((IF(DATOS_[[Sexo]:[Sexo]]=$B100,IF(DATOS_[[AGRUP. CLAS. PROF.]:[AGRUP. CLAS. PROF.]]=$B99,IF(DATOS_[[Check Periodo Ref.]:[Check Periodo Ref.]]="Dentro",IF(DATOS_[[Check Equiparado]:[Check Equiparado]]="Sí",IF(DATOS!AW$5="Sí",(1/DATOS_[[% anualiz]:[% anualiz]]),1)*IF(DATOS!AW$4="Sí",1/DATOS_[[% normaliz]:[% normaliz]],1)*(DATOS_[Conc.Sal.19])))))))),
0)</f>
        <v>0</v>
      </c>
      <c r="AC100" s="101">
        <f t="array" ref="AC100">IFERROR(
(AVERAGE((IF(DATOS_[[Sexo]:[Sexo]]=$B100,IF(DATOS_[[AGRUP. CLAS. PROF.]:[AGRUP. CLAS. PROF.]]=$B99,IF(DATOS_[[Check Periodo Ref.]:[Check Periodo Ref.]]="Dentro",IF(DATOS_[[Check Equiparado]:[Check Equiparado]]="Sí",IF(DATOS!AX$5="Sí",(1/DATOS_[[% anualiz]:[% anualiz]]),1)*IF(DATOS!AX$4="Sí",1/DATOS_[[% normaliz]:[% normaliz]],1)*(DATOS_[Conc.Sal.20])))))))),
0)</f>
        <v>0</v>
      </c>
      <c r="AD100" s="101">
        <f t="array" ref="AD100">IFERROR(
(AVERAGE((IF(DATOS_[[Sexo]:[Sexo]]=$B100,IF(DATOS_[[AGRUP. CLAS. PROF.]:[AGRUP. CLAS. PROF.]]=$B99,IF(DATOS_[[Check Periodo Ref.]:[Check Periodo Ref.]]="Dentro",IF(DATOS_[[Check Equiparado]:[Check Equiparado]]="Sí",IF(DATOS!AY$5="Sí",(1/DATOS_[[% anualiz]:[% anualiz]]),1)*IF(DATOS!AY$4="Sí",1/DATOS_[[% normaliz]:[% normaliz]],1)*(DATOS_[Conc.Sal.21])))))))),
0)</f>
        <v>0</v>
      </c>
      <c r="AE100" s="101">
        <f t="array" ref="AE100">IFERROR(
(AVERAGE((IF(DATOS_[[Sexo]:[Sexo]]=$B100,IF(DATOS_[[AGRUP. CLAS. PROF.]:[AGRUP. CLAS. PROF.]]=$B99,IF(DATOS_[[Check Periodo Ref.]:[Check Periodo Ref.]]="Dentro",IF(DATOS_[[Check Equiparado]:[Check Equiparado]]="Sí",IF(DATOS!AZ$5="Sí",(1/DATOS_[[% anualiz]:[% anualiz]]),1)*IF(DATOS!AZ$4="Sí",1/DATOS_[[% normaliz]:[% normaliz]],1)*(DATOS_[Conc.Sal.22])))))))),
0)</f>
        <v>0</v>
      </c>
      <c r="AF100" s="101">
        <f t="array" ref="AF100">IFERROR(
(AVERAGE((IF(DATOS_[[Sexo]:[Sexo]]=$B100,IF(DATOS_[[AGRUP. CLAS. PROF.]:[AGRUP. CLAS. PROF.]]=$B99,IF(DATOS_[[Check Periodo Ref.]:[Check Periodo Ref.]]="Dentro",IF(DATOS_[[Check Equiparado]:[Check Equiparado]]="Sí",IF(DATOS!BA$5="Sí",(1/DATOS_[[% anualiz]:[% anualiz]]),1)*IF(DATOS!BA$4="Sí",1/DATOS_[[% normaliz]:[% normaliz]],1)*(DATOS_[Conc.Sal.23])))))))),
0)</f>
        <v>0</v>
      </c>
      <c r="AG100" s="101">
        <f t="array" ref="AG100">IFERROR(
(AVERAGE((IF(DATOS_[[Sexo]:[Sexo]]=$B100,IF(DATOS_[[AGRUP. CLAS. PROF.]:[AGRUP. CLAS. PROF.]]=$B99,IF(DATOS_[[Check Periodo Ref.]:[Check Periodo Ref.]]="Dentro",IF(DATOS_[[Check Equiparado]:[Check Equiparado]]="Sí",IF(DATOS!BB$5="Sí",(1/DATOS_[[% anualiz]:[% anualiz]]),1)*IF(DATOS!BB$4="Sí",1/DATOS_[[% normaliz]:[% normaliz]],1)*(DATOS_[Conc.Sal.24])))))))),
0)</f>
        <v>0</v>
      </c>
      <c r="AH100" s="101">
        <f t="array" ref="AH100">IFERROR(
(AVERAGE((IF(DATOS_[[Sexo]:[Sexo]]=$B100,IF(DATOS_[[AGRUP. CLAS. PROF.]:[AGRUP. CLAS. PROF.]]=$B99,IF(DATOS_[[Check Periodo Ref.]:[Check Periodo Ref.]]="Dentro",IF(DATOS_[[Check Equiparado]:[Check Equiparado]]="Sí",IF(DATOS!BC$5="Sí",(1/DATOS_[[% anualiz]:[% anualiz]]),1)*IF(DATOS!BC$4="Sí",1/DATOS_[[% normaliz]:[% normaliz]],1)*(DATOS_[Conc.Sal.25])))))))),
0)</f>
        <v>0</v>
      </c>
      <c r="AI100" s="101">
        <f t="array" ref="AI100">IFERROR(
(AVERAGE((IF(DATOS_[[Sexo]:[Sexo]]=$B100,IF(DATOS_[[AGRUP. CLAS. PROF.]:[AGRUP. CLAS. PROF.]]=$B99,IF(DATOS_[[Check Periodo Ref.]:[Check Periodo Ref.]]="Dentro",IF(DATOS_[[Check Equiparado]:[Check Equiparado]]="Sí",IF(DATOS!BD$5="Sí",(1/DATOS_[[% anualiz]:[% anualiz]]),1)*IF(DATOS!BD$4="Sí",1/DATOS_[[% normaliz]:[% normaliz]],1)*(DATOS_[Conc.Sal.26])))))))),
0)</f>
        <v>0</v>
      </c>
      <c r="AJ100" s="101">
        <f t="array" ref="AJ100">IFERROR(
(AVERAGE((IF(DATOS_[[Sexo]:[Sexo]]=$B100,IF(DATOS_[[AGRUP. CLAS. PROF.]:[AGRUP. CLAS. PROF.]]=$B99,IF(DATOS_[[Check Periodo Ref.]:[Check Periodo Ref.]]="Dentro",IF(DATOS_[[Check Equiparado]:[Check Equiparado]]="Sí",IF(DATOS!BE$5="Sí",(1/DATOS_[[% anualiz]:[% anualiz]]),1)*IF(DATOS!BE$4="Sí",1/DATOS_[[% normaliz]:[% normaliz]],1)*(DATOS_[Conc.Sal.27])))))))),
0)</f>
        <v>0</v>
      </c>
      <c r="AK100" s="101">
        <f t="array" ref="AK100">IFERROR(
(AVERAGE((IF(DATOS_[[Sexo]:[Sexo]]=$B100,IF(DATOS_[[AGRUP. CLAS. PROF.]:[AGRUP. CLAS. PROF.]]=$B99,IF(DATOS_[[Check Periodo Ref.]:[Check Periodo Ref.]]="Dentro",IF(DATOS_[[Check Equiparado]:[Check Equiparado]]="Sí",IF(DATOS!BF$5="Sí",(1/DATOS_[[% anualiz]:[% anualiz]]),1)*IF(DATOS!BF$4="Sí",1/DATOS_[[% normaliz]:[% normaliz]],1)*(DATOS_[Conc.Sal.28])))))))),
0)</f>
        <v>0</v>
      </c>
      <c r="AL100" s="101">
        <f t="array" ref="AL100">IFERROR(
(AVERAGE((IF(DATOS_[[Sexo]:[Sexo]]=$B100,IF(DATOS_[[AGRUP. CLAS. PROF.]:[AGRUP. CLAS. PROF.]]=$B99,IF(DATOS_[[Check Periodo Ref.]:[Check Periodo Ref.]]="Dentro",IF(DATOS_[[Check Equiparado]:[Check Equiparado]]="Sí",IF(DATOS!BG$5="Sí",(1/DATOS_[[% anualiz]:[% anualiz]]),1)*IF(DATOS!BG$4="Sí",1/DATOS_[[% normaliz]:[% normaliz]],1)*(DATOS_[Conc.Sal.29])))))))),
0)</f>
        <v>0</v>
      </c>
      <c r="AM100" s="101">
        <f t="array" ref="AM100">IFERROR(
(AVERAGE((IF(DATOS_[[Sexo]:[Sexo]]=$B100,IF(DATOS_[[AGRUP. CLAS. PROF.]:[AGRUP. CLAS. PROF.]]=$B99,IF(DATOS_[[Check Periodo Ref.]:[Check Periodo Ref.]]="Dentro",IF(DATOS_[[Check Equiparado]:[Check Equiparado]]="Sí",IF(DATOS!BH$5="Sí",(1/DATOS_[[% anualiz]:[% anualiz]]),1)*IF(DATOS!BH$4="Sí",1/DATOS_[[% normaliz]:[% normaliz]],1)*(DATOS_[Conc.Sal.30])))))))),
0)</f>
        <v>0</v>
      </c>
      <c r="AN100" s="102">
        <f t="array" ref="AN100">IFERROR(
AVERAGE(IF(DATOS_[Sexo]=$B100,IF(DATOS_[[AGRUP. CLAS. PROF.]:[AGRUP. CLAS. PROF.]]=$B99,IF(DATOS_[Check Equiparado]="Sí",IF(DATOS_[Check Periodo Ref.]="Dentro",DATOS_[Tot COMPL.SAL Eq],FALSE))))),
0)</f>
        <v>0</v>
      </c>
      <c r="AO100" s="103">
        <f t="array" ref="AO100">IFERROR(
AVERAGE(IF(DATOS_[Sexo]=$B100,IF(DATOS_[[AGRUP. CLAS. PROF.]:[AGRUP. CLAS. PROF.]]=$B99,IF(DATOS_[Check Equiparado]="Sí",IF(DATOS_[Check Periodo Ref.]="Dentro",DATOS_[TOTAL SALARIO Eq],FALSE))))),
0)</f>
        <v>0</v>
      </c>
      <c r="AP100" s="104">
        <f t="array" ref="AP100">IFERROR(
(AVERAGE((IF(DATOS_[[Sexo]:[Sexo]]=$B100,IF(DATOS_[[AGRUP. CLAS. PROF.]:[AGRUP. CLAS. PROF.]]=$B99,IF(DATOS_[[Check Periodo Ref.]:[Check Periodo Ref.]]="Dentro",IF(DATOS_[[Check Equiparado]:[Check Equiparado]]="Sí",IF(DATOS!BI$5="Sí",(1/DATOS_[[% anualiz]:[% anualiz]]),1)*IF(DATOS!BI$4="Sí",1/DATOS_[[% normaliz]:[% normaliz]],1)*(DATOS_[C.Extra.01])))))))),
0)</f>
        <v>0</v>
      </c>
      <c r="AQ100" s="104">
        <f t="array" ref="AQ100">IFERROR(
(AVERAGE((IF(DATOS_[[Sexo]:[Sexo]]=$B100,IF(DATOS_[[AGRUP. CLAS. PROF.]:[AGRUP. CLAS. PROF.]]=$B99,IF(DATOS_[[Check Periodo Ref.]:[Check Periodo Ref.]]="Dentro",IF(DATOS_[[Check Equiparado]:[Check Equiparado]]="Sí",IF(DATOS!BJ$5="Sí",(1/DATOS_[[% anualiz]:[% anualiz]]),1)*IF(DATOS!BJ$4="Sí",1/DATOS_[[% normaliz]:[% normaliz]],1)*(DATOS_[C.Extra.02])))))))),
0)</f>
        <v>0</v>
      </c>
      <c r="AR100" s="104">
        <f t="array" ref="AR100">IFERROR(
(AVERAGE((IF(DATOS_[[Sexo]:[Sexo]]=$B100,IF(DATOS_[[AGRUP. CLAS. PROF.]:[AGRUP. CLAS. PROF.]]=$B99,IF(DATOS_[[Check Periodo Ref.]:[Check Periodo Ref.]]="Dentro",IF(DATOS_[[Check Equiparado]:[Check Equiparado]]="Sí",IF(DATOS!BK$5="Sí",(1/DATOS_[[% anualiz]:[% anualiz]]),1)*IF(DATOS!BK$4="Sí",1/DATOS_[[% normaliz]:[% normaliz]],1)*(DATOS_[C.Extra.03])))))))),
0)</f>
        <v>0</v>
      </c>
      <c r="AS100" s="104">
        <f t="array" ref="AS100">IFERROR(
(AVERAGE((IF(DATOS_[[Sexo]:[Sexo]]=$B100,IF(DATOS_[[AGRUP. CLAS. PROF.]:[AGRUP. CLAS. PROF.]]=$B99,IF(DATOS_[[Check Periodo Ref.]:[Check Periodo Ref.]]="Dentro",IF(DATOS_[[Check Equiparado]:[Check Equiparado]]="Sí",IF(DATOS!BL$5="Sí",(1/DATOS_[[% anualiz]:[% anualiz]]),1)*IF(DATOS!BL$4="Sí",1/DATOS_[[% normaliz]:[% normaliz]],1)*(DATOS_[C.Extra.04])))))))),
0)</f>
        <v>0</v>
      </c>
      <c r="AT100" s="104">
        <f t="array" ref="AT100">IFERROR(
(AVERAGE((IF(DATOS_[[Sexo]:[Sexo]]=$B100,IF(DATOS_[[AGRUP. CLAS. PROF.]:[AGRUP. CLAS. PROF.]]=$B99,IF(DATOS_[[Check Periodo Ref.]:[Check Periodo Ref.]]="Dentro",IF(DATOS_[[Check Equiparado]:[Check Equiparado]]="Sí",IF(DATOS!BM$5="Sí",(1/DATOS_[[% anualiz]:[% anualiz]]),1)*IF(DATOS!BM$4="Sí",1/DATOS_[[% normaliz]:[% normaliz]],1)*(DATOS_[C.Extra.05])))))))),
0)</f>
        <v>0</v>
      </c>
      <c r="AU100" s="105">
        <f t="array" ref="AU100">IFERROR(
AVERAGE(IF(DATOS_[Sexo]=$B100,IF(DATOS_[[AGRUP. CLAS. PROF.]:[AGRUP. CLAS. PROF.]]=$B99,IF(DATOS_[Check Equiparado]="Sí",IF(DATOS_[Check Periodo Ref.]="Dentro",DATOS_[Tot Extrasalarial Eq],FALSE))))),
0)</f>
        <v>0</v>
      </c>
      <c r="AV100" s="106">
        <f t="array" ref="AV100">IFERROR(
AVERAGE(IF(DATOS_[Sexo]=$B100,IF(DATOS_[[AGRUP. CLAS. PROF.]:[AGRUP. CLAS. PROF.]]=$B99,IF(DATOS_[Check Equiparado]="Sí",IF(DATOS_[Check Periodo Ref.]="Dentro",DATOS_[TOTAL Retrib Eq],FALSE))))),
0)</f>
        <v>0</v>
      </c>
    </row>
    <row r="101" spans="1:48" hidden="1" x14ac:dyDescent="0.3">
      <c r="A101" s="53" t="str">
        <f t="shared" ref="A101" si="118">+A100</f>
        <v>[ocultar]</v>
      </c>
      <c r="B101" s="57" t="s">
        <v>163</v>
      </c>
      <c r="C101" s="56">
        <f t="array" ref="C101">SUM(IF($B101=DATOS_[Sexo],
IF($B99=DATOS_[AGRUP. CLAS. PROF.],
IF("Dentro"=DATOS_[Check Periodo Ref.],
1/(COUNTIFS(DATOS_[Sexo],$B101,DATOS_[AGRUP. CLAS. PROF.],$B99,DATOS_[Check Periodo Ref.],"Dentro",DATOS_[id],DATOS_[id]))))))</f>
        <v>0</v>
      </c>
      <c r="D101" s="58">
        <f>COUNTIFS(DATOS_[AGRUP. CLAS. PROF.],$B99,DATOS_[Sexo],$B101,DATOS_[Check Periodo Ref.],"Dentro")</f>
        <v>0</v>
      </c>
      <c r="E101" s="58">
        <f>COUNTIFS(DATOS_[AGRUP. CLAS. PROF.],$B99,DATOS_[Sexo],$B101,DATOS_[Check Periodo Ref.],"Dentro",DATOS_[Check Nº SC Norm],"Sí")</f>
        <v>0</v>
      </c>
      <c r="F101" s="58">
        <f>COUNTIFS(DATOS_[AGRUP. CLAS. PROF.],$B99,DATOS_[Sexo],$B101,DATOS_[Check Periodo Ref.],"Dentro",DATOS_[Check Nº SC Anualiz],"Sí")</f>
        <v>0</v>
      </c>
      <c r="G101" s="58">
        <f>COUNTIFS(DATOS_[AGRUP. CLAS. PROF.],$B99,DATOS_[Sexo],$B101,DATOS_[Check Periodo Ref.],"Dentro",DATOS_[Check Nº SC Norm y Anualiz],"Sí")</f>
        <v>0</v>
      </c>
      <c r="H101" s="58">
        <f>COUNTIFS(DATOS_[AGRUP. CLAS. PROF.],$B99,DATOS_[Sexo],$B101,DATOS_[Check Periodo Ref.],"Dentro",DATOS_[Check Equiparación],"Sí")</f>
        <v>0</v>
      </c>
      <c r="I101" s="100" cm="1">
        <f t="array" ref="I101">IFERROR(
AVERAGE(IF(DATOS_[Sexo]=$B101,IF(DATOS_[[AGRUP. CLAS. PROF.]:[AGRUP. CLAS. PROF.]]=$B99,IF(DATOS_[Check Equiparado]="Sí",IF(DATOS_[Check Periodo Ref.]="Dentro",DATOS_[SALARIO BASE Eq],FALSE))))),
0)</f>
        <v>0</v>
      </c>
      <c r="J101" s="101">
        <f t="array" ref="J101">IFERROR(
(AVERAGE((IF(DATOS_[[Sexo]:[Sexo]]=$B101,IF(DATOS_[[AGRUP. CLAS. PROF.]:[AGRUP. CLAS. PROF.]]=$B99,IF(DATOS_[[Check Periodo Ref.]:[Check Periodo Ref.]]="Dentro",IF(DATOS_[[Check Equiparado]:[Check Equiparado]]="Sí",IF(DATOS!AE$5="Sí",(1/DATOS_[[% anualiz]:[% anualiz]]),1)*IF(DATOS!AE$4="Sí",1/DATOS_[[% normaliz]:[% normaliz]],1)*(DATOS_[Conc.Sal.01])))))))),
0)</f>
        <v>0</v>
      </c>
      <c r="K101" s="101">
        <f t="array" ref="K101">IFERROR(
(AVERAGE((IF(DATOS_[[Sexo]:[Sexo]]=$B101,IF(DATOS_[[AGRUP. CLAS. PROF.]:[AGRUP. CLAS. PROF.]]=$B99,IF(DATOS_[[Check Periodo Ref.]:[Check Periodo Ref.]]="Dentro",IF(DATOS_[[Check Equiparado]:[Check Equiparado]]="Sí",IF(DATOS!AF$5="Sí",(1/DATOS_[[% anualiz]:[% anualiz]]),1)*IF(DATOS!AF$4="Sí",1/DATOS_[[% normaliz]:[% normaliz]],1)*(DATOS_[Conc.Sal.02])))))))),
0)</f>
        <v>0</v>
      </c>
      <c r="L101" s="101">
        <f t="array" ref="L101">IFERROR(
(AVERAGE((IF(DATOS_[[Sexo]:[Sexo]]=$B101,IF(DATOS_[[AGRUP. CLAS. PROF.]:[AGRUP. CLAS. PROF.]]=$B99,IF(DATOS_[[Check Periodo Ref.]:[Check Periodo Ref.]]="Dentro",IF(DATOS_[[Check Equiparado]:[Check Equiparado]]="Sí",IF(DATOS!AG$5="Sí",(1/DATOS_[[% anualiz]:[% anualiz]]),1)*IF(DATOS!AG$4="Sí",1/DATOS_[[% normaliz]:[% normaliz]],1)*(DATOS_[Conc.Sal.03])))))))),
0)</f>
        <v>0</v>
      </c>
      <c r="M101" s="101">
        <f t="array" ref="M101">IFERROR(
(AVERAGE((IF(DATOS_[[Sexo]:[Sexo]]=$B101,IF(DATOS_[[AGRUP. CLAS. PROF.]:[AGRUP. CLAS. PROF.]]=$B99,IF(DATOS_[[Check Periodo Ref.]:[Check Periodo Ref.]]="Dentro",IF(DATOS_[[Check Equiparado]:[Check Equiparado]]="Sí",IF(DATOS!AH$5="Sí",(1/DATOS_[[% anualiz]:[% anualiz]]),1)*IF(DATOS!AH$4="Sí",1/DATOS_[[% normaliz]:[% normaliz]],1)*(DATOS_[Conc.Sal.04])))))))),
0)</f>
        <v>0</v>
      </c>
      <c r="N101" s="101">
        <f t="array" ref="N101">IFERROR(
(AVERAGE((IF(DATOS_[[Sexo]:[Sexo]]=$B101,IF(DATOS_[[AGRUP. CLAS. PROF.]:[AGRUP. CLAS. PROF.]]=$B99,IF(DATOS_[[Check Periodo Ref.]:[Check Periodo Ref.]]="Dentro",IF(DATOS_[[Check Equiparado]:[Check Equiparado]]="Sí",IF(DATOS!AI$5="Sí",(1/DATOS_[[% anualiz]:[% anualiz]]),1)*IF(DATOS!AI$4="Sí",1/DATOS_[[% normaliz]:[% normaliz]],1)*(DATOS_[Conc.Sal.05])))))))),
0)</f>
        <v>0</v>
      </c>
      <c r="O101" s="101">
        <f t="array" ref="O101">IFERROR(
(AVERAGE((IF(DATOS_[[Sexo]:[Sexo]]=$B101,IF(DATOS_[[AGRUP. CLAS. PROF.]:[AGRUP. CLAS. PROF.]]=$B99,IF(DATOS_[[Check Periodo Ref.]:[Check Periodo Ref.]]="Dentro",IF(DATOS_[[Check Equiparado]:[Check Equiparado]]="Sí",IF(DATOS!AJ$5="Sí",(1/DATOS_[[% anualiz]:[% anualiz]]),1)*IF(DATOS!AJ$4="Sí",1/DATOS_[[% normaliz]:[% normaliz]],1)*(DATOS_[Conc.Sal.06])))))))),
0)</f>
        <v>0</v>
      </c>
      <c r="P101" s="101">
        <f t="array" ref="P101">IFERROR(
(AVERAGE((IF(DATOS_[[Sexo]:[Sexo]]=$B101,IF(DATOS_[[AGRUP. CLAS. PROF.]:[AGRUP. CLAS. PROF.]]=$B99,IF(DATOS_[[Check Periodo Ref.]:[Check Periodo Ref.]]="Dentro",IF(DATOS_[[Check Equiparado]:[Check Equiparado]]="Sí",IF(DATOS!AK$5="Sí",(1/DATOS_[[% anualiz]:[% anualiz]]),1)*IF(DATOS!AK$4="Sí",1/DATOS_[[% normaliz]:[% normaliz]],1)*(DATOS_[Conc.Sal.07])))))))),
0)</f>
        <v>0</v>
      </c>
      <c r="Q101" s="101">
        <f t="array" ref="Q101">IFERROR(
(AVERAGE((IF(DATOS_[[Sexo]:[Sexo]]=$B101,IF(DATOS_[[AGRUP. CLAS. PROF.]:[AGRUP. CLAS. PROF.]]=$B99,IF(DATOS_[[Check Periodo Ref.]:[Check Periodo Ref.]]="Dentro",IF(DATOS_[[Check Equiparado]:[Check Equiparado]]="Sí",IF(DATOS!AL$5="Sí",(1/DATOS_[[% anualiz]:[% anualiz]]),1)*IF(DATOS!AL$4="Sí",1/DATOS_[[% normaliz]:[% normaliz]],1)*(DATOS_[Conc.Sal.08])))))))),
0)</f>
        <v>0</v>
      </c>
      <c r="R101" s="101">
        <f t="array" ref="R101">IFERROR(
(AVERAGE((IF(DATOS_[[Sexo]:[Sexo]]=$B101,IF(DATOS_[[AGRUP. CLAS. PROF.]:[AGRUP. CLAS. PROF.]]=$B99,IF(DATOS_[[Check Periodo Ref.]:[Check Periodo Ref.]]="Dentro",IF(DATOS_[[Check Equiparado]:[Check Equiparado]]="Sí",IF(DATOS!AM$5="Sí",(1/DATOS_[[% anualiz]:[% anualiz]]),1)*IF(DATOS!AM$4="Sí",1/DATOS_[[% normaliz]:[% normaliz]],1)*(DATOS_[Conc.Sal.09])))))))),
0)</f>
        <v>0</v>
      </c>
      <c r="S101" s="101">
        <f t="array" ref="S101">IFERROR(
(AVERAGE((IF(DATOS_[[Sexo]:[Sexo]]=$B101,IF(DATOS_[[AGRUP. CLAS. PROF.]:[AGRUP. CLAS. PROF.]]=$B99,IF(DATOS_[[Check Periodo Ref.]:[Check Periodo Ref.]]="Dentro",IF(DATOS_[[Check Equiparado]:[Check Equiparado]]="Sí",IF(DATOS!AN$5="Sí",(1/DATOS_[[% anualiz]:[% anualiz]]),1)*IF(DATOS!AN$4="Sí",1/DATOS_[[% normaliz]:[% normaliz]],1)*(DATOS_[Conc.Sal.10])))))))),
0)</f>
        <v>0</v>
      </c>
      <c r="T101" s="101">
        <f t="array" ref="T101">IFERROR(
(AVERAGE((IF(DATOS_[[Sexo]:[Sexo]]=$B101,IF(DATOS_[[AGRUP. CLAS. PROF.]:[AGRUP. CLAS. PROF.]]=$B99,IF(DATOS_[[Check Periodo Ref.]:[Check Periodo Ref.]]="Dentro",IF(DATOS_[[Check Equiparado]:[Check Equiparado]]="Sí",IF(DATOS!AO$5="Sí",(1/DATOS_[[% anualiz]:[% anualiz]]),1)*IF(DATOS!AO$4="Sí",1/DATOS_[[% normaliz]:[% normaliz]],1)*(DATOS_[Conc.Sal.11])))))))),
0)</f>
        <v>0</v>
      </c>
      <c r="U101" s="101">
        <f t="array" ref="U101">IFERROR(
(AVERAGE((IF(DATOS_[[Sexo]:[Sexo]]=$B101,IF(DATOS_[[AGRUP. CLAS. PROF.]:[AGRUP. CLAS. PROF.]]=$B99,IF(DATOS_[[Check Periodo Ref.]:[Check Periodo Ref.]]="Dentro",IF(DATOS_[[Check Equiparado]:[Check Equiparado]]="Sí",IF(DATOS!AP$5="Sí",(1/DATOS_[[% anualiz]:[% anualiz]]),1)*IF(DATOS!AP$4="Sí",1/DATOS_[[% normaliz]:[% normaliz]],1)*(DATOS_[Conc.Sal.12])))))))),
0)</f>
        <v>0</v>
      </c>
      <c r="V101" s="101">
        <f t="array" ref="V101">IFERROR(
(AVERAGE((IF(DATOS_[[Sexo]:[Sexo]]=$B101,IF(DATOS_[[AGRUP. CLAS. PROF.]:[AGRUP. CLAS. PROF.]]=$B99,IF(DATOS_[[Check Periodo Ref.]:[Check Periodo Ref.]]="Dentro",IF(DATOS_[[Check Equiparado]:[Check Equiparado]]="Sí",IF(DATOS!AQ$5="Sí",(1/DATOS_[[% anualiz]:[% anualiz]]),1)*IF(DATOS!AQ$4="Sí",1/DATOS_[[% normaliz]:[% normaliz]],1)*(DATOS_[Conc.Sal.13])))))))),
0)</f>
        <v>0</v>
      </c>
      <c r="W101" s="101">
        <f t="array" ref="W101">IFERROR(
(AVERAGE((IF(DATOS_[[Sexo]:[Sexo]]=$B101,IF(DATOS_[[AGRUP. CLAS. PROF.]:[AGRUP. CLAS. PROF.]]=$B99,IF(DATOS_[[Check Periodo Ref.]:[Check Periodo Ref.]]="Dentro",IF(DATOS_[[Check Equiparado]:[Check Equiparado]]="Sí",IF(DATOS!AR$5="Sí",(1/DATOS_[[% anualiz]:[% anualiz]]),1)*IF(DATOS!AR$4="Sí",1/DATOS_[[% normaliz]:[% normaliz]],1)*(DATOS_[Conc.Sal.14])))))))),
0)</f>
        <v>0</v>
      </c>
      <c r="X101" s="101">
        <f t="array" ref="X101">IFERROR(
(AVERAGE((IF(DATOS_[[Sexo]:[Sexo]]=$B101,IF(DATOS_[[AGRUP. CLAS. PROF.]:[AGRUP. CLAS. PROF.]]=$B99,IF(DATOS_[[Check Periodo Ref.]:[Check Periodo Ref.]]="Dentro",IF(DATOS_[[Check Equiparado]:[Check Equiparado]]="Sí",IF(DATOS!AS$5="Sí",(1/DATOS_[[% anualiz]:[% anualiz]]),1)*IF(DATOS!AS$4="Sí",1/DATOS_[[% normaliz]:[% normaliz]],1)*(DATOS_[Conc.Sal.15])))))))),
0)</f>
        <v>0</v>
      </c>
      <c r="Y101" s="101">
        <f t="array" ref="Y101">IFERROR(
(AVERAGE((IF(DATOS_[[Sexo]:[Sexo]]=$B101,IF(DATOS_[[AGRUP. CLAS. PROF.]:[AGRUP. CLAS. PROF.]]=$B99,IF(DATOS_[[Check Periodo Ref.]:[Check Periodo Ref.]]="Dentro",IF(DATOS_[[Check Equiparado]:[Check Equiparado]]="Sí",IF(DATOS!AT$5="Sí",(1/DATOS_[[% anualiz]:[% anualiz]]),1)*IF(DATOS!AT$4="Sí",1/DATOS_[[% normaliz]:[% normaliz]],1)*(DATOS_[Conc.Sal.16])))))))),
0)</f>
        <v>0</v>
      </c>
      <c r="Z101" s="101">
        <f t="array" ref="Z101">IFERROR(
(AVERAGE((IF(DATOS_[[Sexo]:[Sexo]]=$B101,IF(DATOS_[[AGRUP. CLAS. PROF.]:[AGRUP. CLAS. PROF.]]=$B99,IF(DATOS_[[Check Periodo Ref.]:[Check Periodo Ref.]]="Dentro",IF(DATOS_[[Check Equiparado]:[Check Equiparado]]="Sí",IF(DATOS!AU$5="Sí",(1/DATOS_[[% anualiz]:[% anualiz]]),1)*IF(DATOS!AU$4="Sí",1/DATOS_[[% normaliz]:[% normaliz]],1)*(DATOS_[Conc.Sal.17])))))))),
0)</f>
        <v>0</v>
      </c>
      <c r="AA101" s="101">
        <f t="array" ref="AA101">IFERROR(
(AVERAGE((IF(DATOS_[[Sexo]:[Sexo]]=$B101,IF(DATOS_[[AGRUP. CLAS. PROF.]:[AGRUP. CLAS. PROF.]]=$B99,IF(DATOS_[[Check Periodo Ref.]:[Check Periodo Ref.]]="Dentro",IF(DATOS_[[Check Equiparado]:[Check Equiparado]]="Sí",IF(DATOS!AV$5="Sí",(1/DATOS_[[% anualiz]:[% anualiz]]),1)*IF(DATOS!AV$4="Sí",1/DATOS_[[% normaliz]:[% normaliz]],1)*(DATOS_[Conc.Sal.18])))))))),
0)</f>
        <v>0</v>
      </c>
      <c r="AB101" s="101">
        <f t="array" ref="AB101">IFERROR(
(AVERAGE((IF(DATOS_[[Sexo]:[Sexo]]=$B101,IF(DATOS_[[AGRUP. CLAS. PROF.]:[AGRUP. CLAS. PROF.]]=$B99,IF(DATOS_[[Check Periodo Ref.]:[Check Periodo Ref.]]="Dentro",IF(DATOS_[[Check Equiparado]:[Check Equiparado]]="Sí",IF(DATOS!AW$5="Sí",(1/DATOS_[[% anualiz]:[% anualiz]]),1)*IF(DATOS!AW$4="Sí",1/DATOS_[[% normaliz]:[% normaliz]],1)*(DATOS_[Conc.Sal.19])))))))),
0)</f>
        <v>0</v>
      </c>
      <c r="AC101" s="101">
        <f t="array" ref="AC101">IFERROR(
(AVERAGE((IF(DATOS_[[Sexo]:[Sexo]]=$B101,IF(DATOS_[[AGRUP. CLAS. PROF.]:[AGRUP. CLAS. PROF.]]=$B99,IF(DATOS_[[Check Periodo Ref.]:[Check Periodo Ref.]]="Dentro",IF(DATOS_[[Check Equiparado]:[Check Equiparado]]="Sí",IF(DATOS!AX$5="Sí",(1/DATOS_[[% anualiz]:[% anualiz]]),1)*IF(DATOS!AX$4="Sí",1/DATOS_[[% normaliz]:[% normaliz]],1)*(DATOS_[Conc.Sal.20])))))))),
0)</f>
        <v>0</v>
      </c>
      <c r="AD101" s="101">
        <f t="array" ref="AD101">IFERROR(
(AVERAGE((IF(DATOS_[[Sexo]:[Sexo]]=$B101,IF(DATOS_[[AGRUP. CLAS. PROF.]:[AGRUP. CLAS. PROF.]]=$B99,IF(DATOS_[[Check Periodo Ref.]:[Check Periodo Ref.]]="Dentro",IF(DATOS_[[Check Equiparado]:[Check Equiparado]]="Sí",IF(DATOS!AY$5="Sí",(1/DATOS_[[% anualiz]:[% anualiz]]),1)*IF(DATOS!AY$4="Sí",1/DATOS_[[% normaliz]:[% normaliz]],1)*(DATOS_[Conc.Sal.21])))))))),
0)</f>
        <v>0</v>
      </c>
      <c r="AE101" s="101">
        <f t="array" ref="AE101">IFERROR(
(AVERAGE((IF(DATOS_[[Sexo]:[Sexo]]=$B101,IF(DATOS_[[AGRUP. CLAS. PROF.]:[AGRUP. CLAS. PROF.]]=$B99,IF(DATOS_[[Check Periodo Ref.]:[Check Periodo Ref.]]="Dentro",IF(DATOS_[[Check Equiparado]:[Check Equiparado]]="Sí",IF(DATOS!AZ$5="Sí",(1/DATOS_[[% anualiz]:[% anualiz]]),1)*IF(DATOS!AZ$4="Sí",1/DATOS_[[% normaliz]:[% normaliz]],1)*(DATOS_[Conc.Sal.22])))))))),
0)</f>
        <v>0</v>
      </c>
      <c r="AF101" s="101">
        <f t="array" ref="AF101">IFERROR(
(AVERAGE((IF(DATOS_[[Sexo]:[Sexo]]=$B101,IF(DATOS_[[AGRUP. CLAS. PROF.]:[AGRUP. CLAS. PROF.]]=$B99,IF(DATOS_[[Check Periodo Ref.]:[Check Periodo Ref.]]="Dentro",IF(DATOS_[[Check Equiparado]:[Check Equiparado]]="Sí",IF(DATOS!BA$5="Sí",(1/DATOS_[[% anualiz]:[% anualiz]]),1)*IF(DATOS!BA$4="Sí",1/DATOS_[[% normaliz]:[% normaliz]],1)*(DATOS_[Conc.Sal.23])))))))),
0)</f>
        <v>0</v>
      </c>
      <c r="AG101" s="101">
        <f t="array" ref="AG101">IFERROR(
(AVERAGE((IF(DATOS_[[Sexo]:[Sexo]]=$B101,IF(DATOS_[[AGRUP. CLAS. PROF.]:[AGRUP. CLAS. PROF.]]=$B99,IF(DATOS_[[Check Periodo Ref.]:[Check Periodo Ref.]]="Dentro",IF(DATOS_[[Check Equiparado]:[Check Equiparado]]="Sí",IF(DATOS!BB$5="Sí",(1/DATOS_[[% anualiz]:[% anualiz]]),1)*IF(DATOS!BB$4="Sí",1/DATOS_[[% normaliz]:[% normaliz]],1)*(DATOS_[Conc.Sal.24])))))))),
0)</f>
        <v>0</v>
      </c>
      <c r="AH101" s="101">
        <f t="array" ref="AH101">IFERROR(
(AVERAGE((IF(DATOS_[[Sexo]:[Sexo]]=$B101,IF(DATOS_[[AGRUP. CLAS. PROF.]:[AGRUP. CLAS. PROF.]]=$B99,IF(DATOS_[[Check Periodo Ref.]:[Check Periodo Ref.]]="Dentro",IF(DATOS_[[Check Equiparado]:[Check Equiparado]]="Sí",IF(DATOS!BC$5="Sí",(1/DATOS_[[% anualiz]:[% anualiz]]),1)*IF(DATOS!BC$4="Sí",1/DATOS_[[% normaliz]:[% normaliz]],1)*(DATOS_[Conc.Sal.25])))))))),
0)</f>
        <v>0</v>
      </c>
      <c r="AI101" s="101">
        <f t="array" ref="AI101">IFERROR(
(AVERAGE((IF(DATOS_[[Sexo]:[Sexo]]=$B101,IF(DATOS_[[AGRUP. CLAS. PROF.]:[AGRUP. CLAS. PROF.]]=$B99,IF(DATOS_[[Check Periodo Ref.]:[Check Periodo Ref.]]="Dentro",IF(DATOS_[[Check Equiparado]:[Check Equiparado]]="Sí",IF(DATOS!BD$5="Sí",(1/DATOS_[[% anualiz]:[% anualiz]]),1)*IF(DATOS!BD$4="Sí",1/DATOS_[[% normaliz]:[% normaliz]],1)*(DATOS_[Conc.Sal.26])))))))),
0)</f>
        <v>0</v>
      </c>
      <c r="AJ101" s="101">
        <f t="array" ref="AJ101">IFERROR(
(AVERAGE((IF(DATOS_[[Sexo]:[Sexo]]=$B101,IF(DATOS_[[AGRUP. CLAS. PROF.]:[AGRUP. CLAS. PROF.]]=$B99,IF(DATOS_[[Check Periodo Ref.]:[Check Periodo Ref.]]="Dentro",IF(DATOS_[[Check Equiparado]:[Check Equiparado]]="Sí",IF(DATOS!BE$5="Sí",(1/DATOS_[[% anualiz]:[% anualiz]]),1)*IF(DATOS!BE$4="Sí",1/DATOS_[[% normaliz]:[% normaliz]],1)*(DATOS_[Conc.Sal.27])))))))),
0)</f>
        <v>0</v>
      </c>
      <c r="AK101" s="101">
        <f t="array" ref="AK101">IFERROR(
(AVERAGE((IF(DATOS_[[Sexo]:[Sexo]]=$B101,IF(DATOS_[[AGRUP. CLAS. PROF.]:[AGRUP. CLAS. PROF.]]=$B99,IF(DATOS_[[Check Periodo Ref.]:[Check Periodo Ref.]]="Dentro",IF(DATOS_[[Check Equiparado]:[Check Equiparado]]="Sí",IF(DATOS!BF$5="Sí",(1/DATOS_[[% anualiz]:[% anualiz]]),1)*IF(DATOS!BF$4="Sí",1/DATOS_[[% normaliz]:[% normaliz]],1)*(DATOS_[Conc.Sal.28])))))))),
0)</f>
        <v>0</v>
      </c>
      <c r="AL101" s="101">
        <f t="array" ref="AL101">IFERROR(
(AVERAGE((IF(DATOS_[[Sexo]:[Sexo]]=$B101,IF(DATOS_[[AGRUP. CLAS. PROF.]:[AGRUP. CLAS. PROF.]]=$B99,IF(DATOS_[[Check Periodo Ref.]:[Check Periodo Ref.]]="Dentro",IF(DATOS_[[Check Equiparado]:[Check Equiparado]]="Sí",IF(DATOS!BG$5="Sí",(1/DATOS_[[% anualiz]:[% anualiz]]),1)*IF(DATOS!BG$4="Sí",1/DATOS_[[% normaliz]:[% normaliz]],1)*(DATOS_[Conc.Sal.29])))))))),
0)</f>
        <v>0</v>
      </c>
      <c r="AM101" s="101">
        <f t="array" ref="AM101">IFERROR(
(AVERAGE((IF(DATOS_[[Sexo]:[Sexo]]=$B101,IF(DATOS_[[AGRUP. CLAS. PROF.]:[AGRUP. CLAS. PROF.]]=$B99,IF(DATOS_[[Check Periodo Ref.]:[Check Periodo Ref.]]="Dentro",IF(DATOS_[[Check Equiparado]:[Check Equiparado]]="Sí",IF(DATOS!BH$5="Sí",(1/DATOS_[[% anualiz]:[% anualiz]]),1)*IF(DATOS!BH$4="Sí",1/DATOS_[[% normaliz]:[% normaliz]],1)*(DATOS_[Conc.Sal.30])))))))),
0)</f>
        <v>0</v>
      </c>
      <c r="AN101" s="102">
        <f t="array" ref="AN101">IFERROR(
AVERAGE(IF(DATOS_[Sexo]=$B101,IF(DATOS_[[AGRUP. CLAS. PROF.]:[AGRUP. CLAS. PROF.]]=$B99,IF(DATOS_[Check Equiparado]="Sí",IF(DATOS_[Check Periodo Ref.]="Dentro",DATOS_[Tot COMPL.SAL Eq],FALSE))))),
0)</f>
        <v>0</v>
      </c>
      <c r="AO101" s="103">
        <f t="array" ref="AO101">IFERROR(
AVERAGE(IF(DATOS_[Sexo]=$B101,IF(DATOS_[[AGRUP. CLAS. PROF.]:[AGRUP. CLAS. PROF.]]=$B99,IF(DATOS_[Check Equiparado]="Sí",IF(DATOS_[Check Periodo Ref.]="Dentro",DATOS_[TOTAL SALARIO Eq],FALSE))))),
0)</f>
        <v>0</v>
      </c>
      <c r="AP101" s="104">
        <f t="array" ref="AP101">IFERROR(
(AVERAGE((IF(DATOS_[[Sexo]:[Sexo]]=$B101,IF(DATOS_[[AGRUP. CLAS. PROF.]:[AGRUP. CLAS. PROF.]]=$B99,IF(DATOS_[[Check Periodo Ref.]:[Check Periodo Ref.]]="Dentro",IF(DATOS_[[Check Equiparado]:[Check Equiparado]]="Sí",IF(DATOS!BI$5="Sí",(1/DATOS_[[% anualiz]:[% anualiz]]),1)*IF(DATOS!BI$4="Sí",1/DATOS_[[% normaliz]:[% normaliz]],1)*(DATOS_[C.Extra.01])))))))),
0)</f>
        <v>0</v>
      </c>
      <c r="AQ101" s="104">
        <f t="array" ref="AQ101">IFERROR(
(AVERAGE((IF(DATOS_[[Sexo]:[Sexo]]=$B101,IF(DATOS_[[AGRUP. CLAS. PROF.]:[AGRUP. CLAS. PROF.]]=$B99,IF(DATOS_[[Check Periodo Ref.]:[Check Periodo Ref.]]="Dentro",IF(DATOS_[[Check Equiparado]:[Check Equiparado]]="Sí",IF(DATOS!BJ$5="Sí",(1/DATOS_[[% anualiz]:[% anualiz]]),1)*IF(DATOS!BJ$4="Sí",1/DATOS_[[% normaliz]:[% normaliz]],1)*(DATOS_[C.Extra.02])))))))),
0)</f>
        <v>0</v>
      </c>
      <c r="AR101" s="104">
        <f t="array" ref="AR101">IFERROR(
(AVERAGE((IF(DATOS_[[Sexo]:[Sexo]]=$B101,IF(DATOS_[[AGRUP. CLAS. PROF.]:[AGRUP. CLAS. PROF.]]=$B99,IF(DATOS_[[Check Periodo Ref.]:[Check Periodo Ref.]]="Dentro",IF(DATOS_[[Check Equiparado]:[Check Equiparado]]="Sí",IF(DATOS!BK$5="Sí",(1/DATOS_[[% anualiz]:[% anualiz]]),1)*IF(DATOS!BK$4="Sí",1/DATOS_[[% normaliz]:[% normaliz]],1)*(DATOS_[C.Extra.03])))))))),
0)</f>
        <v>0</v>
      </c>
      <c r="AS101" s="104">
        <f t="array" ref="AS101">IFERROR(
(AVERAGE((IF(DATOS_[[Sexo]:[Sexo]]=$B101,IF(DATOS_[[AGRUP. CLAS. PROF.]:[AGRUP. CLAS. PROF.]]=$B99,IF(DATOS_[[Check Periodo Ref.]:[Check Periodo Ref.]]="Dentro",IF(DATOS_[[Check Equiparado]:[Check Equiparado]]="Sí",IF(DATOS!BL$5="Sí",(1/DATOS_[[% anualiz]:[% anualiz]]),1)*IF(DATOS!BL$4="Sí",1/DATOS_[[% normaliz]:[% normaliz]],1)*(DATOS_[C.Extra.04])))))))),
0)</f>
        <v>0</v>
      </c>
      <c r="AT101" s="104">
        <f t="array" ref="AT101">IFERROR(
(AVERAGE((IF(DATOS_[[Sexo]:[Sexo]]=$B101,IF(DATOS_[[AGRUP. CLAS. PROF.]:[AGRUP. CLAS. PROF.]]=$B99,IF(DATOS_[[Check Periodo Ref.]:[Check Periodo Ref.]]="Dentro",IF(DATOS_[[Check Equiparado]:[Check Equiparado]]="Sí",IF(DATOS!BM$5="Sí",(1/DATOS_[[% anualiz]:[% anualiz]]),1)*IF(DATOS!BM$4="Sí",1/DATOS_[[% normaliz]:[% normaliz]],1)*(DATOS_[C.Extra.05])))))))),
0)</f>
        <v>0</v>
      </c>
      <c r="AU101" s="105">
        <f t="array" ref="AU101">IFERROR(
AVERAGE(IF(DATOS_[Sexo]=$B101,IF(DATOS_[[AGRUP. CLAS. PROF.]:[AGRUP. CLAS. PROF.]]=$B99,IF(DATOS_[Check Equiparado]="Sí",IF(DATOS_[Check Periodo Ref.]="Dentro",DATOS_[Tot Extrasalarial Eq],FALSE))))),
0)</f>
        <v>0</v>
      </c>
      <c r="AV101" s="106">
        <f t="array" ref="AV101">IFERROR(
AVERAGE(IF(DATOS_[Sexo]=$B101,IF(DATOS_[[AGRUP. CLAS. PROF.]:[AGRUP. CLAS. PROF.]]=$B99,IF(DATOS_[Check Equiparado]="Sí",IF(DATOS_[Check Periodo Ref.]="Dentro",DATOS_[TOTAL Retrib Eq],FALSE))))),
0)</f>
        <v>0</v>
      </c>
    </row>
    <row r="102" spans="1:48" ht="17.25" hidden="1" thickBot="1" x14ac:dyDescent="0.35">
      <c r="A102" s="53" t="str">
        <f t="shared" ref="A102" si="119">+A103</f>
        <v>[ocultar]</v>
      </c>
      <c r="B102" s="62" t="s">
        <v>246</v>
      </c>
      <c r="C102" s="99"/>
      <c r="D102" s="63"/>
      <c r="E102" s="63"/>
      <c r="F102" s="63"/>
      <c r="G102" s="63"/>
      <c r="H102" s="63"/>
      <c r="I102" s="129" t="str">
        <f t="shared" ref="I102:AV102" si="120">IFERROR((I103-I104)/I103,"")</f>
        <v/>
      </c>
      <c r="J102" s="130" t="str">
        <f t="shared" si="120"/>
        <v/>
      </c>
      <c r="K102" s="131" t="str">
        <f t="shared" si="120"/>
        <v/>
      </c>
      <c r="L102" s="131" t="str">
        <f t="shared" si="120"/>
        <v/>
      </c>
      <c r="M102" s="131" t="str">
        <f t="shared" si="120"/>
        <v/>
      </c>
      <c r="N102" s="132" t="str">
        <f t="shared" si="120"/>
        <v/>
      </c>
      <c r="O102" s="133" t="str">
        <f t="shared" si="120"/>
        <v/>
      </c>
      <c r="P102" s="133" t="str">
        <f t="shared" si="120"/>
        <v/>
      </c>
      <c r="Q102" s="133" t="str">
        <f t="shared" si="120"/>
        <v/>
      </c>
      <c r="R102" s="133" t="str">
        <f t="shared" si="120"/>
        <v/>
      </c>
      <c r="S102" s="133" t="str">
        <f t="shared" si="120"/>
        <v/>
      </c>
      <c r="T102" s="133" t="str">
        <f t="shared" si="120"/>
        <v/>
      </c>
      <c r="U102" s="133" t="str">
        <f t="shared" si="120"/>
        <v/>
      </c>
      <c r="V102" s="133" t="str">
        <f t="shared" si="120"/>
        <v/>
      </c>
      <c r="W102" s="133" t="str">
        <f t="shared" si="120"/>
        <v/>
      </c>
      <c r="X102" s="133" t="str">
        <f t="shared" si="120"/>
        <v/>
      </c>
      <c r="Y102" s="133" t="str">
        <f t="shared" si="120"/>
        <v/>
      </c>
      <c r="Z102" s="132" t="str">
        <f t="shared" si="120"/>
        <v/>
      </c>
      <c r="AA102" s="132" t="str">
        <f t="shared" si="120"/>
        <v/>
      </c>
      <c r="AB102" s="132" t="str">
        <f t="shared" si="120"/>
        <v/>
      </c>
      <c r="AC102" s="132" t="str">
        <f t="shared" si="120"/>
        <v/>
      </c>
      <c r="AD102" s="132" t="str">
        <f t="shared" si="120"/>
        <v/>
      </c>
      <c r="AE102" s="132" t="str">
        <f t="shared" si="120"/>
        <v/>
      </c>
      <c r="AF102" s="132" t="str">
        <f t="shared" si="120"/>
        <v/>
      </c>
      <c r="AG102" s="132" t="str">
        <f t="shared" si="120"/>
        <v/>
      </c>
      <c r="AH102" s="132" t="str">
        <f t="shared" si="120"/>
        <v/>
      </c>
      <c r="AI102" s="132" t="str">
        <f t="shared" si="120"/>
        <v/>
      </c>
      <c r="AJ102" s="132" t="str">
        <f t="shared" si="120"/>
        <v/>
      </c>
      <c r="AK102" s="132" t="str">
        <f t="shared" si="120"/>
        <v/>
      </c>
      <c r="AL102" s="132" t="str">
        <f t="shared" si="120"/>
        <v/>
      </c>
      <c r="AM102" s="132" t="str">
        <f t="shared" si="120"/>
        <v/>
      </c>
      <c r="AN102" s="134" t="str">
        <f t="shared" si="120"/>
        <v/>
      </c>
      <c r="AO102" s="138" t="str">
        <f t="shared" si="120"/>
        <v/>
      </c>
      <c r="AP102" s="135" t="str">
        <f t="shared" si="120"/>
        <v/>
      </c>
      <c r="AQ102" s="135" t="str">
        <f t="shared" si="120"/>
        <v/>
      </c>
      <c r="AR102" s="135" t="str">
        <f t="shared" si="120"/>
        <v/>
      </c>
      <c r="AS102" s="135" t="str">
        <f t="shared" si="120"/>
        <v/>
      </c>
      <c r="AT102" s="135" t="str">
        <f t="shared" si="120"/>
        <v/>
      </c>
      <c r="AU102" s="136" t="str">
        <f t="shared" si="120"/>
        <v/>
      </c>
      <c r="AV102" s="137" t="str">
        <f t="shared" si="120"/>
        <v/>
      </c>
    </row>
    <row r="103" spans="1:48" hidden="1" x14ac:dyDescent="0.3">
      <c r="A103" s="53" t="str">
        <f t="shared" ref="A103" si="121">+IF(C103+C104=0,"[ocultar]","")</f>
        <v>[ocultar]</v>
      </c>
      <c r="B103" s="57" t="s">
        <v>162</v>
      </c>
      <c r="C103" s="56">
        <f t="array" ref="C103">SUM(IF($B103=DATOS_[Sexo],
IF($B102=DATOS_[AGRUP. CLAS. PROF.],
IF("Dentro"=DATOS_[Check Periodo Ref.],
1/(COUNTIFS(DATOS_[Sexo],$B103,DATOS_[AGRUP. CLAS. PROF.],$B102,DATOS_[Check Periodo Ref.],"Dentro",DATOS_[id],DATOS_[id]))))))</f>
        <v>0</v>
      </c>
      <c r="D103" s="58">
        <f>COUNTIFS(DATOS_[AGRUP. CLAS. PROF.],$B102,DATOS_[Sexo],$B103,DATOS_[Check Periodo Ref.],"Dentro")</f>
        <v>0</v>
      </c>
      <c r="E103" s="58">
        <f>COUNTIFS(DATOS_[AGRUP. CLAS. PROF.],$B102,DATOS_[Sexo],$B103,DATOS_[Check Periodo Ref.],"Dentro",DATOS_[Check Nº SC Norm],"Sí")</f>
        <v>0</v>
      </c>
      <c r="F103" s="58">
        <f>COUNTIFS(DATOS_[AGRUP. CLAS. PROF.],$B102,DATOS_[Sexo],$B103,DATOS_[Check Periodo Ref.],"Dentro",DATOS_[Check Nº SC Anualiz],"Sí")</f>
        <v>0</v>
      </c>
      <c r="G103" s="58">
        <f>COUNTIFS(DATOS_[AGRUP. CLAS. PROF.],$B102,DATOS_[Sexo],$B103,DATOS_[Check Periodo Ref.],"Dentro",DATOS_[Check Nº SC Norm y Anualiz],"Sí")</f>
        <v>0</v>
      </c>
      <c r="H103" s="58">
        <f>COUNTIFS(DATOS_[AGRUP. CLAS. PROF.],$B102,DATOS_[Sexo],$B103,DATOS_[Check Periodo Ref.],"Dentro",DATOS_[Check Equiparación],"Sí")</f>
        <v>0</v>
      </c>
      <c r="I103" s="100">
        <f t="array" ref="I103">IFERROR(
AVERAGE(IF(DATOS_[Sexo]=$B103,IF(DATOS_[[AGRUP. CLAS. PROF.]:[AGRUP. CLAS. PROF.]]=$B102,IF(DATOS_[Check Equiparado]="Sí",IF(DATOS_[Check Periodo Ref.]="Dentro",DATOS_[SALARIO BASE Eq],FALSE))))),
0)</f>
        <v>0</v>
      </c>
      <c r="J103" s="101">
        <f t="array" ref="J103">IFERROR(
(AVERAGE((IF(DATOS_[[Sexo]:[Sexo]]=$B103,IF(DATOS_[[AGRUP. CLAS. PROF.]:[AGRUP. CLAS. PROF.]]=$B102,IF(DATOS_[[Check Periodo Ref.]:[Check Periodo Ref.]]="Dentro",IF(DATOS_[[Check Equiparado]:[Check Equiparado]]="Sí",IF(DATOS!AE$5="Sí",(1/DATOS_[[% anualiz]:[% anualiz]]),1)*IF(DATOS!AE$4="Sí",1/DATOS_[[% normaliz]:[% normaliz]],1)*(DATOS_[Conc.Sal.01])))))))),
0)</f>
        <v>0</v>
      </c>
      <c r="K103" s="101">
        <f t="array" ref="K103">IFERROR(
(AVERAGE((IF(DATOS_[[Sexo]:[Sexo]]=$B103,IF(DATOS_[[AGRUP. CLAS. PROF.]:[AGRUP. CLAS. PROF.]]=$B102,IF(DATOS_[[Check Periodo Ref.]:[Check Periodo Ref.]]="Dentro",IF(DATOS_[[Check Equiparado]:[Check Equiparado]]="Sí",IF(DATOS!AF$5="Sí",(1/DATOS_[[% anualiz]:[% anualiz]]),1)*IF(DATOS!AF$4="Sí",1/DATOS_[[% normaliz]:[% normaliz]],1)*(DATOS_[Conc.Sal.02])))))))),
0)</f>
        <v>0</v>
      </c>
      <c r="L103" s="101">
        <f t="array" ref="L103">IFERROR(
(AVERAGE((IF(DATOS_[[Sexo]:[Sexo]]=$B103,IF(DATOS_[[AGRUP. CLAS. PROF.]:[AGRUP. CLAS. PROF.]]=$B102,IF(DATOS_[[Check Periodo Ref.]:[Check Periodo Ref.]]="Dentro",IF(DATOS_[[Check Equiparado]:[Check Equiparado]]="Sí",IF(DATOS!AG$5="Sí",(1/DATOS_[[% anualiz]:[% anualiz]]),1)*IF(DATOS!AG$4="Sí",1/DATOS_[[% normaliz]:[% normaliz]],1)*(DATOS_[Conc.Sal.03])))))))),
0)</f>
        <v>0</v>
      </c>
      <c r="M103" s="101">
        <f t="array" ref="M103">IFERROR(
(AVERAGE((IF(DATOS_[[Sexo]:[Sexo]]=$B103,IF(DATOS_[[AGRUP. CLAS. PROF.]:[AGRUP. CLAS. PROF.]]=$B102,IF(DATOS_[[Check Periodo Ref.]:[Check Periodo Ref.]]="Dentro",IF(DATOS_[[Check Equiparado]:[Check Equiparado]]="Sí",IF(DATOS!AH$5="Sí",(1/DATOS_[[% anualiz]:[% anualiz]]),1)*IF(DATOS!AH$4="Sí",1/DATOS_[[% normaliz]:[% normaliz]],1)*(DATOS_[Conc.Sal.04])))))))),
0)</f>
        <v>0</v>
      </c>
      <c r="N103" s="101">
        <f t="array" ref="N103">IFERROR(
(AVERAGE((IF(DATOS_[[Sexo]:[Sexo]]=$B103,IF(DATOS_[[AGRUP. CLAS. PROF.]:[AGRUP. CLAS. PROF.]]=$B102,IF(DATOS_[[Check Periodo Ref.]:[Check Periodo Ref.]]="Dentro",IF(DATOS_[[Check Equiparado]:[Check Equiparado]]="Sí",IF(DATOS!AI$5="Sí",(1/DATOS_[[% anualiz]:[% anualiz]]),1)*IF(DATOS!AI$4="Sí",1/DATOS_[[% normaliz]:[% normaliz]],1)*(DATOS_[Conc.Sal.05])))))))),
0)</f>
        <v>0</v>
      </c>
      <c r="O103" s="101">
        <f t="array" ref="O103">IFERROR(
(AVERAGE((IF(DATOS_[[Sexo]:[Sexo]]=$B103,IF(DATOS_[[AGRUP. CLAS. PROF.]:[AGRUP. CLAS. PROF.]]=$B102,IF(DATOS_[[Check Periodo Ref.]:[Check Periodo Ref.]]="Dentro",IF(DATOS_[[Check Equiparado]:[Check Equiparado]]="Sí",IF(DATOS!AJ$5="Sí",(1/DATOS_[[% anualiz]:[% anualiz]]),1)*IF(DATOS!AJ$4="Sí",1/DATOS_[[% normaliz]:[% normaliz]],1)*(DATOS_[Conc.Sal.06])))))))),
0)</f>
        <v>0</v>
      </c>
      <c r="P103" s="101">
        <f t="array" ref="P103">IFERROR(
(AVERAGE((IF(DATOS_[[Sexo]:[Sexo]]=$B103,IF(DATOS_[[AGRUP. CLAS. PROF.]:[AGRUP. CLAS. PROF.]]=$B102,IF(DATOS_[[Check Periodo Ref.]:[Check Periodo Ref.]]="Dentro",IF(DATOS_[[Check Equiparado]:[Check Equiparado]]="Sí",IF(DATOS!AK$5="Sí",(1/DATOS_[[% anualiz]:[% anualiz]]),1)*IF(DATOS!AK$4="Sí",1/DATOS_[[% normaliz]:[% normaliz]],1)*(DATOS_[Conc.Sal.07])))))))),
0)</f>
        <v>0</v>
      </c>
      <c r="Q103" s="101">
        <f t="array" ref="Q103">IFERROR(
(AVERAGE((IF(DATOS_[[Sexo]:[Sexo]]=$B103,IF(DATOS_[[AGRUP. CLAS. PROF.]:[AGRUP. CLAS. PROF.]]=$B102,IF(DATOS_[[Check Periodo Ref.]:[Check Periodo Ref.]]="Dentro",IF(DATOS_[[Check Equiparado]:[Check Equiparado]]="Sí",IF(DATOS!AL$5="Sí",(1/DATOS_[[% anualiz]:[% anualiz]]),1)*IF(DATOS!AL$4="Sí",1/DATOS_[[% normaliz]:[% normaliz]],1)*(DATOS_[Conc.Sal.08])))))))),
0)</f>
        <v>0</v>
      </c>
      <c r="R103" s="101">
        <f t="array" ref="R103">IFERROR(
(AVERAGE((IF(DATOS_[[Sexo]:[Sexo]]=$B103,IF(DATOS_[[AGRUP. CLAS. PROF.]:[AGRUP. CLAS. PROF.]]=$B102,IF(DATOS_[[Check Periodo Ref.]:[Check Periodo Ref.]]="Dentro",IF(DATOS_[[Check Equiparado]:[Check Equiparado]]="Sí",IF(DATOS!AM$5="Sí",(1/DATOS_[[% anualiz]:[% anualiz]]),1)*IF(DATOS!AM$4="Sí",1/DATOS_[[% normaliz]:[% normaliz]],1)*(DATOS_[Conc.Sal.09])))))))),
0)</f>
        <v>0</v>
      </c>
      <c r="S103" s="101">
        <f t="array" ref="S103">IFERROR(
(AVERAGE((IF(DATOS_[[Sexo]:[Sexo]]=$B103,IF(DATOS_[[AGRUP. CLAS. PROF.]:[AGRUP. CLAS. PROF.]]=$B102,IF(DATOS_[[Check Periodo Ref.]:[Check Periodo Ref.]]="Dentro",IF(DATOS_[[Check Equiparado]:[Check Equiparado]]="Sí",IF(DATOS!AN$5="Sí",(1/DATOS_[[% anualiz]:[% anualiz]]),1)*IF(DATOS!AN$4="Sí",1/DATOS_[[% normaliz]:[% normaliz]],1)*(DATOS_[Conc.Sal.10])))))))),
0)</f>
        <v>0</v>
      </c>
      <c r="T103" s="101">
        <f t="array" ref="T103">IFERROR(
(AVERAGE((IF(DATOS_[[Sexo]:[Sexo]]=$B103,IF(DATOS_[[AGRUP. CLAS. PROF.]:[AGRUP. CLAS. PROF.]]=$B102,IF(DATOS_[[Check Periodo Ref.]:[Check Periodo Ref.]]="Dentro",IF(DATOS_[[Check Equiparado]:[Check Equiparado]]="Sí",IF(DATOS!AO$5="Sí",(1/DATOS_[[% anualiz]:[% anualiz]]),1)*IF(DATOS!AO$4="Sí",1/DATOS_[[% normaliz]:[% normaliz]],1)*(DATOS_[Conc.Sal.11])))))))),
0)</f>
        <v>0</v>
      </c>
      <c r="U103" s="101">
        <f t="array" ref="U103">IFERROR(
(AVERAGE((IF(DATOS_[[Sexo]:[Sexo]]=$B103,IF(DATOS_[[AGRUP. CLAS. PROF.]:[AGRUP. CLAS. PROF.]]=$B102,IF(DATOS_[[Check Periodo Ref.]:[Check Periodo Ref.]]="Dentro",IF(DATOS_[[Check Equiparado]:[Check Equiparado]]="Sí",IF(DATOS!AP$5="Sí",(1/DATOS_[[% anualiz]:[% anualiz]]),1)*IF(DATOS!AP$4="Sí",1/DATOS_[[% normaliz]:[% normaliz]],1)*(DATOS_[Conc.Sal.12])))))))),
0)</f>
        <v>0</v>
      </c>
      <c r="V103" s="101">
        <f t="array" ref="V103">IFERROR(
(AVERAGE((IF(DATOS_[[Sexo]:[Sexo]]=$B103,IF(DATOS_[[AGRUP. CLAS. PROF.]:[AGRUP. CLAS. PROF.]]=$B102,IF(DATOS_[[Check Periodo Ref.]:[Check Periodo Ref.]]="Dentro",IF(DATOS_[[Check Equiparado]:[Check Equiparado]]="Sí",IF(DATOS!AQ$5="Sí",(1/DATOS_[[% anualiz]:[% anualiz]]),1)*IF(DATOS!AQ$4="Sí",1/DATOS_[[% normaliz]:[% normaliz]],1)*(DATOS_[Conc.Sal.13])))))))),
0)</f>
        <v>0</v>
      </c>
      <c r="W103" s="101">
        <f t="array" ref="W103">IFERROR(
(AVERAGE((IF(DATOS_[[Sexo]:[Sexo]]=$B103,IF(DATOS_[[AGRUP. CLAS. PROF.]:[AGRUP. CLAS. PROF.]]=$B102,IF(DATOS_[[Check Periodo Ref.]:[Check Periodo Ref.]]="Dentro",IF(DATOS_[[Check Equiparado]:[Check Equiparado]]="Sí",IF(DATOS!AR$5="Sí",(1/DATOS_[[% anualiz]:[% anualiz]]),1)*IF(DATOS!AR$4="Sí",1/DATOS_[[% normaliz]:[% normaliz]],1)*(DATOS_[Conc.Sal.14])))))))),
0)</f>
        <v>0</v>
      </c>
      <c r="X103" s="101">
        <f t="array" ref="X103">IFERROR(
(AVERAGE((IF(DATOS_[[Sexo]:[Sexo]]=$B103,IF(DATOS_[[AGRUP. CLAS. PROF.]:[AGRUP. CLAS. PROF.]]=$B102,IF(DATOS_[[Check Periodo Ref.]:[Check Periodo Ref.]]="Dentro",IF(DATOS_[[Check Equiparado]:[Check Equiparado]]="Sí",IF(DATOS!AS$5="Sí",(1/DATOS_[[% anualiz]:[% anualiz]]),1)*IF(DATOS!AS$4="Sí",1/DATOS_[[% normaliz]:[% normaliz]],1)*(DATOS_[Conc.Sal.15])))))))),
0)</f>
        <v>0</v>
      </c>
      <c r="Y103" s="101">
        <f t="array" ref="Y103">IFERROR(
(AVERAGE((IF(DATOS_[[Sexo]:[Sexo]]=$B103,IF(DATOS_[[AGRUP. CLAS. PROF.]:[AGRUP. CLAS. PROF.]]=$B102,IF(DATOS_[[Check Periodo Ref.]:[Check Periodo Ref.]]="Dentro",IF(DATOS_[[Check Equiparado]:[Check Equiparado]]="Sí",IF(DATOS!AT$5="Sí",(1/DATOS_[[% anualiz]:[% anualiz]]),1)*IF(DATOS!AT$4="Sí",1/DATOS_[[% normaliz]:[% normaliz]],1)*(DATOS_[Conc.Sal.16])))))))),
0)</f>
        <v>0</v>
      </c>
      <c r="Z103" s="101">
        <f t="array" ref="Z103">IFERROR(
(AVERAGE((IF(DATOS_[[Sexo]:[Sexo]]=$B103,IF(DATOS_[[AGRUP. CLAS. PROF.]:[AGRUP. CLAS. PROF.]]=$B102,IF(DATOS_[[Check Periodo Ref.]:[Check Periodo Ref.]]="Dentro",IF(DATOS_[[Check Equiparado]:[Check Equiparado]]="Sí",IF(DATOS!AU$5="Sí",(1/DATOS_[[% anualiz]:[% anualiz]]),1)*IF(DATOS!AU$4="Sí",1/DATOS_[[% normaliz]:[% normaliz]],1)*(DATOS_[Conc.Sal.17])))))))),
0)</f>
        <v>0</v>
      </c>
      <c r="AA103" s="101">
        <f t="array" ref="AA103">IFERROR(
(AVERAGE((IF(DATOS_[[Sexo]:[Sexo]]=$B103,IF(DATOS_[[AGRUP. CLAS. PROF.]:[AGRUP. CLAS. PROF.]]=$B102,IF(DATOS_[[Check Periodo Ref.]:[Check Periodo Ref.]]="Dentro",IF(DATOS_[[Check Equiparado]:[Check Equiparado]]="Sí",IF(DATOS!AV$5="Sí",(1/DATOS_[[% anualiz]:[% anualiz]]),1)*IF(DATOS!AV$4="Sí",1/DATOS_[[% normaliz]:[% normaliz]],1)*(DATOS_[Conc.Sal.18])))))))),
0)</f>
        <v>0</v>
      </c>
      <c r="AB103" s="101">
        <f t="array" ref="AB103">IFERROR(
(AVERAGE((IF(DATOS_[[Sexo]:[Sexo]]=$B103,IF(DATOS_[[AGRUP. CLAS. PROF.]:[AGRUP. CLAS. PROF.]]=$B102,IF(DATOS_[[Check Periodo Ref.]:[Check Periodo Ref.]]="Dentro",IF(DATOS_[[Check Equiparado]:[Check Equiparado]]="Sí",IF(DATOS!AW$5="Sí",(1/DATOS_[[% anualiz]:[% anualiz]]),1)*IF(DATOS!AW$4="Sí",1/DATOS_[[% normaliz]:[% normaliz]],1)*(DATOS_[Conc.Sal.19])))))))),
0)</f>
        <v>0</v>
      </c>
      <c r="AC103" s="101">
        <f t="array" ref="AC103">IFERROR(
(AVERAGE((IF(DATOS_[[Sexo]:[Sexo]]=$B103,IF(DATOS_[[AGRUP. CLAS. PROF.]:[AGRUP. CLAS. PROF.]]=$B102,IF(DATOS_[[Check Periodo Ref.]:[Check Periodo Ref.]]="Dentro",IF(DATOS_[[Check Equiparado]:[Check Equiparado]]="Sí",IF(DATOS!AX$5="Sí",(1/DATOS_[[% anualiz]:[% anualiz]]),1)*IF(DATOS!AX$4="Sí",1/DATOS_[[% normaliz]:[% normaliz]],1)*(DATOS_[Conc.Sal.20])))))))),
0)</f>
        <v>0</v>
      </c>
      <c r="AD103" s="101">
        <f t="array" ref="AD103">IFERROR(
(AVERAGE((IF(DATOS_[[Sexo]:[Sexo]]=$B103,IF(DATOS_[[AGRUP. CLAS. PROF.]:[AGRUP. CLAS. PROF.]]=$B102,IF(DATOS_[[Check Periodo Ref.]:[Check Periodo Ref.]]="Dentro",IF(DATOS_[[Check Equiparado]:[Check Equiparado]]="Sí",IF(DATOS!AY$5="Sí",(1/DATOS_[[% anualiz]:[% anualiz]]),1)*IF(DATOS!AY$4="Sí",1/DATOS_[[% normaliz]:[% normaliz]],1)*(DATOS_[Conc.Sal.21])))))))),
0)</f>
        <v>0</v>
      </c>
      <c r="AE103" s="101">
        <f t="array" ref="AE103">IFERROR(
(AVERAGE((IF(DATOS_[[Sexo]:[Sexo]]=$B103,IF(DATOS_[[AGRUP. CLAS. PROF.]:[AGRUP. CLAS. PROF.]]=$B102,IF(DATOS_[[Check Periodo Ref.]:[Check Periodo Ref.]]="Dentro",IF(DATOS_[[Check Equiparado]:[Check Equiparado]]="Sí",IF(DATOS!AZ$5="Sí",(1/DATOS_[[% anualiz]:[% anualiz]]),1)*IF(DATOS!AZ$4="Sí",1/DATOS_[[% normaliz]:[% normaliz]],1)*(DATOS_[Conc.Sal.22])))))))),
0)</f>
        <v>0</v>
      </c>
      <c r="AF103" s="101">
        <f t="array" ref="AF103">IFERROR(
(AVERAGE((IF(DATOS_[[Sexo]:[Sexo]]=$B103,IF(DATOS_[[AGRUP. CLAS. PROF.]:[AGRUP. CLAS. PROF.]]=$B102,IF(DATOS_[[Check Periodo Ref.]:[Check Periodo Ref.]]="Dentro",IF(DATOS_[[Check Equiparado]:[Check Equiparado]]="Sí",IF(DATOS!BA$5="Sí",(1/DATOS_[[% anualiz]:[% anualiz]]),1)*IF(DATOS!BA$4="Sí",1/DATOS_[[% normaliz]:[% normaliz]],1)*(DATOS_[Conc.Sal.23])))))))),
0)</f>
        <v>0</v>
      </c>
      <c r="AG103" s="101">
        <f t="array" ref="AG103">IFERROR(
(AVERAGE((IF(DATOS_[[Sexo]:[Sexo]]=$B103,IF(DATOS_[[AGRUP. CLAS. PROF.]:[AGRUP. CLAS. PROF.]]=$B102,IF(DATOS_[[Check Periodo Ref.]:[Check Periodo Ref.]]="Dentro",IF(DATOS_[[Check Equiparado]:[Check Equiparado]]="Sí",IF(DATOS!BB$5="Sí",(1/DATOS_[[% anualiz]:[% anualiz]]),1)*IF(DATOS!BB$4="Sí",1/DATOS_[[% normaliz]:[% normaliz]],1)*(DATOS_[Conc.Sal.24])))))))),
0)</f>
        <v>0</v>
      </c>
      <c r="AH103" s="101">
        <f t="array" ref="AH103">IFERROR(
(AVERAGE((IF(DATOS_[[Sexo]:[Sexo]]=$B103,IF(DATOS_[[AGRUP. CLAS. PROF.]:[AGRUP. CLAS. PROF.]]=$B102,IF(DATOS_[[Check Periodo Ref.]:[Check Periodo Ref.]]="Dentro",IF(DATOS_[[Check Equiparado]:[Check Equiparado]]="Sí",IF(DATOS!BC$5="Sí",(1/DATOS_[[% anualiz]:[% anualiz]]),1)*IF(DATOS!BC$4="Sí",1/DATOS_[[% normaliz]:[% normaliz]],1)*(DATOS_[Conc.Sal.25])))))))),
0)</f>
        <v>0</v>
      </c>
      <c r="AI103" s="101">
        <f t="array" ref="AI103">IFERROR(
(AVERAGE((IF(DATOS_[[Sexo]:[Sexo]]=$B103,IF(DATOS_[[AGRUP. CLAS. PROF.]:[AGRUP. CLAS. PROF.]]=$B102,IF(DATOS_[[Check Periodo Ref.]:[Check Periodo Ref.]]="Dentro",IF(DATOS_[[Check Equiparado]:[Check Equiparado]]="Sí",IF(DATOS!BD$5="Sí",(1/DATOS_[[% anualiz]:[% anualiz]]),1)*IF(DATOS!BD$4="Sí",1/DATOS_[[% normaliz]:[% normaliz]],1)*(DATOS_[Conc.Sal.26])))))))),
0)</f>
        <v>0</v>
      </c>
      <c r="AJ103" s="101">
        <f t="array" ref="AJ103">IFERROR(
(AVERAGE((IF(DATOS_[[Sexo]:[Sexo]]=$B103,IF(DATOS_[[AGRUP. CLAS. PROF.]:[AGRUP. CLAS. PROF.]]=$B102,IF(DATOS_[[Check Periodo Ref.]:[Check Periodo Ref.]]="Dentro",IF(DATOS_[[Check Equiparado]:[Check Equiparado]]="Sí",IF(DATOS!BE$5="Sí",(1/DATOS_[[% anualiz]:[% anualiz]]),1)*IF(DATOS!BE$4="Sí",1/DATOS_[[% normaliz]:[% normaliz]],1)*(DATOS_[Conc.Sal.27])))))))),
0)</f>
        <v>0</v>
      </c>
      <c r="AK103" s="101">
        <f t="array" ref="AK103">IFERROR(
(AVERAGE((IF(DATOS_[[Sexo]:[Sexo]]=$B103,IF(DATOS_[[AGRUP. CLAS. PROF.]:[AGRUP. CLAS. PROF.]]=$B102,IF(DATOS_[[Check Periodo Ref.]:[Check Periodo Ref.]]="Dentro",IF(DATOS_[[Check Equiparado]:[Check Equiparado]]="Sí",IF(DATOS!BF$5="Sí",(1/DATOS_[[% anualiz]:[% anualiz]]),1)*IF(DATOS!BF$4="Sí",1/DATOS_[[% normaliz]:[% normaliz]],1)*(DATOS_[Conc.Sal.28])))))))),
0)</f>
        <v>0</v>
      </c>
      <c r="AL103" s="101">
        <f t="array" ref="AL103">IFERROR(
(AVERAGE((IF(DATOS_[[Sexo]:[Sexo]]=$B103,IF(DATOS_[[AGRUP. CLAS. PROF.]:[AGRUP. CLAS. PROF.]]=$B102,IF(DATOS_[[Check Periodo Ref.]:[Check Periodo Ref.]]="Dentro",IF(DATOS_[[Check Equiparado]:[Check Equiparado]]="Sí",IF(DATOS!BG$5="Sí",(1/DATOS_[[% anualiz]:[% anualiz]]),1)*IF(DATOS!BG$4="Sí",1/DATOS_[[% normaliz]:[% normaliz]],1)*(DATOS_[Conc.Sal.29])))))))),
0)</f>
        <v>0</v>
      </c>
      <c r="AM103" s="101">
        <f t="array" ref="AM103">IFERROR(
(AVERAGE((IF(DATOS_[[Sexo]:[Sexo]]=$B103,IF(DATOS_[[AGRUP. CLAS. PROF.]:[AGRUP. CLAS. PROF.]]=$B102,IF(DATOS_[[Check Periodo Ref.]:[Check Periodo Ref.]]="Dentro",IF(DATOS_[[Check Equiparado]:[Check Equiparado]]="Sí",IF(DATOS!BH$5="Sí",(1/DATOS_[[% anualiz]:[% anualiz]]),1)*IF(DATOS!BH$4="Sí",1/DATOS_[[% normaliz]:[% normaliz]],1)*(DATOS_[Conc.Sal.30])))))))),
0)</f>
        <v>0</v>
      </c>
      <c r="AN103" s="102">
        <f t="array" ref="AN103">IFERROR(
AVERAGE(IF(DATOS_[Sexo]=$B103,IF(DATOS_[[AGRUP. CLAS. PROF.]:[AGRUP. CLAS. PROF.]]=$B102,IF(DATOS_[Check Equiparado]="Sí",IF(DATOS_[Check Periodo Ref.]="Dentro",DATOS_[Tot COMPL.SAL Eq],FALSE))))),
0)</f>
        <v>0</v>
      </c>
      <c r="AO103" s="103">
        <f t="array" ref="AO103">IFERROR(
AVERAGE(IF(DATOS_[Sexo]=$B103,IF(DATOS_[[AGRUP. CLAS. PROF.]:[AGRUP. CLAS. PROF.]]=$B102,IF(DATOS_[Check Equiparado]="Sí",IF(DATOS_[Check Periodo Ref.]="Dentro",DATOS_[TOTAL SALARIO Eq],FALSE))))),
0)</f>
        <v>0</v>
      </c>
      <c r="AP103" s="104">
        <f t="array" ref="AP103">IFERROR(
(AVERAGE((IF(DATOS_[[Sexo]:[Sexo]]=$B103,IF(DATOS_[[AGRUP. CLAS. PROF.]:[AGRUP. CLAS. PROF.]]=$B102,IF(DATOS_[[Check Periodo Ref.]:[Check Periodo Ref.]]="Dentro",IF(DATOS_[[Check Equiparado]:[Check Equiparado]]="Sí",IF(DATOS!BI$5="Sí",(1/DATOS_[[% anualiz]:[% anualiz]]),1)*IF(DATOS!BI$4="Sí",1/DATOS_[[% normaliz]:[% normaliz]],1)*(DATOS_[C.Extra.01])))))))),
0)</f>
        <v>0</v>
      </c>
      <c r="AQ103" s="104">
        <f t="array" ref="AQ103">IFERROR(
(AVERAGE((IF(DATOS_[[Sexo]:[Sexo]]=$B103,IF(DATOS_[[AGRUP. CLAS. PROF.]:[AGRUP. CLAS. PROF.]]=$B102,IF(DATOS_[[Check Periodo Ref.]:[Check Periodo Ref.]]="Dentro",IF(DATOS_[[Check Equiparado]:[Check Equiparado]]="Sí",IF(DATOS!BJ$5="Sí",(1/DATOS_[[% anualiz]:[% anualiz]]),1)*IF(DATOS!BJ$4="Sí",1/DATOS_[[% normaliz]:[% normaliz]],1)*(DATOS_[C.Extra.02])))))))),
0)</f>
        <v>0</v>
      </c>
      <c r="AR103" s="104">
        <f t="array" ref="AR103">IFERROR(
(AVERAGE((IF(DATOS_[[Sexo]:[Sexo]]=$B103,IF(DATOS_[[AGRUP. CLAS. PROF.]:[AGRUP. CLAS. PROF.]]=$B102,IF(DATOS_[[Check Periodo Ref.]:[Check Periodo Ref.]]="Dentro",IF(DATOS_[[Check Equiparado]:[Check Equiparado]]="Sí",IF(DATOS!BK$5="Sí",(1/DATOS_[[% anualiz]:[% anualiz]]),1)*IF(DATOS!BK$4="Sí",1/DATOS_[[% normaliz]:[% normaliz]],1)*(DATOS_[C.Extra.03])))))))),
0)</f>
        <v>0</v>
      </c>
      <c r="AS103" s="104">
        <f t="array" ref="AS103">IFERROR(
(AVERAGE((IF(DATOS_[[Sexo]:[Sexo]]=$B103,IF(DATOS_[[AGRUP. CLAS. PROF.]:[AGRUP. CLAS. PROF.]]=$B102,IF(DATOS_[[Check Periodo Ref.]:[Check Periodo Ref.]]="Dentro",IF(DATOS_[[Check Equiparado]:[Check Equiparado]]="Sí",IF(DATOS!BL$5="Sí",(1/DATOS_[[% anualiz]:[% anualiz]]),1)*IF(DATOS!BL$4="Sí",1/DATOS_[[% normaliz]:[% normaliz]],1)*(DATOS_[C.Extra.04])))))))),
0)</f>
        <v>0</v>
      </c>
      <c r="AT103" s="104">
        <f t="array" ref="AT103">IFERROR(
(AVERAGE((IF(DATOS_[[Sexo]:[Sexo]]=$B103,IF(DATOS_[[AGRUP. CLAS. PROF.]:[AGRUP. CLAS. PROF.]]=$B102,IF(DATOS_[[Check Periodo Ref.]:[Check Periodo Ref.]]="Dentro",IF(DATOS_[[Check Equiparado]:[Check Equiparado]]="Sí",IF(DATOS!BM$5="Sí",(1/DATOS_[[% anualiz]:[% anualiz]]),1)*IF(DATOS!BM$4="Sí",1/DATOS_[[% normaliz]:[% normaliz]],1)*(DATOS_[C.Extra.05])))))))),
0)</f>
        <v>0</v>
      </c>
      <c r="AU103" s="105">
        <f t="array" ref="AU103">IFERROR(
AVERAGE(IF(DATOS_[Sexo]=$B103,IF(DATOS_[[AGRUP. CLAS. PROF.]:[AGRUP. CLAS. PROF.]]=$B102,IF(DATOS_[Check Equiparado]="Sí",IF(DATOS_[Check Periodo Ref.]="Dentro",DATOS_[Tot Extrasalarial Eq],FALSE))))),
0)</f>
        <v>0</v>
      </c>
      <c r="AV103" s="106">
        <f t="array" ref="AV103">IFERROR(
AVERAGE(IF(DATOS_[Sexo]=$B103,IF(DATOS_[[AGRUP. CLAS. PROF.]:[AGRUP. CLAS. PROF.]]=$B102,IF(DATOS_[Check Equiparado]="Sí",IF(DATOS_[Check Periodo Ref.]="Dentro",DATOS_[TOTAL Retrib Eq],FALSE))))),
0)</f>
        <v>0</v>
      </c>
    </row>
    <row r="104" spans="1:48" hidden="1" x14ac:dyDescent="0.3">
      <c r="A104" s="53" t="str">
        <f t="shared" ref="A104" si="122">+A103</f>
        <v>[ocultar]</v>
      </c>
      <c r="B104" s="57" t="s">
        <v>163</v>
      </c>
      <c r="C104" s="56">
        <f t="array" ref="C104">SUM(IF($B104=DATOS_[Sexo],
IF($B102=DATOS_[AGRUP. CLAS. PROF.],
IF("Dentro"=DATOS_[Check Periodo Ref.],
1/(COUNTIFS(DATOS_[Sexo],$B104,DATOS_[AGRUP. CLAS. PROF.],$B102,DATOS_[Check Periodo Ref.],"Dentro",DATOS_[id],DATOS_[id]))))))</f>
        <v>0</v>
      </c>
      <c r="D104" s="58">
        <f>COUNTIFS(DATOS_[AGRUP. CLAS. PROF.],$B102,DATOS_[Sexo],$B104,DATOS_[Check Periodo Ref.],"Dentro")</f>
        <v>0</v>
      </c>
      <c r="E104" s="58">
        <f>COUNTIFS(DATOS_[AGRUP. CLAS. PROF.],$B102,DATOS_[Sexo],$B104,DATOS_[Check Periodo Ref.],"Dentro",DATOS_[Check Nº SC Norm],"Sí")</f>
        <v>0</v>
      </c>
      <c r="F104" s="58">
        <f>COUNTIFS(DATOS_[AGRUP. CLAS. PROF.],$B102,DATOS_[Sexo],$B104,DATOS_[Check Periodo Ref.],"Dentro",DATOS_[Check Nº SC Anualiz],"Sí")</f>
        <v>0</v>
      </c>
      <c r="G104" s="58">
        <f>COUNTIFS(DATOS_[AGRUP. CLAS. PROF.],$B102,DATOS_[Sexo],$B104,DATOS_[Check Periodo Ref.],"Dentro",DATOS_[Check Nº SC Norm y Anualiz],"Sí")</f>
        <v>0</v>
      </c>
      <c r="H104" s="58">
        <f>COUNTIFS(DATOS_[AGRUP. CLAS. PROF.],$B102,DATOS_[Sexo],$B104,DATOS_[Check Periodo Ref.],"Dentro",DATOS_[Check Equiparación],"Sí")</f>
        <v>0</v>
      </c>
      <c r="I104" s="100" cm="1">
        <f t="array" ref="I104">IFERROR(
AVERAGE(IF(DATOS_[Sexo]=$B104,IF(DATOS_[[AGRUP. CLAS. PROF.]:[AGRUP. CLAS. PROF.]]=$B102,IF(DATOS_[Check Equiparado]="Sí",IF(DATOS_[Check Periodo Ref.]="Dentro",DATOS_[SALARIO BASE Eq],FALSE))))),
0)</f>
        <v>0</v>
      </c>
      <c r="J104" s="101">
        <f t="array" ref="J104">IFERROR(
(AVERAGE((IF(DATOS_[[Sexo]:[Sexo]]=$B104,IF(DATOS_[[AGRUP. CLAS. PROF.]:[AGRUP. CLAS. PROF.]]=$B102,IF(DATOS_[[Check Periodo Ref.]:[Check Periodo Ref.]]="Dentro",IF(DATOS_[[Check Equiparado]:[Check Equiparado]]="Sí",IF(DATOS!AE$5="Sí",(1/DATOS_[[% anualiz]:[% anualiz]]),1)*IF(DATOS!AE$4="Sí",1/DATOS_[[% normaliz]:[% normaliz]],1)*(DATOS_[Conc.Sal.01])))))))),
0)</f>
        <v>0</v>
      </c>
      <c r="K104" s="101">
        <f t="array" ref="K104">IFERROR(
(AVERAGE((IF(DATOS_[[Sexo]:[Sexo]]=$B104,IF(DATOS_[[AGRUP. CLAS. PROF.]:[AGRUP. CLAS. PROF.]]=$B102,IF(DATOS_[[Check Periodo Ref.]:[Check Periodo Ref.]]="Dentro",IF(DATOS_[[Check Equiparado]:[Check Equiparado]]="Sí",IF(DATOS!AF$5="Sí",(1/DATOS_[[% anualiz]:[% anualiz]]),1)*IF(DATOS!AF$4="Sí",1/DATOS_[[% normaliz]:[% normaliz]],1)*(DATOS_[Conc.Sal.02])))))))),
0)</f>
        <v>0</v>
      </c>
      <c r="L104" s="101">
        <f t="array" ref="L104">IFERROR(
(AVERAGE((IF(DATOS_[[Sexo]:[Sexo]]=$B104,IF(DATOS_[[AGRUP. CLAS. PROF.]:[AGRUP. CLAS. PROF.]]=$B102,IF(DATOS_[[Check Periodo Ref.]:[Check Periodo Ref.]]="Dentro",IF(DATOS_[[Check Equiparado]:[Check Equiparado]]="Sí",IF(DATOS!AG$5="Sí",(1/DATOS_[[% anualiz]:[% anualiz]]),1)*IF(DATOS!AG$4="Sí",1/DATOS_[[% normaliz]:[% normaliz]],1)*(DATOS_[Conc.Sal.03])))))))),
0)</f>
        <v>0</v>
      </c>
      <c r="M104" s="101">
        <f t="array" ref="M104">IFERROR(
(AVERAGE((IF(DATOS_[[Sexo]:[Sexo]]=$B104,IF(DATOS_[[AGRUP. CLAS. PROF.]:[AGRUP. CLAS. PROF.]]=$B102,IF(DATOS_[[Check Periodo Ref.]:[Check Periodo Ref.]]="Dentro",IF(DATOS_[[Check Equiparado]:[Check Equiparado]]="Sí",IF(DATOS!AH$5="Sí",(1/DATOS_[[% anualiz]:[% anualiz]]),1)*IF(DATOS!AH$4="Sí",1/DATOS_[[% normaliz]:[% normaliz]],1)*(DATOS_[Conc.Sal.04])))))))),
0)</f>
        <v>0</v>
      </c>
      <c r="N104" s="101">
        <f t="array" ref="N104">IFERROR(
(AVERAGE((IF(DATOS_[[Sexo]:[Sexo]]=$B104,IF(DATOS_[[AGRUP. CLAS. PROF.]:[AGRUP. CLAS. PROF.]]=$B102,IF(DATOS_[[Check Periodo Ref.]:[Check Periodo Ref.]]="Dentro",IF(DATOS_[[Check Equiparado]:[Check Equiparado]]="Sí",IF(DATOS!AI$5="Sí",(1/DATOS_[[% anualiz]:[% anualiz]]),1)*IF(DATOS!AI$4="Sí",1/DATOS_[[% normaliz]:[% normaliz]],1)*(DATOS_[Conc.Sal.05])))))))),
0)</f>
        <v>0</v>
      </c>
      <c r="O104" s="101">
        <f t="array" ref="O104">IFERROR(
(AVERAGE((IF(DATOS_[[Sexo]:[Sexo]]=$B104,IF(DATOS_[[AGRUP. CLAS. PROF.]:[AGRUP. CLAS. PROF.]]=$B102,IF(DATOS_[[Check Periodo Ref.]:[Check Periodo Ref.]]="Dentro",IF(DATOS_[[Check Equiparado]:[Check Equiparado]]="Sí",IF(DATOS!AJ$5="Sí",(1/DATOS_[[% anualiz]:[% anualiz]]),1)*IF(DATOS!AJ$4="Sí",1/DATOS_[[% normaliz]:[% normaliz]],1)*(DATOS_[Conc.Sal.06])))))))),
0)</f>
        <v>0</v>
      </c>
      <c r="P104" s="101">
        <f t="array" ref="P104">IFERROR(
(AVERAGE((IF(DATOS_[[Sexo]:[Sexo]]=$B104,IF(DATOS_[[AGRUP. CLAS. PROF.]:[AGRUP. CLAS. PROF.]]=$B102,IF(DATOS_[[Check Periodo Ref.]:[Check Periodo Ref.]]="Dentro",IF(DATOS_[[Check Equiparado]:[Check Equiparado]]="Sí",IF(DATOS!AK$5="Sí",(1/DATOS_[[% anualiz]:[% anualiz]]),1)*IF(DATOS!AK$4="Sí",1/DATOS_[[% normaliz]:[% normaliz]],1)*(DATOS_[Conc.Sal.07])))))))),
0)</f>
        <v>0</v>
      </c>
      <c r="Q104" s="101">
        <f t="array" ref="Q104">IFERROR(
(AVERAGE((IF(DATOS_[[Sexo]:[Sexo]]=$B104,IF(DATOS_[[AGRUP. CLAS. PROF.]:[AGRUP. CLAS. PROF.]]=$B102,IF(DATOS_[[Check Periodo Ref.]:[Check Periodo Ref.]]="Dentro",IF(DATOS_[[Check Equiparado]:[Check Equiparado]]="Sí",IF(DATOS!AL$5="Sí",(1/DATOS_[[% anualiz]:[% anualiz]]),1)*IF(DATOS!AL$4="Sí",1/DATOS_[[% normaliz]:[% normaliz]],1)*(DATOS_[Conc.Sal.08])))))))),
0)</f>
        <v>0</v>
      </c>
      <c r="R104" s="101">
        <f t="array" ref="R104">IFERROR(
(AVERAGE((IF(DATOS_[[Sexo]:[Sexo]]=$B104,IF(DATOS_[[AGRUP. CLAS. PROF.]:[AGRUP. CLAS. PROF.]]=$B102,IF(DATOS_[[Check Periodo Ref.]:[Check Periodo Ref.]]="Dentro",IF(DATOS_[[Check Equiparado]:[Check Equiparado]]="Sí",IF(DATOS!AM$5="Sí",(1/DATOS_[[% anualiz]:[% anualiz]]),1)*IF(DATOS!AM$4="Sí",1/DATOS_[[% normaliz]:[% normaliz]],1)*(DATOS_[Conc.Sal.09])))))))),
0)</f>
        <v>0</v>
      </c>
      <c r="S104" s="101">
        <f t="array" ref="S104">IFERROR(
(AVERAGE((IF(DATOS_[[Sexo]:[Sexo]]=$B104,IF(DATOS_[[AGRUP. CLAS. PROF.]:[AGRUP. CLAS. PROF.]]=$B102,IF(DATOS_[[Check Periodo Ref.]:[Check Periodo Ref.]]="Dentro",IF(DATOS_[[Check Equiparado]:[Check Equiparado]]="Sí",IF(DATOS!AN$5="Sí",(1/DATOS_[[% anualiz]:[% anualiz]]),1)*IF(DATOS!AN$4="Sí",1/DATOS_[[% normaliz]:[% normaliz]],1)*(DATOS_[Conc.Sal.10])))))))),
0)</f>
        <v>0</v>
      </c>
      <c r="T104" s="101">
        <f t="array" ref="T104">IFERROR(
(AVERAGE((IF(DATOS_[[Sexo]:[Sexo]]=$B104,IF(DATOS_[[AGRUP. CLAS. PROF.]:[AGRUP. CLAS. PROF.]]=$B102,IF(DATOS_[[Check Periodo Ref.]:[Check Periodo Ref.]]="Dentro",IF(DATOS_[[Check Equiparado]:[Check Equiparado]]="Sí",IF(DATOS!AO$5="Sí",(1/DATOS_[[% anualiz]:[% anualiz]]),1)*IF(DATOS!AO$4="Sí",1/DATOS_[[% normaliz]:[% normaliz]],1)*(DATOS_[Conc.Sal.11])))))))),
0)</f>
        <v>0</v>
      </c>
      <c r="U104" s="101">
        <f t="array" ref="U104">IFERROR(
(AVERAGE((IF(DATOS_[[Sexo]:[Sexo]]=$B104,IF(DATOS_[[AGRUP. CLAS. PROF.]:[AGRUP. CLAS. PROF.]]=$B102,IF(DATOS_[[Check Periodo Ref.]:[Check Periodo Ref.]]="Dentro",IF(DATOS_[[Check Equiparado]:[Check Equiparado]]="Sí",IF(DATOS!AP$5="Sí",(1/DATOS_[[% anualiz]:[% anualiz]]),1)*IF(DATOS!AP$4="Sí",1/DATOS_[[% normaliz]:[% normaliz]],1)*(DATOS_[Conc.Sal.12])))))))),
0)</f>
        <v>0</v>
      </c>
      <c r="V104" s="101">
        <f t="array" ref="V104">IFERROR(
(AVERAGE((IF(DATOS_[[Sexo]:[Sexo]]=$B104,IF(DATOS_[[AGRUP. CLAS. PROF.]:[AGRUP. CLAS. PROF.]]=$B102,IF(DATOS_[[Check Periodo Ref.]:[Check Periodo Ref.]]="Dentro",IF(DATOS_[[Check Equiparado]:[Check Equiparado]]="Sí",IF(DATOS!AQ$5="Sí",(1/DATOS_[[% anualiz]:[% anualiz]]),1)*IF(DATOS!AQ$4="Sí",1/DATOS_[[% normaliz]:[% normaliz]],1)*(DATOS_[Conc.Sal.13])))))))),
0)</f>
        <v>0</v>
      </c>
      <c r="W104" s="101">
        <f t="array" ref="W104">IFERROR(
(AVERAGE((IF(DATOS_[[Sexo]:[Sexo]]=$B104,IF(DATOS_[[AGRUP. CLAS. PROF.]:[AGRUP. CLAS. PROF.]]=$B102,IF(DATOS_[[Check Periodo Ref.]:[Check Periodo Ref.]]="Dentro",IF(DATOS_[[Check Equiparado]:[Check Equiparado]]="Sí",IF(DATOS!AR$5="Sí",(1/DATOS_[[% anualiz]:[% anualiz]]),1)*IF(DATOS!AR$4="Sí",1/DATOS_[[% normaliz]:[% normaliz]],1)*(DATOS_[Conc.Sal.14])))))))),
0)</f>
        <v>0</v>
      </c>
      <c r="X104" s="101">
        <f t="array" ref="X104">IFERROR(
(AVERAGE((IF(DATOS_[[Sexo]:[Sexo]]=$B104,IF(DATOS_[[AGRUP. CLAS. PROF.]:[AGRUP. CLAS. PROF.]]=$B102,IF(DATOS_[[Check Periodo Ref.]:[Check Periodo Ref.]]="Dentro",IF(DATOS_[[Check Equiparado]:[Check Equiparado]]="Sí",IF(DATOS!AS$5="Sí",(1/DATOS_[[% anualiz]:[% anualiz]]),1)*IF(DATOS!AS$4="Sí",1/DATOS_[[% normaliz]:[% normaliz]],1)*(DATOS_[Conc.Sal.15])))))))),
0)</f>
        <v>0</v>
      </c>
      <c r="Y104" s="101">
        <f t="array" ref="Y104">IFERROR(
(AVERAGE((IF(DATOS_[[Sexo]:[Sexo]]=$B104,IF(DATOS_[[AGRUP. CLAS. PROF.]:[AGRUP. CLAS. PROF.]]=$B102,IF(DATOS_[[Check Periodo Ref.]:[Check Periodo Ref.]]="Dentro",IF(DATOS_[[Check Equiparado]:[Check Equiparado]]="Sí",IF(DATOS!AT$5="Sí",(1/DATOS_[[% anualiz]:[% anualiz]]),1)*IF(DATOS!AT$4="Sí",1/DATOS_[[% normaliz]:[% normaliz]],1)*(DATOS_[Conc.Sal.16])))))))),
0)</f>
        <v>0</v>
      </c>
      <c r="Z104" s="101">
        <f t="array" ref="Z104">IFERROR(
(AVERAGE((IF(DATOS_[[Sexo]:[Sexo]]=$B104,IF(DATOS_[[AGRUP. CLAS. PROF.]:[AGRUP. CLAS. PROF.]]=$B102,IF(DATOS_[[Check Periodo Ref.]:[Check Periodo Ref.]]="Dentro",IF(DATOS_[[Check Equiparado]:[Check Equiparado]]="Sí",IF(DATOS!AU$5="Sí",(1/DATOS_[[% anualiz]:[% anualiz]]),1)*IF(DATOS!AU$4="Sí",1/DATOS_[[% normaliz]:[% normaliz]],1)*(DATOS_[Conc.Sal.17])))))))),
0)</f>
        <v>0</v>
      </c>
      <c r="AA104" s="101">
        <f t="array" ref="AA104">IFERROR(
(AVERAGE((IF(DATOS_[[Sexo]:[Sexo]]=$B104,IF(DATOS_[[AGRUP. CLAS. PROF.]:[AGRUP. CLAS. PROF.]]=$B102,IF(DATOS_[[Check Periodo Ref.]:[Check Periodo Ref.]]="Dentro",IF(DATOS_[[Check Equiparado]:[Check Equiparado]]="Sí",IF(DATOS!AV$5="Sí",(1/DATOS_[[% anualiz]:[% anualiz]]),1)*IF(DATOS!AV$4="Sí",1/DATOS_[[% normaliz]:[% normaliz]],1)*(DATOS_[Conc.Sal.18])))))))),
0)</f>
        <v>0</v>
      </c>
      <c r="AB104" s="101">
        <f t="array" ref="AB104">IFERROR(
(AVERAGE((IF(DATOS_[[Sexo]:[Sexo]]=$B104,IF(DATOS_[[AGRUP. CLAS. PROF.]:[AGRUP. CLAS. PROF.]]=$B102,IF(DATOS_[[Check Periodo Ref.]:[Check Periodo Ref.]]="Dentro",IF(DATOS_[[Check Equiparado]:[Check Equiparado]]="Sí",IF(DATOS!AW$5="Sí",(1/DATOS_[[% anualiz]:[% anualiz]]),1)*IF(DATOS!AW$4="Sí",1/DATOS_[[% normaliz]:[% normaliz]],1)*(DATOS_[Conc.Sal.19])))))))),
0)</f>
        <v>0</v>
      </c>
      <c r="AC104" s="101">
        <f t="array" ref="AC104">IFERROR(
(AVERAGE((IF(DATOS_[[Sexo]:[Sexo]]=$B104,IF(DATOS_[[AGRUP. CLAS. PROF.]:[AGRUP. CLAS. PROF.]]=$B102,IF(DATOS_[[Check Periodo Ref.]:[Check Periodo Ref.]]="Dentro",IF(DATOS_[[Check Equiparado]:[Check Equiparado]]="Sí",IF(DATOS!AX$5="Sí",(1/DATOS_[[% anualiz]:[% anualiz]]),1)*IF(DATOS!AX$4="Sí",1/DATOS_[[% normaliz]:[% normaliz]],1)*(DATOS_[Conc.Sal.20])))))))),
0)</f>
        <v>0</v>
      </c>
      <c r="AD104" s="101">
        <f t="array" ref="AD104">IFERROR(
(AVERAGE((IF(DATOS_[[Sexo]:[Sexo]]=$B104,IF(DATOS_[[AGRUP. CLAS. PROF.]:[AGRUP. CLAS. PROF.]]=$B102,IF(DATOS_[[Check Periodo Ref.]:[Check Periodo Ref.]]="Dentro",IF(DATOS_[[Check Equiparado]:[Check Equiparado]]="Sí",IF(DATOS!AY$5="Sí",(1/DATOS_[[% anualiz]:[% anualiz]]),1)*IF(DATOS!AY$4="Sí",1/DATOS_[[% normaliz]:[% normaliz]],1)*(DATOS_[Conc.Sal.21])))))))),
0)</f>
        <v>0</v>
      </c>
      <c r="AE104" s="101">
        <f t="array" ref="AE104">IFERROR(
(AVERAGE((IF(DATOS_[[Sexo]:[Sexo]]=$B104,IF(DATOS_[[AGRUP. CLAS. PROF.]:[AGRUP. CLAS. PROF.]]=$B102,IF(DATOS_[[Check Periodo Ref.]:[Check Periodo Ref.]]="Dentro",IF(DATOS_[[Check Equiparado]:[Check Equiparado]]="Sí",IF(DATOS!AZ$5="Sí",(1/DATOS_[[% anualiz]:[% anualiz]]),1)*IF(DATOS!AZ$4="Sí",1/DATOS_[[% normaliz]:[% normaliz]],1)*(DATOS_[Conc.Sal.22])))))))),
0)</f>
        <v>0</v>
      </c>
      <c r="AF104" s="101">
        <f t="array" ref="AF104">IFERROR(
(AVERAGE((IF(DATOS_[[Sexo]:[Sexo]]=$B104,IF(DATOS_[[AGRUP. CLAS. PROF.]:[AGRUP. CLAS. PROF.]]=$B102,IF(DATOS_[[Check Periodo Ref.]:[Check Periodo Ref.]]="Dentro",IF(DATOS_[[Check Equiparado]:[Check Equiparado]]="Sí",IF(DATOS!BA$5="Sí",(1/DATOS_[[% anualiz]:[% anualiz]]),1)*IF(DATOS!BA$4="Sí",1/DATOS_[[% normaliz]:[% normaliz]],1)*(DATOS_[Conc.Sal.23])))))))),
0)</f>
        <v>0</v>
      </c>
      <c r="AG104" s="101">
        <f t="array" ref="AG104">IFERROR(
(AVERAGE((IF(DATOS_[[Sexo]:[Sexo]]=$B104,IF(DATOS_[[AGRUP. CLAS. PROF.]:[AGRUP. CLAS. PROF.]]=$B102,IF(DATOS_[[Check Periodo Ref.]:[Check Periodo Ref.]]="Dentro",IF(DATOS_[[Check Equiparado]:[Check Equiparado]]="Sí",IF(DATOS!BB$5="Sí",(1/DATOS_[[% anualiz]:[% anualiz]]),1)*IF(DATOS!BB$4="Sí",1/DATOS_[[% normaliz]:[% normaliz]],1)*(DATOS_[Conc.Sal.24])))))))),
0)</f>
        <v>0</v>
      </c>
      <c r="AH104" s="101">
        <f t="array" ref="AH104">IFERROR(
(AVERAGE((IF(DATOS_[[Sexo]:[Sexo]]=$B104,IF(DATOS_[[AGRUP. CLAS. PROF.]:[AGRUP. CLAS. PROF.]]=$B102,IF(DATOS_[[Check Periodo Ref.]:[Check Periodo Ref.]]="Dentro",IF(DATOS_[[Check Equiparado]:[Check Equiparado]]="Sí",IF(DATOS!BC$5="Sí",(1/DATOS_[[% anualiz]:[% anualiz]]),1)*IF(DATOS!BC$4="Sí",1/DATOS_[[% normaliz]:[% normaliz]],1)*(DATOS_[Conc.Sal.25])))))))),
0)</f>
        <v>0</v>
      </c>
      <c r="AI104" s="101">
        <f t="array" ref="AI104">IFERROR(
(AVERAGE((IF(DATOS_[[Sexo]:[Sexo]]=$B104,IF(DATOS_[[AGRUP. CLAS. PROF.]:[AGRUP. CLAS. PROF.]]=$B102,IF(DATOS_[[Check Periodo Ref.]:[Check Periodo Ref.]]="Dentro",IF(DATOS_[[Check Equiparado]:[Check Equiparado]]="Sí",IF(DATOS!BD$5="Sí",(1/DATOS_[[% anualiz]:[% anualiz]]),1)*IF(DATOS!BD$4="Sí",1/DATOS_[[% normaliz]:[% normaliz]],1)*(DATOS_[Conc.Sal.26])))))))),
0)</f>
        <v>0</v>
      </c>
      <c r="AJ104" s="101">
        <f t="array" ref="AJ104">IFERROR(
(AVERAGE((IF(DATOS_[[Sexo]:[Sexo]]=$B104,IF(DATOS_[[AGRUP. CLAS. PROF.]:[AGRUP. CLAS. PROF.]]=$B102,IF(DATOS_[[Check Periodo Ref.]:[Check Periodo Ref.]]="Dentro",IF(DATOS_[[Check Equiparado]:[Check Equiparado]]="Sí",IF(DATOS!BE$5="Sí",(1/DATOS_[[% anualiz]:[% anualiz]]),1)*IF(DATOS!BE$4="Sí",1/DATOS_[[% normaliz]:[% normaliz]],1)*(DATOS_[Conc.Sal.27])))))))),
0)</f>
        <v>0</v>
      </c>
      <c r="AK104" s="101">
        <f t="array" ref="AK104">IFERROR(
(AVERAGE((IF(DATOS_[[Sexo]:[Sexo]]=$B104,IF(DATOS_[[AGRUP. CLAS. PROF.]:[AGRUP. CLAS. PROF.]]=$B102,IF(DATOS_[[Check Periodo Ref.]:[Check Periodo Ref.]]="Dentro",IF(DATOS_[[Check Equiparado]:[Check Equiparado]]="Sí",IF(DATOS!BF$5="Sí",(1/DATOS_[[% anualiz]:[% anualiz]]),1)*IF(DATOS!BF$4="Sí",1/DATOS_[[% normaliz]:[% normaliz]],1)*(DATOS_[Conc.Sal.28])))))))),
0)</f>
        <v>0</v>
      </c>
      <c r="AL104" s="101">
        <f t="array" ref="AL104">IFERROR(
(AVERAGE((IF(DATOS_[[Sexo]:[Sexo]]=$B104,IF(DATOS_[[AGRUP. CLAS. PROF.]:[AGRUP. CLAS. PROF.]]=$B102,IF(DATOS_[[Check Periodo Ref.]:[Check Periodo Ref.]]="Dentro",IF(DATOS_[[Check Equiparado]:[Check Equiparado]]="Sí",IF(DATOS!BG$5="Sí",(1/DATOS_[[% anualiz]:[% anualiz]]),1)*IF(DATOS!BG$4="Sí",1/DATOS_[[% normaliz]:[% normaliz]],1)*(DATOS_[Conc.Sal.29])))))))),
0)</f>
        <v>0</v>
      </c>
      <c r="AM104" s="101">
        <f t="array" ref="AM104">IFERROR(
(AVERAGE((IF(DATOS_[[Sexo]:[Sexo]]=$B104,IF(DATOS_[[AGRUP. CLAS. PROF.]:[AGRUP. CLAS. PROF.]]=$B102,IF(DATOS_[[Check Periodo Ref.]:[Check Periodo Ref.]]="Dentro",IF(DATOS_[[Check Equiparado]:[Check Equiparado]]="Sí",IF(DATOS!BH$5="Sí",(1/DATOS_[[% anualiz]:[% anualiz]]),1)*IF(DATOS!BH$4="Sí",1/DATOS_[[% normaliz]:[% normaliz]],1)*(DATOS_[Conc.Sal.30])))))))),
0)</f>
        <v>0</v>
      </c>
      <c r="AN104" s="102">
        <f t="array" ref="AN104">IFERROR(
AVERAGE(IF(DATOS_[Sexo]=$B104,IF(DATOS_[[AGRUP. CLAS. PROF.]:[AGRUP. CLAS. PROF.]]=$B102,IF(DATOS_[Check Equiparado]="Sí",IF(DATOS_[Check Periodo Ref.]="Dentro",DATOS_[Tot COMPL.SAL Eq],FALSE))))),
0)</f>
        <v>0</v>
      </c>
      <c r="AO104" s="103">
        <f t="array" ref="AO104">IFERROR(
AVERAGE(IF(DATOS_[Sexo]=$B104,IF(DATOS_[[AGRUP. CLAS. PROF.]:[AGRUP. CLAS. PROF.]]=$B102,IF(DATOS_[Check Equiparado]="Sí",IF(DATOS_[Check Periodo Ref.]="Dentro",DATOS_[TOTAL SALARIO Eq],FALSE))))),
0)</f>
        <v>0</v>
      </c>
      <c r="AP104" s="104">
        <f t="array" ref="AP104">IFERROR(
(AVERAGE((IF(DATOS_[[Sexo]:[Sexo]]=$B104,IF(DATOS_[[AGRUP. CLAS. PROF.]:[AGRUP. CLAS. PROF.]]=$B102,IF(DATOS_[[Check Periodo Ref.]:[Check Periodo Ref.]]="Dentro",IF(DATOS_[[Check Equiparado]:[Check Equiparado]]="Sí",IF(DATOS!BI$5="Sí",(1/DATOS_[[% anualiz]:[% anualiz]]),1)*IF(DATOS!BI$4="Sí",1/DATOS_[[% normaliz]:[% normaliz]],1)*(DATOS_[C.Extra.01])))))))),
0)</f>
        <v>0</v>
      </c>
      <c r="AQ104" s="104">
        <f t="array" ref="AQ104">IFERROR(
(AVERAGE((IF(DATOS_[[Sexo]:[Sexo]]=$B104,IF(DATOS_[[AGRUP. CLAS. PROF.]:[AGRUP. CLAS. PROF.]]=$B102,IF(DATOS_[[Check Periodo Ref.]:[Check Periodo Ref.]]="Dentro",IF(DATOS_[[Check Equiparado]:[Check Equiparado]]="Sí",IF(DATOS!BJ$5="Sí",(1/DATOS_[[% anualiz]:[% anualiz]]),1)*IF(DATOS!BJ$4="Sí",1/DATOS_[[% normaliz]:[% normaliz]],1)*(DATOS_[C.Extra.02])))))))),
0)</f>
        <v>0</v>
      </c>
      <c r="AR104" s="104">
        <f t="array" ref="AR104">IFERROR(
(AVERAGE((IF(DATOS_[[Sexo]:[Sexo]]=$B104,IF(DATOS_[[AGRUP. CLAS. PROF.]:[AGRUP. CLAS. PROF.]]=$B102,IF(DATOS_[[Check Periodo Ref.]:[Check Periodo Ref.]]="Dentro",IF(DATOS_[[Check Equiparado]:[Check Equiparado]]="Sí",IF(DATOS!BK$5="Sí",(1/DATOS_[[% anualiz]:[% anualiz]]),1)*IF(DATOS!BK$4="Sí",1/DATOS_[[% normaliz]:[% normaliz]],1)*(DATOS_[C.Extra.03])))))))),
0)</f>
        <v>0</v>
      </c>
      <c r="AS104" s="104">
        <f t="array" ref="AS104">IFERROR(
(AVERAGE((IF(DATOS_[[Sexo]:[Sexo]]=$B104,IF(DATOS_[[AGRUP. CLAS. PROF.]:[AGRUP. CLAS. PROF.]]=$B102,IF(DATOS_[[Check Periodo Ref.]:[Check Periodo Ref.]]="Dentro",IF(DATOS_[[Check Equiparado]:[Check Equiparado]]="Sí",IF(DATOS!BL$5="Sí",(1/DATOS_[[% anualiz]:[% anualiz]]),1)*IF(DATOS!BL$4="Sí",1/DATOS_[[% normaliz]:[% normaliz]],1)*(DATOS_[C.Extra.04])))))))),
0)</f>
        <v>0</v>
      </c>
      <c r="AT104" s="104">
        <f t="array" ref="AT104">IFERROR(
(AVERAGE((IF(DATOS_[[Sexo]:[Sexo]]=$B104,IF(DATOS_[[AGRUP. CLAS. PROF.]:[AGRUP. CLAS. PROF.]]=$B102,IF(DATOS_[[Check Periodo Ref.]:[Check Periodo Ref.]]="Dentro",IF(DATOS_[[Check Equiparado]:[Check Equiparado]]="Sí",IF(DATOS!BM$5="Sí",(1/DATOS_[[% anualiz]:[% anualiz]]),1)*IF(DATOS!BM$4="Sí",1/DATOS_[[% normaliz]:[% normaliz]],1)*(DATOS_[C.Extra.05])))))))),
0)</f>
        <v>0</v>
      </c>
      <c r="AU104" s="105">
        <f t="array" ref="AU104">IFERROR(
AVERAGE(IF(DATOS_[Sexo]=$B104,IF(DATOS_[[AGRUP. CLAS. PROF.]:[AGRUP. CLAS. PROF.]]=$B102,IF(DATOS_[Check Equiparado]="Sí",IF(DATOS_[Check Periodo Ref.]="Dentro",DATOS_[Tot Extrasalarial Eq],FALSE))))),
0)</f>
        <v>0</v>
      </c>
      <c r="AV104" s="106">
        <f t="array" ref="AV104">IFERROR(
AVERAGE(IF(DATOS_[Sexo]=$B104,IF(DATOS_[[AGRUP. CLAS. PROF.]:[AGRUP. CLAS. PROF.]]=$B102,IF(DATOS_[Check Equiparado]="Sí",IF(DATOS_[Check Periodo Ref.]="Dentro",DATOS_[TOTAL Retrib Eq],FALSE))))),
0)</f>
        <v>0</v>
      </c>
    </row>
  </sheetData>
  <sheetProtection algorithmName="SHA-512" hashValue="auqvPvjY3053CgY3CrkQNs3yoU7/inlI4nN7HYXe2lezOt++09HLvXeZ/nmYWy/Tx6HgtD/OiSCFFm65Rutj0A==" saltValue="NZBb+WtJFy7DMUWoWnSnIg==" spinCount="100000" sheet="1" objects="1" scenarios="1"/>
  <dataConsolidate/>
  <mergeCells count="1">
    <mergeCell ref="AW1:AW11"/>
  </mergeCells>
  <pageMargins left="0.25" right="0.25" top="0.75" bottom="0.75" header="0.3" footer="0.3"/>
  <pageSetup paperSize="9" scale="74"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59999389629810485"/>
    <pageSetUpPr fitToPage="1"/>
  </sheetPr>
  <dimension ref="A1:AY104"/>
  <sheetViews>
    <sheetView showGridLines="0" topLeftCell="N1" zoomScaleNormal="100" workbookViewId="0">
      <selection activeCell="AW1" sqref="AW1:AW11"/>
    </sheetView>
  </sheetViews>
  <sheetFormatPr baseColWidth="10" defaultColWidth="7.28515625" defaultRowHeight="16.5" outlineLevelCol="1" x14ac:dyDescent="0.3"/>
  <cols>
    <col min="1" max="1" width="2.85546875" style="42" customWidth="1"/>
    <col min="2" max="2" width="8.85546875" style="42" customWidth="1"/>
    <col min="3" max="7" width="7.28515625" style="42" customWidth="1"/>
    <col min="8" max="8" width="7.28515625" style="42"/>
    <col min="9" max="9" width="10.42578125" style="42" customWidth="1"/>
    <col min="10" max="12" width="7.42578125" style="42" bestFit="1" customWidth="1"/>
    <col min="13" max="13" width="7.5703125" style="42" bestFit="1" customWidth="1"/>
    <col min="14" max="16" width="7.28515625" style="42"/>
    <col min="17" max="17" width="7.28515625" style="42" customWidth="1"/>
    <col min="18" max="19" width="7.28515625" style="42" hidden="1" customWidth="1"/>
    <col min="20" max="39" width="7.28515625" style="42" hidden="1" customWidth="1" outlineLevel="1"/>
    <col min="40" max="40" width="8.85546875" style="42" customWidth="1" collapsed="1"/>
    <col min="41" max="41" width="8.85546875" style="42" customWidth="1"/>
    <col min="42" max="42" width="9" style="42" bestFit="1" customWidth="1"/>
    <col min="43" max="45" width="7.28515625" style="42" customWidth="1"/>
    <col min="46" max="46" width="7.28515625" style="42" hidden="1" customWidth="1"/>
    <col min="47" max="48" width="8.85546875" style="42" customWidth="1"/>
    <col min="49" max="49" width="16.7109375" style="42" customWidth="1"/>
    <col min="50" max="16384" width="7.28515625" style="42"/>
  </cols>
  <sheetData>
    <row r="1" spans="1:51" s="53" customFormat="1" ht="42.6" customHeight="1" x14ac:dyDescent="0.3">
      <c r="E1" s="237" t="s">
        <v>371</v>
      </c>
      <c r="AW1" s="344" t="str">
        <f>+IFERROR(IF(OR(((AV10-AV11)/AV11)&gt;=25%,((AV11-AV10)/AV10)&gt;=25%),AY1,""),"")</f>
        <v>Recuerde: Cuando la media aritmética o la mediana de las retribuciones totales en la empresa de las personas trabajadoras de un sexo sea superior a las del otro en, al menos un 25%, se deberá incluir la justificación a la que se refiere el art. 28.3 del ET.</v>
      </c>
      <c r="AX1" s="305"/>
      <c r="AY1" s="332" t="s">
        <v>445</v>
      </c>
    </row>
    <row r="2" spans="1:51" ht="13.9" customHeight="1" x14ac:dyDescent="0.3">
      <c r="K2" s="42" t="str">
        <f>+IF(K8="[ocultar]",K8,"")</f>
        <v/>
      </c>
      <c r="L2" s="42" t="str">
        <f t="shared" ref="L2:AT2" si="0">+IF(L8="[ocultar]",L8,"")</f>
        <v/>
      </c>
      <c r="M2" s="42" t="str">
        <f t="shared" si="0"/>
        <v/>
      </c>
      <c r="N2" s="42" t="str">
        <f t="shared" si="0"/>
        <v/>
      </c>
      <c r="O2" s="42" t="str">
        <f t="shared" si="0"/>
        <v/>
      </c>
      <c r="P2" s="42" t="str">
        <f t="shared" si="0"/>
        <v/>
      </c>
      <c r="Q2" s="42" t="str">
        <f t="shared" si="0"/>
        <v/>
      </c>
      <c r="R2" s="42" t="str">
        <f t="shared" si="0"/>
        <v>[ocultar]</v>
      </c>
      <c r="S2" s="42" t="str">
        <f t="shared" si="0"/>
        <v>[ocultar]</v>
      </c>
      <c r="T2" s="42" t="str">
        <f t="shared" si="0"/>
        <v>[ocultar]</v>
      </c>
      <c r="U2" s="42" t="str">
        <f t="shared" si="0"/>
        <v>[ocultar]</v>
      </c>
      <c r="V2" s="42" t="str">
        <f t="shared" si="0"/>
        <v>[ocultar]</v>
      </c>
      <c r="W2" s="42" t="str">
        <f t="shared" si="0"/>
        <v>[ocultar]</v>
      </c>
      <c r="X2" s="42" t="str">
        <f t="shared" si="0"/>
        <v>[ocultar]</v>
      </c>
      <c r="Y2" s="42" t="str">
        <f t="shared" si="0"/>
        <v>[ocultar]</v>
      </c>
      <c r="Z2" s="42" t="str">
        <f t="shared" si="0"/>
        <v>[ocultar]</v>
      </c>
      <c r="AA2" s="42" t="str">
        <f t="shared" si="0"/>
        <v>[ocultar]</v>
      </c>
      <c r="AB2" s="42" t="str">
        <f t="shared" si="0"/>
        <v>[ocultar]</v>
      </c>
      <c r="AC2" s="42" t="str">
        <f t="shared" si="0"/>
        <v>[ocultar]</v>
      </c>
      <c r="AD2" s="42" t="str">
        <f t="shared" si="0"/>
        <v>[ocultar]</v>
      </c>
      <c r="AE2" s="42" t="str">
        <f t="shared" si="0"/>
        <v>[ocultar]</v>
      </c>
      <c r="AF2" s="42" t="str">
        <f t="shared" si="0"/>
        <v>[ocultar]</v>
      </c>
      <c r="AG2" s="42" t="str">
        <f t="shared" si="0"/>
        <v>[ocultar]</v>
      </c>
      <c r="AH2" s="42" t="str">
        <f t="shared" si="0"/>
        <v>[ocultar]</v>
      </c>
      <c r="AI2" s="42" t="str">
        <f t="shared" si="0"/>
        <v>[ocultar]</v>
      </c>
      <c r="AJ2" s="42" t="str">
        <f t="shared" si="0"/>
        <v>[ocultar]</v>
      </c>
      <c r="AK2" s="42" t="str">
        <f t="shared" si="0"/>
        <v>[ocultar]</v>
      </c>
      <c r="AL2" s="42" t="str">
        <f t="shared" si="0"/>
        <v>[ocultar]</v>
      </c>
      <c r="AM2" s="42" t="str">
        <f t="shared" si="0"/>
        <v>[ocultar]</v>
      </c>
      <c r="AN2" s="42" t="str">
        <f t="shared" si="0"/>
        <v/>
      </c>
      <c r="AO2" s="42" t="str">
        <f t="shared" si="0"/>
        <v/>
      </c>
      <c r="AP2" s="42" t="str">
        <f t="shared" si="0"/>
        <v/>
      </c>
      <c r="AQ2" s="42" t="str">
        <f t="shared" si="0"/>
        <v/>
      </c>
      <c r="AR2" s="42" t="str">
        <f t="shared" si="0"/>
        <v/>
      </c>
      <c r="AS2" s="42" t="str">
        <f t="shared" si="0"/>
        <v/>
      </c>
      <c r="AT2" s="42" t="str">
        <f t="shared" si="0"/>
        <v>[ocultar]</v>
      </c>
      <c r="AW2" s="344"/>
      <c r="AX2" s="305"/>
      <c r="AY2" s="305"/>
    </row>
    <row r="3" spans="1:51" ht="13.9" customHeight="1" x14ac:dyDescent="0.3">
      <c r="I3" s="171" t="str">
        <f>+"Razón Social: "&amp;Inicio!C6&amp;"  -  NIF: "&amp;Inicio!C8</f>
        <v>Razón Social: Empresa Ejemplo Ficticio 3  -  NIF: B55512345</v>
      </c>
      <c r="J3" s="172"/>
      <c r="AW3" s="344"/>
      <c r="AX3" s="305"/>
      <c r="AY3" s="305"/>
    </row>
    <row r="4" spans="1:51" ht="13.9" customHeight="1" x14ac:dyDescent="0.3">
      <c r="I4" s="173" t="s">
        <v>97</v>
      </c>
      <c r="J4" s="174"/>
      <c r="AW4" s="344"/>
      <c r="AX4" s="305"/>
      <c r="AY4" s="305"/>
    </row>
    <row r="5" spans="1:51" ht="13.9" customHeight="1" x14ac:dyDescent="0.3">
      <c r="I5" s="175">
        <f>+Inicio!E10</f>
        <v>45292</v>
      </c>
      <c r="J5" s="176" t="str">
        <f>+Inicio!D10</f>
        <v>fecha inicio</v>
      </c>
      <c r="AW5" s="344"/>
      <c r="AX5" s="305"/>
      <c r="AY5" s="305"/>
    </row>
    <row r="6" spans="1:51" ht="13.9" customHeight="1" x14ac:dyDescent="0.3">
      <c r="I6" s="175">
        <f>+Inicio!G10</f>
        <v>45657</v>
      </c>
      <c r="J6" s="176" t="s">
        <v>94</v>
      </c>
      <c r="AW6" s="344"/>
      <c r="AX6" s="305"/>
      <c r="AY6" s="305"/>
    </row>
    <row r="7" spans="1:51" s="118" customFormat="1" ht="13.9" customHeight="1" x14ac:dyDescent="0.25">
      <c r="AW7" s="344"/>
      <c r="AX7" s="307"/>
      <c r="AY7" s="307"/>
    </row>
    <row r="8" spans="1:51" s="85" customFormat="1" ht="46.15" customHeight="1" x14ac:dyDescent="0.25">
      <c r="B8" s="78"/>
      <c r="C8" s="54" t="s">
        <v>225</v>
      </c>
      <c r="D8" s="54" t="s">
        <v>220</v>
      </c>
      <c r="E8" s="54" t="s">
        <v>293</v>
      </c>
      <c r="F8" s="54" t="s">
        <v>291</v>
      </c>
      <c r="G8" s="54" t="s">
        <v>292</v>
      </c>
      <c r="H8" s="54" t="s">
        <v>224</v>
      </c>
      <c r="I8" s="145" t="s">
        <v>217</v>
      </c>
      <c r="J8" s="79" t="str">
        <f>+IF(DATOS!AE6="","[ocultar]",DATOS!AE6)</f>
        <v>MejVol</v>
      </c>
      <c r="K8" s="79" t="str">
        <f>+IF(DATOS!AF6="","[ocultar]",DATOS!AF6)</f>
        <v>Antig.</v>
      </c>
      <c r="L8" s="79" t="str">
        <f>+IF(DATOS!AG6="","[ocultar]",DATOS!AG6)</f>
        <v>Transporte</v>
      </c>
      <c r="M8" s="79" t="str">
        <f>+IF(DATOS!AH6="","[ocultar]",DATOS!AH6)</f>
        <v>Ventas</v>
      </c>
      <c r="N8" s="79" t="str">
        <f>+IF(DATOS!AI6="","[ocultar]",DATOS!AI6)</f>
        <v>Bonus</v>
      </c>
      <c r="O8" s="79" t="str">
        <f>+IF(DATOS!AJ6="","[ocultar]",DATOS!AJ6)</f>
        <v>Coche</v>
      </c>
      <c r="P8" s="79" t="str">
        <f>+IF(DATOS!AK6="","[ocultar]",DATOS!AK6)</f>
        <v>Cesta</v>
      </c>
      <c r="Q8" s="79" t="str">
        <f>+IF(DATOS!AL6="","[ocultar]",DATOS!AL6)</f>
        <v>Nocturnidad</v>
      </c>
      <c r="R8" s="79" t="str">
        <f>+IF(DATOS!AM6="","[ocultar]",DATOS!AM6)</f>
        <v>[ocultar]</v>
      </c>
      <c r="S8" s="79" t="str">
        <f>+IF(DATOS!AN6="","[ocultar]",DATOS!AN6)</f>
        <v>[ocultar]</v>
      </c>
      <c r="T8" s="79" t="str">
        <f>+IF(DATOS!AO6="","[ocultar]",DATOS!AO6)</f>
        <v>[ocultar]</v>
      </c>
      <c r="U8" s="79" t="str">
        <f>+IF(DATOS!AP6="","[ocultar]",DATOS!AP6)</f>
        <v>[ocultar]</v>
      </c>
      <c r="V8" s="79" t="str">
        <f>+IF(DATOS!AQ6="","[ocultar]",DATOS!AQ6)</f>
        <v>[ocultar]</v>
      </c>
      <c r="W8" s="79" t="str">
        <f>+IF(DATOS!AR6="","[ocultar]",DATOS!AR6)</f>
        <v>[ocultar]</v>
      </c>
      <c r="X8" s="79" t="str">
        <f>+IF(DATOS!AS6="","[ocultar]",DATOS!AS6)</f>
        <v>[ocultar]</v>
      </c>
      <c r="Y8" s="79" t="str">
        <f>+IF(DATOS!AT6="","[ocultar]",DATOS!AT6)</f>
        <v>[ocultar]</v>
      </c>
      <c r="Z8" s="79" t="str">
        <f>+IF(DATOS!AU6="","[ocultar]",DATOS!AU6)</f>
        <v>[ocultar]</v>
      </c>
      <c r="AA8" s="79" t="str">
        <f>+IF(DATOS!AV6="","[ocultar]",DATOS!AV6)</f>
        <v>[ocultar]</v>
      </c>
      <c r="AB8" s="79" t="str">
        <f>+IF(DATOS!AW6="","[ocultar]",DATOS!AW6)</f>
        <v>[ocultar]</v>
      </c>
      <c r="AC8" s="79" t="str">
        <f>+IF(DATOS!AX6="","[ocultar]",DATOS!AX6)</f>
        <v>[ocultar]</v>
      </c>
      <c r="AD8" s="79" t="str">
        <f>+IF(DATOS!AY6="","[ocultar]",DATOS!AY6)</f>
        <v>[ocultar]</v>
      </c>
      <c r="AE8" s="79" t="str">
        <f>+IF(DATOS!AZ6="","[ocultar]",DATOS!AZ6)</f>
        <v>[ocultar]</v>
      </c>
      <c r="AF8" s="79" t="str">
        <f>+IF(DATOS!BA6="","[ocultar]",DATOS!BA6)</f>
        <v>[ocultar]</v>
      </c>
      <c r="AG8" s="79" t="str">
        <f>+IF(DATOS!BB6="","[ocultar]",DATOS!BB6)</f>
        <v>[ocultar]</v>
      </c>
      <c r="AH8" s="79" t="str">
        <f>+IF(DATOS!BC6="","[ocultar]",DATOS!BC6)</f>
        <v>[ocultar]</v>
      </c>
      <c r="AI8" s="79" t="str">
        <f>+IF(DATOS!BD6="","[ocultar]",DATOS!BD6)</f>
        <v>[ocultar]</v>
      </c>
      <c r="AJ8" s="79" t="str">
        <f>+IF(DATOS!BE6="","[ocultar]",DATOS!BE6)</f>
        <v>[ocultar]</v>
      </c>
      <c r="AK8" s="79" t="str">
        <f>+IF(DATOS!BF6="","[ocultar]",DATOS!BF6)</f>
        <v>[ocultar]</v>
      </c>
      <c r="AL8" s="79" t="str">
        <f>+IF(DATOS!BG6="","[ocultar]",DATOS!BG6)</f>
        <v>[ocultar]</v>
      </c>
      <c r="AM8" s="79" t="str">
        <f>+IF(DATOS!BH6="","[ocultar]",DATOS!BH6)</f>
        <v>[ocultar]</v>
      </c>
      <c r="AN8" s="80" t="s">
        <v>218</v>
      </c>
      <c r="AO8" s="81" t="s">
        <v>211</v>
      </c>
      <c r="AP8" s="82" t="str">
        <f>+IF(DATOS!BI6="","[ocultar]",DATOS!BI6)</f>
        <v>Dietas</v>
      </c>
      <c r="AQ8" s="82" t="str">
        <f>+IF(DATOS!BJ6="","[ocultar]",DATOS!BJ6)</f>
        <v>Indem</v>
      </c>
      <c r="AR8" s="82" t="str">
        <f>+IF(DATOS!BK6="","[ocultar]",DATOS!BK6)</f>
        <v>ERTE</v>
      </c>
      <c r="AS8" s="82" t="str">
        <f>+IF(DATOS!BL6="","[ocultar]",DATOS!BL6)</f>
        <v>IT</v>
      </c>
      <c r="AT8" s="82" t="str">
        <f>+IF(DATOS!BM6="","[ocultar]",DATOS!BM6)</f>
        <v>[ocultar]</v>
      </c>
      <c r="AU8" s="83" t="s">
        <v>219</v>
      </c>
      <c r="AV8" s="84" t="s">
        <v>212</v>
      </c>
      <c r="AW8" s="344"/>
      <c r="AX8" s="308"/>
      <c r="AY8" s="308"/>
    </row>
    <row r="9" spans="1:51" ht="17.25" thickBot="1" x14ac:dyDescent="0.35">
      <c r="B9" s="90" t="s">
        <v>247</v>
      </c>
      <c r="C9" s="109"/>
      <c r="D9" s="41"/>
      <c r="E9" s="41"/>
      <c r="F9" s="41"/>
      <c r="G9" s="41"/>
      <c r="H9" s="41"/>
      <c r="I9" s="119">
        <f t="shared" ref="I9" si="1">IFERROR((I10-I11)/I10,"")</f>
        <v>0.15985446663570213</v>
      </c>
      <c r="J9" s="120">
        <f>IFERROR((J10-J11)/J10,"")</f>
        <v>0.89944580297128263</v>
      </c>
      <c r="K9" s="121">
        <f t="shared" ref="K9:AV9" si="2">IFERROR((K10-K11)/K10,"")</f>
        <v>0.1598544666357021</v>
      </c>
      <c r="L9" s="121" t="str">
        <f t="shared" si="2"/>
        <v/>
      </c>
      <c r="M9" s="121" t="str">
        <f t="shared" si="2"/>
        <v/>
      </c>
      <c r="N9" s="122" t="str">
        <f t="shared" si="2"/>
        <v/>
      </c>
      <c r="O9" s="123" t="str">
        <f t="shared" si="2"/>
        <v/>
      </c>
      <c r="P9" s="123">
        <f t="shared" si="2"/>
        <v>0</v>
      </c>
      <c r="Q9" s="123" t="str">
        <f t="shared" si="2"/>
        <v/>
      </c>
      <c r="R9" s="123" t="str">
        <f t="shared" si="2"/>
        <v/>
      </c>
      <c r="S9" s="123" t="str">
        <f t="shared" si="2"/>
        <v/>
      </c>
      <c r="T9" s="123" t="str">
        <f t="shared" si="2"/>
        <v/>
      </c>
      <c r="U9" s="123" t="str">
        <f t="shared" si="2"/>
        <v/>
      </c>
      <c r="V9" s="123" t="str">
        <f t="shared" si="2"/>
        <v/>
      </c>
      <c r="W9" s="123" t="str">
        <f t="shared" si="2"/>
        <v/>
      </c>
      <c r="X9" s="123" t="str">
        <f t="shared" si="2"/>
        <v/>
      </c>
      <c r="Y9" s="123" t="str">
        <f t="shared" si="2"/>
        <v/>
      </c>
      <c r="Z9" s="122" t="str">
        <f t="shared" si="2"/>
        <v/>
      </c>
      <c r="AA9" s="122" t="str">
        <f t="shared" si="2"/>
        <v/>
      </c>
      <c r="AB9" s="122" t="str">
        <f t="shared" si="2"/>
        <v/>
      </c>
      <c r="AC9" s="122" t="str">
        <f t="shared" si="2"/>
        <v/>
      </c>
      <c r="AD9" s="122" t="str">
        <f t="shared" si="2"/>
        <v/>
      </c>
      <c r="AE9" s="122" t="str">
        <f t="shared" si="2"/>
        <v/>
      </c>
      <c r="AF9" s="122" t="str">
        <f t="shared" si="2"/>
        <v/>
      </c>
      <c r="AG9" s="122" t="str">
        <f t="shared" si="2"/>
        <v/>
      </c>
      <c r="AH9" s="122" t="str">
        <f t="shared" si="2"/>
        <v/>
      </c>
      <c r="AI9" s="122" t="str">
        <f t="shared" si="2"/>
        <v/>
      </c>
      <c r="AJ9" s="122" t="str">
        <f t="shared" si="2"/>
        <v/>
      </c>
      <c r="AK9" s="122" t="str">
        <f t="shared" si="2"/>
        <v/>
      </c>
      <c r="AL9" s="122" t="str">
        <f t="shared" si="2"/>
        <v/>
      </c>
      <c r="AM9" s="122" t="str">
        <f t="shared" si="2"/>
        <v/>
      </c>
      <c r="AN9" s="124">
        <f t="shared" si="2"/>
        <v>0.59073491221981556</v>
      </c>
      <c r="AO9" s="128">
        <f t="shared" si="2"/>
        <v>0.25593564058701967</v>
      </c>
      <c r="AP9" s="125" t="str">
        <f t="shared" si="2"/>
        <v/>
      </c>
      <c r="AQ9" s="125" t="str">
        <f t="shared" si="2"/>
        <v/>
      </c>
      <c r="AR9" s="125" t="str">
        <f t="shared" si="2"/>
        <v/>
      </c>
      <c r="AS9" s="125" t="str">
        <f t="shared" si="2"/>
        <v/>
      </c>
      <c r="AT9" s="125" t="str">
        <f t="shared" si="2"/>
        <v/>
      </c>
      <c r="AU9" s="126" t="str">
        <f t="shared" si="2"/>
        <v/>
      </c>
      <c r="AV9" s="127">
        <f t="shared" si="2"/>
        <v>0.26047178076975003</v>
      </c>
      <c r="AW9" s="344"/>
      <c r="AX9" s="309"/>
      <c r="AY9" s="309"/>
    </row>
    <row r="10" spans="1:51" x14ac:dyDescent="0.3">
      <c r="B10" s="86" t="s">
        <v>162</v>
      </c>
      <c r="C10" s="33">
        <f t="array" ref="C10">SUM(IF($B10=DATOS_[Sexo],
IF("Dentro"=DATOS_[Check Periodo Ref.],
1/(COUNTIFS(DATOS_[Sexo],$B10,DATOS_[Check Periodo Ref.],"Dentro",DATOS_[id],DATOS_[id])))))</f>
        <v>102</v>
      </c>
      <c r="D10" s="35">
        <f>COUNTIFS(DATOS_[AGRUP. CLAS. PROF.],"&lt;&gt;",DATOS_[Sexo],$B10,DATOS_[Check Periodo Ref.],"Dentro")</f>
        <v>110</v>
      </c>
      <c r="E10" s="35">
        <f>COUNTIFS(DATOS_[AGRUP. CLAS. PROF.],"&lt;&gt;",DATOS_[Sexo],$B10,DATOS_[Check Periodo Ref.],"Dentro",DATOS_[Check Nº SC Norm],"Sí")</f>
        <v>9</v>
      </c>
      <c r="F10" s="35">
        <f>COUNTIFS(DATOS_[AGRUP. CLAS. PROF.],"&lt;&gt;",DATOS_[Sexo],$B10,DATOS_[Check Periodo Ref.],"Dentro",DATOS_[Check Nº SC Anualiz],"Sí")</f>
        <v>12</v>
      </c>
      <c r="G10" s="35">
        <f>COUNTIFS(DATOS_[AGRUP. CLAS. PROF.],"&lt;&gt;",DATOS_[Sexo],$B10,DATOS_[Check Periodo Ref.],"Dentro",DATOS_[Check Nº SC Norm y Anualiz],"Sí")</f>
        <v>1</v>
      </c>
      <c r="H10" s="35">
        <f>COUNTIFS(DATOS_[AGRUP. CLAS. PROF.],"&lt;&gt;",DATOS_[Sexo],$B10,DATOS_[Check Periodo Ref.],"Dentro",DATOS_[Check Equiparación],"Sí")</f>
        <v>22</v>
      </c>
      <c r="I10" s="110">
        <f t="array" ref="I10">IFERROR(
MEDIAN(IF(DATOS_[Sexo]=$B10,IF(DATOS_[Check Equiparado]="Sí",IF(DATOS_[Check Periodo Ref.]="Dentro",DATOS_[SALARIO BASE Eq],FALSE)))),
0)</f>
        <v>15372.42</v>
      </c>
      <c r="J10" s="111">
        <f t="array" ref="J10">IFERROR(
(MEDIAN((IF(DATOS_[[Sexo]:[Sexo]]=$B10,IF(DATOS_[[Check Periodo Ref.]:[Check Periodo Ref.]]="Dentro",IF(DATOS_[[Check Equiparado]:[Check Equiparado]]="Sí",IF(DATOS!AE$5="Sí",(1/DATOS_[[% anualiz]:[% anualiz]]),1)*IF(DATOS!AE$4="Sí",1/DATOS_[[% normaliz]:[% normaliz]],1)*(DATOS_[Conc.Sal.01]))))))),
0)</f>
        <v>1627.58</v>
      </c>
      <c r="K10" s="111">
        <f t="array" ref="K10">IFERROR(
(MEDIAN((IF(DATOS_[[Sexo]:[Sexo]]=$B10,IF(DATOS_[[Check Periodo Ref.]:[Check Periodo Ref.]]="Dentro",IF(DATOS_[[Check Equiparado]:[Check Equiparado]]="Sí",IF(DATOS!AF$5="Sí",(1/DATOS_[[% anualiz]:[% anualiz]]),1)*IF(DATOS!AF$4="Sí",1/DATOS_[[% normaliz]:[% normaliz]],1)*(DATOS_[Conc.Sal.02]))))))),
0)</f>
        <v>614.89679999999998</v>
      </c>
      <c r="L10" s="111">
        <f t="array" ref="L10">IFERROR(
(MEDIAN((IF(DATOS_[[Sexo]:[Sexo]]=$B10,IF(DATOS_[[Check Periodo Ref.]:[Check Periodo Ref.]]="Dentro",IF(DATOS_[[Check Equiparado]:[Check Equiparado]]="Sí",IF(DATOS!AG$5="Sí",(1/DATOS_[[% anualiz]:[% anualiz]]),1)*IF(DATOS!AG$4="Sí",1/DATOS_[[% normaliz]:[% normaliz]],1)*(DATOS_[Conc.Sal.03]))))))),
0)</f>
        <v>0</v>
      </c>
      <c r="M10" s="111">
        <f t="array" ref="M10">IFERROR(
(MEDIAN((IF(DATOS_[[Sexo]:[Sexo]]=$B10,IF(DATOS_[[Check Periodo Ref.]:[Check Periodo Ref.]]="Dentro",IF(DATOS_[[Check Equiparado]:[Check Equiparado]]="Sí",IF(DATOS!AH$5="Sí",(1/DATOS_[[% anualiz]:[% anualiz]]),1)*IF(DATOS!AH$4="Sí",1/DATOS_[[% normaliz]:[% normaliz]],1)*(DATOS_[Conc.Sal.04]))))))),
0)</f>
        <v>0</v>
      </c>
      <c r="N10" s="111">
        <f t="array" ref="N10">IFERROR(
(MEDIAN((IF(DATOS_[[Sexo]:[Sexo]]=$B10,IF(DATOS_[[Check Periodo Ref.]:[Check Periodo Ref.]]="Dentro",IF(DATOS_[[Check Equiparado]:[Check Equiparado]]="Sí",IF(DATOS!AI$5="Sí",(1/DATOS_[[% anualiz]:[% anualiz]]),1)*IF(DATOS!AI$4="Sí",1/DATOS_[[% normaliz]:[% normaliz]],1)*(DATOS_[Conc.Sal.05]))))))),
0)</f>
        <v>0</v>
      </c>
      <c r="O10" s="111">
        <f t="array" ref="O10">IFERROR(
(MEDIAN((IF(DATOS_[[Sexo]:[Sexo]]=$B10,IF(DATOS_[[Check Periodo Ref.]:[Check Periodo Ref.]]="Dentro",IF(DATOS_[[Check Equiparado]:[Check Equiparado]]="Sí",IF(DATOS!AJ$5="Sí",(1/DATOS_[[% anualiz]:[% anualiz]]),1)*IF(DATOS!AJ$4="Sí",1/DATOS_[[% normaliz]:[% normaliz]],1)*(DATOS_[Conc.Sal.06]))))))),
0)</f>
        <v>0</v>
      </c>
      <c r="P10" s="111">
        <f t="array" ref="P10">IFERROR(
(MEDIAN((IF(DATOS_[[Sexo]:[Sexo]]=$B10,IF(DATOS_[[Check Periodo Ref.]:[Check Periodo Ref.]]="Dentro",IF(DATOS_[[Check Equiparado]:[Check Equiparado]]="Sí",IF(DATOS!AK$5="Sí",(1/DATOS_[[% anualiz]:[% anualiz]]),1)*IF(DATOS!AK$4="Sí",1/DATOS_[[% normaliz]:[% normaliz]],1)*(DATOS_[Conc.Sal.07]))))))),
0)</f>
        <v>80</v>
      </c>
      <c r="Q10" s="111">
        <f t="array" ref="Q10">IFERROR(
(MEDIAN((IF(DATOS_[[Sexo]:[Sexo]]=$B10,IF(DATOS_[[Check Periodo Ref.]:[Check Periodo Ref.]]="Dentro",IF(DATOS_[[Check Equiparado]:[Check Equiparado]]="Sí",IF(DATOS!AL$5="Sí",(1/DATOS_[[% anualiz]:[% anualiz]]),1)*IF(DATOS!AL$4="Sí",1/DATOS_[[% normaliz]:[% normaliz]],1)*(DATOS_[Conc.Sal.08]))))))),
0)</f>
        <v>0</v>
      </c>
      <c r="R10" s="111">
        <f t="array" ref="R10">IFERROR(
(MEDIAN((IF(DATOS_[[Sexo]:[Sexo]]=$B10,IF(DATOS_[[Check Periodo Ref.]:[Check Periodo Ref.]]="Dentro",IF(DATOS_[[Check Equiparado]:[Check Equiparado]]="Sí",IF(DATOS!AM$5="Sí",(1/DATOS_[[% anualiz]:[% anualiz]]),1)*IF(DATOS!AM$4="Sí",1/DATOS_[[% normaliz]:[% normaliz]],1)*(DATOS_[Conc.Sal.09]))))))),
0)</f>
        <v>0</v>
      </c>
      <c r="S10" s="111">
        <f t="array" ref="S10">IFERROR(
(MEDIAN((IF(DATOS_[[Sexo]:[Sexo]]=$B10,IF(DATOS_[[Check Periodo Ref.]:[Check Periodo Ref.]]="Dentro",IF(DATOS_[[Check Equiparado]:[Check Equiparado]]="Sí",IF(DATOS!AN$5="Sí",(1/DATOS_[[% anualiz]:[% anualiz]]),1)*IF(DATOS!AN$4="Sí",1/DATOS_[[% normaliz]:[% normaliz]],1)*(DATOS_[Conc.Sal.10]))))))),
0)</f>
        <v>0</v>
      </c>
      <c r="T10" s="111">
        <f t="array" ref="T10">IFERROR(
(MEDIAN((IF(DATOS_[[Sexo]:[Sexo]]=$B10,IF(DATOS_[[Check Periodo Ref.]:[Check Periodo Ref.]]="Dentro",IF(DATOS_[[Check Equiparado]:[Check Equiparado]]="Sí",IF(DATOS!AO$5="Sí",(1/DATOS_[[% anualiz]:[% anualiz]]),1)*IF(DATOS!AO$4="Sí",1/DATOS_[[% normaliz]:[% normaliz]],1)*(DATOS_[Conc.Sal.11]))))))),
0)</f>
        <v>0</v>
      </c>
      <c r="U10" s="111">
        <f t="array" ref="U10">IFERROR(
(MEDIAN((IF(DATOS_[[Sexo]:[Sexo]]=$B10,IF(DATOS_[[Check Periodo Ref.]:[Check Periodo Ref.]]="Dentro",IF(DATOS_[[Check Equiparado]:[Check Equiparado]]="Sí",IF(DATOS!AP$5="Sí",(1/DATOS_[[% anualiz]:[% anualiz]]),1)*IF(DATOS!AP$4="Sí",1/DATOS_[[% normaliz]:[% normaliz]],1)*(DATOS_[Conc.Sal.12]))))))),
0)</f>
        <v>0</v>
      </c>
      <c r="V10" s="111">
        <f t="array" ref="V10">IFERROR(
(MEDIAN((IF(DATOS_[[Sexo]:[Sexo]]=$B10,IF(DATOS_[[Check Periodo Ref.]:[Check Periodo Ref.]]="Dentro",IF(DATOS_[[Check Equiparado]:[Check Equiparado]]="Sí",IF(DATOS!AQ$5="Sí",(1/DATOS_[[% anualiz]:[% anualiz]]),1)*IF(DATOS!AQ$4="Sí",1/DATOS_[[% normaliz]:[% normaliz]],1)*(DATOS_[Conc.Sal.13]))))))),
0)</f>
        <v>0</v>
      </c>
      <c r="W10" s="111">
        <f t="array" ref="W10">IFERROR(
(MEDIAN((IF(DATOS_[[Sexo]:[Sexo]]=$B10,IF(DATOS_[[Check Periodo Ref.]:[Check Periodo Ref.]]="Dentro",IF(DATOS_[[Check Equiparado]:[Check Equiparado]]="Sí",IF(DATOS!AR$5="Sí",(1/DATOS_[[% anualiz]:[% anualiz]]),1)*IF(DATOS!AR$4="Sí",1/DATOS_[[% normaliz]:[% normaliz]],1)*(DATOS_[Conc.Sal.14]))))))),
0)</f>
        <v>0</v>
      </c>
      <c r="X10" s="111">
        <f t="array" ref="X10">IFERROR(
(MEDIAN((IF(DATOS_[[Sexo]:[Sexo]]=$B10,IF(DATOS_[[Check Periodo Ref.]:[Check Periodo Ref.]]="Dentro",IF(DATOS_[[Check Equiparado]:[Check Equiparado]]="Sí",IF(DATOS!AS$5="Sí",(1/DATOS_[[% anualiz]:[% anualiz]]),1)*IF(DATOS!AS$4="Sí",1/DATOS_[[% normaliz]:[% normaliz]],1)*(DATOS_[Conc.Sal.15]))))))),
0)</f>
        <v>0</v>
      </c>
      <c r="Y10" s="111">
        <f t="array" ref="Y10">IFERROR(
(MEDIAN((IF(DATOS_[[Sexo]:[Sexo]]=$B10,IF(DATOS_[[Check Periodo Ref.]:[Check Periodo Ref.]]="Dentro",IF(DATOS_[[Check Equiparado]:[Check Equiparado]]="Sí",IF(DATOS!AT$5="Sí",(1/DATOS_[[% anualiz]:[% anualiz]]),1)*IF(DATOS!AT$4="Sí",1/DATOS_[[% normaliz]:[% normaliz]],1)*(DATOS_[Conc.Sal.16]))))))),
0)</f>
        <v>0</v>
      </c>
      <c r="Z10" s="111">
        <f t="array" ref="Z10">IFERROR(
(MEDIAN((IF(DATOS_[[Sexo]:[Sexo]]=$B10,IF(DATOS_[[Check Periodo Ref.]:[Check Periodo Ref.]]="Dentro",IF(DATOS_[[Check Equiparado]:[Check Equiparado]]="Sí",IF(DATOS!AU$5="Sí",(1/DATOS_[[% anualiz]:[% anualiz]]),1)*IF(DATOS!AU$4="Sí",1/DATOS_[[% normaliz]:[% normaliz]],1)*(DATOS_[Conc.Sal.17]))))))),
0)</f>
        <v>0</v>
      </c>
      <c r="AA10" s="111">
        <f t="array" ref="AA10">IFERROR(
(MEDIAN((IF(DATOS_[[Sexo]:[Sexo]]=$B10,IF(DATOS_[[Check Periodo Ref.]:[Check Periodo Ref.]]="Dentro",IF(DATOS_[[Check Equiparado]:[Check Equiparado]]="Sí",IF(DATOS!AV$5="Sí",(1/DATOS_[[% anualiz]:[% anualiz]]),1)*IF(DATOS!AV$4="Sí",1/DATOS_[[% normaliz]:[% normaliz]],1)*(DATOS_[Conc.Sal.18]))))))),
0)</f>
        <v>0</v>
      </c>
      <c r="AB10" s="111">
        <f t="array" ref="AB10">IFERROR(
(MEDIAN((IF(DATOS_[[Sexo]:[Sexo]]=$B10,IF(DATOS_[[Check Periodo Ref.]:[Check Periodo Ref.]]="Dentro",IF(DATOS_[[Check Equiparado]:[Check Equiparado]]="Sí",IF(DATOS!AW$5="Sí",(1/DATOS_[[% anualiz]:[% anualiz]]),1)*IF(DATOS!AW$4="Sí",1/DATOS_[[% normaliz]:[% normaliz]],1)*(DATOS_[Conc.Sal.19]))))))),
0)</f>
        <v>0</v>
      </c>
      <c r="AC10" s="111">
        <f t="array" ref="AC10">IFERROR(
(MEDIAN((IF(DATOS_[[Sexo]:[Sexo]]=$B10,IF(DATOS_[[Check Periodo Ref.]:[Check Periodo Ref.]]="Dentro",IF(DATOS_[[Check Equiparado]:[Check Equiparado]]="Sí",IF(DATOS!AX$5="Sí",(1/DATOS_[[% anualiz]:[% anualiz]]),1)*IF(DATOS!AX$4="Sí",1/DATOS_[[% normaliz]:[% normaliz]],1)*(DATOS_[Conc.Sal.20]))))))),
0)</f>
        <v>0</v>
      </c>
      <c r="AD10" s="111">
        <f t="array" ref="AD10">IFERROR(
(MEDIAN((IF(DATOS_[[Sexo]:[Sexo]]=$B10,IF(DATOS_[[Check Periodo Ref.]:[Check Periodo Ref.]]="Dentro",IF(DATOS_[[Check Equiparado]:[Check Equiparado]]="Sí",IF(DATOS!AY$5="Sí",(1/DATOS_[[% anualiz]:[% anualiz]]),1)*IF(DATOS!AY$4="Sí",1/DATOS_[[% normaliz]:[% normaliz]],1)*(DATOS_[Conc.Sal.21]))))))),
0)</f>
        <v>0</v>
      </c>
      <c r="AE10" s="111">
        <f t="array" ref="AE10">IFERROR(
(MEDIAN((IF(DATOS_[[Sexo]:[Sexo]]=$B10,IF(DATOS_[[Check Periodo Ref.]:[Check Periodo Ref.]]="Dentro",IF(DATOS_[[Check Equiparado]:[Check Equiparado]]="Sí",IF(DATOS!AZ$5="Sí",(1/DATOS_[[% anualiz]:[% anualiz]]),1)*IF(DATOS!AZ$4="Sí",1/DATOS_[[% normaliz]:[% normaliz]],1)*(DATOS_[Conc.Sal.22]))))))),
0)</f>
        <v>0</v>
      </c>
      <c r="AF10" s="111">
        <f t="array" ref="AF10">IFERROR(
(MEDIAN((IF(DATOS_[[Sexo]:[Sexo]]=$B10,IF(DATOS_[[Check Periodo Ref.]:[Check Periodo Ref.]]="Dentro",IF(DATOS_[[Check Equiparado]:[Check Equiparado]]="Sí",IF(DATOS!BA$5="Sí",(1/DATOS_[[% anualiz]:[% anualiz]]),1)*IF(DATOS!BA$4="Sí",1/DATOS_[[% normaliz]:[% normaliz]],1)*(DATOS_[Conc.Sal.23]))))))),
0)</f>
        <v>0</v>
      </c>
      <c r="AG10" s="111">
        <f t="array" ref="AG10">IFERROR(
(MEDIAN((IF(DATOS_[[Sexo]:[Sexo]]=$B10,IF(DATOS_[[Check Periodo Ref.]:[Check Periodo Ref.]]="Dentro",IF(DATOS_[[Check Equiparado]:[Check Equiparado]]="Sí",IF(DATOS!BB$5="Sí",(1/DATOS_[[% anualiz]:[% anualiz]]),1)*IF(DATOS!BB$4="Sí",1/DATOS_[[% normaliz]:[% normaliz]],1)*(DATOS_[Conc.Sal.24]))))))),
0)</f>
        <v>0</v>
      </c>
      <c r="AH10" s="111">
        <f t="array" ref="AH10">IFERROR(
(MEDIAN((IF(DATOS_[[Sexo]:[Sexo]]=$B10,IF(DATOS_[[Check Periodo Ref.]:[Check Periodo Ref.]]="Dentro",IF(DATOS_[[Check Equiparado]:[Check Equiparado]]="Sí",IF(DATOS!BC$5="Sí",(1/DATOS_[[% anualiz]:[% anualiz]]),1)*IF(DATOS!BC$4="Sí",1/DATOS_[[% normaliz]:[% normaliz]],1)*(DATOS_[Conc.Sal.25]))))))),
0)</f>
        <v>0</v>
      </c>
      <c r="AI10" s="111">
        <f t="array" ref="AI10">IFERROR(
(MEDIAN((IF(DATOS_[[Sexo]:[Sexo]]=$B10,IF(DATOS_[[Check Periodo Ref.]:[Check Periodo Ref.]]="Dentro",IF(DATOS_[[Check Equiparado]:[Check Equiparado]]="Sí",IF(DATOS!BD$5="Sí",(1/DATOS_[[% anualiz]:[% anualiz]]),1)*IF(DATOS!BD$4="Sí",1/DATOS_[[% normaliz]:[% normaliz]],1)*(DATOS_[Conc.Sal.26]))))))),
0)</f>
        <v>0</v>
      </c>
      <c r="AJ10" s="111">
        <f t="array" ref="AJ10">IFERROR(
(MEDIAN((IF(DATOS_[[Sexo]:[Sexo]]=$B10,IF(DATOS_[[Check Periodo Ref.]:[Check Periodo Ref.]]="Dentro",IF(DATOS_[[Check Equiparado]:[Check Equiparado]]="Sí",IF(DATOS!BE$5="Sí",(1/DATOS_[[% anualiz]:[% anualiz]]),1)*IF(DATOS!BE$4="Sí",1/DATOS_[[% normaliz]:[% normaliz]],1)*(DATOS_[Conc.Sal.27]))))))),
0)</f>
        <v>0</v>
      </c>
      <c r="AK10" s="111">
        <f t="array" ref="AK10">IFERROR(
(MEDIAN((IF(DATOS_[[Sexo]:[Sexo]]=$B10,IF(DATOS_[[Check Periodo Ref.]:[Check Periodo Ref.]]="Dentro",IF(DATOS_[[Check Equiparado]:[Check Equiparado]]="Sí",IF(DATOS!BF$5="Sí",(1/DATOS_[[% anualiz]:[% anualiz]]),1)*IF(DATOS!BF$4="Sí",1/DATOS_[[% normaliz]:[% normaliz]],1)*(DATOS_[Conc.Sal.28]))))))),
0)</f>
        <v>0</v>
      </c>
      <c r="AL10" s="111">
        <f t="array" ref="AL10">IFERROR(
(MEDIAN((IF(DATOS_[[Sexo]:[Sexo]]=$B10,IF(DATOS_[[Check Periodo Ref.]:[Check Periodo Ref.]]="Dentro",IF(DATOS_[[Check Equiparado]:[Check Equiparado]]="Sí",IF(DATOS!BG$5="Sí",(1/DATOS_[[% anualiz]:[% anualiz]]),1)*IF(DATOS!BG$4="Sí",1/DATOS_[[% normaliz]:[% normaliz]],1)*(DATOS_[Conc.Sal.29]))))))),
0)</f>
        <v>0</v>
      </c>
      <c r="AM10" s="111">
        <f t="array" ref="AM10">IFERROR(
(MEDIAN((IF(DATOS_[[Sexo]:[Sexo]]=$B10,IF(DATOS_[[Check Periodo Ref.]:[Check Periodo Ref.]]="Dentro",IF(DATOS_[[Check Equiparado]:[Check Equiparado]]="Sí",IF(DATOS!BH$5="Sí",(1/DATOS_[[% anualiz]:[% anualiz]]),1)*IF(DATOS!BH$4="Sí",1/DATOS_[[% normaliz]:[% normaliz]],1)*(DATOS_[Conc.Sal.30]))))))),
0)</f>
        <v>0</v>
      </c>
      <c r="AN10" s="112">
        <f t="array" ref="AN10">IFERROR(
MEDIAN(IF(DATOS_[Sexo]=$B10,IF(DATOS_[Check Equiparado]="Sí",IF(DATOS_[Check Periodo Ref.]="Dentro",DATOS_[Tot COMPL.SAL Eq],FALSE)))),
0)</f>
        <v>4010.9279999999999</v>
      </c>
      <c r="AO10" s="113">
        <f t="array" ref="AO10">IFERROR(
MEDIAN(IF(DATOS_[Sexo]=$B10,IF(DATOS_[Check Equiparado]="Sí",IF(DATOS_[Check Periodo Ref.]="Dentro",DATOS_[TOTAL SALARIO Eq],FALSE)))),
0)</f>
        <v>19563.633999999998</v>
      </c>
      <c r="AP10" s="117">
        <f t="array" ref="AP10">IFERROR(
(MEDIAN((IF(DATOS_[[Sexo]:[Sexo]]=$B10,IF(DATOS_[[Check Periodo Ref.]:[Check Periodo Ref.]]="Dentro",IF(DATOS_[[Check Equiparado]:[Check Equiparado]]="Sí",IF(DATOS!BI$5="Sí",(1/DATOS_[[% anualiz]:[% anualiz]]),1)*IF(DATOS!BI$4="Sí",1/DATOS_[[% normaliz]:[% normaliz]],1)*(DATOS_[C.Extra.01]))))))),
0)</f>
        <v>0</v>
      </c>
      <c r="AQ10" s="117">
        <f t="array" ref="AQ10">IFERROR(
(MEDIAN((IF(DATOS_[[Sexo]:[Sexo]]=$B10,IF(DATOS_[[Check Periodo Ref.]:[Check Periodo Ref.]]="Dentro",IF(DATOS_[[Check Equiparado]:[Check Equiparado]]="Sí",IF(DATOS!BJ$5="Sí",(1/DATOS_[[% anualiz]:[% anualiz]]),1)*IF(DATOS!BJ$4="Sí",1/DATOS_[[% normaliz]:[% normaliz]],1)*(DATOS_[C.Extra.02]))))))),
0)</f>
        <v>0</v>
      </c>
      <c r="AR10" s="117">
        <f t="array" ref="AR10">IFERROR(
(MEDIAN((IF(DATOS_[[Sexo]:[Sexo]]=$B10,IF(DATOS_[[Check Periodo Ref.]:[Check Periodo Ref.]]="Dentro",IF(DATOS_[[Check Equiparado]:[Check Equiparado]]="Sí",IF(DATOS!BK$5="Sí",(1/DATOS_[[% anualiz]:[% anualiz]]),1)*IF(DATOS!BK$4="Sí",1/DATOS_[[% normaliz]:[% normaliz]],1)*(DATOS_[C.Extra.03]))))))),
0)</f>
        <v>0</v>
      </c>
      <c r="AS10" s="117">
        <f t="array" ref="AS10">IFERROR(
(MEDIAN((IF(DATOS_[[Sexo]:[Sexo]]=$B10,IF(DATOS_[[Check Periodo Ref.]:[Check Periodo Ref.]]="Dentro",IF(DATOS_[[Check Equiparado]:[Check Equiparado]]="Sí",IF(DATOS!BL$5="Sí",(1/DATOS_[[% anualiz]:[% anualiz]]),1)*IF(DATOS!BL$4="Sí",1/DATOS_[[% normaliz]:[% normaliz]],1)*(DATOS_[C.Extra.04]))))))),
0)</f>
        <v>0</v>
      </c>
      <c r="AT10" s="117">
        <f t="array" ref="AT10">IFERROR(
(MEDIAN((IF(DATOS_[[Sexo]:[Sexo]]=$B10,IF(DATOS_[[Check Periodo Ref.]:[Check Periodo Ref.]]="Dentro",IF(DATOS_[[Check Equiparado]:[Check Equiparado]]="Sí",IF(DATOS!BM$5="Sí",(1/DATOS_[[% anualiz]:[% anualiz]]),1)*IF(DATOS!BM$4="Sí",1/DATOS_[[% normaliz]:[% normaliz]],1)*(DATOS_[C.Extra.05]))))))),
0)</f>
        <v>0</v>
      </c>
      <c r="AU10" s="115">
        <f t="array" ref="AU10">IFERROR(
MEDIAN(IF(DATOS_[Sexo]=$B10,IF(DATOS_[Check Equiparado]="Sí",IF(DATOS_[Check Periodo Ref.]="Dentro",DATOS_[Tot Extrasalarial Eq],FALSE)))),
0)</f>
        <v>0</v>
      </c>
      <c r="AV10" s="116">
        <f t="array" ref="AV10">IFERROR(
MEDIAN(IF(DATOS_[Sexo]=$B10,IF(DATOS_[Check Equiparado]="Sí",IF(DATOS_[Check Periodo Ref.]="Dentro",DATOS_[TOTAL Retrib Eq],FALSE)))),
0)</f>
        <v>19683.633999999998</v>
      </c>
      <c r="AW10" s="344"/>
      <c r="AX10" s="309"/>
      <c r="AY10" s="309"/>
    </row>
    <row r="11" spans="1:51" x14ac:dyDescent="0.3">
      <c r="B11" s="86" t="s">
        <v>163</v>
      </c>
      <c r="C11" s="33">
        <f t="array" ref="C11">SUM(IF($B11=DATOS_[Sexo],
IF("Dentro"=DATOS_[Check Periodo Ref.],
1/(COUNTIFS(DATOS_[Sexo],$B11,DATOS_[Check Periodo Ref.],"Dentro",DATOS_[id],DATOS_[id])))))</f>
        <v>106</v>
      </c>
      <c r="D11" s="35">
        <f>COUNTIFS(DATOS_[AGRUP. CLAS. PROF.],"&lt;&gt;",DATOS_[Sexo],$B11,DATOS_[Check Periodo Ref.],"Dentro")</f>
        <v>115</v>
      </c>
      <c r="E11" s="35">
        <f>COUNTIFS(DATOS_[AGRUP. CLAS. PROF.],"&lt;&gt;",DATOS_[Sexo],$B11,DATOS_[Check Periodo Ref.],"Dentro",DATOS_[Check Nº SC Norm],"Sí")</f>
        <v>26</v>
      </c>
      <c r="F11" s="35">
        <f>COUNTIFS(DATOS_[AGRUP. CLAS. PROF.],"&lt;&gt;",DATOS_[Sexo],$B11,DATOS_[Check Periodo Ref.],"Dentro",DATOS_[Check Nº SC Anualiz],"Sí")</f>
        <v>11</v>
      </c>
      <c r="G11" s="35">
        <f>COUNTIFS(DATOS_[AGRUP. CLAS. PROF.],"&lt;&gt;",DATOS_[Sexo],$B11,DATOS_[Check Periodo Ref.],"Dentro",DATOS_[Check Nº SC Norm y Anualiz],"Sí")</f>
        <v>1</v>
      </c>
      <c r="H11" s="35">
        <f>COUNTIFS(DATOS_[AGRUP. CLAS. PROF.],"&lt;&gt;",DATOS_[Sexo],$B11,DATOS_[Check Periodo Ref.],"Dentro",DATOS_[Check Equiparación],"Sí")</f>
        <v>38</v>
      </c>
      <c r="I11" s="110">
        <f t="array" ref="I11">IFERROR(
MEDIAN(IF(DATOS_[Sexo]=$B11,IF(DATOS_[Check Equiparado]="Sí",IF(DATOS_[Check Periodo Ref.]="Dentro",DATOS_[SALARIO BASE Eq],FALSE)))),
0)</f>
        <v>12915.07</v>
      </c>
      <c r="J11" s="111">
        <f t="array" ref="J11">IFERROR(
(MEDIAN((IF(DATOS_[[Sexo]:[Sexo]]=$B11,IF(DATOS_[[Check Periodo Ref.]:[Check Periodo Ref.]]="Dentro",IF(DATOS_[[Check Equiparado]:[Check Equiparado]]="Sí",IF(DATOS!AE$5="Sí",(1/DATOS_[[% anualiz]:[% anualiz]]),1)*IF(DATOS!AE$4="Sí",1/DATOS_[[% normaliz]:[% normaliz]],1)*(DATOS_[Conc.Sal.01]))))))),
0)</f>
        <v>163.65999999999985</v>
      </c>
      <c r="K11" s="111">
        <f t="array" ref="K11">IFERROR(
(MEDIAN((IF(DATOS_[[Sexo]:[Sexo]]=$B11,IF(DATOS_[[Check Periodo Ref.]:[Check Periodo Ref.]]="Dentro",IF(DATOS_[[Check Equiparado]:[Check Equiparado]]="Sí",IF(DATOS!AF$5="Sí",(1/DATOS_[[% anualiz]:[% anualiz]]),1)*IF(DATOS!AF$4="Sí",1/DATOS_[[% normaliz]:[% normaliz]],1)*(DATOS_[Conc.Sal.02]))))))),
0)</f>
        <v>516.6028</v>
      </c>
      <c r="L11" s="111">
        <f t="array" ref="L11">IFERROR(
(MEDIAN((IF(DATOS_[[Sexo]:[Sexo]]=$B11,IF(DATOS_[[Check Periodo Ref.]:[Check Periodo Ref.]]="Dentro",IF(DATOS_[[Check Equiparado]:[Check Equiparado]]="Sí",IF(DATOS!AG$5="Sí",(1/DATOS_[[% anualiz]:[% anualiz]]),1)*IF(DATOS!AG$4="Sí",1/DATOS_[[% normaliz]:[% normaliz]],1)*(DATOS_[Conc.Sal.03]))))))),
0)</f>
        <v>960</v>
      </c>
      <c r="M11" s="111">
        <f t="array" ref="M11">IFERROR(
(MEDIAN((IF(DATOS_[[Sexo]:[Sexo]]=$B11,IF(DATOS_[[Check Periodo Ref.]:[Check Periodo Ref.]]="Dentro",IF(DATOS_[[Check Equiparado]:[Check Equiparado]]="Sí",IF(DATOS!AH$5="Sí",(1/DATOS_[[% anualiz]:[% anualiz]]),1)*IF(DATOS!AH$4="Sí",1/DATOS_[[% normaliz]:[% normaliz]],1)*(DATOS_[Conc.Sal.04]))))))),
0)</f>
        <v>0</v>
      </c>
      <c r="N11" s="111">
        <f t="array" ref="N11">IFERROR(
(MEDIAN((IF(DATOS_[[Sexo]:[Sexo]]=$B11,IF(DATOS_[[Check Periodo Ref.]:[Check Periodo Ref.]]="Dentro",IF(DATOS_[[Check Equiparado]:[Check Equiparado]]="Sí",IF(DATOS!AI$5="Sí",(1/DATOS_[[% anualiz]:[% anualiz]]),1)*IF(DATOS!AI$4="Sí",1/DATOS_[[% normaliz]:[% normaliz]],1)*(DATOS_[Conc.Sal.05]))))))),
0)</f>
        <v>0</v>
      </c>
      <c r="O11" s="111">
        <f t="array" ref="O11">IFERROR(
(MEDIAN((IF(DATOS_[[Sexo]:[Sexo]]=$B11,IF(DATOS_[[Check Periodo Ref.]:[Check Periodo Ref.]]="Dentro",IF(DATOS_[[Check Equiparado]:[Check Equiparado]]="Sí",IF(DATOS!AJ$5="Sí",(1/DATOS_[[% anualiz]:[% anualiz]]),1)*IF(DATOS!AJ$4="Sí",1/DATOS_[[% normaliz]:[% normaliz]],1)*(DATOS_[Conc.Sal.06]))))))),
0)</f>
        <v>0</v>
      </c>
      <c r="P11" s="111">
        <f t="array" ref="P11">IFERROR(
(MEDIAN((IF(DATOS_[[Sexo]:[Sexo]]=$B11,IF(DATOS_[[Check Periodo Ref.]:[Check Periodo Ref.]]="Dentro",IF(DATOS_[[Check Equiparado]:[Check Equiparado]]="Sí",IF(DATOS!AK$5="Sí",(1/DATOS_[[% anualiz]:[% anualiz]]),1)*IF(DATOS!AK$4="Sí",1/DATOS_[[% normaliz]:[% normaliz]],1)*(DATOS_[Conc.Sal.07]))))))),
0)</f>
        <v>80</v>
      </c>
      <c r="Q11" s="111">
        <f t="array" ref="Q11">IFERROR(
(MEDIAN((IF(DATOS_[[Sexo]:[Sexo]]=$B11,IF(DATOS_[[Check Periodo Ref.]:[Check Periodo Ref.]]="Dentro",IF(DATOS_[[Check Equiparado]:[Check Equiparado]]="Sí",IF(DATOS!AL$5="Sí",(1/DATOS_[[% anualiz]:[% anualiz]]),1)*IF(DATOS!AL$4="Sí",1/DATOS_[[% normaliz]:[% normaliz]],1)*(DATOS_[Conc.Sal.08]))))))),
0)</f>
        <v>0</v>
      </c>
      <c r="R11" s="111">
        <f t="array" ref="R11">IFERROR(
(MEDIAN((IF(DATOS_[[Sexo]:[Sexo]]=$B11,IF(DATOS_[[Check Periodo Ref.]:[Check Periodo Ref.]]="Dentro",IF(DATOS_[[Check Equiparado]:[Check Equiparado]]="Sí",IF(DATOS!AM$5="Sí",(1/DATOS_[[% anualiz]:[% anualiz]]),1)*IF(DATOS!AM$4="Sí",1/DATOS_[[% normaliz]:[% normaliz]],1)*(DATOS_[Conc.Sal.09]))))))),
0)</f>
        <v>0</v>
      </c>
      <c r="S11" s="111">
        <f t="array" ref="S11">IFERROR(
(MEDIAN((IF(DATOS_[[Sexo]:[Sexo]]=$B11,IF(DATOS_[[Check Periodo Ref.]:[Check Periodo Ref.]]="Dentro",IF(DATOS_[[Check Equiparado]:[Check Equiparado]]="Sí",IF(DATOS!AN$5="Sí",(1/DATOS_[[% anualiz]:[% anualiz]]),1)*IF(DATOS!AN$4="Sí",1/DATOS_[[% normaliz]:[% normaliz]],1)*(DATOS_[Conc.Sal.10]))))))),
0)</f>
        <v>0</v>
      </c>
      <c r="T11" s="111">
        <f t="array" ref="T11">IFERROR(
(MEDIAN((IF(DATOS_[[Sexo]:[Sexo]]=$B11,IF(DATOS_[[Check Periodo Ref.]:[Check Periodo Ref.]]="Dentro",IF(DATOS_[[Check Equiparado]:[Check Equiparado]]="Sí",IF(DATOS!AO$5="Sí",(1/DATOS_[[% anualiz]:[% anualiz]]),1)*IF(DATOS!AO$4="Sí",1/DATOS_[[% normaliz]:[% normaliz]],1)*(DATOS_[Conc.Sal.11]))))))),
0)</f>
        <v>0</v>
      </c>
      <c r="U11" s="111">
        <f t="array" ref="U11">IFERROR(
(MEDIAN((IF(DATOS_[[Sexo]:[Sexo]]=$B11,IF(DATOS_[[Check Periodo Ref.]:[Check Periodo Ref.]]="Dentro",IF(DATOS_[[Check Equiparado]:[Check Equiparado]]="Sí",IF(DATOS!AP$5="Sí",(1/DATOS_[[% anualiz]:[% anualiz]]),1)*IF(DATOS!AP$4="Sí",1/DATOS_[[% normaliz]:[% normaliz]],1)*(DATOS_[Conc.Sal.12]))))))),
0)</f>
        <v>0</v>
      </c>
      <c r="V11" s="111">
        <f t="array" ref="V11">IFERROR(
(MEDIAN((IF(DATOS_[[Sexo]:[Sexo]]=$B11,IF(DATOS_[[Check Periodo Ref.]:[Check Periodo Ref.]]="Dentro",IF(DATOS_[[Check Equiparado]:[Check Equiparado]]="Sí",IF(DATOS!AQ$5="Sí",(1/DATOS_[[% anualiz]:[% anualiz]]),1)*IF(DATOS!AQ$4="Sí",1/DATOS_[[% normaliz]:[% normaliz]],1)*(DATOS_[Conc.Sal.13]))))))),
0)</f>
        <v>0</v>
      </c>
      <c r="W11" s="111">
        <f t="array" ref="W11">IFERROR(
(MEDIAN((IF(DATOS_[[Sexo]:[Sexo]]=$B11,IF(DATOS_[[Check Periodo Ref.]:[Check Periodo Ref.]]="Dentro",IF(DATOS_[[Check Equiparado]:[Check Equiparado]]="Sí",IF(DATOS!AR$5="Sí",(1/DATOS_[[% anualiz]:[% anualiz]]),1)*IF(DATOS!AR$4="Sí",1/DATOS_[[% normaliz]:[% normaliz]],1)*(DATOS_[Conc.Sal.14]))))))),
0)</f>
        <v>0</v>
      </c>
      <c r="X11" s="111">
        <f t="array" ref="X11">IFERROR(
(MEDIAN((IF(DATOS_[[Sexo]:[Sexo]]=$B11,IF(DATOS_[[Check Periodo Ref.]:[Check Periodo Ref.]]="Dentro",IF(DATOS_[[Check Equiparado]:[Check Equiparado]]="Sí",IF(DATOS!AS$5="Sí",(1/DATOS_[[% anualiz]:[% anualiz]]),1)*IF(DATOS!AS$4="Sí",1/DATOS_[[% normaliz]:[% normaliz]],1)*(DATOS_[Conc.Sal.15]))))))),
0)</f>
        <v>0</v>
      </c>
      <c r="Y11" s="111">
        <f t="array" ref="Y11">IFERROR(
(MEDIAN((IF(DATOS_[[Sexo]:[Sexo]]=$B11,IF(DATOS_[[Check Periodo Ref.]:[Check Periodo Ref.]]="Dentro",IF(DATOS_[[Check Equiparado]:[Check Equiparado]]="Sí",IF(DATOS!AT$5="Sí",(1/DATOS_[[% anualiz]:[% anualiz]]),1)*IF(DATOS!AT$4="Sí",1/DATOS_[[% normaliz]:[% normaliz]],1)*(DATOS_[Conc.Sal.16]))))))),
0)</f>
        <v>0</v>
      </c>
      <c r="Z11" s="111">
        <f t="array" ref="Z11">IFERROR(
(MEDIAN((IF(DATOS_[[Sexo]:[Sexo]]=$B11,IF(DATOS_[[Check Periodo Ref.]:[Check Periodo Ref.]]="Dentro",IF(DATOS_[[Check Equiparado]:[Check Equiparado]]="Sí",IF(DATOS!AU$5="Sí",(1/DATOS_[[% anualiz]:[% anualiz]]),1)*IF(DATOS!AU$4="Sí",1/DATOS_[[% normaliz]:[% normaliz]],1)*(DATOS_[Conc.Sal.17]))))))),
0)</f>
        <v>0</v>
      </c>
      <c r="AA11" s="111">
        <f t="array" ref="AA11">IFERROR(
(MEDIAN((IF(DATOS_[[Sexo]:[Sexo]]=$B11,IF(DATOS_[[Check Periodo Ref.]:[Check Periodo Ref.]]="Dentro",IF(DATOS_[[Check Equiparado]:[Check Equiparado]]="Sí",IF(DATOS!AV$5="Sí",(1/DATOS_[[% anualiz]:[% anualiz]]),1)*IF(DATOS!AV$4="Sí",1/DATOS_[[% normaliz]:[% normaliz]],1)*(DATOS_[Conc.Sal.18]))))))),
0)</f>
        <v>0</v>
      </c>
      <c r="AB11" s="111">
        <f t="array" ref="AB11">IFERROR(
(MEDIAN((IF(DATOS_[[Sexo]:[Sexo]]=$B11,IF(DATOS_[[Check Periodo Ref.]:[Check Periodo Ref.]]="Dentro",IF(DATOS_[[Check Equiparado]:[Check Equiparado]]="Sí",IF(DATOS!AW$5="Sí",(1/DATOS_[[% anualiz]:[% anualiz]]),1)*IF(DATOS!AW$4="Sí",1/DATOS_[[% normaliz]:[% normaliz]],1)*(DATOS_[Conc.Sal.19]))))))),
0)</f>
        <v>0</v>
      </c>
      <c r="AC11" s="111">
        <f t="array" ref="AC11">IFERROR(
(MEDIAN((IF(DATOS_[[Sexo]:[Sexo]]=$B11,IF(DATOS_[[Check Periodo Ref.]:[Check Periodo Ref.]]="Dentro",IF(DATOS_[[Check Equiparado]:[Check Equiparado]]="Sí",IF(DATOS!AX$5="Sí",(1/DATOS_[[% anualiz]:[% anualiz]]),1)*IF(DATOS!AX$4="Sí",1/DATOS_[[% normaliz]:[% normaliz]],1)*(DATOS_[Conc.Sal.20]))))))),
0)</f>
        <v>0</v>
      </c>
      <c r="AD11" s="111">
        <f t="array" ref="AD11">IFERROR(
(MEDIAN((IF(DATOS_[[Sexo]:[Sexo]]=$B11,IF(DATOS_[[Check Periodo Ref.]:[Check Periodo Ref.]]="Dentro",IF(DATOS_[[Check Equiparado]:[Check Equiparado]]="Sí",IF(DATOS!AY$5="Sí",(1/DATOS_[[% anualiz]:[% anualiz]]),1)*IF(DATOS!AY$4="Sí",1/DATOS_[[% normaliz]:[% normaliz]],1)*(DATOS_[Conc.Sal.21]))))))),
0)</f>
        <v>0</v>
      </c>
      <c r="AE11" s="111">
        <f t="array" ref="AE11">IFERROR(
(MEDIAN((IF(DATOS_[[Sexo]:[Sexo]]=$B11,IF(DATOS_[[Check Periodo Ref.]:[Check Periodo Ref.]]="Dentro",IF(DATOS_[[Check Equiparado]:[Check Equiparado]]="Sí",IF(DATOS!AZ$5="Sí",(1/DATOS_[[% anualiz]:[% anualiz]]),1)*IF(DATOS!AZ$4="Sí",1/DATOS_[[% normaliz]:[% normaliz]],1)*(DATOS_[Conc.Sal.22]))))))),
0)</f>
        <v>0</v>
      </c>
      <c r="AF11" s="111">
        <f t="array" ref="AF11">IFERROR(
(MEDIAN((IF(DATOS_[[Sexo]:[Sexo]]=$B11,IF(DATOS_[[Check Periodo Ref.]:[Check Periodo Ref.]]="Dentro",IF(DATOS_[[Check Equiparado]:[Check Equiparado]]="Sí",IF(DATOS!BA$5="Sí",(1/DATOS_[[% anualiz]:[% anualiz]]),1)*IF(DATOS!BA$4="Sí",1/DATOS_[[% normaliz]:[% normaliz]],1)*(DATOS_[Conc.Sal.23]))))))),
0)</f>
        <v>0</v>
      </c>
      <c r="AG11" s="111">
        <f t="array" ref="AG11">IFERROR(
(MEDIAN((IF(DATOS_[[Sexo]:[Sexo]]=$B11,IF(DATOS_[[Check Periodo Ref.]:[Check Periodo Ref.]]="Dentro",IF(DATOS_[[Check Equiparado]:[Check Equiparado]]="Sí",IF(DATOS!BB$5="Sí",(1/DATOS_[[% anualiz]:[% anualiz]]),1)*IF(DATOS!BB$4="Sí",1/DATOS_[[% normaliz]:[% normaliz]],1)*(DATOS_[Conc.Sal.24]))))))),
0)</f>
        <v>0</v>
      </c>
      <c r="AH11" s="111">
        <f t="array" ref="AH11">IFERROR(
(MEDIAN((IF(DATOS_[[Sexo]:[Sexo]]=$B11,IF(DATOS_[[Check Periodo Ref.]:[Check Periodo Ref.]]="Dentro",IF(DATOS_[[Check Equiparado]:[Check Equiparado]]="Sí",IF(DATOS!BC$5="Sí",(1/DATOS_[[% anualiz]:[% anualiz]]),1)*IF(DATOS!BC$4="Sí",1/DATOS_[[% normaliz]:[% normaliz]],1)*(DATOS_[Conc.Sal.25]))))))),
0)</f>
        <v>0</v>
      </c>
      <c r="AI11" s="111">
        <f t="array" ref="AI11">IFERROR(
(MEDIAN((IF(DATOS_[[Sexo]:[Sexo]]=$B11,IF(DATOS_[[Check Periodo Ref.]:[Check Periodo Ref.]]="Dentro",IF(DATOS_[[Check Equiparado]:[Check Equiparado]]="Sí",IF(DATOS!BD$5="Sí",(1/DATOS_[[% anualiz]:[% anualiz]]),1)*IF(DATOS!BD$4="Sí",1/DATOS_[[% normaliz]:[% normaliz]],1)*(DATOS_[Conc.Sal.26]))))))),
0)</f>
        <v>0</v>
      </c>
      <c r="AJ11" s="111">
        <f t="array" ref="AJ11">IFERROR(
(MEDIAN((IF(DATOS_[[Sexo]:[Sexo]]=$B11,IF(DATOS_[[Check Periodo Ref.]:[Check Periodo Ref.]]="Dentro",IF(DATOS_[[Check Equiparado]:[Check Equiparado]]="Sí",IF(DATOS!BE$5="Sí",(1/DATOS_[[% anualiz]:[% anualiz]]),1)*IF(DATOS!BE$4="Sí",1/DATOS_[[% normaliz]:[% normaliz]],1)*(DATOS_[Conc.Sal.27]))))))),
0)</f>
        <v>0</v>
      </c>
      <c r="AK11" s="111">
        <f t="array" ref="AK11">IFERROR(
(MEDIAN((IF(DATOS_[[Sexo]:[Sexo]]=$B11,IF(DATOS_[[Check Periodo Ref.]:[Check Periodo Ref.]]="Dentro",IF(DATOS_[[Check Equiparado]:[Check Equiparado]]="Sí",IF(DATOS!BF$5="Sí",(1/DATOS_[[% anualiz]:[% anualiz]]),1)*IF(DATOS!BF$4="Sí",1/DATOS_[[% normaliz]:[% normaliz]],1)*(DATOS_[Conc.Sal.28]))))))),
0)</f>
        <v>0</v>
      </c>
      <c r="AL11" s="111">
        <f t="array" ref="AL11">IFERROR(
(MEDIAN((IF(DATOS_[[Sexo]:[Sexo]]=$B11,IF(DATOS_[[Check Periodo Ref.]:[Check Periodo Ref.]]="Dentro",IF(DATOS_[[Check Equiparado]:[Check Equiparado]]="Sí",IF(DATOS!BG$5="Sí",(1/DATOS_[[% anualiz]:[% anualiz]]),1)*IF(DATOS!BG$4="Sí",1/DATOS_[[% normaliz]:[% normaliz]],1)*(DATOS_[Conc.Sal.29]))))))),
0)</f>
        <v>0</v>
      </c>
      <c r="AM11" s="111">
        <f t="array" ref="AM11">IFERROR(
(MEDIAN((IF(DATOS_[[Sexo]:[Sexo]]=$B11,IF(DATOS_[[Check Periodo Ref.]:[Check Periodo Ref.]]="Dentro",IF(DATOS_[[Check Equiparado]:[Check Equiparado]]="Sí",IF(DATOS!BH$5="Sí",(1/DATOS_[[% anualiz]:[% anualiz]]),1)*IF(DATOS!BH$4="Sí",1/DATOS_[[% normaliz]:[% normaliz]],1)*(DATOS_[Conc.Sal.30]))))))),
0)</f>
        <v>0</v>
      </c>
      <c r="AN11" s="112">
        <f t="array" ref="AN11">IFERROR(
MEDIAN(IF(DATOS_[Sexo]=$B11,IF(DATOS_[Check Equiparado]="Sí",IF(DATOS_[Check Periodo Ref.]="Dentro",DATOS_[Tot COMPL.SAL Eq],FALSE)))),
0)</f>
        <v>1641.5327999999995</v>
      </c>
      <c r="AO11" s="113">
        <f t="array" ref="AO11">IFERROR(
MEDIAN(IF(DATOS_[Sexo]=$B11,IF(DATOS_[Check Equiparado]="Sí",IF(DATOS_[Check Periodo Ref.]="Dentro",DATOS_[TOTAL SALARIO Eq],FALSE)))),
0)</f>
        <v>14556.602800000001</v>
      </c>
      <c r="AP11" s="117">
        <f t="array" ref="AP11">IFERROR(
(MEDIAN((IF(DATOS_[[Sexo]:[Sexo]]=$B11,IF(DATOS_[[Check Periodo Ref.]:[Check Periodo Ref.]]="Dentro",IF(DATOS_[[Check Equiparado]:[Check Equiparado]]="Sí",IF(DATOS!BI$5="Sí",(1/DATOS_[[% anualiz]:[% anualiz]]),1)*IF(DATOS!BI$4="Sí",1/DATOS_[[% normaliz]:[% normaliz]],1)*(DATOS_[C.Extra.01]))))))),
0)</f>
        <v>0</v>
      </c>
      <c r="AQ11" s="117">
        <f t="array" ref="AQ11">IFERROR(
(MEDIAN((IF(DATOS_[[Sexo]:[Sexo]]=$B11,IF(DATOS_[[Check Periodo Ref.]:[Check Periodo Ref.]]="Dentro",IF(DATOS_[[Check Equiparado]:[Check Equiparado]]="Sí",IF(DATOS!BJ$5="Sí",(1/DATOS_[[% anualiz]:[% anualiz]]),1)*IF(DATOS!BJ$4="Sí",1/DATOS_[[% normaliz]:[% normaliz]],1)*(DATOS_[C.Extra.02]))))))),
0)</f>
        <v>0</v>
      </c>
      <c r="AR11" s="117">
        <f t="array" ref="AR11">IFERROR(
(MEDIAN((IF(DATOS_[[Sexo]:[Sexo]]=$B11,IF(DATOS_[[Check Periodo Ref.]:[Check Periodo Ref.]]="Dentro",IF(DATOS_[[Check Equiparado]:[Check Equiparado]]="Sí",IF(DATOS!BK$5="Sí",(1/DATOS_[[% anualiz]:[% anualiz]]),1)*IF(DATOS!BK$4="Sí",1/DATOS_[[% normaliz]:[% normaliz]],1)*(DATOS_[C.Extra.03]))))))),
0)</f>
        <v>0</v>
      </c>
      <c r="AS11" s="117">
        <f t="array" ref="AS11">IFERROR(
(MEDIAN((IF(DATOS_[[Sexo]:[Sexo]]=$B11,IF(DATOS_[[Check Periodo Ref.]:[Check Periodo Ref.]]="Dentro",IF(DATOS_[[Check Equiparado]:[Check Equiparado]]="Sí",IF(DATOS!BL$5="Sí",(1/DATOS_[[% anualiz]:[% anualiz]]),1)*IF(DATOS!BL$4="Sí",1/DATOS_[[% normaliz]:[% normaliz]],1)*(DATOS_[C.Extra.04]))))))),
0)</f>
        <v>0</v>
      </c>
      <c r="AT11" s="117">
        <f t="array" ref="AT11">IFERROR(
(MEDIAN((IF(DATOS_[[Sexo]:[Sexo]]=$B11,IF(DATOS_[[Check Periodo Ref.]:[Check Periodo Ref.]]="Dentro",IF(DATOS_[[Check Equiparado]:[Check Equiparado]]="Sí",IF(DATOS!BM$5="Sí",(1/DATOS_[[% anualiz]:[% anualiz]]),1)*IF(DATOS!BM$4="Sí",1/DATOS_[[% normaliz]:[% normaliz]],1)*(DATOS_[C.Extra.05]))))))),
0)</f>
        <v>0</v>
      </c>
      <c r="AU11" s="115">
        <f t="array" ref="AU11">IFERROR(
MEDIAN(IF(DATOS_[Sexo]=$B11,IF(DATOS_[Check Equiparado]="Sí",IF(DATOS_[Check Periodo Ref.]="Dentro",DATOS_[Tot Extrasalarial Eq],FALSE)))),
0)</f>
        <v>0</v>
      </c>
      <c r="AV11" s="116">
        <f t="array" ref="AV11">IFERROR(
MEDIAN(IF(DATOS_[Sexo]=$B11,IF(DATOS_[Check Equiparado]="Sí",IF(DATOS_[Check Periodo Ref.]="Dentro",DATOS_[TOTAL Retrib Eq],FALSE)))),
0)</f>
        <v>14556.602800000001</v>
      </c>
      <c r="AW11" s="344"/>
      <c r="AX11" s="309"/>
      <c r="AY11" s="309"/>
    </row>
    <row r="12" spans="1:51" x14ac:dyDescent="0.3">
      <c r="D12" s="87"/>
      <c r="E12" s="87"/>
      <c r="F12" s="87"/>
      <c r="G12" s="87"/>
      <c r="H12" s="87"/>
      <c r="N12" s="88"/>
      <c r="O12" s="89"/>
      <c r="P12" s="89"/>
      <c r="Q12" s="89"/>
      <c r="R12" s="89"/>
      <c r="S12" s="89"/>
      <c r="T12" s="89"/>
      <c r="U12" s="89"/>
      <c r="V12" s="89"/>
      <c r="W12" s="89"/>
      <c r="X12" s="89"/>
      <c r="Y12" s="89"/>
      <c r="Z12" s="88"/>
      <c r="AA12" s="88"/>
      <c r="AB12" s="88"/>
      <c r="AC12" s="88"/>
      <c r="AD12" s="88"/>
      <c r="AE12" s="88"/>
      <c r="AF12" s="88"/>
      <c r="AG12" s="88"/>
      <c r="AH12" s="88"/>
      <c r="AI12" s="88"/>
      <c r="AJ12" s="88"/>
      <c r="AK12" s="88"/>
      <c r="AL12" s="88"/>
      <c r="AM12" s="88"/>
      <c r="AP12" s="89"/>
      <c r="AQ12" s="89"/>
      <c r="AR12" s="89"/>
      <c r="AS12" s="89"/>
      <c r="AT12" s="89"/>
    </row>
    <row r="13" spans="1:51" x14ac:dyDescent="0.3">
      <c r="D13" s="87"/>
      <c r="E13" s="87"/>
      <c r="F13" s="87"/>
      <c r="G13" s="87"/>
      <c r="H13" s="87"/>
      <c r="N13" s="88"/>
      <c r="O13" s="89"/>
      <c r="P13" s="89"/>
      <c r="Q13" s="89"/>
      <c r="R13" s="89"/>
      <c r="S13" s="89"/>
      <c r="T13" s="89"/>
      <c r="U13" s="89"/>
      <c r="V13" s="89"/>
      <c r="W13" s="89"/>
      <c r="X13" s="89"/>
      <c r="Y13" s="89"/>
      <c r="Z13" s="88"/>
      <c r="AA13" s="88"/>
      <c r="AB13" s="88"/>
      <c r="AC13" s="88"/>
      <c r="AD13" s="88"/>
      <c r="AE13" s="88"/>
      <c r="AF13" s="88"/>
      <c r="AG13" s="88"/>
      <c r="AH13" s="88"/>
      <c r="AI13" s="88"/>
      <c r="AJ13" s="88"/>
      <c r="AK13" s="88"/>
      <c r="AL13" s="88"/>
      <c r="AM13" s="88"/>
      <c r="AP13" s="89"/>
      <c r="AQ13" s="89"/>
      <c r="AR13" s="89"/>
      <c r="AS13" s="89"/>
      <c r="AT13" s="89"/>
    </row>
    <row r="14" spans="1:51" s="85" customFormat="1" ht="46.15" customHeight="1" x14ac:dyDescent="0.25">
      <c r="B14" s="78"/>
      <c r="C14" s="78" t="s">
        <v>225</v>
      </c>
      <c r="D14" s="78" t="s">
        <v>220</v>
      </c>
      <c r="E14" s="78" t="s">
        <v>293</v>
      </c>
      <c r="F14" s="78" t="s">
        <v>291</v>
      </c>
      <c r="G14" s="78" t="s">
        <v>292</v>
      </c>
      <c r="H14" s="78" t="s">
        <v>224</v>
      </c>
      <c r="I14" s="145" t="s">
        <v>217</v>
      </c>
      <c r="J14" s="79" t="str">
        <f>+J8</f>
        <v>MejVol</v>
      </c>
      <c r="K14" s="79" t="str">
        <f t="shared" ref="K14:AM14" si="3">+K8</f>
        <v>Antig.</v>
      </c>
      <c r="L14" s="79" t="str">
        <f t="shared" si="3"/>
        <v>Transporte</v>
      </c>
      <c r="M14" s="79" t="str">
        <f t="shared" si="3"/>
        <v>Ventas</v>
      </c>
      <c r="N14" s="79" t="str">
        <f t="shared" si="3"/>
        <v>Bonus</v>
      </c>
      <c r="O14" s="79" t="str">
        <f t="shared" si="3"/>
        <v>Coche</v>
      </c>
      <c r="P14" s="79" t="str">
        <f t="shared" si="3"/>
        <v>Cesta</v>
      </c>
      <c r="Q14" s="79" t="str">
        <f t="shared" si="3"/>
        <v>Nocturnidad</v>
      </c>
      <c r="R14" s="79" t="str">
        <f t="shared" si="3"/>
        <v>[ocultar]</v>
      </c>
      <c r="S14" s="79" t="str">
        <f t="shared" si="3"/>
        <v>[ocultar]</v>
      </c>
      <c r="T14" s="79" t="str">
        <f t="shared" si="3"/>
        <v>[ocultar]</v>
      </c>
      <c r="U14" s="79" t="str">
        <f t="shared" si="3"/>
        <v>[ocultar]</v>
      </c>
      <c r="V14" s="79" t="str">
        <f t="shared" si="3"/>
        <v>[ocultar]</v>
      </c>
      <c r="W14" s="79" t="str">
        <f t="shared" si="3"/>
        <v>[ocultar]</v>
      </c>
      <c r="X14" s="79" t="str">
        <f t="shared" si="3"/>
        <v>[ocultar]</v>
      </c>
      <c r="Y14" s="79" t="str">
        <f t="shared" si="3"/>
        <v>[ocultar]</v>
      </c>
      <c r="Z14" s="79" t="str">
        <f t="shared" si="3"/>
        <v>[ocultar]</v>
      </c>
      <c r="AA14" s="79" t="str">
        <f t="shared" si="3"/>
        <v>[ocultar]</v>
      </c>
      <c r="AB14" s="79" t="str">
        <f t="shared" si="3"/>
        <v>[ocultar]</v>
      </c>
      <c r="AC14" s="79" t="str">
        <f t="shared" si="3"/>
        <v>[ocultar]</v>
      </c>
      <c r="AD14" s="79" t="str">
        <f t="shared" si="3"/>
        <v>[ocultar]</v>
      </c>
      <c r="AE14" s="79" t="str">
        <f t="shared" si="3"/>
        <v>[ocultar]</v>
      </c>
      <c r="AF14" s="79" t="str">
        <f t="shared" si="3"/>
        <v>[ocultar]</v>
      </c>
      <c r="AG14" s="79" t="str">
        <f t="shared" si="3"/>
        <v>[ocultar]</v>
      </c>
      <c r="AH14" s="79" t="str">
        <f t="shared" si="3"/>
        <v>[ocultar]</v>
      </c>
      <c r="AI14" s="79" t="str">
        <f t="shared" si="3"/>
        <v>[ocultar]</v>
      </c>
      <c r="AJ14" s="79" t="str">
        <f t="shared" si="3"/>
        <v>[ocultar]</v>
      </c>
      <c r="AK14" s="79" t="str">
        <f t="shared" si="3"/>
        <v>[ocultar]</v>
      </c>
      <c r="AL14" s="79" t="str">
        <f t="shared" si="3"/>
        <v>[ocultar]</v>
      </c>
      <c r="AM14" s="79" t="str">
        <f t="shared" si="3"/>
        <v>[ocultar]</v>
      </c>
      <c r="AN14" s="80" t="s">
        <v>218</v>
      </c>
      <c r="AO14" s="81" t="s">
        <v>211</v>
      </c>
      <c r="AP14" s="82" t="str">
        <f>+AP8</f>
        <v>Dietas</v>
      </c>
      <c r="AQ14" s="82" t="str">
        <f t="shared" ref="AQ14:AT14" si="4">+AQ8</f>
        <v>Indem</v>
      </c>
      <c r="AR14" s="82" t="str">
        <f t="shared" si="4"/>
        <v>ERTE</v>
      </c>
      <c r="AS14" s="82" t="str">
        <f t="shared" si="4"/>
        <v>IT</v>
      </c>
      <c r="AT14" s="82" t="str">
        <f t="shared" si="4"/>
        <v>[ocultar]</v>
      </c>
      <c r="AU14" s="83" t="s">
        <v>219</v>
      </c>
      <c r="AV14" s="84" t="s">
        <v>212</v>
      </c>
    </row>
    <row r="15" spans="1:51" ht="17.25" thickBot="1" x14ac:dyDescent="0.35">
      <c r="A15" s="42" t="str">
        <f>+A16</f>
        <v/>
      </c>
      <c r="B15" s="90" t="s">
        <v>298</v>
      </c>
      <c r="C15" s="109"/>
      <c r="D15" s="41"/>
      <c r="E15" s="41"/>
      <c r="F15" s="41"/>
      <c r="G15" s="41"/>
      <c r="H15" s="41"/>
      <c r="I15" s="119">
        <f t="shared" ref="I15" si="5">IFERROR((I16-I17)/I16,"")</f>
        <v>0</v>
      </c>
      <c r="J15" s="123">
        <f>IFERROR((J16-J17)/J16,"")</f>
        <v>0.54635890646790131</v>
      </c>
      <c r="K15" s="123">
        <f t="shared" ref="K15:AV15" si="6">IFERROR((K16-K17)/K16,"")</f>
        <v>-1.5323848842398689E-16</v>
      </c>
      <c r="L15" s="123" t="str">
        <f t="shared" si="6"/>
        <v/>
      </c>
      <c r="M15" s="123" t="str">
        <f t="shared" si="6"/>
        <v/>
      </c>
      <c r="N15" s="123">
        <f t="shared" si="6"/>
        <v>1</v>
      </c>
      <c r="O15" s="123">
        <f t="shared" si="6"/>
        <v>1</v>
      </c>
      <c r="P15" s="123">
        <f t="shared" si="6"/>
        <v>0</v>
      </c>
      <c r="Q15" s="123" t="str">
        <f t="shared" si="6"/>
        <v/>
      </c>
      <c r="R15" s="123" t="str">
        <f t="shared" si="6"/>
        <v/>
      </c>
      <c r="S15" s="123" t="str">
        <f t="shared" si="6"/>
        <v/>
      </c>
      <c r="T15" s="123" t="str">
        <f t="shared" si="6"/>
        <v/>
      </c>
      <c r="U15" s="123" t="str">
        <f t="shared" si="6"/>
        <v/>
      </c>
      <c r="V15" s="123" t="str">
        <f t="shared" si="6"/>
        <v/>
      </c>
      <c r="W15" s="123" t="str">
        <f t="shared" si="6"/>
        <v/>
      </c>
      <c r="X15" s="123" t="str">
        <f t="shared" si="6"/>
        <v/>
      </c>
      <c r="Y15" s="123" t="str">
        <f t="shared" si="6"/>
        <v/>
      </c>
      <c r="Z15" s="122" t="str">
        <f t="shared" si="6"/>
        <v/>
      </c>
      <c r="AA15" s="122" t="str">
        <f t="shared" si="6"/>
        <v/>
      </c>
      <c r="AB15" s="122" t="str">
        <f t="shared" si="6"/>
        <v/>
      </c>
      <c r="AC15" s="122" t="str">
        <f t="shared" si="6"/>
        <v/>
      </c>
      <c r="AD15" s="122" t="str">
        <f t="shared" si="6"/>
        <v/>
      </c>
      <c r="AE15" s="122" t="str">
        <f t="shared" si="6"/>
        <v/>
      </c>
      <c r="AF15" s="122" t="str">
        <f t="shared" si="6"/>
        <v/>
      </c>
      <c r="AG15" s="122" t="str">
        <f t="shared" si="6"/>
        <v/>
      </c>
      <c r="AH15" s="122" t="str">
        <f t="shared" si="6"/>
        <v/>
      </c>
      <c r="AI15" s="122" t="str">
        <f t="shared" si="6"/>
        <v/>
      </c>
      <c r="AJ15" s="122" t="str">
        <f t="shared" si="6"/>
        <v/>
      </c>
      <c r="AK15" s="122" t="str">
        <f t="shared" si="6"/>
        <v/>
      </c>
      <c r="AL15" s="122" t="str">
        <f t="shared" si="6"/>
        <v/>
      </c>
      <c r="AM15" s="122" t="str">
        <f t="shared" si="6"/>
        <v/>
      </c>
      <c r="AN15" s="124">
        <f t="shared" si="6"/>
        <v>0.45133453058662454</v>
      </c>
      <c r="AO15" s="128">
        <f t="shared" si="6"/>
        <v>0.29360098817455815</v>
      </c>
      <c r="AP15" s="125" t="str">
        <f t="shared" si="6"/>
        <v/>
      </c>
      <c r="AQ15" s="125" t="str">
        <f t="shared" si="6"/>
        <v/>
      </c>
      <c r="AR15" s="125" t="str">
        <f t="shared" si="6"/>
        <v/>
      </c>
      <c r="AS15" s="125" t="str">
        <f t="shared" si="6"/>
        <v/>
      </c>
      <c r="AT15" s="125" t="str">
        <f t="shared" si="6"/>
        <v/>
      </c>
      <c r="AU15" s="126" t="str">
        <f t="shared" si="6"/>
        <v/>
      </c>
      <c r="AV15" s="127">
        <f t="shared" si="6"/>
        <v>0.29360098817455815</v>
      </c>
    </row>
    <row r="16" spans="1:51" x14ac:dyDescent="0.3">
      <c r="A16" s="42" t="str">
        <f>+IF(C16+C17=0,"[ocultar]","")</f>
        <v/>
      </c>
      <c r="B16" s="86" t="s">
        <v>162</v>
      </c>
      <c r="C16" s="33">
        <f t="array" ref="C16">SUM(IF($B16=DATOS_[Sexo],
IF($B15=DATOS_[AGRUP. CLAS. PROF.],
IF("Dentro"=DATOS_[Check Periodo Ref.],
1/(COUNTIFS(DATOS_[Sexo],$B16,DATOS_[AGRUP. CLAS. PROF.],$B15,DATOS_[Check Periodo Ref.],"Dentro",DATOS_[id],DATOS_[id]))))))</f>
        <v>8</v>
      </c>
      <c r="D16" s="35">
        <f>COUNTIFS(DATOS_[AGRUP. CLAS. PROF.],$B15,DATOS_[Sexo],$B16,DATOS_[Check Periodo Ref.],"Dentro")</f>
        <v>8</v>
      </c>
      <c r="E16" s="35">
        <f>COUNTIFS(DATOS_[AGRUP. CLAS. PROF.],$B15,DATOS_[Sexo],$B16,DATOS_[Check Periodo Ref.],"Dentro",DATOS_[Check Nº SC Norm],"Sí")</f>
        <v>1</v>
      </c>
      <c r="F16" s="35">
        <f>COUNTIFS(DATOS_[AGRUP. CLAS. PROF.],$B15,DATOS_[Sexo],$B16,DATOS_[Check Periodo Ref.],"Dentro",DATOS_[Check Nº SC Anualiz],"Sí")</f>
        <v>0</v>
      </c>
      <c r="G16" s="35">
        <f>COUNTIFS(DATOS_[AGRUP. CLAS. PROF.],$B15,DATOS_[Sexo],$B16,DATOS_[Check Periodo Ref.],"Dentro",DATOS_[Check Nº SC Norm y Anualiz],"Sí")</f>
        <v>0</v>
      </c>
      <c r="H16" s="35">
        <f>COUNTIFS(DATOS_[AGRUP. CLAS. PROF.],$B15,DATOS_[Sexo],$B16,DATOS_[Check Periodo Ref.],"Dentro",DATOS_[Check Equiparación],"Sí")</f>
        <v>1</v>
      </c>
      <c r="I16" s="110">
        <f t="array" ref="I16">IFERROR(
MEDIAN(IF(DATOS_[Sexo]=$B16,IF(DATOS_[[AGRUP. CLAS. PROF.]:[AGRUP. CLAS. PROF.]]=$B15,IF(DATOS_[Check Equiparado]="Sí",IF(DATOS_[Check Periodo Ref.]="Dentro",DATOS_[SALARIO BASE Eq],FALSE))))),
0)</f>
        <v>18547.37</v>
      </c>
      <c r="J16" s="111">
        <f t="array" ref="J16">IFERROR(
(MEDIAN((IF(DATOS_[[Sexo]:[Sexo]]=$B16,IF(DATOS_[[AGRUP. CLAS. PROF.]:[AGRUP. CLAS. PROF.]]=$B15,IF(DATOS_[[Check Periodo Ref.]:[Check Periodo Ref.]]="Dentro",IF(DATOS_[[Check Equiparado]:[Check Equiparado]]="Sí",IF(DATOS!AE$5="Sí",(1/DATOS_[[% anualiz]:[% anualiz]]),1)*IF(DATOS!AE$4="Sí",1/DATOS_[[% normaliz]:[% normaliz]],1)*(DATOS_[Conc.Sal.01])))))))),
0)</f>
        <v>26452.629999999997</v>
      </c>
      <c r="K16" s="111">
        <f t="array" ref="K16">IFERROR(
(MEDIAN((IF(DATOS_[[Sexo]:[Sexo]]=$B16,IF(DATOS_[[AGRUP. CLAS. PROF.]:[AGRUP. CLAS. PROF.]]=$B15,IF(DATOS_[[Check Periodo Ref.]:[Check Periodo Ref.]]="Dentro",IF(DATOS_[[Check Equiparado]:[Check Equiparado]]="Sí",IF(DATOS!AF$5="Sí",(1/DATOS_[[% anualiz]:[% anualiz]]),1)*IF(DATOS!AF$4="Sí",1/DATOS_[[% normaliz]:[% normaliz]],1)*(DATOS_[Conc.Sal.02])))))))),
0)</f>
        <v>1483.7895999999996</v>
      </c>
      <c r="L16" s="111">
        <f t="array" ref="L16">IFERROR(
(MEDIAN((IF(DATOS_[[Sexo]:[Sexo]]=$B16,IF(DATOS_[[AGRUP. CLAS. PROF.]:[AGRUP. CLAS. PROF.]]=$B15,IF(DATOS_[[Check Periodo Ref.]:[Check Periodo Ref.]]="Dentro",IF(DATOS_[[Check Equiparado]:[Check Equiparado]]="Sí",IF(DATOS!AG$5="Sí",(1/DATOS_[[% anualiz]:[% anualiz]]),1)*IF(DATOS!AG$4="Sí",1/DATOS_[[% normaliz]:[% normaliz]],1)*(DATOS_[Conc.Sal.03])))))))),
0)</f>
        <v>0</v>
      </c>
      <c r="M16" s="111">
        <f t="array" ref="M16">IFERROR(
(MEDIAN((IF(DATOS_[[Sexo]:[Sexo]]=$B16,IF(DATOS_[[AGRUP. CLAS. PROF.]:[AGRUP. CLAS. PROF.]]=$B15,IF(DATOS_[[Check Periodo Ref.]:[Check Periodo Ref.]]="Dentro",IF(DATOS_[[Check Equiparado]:[Check Equiparado]]="Sí",IF(DATOS!AH$5="Sí",(1/DATOS_[[% anualiz]:[% anualiz]]),1)*IF(DATOS!AH$4="Sí",1/DATOS_[[% normaliz]:[% normaliz]],1)*(DATOS_[Conc.Sal.04])))))))),
0)</f>
        <v>0</v>
      </c>
      <c r="N16" s="111">
        <f t="array" ref="N16">IFERROR(
(MEDIAN((IF(DATOS_[[Sexo]:[Sexo]]=$B16,IF(DATOS_[[AGRUP. CLAS. PROF.]:[AGRUP. CLAS. PROF.]]=$B15,IF(DATOS_[[Check Periodo Ref.]:[Check Periodo Ref.]]="Dentro",IF(DATOS_[[Check Equiparado]:[Check Equiparado]]="Sí",IF(DATOS!AI$5="Sí",(1/DATOS_[[% anualiz]:[% anualiz]]),1)*IF(DATOS!AI$4="Sí",1/DATOS_[[% normaliz]:[% normaliz]],1)*(DATOS_[Conc.Sal.05])))))))),
0)</f>
        <v>4000</v>
      </c>
      <c r="O16" s="111">
        <f t="array" ref="O16">IFERROR(
(MEDIAN((IF(DATOS_[[Sexo]:[Sexo]]=$B16,IF(DATOS_[[AGRUP. CLAS. PROF.]:[AGRUP. CLAS. PROF.]]=$B15,IF(DATOS_[[Check Periodo Ref.]:[Check Periodo Ref.]]="Dentro",IF(DATOS_[[Check Equiparado]:[Check Equiparado]]="Sí",IF(DATOS!AJ$5="Sí",(1/DATOS_[[% anualiz]:[% anualiz]]),1)*IF(DATOS!AJ$4="Sí",1/DATOS_[[% normaliz]:[% normaliz]],1)*(DATOS_[Conc.Sal.06])))))))),
0)</f>
        <v>3000</v>
      </c>
      <c r="P16" s="111">
        <f t="array" ref="P16">IFERROR(
(MEDIAN((IF(DATOS_[[Sexo]:[Sexo]]=$B16,IF(DATOS_[[AGRUP. CLAS. PROF.]:[AGRUP. CLAS. PROF.]]=$B15,IF(DATOS_[[Check Periodo Ref.]:[Check Periodo Ref.]]="Dentro",IF(DATOS_[[Check Equiparado]:[Check Equiparado]]="Sí",IF(DATOS!AK$5="Sí",(1/DATOS_[[% anualiz]:[% anualiz]]),1)*IF(DATOS!AK$4="Sí",1/DATOS_[[% normaliz]:[% normaliz]],1)*(DATOS_[Conc.Sal.07])))))))),
0)</f>
        <v>200</v>
      </c>
      <c r="Q16" s="111">
        <f t="array" ref="Q16">IFERROR(
(MEDIAN((IF(DATOS_[[Sexo]:[Sexo]]=$B16,IF(DATOS_[[AGRUP. CLAS. PROF.]:[AGRUP. CLAS. PROF.]]=$B15,IF(DATOS_[[Check Periodo Ref.]:[Check Periodo Ref.]]="Dentro",IF(DATOS_[[Check Equiparado]:[Check Equiparado]]="Sí",IF(DATOS!AL$5="Sí",(1/DATOS_[[% anualiz]:[% anualiz]]),1)*IF(DATOS!AL$4="Sí",1/DATOS_[[% normaliz]:[% normaliz]],1)*(DATOS_[Conc.Sal.08])))))))),
0)</f>
        <v>0</v>
      </c>
      <c r="R16" s="111">
        <f t="array" ref="R16">IFERROR(
(MEDIAN((IF(DATOS_[[Sexo]:[Sexo]]=$B16,IF(DATOS_[[AGRUP. CLAS. PROF.]:[AGRUP. CLAS. PROF.]]=$B15,IF(DATOS_[[Check Periodo Ref.]:[Check Periodo Ref.]]="Dentro",IF(DATOS_[[Check Equiparado]:[Check Equiparado]]="Sí",IF(DATOS!AM$5="Sí",(1/DATOS_[[% anualiz]:[% anualiz]]),1)*IF(DATOS!AM$4="Sí",1/DATOS_[[% normaliz]:[% normaliz]],1)*(DATOS_[Conc.Sal.09])))))))),
0)</f>
        <v>0</v>
      </c>
      <c r="S16" s="111">
        <f t="array" ref="S16">IFERROR(
(MEDIAN((IF(DATOS_[[Sexo]:[Sexo]]=$B16,IF(DATOS_[[AGRUP. CLAS. PROF.]:[AGRUP. CLAS. PROF.]]=$B15,IF(DATOS_[[Check Periodo Ref.]:[Check Periodo Ref.]]="Dentro",IF(DATOS_[[Check Equiparado]:[Check Equiparado]]="Sí",IF(DATOS!AN$5="Sí",(1/DATOS_[[% anualiz]:[% anualiz]]),1)*IF(DATOS!AN$4="Sí",1/DATOS_[[% normaliz]:[% normaliz]],1)*(DATOS_[Conc.Sal.10])))))))),
0)</f>
        <v>0</v>
      </c>
      <c r="T16" s="111">
        <f t="array" ref="T16">IFERROR(
(MEDIAN((IF(DATOS_[[Sexo]:[Sexo]]=$B16,IF(DATOS_[[AGRUP. CLAS. PROF.]:[AGRUP. CLAS. PROF.]]=$B15,IF(DATOS_[[Check Periodo Ref.]:[Check Periodo Ref.]]="Dentro",IF(DATOS_[[Check Equiparado]:[Check Equiparado]]="Sí",IF(DATOS!AO$5="Sí",(1/DATOS_[[% anualiz]:[% anualiz]]),1)*IF(DATOS!AO$4="Sí",1/DATOS_[[% normaliz]:[% normaliz]],1)*(DATOS_[Conc.Sal.11])))))))),
0)</f>
        <v>0</v>
      </c>
      <c r="U16" s="111">
        <f t="array" ref="U16">IFERROR(
(MEDIAN((IF(DATOS_[[Sexo]:[Sexo]]=$B16,IF(DATOS_[[AGRUP. CLAS. PROF.]:[AGRUP. CLAS. PROF.]]=$B15,IF(DATOS_[[Check Periodo Ref.]:[Check Periodo Ref.]]="Dentro",IF(DATOS_[[Check Equiparado]:[Check Equiparado]]="Sí",IF(DATOS!AP$5="Sí",(1/DATOS_[[% anualiz]:[% anualiz]]),1)*IF(DATOS!AP$4="Sí",1/DATOS_[[% normaliz]:[% normaliz]],1)*(DATOS_[Conc.Sal.12])))))))),
0)</f>
        <v>0</v>
      </c>
      <c r="V16" s="111">
        <f t="array" ref="V16">IFERROR(
(MEDIAN((IF(DATOS_[[Sexo]:[Sexo]]=$B16,IF(DATOS_[[AGRUP. CLAS. PROF.]:[AGRUP. CLAS. PROF.]]=$B15,IF(DATOS_[[Check Periodo Ref.]:[Check Periodo Ref.]]="Dentro",IF(DATOS_[[Check Equiparado]:[Check Equiparado]]="Sí",IF(DATOS!AQ$5="Sí",(1/DATOS_[[% anualiz]:[% anualiz]]),1)*IF(DATOS!AQ$4="Sí",1/DATOS_[[% normaliz]:[% normaliz]],1)*(DATOS_[Conc.Sal.13])))))))),
0)</f>
        <v>0</v>
      </c>
      <c r="W16" s="111">
        <f t="array" ref="W16">IFERROR(
(MEDIAN((IF(DATOS_[[Sexo]:[Sexo]]=$B16,IF(DATOS_[[AGRUP. CLAS. PROF.]:[AGRUP. CLAS. PROF.]]=$B15,IF(DATOS_[[Check Periodo Ref.]:[Check Periodo Ref.]]="Dentro",IF(DATOS_[[Check Equiparado]:[Check Equiparado]]="Sí",IF(DATOS!AR$5="Sí",(1/DATOS_[[% anualiz]:[% anualiz]]),1)*IF(DATOS!AR$4="Sí",1/DATOS_[[% normaliz]:[% normaliz]],1)*(DATOS_[Conc.Sal.14])))))))),
0)</f>
        <v>0</v>
      </c>
      <c r="X16" s="111">
        <f t="array" ref="X16">IFERROR(
(MEDIAN((IF(DATOS_[[Sexo]:[Sexo]]=$B16,IF(DATOS_[[AGRUP. CLAS. PROF.]:[AGRUP. CLAS. PROF.]]=$B15,IF(DATOS_[[Check Periodo Ref.]:[Check Periodo Ref.]]="Dentro",IF(DATOS_[[Check Equiparado]:[Check Equiparado]]="Sí",IF(DATOS!AS$5="Sí",(1/DATOS_[[% anualiz]:[% anualiz]]),1)*IF(DATOS!AS$4="Sí",1/DATOS_[[% normaliz]:[% normaliz]],1)*(DATOS_[Conc.Sal.15])))))))),
0)</f>
        <v>0</v>
      </c>
      <c r="Y16" s="111">
        <f t="array" ref="Y16">IFERROR(
(MEDIAN((IF(DATOS_[[Sexo]:[Sexo]]=$B16,IF(DATOS_[[AGRUP. CLAS. PROF.]:[AGRUP. CLAS. PROF.]]=$B15,IF(DATOS_[[Check Periodo Ref.]:[Check Periodo Ref.]]="Dentro",IF(DATOS_[[Check Equiparado]:[Check Equiparado]]="Sí",IF(DATOS!AT$5="Sí",(1/DATOS_[[% anualiz]:[% anualiz]]),1)*IF(DATOS!AT$4="Sí",1/DATOS_[[% normaliz]:[% normaliz]],1)*(DATOS_[Conc.Sal.16])))))))),
0)</f>
        <v>0</v>
      </c>
      <c r="Z16" s="111">
        <f t="array" ref="Z16">IFERROR(
(MEDIAN((IF(DATOS_[[Sexo]:[Sexo]]=$B16,IF(DATOS_[[AGRUP. CLAS. PROF.]:[AGRUP. CLAS. PROF.]]=$B15,IF(DATOS_[[Check Periodo Ref.]:[Check Periodo Ref.]]="Dentro",IF(DATOS_[[Check Equiparado]:[Check Equiparado]]="Sí",IF(DATOS!AU$5="Sí",(1/DATOS_[[% anualiz]:[% anualiz]]),1)*IF(DATOS!AU$4="Sí",1/DATOS_[[% normaliz]:[% normaliz]],1)*(DATOS_[Conc.Sal.17])))))))),
0)</f>
        <v>0</v>
      </c>
      <c r="AA16" s="111">
        <f t="array" ref="AA16">IFERROR(
(MEDIAN((IF(DATOS_[[Sexo]:[Sexo]]=$B16,IF(DATOS_[[AGRUP. CLAS. PROF.]:[AGRUP. CLAS. PROF.]]=$B15,IF(DATOS_[[Check Periodo Ref.]:[Check Periodo Ref.]]="Dentro",IF(DATOS_[[Check Equiparado]:[Check Equiparado]]="Sí",IF(DATOS!AV$5="Sí",(1/DATOS_[[% anualiz]:[% anualiz]]),1)*IF(DATOS!AV$4="Sí",1/DATOS_[[% normaliz]:[% normaliz]],1)*(DATOS_[Conc.Sal.18])))))))),
0)</f>
        <v>0</v>
      </c>
      <c r="AB16" s="111">
        <f t="array" ref="AB16">IFERROR(
(MEDIAN((IF(DATOS_[[Sexo]:[Sexo]]=$B16,IF(DATOS_[[AGRUP. CLAS. PROF.]:[AGRUP. CLAS. PROF.]]=$B15,IF(DATOS_[[Check Periodo Ref.]:[Check Periodo Ref.]]="Dentro",IF(DATOS_[[Check Equiparado]:[Check Equiparado]]="Sí",IF(DATOS!AW$5="Sí",(1/DATOS_[[% anualiz]:[% anualiz]]),1)*IF(DATOS!AW$4="Sí",1/DATOS_[[% normaliz]:[% normaliz]],1)*(DATOS_[Conc.Sal.19])))))))),
0)</f>
        <v>0</v>
      </c>
      <c r="AC16" s="111">
        <f t="array" ref="AC16">IFERROR(
(MEDIAN((IF(DATOS_[[Sexo]:[Sexo]]=$B16,IF(DATOS_[[AGRUP. CLAS. PROF.]:[AGRUP. CLAS. PROF.]]=$B15,IF(DATOS_[[Check Periodo Ref.]:[Check Periodo Ref.]]="Dentro",IF(DATOS_[[Check Equiparado]:[Check Equiparado]]="Sí",IF(DATOS!AX$5="Sí",(1/DATOS_[[% anualiz]:[% anualiz]]),1)*IF(DATOS!AX$4="Sí",1/DATOS_[[% normaliz]:[% normaliz]],1)*(DATOS_[Conc.Sal.20])))))))),
0)</f>
        <v>0</v>
      </c>
      <c r="AD16" s="111">
        <f t="array" ref="AD16">IFERROR(
(MEDIAN((IF(DATOS_[[Sexo]:[Sexo]]=$B16,IF(DATOS_[[AGRUP. CLAS. PROF.]:[AGRUP. CLAS. PROF.]]=$B15,IF(DATOS_[[Check Periodo Ref.]:[Check Periodo Ref.]]="Dentro",IF(DATOS_[[Check Equiparado]:[Check Equiparado]]="Sí",IF(DATOS!AY$5="Sí",(1/DATOS_[[% anualiz]:[% anualiz]]),1)*IF(DATOS!AY$4="Sí",1/DATOS_[[% normaliz]:[% normaliz]],1)*(DATOS_[Conc.Sal.21])))))))),
0)</f>
        <v>0</v>
      </c>
      <c r="AE16" s="111">
        <f t="array" ref="AE16">IFERROR(
(MEDIAN((IF(DATOS_[[Sexo]:[Sexo]]=$B16,IF(DATOS_[[AGRUP. CLAS. PROF.]:[AGRUP. CLAS. PROF.]]=$B15,IF(DATOS_[[Check Periodo Ref.]:[Check Periodo Ref.]]="Dentro",IF(DATOS_[[Check Equiparado]:[Check Equiparado]]="Sí",IF(DATOS!AZ$5="Sí",(1/DATOS_[[% anualiz]:[% anualiz]]),1)*IF(DATOS!AZ$4="Sí",1/DATOS_[[% normaliz]:[% normaliz]],1)*(DATOS_[Conc.Sal.22])))))))),
0)</f>
        <v>0</v>
      </c>
      <c r="AF16" s="111">
        <f t="array" ref="AF16">IFERROR(
(MEDIAN((IF(DATOS_[[Sexo]:[Sexo]]=$B16,IF(DATOS_[[AGRUP. CLAS. PROF.]:[AGRUP. CLAS. PROF.]]=$B15,IF(DATOS_[[Check Periodo Ref.]:[Check Periodo Ref.]]="Dentro",IF(DATOS_[[Check Equiparado]:[Check Equiparado]]="Sí",IF(DATOS!BA$5="Sí",(1/DATOS_[[% anualiz]:[% anualiz]]),1)*IF(DATOS!BA$4="Sí",1/DATOS_[[% normaliz]:[% normaliz]],1)*(DATOS_[Conc.Sal.23])))))))),
0)</f>
        <v>0</v>
      </c>
      <c r="AG16" s="111">
        <f t="array" ref="AG16">IFERROR(
(MEDIAN((IF(DATOS_[[Sexo]:[Sexo]]=$B16,IF(DATOS_[[AGRUP. CLAS. PROF.]:[AGRUP. CLAS. PROF.]]=$B15,IF(DATOS_[[Check Periodo Ref.]:[Check Periodo Ref.]]="Dentro",IF(DATOS_[[Check Equiparado]:[Check Equiparado]]="Sí",IF(DATOS!BB$5="Sí",(1/DATOS_[[% anualiz]:[% anualiz]]),1)*IF(DATOS!BB$4="Sí",1/DATOS_[[% normaliz]:[% normaliz]],1)*(DATOS_[Conc.Sal.24])))))))),
0)</f>
        <v>0</v>
      </c>
      <c r="AH16" s="111">
        <f t="array" ref="AH16">IFERROR(
(MEDIAN((IF(DATOS_[[Sexo]:[Sexo]]=$B16,IF(DATOS_[[AGRUP. CLAS. PROF.]:[AGRUP. CLAS. PROF.]]=$B15,IF(DATOS_[[Check Periodo Ref.]:[Check Periodo Ref.]]="Dentro",IF(DATOS_[[Check Equiparado]:[Check Equiparado]]="Sí",IF(DATOS!BC$5="Sí",(1/DATOS_[[% anualiz]:[% anualiz]]),1)*IF(DATOS!BC$4="Sí",1/DATOS_[[% normaliz]:[% normaliz]],1)*(DATOS_[Conc.Sal.25])))))))),
0)</f>
        <v>0</v>
      </c>
      <c r="AI16" s="111">
        <f t="array" ref="AI16">IFERROR(
(MEDIAN((IF(DATOS_[[Sexo]:[Sexo]]=$B16,IF(DATOS_[[AGRUP. CLAS. PROF.]:[AGRUP. CLAS. PROF.]]=$B15,IF(DATOS_[[Check Periodo Ref.]:[Check Periodo Ref.]]="Dentro",IF(DATOS_[[Check Equiparado]:[Check Equiparado]]="Sí",IF(DATOS!BD$5="Sí",(1/DATOS_[[% anualiz]:[% anualiz]]),1)*IF(DATOS!BD$4="Sí",1/DATOS_[[% normaliz]:[% normaliz]],1)*(DATOS_[Conc.Sal.26])))))))),
0)</f>
        <v>0</v>
      </c>
      <c r="AJ16" s="111">
        <f t="array" ref="AJ16">IFERROR(
(MEDIAN((IF(DATOS_[[Sexo]:[Sexo]]=$B16,IF(DATOS_[[AGRUP. CLAS. PROF.]:[AGRUP. CLAS. PROF.]]=$B15,IF(DATOS_[[Check Periodo Ref.]:[Check Periodo Ref.]]="Dentro",IF(DATOS_[[Check Equiparado]:[Check Equiparado]]="Sí",IF(DATOS!BE$5="Sí",(1/DATOS_[[% anualiz]:[% anualiz]]),1)*IF(DATOS!BE$4="Sí",1/DATOS_[[% normaliz]:[% normaliz]],1)*(DATOS_[Conc.Sal.27])))))))),
0)</f>
        <v>0</v>
      </c>
      <c r="AK16" s="111">
        <f t="array" ref="AK16">IFERROR(
(MEDIAN((IF(DATOS_[[Sexo]:[Sexo]]=$B16,IF(DATOS_[[AGRUP. CLAS. PROF.]:[AGRUP. CLAS. PROF.]]=$B15,IF(DATOS_[[Check Periodo Ref.]:[Check Periodo Ref.]]="Dentro",IF(DATOS_[[Check Equiparado]:[Check Equiparado]]="Sí",IF(DATOS!BF$5="Sí",(1/DATOS_[[% anualiz]:[% anualiz]]),1)*IF(DATOS!BF$4="Sí",1/DATOS_[[% normaliz]:[% normaliz]],1)*(DATOS_[Conc.Sal.28])))))))),
0)</f>
        <v>0</v>
      </c>
      <c r="AL16" s="111">
        <f t="array" ref="AL16">IFERROR(
(MEDIAN((IF(DATOS_[[Sexo]:[Sexo]]=$B16,IF(DATOS_[[AGRUP. CLAS. PROF.]:[AGRUP. CLAS. PROF.]]=$B15,IF(DATOS_[[Check Periodo Ref.]:[Check Periodo Ref.]]="Dentro",IF(DATOS_[[Check Equiparado]:[Check Equiparado]]="Sí",IF(DATOS!BG$5="Sí",(1/DATOS_[[% anualiz]:[% anualiz]]),1)*IF(DATOS!BG$4="Sí",1/DATOS_[[% normaliz]:[% normaliz]],1)*(DATOS_[Conc.Sal.29])))))))),
0)</f>
        <v>0</v>
      </c>
      <c r="AM16" s="111">
        <f t="array" ref="AM16">IFERROR(
(MEDIAN((IF(DATOS_[[Sexo]:[Sexo]]=$B16,IF(DATOS_[[AGRUP. CLAS. PROF.]:[AGRUP. CLAS. PROF.]]=$B15,IF(DATOS_[[Check Periodo Ref.]:[Check Periodo Ref.]]="Dentro",IF(DATOS_[[Check Equiparado]:[Check Equiparado]]="Sí",IF(DATOS!BH$5="Sí",(1/DATOS_[[% anualiz]:[% anualiz]]),1)*IF(DATOS!BH$4="Sí",1/DATOS_[[% normaliz]:[% normaliz]],1)*(DATOS_[Conc.Sal.30])))))))),
0)</f>
        <v>0</v>
      </c>
      <c r="AN16" s="112">
        <f t="array" ref="AN16">IFERROR(
MEDIAN(IF(DATOS_[Sexo]=$B16,IF(DATOS_[[AGRUP. CLAS. PROF.]:[AGRUP. CLAS. PROF.]]=$B15,IF(DATOS_[Check Equiparado]="Sí",IF(DATOS_[Check Periodo Ref.]="Dentro",DATOS_[Tot COMPL.SAL Eq],FALSE))))),
0)</f>
        <v>34523.577400000002</v>
      </c>
      <c r="AO16" s="113">
        <f t="array" ref="AO16">IFERROR(
MEDIAN(IF(DATOS_[Sexo]=$B16,IF(DATOS_[[AGRUP. CLAS. PROF.]:[AGRUP. CLAS. PROF.]]=$B15,IF(DATOS_[Check Equiparado]="Sí",IF(DATOS_[Check Periodo Ref.]="Dentro",DATOS_[TOTAL SALARIO Eq],FALSE))))),
0)</f>
        <v>53070.947400000005</v>
      </c>
      <c r="AP16" s="114">
        <f t="array" ref="AP16">IFERROR(
(MEDIAN((IF(DATOS_[[Sexo]:[Sexo]]=$B16,IF(DATOS_[[AGRUP. CLAS. PROF.]:[AGRUP. CLAS. PROF.]]=$B15,IF(DATOS_[[Check Periodo Ref.]:[Check Periodo Ref.]]="Dentro",IF(DATOS_[[Check Equiparado]:[Check Equiparado]]="Sí",IF(DATOS!BI$5="Sí",(1/DATOS_[[% anualiz]:[% anualiz]]),1)*IF(DATOS!BI$4="Sí",1/DATOS_[[% normaliz]:[% normaliz]],1)*(DATOS_[C.Extra.01])))))))),
0)</f>
        <v>0</v>
      </c>
      <c r="AQ16" s="114">
        <f t="array" ref="AQ16">IFERROR(
(MEDIAN((IF(DATOS_[[Sexo]:[Sexo]]=$B16,IF(DATOS_[[AGRUP. CLAS. PROF.]:[AGRUP. CLAS. PROF.]]=$B15,IF(DATOS_[[Check Periodo Ref.]:[Check Periodo Ref.]]="Dentro",IF(DATOS_[[Check Equiparado]:[Check Equiparado]]="Sí",IF(DATOS!BJ$5="Sí",(1/DATOS_[[% anualiz]:[% anualiz]]),1)*IF(DATOS!BJ$4="Sí",1/DATOS_[[% normaliz]:[% normaliz]],1)*(DATOS_[C.Extra.02])))))))),
0)</f>
        <v>0</v>
      </c>
      <c r="AR16" s="114">
        <f t="array" ref="AR16">IFERROR(
(MEDIAN((IF(DATOS_[[Sexo]:[Sexo]]=$B16,IF(DATOS_[[AGRUP. CLAS. PROF.]:[AGRUP. CLAS. PROF.]]=$B15,IF(DATOS_[[Check Periodo Ref.]:[Check Periodo Ref.]]="Dentro",IF(DATOS_[[Check Equiparado]:[Check Equiparado]]="Sí",IF(DATOS!BK$5="Sí",(1/DATOS_[[% anualiz]:[% anualiz]]),1)*IF(DATOS!BK$4="Sí",1/DATOS_[[% normaliz]:[% normaliz]],1)*(DATOS_[C.Extra.03])))))))),
0)</f>
        <v>0</v>
      </c>
      <c r="AS16" s="114">
        <f t="array" ref="AS16">IFERROR(
(MEDIAN((IF(DATOS_[[Sexo]:[Sexo]]=$B16,IF(DATOS_[[AGRUP. CLAS. PROF.]:[AGRUP. CLAS. PROF.]]=$B15,IF(DATOS_[[Check Periodo Ref.]:[Check Periodo Ref.]]="Dentro",IF(DATOS_[[Check Equiparado]:[Check Equiparado]]="Sí",IF(DATOS!BL$5="Sí",(1/DATOS_[[% anualiz]:[% anualiz]]),1)*IF(DATOS!BL$4="Sí",1/DATOS_[[% normaliz]:[% normaliz]],1)*(DATOS_[C.Extra.04])))))))),
0)</f>
        <v>0</v>
      </c>
      <c r="AT16" s="114">
        <f t="array" ref="AT16">IFERROR(
(MEDIAN((IF(DATOS_[[Sexo]:[Sexo]]=$B16,IF(DATOS_[[AGRUP. CLAS. PROF.]:[AGRUP. CLAS. PROF.]]=$B15,IF(DATOS_[[Check Periodo Ref.]:[Check Periodo Ref.]]="Dentro",IF(DATOS_[[Check Equiparado]:[Check Equiparado]]="Sí",IF(DATOS!BM$5="Sí",(1/DATOS_[[% anualiz]:[% anualiz]]),1)*IF(DATOS!BM$4="Sí",1/DATOS_[[% normaliz]:[% normaliz]],1)*(DATOS_[C.Extra.05])))))))),
0)</f>
        <v>0</v>
      </c>
      <c r="AU16" s="115">
        <f t="array" ref="AU16">IFERROR(
MEDIAN(IF(DATOS_[Sexo]=$B16,IF(DATOS_[[AGRUP. CLAS. PROF.]:[AGRUP. CLAS. PROF.]]=$B15,IF(DATOS_[Check Equiparado]="Sí",IF(DATOS_[Check Periodo Ref.]="Dentro",DATOS_[Tot Extrasalarial Eq],FALSE))))),
0)</f>
        <v>0</v>
      </c>
      <c r="AV16" s="116">
        <f t="array" ref="AV16">IFERROR(
MEDIAN(IF(DATOS_[Sexo]=$B16,IF(DATOS_[[AGRUP. CLAS. PROF.]:[AGRUP. CLAS. PROF.]]=$B15,IF(DATOS_[Check Equiparado]="Sí",IF(DATOS_[Check Periodo Ref.]="Dentro",DATOS_[TOTAL Retrib Eq],FALSE))))),
0)</f>
        <v>53070.947400000005</v>
      </c>
    </row>
    <row r="17" spans="1:48" x14ac:dyDescent="0.3">
      <c r="A17" s="42" t="str">
        <f>+A16</f>
        <v/>
      </c>
      <c r="B17" s="86" t="s">
        <v>163</v>
      </c>
      <c r="C17" s="33">
        <f t="array" ref="C17">SUM(IF($B17=DATOS_[Sexo],
IF($B15=DATOS_[AGRUP. CLAS. PROF.],
IF("Dentro"=DATOS_[Check Periodo Ref.],
1/(COUNTIFS(DATOS_[Sexo],$B17,DATOS_[AGRUP. CLAS. PROF.],$B15,DATOS_[Check Periodo Ref.],"Dentro",DATOS_[id],DATOS_[id]))))))</f>
        <v>7</v>
      </c>
      <c r="D17" s="35">
        <f>COUNTIFS(DATOS_[AGRUP. CLAS. PROF.],$B15,DATOS_[Sexo],$B17,DATOS_[Check Periodo Ref.],"Dentro")</f>
        <v>8</v>
      </c>
      <c r="E17" s="35">
        <f>COUNTIFS(DATOS_[AGRUP. CLAS. PROF.],$B15,DATOS_[Sexo],$B17,DATOS_[Check Periodo Ref.],"Dentro",DATOS_[Check Nº SC Norm],"Sí")</f>
        <v>2</v>
      </c>
      <c r="F17" s="35">
        <f>COUNTIFS(DATOS_[AGRUP. CLAS. PROF.],$B15,DATOS_[Sexo],$B17,DATOS_[Check Periodo Ref.],"Dentro",DATOS_[Check Nº SC Anualiz],"Sí")</f>
        <v>1</v>
      </c>
      <c r="G17" s="35">
        <f>COUNTIFS(DATOS_[AGRUP. CLAS. PROF.],$B15,DATOS_[Sexo],$B17,DATOS_[Check Periodo Ref.],"Dentro",DATOS_[Check Nº SC Norm y Anualiz],"Sí")</f>
        <v>0</v>
      </c>
      <c r="H17" s="35">
        <f>COUNTIFS(DATOS_[AGRUP. CLAS. PROF.],$B15,DATOS_[Sexo],$B17,DATOS_[Check Periodo Ref.],"Dentro",DATOS_[Check Equiparación],"Sí")</f>
        <v>3</v>
      </c>
      <c r="I17" s="110" cm="1">
        <f t="array" ref="I17">IFERROR(
MEDIAN(IF(DATOS_[Sexo]=$B17,IF(DATOS_[[AGRUP. CLAS. PROF.]:[AGRUP. CLAS. PROF.]]=$B15,IF(DATOS_[Check Equiparado]="Sí",IF(DATOS_[Check Periodo Ref.]="Dentro",DATOS_[SALARIO BASE Eq],FALSE))))),
0)</f>
        <v>18547.37</v>
      </c>
      <c r="J17" s="111">
        <f t="array" ref="J17">IFERROR(
(MEDIAN((IF(DATOS_[[Sexo]:[Sexo]]=$B17,IF(DATOS_[[AGRUP. CLAS. PROF.]:[AGRUP. CLAS. PROF.]]=$B15,IF(DATOS_[[Check Periodo Ref.]:[Check Periodo Ref.]]="Dentro",IF(DATOS_[[Check Equiparado]:[Check Equiparado]]="Sí",IF(DATOS!AE$5="Sí",(1/DATOS_[[% anualiz]:[% anualiz]]),1)*IF(DATOS!AE$4="Sí",1/DATOS_[[% normaliz]:[% normaliz]],1)*(DATOS_[Conc.Sal.01])))))))),
0)</f>
        <v>12000</v>
      </c>
      <c r="K17" s="111">
        <f t="array" ref="K17">IFERROR(
(MEDIAN((IF(DATOS_[[Sexo]:[Sexo]]=$B17,IF(DATOS_[[AGRUP. CLAS. PROF.]:[AGRUP. CLAS. PROF.]]=$B15,IF(DATOS_[[Check Periodo Ref.]:[Check Periodo Ref.]]="Dentro",IF(DATOS_[[Check Equiparado]:[Check Equiparado]]="Sí",IF(DATOS!AF$5="Sí",(1/DATOS_[[% anualiz]:[% anualiz]]),1)*IF(DATOS!AF$4="Sí",1/DATOS_[[% normaliz]:[% normaliz]],1)*(DATOS_[Conc.Sal.02])))))))),
0)</f>
        <v>1483.7895999999998</v>
      </c>
      <c r="L17" s="111">
        <f t="array" ref="L17">IFERROR(
(MEDIAN((IF(DATOS_[[Sexo]:[Sexo]]=$B17,IF(DATOS_[[AGRUP. CLAS. PROF.]:[AGRUP. CLAS. PROF.]]=$B15,IF(DATOS_[[Check Periodo Ref.]:[Check Periodo Ref.]]="Dentro",IF(DATOS_[[Check Equiparado]:[Check Equiparado]]="Sí",IF(DATOS!AG$5="Sí",(1/DATOS_[[% anualiz]:[% anualiz]]),1)*IF(DATOS!AG$4="Sí",1/DATOS_[[% normaliz]:[% normaliz]],1)*(DATOS_[Conc.Sal.03])))))))),
0)</f>
        <v>0</v>
      </c>
      <c r="M17" s="111">
        <f t="array" ref="M17">IFERROR(
(MEDIAN((IF(DATOS_[[Sexo]:[Sexo]]=$B17,IF(DATOS_[[AGRUP. CLAS. PROF.]:[AGRUP. CLAS. PROF.]]=$B15,IF(DATOS_[[Check Periodo Ref.]:[Check Periodo Ref.]]="Dentro",IF(DATOS_[[Check Equiparado]:[Check Equiparado]]="Sí",IF(DATOS!AH$5="Sí",(1/DATOS_[[% anualiz]:[% anualiz]]),1)*IF(DATOS!AH$4="Sí",1/DATOS_[[% normaliz]:[% normaliz]],1)*(DATOS_[Conc.Sal.04])))))))),
0)</f>
        <v>0</v>
      </c>
      <c r="N17" s="111">
        <f t="array" ref="N17">IFERROR(
(MEDIAN((IF(DATOS_[[Sexo]:[Sexo]]=$B17,IF(DATOS_[[AGRUP. CLAS. PROF.]:[AGRUP. CLAS. PROF.]]=$B15,IF(DATOS_[[Check Periodo Ref.]:[Check Periodo Ref.]]="Dentro",IF(DATOS_[[Check Equiparado]:[Check Equiparado]]="Sí",IF(DATOS!AI$5="Sí",(1/DATOS_[[% anualiz]:[% anualiz]]),1)*IF(DATOS!AI$4="Sí",1/DATOS_[[% normaliz]:[% normaliz]],1)*(DATOS_[Conc.Sal.05])))))))),
0)</f>
        <v>0</v>
      </c>
      <c r="O17" s="111">
        <f t="array" ref="O17">IFERROR(
(MEDIAN((IF(DATOS_[[Sexo]:[Sexo]]=$B17,IF(DATOS_[[AGRUP. CLAS. PROF.]:[AGRUP. CLAS. PROF.]]=$B15,IF(DATOS_[[Check Periodo Ref.]:[Check Periodo Ref.]]="Dentro",IF(DATOS_[[Check Equiparado]:[Check Equiparado]]="Sí",IF(DATOS!AJ$5="Sí",(1/DATOS_[[% anualiz]:[% anualiz]]),1)*IF(DATOS!AJ$4="Sí",1/DATOS_[[% normaliz]:[% normaliz]],1)*(DATOS_[Conc.Sal.06])))))))),
0)</f>
        <v>0</v>
      </c>
      <c r="P17" s="111">
        <f t="array" ref="P17">IFERROR(
(MEDIAN((IF(DATOS_[[Sexo]:[Sexo]]=$B17,IF(DATOS_[[AGRUP. CLAS. PROF.]:[AGRUP. CLAS. PROF.]]=$B15,IF(DATOS_[[Check Periodo Ref.]:[Check Periodo Ref.]]="Dentro",IF(DATOS_[[Check Equiparado]:[Check Equiparado]]="Sí",IF(DATOS!AK$5="Sí",(1/DATOS_[[% anualiz]:[% anualiz]]),1)*IF(DATOS!AK$4="Sí",1/DATOS_[[% normaliz]:[% normaliz]],1)*(DATOS_[Conc.Sal.07])))))))),
0)</f>
        <v>200</v>
      </c>
      <c r="Q17" s="111">
        <f t="array" ref="Q17">IFERROR(
(MEDIAN((IF(DATOS_[[Sexo]:[Sexo]]=$B17,IF(DATOS_[[AGRUP. CLAS. PROF.]:[AGRUP. CLAS. PROF.]]=$B15,IF(DATOS_[[Check Periodo Ref.]:[Check Periodo Ref.]]="Dentro",IF(DATOS_[[Check Equiparado]:[Check Equiparado]]="Sí",IF(DATOS!AL$5="Sí",(1/DATOS_[[% anualiz]:[% anualiz]]),1)*IF(DATOS!AL$4="Sí",1/DATOS_[[% normaliz]:[% normaliz]],1)*(DATOS_[Conc.Sal.08])))))))),
0)</f>
        <v>0</v>
      </c>
      <c r="R17" s="111">
        <f t="array" ref="R17">IFERROR(
(MEDIAN((IF(DATOS_[[Sexo]:[Sexo]]=$B17,IF(DATOS_[[AGRUP. CLAS. PROF.]:[AGRUP. CLAS. PROF.]]=$B15,IF(DATOS_[[Check Periodo Ref.]:[Check Periodo Ref.]]="Dentro",IF(DATOS_[[Check Equiparado]:[Check Equiparado]]="Sí",IF(DATOS!AM$5="Sí",(1/DATOS_[[% anualiz]:[% anualiz]]),1)*IF(DATOS!AM$4="Sí",1/DATOS_[[% normaliz]:[% normaliz]],1)*(DATOS_[Conc.Sal.09])))))))),
0)</f>
        <v>0</v>
      </c>
      <c r="S17" s="111">
        <f t="array" ref="S17">IFERROR(
(MEDIAN((IF(DATOS_[[Sexo]:[Sexo]]=$B17,IF(DATOS_[[AGRUP. CLAS. PROF.]:[AGRUP. CLAS. PROF.]]=$B15,IF(DATOS_[[Check Periodo Ref.]:[Check Periodo Ref.]]="Dentro",IF(DATOS_[[Check Equiparado]:[Check Equiparado]]="Sí",IF(DATOS!AN$5="Sí",(1/DATOS_[[% anualiz]:[% anualiz]]),1)*IF(DATOS!AN$4="Sí",1/DATOS_[[% normaliz]:[% normaliz]],1)*(DATOS_[Conc.Sal.10])))))))),
0)</f>
        <v>0</v>
      </c>
      <c r="T17" s="111">
        <f t="array" ref="T17">IFERROR(
(MEDIAN((IF(DATOS_[[Sexo]:[Sexo]]=$B17,IF(DATOS_[[AGRUP. CLAS. PROF.]:[AGRUP. CLAS. PROF.]]=$B15,IF(DATOS_[[Check Periodo Ref.]:[Check Periodo Ref.]]="Dentro",IF(DATOS_[[Check Equiparado]:[Check Equiparado]]="Sí",IF(DATOS!AO$5="Sí",(1/DATOS_[[% anualiz]:[% anualiz]]),1)*IF(DATOS!AO$4="Sí",1/DATOS_[[% normaliz]:[% normaliz]],1)*(DATOS_[Conc.Sal.11])))))))),
0)</f>
        <v>0</v>
      </c>
      <c r="U17" s="111">
        <f t="array" ref="U17">IFERROR(
(MEDIAN((IF(DATOS_[[Sexo]:[Sexo]]=$B17,IF(DATOS_[[AGRUP. CLAS. PROF.]:[AGRUP. CLAS. PROF.]]=$B15,IF(DATOS_[[Check Periodo Ref.]:[Check Periodo Ref.]]="Dentro",IF(DATOS_[[Check Equiparado]:[Check Equiparado]]="Sí",IF(DATOS!AP$5="Sí",(1/DATOS_[[% anualiz]:[% anualiz]]),1)*IF(DATOS!AP$4="Sí",1/DATOS_[[% normaliz]:[% normaliz]],1)*(DATOS_[Conc.Sal.12])))))))),
0)</f>
        <v>0</v>
      </c>
      <c r="V17" s="111">
        <f t="array" ref="V17">IFERROR(
(MEDIAN((IF(DATOS_[[Sexo]:[Sexo]]=$B17,IF(DATOS_[[AGRUP. CLAS. PROF.]:[AGRUP. CLAS. PROF.]]=$B15,IF(DATOS_[[Check Periodo Ref.]:[Check Periodo Ref.]]="Dentro",IF(DATOS_[[Check Equiparado]:[Check Equiparado]]="Sí",IF(DATOS!AQ$5="Sí",(1/DATOS_[[% anualiz]:[% anualiz]]),1)*IF(DATOS!AQ$4="Sí",1/DATOS_[[% normaliz]:[% normaliz]],1)*(DATOS_[Conc.Sal.13])))))))),
0)</f>
        <v>0</v>
      </c>
      <c r="W17" s="111">
        <f t="array" ref="W17">IFERROR(
(MEDIAN((IF(DATOS_[[Sexo]:[Sexo]]=$B17,IF(DATOS_[[AGRUP. CLAS. PROF.]:[AGRUP. CLAS. PROF.]]=$B15,IF(DATOS_[[Check Periodo Ref.]:[Check Periodo Ref.]]="Dentro",IF(DATOS_[[Check Equiparado]:[Check Equiparado]]="Sí",IF(DATOS!AR$5="Sí",(1/DATOS_[[% anualiz]:[% anualiz]]),1)*IF(DATOS!AR$4="Sí",1/DATOS_[[% normaliz]:[% normaliz]],1)*(DATOS_[Conc.Sal.14])))))))),
0)</f>
        <v>0</v>
      </c>
      <c r="X17" s="111">
        <f t="array" ref="X17">IFERROR(
(MEDIAN((IF(DATOS_[[Sexo]:[Sexo]]=$B17,IF(DATOS_[[AGRUP. CLAS. PROF.]:[AGRUP. CLAS. PROF.]]=$B15,IF(DATOS_[[Check Periodo Ref.]:[Check Periodo Ref.]]="Dentro",IF(DATOS_[[Check Equiparado]:[Check Equiparado]]="Sí",IF(DATOS!AS$5="Sí",(1/DATOS_[[% anualiz]:[% anualiz]]),1)*IF(DATOS!AS$4="Sí",1/DATOS_[[% normaliz]:[% normaliz]],1)*(DATOS_[Conc.Sal.15])))))))),
0)</f>
        <v>0</v>
      </c>
      <c r="Y17" s="111">
        <f t="array" ref="Y17">IFERROR(
(MEDIAN((IF(DATOS_[[Sexo]:[Sexo]]=$B17,IF(DATOS_[[AGRUP. CLAS. PROF.]:[AGRUP. CLAS. PROF.]]=$B15,IF(DATOS_[[Check Periodo Ref.]:[Check Periodo Ref.]]="Dentro",IF(DATOS_[[Check Equiparado]:[Check Equiparado]]="Sí",IF(DATOS!AT$5="Sí",(1/DATOS_[[% anualiz]:[% anualiz]]),1)*IF(DATOS!AT$4="Sí",1/DATOS_[[% normaliz]:[% normaliz]],1)*(DATOS_[Conc.Sal.16])))))))),
0)</f>
        <v>0</v>
      </c>
      <c r="Z17" s="111">
        <f t="array" ref="Z17">IFERROR(
(MEDIAN((IF(DATOS_[[Sexo]:[Sexo]]=$B17,IF(DATOS_[[AGRUP. CLAS. PROF.]:[AGRUP. CLAS. PROF.]]=$B15,IF(DATOS_[[Check Periodo Ref.]:[Check Periodo Ref.]]="Dentro",IF(DATOS_[[Check Equiparado]:[Check Equiparado]]="Sí",IF(DATOS!AU$5="Sí",(1/DATOS_[[% anualiz]:[% anualiz]]),1)*IF(DATOS!AU$4="Sí",1/DATOS_[[% normaliz]:[% normaliz]],1)*(DATOS_[Conc.Sal.17])))))))),
0)</f>
        <v>0</v>
      </c>
      <c r="AA17" s="111">
        <f t="array" ref="AA17">IFERROR(
(MEDIAN((IF(DATOS_[[Sexo]:[Sexo]]=$B17,IF(DATOS_[[AGRUP. CLAS. PROF.]:[AGRUP. CLAS. PROF.]]=$B15,IF(DATOS_[[Check Periodo Ref.]:[Check Periodo Ref.]]="Dentro",IF(DATOS_[[Check Equiparado]:[Check Equiparado]]="Sí",IF(DATOS!AV$5="Sí",(1/DATOS_[[% anualiz]:[% anualiz]]),1)*IF(DATOS!AV$4="Sí",1/DATOS_[[% normaliz]:[% normaliz]],1)*(DATOS_[Conc.Sal.18])))))))),
0)</f>
        <v>0</v>
      </c>
      <c r="AB17" s="111">
        <f t="array" ref="AB17">IFERROR(
(MEDIAN((IF(DATOS_[[Sexo]:[Sexo]]=$B17,IF(DATOS_[[AGRUP. CLAS. PROF.]:[AGRUP. CLAS. PROF.]]=$B15,IF(DATOS_[[Check Periodo Ref.]:[Check Periodo Ref.]]="Dentro",IF(DATOS_[[Check Equiparado]:[Check Equiparado]]="Sí",IF(DATOS!AW$5="Sí",(1/DATOS_[[% anualiz]:[% anualiz]]),1)*IF(DATOS!AW$4="Sí",1/DATOS_[[% normaliz]:[% normaliz]],1)*(DATOS_[Conc.Sal.19])))))))),
0)</f>
        <v>0</v>
      </c>
      <c r="AC17" s="111">
        <f t="array" ref="AC17">IFERROR(
(MEDIAN((IF(DATOS_[[Sexo]:[Sexo]]=$B17,IF(DATOS_[[AGRUP. CLAS. PROF.]:[AGRUP. CLAS. PROF.]]=$B15,IF(DATOS_[[Check Periodo Ref.]:[Check Periodo Ref.]]="Dentro",IF(DATOS_[[Check Equiparado]:[Check Equiparado]]="Sí",IF(DATOS!AX$5="Sí",(1/DATOS_[[% anualiz]:[% anualiz]]),1)*IF(DATOS!AX$4="Sí",1/DATOS_[[% normaliz]:[% normaliz]],1)*(DATOS_[Conc.Sal.20])))))))),
0)</f>
        <v>0</v>
      </c>
      <c r="AD17" s="111">
        <f t="array" ref="AD17">IFERROR(
(MEDIAN((IF(DATOS_[[Sexo]:[Sexo]]=$B17,IF(DATOS_[[AGRUP. CLAS. PROF.]:[AGRUP. CLAS. PROF.]]=$B15,IF(DATOS_[[Check Periodo Ref.]:[Check Periodo Ref.]]="Dentro",IF(DATOS_[[Check Equiparado]:[Check Equiparado]]="Sí",IF(DATOS!AY$5="Sí",(1/DATOS_[[% anualiz]:[% anualiz]]),1)*IF(DATOS!AY$4="Sí",1/DATOS_[[% normaliz]:[% normaliz]],1)*(DATOS_[Conc.Sal.21])))))))),
0)</f>
        <v>0</v>
      </c>
      <c r="AE17" s="111">
        <f t="array" ref="AE17">IFERROR(
(MEDIAN((IF(DATOS_[[Sexo]:[Sexo]]=$B17,IF(DATOS_[[AGRUP. CLAS. PROF.]:[AGRUP. CLAS. PROF.]]=$B15,IF(DATOS_[[Check Periodo Ref.]:[Check Periodo Ref.]]="Dentro",IF(DATOS_[[Check Equiparado]:[Check Equiparado]]="Sí",IF(DATOS!AZ$5="Sí",(1/DATOS_[[% anualiz]:[% anualiz]]),1)*IF(DATOS!AZ$4="Sí",1/DATOS_[[% normaliz]:[% normaliz]],1)*(DATOS_[Conc.Sal.22])))))))),
0)</f>
        <v>0</v>
      </c>
      <c r="AF17" s="111">
        <f t="array" ref="AF17">IFERROR(
(MEDIAN((IF(DATOS_[[Sexo]:[Sexo]]=$B17,IF(DATOS_[[AGRUP. CLAS. PROF.]:[AGRUP. CLAS. PROF.]]=$B15,IF(DATOS_[[Check Periodo Ref.]:[Check Periodo Ref.]]="Dentro",IF(DATOS_[[Check Equiparado]:[Check Equiparado]]="Sí",IF(DATOS!BA$5="Sí",(1/DATOS_[[% anualiz]:[% anualiz]]),1)*IF(DATOS!BA$4="Sí",1/DATOS_[[% normaliz]:[% normaliz]],1)*(DATOS_[Conc.Sal.23])))))))),
0)</f>
        <v>0</v>
      </c>
      <c r="AG17" s="111">
        <f t="array" ref="AG17">IFERROR(
(MEDIAN((IF(DATOS_[[Sexo]:[Sexo]]=$B17,IF(DATOS_[[AGRUP. CLAS. PROF.]:[AGRUP. CLAS. PROF.]]=$B15,IF(DATOS_[[Check Periodo Ref.]:[Check Periodo Ref.]]="Dentro",IF(DATOS_[[Check Equiparado]:[Check Equiparado]]="Sí",IF(DATOS!BB$5="Sí",(1/DATOS_[[% anualiz]:[% anualiz]]),1)*IF(DATOS!BB$4="Sí",1/DATOS_[[% normaliz]:[% normaliz]],1)*(DATOS_[Conc.Sal.24])))))))),
0)</f>
        <v>0</v>
      </c>
      <c r="AH17" s="111">
        <f t="array" ref="AH17">IFERROR(
(MEDIAN((IF(DATOS_[[Sexo]:[Sexo]]=$B17,IF(DATOS_[[AGRUP. CLAS. PROF.]:[AGRUP. CLAS. PROF.]]=$B15,IF(DATOS_[[Check Periodo Ref.]:[Check Periodo Ref.]]="Dentro",IF(DATOS_[[Check Equiparado]:[Check Equiparado]]="Sí",IF(DATOS!BC$5="Sí",(1/DATOS_[[% anualiz]:[% anualiz]]),1)*IF(DATOS!BC$4="Sí",1/DATOS_[[% normaliz]:[% normaliz]],1)*(DATOS_[Conc.Sal.25])))))))),
0)</f>
        <v>0</v>
      </c>
      <c r="AI17" s="111">
        <f t="array" ref="AI17">IFERROR(
(MEDIAN((IF(DATOS_[[Sexo]:[Sexo]]=$B17,IF(DATOS_[[AGRUP. CLAS. PROF.]:[AGRUP. CLAS. PROF.]]=$B15,IF(DATOS_[[Check Periodo Ref.]:[Check Periodo Ref.]]="Dentro",IF(DATOS_[[Check Equiparado]:[Check Equiparado]]="Sí",IF(DATOS!BD$5="Sí",(1/DATOS_[[% anualiz]:[% anualiz]]),1)*IF(DATOS!BD$4="Sí",1/DATOS_[[% normaliz]:[% normaliz]],1)*(DATOS_[Conc.Sal.26])))))))),
0)</f>
        <v>0</v>
      </c>
      <c r="AJ17" s="111">
        <f t="array" ref="AJ17">IFERROR(
(MEDIAN((IF(DATOS_[[Sexo]:[Sexo]]=$B17,IF(DATOS_[[AGRUP. CLAS. PROF.]:[AGRUP. CLAS. PROF.]]=$B15,IF(DATOS_[[Check Periodo Ref.]:[Check Periodo Ref.]]="Dentro",IF(DATOS_[[Check Equiparado]:[Check Equiparado]]="Sí",IF(DATOS!BE$5="Sí",(1/DATOS_[[% anualiz]:[% anualiz]]),1)*IF(DATOS!BE$4="Sí",1/DATOS_[[% normaliz]:[% normaliz]],1)*(DATOS_[Conc.Sal.27])))))))),
0)</f>
        <v>0</v>
      </c>
      <c r="AK17" s="111">
        <f t="array" ref="AK17">IFERROR(
(MEDIAN((IF(DATOS_[[Sexo]:[Sexo]]=$B17,IF(DATOS_[[AGRUP. CLAS. PROF.]:[AGRUP. CLAS. PROF.]]=$B15,IF(DATOS_[[Check Periodo Ref.]:[Check Periodo Ref.]]="Dentro",IF(DATOS_[[Check Equiparado]:[Check Equiparado]]="Sí",IF(DATOS!BF$5="Sí",(1/DATOS_[[% anualiz]:[% anualiz]]),1)*IF(DATOS!BF$4="Sí",1/DATOS_[[% normaliz]:[% normaliz]],1)*(DATOS_[Conc.Sal.28])))))))),
0)</f>
        <v>0</v>
      </c>
      <c r="AL17" s="111">
        <f t="array" ref="AL17">IFERROR(
(MEDIAN((IF(DATOS_[[Sexo]:[Sexo]]=$B17,IF(DATOS_[[AGRUP. CLAS. PROF.]:[AGRUP. CLAS. PROF.]]=$B15,IF(DATOS_[[Check Periodo Ref.]:[Check Periodo Ref.]]="Dentro",IF(DATOS_[[Check Equiparado]:[Check Equiparado]]="Sí",IF(DATOS!BG$5="Sí",(1/DATOS_[[% anualiz]:[% anualiz]]),1)*IF(DATOS!BG$4="Sí",1/DATOS_[[% normaliz]:[% normaliz]],1)*(DATOS_[Conc.Sal.29])))))))),
0)</f>
        <v>0</v>
      </c>
      <c r="AM17" s="111">
        <f t="array" ref="AM17">IFERROR(
(MEDIAN((IF(DATOS_[[Sexo]:[Sexo]]=$B17,IF(DATOS_[[AGRUP. CLAS. PROF.]:[AGRUP. CLAS. PROF.]]=$B15,IF(DATOS_[[Check Periodo Ref.]:[Check Periodo Ref.]]="Dentro",IF(DATOS_[[Check Equiparado]:[Check Equiparado]]="Sí",IF(DATOS!BH$5="Sí",(1/DATOS_[[% anualiz]:[% anualiz]]),1)*IF(DATOS!BH$4="Sí",1/DATOS_[[% normaliz]:[% normaliz]],1)*(DATOS_[Conc.Sal.30])))))))),
0)</f>
        <v>0</v>
      </c>
      <c r="AN17" s="112">
        <f t="array" ref="AN17">IFERROR(
MEDIAN(IF(DATOS_[Sexo]=$B17,IF(DATOS_[[AGRUP. CLAS. PROF.]:[AGRUP. CLAS. PROF.]]=$B15,IF(DATOS_[Check Equiparado]="Sí",IF(DATOS_[Check Periodo Ref.]="Dentro",DATOS_[Tot COMPL.SAL Eq],FALSE))))),
0)</f>
        <v>18941.894800000002</v>
      </c>
      <c r="AO17" s="113">
        <f t="array" ref="AO17">IFERROR(
MEDIAN(IF(DATOS_[Sexo]=$B17,IF(DATOS_[[AGRUP. CLAS. PROF.]:[AGRUP. CLAS. PROF.]]=$B15,IF(DATOS_[Check Equiparado]="Sí",IF(DATOS_[Check Periodo Ref.]="Dentro",DATOS_[TOTAL SALARIO Eq],FALSE))))),
0)</f>
        <v>37489.264800000004</v>
      </c>
      <c r="AP17" s="114">
        <f t="array" ref="AP17">IFERROR(
(MEDIAN((IF(DATOS_[[Sexo]:[Sexo]]=$B17,IF(DATOS_[[AGRUP. CLAS. PROF.]:[AGRUP. CLAS. PROF.]]=$B15,IF(DATOS_[[Check Periodo Ref.]:[Check Periodo Ref.]]="Dentro",IF(DATOS_[[Check Equiparado]:[Check Equiparado]]="Sí",IF(DATOS!BI$5="Sí",(1/DATOS_[[% anualiz]:[% anualiz]]),1)*IF(DATOS!BI$4="Sí",1/DATOS_[[% normaliz]:[% normaliz]],1)*(DATOS_[C.Extra.01])))))))),
0)</f>
        <v>0</v>
      </c>
      <c r="AQ17" s="114">
        <f t="array" ref="AQ17">IFERROR(
(MEDIAN((IF(DATOS_[[Sexo]:[Sexo]]=$B17,IF(DATOS_[[AGRUP. CLAS. PROF.]:[AGRUP. CLAS. PROF.]]=$B15,IF(DATOS_[[Check Periodo Ref.]:[Check Periodo Ref.]]="Dentro",IF(DATOS_[[Check Equiparado]:[Check Equiparado]]="Sí",IF(DATOS!BJ$5="Sí",(1/DATOS_[[% anualiz]:[% anualiz]]),1)*IF(DATOS!BJ$4="Sí",1/DATOS_[[% normaliz]:[% normaliz]],1)*(DATOS_[C.Extra.02])))))))),
0)</f>
        <v>0</v>
      </c>
      <c r="AR17" s="114">
        <f t="array" ref="AR17">IFERROR(
(MEDIAN((IF(DATOS_[[Sexo]:[Sexo]]=$B17,IF(DATOS_[[AGRUP. CLAS. PROF.]:[AGRUP. CLAS. PROF.]]=$B15,IF(DATOS_[[Check Periodo Ref.]:[Check Periodo Ref.]]="Dentro",IF(DATOS_[[Check Equiparado]:[Check Equiparado]]="Sí",IF(DATOS!BK$5="Sí",(1/DATOS_[[% anualiz]:[% anualiz]]),1)*IF(DATOS!BK$4="Sí",1/DATOS_[[% normaliz]:[% normaliz]],1)*(DATOS_[C.Extra.03])))))))),
0)</f>
        <v>0</v>
      </c>
      <c r="AS17" s="114">
        <f t="array" ref="AS17">IFERROR(
(MEDIAN((IF(DATOS_[[Sexo]:[Sexo]]=$B17,IF(DATOS_[[AGRUP. CLAS. PROF.]:[AGRUP. CLAS. PROF.]]=$B15,IF(DATOS_[[Check Periodo Ref.]:[Check Periodo Ref.]]="Dentro",IF(DATOS_[[Check Equiparado]:[Check Equiparado]]="Sí",IF(DATOS!BL$5="Sí",(1/DATOS_[[% anualiz]:[% anualiz]]),1)*IF(DATOS!BL$4="Sí",1/DATOS_[[% normaliz]:[% normaliz]],1)*(DATOS_[C.Extra.04])))))))),
0)</f>
        <v>0</v>
      </c>
      <c r="AT17" s="114">
        <f t="array" ref="AT17">IFERROR(
(MEDIAN((IF(DATOS_[[Sexo]:[Sexo]]=$B17,IF(DATOS_[[AGRUP. CLAS. PROF.]:[AGRUP. CLAS. PROF.]]=$B15,IF(DATOS_[[Check Periodo Ref.]:[Check Periodo Ref.]]="Dentro",IF(DATOS_[[Check Equiparado]:[Check Equiparado]]="Sí",IF(DATOS!BM$5="Sí",(1/DATOS_[[% anualiz]:[% anualiz]]),1)*IF(DATOS!BM$4="Sí",1/DATOS_[[% normaliz]:[% normaliz]],1)*(DATOS_[C.Extra.05])))))))),
0)</f>
        <v>0</v>
      </c>
      <c r="AU17" s="115">
        <f t="array" ref="AU17">IFERROR(
MEDIAN(IF(DATOS_[Sexo]=$B17,IF(DATOS_[[AGRUP. CLAS. PROF.]:[AGRUP. CLAS. PROF.]]=$B15,IF(DATOS_[Check Equiparado]="Sí",IF(DATOS_[Check Periodo Ref.]="Dentro",DATOS_[Tot Extrasalarial Eq],FALSE))))),
0)</f>
        <v>0</v>
      </c>
      <c r="AV17" s="116">
        <f t="array" ref="AV17">IFERROR(
MEDIAN(IF(DATOS_[Sexo]=$B17,IF(DATOS_[[AGRUP. CLAS. PROF.]:[AGRUP. CLAS. PROF.]]=$B15,IF(DATOS_[Check Equiparado]="Sí",IF(DATOS_[Check Periodo Ref.]="Dentro",DATOS_[TOTAL Retrib Eq],FALSE))))),
0)</f>
        <v>37489.264800000004</v>
      </c>
    </row>
    <row r="18" spans="1:48" ht="17.25" thickBot="1" x14ac:dyDescent="0.35">
      <c r="A18" s="42" t="str">
        <f t="shared" ref="A18" si="7">+A19</f>
        <v/>
      </c>
      <c r="B18" s="90" t="s">
        <v>299</v>
      </c>
      <c r="C18" s="109"/>
      <c r="D18" s="41"/>
      <c r="E18" s="41"/>
      <c r="F18" s="41"/>
      <c r="G18" s="41"/>
      <c r="H18" s="41"/>
      <c r="I18" s="119">
        <f t="shared" ref="I18:AV18" si="8">IFERROR((I19-I20)/I19,"")</f>
        <v>0</v>
      </c>
      <c r="J18" s="123">
        <f t="shared" si="8"/>
        <v>0.11615113279963105</v>
      </c>
      <c r="K18" s="123">
        <f t="shared" si="8"/>
        <v>-0.25000000000000006</v>
      </c>
      <c r="L18" s="123" t="str">
        <f t="shared" si="8"/>
        <v/>
      </c>
      <c r="M18" s="123" t="str">
        <f t="shared" si="8"/>
        <v/>
      </c>
      <c r="N18" s="123" t="str">
        <f t="shared" si="8"/>
        <v/>
      </c>
      <c r="O18" s="123" t="str">
        <f t="shared" si="8"/>
        <v/>
      </c>
      <c r="P18" s="123">
        <f t="shared" si="8"/>
        <v>0</v>
      </c>
      <c r="Q18" s="123" t="str">
        <f t="shared" si="8"/>
        <v/>
      </c>
      <c r="R18" s="123" t="str">
        <f t="shared" si="8"/>
        <v/>
      </c>
      <c r="S18" s="123" t="str">
        <f t="shared" si="8"/>
        <v/>
      </c>
      <c r="T18" s="123" t="str">
        <f t="shared" si="8"/>
        <v/>
      </c>
      <c r="U18" s="123" t="str">
        <f t="shared" si="8"/>
        <v/>
      </c>
      <c r="V18" s="123" t="str">
        <f t="shared" si="8"/>
        <v/>
      </c>
      <c r="W18" s="123" t="str">
        <f t="shared" si="8"/>
        <v/>
      </c>
      <c r="X18" s="123" t="str">
        <f t="shared" si="8"/>
        <v/>
      </c>
      <c r="Y18" s="123" t="str">
        <f t="shared" si="8"/>
        <v/>
      </c>
      <c r="Z18" s="122" t="str">
        <f t="shared" si="8"/>
        <v/>
      </c>
      <c r="AA18" s="122" t="str">
        <f t="shared" si="8"/>
        <v/>
      </c>
      <c r="AB18" s="122" t="str">
        <f t="shared" si="8"/>
        <v/>
      </c>
      <c r="AC18" s="122" t="str">
        <f t="shared" si="8"/>
        <v/>
      </c>
      <c r="AD18" s="122" t="str">
        <f t="shared" si="8"/>
        <v/>
      </c>
      <c r="AE18" s="122" t="str">
        <f t="shared" si="8"/>
        <v/>
      </c>
      <c r="AF18" s="122" t="str">
        <f t="shared" si="8"/>
        <v/>
      </c>
      <c r="AG18" s="122" t="str">
        <f t="shared" si="8"/>
        <v/>
      </c>
      <c r="AH18" s="122" t="str">
        <f t="shared" si="8"/>
        <v/>
      </c>
      <c r="AI18" s="122" t="str">
        <f t="shared" si="8"/>
        <v/>
      </c>
      <c r="AJ18" s="122" t="str">
        <f t="shared" si="8"/>
        <v/>
      </c>
      <c r="AK18" s="122" t="str">
        <f t="shared" si="8"/>
        <v/>
      </c>
      <c r="AL18" s="122" t="str">
        <f t="shared" si="8"/>
        <v/>
      </c>
      <c r="AM18" s="122" t="str">
        <f t="shared" si="8"/>
        <v/>
      </c>
      <c r="AN18" s="124">
        <f t="shared" si="8"/>
        <v>0</v>
      </c>
      <c r="AO18" s="128">
        <f t="shared" si="8"/>
        <v>0</v>
      </c>
      <c r="AP18" s="125" t="str">
        <f t="shared" si="8"/>
        <v/>
      </c>
      <c r="AQ18" s="125" t="str">
        <f t="shared" si="8"/>
        <v/>
      </c>
      <c r="AR18" s="125" t="str">
        <f t="shared" si="8"/>
        <v/>
      </c>
      <c r="AS18" s="125" t="str">
        <f t="shared" si="8"/>
        <v/>
      </c>
      <c r="AT18" s="125" t="str">
        <f t="shared" si="8"/>
        <v/>
      </c>
      <c r="AU18" s="126" t="str">
        <f t="shared" si="8"/>
        <v/>
      </c>
      <c r="AV18" s="127">
        <f t="shared" si="8"/>
        <v>0</v>
      </c>
    </row>
    <row r="19" spans="1:48" x14ac:dyDescent="0.3">
      <c r="A19" s="42" t="str">
        <f t="shared" ref="A19" si="9">+IF(C19+C20=0,"[ocultar]","")</f>
        <v/>
      </c>
      <c r="B19" s="86" t="s">
        <v>162</v>
      </c>
      <c r="C19" s="33">
        <f t="array" ref="C19">SUM(IF($B19=DATOS_[Sexo],
IF($B18=DATOS_[AGRUP. CLAS. PROF.],
IF("Dentro"=DATOS_[Check Periodo Ref.],
1/(COUNTIFS(DATOS_[Sexo],$B19,DATOS_[AGRUP. CLAS. PROF.],$B18,DATOS_[Check Periodo Ref.],"Dentro",DATOS_[id],DATOS_[id]))))))</f>
        <v>23</v>
      </c>
      <c r="D19" s="35">
        <f>COUNTIFS(DATOS_[AGRUP. CLAS. PROF.],$B18,DATOS_[Sexo],$B19,DATOS_[Check Periodo Ref.],"Dentro")</f>
        <v>24</v>
      </c>
      <c r="E19" s="35">
        <f>COUNTIFS(DATOS_[AGRUP. CLAS. PROF.],$B18,DATOS_[Sexo],$B19,DATOS_[Check Periodo Ref.],"Dentro",DATOS_[Check Nº SC Norm],"Sí")</f>
        <v>3</v>
      </c>
      <c r="F19" s="35">
        <f>COUNTIFS(DATOS_[AGRUP. CLAS. PROF.],$B18,DATOS_[Sexo],$B19,DATOS_[Check Periodo Ref.],"Dentro",DATOS_[Check Nº SC Anualiz],"Sí")</f>
        <v>1</v>
      </c>
      <c r="G19" s="35">
        <f>COUNTIFS(DATOS_[AGRUP. CLAS. PROF.],$B18,DATOS_[Sexo],$B19,DATOS_[Check Periodo Ref.],"Dentro",DATOS_[Check Nº SC Norm y Anualiz],"Sí")</f>
        <v>0</v>
      </c>
      <c r="H19" s="35">
        <f>COUNTIFS(DATOS_[AGRUP. CLAS. PROF.],$B18,DATOS_[Sexo],$B19,DATOS_[Check Periodo Ref.],"Dentro",DATOS_[Check Equiparación],"Sí")</f>
        <v>4</v>
      </c>
      <c r="I19" s="110">
        <f t="array" ref="I19">IFERROR(
MEDIAN(IF(DATOS_[Sexo]=$B19,IF(DATOS_[[AGRUP. CLAS. PROF.]:[AGRUP. CLAS. PROF.]]=$B18,IF(DATOS_[Check Equiparado]="Sí",IF(DATOS_[Check Periodo Ref.]="Dentro",DATOS_[SALARIO BASE Eq],FALSE))))),
0)</f>
        <v>17266.330000000002</v>
      </c>
      <c r="J19" s="111">
        <f t="array" ref="J19">IFERROR(
(MEDIAN((IF(DATOS_[[Sexo]:[Sexo]]=$B19,IF(DATOS_[[AGRUP. CLAS. PROF.]:[AGRUP. CLAS. PROF.]]=$B18,IF(DATOS_[[Check Periodo Ref.]:[Check Periodo Ref.]]="Dentro",IF(DATOS_[[Check Equiparado]:[Check Equiparado]]="Sí",IF(DATOS!AE$5="Sí",(1/DATOS_[[% anualiz]:[% anualiz]]),1)*IF(DATOS!AE$4="Sí",1/DATOS_[[% normaliz]:[% normaliz]],1)*(DATOS_[Conc.Sal.01])))))))),
0)</f>
        <v>3733.6699999999983</v>
      </c>
      <c r="K19" s="111">
        <f t="array" ref="K19">IFERROR(
(MEDIAN((IF(DATOS_[[Sexo]:[Sexo]]=$B19,IF(DATOS_[[AGRUP. CLAS. PROF.]:[AGRUP. CLAS. PROF.]]=$B18,IF(DATOS_[[Check Periodo Ref.]:[Check Periodo Ref.]]="Dentro",IF(DATOS_[[Check Equiparado]:[Check Equiparado]]="Sí",IF(DATOS!AF$5="Sí",(1/DATOS_[[% anualiz]:[% anualiz]]),1)*IF(DATOS!AF$4="Sí",1/DATOS_[[% normaliz]:[% normaliz]],1)*(DATOS_[Conc.Sal.02])))))))),
0)</f>
        <v>1381.3064000000002</v>
      </c>
      <c r="L19" s="111">
        <f t="array" ref="L19">IFERROR(
(MEDIAN((IF(DATOS_[[Sexo]:[Sexo]]=$B19,IF(DATOS_[[AGRUP. CLAS. PROF.]:[AGRUP. CLAS. PROF.]]=$B18,IF(DATOS_[[Check Periodo Ref.]:[Check Periodo Ref.]]="Dentro",IF(DATOS_[[Check Equiparado]:[Check Equiparado]]="Sí",IF(DATOS!AG$5="Sí",(1/DATOS_[[% anualiz]:[% anualiz]]),1)*IF(DATOS!AG$4="Sí",1/DATOS_[[% normaliz]:[% normaliz]],1)*(DATOS_[Conc.Sal.03])))))))),
0)</f>
        <v>0</v>
      </c>
      <c r="M19" s="111">
        <f t="array" ref="M19">IFERROR(
(MEDIAN((IF(DATOS_[[Sexo]:[Sexo]]=$B19,IF(DATOS_[[AGRUP. CLAS. PROF.]:[AGRUP. CLAS. PROF.]]=$B18,IF(DATOS_[[Check Periodo Ref.]:[Check Periodo Ref.]]="Dentro",IF(DATOS_[[Check Equiparado]:[Check Equiparado]]="Sí",IF(DATOS!AH$5="Sí",(1/DATOS_[[% anualiz]:[% anualiz]]),1)*IF(DATOS!AH$4="Sí",1/DATOS_[[% normaliz]:[% normaliz]],1)*(DATOS_[Conc.Sal.04])))))))),
0)</f>
        <v>0</v>
      </c>
      <c r="N19" s="111">
        <f t="array" ref="N19">IFERROR(
(MEDIAN((IF(DATOS_[[Sexo]:[Sexo]]=$B19,IF(DATOS_[[AGRUP. CLAS. PROF.]:[AGRUP. CLAS. PROF.]]=$B18,IF(DATOS_[[Check Periodo Ref.]:[Check Periodo Ref.]]="Dentro",IF(DATOS_[[Check Equiparado]:[Check Equiparado]]="Sí",IF(DATOS!AI$5="Sí",(1/DATOS_[[% anualiz]:[% anualiz]]),1)*IF(DATOS!AI$4="Sí",1/DATOS_[[% normaliz]:[% normaliz]],1)*(DATOS_[Conc.Sal.05])))))))),
0)</f>
        <v>0</v>
      </c>
      <c r="O19" s="111">
        <f t="array" ref="O19">IFERROR(
(MEDIAN((IF(DATOS_[[Sexo]:[Sexo]]=$B19,IF(DATOS_[[AGRUP. CLAS. PROF.]:[AGRUP. CLAS. PROF.]]=$B18,IF(DATOS_[[Check Periodo Ref.]:[Check Periodo Ref.]]="Dentro",IF(DATOS_[[Check Equiparado]:[Check Equiparado]]="Sí",IF(DATOS!AJ$5="Sí",(1/DATOS_[[% anualiz]:[% anualiz]]),1)*IF(DATOS!AJ$4="Sí",1/DATOS_[[% normaliz]:[% normaliz]],1)*(DATOS_[Conc.Sal.06])))))))),
0)</f>
        <v>0</v>
      </c>
      <c r="P19" s="111">
        <f t="array" ref="P19">IFERROR(
(MEDIAN((IF(DATOS_[[Sexo]:[Sexo]]=$B19,IF(DATOS_[[AGRUP. CLAS. PROF.]:[AGRUP. CLAS. PROF.]]=$B18,IF(DATOS_[[Check Periodo Ref.]:[Check Periodo Ref.]]="Dentro",IF(DATOS_[[Check Equiparado]:[Check Equiparado]]="Sí",IF(DATOS!AK$5="Sí",(1/DATOS_[[% anualiz]:[% anualiz]]),1)*IF(DATOS!AK$4="Sí",1/DATOS_[[% normaliz]:[% normaliz]],1)*(DATOS_[Conc.Sal.07])))))))),
0)</f>
        <v>80</v>
      </c>
      <c r="Q19" s="111">
        <f t="array" ref="Q19">IFERROR(
(MEDIAN((IF(DATOS_[[Sexo]:[Sexo]]=$B19,IF(DATOS_[[AGRUP. CLAS. PROF.]:[AGRUP. CLAS. PROF.]]=$B18,IF(DATOS_[[Check Periodo Ref.]:[Check Periodo Ref.]]="Dentro",IF(DATOS_[[Check Equiparado]:[Check Equiparado]]="Sí",IF(DATOS!AL$5="Sí",(1/DATOS_[[% anualiz]:[% anualiz]]),1)*IF(DATOS!AL$4="Sí",1/DATOS_[[% normaliz]:[% normaliz]],1)*(DATOS_[Conc.Sal.08])))))))),
0)</f>
        <v>0</v>
      </c>
      <c r="R19" s="111">
        <f t="array" ref="R19">IFERROR(
(MEDIAN((IF(DATOS_[[Sexo]:[Sexo]]=$B19,IF(DATOS_[[AGRUP. CLAS. PROF.]:[AGRUP. CLAS. PROF.]]=$B18,IF(DATOS_[[Check Periodo Ref.]:[Check Periodo Ref.]]="Dentro",IF(DATOS_[[Check Equiparado]:[Check Equiparado]]="Sí",IF(DATOS!AM$5="Sí",(1/DATOS_[[% anualiz]:[% anualiz]]),1)*IF(DATOS!AM$4="Sí",1/DATOS_[[% normaliz]:[% normaliz]],1)*(DATOS_[Conc.Sal.09])))))))),
0)</f>
        <v>0</v>
      </c>
      <c r="S19" s="111">
        <f t="array" ref="S19">IFERROR(
(MEDIAN((IF(DATOS_[[Sexo]:[Sexo]]=$B19,IF(DATOS_[[AGRUP. CLAS. PROF.]:[AGRUP. CLAS. PROF.]]=$B18,IF(DATOS_[[Check Periodo Ref.]:[Check Periodo Ref.]]="Dentro",IF(DATOS_[[Check Equiparado]:[Check Equiparado]]="Sí",IF(DATOS!AN$5="Sí",(1/DATOS_[[% anualiz]:[% anualiz]]),1)*IF(DATOS!AN$4="Sí",1/DATOS_[[% normaliz]:[% normaliz]],1)*(DATOS_[Conc.Sal.10])))))))),
0)</f>
        <v>0</v>
      </c>
      <c r="T19" s="111">
        <f t="array" ref="T19">IFERROR(
(MEDIAN((IF(DATOS_[[Sexo]:[Sexo]]=$B19,IF(DATOS_[[AGRUP. CLAS. PROF.]:[AGRUP. CLAS. PROF.]]=$B18,IF(DATOS_[[Check Periodo Ref.]:[Check Periodo Ref.]]="Dentro",IF(DATOS_[[Check Equiparado]:[Check Equiparado]]="Sí",IF(DATOS!AO$5="Sí",(1/DATOS_[[% anualiz]:[% anualiz]]),1)*IF(DATOS!AO$4="Sí",1/DATOS_[[% normaliz]:[% normaliz]],1)*(DATOS_[Conc.Sal.11])))))))),
0)</f>
        <v>0</v>
      </c>
      <c r="U19" s="111">
        <f t="array" ref="U19">IFERROR(
(MEDIAN((IF(DATOS_[[Sexo]:[Sexo]]=$B19,IF(DATOS_[[AGRUP. CLAS. PROF.]:[AGRUP. CLAS. PROF.]]=$B18,IF(DATOS_[[Check Periodo Ref.]:[Check Periodo Ref.]]="Dentro",IF(DATOS_[[Check Equiparado]:[Check Equiparado]]="Sí",IF(DATOS!AP$5="Sí",(1/DATOS_[[% anualiz]:[% anualiz]]),1)*IF(DATOS!AP$4="Sí",1/DATOS_[[% normaliz]:[% normaliz]],1)*(DATOS_[Conc.Sal.12])))))))),
0)</f>
        <v>0</v>
      </c>
      <c r="V19" s="111">
        <f t="array" ref="V19">IFERROR(
(MEDIAN((IF(DATOS_[[Sexo]:[Sexo]]=$B19,IF(DATOS_[[AGRUP. CLAS. PROF.]:[AGRUP. CLAS. PROF.]]=$B18,IF(DATOS_[[Check Periodo Ref.]:[Check Periodo Ref.]]="Dentro",IF(DATOS_[[Check Equiparado]:[Check Equiparado]]="Sí",IF(DATOS!AQ$5="Sí",(1/DATOS_[[% anualiz]:[% anualiz]]),1)*IF(DATOS!AQ$4="Sí",1/DATOS_[[% normaliz]:[% normaliz]],1)*(DATOS_[Conc.Sal.13])))))))),
0)</f>
        <v>0</v>
      </c>
      <c r="W19" s="111">
        <f t="array" ref="W19">IFERROR(
(MEDIAN((IF(DATOS_[[Sexo]:[Sexo]]=$B19,IF(DATOS_[[AGRUP. CLAS. PROF.]:[AGRUP. CLAS. PROF.]]=$B18,IF(DATOS_[[Check Periodo Ref.]:[Check Periodo Ref.]]="Dentro",IF(DATOS_[[Check Equiparado]:[Check Equiparado]]="Sí",IF(DATOS!AR$5="Sí",(1/DATOS_[[% anualiz]:[% anualiz]]),1)*IF(DATOS!AR$4="Sí",1/DATOS_[[% normaliz]:[% normaliz]],1)*(DATOS_[Conc.Sal.14])))))))),
0)</f>
        <v>0</v>
      </c>
      <c r="X19" s="111">
        <f t="array" ref="X19">IFERROR(
(MEDIAN((IF(DATOS_[[Sexo]:[Sexo]]=$B19,IF(DATOS_[[AGRUP. CLAS. PROF.]:[AGRUP. CLAS. PROF.]]=$B18,IF(DATOS_[[Check Periodo Ref.]:[Check Periodo Ref.]]="Dentro",IF(DATOS_[[Check Equiparado]:[Check Equiparado]]="Sí",IF(DATOS!AS$5="Sí",(1/DATOS_[[% anualiz]:[% anualiz]]),1)*IF(DATOS!AS$4="Sí",1/DATOS_[[% normaliz]:[% normaliz]],1)*(DATOS_[Conc.Sal.15])))))))),
0)</f>
        <v>0</v>
      </c>
      <c r="Y19" s="111">
        <f t="array" ref="Y19">IFERROR(
(MEDIAN((IF(DATOS_[[Sexo]:[Sexo]]=$B19,IF(DATOS_[[AGRUP. CLAS. PROF.]:[AGRUP. CLAS. PROF.]]=$B18,IF(DATOS_[[Check Periodo Ref.]:[Check Periodo Ref.]]="Dentro",IF(DATOS_[[Check Equiparado]:[Check Equiparado]]="Sí",IF(DATOS!AT$5="Sí",(1/DATOS_[[% anualiz]:[% anualiz]]),1)*IF(DATOS!AT$4="Sí",1/DATOS_[[% normaliz]:[% normaliz]],1)*(DATOS_[Conc.Sal.16])))))))),
0)</f>
        <v>0</v>
      </c>
      <c r="Z19" s="111">
        <f t="array" ref="Z19">IFERROR(
(MEDIAN((IF(DATOS_[[Sexo]:[Sexo]]=$B19,IF(DATOS_[[AGRUP. CLAS. PROF.]:[AGRUP. CLAS. PROF.]]=$B18,IF(DATOS_[[Check Periodo Ref.]:[Check Periodo Ref.]]="Dentro",IF(DATOS_[[Check Equiparado]:[Check Equiparado]]="Sí",IF(DATOS!AU$5="Sí",(1/DATOS_[[% anualiz]:[% anualiz]]),1)*IF(DATOS!AU$4="Sí",1/DATOS_[[% normaliz]:[% normaliz]],1)*(DATOS_[Conc.Sal.17])))))))),
0)</f>
        <v>0</v>
      </c>
      <c r="AA19" s="111">
        <f t="array" ref="AA19">IFERROR(
(MEDIAN((IF(DATOS_[[Sexo]:[Sexo]]=$B19,IF(DATOS_[[AGRUP. CLAS. PROF.]:[AGRUP. CLAS. PROF.]]=$B18,IF(DATOS_[[Check Periodo Ref.]:[Check Periodo Ref.]]="Dentro",IF(DATOS_[[Check Equiparado]:[Check Equiparado]]="Sí",IF(DATOS!AV$5="Sí",(1/DATOS_[[% anualiz]:[% anualiz]]),1)*IF(DATOS!AV$4="Sí",1/DATOS_[[% normaliz]:[% normaliz]],1)*(DATOS_[Conc.Sal.18])))))))),
0)</f>
        <v>0</v>
      </c>
      <c r="AB19" s="111">
        <f t="array" ref="AB19">IFERROR(
(MEDIAN((IF(DATOS_[[Sexo]:[Sexo]]=$B19,IF(DATOS_[[AGRUP. CLAS. PROF.]:[AGRUP. CLAS. PROF.]]=$B18,IF(DATOS_[[Check Periodo Ref.]:[Check Periodo Ref.]]="Dentro",IF(DATOS_[[Check Equiparado]:[Check Equiparado]]="Sí",IF(DATOS!AW$5="Sí",(1/DATOS_[[% anualiz]:[% anualiz]]),1)*IF(DATOS!AW$4="Sí",1/DATOS_[[% normaliz]:[% normaliz]],1)*(DATOS_[Conc.Sal.19])))))))),
0)</f>
        <v>0</v>
      </c>
      <c r="AC19" s="111">
        <f t="array" ref="AC19">IFERROR(
(MEDIAN((IF(DATOS_[[Sexo]:[Sexo]]=$B19,IF(DATOS_[[AGRUP. CLAS. PROF.]:[AGRUP. CLAS. PROF.]]=$B18,IF(DATOS_[[Check Periodo Ref.]:[Check Periodo Ref.]]="Dentro",IF(DATOS_[[Check Equiparado]:[Check Equiparado]]="Sí",IF(DATOS!AX$5="Sí",(1/DATOS_[[% anualiz]:[% anualiz]]),1)*IF(DATOS!AX$4="Sí",1/DATOS_[[% normaliz]:[% normaliz]],1)*(DATOS_[Conc.Sal.20])))))))),
0)</f>
        <v>0</v>
      </c>
      <c r="AD19" s="111">
        <f t="array" ref="AD19">IFERROR(
(MEDIAN((IF(DATOS_[[Sexo]:[Sexo]]=$B19,IF(DATOS_[[AGRUP. CLAS. PROF.]:[AGRUP. CLAS. PROF.]]=$B18,IF(DATOS_[[Check Periodo Ref.]:[Check Periodo Ref.]]="Dentro",IF(DATOS_[[Check Equiparado]:[Check Equiparado]]="Sí",IF(DATOS!AY$5="Sí",(1/DATOS_[[% anualiz]:[% anualiz]]),1)*IF(DATOS!AY$4="Sí",1/DATOS_[[% normaliz]:[% normaliz]],1)*(DATOS_[Conc.Sal.21])))))))),
0)</f>
        <v>0</v>
      </c>
      <c r="AE19" s="111">
        <f t="array" ref="AE19">IFERROR(
(MEDIAN((IF(DATOS_[[Sexo]:[Sexo]]=$B19,IF(DATOS_[[AGRUP. CLAS. PROF.]:[AGRUP. CLAS. PROF.]]=$B18,IF(DATOS_[[Check Periodo Ref.]:[Check Periodo Ref.]]="Dentro",IF(DATOS_[[Check Equiparado]:[Check Equiparado]]="Sí",IF(DATOS!AZ$5="Sí",(1/DATOS_[[% anualiz]:[% anualiz]]),1)*IF(DATOS!AZ$4="Sí",1/DATOS_[[% normaliz]:[% normaliz]],1)*(DATOS_[Conc.Sal.22])))))))),
0)</f>
        <v>0</v>
      </c>
      <c r="AF19" s="111">
        <f t="array" ref="AF19">IFERROR(
(MEDIAN((IF(DATOS_[[Sexo]:[Sexo]]=$B19,IF(DATOS_[[AGRUP. CLAS. PROF.]:[AGRUP. CLAS. PROF.]]=$B18,IF(DATOS_[[Check Periodo Ref.]:[Check Periodo Ref.]]="Dentro",IF(DATOS_[[Check Equiparado]:[Check Equiparado]]="Sí",IF(DATOS!BA$5="Sí",(1/DATOS_[[% anualiz]:[% anualiz]]),1)*IF(DATOS!BA$4="Sí",1/DATOS_[[% normaliz]:[% normaliz]],1)*(DATOS_[Conc.Sal.23])))))))),
0)</f>
        <v>0</v>
      </c>
      <c r="AG19" s="111">
        <f t="array" ref="AG19">IFERROR(
(MEDIAN((IF(DATOS_[[Sexo]:[Sexo]]=$B19,IF(DATOS_[[AGRUP. CLAS. PROF.]:[AGRUP. CLAS. PROF.]]=$B18,IF(DATOS_[[Check Periodo Ref.]:[Check Periodo Ref.]]="Dentro",IF(DATOS_[[Check Equiparado]:[Check Equiparado]]="Sí",IF(DATOS!BB$5="Sí",(1/DATOS_[[% anualiz]:[% anualiz]]),1)*IF(DATOS!BB$4="Sí",1/DATOS_[[% normaliz]:[% normaliz]],1)*(DATOS_[Conc.Sal.24])))))))),
0)</f>
        <v>0</v>
      </c>
      <c r="AH19" s="111">
        <f t="array" ref="AH19">IFERROR(
(MEDIAN((IF(DATOS_[[Sexo]:[Sexo]]=$B19,IF(DATOS_[[AGRUP. CLAS. PROF.]:[AGRUP. CLAS. PROF.]]=$B18,IF(DATOS_[[Check Periodo Ref.]:[Check Periodo Ref.]]="Dentro",IF(DATOS_[[Check Equiparado]:[Check Equiparado]]="Sí",IF(DATOS!BC$5="Sí",(1/DATOS_[[% anualiz]:[% anualiz]]),1)*IF(DATOS!BC$4="Sí",1/DATOS_[[% normaliz]:[% normaliz]],1)*(DATOS_[Conc.Sal.25])))))))),
0)</f>
        <v>0</v>
      </c>
      <c r="AI19" s="111">
        <f t="array" ref="AI19">IFERROR(
(MEDIAN((IF(DATOS_[[Sexo]:[Sexo]]=$B19,IF(DATOS_[[AGRUP. CLAS. PROF.]:[AGRUP. CLAS. PROF.]]=$B18,IF(DATOS_[[Check Periodo Ref.]:[Check Periodo Ref.]]="Dentro",IF(DATOS_[[Check Equiparado]:[Check Equiparado]]="Sí",IF(DATOS!BD$5="Sí",(1/DATOS_[[% anualiz]:[% anualiz]]),1)*IF(DATOS!BD$4="Sí",1/DATOS_[[% normaliz]:[% normaliz]],1)*(DATOS_[Conc.Sal.26])))))))),
0)</f>
        <v>0</v>
      </c>
      <c r="AJ19" s="111">
        <f t="array" ref="AJ19">IFERROR(
(MEDIAN((IF(DATOS_[[Sexo]:[Sexo]]=$B19,IF(DATOS_[[AGRUP. CLAS. PROF.]:[AGRUP. CLAS. PROF.]]=$B18,IF(DATOS_[[Check Periodo Ref.]:[Check Periodo Ref.]]="Dentro",IF(DATOS_[[Check Equiparado]:[Check Equiparado]]="Sí",IF(DATOS!BE$5="Sí",(1/DATOS_[[% anualiz]:[% anualiz]]),1)*IF(DATOS!BE$4="Sí",1/DATOS_[[% normaliz]:[% normaliz]],1)*(DATOS_[Conc.Sal.27])))))))),
0)</f>
        <v>0</v>
      </c>
      <c r="AK19" s="111">
        <f t="array" ref="AK19">IFERROR(
(MEDIAN((IF(DATOS_[[Sexo]:[Sexo]]=$B19,IF(DATOS_[[AGRUP. CLAS. PROF.]:[AGRUP. CLAS. PROF.]]=$B18,IF(DATOS_[[Check Periodo Ref.]:[Check Periodo Ref.]]="Dentro",IF(DATOS_[[Check Equiparado]:[Check Equiparado]]="Sí",IF(DATOS!BF$5="Sí",(1/DATOS_[[% anualiz]:[% anualiz]]),1)*IF(DATOS!BF$4="Sí",1/DATOS_[[% normaliz]:[% normaliz]],1)*(DATOS_[Conc.Sal.28])))))))),
0)</f>
        <v>0</v>
      </c>
      <c r="AL19" s="111">
        <f t="array" ref="AL19">IFERROR(
(MEDIAN((IF(DATOS_[[Sexo]:[Sexo]]=$B19,IF(DATOS_[[AGRUP. CLAS. PROF.]:[AGRUP. CLAS. PROF.]]=$B18,IF(DATOS_[[Check Periodo Ref.]:[Check Periodo Ref.]]="Dentro",IF(DATOS_[[Check Equiparado]:[Check Equiparado]]="Sí",IF(DATOS!BG$5="Sí",(1/DATOS_[[% anualiz]:[% anualiz]]),1)*IF(DATOS!BG$4="Sí",1/DATOS_[[% normaliz]:[% normaliz]],1)*(DATOS_[Conc.Sal.29])))))))),
0)</f>
        <v>0</v>
      </c>
      <c r="AM19" s="111">
        <f t="array" ref="AM19">IFERROR(
(MEDIAN((IF(DATOS_[[Sexo]:[Sexo]]=$B19,IF(DATOS_[[AGRUP. CLAS. PROF.]:[AGRUP. CLAS. PROF.]]=$B18,IF(DATOS_[[Check Periodo Ref.]:[Check Periodo Ref.]]="Dentro",IF(DATOS_[[Check Equiparado]:[Check Equiparado]]="Sí",IF(DATOS!BH$5="Sí",(1/DATOS_[[% anualiz]:[% anualiz]]),1)*IF(DATOS!BH$4="Sí",1/DATOS_[[% normaliz]:[% normaliz]],1)*(DATOS_[Conc.Sal.30])))))))),
0)</f>
        <v>0</v>
      </c>
      <c r="AN19" s="112">
        <f t="array" ref="AN19">IFERROR(
MEDIAN(IF(DATOS_[Sexo]=$B19,IF(DATOS_[[AGRUP. CLAS. PROF.]:[AGRUP. CLAS. PROF.]]=$B18,IF(DATOS_[Check Equiparado]="Sí",IF(DATOS_[Check Periodo Ref.]="Dentro",DATOS_[Tot COMPL.SAL Eq],FALSE))))),
0)</f>
        <v>5194.9763999999986</v>
      </c>
      <c r="AO19" s="113">
        <f t="array" ref="AO19">IFERROR(
MEDIAN(IF(DATOS_[Sexo]=$B19,IF(DATOS_[[AGRUP. CLAS. PROF.]:[AGRUP. CLAS. PROF.]]=$B18,IF(DATOS_[Check Equiparado]="Sí",IF(DATOS_[Check Periodo Ref.]="Dentro",DATOS_[TOTAL SALARIO Eq],FALSE))))),
0)</f>
        <v>22461.306400000001</v>
      </c>
      <c r="AP19" s="114">
        <f t="array" ref="AP19">IFERROR(
(MEDIAN((IF(DATOS_[[Sexo]:[Sexo]]=$B19,IF(DATOS_[[AGRUP. CLAS. PROF.]:[AGRUP. CLAS. PROF.]]=$B18,IF(DATOS_[[Check Periodo Ref.]:[Check Periodo Ref.]]="Dentro",IF(DATOS_[[Check Equiparado]:[Check Equiparado]]="Sí",IF(DATOS!BI$5="Sí",(1/DATOS_[[% anualiz]:[% anualiz]]),1)*IF(DATOS!BI$4="Sí",1/DATOS_[[% normaliz]:[% normaliz]],1)*(DATOS_[C.Extra.01])))))))),
0)</f>
        <v>0</v>
      </c>
      <c r="AQ19" s="114">
        <f t="array" ref="AQ19">IFERROR(
(MEDIAN((IF(DATOS_[[Sexo]:[Sexo]]=$B19,IF(DATOS_[[AGRUP. CLAS. PROF.]:[AGRUP. CLAS. PROF.]]=$B18,IF(DATOS_[[Check Periodo Ref.]:[Check Periodo Ref.]]="Dentro",IF(DATOS_[[Check Equiparado]:[Check Equiparado]]="Sí",IF(DATOS!BJ$5="Sí",(1/DATOS_[[% anualiz]:[% anualiz]]),1)*IF(DATOS!BJ$4="Sí",1/DATOS_[[% normaliz]:[% normaliz]],1)*(DATOS_[C.Extra.02])))))))),
0)</f>
        <v>0</v>
      </c>
      <c r="AR19" s="114">
        <f t="array" ref="AR19">IFERROR(
(MEDIAN((IF(DATOS_[[Sexo]:[Sexo]]=$B19,IF(DATOS_[[AGRUP. CLAS. PROF.]:[AGRUP. CLAS. PROF.]]=$B18,IF(DATOS_[[Check Periodo Ref.]:[Check Periodo Ref.]]="Dentro",IF(DATOS_[[Check Equiparado]:[Check Equiparado]]="Sí",IF(DATOS!BK$5="Sí",(1/DATOS_[[% anualiz]:[% anualiz]]),1)*IF(DATOS!BK$4="Sí",1/DATOS_[[% normaliz]:[% normaliz]],1)*(DATOS_[C.Extra.03])))))))),
0)</f>
        <v>0</v>
      </c>
      <c r="AS19" s="114">
        <f t="array" ref="AS19">IFERROR(
(MEDIAN((IF(DATOS_[[Sexo]:[Sexo]]=$B19,IF(DATOS_[[AGRUP. CLAS. PROF.]:[AGRUP. CLAS. PROF.]]=$B18,IF(DATOS_[[Check Periodo Ref.]:[Check Periodo Ref.]]="Dentro",IF(DATOS_[[Check Equiparado]:[Check Equiparado]]="Sí",IF(DATOS!BL$5="Sí",(1/DATOS_[[% anualiz]:[% anualiz]]),1)*IF(DATOS!BL$4="Sí",1/DATOS_[[% normaliz]:[% normaliz]],1)*(DATOS_[C.Extra.04])))))))),
0)</f>
        <v>0</v>
      </c>
      <c r="AT19" s="114">
        <f t="array" ref="AT19">IFERROR(
(MEDIAN((IF(DATOS_[[Sexo]:[Sexo]]=$B19,IF(DATOS_[[AGRUP. CLAS. PROF.]:[AGRUP. CLAS. PROF.]]=$B18,IF(DATOS_[[Check Periodo Ref.]:[Check Periodo Ref.]]="Dentro",IF(DATOS_[[Check Equiparado]:[Check Equiparado]]="Sí",IF(DATOS!BM$5="Sí",(1/DATOS_[[% anualiz]:[% anualiz]]),1)*IF(DATOS!BM$4="Sí",1/DATOS_[[% normaliz]:[% normaliz]],1)*(DATOS_[C.Extra.05])))))))),
0)</f>
        <v>0</v>
      </c>
      <c r="AU19" s="115">
        <f t="array" ref="AU19">IFERROR(
MEDIAN(IF(DATOS_[Sexo]=$B19,IF(DATOS_[[AGRUP. CLAS. PROF.]:[AGRUP. CLAS. PROF.]]=$B18,IF(DATOS_[Check Equiparado]="Sí",IF(DATOS_[Check Periodo Ref.]="Dentro",DATOS_[Tot Extrasalarial Eq],FALSE))))),
0)</f>
        <v>0</v>
      </c>
      <c r="AV19" s="116">
        <f t="array" ref="AV19">IFERROR(
MEDIAN(IF(DATOS_[Sexo]=$B19,IF(DATOS_[[AGRUP. CLAS. PROF.]:[AGRUP. CLAS. PROF.]]=$B18,IF(DATOS_[Check Equiparado]="Sí",IF(DATOS_[Check Periodo Ref.]="Dentro",DATOS_[TOTAL Retrib Eq],FALSE))))),
0)</f>
        <v>22461.306400000001</v>
      </c>
    </row>
    <row r="20" spans="1:48" x14ac:dyDescent="0.3">
      <c r="A20" s="42" t="str">
        <f t="shared" ref="A20" si="10">+A19</f>
        <v/>
      </c>
      <c r="B20" s="86" t="s">
        <v>163</v>
      </c>
      <c r="C20" s="33">
        <f t="array" ref="C20">SUM(IF($B20=DATOS_[Sexo],
IF($B18=DATOS_[AGRUP. CLAS. PROF.],
IF("Dentro"=DATOS_[Check Periodo Ref.],
1/(COUNTIFS(DATOS_[Sexo],$B20,DATOS_[AGRUP. CLAS. PROF.],$B18,DATOS_[Check Periodo Ref.],"Dentro",DATOS_[id],DATOS_[id]))))))</f>
        <v>13</v>
      </c>
      <c r="D20" s="35">
        <f>COUNTIFS(DATOS_[AGRUP. CLAS. PROF.],$B18,DATOS_[Sexo],$B20,DATOS_[Check Periodo Ref.],"Dentro")</f>
        <v>14</v>
      </c>
      <c r="E20" s="35">
        <f>COUNTIFS(DATOS_[AGRUP. CLAS. PROF.],$B18,DATOS_[Sexo],$B20,DATOS_[Check Periodo Ref.],"Dentro",DATOS_[Check Nº SC Norm],"Sí")</f>
        <v>7</v>
      </c>
      <c r="F20" s="35">
        <f>COUNTIFS(DATOS_[AGRUP. CLAS. PROF.],$B18,DATOS_[Sexo],$B20,DATOS_[Check Periodo Ref.],"Dentro",DATOS_[Check Nº SC Anualiz],"Sí")</f>
        <v>1</v>
      </c>
      <c r="G20" s="35">
        <f>COUNTIFS(DATOS_[AGRUP. CLAS. PROF.],$B18,DATOS_[Sexo],$B20,DATOS_[Check Periodo Ref.],"Dentro",DATOS_[Check Nº SC Norm y Anualiz],"Sí")</f>
        <v>1</v>
      </c>
      <c r="H20" s="35">
        <f>COUNTIFS(DATOS_[AGRUP. CLAS. PROF.],$B18,DATOS_[Sexo],$B20,DATOS_[Check Periodo Ref.],"Dentro",DATOS_[Check Equiparación],"Sí")</f>
        <v>9</v>
      </c>
      <c r="I20" s="110" cm="1">
        <f t="array" ref="I20">IFERROR(
MEDIAN(IF(DATOS_[Sexo]=$B20,IF(DATOS_[[AGRUP. CLAS. PROF.]:[AGRUP. CLAS. PROF.]]=$B18,IF(DATOS_[Check Equiparado]="Sí",IF(DATOS_[Check Periodo Ref.]="Dentro",DATOS_[SALARIO BASE Eq],FALSE))))),
0)</f>
        <v>17266.330000000002</v>
      </c>
      <c r="J20" s="111">
        <f t="array" ref="J20">IFERROR(
(MEDIAN((IF(DATOS_[[Sexo]:[Sexo]]=$B20,IF(DATOS_[[AGRUP. CLAS. PROF.]:[AGRUP. CLAS. PROF.]]=$B18,IF(DATOS_[[Check Periodo Ref.]:[Check Periodo Ref.]]="Dentro",IF(DATOS_[[Check Equiparado]:[Check Equiparado]]="Sí",IF(DATOS!AE$5="Sí",(1/DATOS_[[% anualiz]:[% anualiz]]),1)*IF(DATOS!AE$4="Sí",1/DATOS_[[% normaliz]:[% normaliz]],1)*(DATOS_[Conc.Sal.01])))))))),
0)</f>
        <v>3300</v>
      </c>
      <c r="K20" s="111">
        <f t="array" ref="K20">IFERROR(
(MEDIAN((IF(DATOS_[[Sexo]:[Sexo]]=$B20,IF(DATOS_[[AGRUP. CLAS. PROF.]:[AGRUP. CLAS. PROF.]]=$B18,IF(DATOS_[[Check Periodo Ref.]:[Check Periodo Ref.]]="Dentro",IF(DATOS_[[Check Equiparado]:[Check Equiparado]]="Sí",IF(DATOS!AF$5="Sí",(1/DATOS_[[% anualiz]:[% anualiz]]),1)*IF(DATOS!AF$4="Sí",1/DATOS_[[% normaliz]:[% normaliz]],1)*(DATOS_[Conc.Sal.02])))))))),
0)</f>
        <v>1726.6330000000003</v>
      </c>
      <c r="L20" s="111">
        <f t="array" ref="L20">IFERROR(
(MEDIAN((IF(DATOS_[[Sexo]:[Sexo]]=$B20,IF(DATOS_[[AGRUP. CLAS. PROF.]:[AGRUP. CLAS. PROF.]]=$B18,IF(DATOS_[[Check Periodo Ref.]:[Check Periodo Ref.]]="Dentro",IF(DATOS_[[Check Equiparado]:[Check Equiparado]]="Sí",IF(DATOS!AG$5="Sí",(1/DATOS_[[% anualiz]:[% anualiz]]),1)*IF(DATOS!AG$4="Sí",1/DATOS_[[% normaliz]:[% normaliz]],1)*(DATOS_[Conc.Sal.03])))))))),
0)</f>
        <v>0</v>
      </c>
      <c r="M20" s="111">
        <f t="array" ref="M20">IFERROR(
(MEDIAN((IF(DATOS_[[Sexo]:[Sexo]]=$B20,IF(DATOS_[[AGRUP. CLAS. PROF.]:[AGRUP. CLAS. PROF.]]=$B18,IF(DATOS_[[Check Periodo Ref.]:[Check Periodo Ref.]]="Dentro",IF(DATOS_[[Check Equiparado]:[Check Equiparado]]="Sí",IF(DATOS!AH$5="Sí",(1/DATOS_[[% anualiz]:[% anualiz]]),1)*IF(DATOS!AH$4="Sí",1/DATOS_[[% normaliz]:[% normaliz]],1)*(DATOS_[Conc.Sal.04])))))))),
0)</f>
        <v>0</v>
      </c>
      <c r="N20" s="111">
        <f t="array" ref="N20">IFERROR(
(MEDIAN((IF(DATOS_[[Sexo]:[Sexo]]=$B20,IF(DATOS_[[AGRUP. CLAS. PROF.]:[AGRUP. CLAS. PROF.]]=$B18,IF(DATOS_[[Check Periodo Ref.]:[Check Periodo Ref.]]="Dentro",IF(DATOS_[[Check Equiparado]:[Check Equiparado]]="Sí",IF(DATOS!AI$5="Sí",(1/DATOS_[[% anualiz]:[% anualiz]]),1)*IF(DATOS!AI$4="Sí",1/DATOS_[[% normaliz]:[% normaliz]],1)*(DATOS_[Conc.Sal.05])))))))),
0)</f>
        <v>0</v>
      </c>
      <c r="O20" s="111">
        <f t="array" ref="O20">IFERROR(
(MEDIAN((IF(DATOS_[[Sexo]:[Sexo]]=$B20,IF(DATOS_[[AGRUP. CLAS. PROF.]:[AGRUP. CLAS. PROF.]]=$B18,IF(DATOS_[[Check Periodo Ref.]:[Check Periodo Ref.]]="Dentro",IF(DATOS_[[Check Equiparado]:[Check Equiparado]]="Sí",IF(DATOS!AJ$5="Sí",(1/DATOS_[[% anualiz]:[% anualiz]]),1)*IF(DATOS!AJ$4="Sí",1/DATOS_[[% normaliz]:[% normaliz]],1)*(DATOS_[Conc.Sal.06])))))))),
0)</f>
        <v>0</v>
      </c>
      <c r="P20" s="111">
        <f t="array" ref="P20">IFERROR(
(MEDIAN((IF(DATOS_[[Sexo]:[Sexo]]=$B20,IF(DATOS_[[AGRUP. CLAS. PROF.]:[AGRUP. CLAS. PROF.]]=$B18,IF(DATOS_[[Check Periodo Ref.]:[Check Periodo Ref.]]="Dentro",IF(DATOS_[[Check Equiparado]:[Check Equiparado]]="Sí",IF(DATOS!AK$5="Sí",(1/DATOS_[[% anualiz]:[% anualiz]]),1)*IF(DATOS!AK$4="Sí",1/DATOS_[[% normaliz]:[% normaliz]],1)*(DATOS_[Conc.Sal.07])))))))),
0)</f>
        <v>80</v>
      </c>
      <c r="Q20" s="111">
        <f t="array" ref="Q20">IFERROR(
(MEDIAN((IF(DATOS_[[Sexo]:[Sexo]]=$B20,IF(DATOS_[[AGRUP. CLAS. PROF.]:[AGRUP. CLAS. PROF.]]=$B18,IF(DATOS_[[Check Periodo Ref.]:[Check Periodo Ref.]]="Dentro",IF(DATOS_[[Check Equiparado]:[Check Equiparado]]="Sí",IF(DATOS!AL$5="Sí",(1/DATOS_[[% anualiz]:[% anualiz]]),1)*IF(DATOS!AL$4="Sí",1/DATOS_[[% normaliz]:[% normaliz]],1)*(DATOS_[Conc.Sal.08])))))))),
0)</f>
        <v>0</v>
      </c>
      <c r="R20" s="111">
        <f t="array" ref="R20">IFERROR(
(MEDIAN((IF(DATOS_[[Sexo]:[Sexo]]=$B20,IF(DATOS_[[AGRUP. CLAS. PROF.]:[AGRUP. CLAS. PROF.]]=$B18,IF(DATOS_[[Check Periodo Ref.]:[Check Periodo Ref.]]="Dentro",IF(DATOS_[[Check Equiparado]:[Check Equiparado]]="Sí",IF(DATOS!AM$5="Sí",(1/DATOS_[[% anualiz]:[% anualiz]]),1)*IF(DATOS!AM$4="Sí",1/DATOS_[[% normaliz]:[% normaliz]],1)*(DATOS_[Conc.Sal.09])))))))),
0)</f>
        <v>0</v>
      </c>
      <c r="S20" s="111">
        <f t="array" ref="S20">IFERROR(
(MEDIAN((IF(DATOS_[[Sexo]:[Sexo]]=$B20,IF(DATOS_[[AGRUP. CLAS. PROF.]:[AGRUP. CLAS. PROF.]]=$B18,IF(DATOS_[[Check Periodo Ref.]:[Check Periodo Ref.]]="Dentro",IF(DATOS_[[Check Equiparado]:[Check Equiparado]]="Sí",IF(DATOS!AN$5="Sí",(1/DATOS_[[% anualiz]:[% anualiz]]),1)*IF(DATOS!AN$4="Sí",1/DATOS_[[% normaliz]:[% normaliz]],1)*(DATOS_[Conc.Sal.10])))))))),
0)</f>
        <v>0</v>
      </c>
      <c r="T20" s="111">
        <f t="array" ref="T20">IFERROR(
(MEDIAN((IF(DATOS_[[Sexo]:[Sexo]]=$B20,IF(DATOS_[[AGRUP. CLAS. PROF.]:[AGRUP. CLAS. PROF.]]=$B18,IF(DATOS_[[Check Periodo Ref.]:[Check Periodo Ref.]]="Dentro",IF(DATOS_[[Check Equiparado]:[Check Equiparado]]="Sí",IF(DATOS!AO$5="Sí",(1/DATOS_[[% anualiz]:[% anualiz]]),1)*IF(DATOS!AO$4="Sí",1/DATOS_[[% normaliz]:[% normaliz]],1)*(DATOS_[Conc.Sal.11])))))))),
0)</f>
        <v>0</v>
      </c>
      <c r="U20" s="111">
        <f t="array" ref="U20">IFERROR(
(MEDIAN((IF(DATOS_[[Sexo]:[Sexo]]=$B20,IF(DATOS_[[AGRUP. CLAS. PROF.]:[AGRUP. CLAS. PROF.]]=$B18,IF(DATOS_[[Check Periodo Ref.]:[Check Periodo Ref.]]="Dentro",IF(DATOS_[[Check Equiparado]:[Check Equiparado]]="Sí",IF(DATOS!AP$5="Sí",(1/DATOS_[[% anualiz]:[% anualiz]]),1)*IF(DATOS!AP$4="Sí",1/DATOS_[[% normaliz]:[% normaliz]],1)*(DATOS_[Conc.Sal.12])))))))),
0)</f>
        <v>0</v>
      </c>
      <c r="V20" s="111">
        <f t="array" ref="V20">IFERROR(
(MEDIAN((IF(DATOS_[[Sexo]:[Sexo]]=$B20,IF(DATOS_[[AGRUP. CLAS. PROF.]:[AGRUP. CLAS. PROF.]]=$B18,IF(DATOS_[[Check Periodo Ref.]:[Check Periodo Ref.]]="Dentro",IF(DATOS_[[Check Equiparado]:[Check Equiparado]]="Sí",IF(DATOS!AQ$5="Sí",(1/DATOS_[[% anualiz]:[% anualiz]]),1)*IF(DATOS!AQ$4="Sí",1/DATOS_[[% normaliz]:[% normaliz]],1)*(DATOS_[Conc.Sal.13])))))))),
0)</f>
        <v>0</v>
      </c>
      <c r="W20" s="111">
        <f t="array" ref="W20">IFERROR(
(MEDIAN((IF(DATOS_[[Sexo]:[Sexo]]=$B20,IF(DATOS_[[AGRUP. CLAS. PROF.]:[AGRUP. CLAS. PROF.]]=$B18,IF(DATOS_[[Check Periodo Ref.]:[Check Periodo Ref.]]="Dentro",IF(DATOS_[[Check Equiparado]:[Check Equiparado]]="Sí",IF(DATOS!AR$5="Sí",(1/DATOS_[[% anualiz]:[% anualiz]]),1)*IF(DATOS!AR$4="Sí",1/DATOS_[[% normaliz]:[% normaliz]],1)*(DATOS_[Conc.Sal.14])))))))),
0)</f>
        <v>0</v>
      </c>
      <c r="X20" s="111">
        <f t="array" ref="X20">IFERROR(
(MEDIAN((IF(DATOS_[[Sexo]:[Sexo]]=$B20,IF(DATOS_[[AGRUP. CLAS. PROF.]:[AGRUP. CLAS. PROF.]]=$B18,IF(DATOS_[[Check Periodo Ref.]:[Check Periodo Ref.]]="Dentro",IF(DATOS_[[Check Equiparado]:[Check Equiparado]]="Sí",IF(DATOS!AS$5="Sí",(1/DATOS_[[% anualiz]:[% anualiz]]),1)*IF(DATOS!AS$4="Sí",1/DATOS_[[% normaliz]:[% normaliz]],1)*(DATOS_[Conc.Sal.15])))))))),
0)</f>
        <v>0</v>
      </c>
      <c r="Y20" s="111">
        <f t="array" ref="Y20">IFERROR(
(MEDIAN((IF(DATOS_[[Sexo]:[Sexo]]=$B20,IF(DATOS_[[AGRUP. CLAS. PROF.]:[AGRUP. CLAS. PROF.]]=$B18,IF(DATOS_[[Check Periodo Ref.]:[Check Periodo Ref.]]="Dentro",IF(DATOS_[[Check Equiparado]:[Check Equiparado]]="Sí",IF(DATOS!AT$5="Sí",(1/DATOS_[[% anualiz]:[% anualiz]]),1)*IF(DATOS!AT$4="Sí",1/DATOS_[[% normaliz]:[% normaliz]],1)*(DATOS_[Conc.Sal.16])))))))),
0)</f>
        <v>0</v>
      </c>
      <c r="Z20" s="111">
        <f t="array" ref="Z20">IFERROR(
(MEDIAN((IF(DATOS_[[Sexo]:[Sexo]]=$B20,IF(DATOS_[[AGRUP. CLAS. PROF.]:[AGRUP. CLAS. PROF.]]=$B18,IF(DATOS_[[Check Periodo Ref.]:[Check Periodo Ref.]]="Dentro",IF(DATOS_[[Check Equiparado]:[Check Equiparado]]="Sí",IF(DATOS!AU$5="Sí",(1/DATOS_[[% anualiz]:[% anualiz]]),1)*IF(DATOS!AU$4="Sí",1/DATOS_[[% normaliz]:[% normaliz]],1)*(DATOS_[Conc.Sal.17])))))))),
0)</f>
        <v>0</v>
      </c>
      <c r="AA20" s="111">
        <f t="array" ref="AA20">IFERROR(
(MEDIAN((IF(DATOS_[[Sexo]:[Sexo]]=$B20,IF(DATOS_[[AGRUP. CLAS. PROF.]:[AGRUP. CLAS. PROF.]]=$B18,IF(DATOS_[[Check Periodo Ref.]:[Check Periodo Ref.]]="Dentro",IF(DATOS_[[Check Equiparado]:[Check Equiparado]]="Sí",IF(DATOS!AV$5="Sí",(1/DATOS_[[% anualiz]:[% anualiz]]),1)*IF(DATOS!AV$4="Sí",1/DATOS_[[% normaliz]:[% normaliz]],1)*(DATOS_[Conc.Sal.18])))))))),
0)</f>
        <v>0</v>
      </c>
      <c r="AB20" s="111">
        <f t="array" ref="AB20">IFERROR(
(MEDIAN((IF(DATOS_[[Sexo]:[Sexo]]=$B20,IF(DATOS_[[AGRUP. CLAS. PROF.]:[AGRUP. CLAS. PROF.]]=$B18,IF(DATOS_[[Check Periodo Ref.]:[Check Periodo Ref.]]="Dentro",IF(DATOS_[[Check Equiparado]:[Check Equiparado]]="Sí",IF(DATOS!AW$5="Sí",(1/DATOS_[[% anualiz]:[% anualiz]]),1)*IF(DATOS!AW$4="Sí",1/DATOS_[[% normaliz]:[% normaliz]],1)*(DATOS_[Conc.Sal.19])))))))),
0)</f>
        <v>0</v>
      </c>
      <c r="AC20" s="111">
        <f t="array" ref="AC20">IFERROR(
(MEDIAN((IF(DATOS_[[Sexo]:[Sexo]]=$B20,IF(DATOS_[[AGRUP. CLAS. PROF.]:[AGRUP. CLAS. PROF.]]=$B18,IF(DATOS_[[Check Periodo Ref.]:[Check Periodo Ref.]]="Dentro",IF(DATOS_[[Check Equiparado]:[Check Equiparado]]="Sí",IF(DATOS!AX$5="Sí",(1/DATOS_[[% anualiz]:[% anualiz]]),1)*IF(DATOS!AX$4="Sí",1/DATOS_[[% normaliz]:[% normaliz]],1)*(DATOS_[Conc.Sal.20])))))))),
0)</f>
        <v>0</v>
      </c>
      <c r="AD20" s="111">
        <f t="array" ref="AD20">IFERROR(
(MEDIAN((IF(DATOS_[[Sexo]:[Sexo]]=$B20,IF(DATOS_[[AGRUP. CLAS. PROF.]:[AGRUP. CLAS. PROF.]]=$B18,IF(DATOS_[[Check Periodo Ref.]:[Check Periodo Ref.]]="Dentro",IF(DATOS_[[Check Equiparado]:[Check Equiparado]]="Sí",IF(DATOS!AY$5="Sí",(1/DATOS_[[% anualiz]:[% anualiz]]),1)*IF(DATOS!AY$4="Sí",1/DATOS_[[% normaliz]:[% normaliz]],1)*(DATOS_[Conc.Sal.21])))))))),
0)</f>
        <v>0</v>
      </c>
      <c r="AE20" s="111">
        <f t="array" ref="AE20">IFERROR(
(MEDIAN((IF(DATOS_[[Sexo]:[Sexo]]=$B20,IF(DATOS_[[AGRUP. CLAS. PROF.]:[AGRUP. CLAS. PROF.]]=$B18,IF(DATOS_[[Check Periodo Ref.]:[Check Periodo Ref.]]="Dentro",IF(DATOS_[[Check Equiparado]:[Check Equiparado]]="Sí",IF(DATOS!AZ$5="Sí",(1/DATOS_[[% anualiz]:[% anualiz]]),1)*IF(DATOS!AZ$4="Sí",1/DATOS_[[% normaliz]:[% normaliz]],1)*(DATOS_[Conc.Sal.22])))))))),
0)</f>
        <v>0</v>
      </c>
      <c r="AF20" s="111">
        <f t="array" ref="AF20">IFERROR(
(MEDIAN((IF(DATOS_[[Sexo]:[Sexo]]=$B20,IF(DATOS_[[AGRUP. CLAS. PROF.]:[AGRUP. CLAS. PROF.]]=$B18,IF(DATOS_[[Check Periodo Ref.]:[Check Periodo Ref.]]="Dentro",IF(DATOS_[[Check Equiparado]:[Check Equiparado]]="Sí",IF(DATOS!BA$5="Sí",(1/DATOS_[[% anualiz]:[% anualiz]]),1)*IF(DATOS!BA$4="Sí",1/DATOS_[[% normaliz]:[% normaliz]],1)*(DATOS_[Conc.Sal.23])))))))),
0)</f>
        <v>0</v>
      </c>
      <c r="AG20" s="111">
        <f t="array" ref="AG20">IFERROR(
(MEDIAN((IF(DATOS_[[Sexo]:[Sexo]]=$B20,IF(DATOS_[[AGRUP. CLAS. PROF.]:[AGRUP. CLAS. PROF.]]=$B18,IF(DATOS_[[Check Periodo Ref.]:[Check Periodo Ref.]]="Dentro",IF(DATOS_[[Check Equiparado]:[Check Equiparado]]="Sí",IF(DATOS!BB$5="Sí",(1/DATOS_[[% anualiz]:[% anualiz]]),1)*IF(DATOS!BB$4="Sí",1/DATOS_[[% normaliz]:[% normaliz]],1)*(DATOS_[Conc.Sal.24])))))))),
0)</f>
        <v>0</v>
      </c>
      <c r="AH20" s="111">
        <f t="array" ref="AH20">IFERROR(
(MEDIAN((IF(DATOS_[[Sexo]:[Sexo]]=$B20,IF(DATOS_[[AGRUP. CLAS. PROF.]:[AGRUP. CLAS. PROF.]]=$B18,IF(DATOS_[[Check Periodo Ref.]:[Check Periodo Ref.]]="Dentro",IF(DATOS_[[Check Equiparado]:[Check Equiparado]]="Sí",IF(DATOS!BC$5="Sí",(1/DATOS_[[% anualiz]:[% anualiz]]),1)*IF(DATOS!BC$4="Sí",1/DATOS_[[% normaliz]:[% normaliz]],1)*(DATOS_[Conc.Sal.25])))))))),
0)</f>
        <v>0</v>
      </c>
      <c r="AI20" s="111">
        <f t="array" ref="AI20">IFERROR(
(MEDIAN((IF(DATOS_[[Sexo]:[Sexo]]=$B20,IF(DATOS_[[AGRUP. CLAS. PROF.]:[AGRUP. CLAS. PROF.]]=$B18,IF(DATOS_[[Check Periodo Ref.]:[Check Periodo Ref.]]="Dentro",IF(DATOS_[[Check Equiparado]:[Check Equiparado]]="Sí",IF(DATOS!BD$5="Sí",(1/DATOS_[[% anualiz]:[% anualiz]]),1)*IF(DATOS!BD$4="Sí",1/DATOS_[[% normaliz]:[% normaliz]],1)*(DATOS_[Conc.Sal.26])))))))),
0)</f>
        <v>0</v>
      </c>
      <c r="AJ20" s="111">
        <f t="array" ref="AJ20">IFERROR(
(MEDIAN((IF(DATOS_[[Sexo]:[Sexo]]=$B20,IF(DATOS_[[AGRUP. CLAS. PROF.]:[AGRUP. CLAS. PROF.]]=$B18,IF(DATOS_[[Check Periodo Ref.]:[Check Periodo Ref.]]="Dentro",IF(DATOS_[[Check Equiparado]:[Check Equiparado]]="Sí",IF(DATOS!BE$5="Sí",(1/DATOS_[[% anualiz]:[% anualiz]]),1)*IF(DATOS!BE$4="Sí",1/DATOS_[[% normaliz]:[% normaliz]],1)*(DATOS_[Conc.Sal.27])))))))),
0)</f>
        <v>0</v>
      </c>
      <c r="AK20" s="111">
        <f t="array" ref="AK20">IFERROR(
(MEDIAN((IF(DATOS_[[Sexo]:[Sexo]]=$B20,IF(DATOS_[[AGRUP. CLAS. PROF.]:[AGRUP. CLAS. PROF.]]=$B18,IF(DATOS_[[Check Periodo Ref.]:[Check Periodo Ref.]]="Dentro",IF(DATOS_[[Check Equiparado]:[Check Equiparado]]="Sí",IF(DATOS!BF$5="Sí",(1/DATOS_[[% anualiz]:[% anualiz]]),1)*IF(DATOS!BF$4="Sí",1/DATOS_[[% normaliz]:[% normaliz]],1)*(DATOS_[Conc.Sal.28])))))))),
0)</f>
        <v>0</v>
      </c>
      <c r="AL20" s="111">
        <f t="array" ref="AL20">IFERROR(
(MEDIAN((IF(DATOS_[[Sexo]:[Sexo]]=$B20,IF(DATOS_[[AGRUP. CLAS. PROF.]:[AGRUP. CLAS. PROF.]]=$B18,IF(DATOS_[[Check Periodo Ref.]:[Check Periodo Ref.]]="Dentro",IF(DATOS_[[Check Equiparado]:[Check Equiparado]]="Sí",IF(DATOS!BG$5="Sí",(1/DATOS_[[% anualiz]:[% anualiz]]),1)*IF(DATOS!BG$4="Sí",1/DATOS_[[% normaliz]:[% normaliz]],1)*(DATOS_[Conc.Sal.29])))))))),
0)</f>
        <v>0</v>
      </c>
      <c r="AM20" s="111">
        <f t="array" ref="AM20">IFERROR(
(MEDIAN((IF(DATOS_[[Sexo]:[Sexo]]=$B20,IF(DATOS_[[AGRUP. CLAS. PROF.]:[AGRUP. CLAS. PROF.]]=$B18,IF(DATOS_[[Check Periodo Ref.]:[Check Periodo Ref.]]="Dentro",IF(DATOS_[[Check Equiparado]:[Check Equiparado]]="Sí",IF(DATOS!BH$5="Sí",(1/DATOS_[[% anualiz]:[% anualiz]]),1)*IF(DATOS!BH$4="Sí",1/DATOS_[[% normaliz]:[% normaliz]],1)*(DATOS_[Conc.Sal.30])))))))),
0)</f>
        <v>0</v>
      </c>
      <c r="AN20" s="112">
        <f t="array" ref="AN20">IFERROR(
MEDIAN(IF(DATOS_[Sexo]=$B20,IF(DATOS_[[AGRUP. CLAS. PROF.]:[AGRUP. CLAS. PROF.]]=$B18,IF(DATOS_[Check Equiparado]="Sí",IF(DATOS_[Check Periodo Ref.]="Dentro",DATOS_[Tot COMPL.SAL Eq],FALSE))))),
0)</f>
        <v>5194.9763999999986</v>
      </c>
      <c r="AO20" s="113">
        <f t="array" ref="AO20">IFERROR(
MEDIAN(IF(DATOS_[Sexo]=$B20,IF(DATOS_[[AGRUP. CLAS. PROF.]:[AGRUP. CLAS. PROF.]]=$B18,IF(DATOS_[Check Equiparado]="Sí",IF(DATOS_[Check Periodo Ref.]="Dentro",DATOS_[TOTAL SALARIO Eq],FALSE))))),
0)</f>
        <v>22461.306400000001</v>
      </c>
      <c r="AP20" s="114">
        <f t="array" ref="AP20">IFERROR(
(MEDIAN((IF(DATOS_[[Sexo]:[Sexo]]=$B20,IF(DATOS_[[AGRUP. CLAS. PROF.]:[AGRUP. CLAS. PROF.]]=$B18,IF(DATOS_[[Check Periodo Ref.]:[Check Periodo Ref.]]="Dentro",IF(DATOS_[[Check Equiparado]:[Check Equiparado]]="Sí",IF(DATOS!BI$5="Sí",(1/DATOS_[[% anualiz]:[% anualiz]]),1)*IF(DATOS!BI$4="Sí",1/DATOS_[[% normaliz]:[% normaliz]],1)*(DATOS_[C.Extra.01])))))))),
0)</f>
        <v>0</v>
      </c>
      <c r="AQ20" s="114">
        <f t="array" ref="AQ20">IFERROR(
(MEDIAN((IF(DATOS_[[Sexo]:[Sexo]]=$B20,IF(DATOS_[[AGRUP. CLAS. PROF.]:[AGRUP. CLAS. PROF.]]=$B18,IF(DATOS_[[Check Periodo Ref.]:[Check Periodo Ref.]]="Dentro",IF(DATOS_[[Check Equiparado]:[Check Equiparado]]="Sí",IF(DATOS!BJ$5="Sí",(1/DATOS_[[% anualiz]:[% anualiz]]),1)*IF(DATOS!BJ$4="Sí",1/DATOS_[[% normaliz]:[% normaliz]],1)*(DATOS_[C.Extra.02])))))))),
0)</f>
        <v>0</v>
      </c>
      <c r="AR20" s="114">
        <f t="array" ref="AR20">IFERROR(
(MEDIAN((IF(DATOS_[[Sexo]:[Sexo]]=$B20,IF(DATOS_[[AGRUP. CLAS. PROF.]:[AGRUP. CLAS. PROF.]]=$B18,IF(DATOS_[[Check Periodo Ref.]:[Check Periodo Ref.]]="Dentro",IF(DATOS_[[Check Equiparado]:[Check Equiparado]]="Sí",IF(DATOS!BK$5="Sí",(1/DATOS_[[% anualiz]:[% anualiz]]),1)*IF(DATOS!BK$4="Sí",1/DATOS_[[% normaliz]:[% normaliz]],1)*(DATOS_[C.Extra.03])))))))),
0)</f>
        <v>0</v>
      </c>
      <c r="AS20" s="114">
        <f t="array" ref="AS20">IFERROR(
(MEDIAN((IF(DATOS_[[Sexo]:[Sexo]]=$B20,IF(DATOS_[[AGRUP. CLAS. PROF.]:[AGRUP. CLAS. PROF.]]=$B18,IF(DATOS_[[Check Periodo Ref.]:[Check Periodo Ref.]]="Dentro",IF(DATOS_[[Check Equiparado]:[Check Equiparado]]="Sí",IF(DATOS!BL$5="Sí",(1/DATOS_[[% anualiz]:[% anualiz]]),1)*IF(DATOS!BL$4="Sí",1/DATOS_[[% normaliz]:[% normaliz]],1)*(DATOS_[C.Extra.04])))))))),
0)</f>
        <v>0</v>
      </c>
      <c r="AT20" s="114">
        <f t="array" ref="AT20">IFERROR(
(MEDIAN((IF(DATOS_[[Sexo]:[Sexo]]=$B20,IF(DATOS_[[AGRUP. CLAS. PROF.]:[AGRUP. CLAS. PROF.]]=$B18,IF(DATOS_[[Check Periodo Ref.]:[Check Periodo Ref.]]="Dentro",IF(DATOS_[[Check Equiparado]:[Check Equiparado]]="Sí",IF(DATOS!BM$5="Sí",(1/DATOS_[[% anualiz]:[% anualiz]]),1)*IF(DATOS!BM$4="Sí",1/DATOS_[[% normaliz]:[% normaliz]],1)*(DATOS_[C.Extra.05])))))))),
0)</f>
        <v>0</v>
      </c>
      <c r="AU20" s="115">
        <f t="array" ref="AU20">IFERROR(
MEDIAN(IF(DATOS_[Sexo]=$B20,IF(DATOS_[[AGRUP. CLAS. PROF.]:[AGRUP. CLAS. PROF.]]=$B18,IF(DATOS_[Check Equiparado]="Sí",IF(DATOS_[Check Periodo Ref.]="Dentro",DATOS_[Tot Extrasalarial Eq],FALSE))))),
0)</f>
        <v>0</v>
      </c>
      <c r="AV20" s="116">
        <f t="array" ref="AV20">IFERROR(
MEDIAN(IF(DATOS_[Sexo]=$B20,IF(DATOS_[[AGRUP. CLAS. PROF.]:[AGRUP. CLAS. PROF.]]=$B18,IF(DATOS_[Check Equiparado]="Sí",IF(DATOS_[Check Periodo Ref.]="Dentro",DATOS_[TOTAL Retrib Eq],FALSE))))),
0)</f>
        <v>22461.306400000001</v>
      </c>
    </row>
    <row r="21" spans="1:48" ht="17.25" thickBot="1" x14ac:dyDescent="0.35">
      <c r="A21" s="42" t="str">
        <f t="shared" ref="A21" si="11">+A22</f>
        <v/>
      </c>
      <c r="B21" s="90" t="s">
        <v>300</v>
      </c>
      <c r="C21" s="109"/>
      <c r="D21" s="41"/>
      <c r="E21" s="41"/>
      <c r="F21" s="41"/>
      <c r="G21" s="41"/>
      <c r="H21" s="41"/>
      <c r="I21" s="119">
        <f t="shared" ref="I21:AV21" si="12">IFERROR((I22-I23)/I22,"")</f>
        <v>0</v>
      </c>
      <c r="J21" s="123">
        <f t="shared" si="12"/>
        <v>0</v>
      </c>
      <c r="K21" s="123">
        <f t="shared" si="12"/>
        <v>-1</v>
      </c>
      <c r="L21" s="123" t="str">
        <f t="shared" si="12"/>
        <v/>
      </c>
      <c r="M21" s="123" t="str">
        <f t="shared" si="12"/>
        <v/>
      </c>
      <c r="N21" s="123" t="str">
        <f t="shared" si="12"/>
        <v/>
      </c>
      <c r="O21" s="123" t="str">
        <f t="shared" si="12"/>
        <v/>
      </c>
      <c r="P21" s="123">
        <f t="shared" si="12"/>
        <v>0</v>
      </c>
      <c r="Q21" s="123">
        <f t="shared" si="12"/>
        <v>1</v>
      </c>
      <c r="R21" s="123" t="str">
        <f t="shared" si="12"/>
        <v/>
      </c>
      <c r="S21" s="123" t="str">
        <f t="shared" si="12"/>
        <v/>
      </c>
      <c r="T21" s="123" t="str">
        <f t="shared" si="12"/>
        <v/>
      </c>
      <c r="U21" s="123" t="str">
        <f t="shared" si="12"/>
        <v/>
      </c>
      <c r="V21" s="123" t="str">
        <f t="shared" si="12"/>
        <v/>
      </c>
      <c r="W21" s="123" t="str">
        <f t="shared" si="12"/>
        <v/>
      </c>
      <c r="X21" s="123" t="str">
        <f t="shared" si="12"/>
        <v/>
      </c>
      <c r="Y21" s="123" t="str">
        <f t="shared" si="12"/>
        <v/>
      </c>
      <c r="Z21" s="122" t="str">
        <f t="shared" si="12"/>
        <v/>
      </c>
      <c r="AA21" s="122" t="str">
        <f t="shared" si="12"/>
        <v/>
      </c>
      <c r="AB21" s="122" t="str">
        <f t="shared" si="12"/>
        <v/>
      </c>
      <c r="AC21" s="122" t="str">
        <f t="shared" si="12"/>
        <v/>
      </c>
      <c r="AD21" s="122" t="str">
        <f t="shared" si="12"/>
        <v/>
      </c>
      <c r="AE21" s="122" t="str">
        <f t="shared" si="12"/>
        <v/>
      </c>
      <c r="AF21" s="122" t="str">
        <f t="shared" si="12"/>
        <v/>
      </c>
      <c r="AG21" s="122" t="str">
        <f t="shared" si="12"/>
        <v/>
      </c>
      <c r="AH21" s="122" t="str">
        <f t="shared" si="12"/>
        <v/>
      </c>
      <c r="AI21" s="122" t="str">
        <f t="shared" si="12"/>
        <v/>
      </c>
      <c r="AJ21" s="122" t="str">
        <f t="shared" si="12"/>
        <v/>
      </c>
      <c r="AK21" s="122" t="str">
        <f t="shared" si="12"/>
        <v/>
      </c>
      <c r="AL21" s="122" t="str">
        <f t="shared" si="12"/>
        <v/>
      </c>
      <c r="AM21" s="122" t="str">
        <f t="shared" si="12"/>
        <v/>
      </c>
      <c r="AN21" s="124">
        <f t="shared" si="12"/>
        <v>0.65326179071602997</v>
      </c>
      <c r="AO21" s="128">
        <f t="shared" si="12"/>
        <v>0.23209623298988014</v>
      </c>
      <c r="AP21" s="125" t="str">
        <f t="shared" si="12"/>
        <v/>
      </c>
      <c r="AQ21" s="125" t="str">
        <f t="shared" si="12"/>
        <v/>
      </c>
      <c r="AR21" s="125" t="str">
        <f t="shared" si="12"/>
        <v/>
      </c>
      <c r="AS21" s="125" t="str">
        <f t="shared" si="12"/>
        <v/>
      </c>
      <c r="AT21" s="125" t="str">
        <f t="shared" si="12"/>
        <v/>
      </c>
      <c r="AU21" s="126" t="str">
        <f t="shared" si="12"/>
        <v/>
      </c>
      <c r="AV21" s="127">
        <f t="shared" si="12"/>
        <v>0.23209623298988014</v>
      </c>
    </row>
    <row r="22" spans="1:48" x14ac:dyDescent="0.3">
      <c r="A22" s="42" t="str">
        <f t="shared" ref="A22" si="13">+IF(C22+C23=0,"[ocultar]","")</f>
        <v/>
      </c>
      <c r="B22" s="86" t="s">
        <v>162</v>
      </c>
      <c r="C22" s="33">
        <f t="array" ref="C22">SUM(IF($B22=DATOS_[Sexo],
IF($B21=DATOS_[AGRUP. CLAS. PROF.],
IF("Dentro"=DATOS_[Check Periodo Ref.],
1/(COUNTIFS(DATOS_[Sexo],$B22,DATOS_[AGRUP. CLAS. PROF.],$B21,DATOS_[Check Periodo Ref.],"Dentro",DATOS_[id],DATOS_[id]))))))</f>
        <v>30</v>
      </c>
      <c r="D22" s="35">
        <f>COUNTIFS(DATOS_[AGRUP. CLAS. PROF.],$B21,DATOS_[Sexo],$B22,DATOS_[Check Periodo Ref.],"Dentro")</f>
        <v>30</v>
      </c>
      <c r="E22" s="35">
        <f>COUNTIFS(DATOS_[AGRUP. CLAS. PROF.],$B21,DATOS_[Sexo],$B22,DATOS_[Check Periodo Ref.],"Dentro",DATOS_[Check Nº SC Norm],"Sí")</f>
        <v>1</v>
      </c>
      <c r="F22" s="35">
        <f>COUNTIFS(DATOS_[AGRUP. CLAS. PROF.],$B21,DATOS_[Sexo],$B22,DATOS_[Check Periodo Ref.],"Dentro",DATOS_[Check Nº SC Anualiz],"Sí")</f>
        <v>4</v>
      </c>
      <c r="G22" s="35">
        <f>COUNTIFS(DATOS_[AGRUP. CLAS. PROF.],$B21,DATOS_[Sexo],$B22,DATOS_[Check Periodo Ref.],"Dentro",DATOS_[Check Nº SC Norm y Anualiz],"Sí")</f>
        <v>0</v>
      </c>
      <c r="H22" s="35">
        <f>COUNTIFS(DATOS_[AGRUP. CLAS. PROF.],$B21,DATOS_[Sexo],$B22,DATOS_[Check Periodo Ref.],"Dentro",DATOS_[Check Equiparación],"Sí")</f>
        <v>5</v>
      </c>
      <c r="I22" s="110">
        <f t="array" ref="I22">IFERROR(
MEDIAN(IF(DATOS_[Sexo]=$B22,IF(DATOS_[[AGRUP. CLAS. PROF.]:[AGRUP. CLAS. PROF.]]=$B21,IF(DATOS_[Check Equiparado]="Sí",IF(DATOS_[Check Periodo Ref.]="Dentro",DATOS_[SALARIO BASE Eq],FALSE))))),
0)</f>
        <v>15372.42</v>
      </c>
      <c r="J22" s="111">
        <f t="array" ref="J22">IFERROR(
(MEDIAN((IF(DATOS_[[Sexo]:[Sexo]]=$B22,IF(DATOS_[[AGRUP. CLAS. PROF.]:[AGRUP. CLAS. PROF.]]=$B21,IF(DATOS_[[Check Periodo Ref.]:[Check Periodo Ref.]]="Dentro",IF(DATOS_[[Check Equiparado]:[Check Equiparado]]="Sí",IF(DATOS!AE$5="Sí",(1/DATOS_[[% anualiz]:[% anualiz]]),1)*IF(DATOS!AE$4="Sí",1/DATOS_[[% normaliz]:[% normaliz]],1)*(DATOS_[Conc.Sal.01])))))))),
0)</f>
        <v>1627.58</v>
      </c>
      <c r="K22" s="111">
        <f t="array" ref="K22">IFERROR(
(MEDIAN((IF(DATOS_[[Sexo]:[Sexo]]=$B22,IF(DATOS_[[AGRUP. CLAS. PROF.]:[AGRUP. CLAS. PROF.]]=$B21,IF(DATOS_[[Check Periodo Ref.]:[Check Periodo Ref.]]="Dentro",IF(DATOS_[[Check Equiparado]:[Check Equiparado]]="Sí",IF(DATOS!AF$5="Sí",(1/DATOS_[[% anualiz]:[% anualiz]]),1)*IF(DATOS!AF$4="Sí",1/DATOS_[[% normaliz]:[% normaliz]],1)*(DATOS_[Conc.Sal.02])))))))),
0)</f>
        <v>614.89679999999998</v>
      </c>
      <c r="L22" s="111">
        <f t="array" ref="L22">IFERROR(
(MEDIAN((IF(DATOS_[[Sexo]:[Sexo]]=$B22,IF(DATOS_[[AGRUP. CLAS. PROF.]:[AGRUP. CLAS. PROF.]]=$B21,IF(DATOS_[[Check Periodo Ref.]:[Check Periodo Ref.]]="Dentro",IF(DATOS_[[Check Equiparado]:[Check Equiparado]]="Sí",IF(DATOS!AG$5="Sí",(1/DATOS_[[% anualiz]:[% anualiz]]),1)*IF(DATOS!AG$4="Sí",1/DATOS_[[% normaliz]:[% normaliz]],1)*(DATOS_[Conc.Sal.03])))))))),
0)</f>
        <v>0</v>
      </c>
      <c r="M22" s="111">
        <f t="array" ref="M22">IFERROR(
(MEDIAN((IF(DATOS_[[Sexo]:[Sexo]]=$B22,IF(DATOS_[[AGRUP. CLAS. PROF.]:[AGRUP. CLAS. PROF.]]=$B21,IF(DATOS_[[Check Periodo Ref.]:[Check Periodo Ref.]]="Dentro",IF(DATOS_[[Check Equiparado]:[Check Equiparado]]="Sí",IF(DATOS!AH$5="Sí",(1/DATOS_[[% anualiz]:[% anualiz]]),1)*IF(DATOS!AH$4="Sí",1/DATOS_[[% normaliz]:[% normaliz]],1)*(DATOS_[Conc.Sal.04])))))))),
0)</f>
        <v>0</v>
      </c>
      <c r="N22" s="111">
        <f t="array" ref="N22">IFERROR(
(MEDIAN((IF(DATOS_[[Sexo]:[Sexo]]=$B22,IF(DATOS_[[AGRUP. CLAS. PROF.]:[AGRUP. CLAS. PROF.]]=$B21,IF(DATOS_[[Check Periodo Ref.]:[Check Periodo Ref.]]="Dentro",IF(DATOS_[[Check Equiparado]:[Check Equiparado]]="Sí",IF(DATOS!AI$5="Sí",(1/DATOS_[[% anualiz]:[% anualiz]]),1)*IF(DATOS!AI$4="Sí",1/DATOS_[[% normaliz]:[% normaliz]],1)*(DATOS_[Conc.Sal.05])))))))),
0)</f>
        <v>0</v>
      </c>
      <c r="O22" s="111">
        <f t="array" ref="O22">IFERROR(
(MEDIAN((IF(DATOS_[[Sexo]:[Sexo]]=$B22,IF(DATOS_[[AGRUP. CLAS. PROF.]:[AGRUP. CLAS. PROF.]]=$B21,IF(DATOS_[[Check Periodo Ref.]:[Check Periodo Ref.]]="Dentro",IF(DATOS_[[Check Equiparado]:[Check Equiparado]]="Sí",IF(DATOS!AJ$5="Sí",(1/DATOS_[[% anualiz]:[% anualiz]]),1)*IF(DATOS!AJ$4="Sí",1/DATOS_[[% normaliz]:[% normaliz]],1)*(DATOS_[Conc.Sal.06])))))))),
0)</f>
        <v>0</v>
      </c>
      <c r="P22" s="111">
        <f t="array" ref="P22">IFERROR(
(MEDIAN((IF(DATOS_[[Sexo]:[Sexo]]=$B22,IF(DATOS_[[AGRUP. CLAS. PROF.]:[AGRUP. CLAS. PROF.]]=$B21,IF(DATOS_[[Check Periodo Ref.]:[Check Periodo Ref.]]="Dentro",IF(DATOS_[[Check Equiparado]:[Check Equiparado]]="Sí",IF(DATOS!AK$5="Sí",(1/DATOS_[[% anualiz]:[% anualiz]]),1)*IF(DATOS!AK$4="Sí",1/DATOS_[[% normaliz]:[% normaliz]],1)*(DATOS_[Conc.Sal.07])))))))),
0)</f>
        <v>80</v>
      </c>
      <c r="Q22" s="111">
        <f t="array" ref="Q22">IFERROR(
(MEDIAN((IF(DATOS_[[Sexo]:[Sexo]]=$B22,IF(DATOS_[[AGRUP. CLAS. PROF.]:[AGRUP. CLAS. PROF.]]=$B21,IF(DATOS_[[Check Periodo Ref.]:[Check Periodo Ref.]]="Dentro",IF(DATOS_[[Check Equiparado]:[Check Equiparado]]="Sí",IF(DATOS!AL$5="Sí",(1/DATOS_[[% anualiz]:[% anualiz]]),1)*IF(DATOS!AL$4="Sí",1/DATOS_[[% normaliz]:[% normaliz]],1)*(DATOS_[Conc.Sal.08])))))))),
0)</f>
        <v>6148.9680000000008</v>
      </c>
      <c r="R22" s="111">
        <f t="array" ref="R22">IFERROR(
(MEDIAN((IF(DATOS_[[Sexo]:[Sexo]]=$B22,IF(DATOS_[[AGRUP. CLAS. PROF.]:[AGRUP. CLAS. PROF.]]=$B21,IF(DATOS_[[Check Periodo Ref.]:[Check Periodo Ref.]]="Dentro",IF(DATOS_[[Check Equiparado]:[Check Equiparado]]="Sí",IF(DATOS!AM$5="Sí",(1/DATOS_[[% anualiz]:[% anualiz]]),1)*IF(DATOS!AM$4="Sí",1/DATOS_[[% normaliz]:[% normaliz]],1)*(DATOS_[Conc.Sal.09])))))))),
0)</f>
        <v>0</v>
      </c>
      <c r="S22" s="111">
        <f t="array" ref="S22">IFERROR(
(MEDIAN((IF(DATOS_[[Sexo]:[Sexo]]=$B22,IF(DATOS_[[AGRUP. CLAS. PROF.]:[AGRUP. CLAS. PROF.]]=$B21,IF(DATOS_[[Check Periodo Ref.]:[Check Periodo Ref.]]="Dentro",IF(DATOS_[[Check Equiparado]:[Check Equiparado]]="Sí",IF(DATOS!AN$5="Sí",(1/DATOS_[[% anualiz]:[% anualiz]]),1)*IF(DATOS!AN$4="Sí",1/DATOS_[[% normaliz]:[% normaliz]],1)*(DATOS_[Conc.Sal.10])))))))),
0)</f>
        <v>0</v>
      </c>
      <c r="T22" s="111">
        <f t="array" ref="T22">IFERROR(
(MEDIAN((IF(DATOS_[[Sexo]:[Sexo]]=$B22,IF(DATOS_[[AGRUP. CLAS. PROF.]:[AGRUP. CLAS. PROF.]]=$B21,IF(DATOS_[[Check Periodo Ref.]:[Check Periodo Ref.]]="Dentro",IF(DATOS_[[Check Equiparado]:[Check Equiparado]]="Sí",IF(DATOS!AO$5="Sí",(1/DATOS_[[% anualiz]:[% anualiz]]),1)*IF(DATOS!AO$4="Sí",1/DATOS_[[% normaliz]:[% normaliz]],1)*(DATOS_[Conc.Sal.11])))))))),
0)</f>
        <v>0</v>
      </c>
      <c r="U22" s="111">
        <f t="array" ref="U22">IFERROR(
(MEDIAN((IF(DATOS_[[Sexo]:[Sexo]]=$B22,IF(DATOS_[[AGRUP. CLAS. PROF.]:[AGRUP. CLAS. PROF.]]=$B21,IF(DATOS_[[Check Periodo Ref.]:[Check Periodo Ref.]]="Dentro",IF(DATOS_[[Check Equiparado]:[Check Equiparado]]="Sí",IF(DATOS!AP$5="Sí",(1/DATOS_[[% anualiz]:[% anualiz]]),1)*IF(DATOS!AP$4="Sí",1/DATOS_[[% normaliz]:[% normaliz]],1)*(DATOS_[Conc.Sal.12])))))))),
0)</f>
        <v>0</v>
      </c>
      <c r="V22" s="111">
        <f t="array" ref="V22">IFERROR(
(MEDIAN((IF(DATOS_[[Sexo]:[Sexo]]=$B22,IF(DATOS_[[AGRUP. CLAS. PROF.]:[AGRUP. CLAS. PROF.]]=$B21,IF(DATOS_[[Check Periodo Ref.]:[Check Periodo Ref.]]="Dentro",IF(DATOS_[[Check Equiparado]:[Check Equiparado]]="Sí",IF(DATOS!AQ$5="Sí",(1/DATOS_[[% anualiz]:[% anualiz]]),1)*IF(DATOS!AQ$4="Sí",1/DATOS_[[% normaliz]:[% normaliz]],1)*(DATOS_[Conc.Sal.13])))))))),
0)</f>
        <v>0</v>
      </c>
      <c r="W22" s="111">
        <f t="array" ref="W22">IFERROR(
(MEDIAN((IF(DATOS_[[Sexo]:[Sexo]]=$B22,IF(DATOS_[[AGRUP. CLAS. PROF.]:[AGRUP. CLAS. PROF.]]=$B21,IF(DATOS_[[Check Periodo Ref.]:[Check Periodo Ref.]]="Dentro",IF(DATOS_[[Check Equiparado]:[Check Equiparado]]="Sí",IF(DATOS!AR$5="Sí",(1/DATOS_[[% anualiz]:[% anualiz]]),1)*IF(DATOS!AR$4="Sí",1/DATOS_[[% normaliz]:[% normaliz]],1)*(DATOS_[Conc.Sal.14])))))))),
0)</f>
        <v>0</v>
      </c>
      <c r="X22" s="111">
        <f t="array" ref="X22">IFERROR(
(MEDIAN((IF(DATOS_[[Sexo]:[Sexo]]=$B22,IF(DATOS_[[AGRUP. CLAS. PROF.]:[AGRUP. CLAS. PROF.]]=$B21,IF(DATOS_[[Check Periodo Ref.]:[Check Periodo Ref.]]="Dentro",IF(DATOS_[[Check Equiparado]:[Check Equiparado]]="Sí",IF(DATOS!AS$5="Sí",(1/DATOS_[[% anualiz]:[% anualiz]]),1)*IF(DATOS!AS$4="Sí",1/DATOS_[[% normaliz]:[% normaliz]],1)*(DATOS_[Conc.Sal.15])))))))),
0)</f>
        <v>0</v>
      </c>
      <c r="Y22" s="111">
        <f t="array" ref="Y22">IFERROR(
(MEDIAN((IF(DATOS_[[Sexo]:[Sexo]]=$B22,IF(DATOS_[[AGRUP. CLAS. PROF.]:[AGRUP. CLAS. PROF.]]=$B21,IF(DATOS_[[Check Periodo Ref.]:[Check Periodo Ref.]]="Dentro",IF(DATOS_[[Check Equiparado]:[Check Equiparado]]="Sí",IF(DATOS!AT$5="Sí",(1/DATOS_[[% anualiz]:[% anualiz]]),1)*IF(DATOS!AT$4="Sí",1/DATOS_[[% normaliz]:[% normaliz]],1)*(DATOS_[Conc.Sal.16])))))))),
0)</f>
        <v>0</v>
      </c>
      <c r="Z22" s="111">
        <f t="array" ref="Z22">IFERROR(
(MEDIAN((IF(DATOS_[[Sexo]:[Sexo]]=$B22,IF(DATOS_[[AGRUP. CLAS. PROF.]:[AGRUP. CLAS. PROF.]]=$B21,IF(DATOS_[[Check Periodo Ref.]:[Check Periodo Ref.]]="Dentro",IF(DATOS_[[Check Equiparado]:[Check Equiparado]]="Sí",IF(DATOS!AU$5="Sí",(1/DATOS_[[% anualiz]:[% anualiz]]),1)*IF(DATOS!AU$4="Sí",1/DATOS_[[% normaliz]:[% normaliz]],1)*(DATOS_[Conc.Sal.17])))))))),
0)</f>
        <v>0</v>
      </c>
      <c r="AA22" s="111">
        <f t="array" ref="AA22">IFERROR(
(MEDIAN((IF(DATOS_[[Sexo]:[Sexo]]=$B22,IF(DATOS_[[AGRUP. CLAS. PROF.]:[AGRUP. CLAS. PROF.]]=$B21,IF(DATOS_[[Check Periodo Ref.]:[Check Periodo Ref.]]="Dentro",IF(DATOS_[[Check Equiparado]:[Check Equiparado]]="Sí",IF(DATOS!AV$5="Sí",(1/DATOS_[[% anualiz]:[% anualiz]]),1)*IF(DATOS!AV$4="Sí",1/DATOS_[[% normaliz]:[% normaliz]],1)*(DATOS_[Conc.Sal.18])))))))),
0)</f>
        <v>0</v>
      </c>
      <c r="AB22" s="111">
        <f t="array" ref="AB22">IFERROR(
(MEDIAN((IF(DATOS_[[Sexo]:[Sexo]]=$B22,IF(DATOS_[[AGRUP. CLAS. PROF.]:[AGRUP. CLAS. PROF.]]=$B21,IF(DATOS_[[Check Periodo Ref.]:[Check Periodo Ref.]]="Dentro",IF(DATOS_[[Check Equiparado]:[Check Equiparado]]="Sí",IF(DATOS!AW$5="Sí",(1/DATOS_[[% anualiz]:[% anualiz]]),1)*IF(DATOS!AW$4="Sí",1/DATOS_[[% normaliz]:[% normaliz]],1)*(DATOS_[Conc.Sal.19])))))))),
0)</f>
        <v>0</v>
      </c>
      <c r="AC22" s="111">
        <f t="array" ref="AC22">IFERROR(
(MEDIAN((IF(DATOS_[[Sexo]:[Sexo]]=$B22,IF(DATOS_[[AGRUP. CLAS. PROF.]:[AGRUP. CLAS. PROF.]]=$B21,IF(DATOS_[[Check Periodo Ref.]:[Check Periodo Ref.]]="Dentro",IF(DATOS_[[Check Equiparado]:[Check Equiparado]]="Sí",IF(DATOS!AX$5="Sí",(1/DATOS_[[% anualiz]:[% anualiz]]),1)*IF(DATOS!AX$4="Sí",1/DATOS_[[% normaliz]:[% normaliz]],1)*(DATOS_[Conc.Sal.20])))))))),
0)</f>
        <v>0</v>
      </c>
      <c r="AD22" s="111">
        <f t="array" ref="AD22">IFERROR(
(MEDIAN((IF(DATOS_[[Sexo]:[Sexo]]=$B22,IF(DATOS_[[AGRUP. CLAS. PROF.]:[AGRUP. CLAS. PROF.]]=$B21,IF(DATOS_[[Check Periodo Ref.]:[Check Periodo Ref.]]="Dentro",IF(DATOS_[[Check Equiparado]:[Check Equiparado]]="Sí",IF(DATOS!AY$5="Sí",(1/DATOS_[[% anualiz]:[% anualiz]]),1)*IF(DATOS!AY$4="Sí",1/DATOS_[[% normaliz]:[% normaliz]],1)*(DATOS_[Conc.Sal.21])))))))),
0)</f>
        <v>0</v>
      </c>
      <c r="AE22" s="111">
        <f t="array" ref="AE22">IFERROR(
(MEDIAN((IF(DATOS_[[Sexo]:[Sexo]]=$B22,IF(DATOS_[[AGRUP. CLAS. PROF.]:[AGRUP. CLAS. PROF.]]=$B21,IF(DATOS_[[Check Periodo Ref.]:[Check Periodo Ref.]]="Dentro",IF(DATOS_[[Check Equiparado]:[Check Equiparado]]="Sí",IF(DATOS!AZ$5="Sí",(1/DATOS_[[% anualiz]:[% anualiz]]),1)*IF(DATOS!AZ$4="Sí",1/DATOS_[[% normaliz]:[% normaliz]],1)*(DATOS_[Conc.Sal.22])))))))),
0)</f>
        <v>0</v>
      </c>
      <c r="AF22" s="111">
        <f t="array" ref="AF22">IFERROR(
(MEDIAN((IF(DATOS_[[Sexo]:[Sexo]]=$B22,IF(DATOS_[[AGRUP. CLAS. PROF.]:[AGRUP. CLAS. PROF.]]=$B21,IF(DATOS_[[Check Periodo Ref.]:[Check Periodo Ref.]]="Dentro",IF(DATOS_[[Check Equiparado]:[Check Equiparado]]="Sí",IF(DATOS!BA$5="Sí",(1/DATOS_[[% anualiz]:[% anualiz]]),1)*IF(DATOS!BA$4="Sí",1/DATOS_[[% normaliz]:[% normaliz]],1)*(DATOS_[Conc.Sal.23])))))))),
0)</f>
        <v>0</v>
      </c>
      <c r="AG22" s="111">
        <f t="array" ref="AG22">IFERROR(
(MEDIAN((IF(DATOS_[[Sexo]:[Sexo]]=$B22,IF(DATOS_[[AGRUP. CLAS. PROF.]:[AGRUP. CLAS. PROF.]]=$B21,IF(DATOS_[[Check Periodo Ref.]:[Check Periodo Ref.]]="Dentro",IF(DATOS_[[Check Equiparado]:[Check Equiparado]]="Sí",IF(DATOS!BB$5="Sí",(1/DATOS_[[% anualiz]:[% anualiz]]),1)*IF(DATOS!BB$4="Sí",1/DATOS_[[% normaliz]:[% normaliz]],1)*(DATOS_[Conc.Sal.24])))))))),
0)</f>
        <v>0</v>
      </c>
      <c r="AH22" s="111">
        <f t="array" ref="AH22">IFERROR(
(MEDIAN((IF(DATOS_[[Sexo]:[Sexo]]=$B22,IF(DATOS_[[AGRUP. CLAS. PROF.]:[AGRUP. CLAS. PROF.]]=$B21,IF(DATOS_[[Check Periodo Ref.]:[Check Periodo Ref.]]="Dentro",IF(DATOS_[[Check Equiparado]:[Check Equiparado]]="Sí",IF(DATOS!BC$5="Sí",(1/DATOS_[[% anualiz]:[% anualiz]]),1)*IF(DATOS!BC$4="Sí",1/DATOS_[[% normaliz]:[% normaliz]],1)*(DATOS_[Conc.Sal.25])))))))),
0)</f>
        <v>0</v>
      </c>
      <c r="AI22" s="111">
        <f t="array" ref="AI22">IFERROR(
(MEDIAN((IF(DATOS_[[Sexo]:[Sexo]]=$B22,IF(DATOS_[[AGRUP. CLAS. PROF.]:[AGRUP. CLAS. PROF.]]=$B21,IF(DATOS_[[Check Periodo Ref.]:[Check Periodo Ref.]]="Dentro",IF(DATOS_[[Check Equiparado]:[Check Equiparado]]="Sí",IF(DATOS!BD$5="Sí",(1/DATOS_[[% anualiz]:[% anualiz]]),1)*IF(DATOS!BD$4="Sí",1/DATOS_[[% normaliz]:[% normaliz]],1)*(DATOS_[Conc.Sal.26])))))))),
0)</f>
        <v>0</v>
      </c>
      <c r="AJ22" s="111">
        <f t="array" ref="AJ22">IFERROR(
(MEDIAN((IF(DATOS_[[Sexo]:[Sexo]]=$B22,IF(DATOS_[[AGRUP. CLAS. PROF.]:[AGRUP. CLAS. PROF.]]=$B21,IF(DATOS_[[Check Periodo Ref.]:[Check Periodo Ref.]]="Dentro",IF(DATOS_[[Check Equiparado]:[Check Equiparado]]="Sí",IF(DATOS!BE$5="Sí",(1/DATOS_[[% anualiz]:[% anualiz]]),1)*IF(DATOS!BE$4="Sí",1/DATOS_[[% normaliz]:[% normaliz]],1)*(DATOS_[Conc.Sal.27])))))))),
0)</f>
        <v>0</v>
      </c>
      <c r="AK22" s="111">
        <f t="array" ref="AK22">IFERROR(
(MEDIAN((IF(DATOS_[[Sexo]:[Sexo]]=$B22,IF(DATOS_[[AGRUP. CLAS. PROF.]:[AGRUP. CLAS. PROF.]]=$B21,IF(DATOS_[[Check Periodo Ref.]:[Check Periodo Ref.]]="Dentro",IF(DATOS_[[Check Equiparado]:[Check Equiparado]]="Sí",IF(DATOS!BF$5="Sí",(1/DATOS_[[% anualiz]:[% anualiz]]),1)*IF(DATOS!BF$4="Sí",1/DATOS_[[% normaliz]:[% normaliz]],1)*(DATOS_[Conc.Sal.28])))))))),
0)</f>
        <v>0</v>
      </c>
      <c r="AL22" s="111">
        <f t="array" ref="AL22">IFERROR(
(MEDIAN((IF(DATOS_[[Sexo]:[Sexo]]=$B22,IF(DATOS_[[AGRUP. CLAS. PROF.]:[AGRUP. CLAS. PROF.]]=$B21,IF(DATOS_[[Check Periodo Ref.]:[Check Periodo Ref.]]="Dentro",IF(DATOS_[[Check Equiparado]:[Check Equiparado]]="Sí",IF(DATOS!BG$5="Sí",(1/DATOS_[[% anualiz]:[% anualiz]]),1)*IF(DATOS!BG$4="Sí",1/DATOS_[[% normaliz]:[% normaliz]],1)*(DATOS_[Conc.Sal.29])))))))),
0)</f>
        <v>0</v>
      </c>
      <c r="AM22" s="111">
        <f t="array" ref="AM22">IFERROR(
(MEDIAN((IF(DATOS_[[Sexo]:[Sexo]]=$B22,IF(DATOS_[[AGRUP. CLAS. PROF.]:[AGRUP. CLAS. PROF.]]=$B21,IF(DATOS_[[Check Periodo Ref.]:[Check Periodo Ref.]]="Dentro",IF(DATOS_[[Check Equiparado]:[Check Equiparado]]="Sí",IF(DATOS!BH$5="Sí",(1/DATOS_[[% anualiz]:[% anualiz]]),1)*IF(DATOS!BH$4="Sí",1/DATOS_[[% normaliz]:[% normaliz]],1)*(DATOS_[Conc.Sal.30])))))))),
0)</f>
        <v>0</v>
      </c>
      <c r="AN22" s="112">
        <f t="array" ref="AN22">IFERROR(
MEDIAN(IF(DATOS_[Sexo]=$B22,IF(DATOS_[[AGRUP. CLAS. PROF.]:[AGRUP. CLAS. PROF.]]=$B21,IF(DATOS_[Check Equiparado]="Sí",IF(DATOS_[Check Periodo Ref.]="Dentro",DATOS_[Tot COMPL.SAL Eq],FALSE))))),
0)</f>
        <v>8471.4448000000011</v>
      </c>
      <c r="AO22" s="113">
        <f t="array" ref="AO22">IFERROR(
MEDIAN(IF(DATOS_[Sexo]=$B22,IF(DATOS_[[AGRUP. CLAS. PROF.]:[AGRUP. CLAS. PROF.]]=$B21,IF(DATOS_[Check Equiparado]="Sí",IF(DATOS_[Check Periodo Ref.]="Dentro",DATOS_[TOTAL SALARIO Eq],FALSE))))),
0)</f>
        <v>23843.864800000003</v>
      </c>
      <c r="AP22" s="114">
        <f t="array" ref="AP22">IFERROR(
(MEDIAN((IF(DATOS_[[Sexo]:[Sexo]]=$B22,IF(DATOS_[[AGRUP. CLAS. PROF.]:[AGRUP. CLAS. PROF.]]=$B21,IF(DATOS_[[Check Periodo Ref.]:[Check Periodo Ref.]]="Dentro",IF(DATOS_[[Check Equiparado]:[Check Equiparado]]="Sí",IF(DATOS!BI$5="Sí",(1/DATOS_[[% anualiz]:[% anualiz]]),1)*IF(DATOS!BI$4="Sí",1/DATOS_[[% normaliz]:[% normaliz]],1)*(DATOS_[C.Extra.01])))))))),
0)</f>
        <v>0</v>
      </c>
      <c r="AQ22" s="114">
        <f t="array" ref="AQ22">IFERROR(
(MEDIAN((IF(DATOS_[[Sexo]:[Sexo]]=$B22,IF(DATOS_[[AGRUP. CLAS. PROF.]:[AGRUP. CLAS. PROF.]]=$B21,IF(DATOS_[[Check Periodo Ref.]:[Check Periodo Ref.]]="Dentro",IF(DATOS_[[Check Equiparado]:[Check Equiparado]]="Sí",IF(DATOS!BJ$5="Sí",(1/DATOS_[[% anualiz]:[% anualiz]]),1)*IF(DATOS!BJ$4="Sí",1/DATOS_[[% normaliz]:[% normaliz]],1)*(DATOS_[C.Extra.02])))))))),
0)</f>
        <v>0</v>
      </c>
      <c r="AR22" s="114">
        <f t="array" ref="AR22">IFERROR(
(MEDIAN((IF(DATOS_[[Sexo]:[Sexo]]=$B22,IF(DATOS_[[AGRUP. CLAS. PROF.]:[AGRUP. CLAS. PROF.]]=$B21,IF(DATOS_[[Check Periodo Ref.]:[Check Periodo Ref.]]="Dentro",IF(DATOS_[[Check Equiparado]:[Check Equiparado]]="Sí",IF(DATOS!BK$5="Sí",(1/DATOS_[[% anualiz]:[% anualiz]]),1)*IF(DATOS!BK$4="Sí",1/DATOS_[[% normaliz]:[% normaliz]],1)*(DATOS_[C.Extra.03])))))))),
0)</f>
        <v>0</v>
      </c>
      <c r="AS22" s="114">
        <f t="array" ref="AS22">IFERROR(
(MEDIAN((IF(DATOS_[[Sexo]:[Sexo]]=$B22,IF(DATOS_[[AGRUP. CLAS. PROF.]:[AGRUP. CLAS. PROF.]]=$B21,IF(DATOS_[[Check Periodo Ref.]:[Check Periodo Ref.]]="Dentro",IF(DATOS_[[Check Equiparado]:[Check Equiparado]]="Sí",IF(DATOS!BL$5="Sí",(1/DATOS_[[% anualiz]:[% anualiz]]),1)*IF(DATOS!BL$4="Sí",1/DATOS_[[% normaliz]:[% normaliz]],1)*(DATOS_[C.Extra.04])))))))),
0)</f>
        <v>0</v>
      </c>
      <c r="AT22" s="114">
        <f t="array" ref="AT22">IFERROR(
(MEDIAN((IF(DATOS_[[Sexo]:[Sexo]]=$B22,IF(DATOS_[[AGRUP. CLAS. PROF.]:[AGRUP. CLAS. PROF.]]=$B21,IF(DATOS_[[Check Periodo Ref.]:[Check Periodo Ref.]]="Dentro",IF(DATOS_[[Check Equiparado]:[Check Equiparado]]="Sí",IF(DATOS!BM$5="Sí",(1/DATOS_[[% anualiz]:[% anualiz]]),1)*IF(DATOS!BM$4="Sí",1/DATOS_[[% normaliz]:[% normaliz]],1)*(DATOS_[C.Extra.05])))))))),
0)</f>
        <v>0</v>
      </c>
      <c r="AU22" s="115">
        <f t="array" ref="AU22">IFERROR(
MEDIAN(IF(DATOS_[Sexo]=$B22,IF(DATOS_[[AGRUP. CLAS. PROF.]:[AGRUP. CLAS. PROF.]]=$B21,IF(DATOS_[Check Equiparado]="Sí",IF(DATOS_[Check Periodo Ref.]="Dentro",DATOS_[Tot Extrasalarial Eq],FALSE))))),
0)</f>
        <v>0</v>
      </c>
      <c r="AV22" s="116">
        <f t="array" ref="AV22">IFERROR(
MEDIAN(IF(DATOS_[Sexo]=$B22,IF(DATOS_[[AGRUP. CLAS. PROF.]:[AGRUP. CLAS. PROF.]]=$B21,IF(DATOS_[Check Equiparado]="Sí",IF(DATOS_[Check Periodo Ref.]="Dentro",DATOS_[TOTAL Retrib Eq],FALSE))))),
0)</f>
        <v>23843.864800000003</v>
      </c>
    </row>
    <row r="23" spans="1:48" x14ac:dyDescent="0.3">
      <c r="A23" s="42" t="str">
        <f t="shared" ref="A23" si="14">+A22</f>
        <v/>
      </c>
      <c r="B23" s="86" t="s">
        <v>163</v>
      </c>
      <c r="C23" s="33">
        <f t="array" ref="C23">SUM(IF($B23=DATOS_[Sexo],
IF($B21=DATOS_[AGRUP. CLAS. PROF.],
IF("Dentro"=DATOS_[Check Periodo Ref.],
1/(COUNTIFS(DATOS_[Sexo],$B23,DATOS_[AGRUP. CLAS. PROF.],$B21,DATOS_[Check Periodo Ref.],"Dentro",DATOS_[id],DATOS_[id]))))))</f>
        <v>14</v>
      </c>
      <c r="D23" s="35">
        <f>COUNTIFS(DATOS_[AGRUP. CLAS. PROF.],$B21,DATOS_[Sexo],$B23,DATOS_[Check Periodo Ref.],"Dentro")</f>
        <v>14</v>
      </c>
      <c r="E23" s="35">
        <f>COUNTIFS(DATOS_[AGRUP. CLAS. PROF.],$B21,DATOS_[Sexo],$B23,DATOS_[Check Periodo Ref.],"Dentro",DATOS_[Check Nº SC Norm],"Sí")</f>
        <v>2</v>
      </c>
      <c r="F23" s="35">
        <f>COUNTIFS(DATOS_[AGRUP. CLAS. PROF.],$B21,DATOS_[Sexo],$B23,DATOS_[Check Periodo Ref.],"Dentro",DATOS_[Check Nº SC Anualiz],"Sí")</f>
        <v>2</v>
      </c>
      <c r="G23" s="35">
        <f>COUNTIFS(DATOS_[AGRUP. CLAS. PROF.],$B21,DATOS_[Sexo],$B23,DATOS_[Check Periodo Ref.],"Dentro",DATOS_[Check Nº SC Norm y Anualiz],"Sí")</f>
        <v>0</v>
      </c>
      <c r="H23" s="35">
        <f>COUNTIFS(DATOS_[AGRUP. CLAS. PROF.],$B21,DATOS_[Sexo],$B23,DATOS_[Check Periodo Ref.],"Dentro",DATOS_[Check Equiparación],"Sí")</f>
        <v>4</v>
      </c>
      <c r="I23" s="110" cm="1">
        <f t="array" ref="I23">IFERROR(
MEDIAN(IF(DATOS_[Sexo]=$B23,IF(DATOS_[[AGRUP. CLAS. PROF.]:[AGRUP. CLAS. PROF.]]=$B21,IF(DATOS_[Check Equiparado]="Sí",IF(DATOS_[Check Periodo Ref.]="Dentro",DATOS_[SALARIO BASE Eq],FALSE))))),
0)</f>
        <v>15372.42</v>
      </c>
      <c r="J23" s="111">
        <f t="array" ref="J23">IFERROR(
(MEDIAN((IF(DATOS_[[Sexo]:[Sexo]]=$B23,IF(DATOS_[[AGRUP. CLAS. PROF.]:[AGRUP. CLAS. PROF.]]=$B21,IF(DATOS_[[Check Periodo Ref.]:[Check Periodo Ref.]]="Dentro",IF(DATOS_[[Check Equiparado]:[Check Equiparado]]="Sí",IF(DATOS!AE$5="Sí",(1/DATOS_[[% anualiz]:[% anualiz]]),1)*IF(DATOS!AE$4="Sí",1/DATOS_[[% normaliz]:[% normaliz]],1)*(DATOS_[Conc.Sal.01])))))))),
0)</f>
        <v>1627.58</v>
      </c>
      <c r="K23" s="111">
        <f t="array" ref="K23">IFERROR(
(MEDIAN((IF(DATOS_[[Sexo]:[Sexo]]=$B23,IF(DATOS_[[AGRUP. CLAS. PROF.]:[AGRUP. CLAS. PROF.]]=$B21,IF(DATOS_[[Check Periodo Ref.]:[Check Periodo Ref.]]="Dentro",IF(DATOS_[[Check Equiparado]:[Check Equiparado]]="Sí",IF(DATOS!AF$5="Sí",(1/DATOS_[[% anualiz]:[% anualiz]]),1)*IF(DATOS!AF$4="Sí",1/DATOS_[[% normaliz]:[% normaliz]],1)*(DATOS_[Conc.Sal.02])))))))),
0)</f>
        <v>1229.7936</v>
      </c>
      <c r="L23" s="111">
        <f t="array" ref="L23">IFERROR(
(MEDIAN((IF(DATOS_[[Sexo]:[Sexo]]=$B23,IF(DATOS_[[AGRUP. CLAS. PROF.]:[AGRUP. CLAS. PROF.]]=$B21,IF(DATOS_[[Check Periodo Ref.]:[Check Periodo Ref.]]="Dentro",IF(DATOS_[[Check Equiparado]:[Check Equiparado]]="Sí",IF(DATOS!AG$5="Sí",(1/DATOS_[[% anualiz]:[% anualiz]]),1)*IF(DATOS!AG$4="Sí",1/DATOS_[[% normaliz]:[% normaliz]],1)*(DATOS_[Conc.Sal.03])))))))),
0)</f>
        <v>0</v>
      </c>
      <c r="M23" s="111">
        <f t="array" ref="M23">IFERROR(
(MEDIAN((IF(DATOS_[[Sexo]:[Sexo]]=$B23,IF(DATOS_[[AGRUP. CLAS. PROF.]:[AGRUP. CLAS. PROF.]]=$B21,IF(DATOS_[[Check Periodo Ref.]:[Check Periodo Ref.]]="Dentro",IF(DATOS_[[Check Equiparado]:[Check Equiparado]]="Sí",IF(DATOS!AH$5="Sí",(1/DATOS_[[% anualiz]:[% anualiz]]),1)*IF(DATOS!AH$4="Sí",1/DATOS_[[% normaliz]:[% normaliz]],1)*(DATOS_[Conc.Sal.04])))))))),
0)</f>
        <v>0</v>
      </c>
      <c r="N23" s="111">
        <f t="array" ref="N23">IFERROR(
(MEDIAN((IF(DATOS_[[Sexo]:[Sexo]]=$B23,IF(DATOS_[[AGRUP. CLAS. PROF.]:[AGRUP. CLAS. PROF.]]=$B21,IF(DATOS_[[Check Periodo Ref.]:[Check Periodo Ref.]]="Dentro",IF(DATOS_[[Check Equiparado]:[Check Equiparado]]="Sí",IF(DATOS!AI$5="Sí",(1/DATOS_[[% anualiz]:[% anualiz]]),1)*IF(DATOS!AI$4="Sí",1/DATOS_[[% normaliz]:[% normaliz]],1)*(DATOS_[Conc.Sal.05])))))))),
0)</f>
        <v>0</v>
      </c>
      <c r="O23" s="111">
        <f t="array" ref="O23">IFERROR(
(MEDIAN((IF(DATOS_[[Sexo]:[Sexo]]=$B23,IF(DATOS_[[AGRUP. CLAS. PROF.]:[AGRUP. CLAS. PROF.]]=$B21,IF(DATOS_[[Check Periodo Ref.]:[Check Periodo Ref.]]="Dentro",IF(DATOS_[[Check Equiparado]:[Check Equiparado]]="Sí",IF(DATOS!AJ$5="Sí",(1/DATOS_[[% anualiz]:[% anualiz]]),1)*IF(DATOS!AJ$4="Sí",1/DATOS_[[% normaliz]:[% normaliz]],1)*(DATOS_[Conc.Sal.06])))))))),
0)</f>
        <v>0</v>
      </c>
      <c r="P23" s="111">
        <f t="array" ref="P23">IFERROR(
(MEDIAN((IF(DATOS_[[Sexo]:[Sexo]]=$B23,IF(DATOS_[[AGRUP. CLAS. PROF.]:[AGRUP. CLAS. PROF.]]=$B21,IF(DATOS_[[Check Periodo Ref.]:[Check Periodo Ref.]]="Dentro",IF(DATOS_[[Check Equiparado]:[Check Equiparado]]="Sí",IF(DATOS!AK$5="Sí",(1/DATOS_[[% anualiz]:[% anualiz]]),1)*IF(DATOS!AK$4="Sí",1/DATOS_[[% normaliz]:[% normaliz]],1)*(DATOS_[Conc.Sal.07])))))))),
0)</f>
        <v>80</v>
      </c>
      <c r="Q23" s="111">
        <f t="array" ref="Q23">IFERROR(
(MEDIAN((IF(DATOS_[[Sexo]:[Sexo]]=$B23,IF(DATOS_[[AGRUP. CLAS. PROF.]:[AGRUP. CLAS. PROF.]]=$B21,IF(DATOS_[[Check Periodo Ref.]:[Check Periodo Ref.]]="Dentro",IF(DATOS_[[Check Equiparado]:[Check Equiparado]]="Sí",IF(DATOS!AL$5="Sí",(1/DATOS_[[% anualiz]:[% anualiz]]),1)*IF(DATOS!AL$4="Sí",1/DATOS_[[% normaliz]:[% normaliz]],1)*(DATOS_[Conc.Sal.08])))))))),
0)</f>
        <v>0</v>
      </c>
      <c r="R23" s="111">
        <f t="array" ref="R23">IFERROR(
(MEDIAN((IF(DATOS_[[Sexo]:[Sexo]]=$B23,IF(DATOS_[[AGRUP. CLAS. PROF.]:[AGRUP. CLAS. PROF.]]=$B21,IF(DATOS_[[Check Periodo Ref.]:[Check Periodo Ref.]]="Dentro",IF(DATOS_[[Check Equiparado]:[Check Equiparado]]="Sí",IF(DATOS!AM$5="Sí",(1/DATOS_[[% anualiz]:[% anualiz]]),1)*IF(DATOS!AM$4="Sí",1/DATOS_[[% normaliz]:[% normaliz]],1)*(DATOS_[Conc.Sal.09])))))))),
0)</f>
        <v>0</v>
      </c>
      <c r="S23" s="111">
        <f t="array" ref="S23">IFERROR(
(MEDIAN((IF(DATOS_[[Sexo]:[Sexo]]=$B23,IF(DATOS_[[AGRUP. CLAS. PROF.]:[AGRUP. CLAS. PROF.]]=$B21,IF(DATOS_[[Check Periodo Ref.]:[Check Periodo Ref.]]="Dentro",IF(DATOS_[[Check Equiparado]:[Check Equiparado]]="Sí",IF(DATOS!AN$5="Sí",(1/DATOS_[[% anualiz]:[% anualiz]]),1)*IF(DATOS!AN$4="Sí",1/DATOS_[[% normaliz]:[% normaliz]],1)*(DATOS_[Conc.Sal.10])))))))),
0)</f>
        <v>0</v>
      </c>
      <c r="T23" s="111">
        <f t="array" ref="T23">IFERROR(
(MEDIAN((IF(DATOS_[[Sexo]:[Sexo]]=$B23,IF(DATOS_[[AGRUP. CLAS. PROF.]:[AGRUP. CLAS. PROF.]]=$B21,IF(DATOS_[[Check Periodo Ref.]:[Check Periodo Ref.]]="Dentro",IF(DATOS_[[Check Equiparado]:[Check Equiparado]]="Sí",IF(DATOS!AO$5="Sí",(1/DATOS_[[% anualiz]:[% anualiz]]),1)*IF(DATOS!AO$4="Sí",1/DATOS_[[% normaliz]:[% normaliz]],1)*(DATOS_[Conc.Sal.11])))))))),
0)</f>
        <v>0</v>
      </c>
      <c r="U23" s="111">
        <f t="array" ref="U23">IFERROR(
(MEDIAN((IF(DATOS_[[Sexo]:[Sexo]]=$B23,IF(DATOS_[[AGRUP. CLAS. PROF.]:[AGRUP. CLAS. PROF.]]=$B21,IF(DATOS_[[Check Periodo Ref.]:[Check Periodo Ref.]]="Dentro",IF(DATOS_[[Check Equiparado]:[Check Equiparado]]="Sí",IF(DATOS!AP$5="Sí",(1/DATOS_[[% anualiz]:[% anualiz]]),1)*IF(DATOS!AP$4="Sí",1/DATOS_[[% normaliz]:[% normaliz]],1)*(DATOS_[Conc.Sal.12])))))))),
0)</f>
        <v>0</v>
      </c>
      <c r="V23" s="111">
        <f t="array" ref="V23">IFERROR(
(MEDIAN((IF(DATOS_[[Sexo]:[Sexo]]=$B23,IF(DATOS_[[AGRUP. CLAS. PROF.]:[AGRUP. CLAS. PROF.]]=$B21,IF(DATOS_[[Check Periodo Ref.]:[Check Periodo Ref.]]="Dentro",IF(DATOS_[[Check Equiparado]:[Check Equiparado]]="Sí",IF(DATOS!AQ$5="Sí",(1/DATOS_[[% anualiz]:[% anualiz]]),1)*IF(DATOS!AQ$4="Sí",1/DATOS_[[% normaliz]:[% normaliz]],1)*(DATOS_[Conc.Sal.13])))))))),
0)</f>
        <v>0</v>
      </c>
      <c r="W23" s="111">
        <f t="array" ref="W23">IFERROR(
(MEDIAN((IF(DATOS_[[Sexo]:[Sexo]]=$B23,IF(DATOS_[[AGRUP. CLAS. PROF.]:[AGRUP. CLAS. PROF.]]=$B21,IF(DATOS_[[Check Periodo Ref.]:[Check Periodo Ref.]]="Dentro",IF(DATOS_[[Check Equiparado]:[Check Equiparado]]="Sí",IF(DATOS!AR$5="Sí",(1/DATOS_[[% anualiz]:[% anualiz]]),1)*IF(DATOS!AR$4="Sí",1/DATOS_[[% normaliz]:[% normaliz]],1)*(DATOS_[Conc.Sal.14])))))))),
0)</f>
        <v>0</v>
      </c>
      <c r="X23" s="111">
        <f t="array" ref="X23">IFERROR(
(MEDIAN((IF(DATOS_[[Sexo]:[Sexo]]=$B23,IF(DATOS_[[AGRUP. CLAS. PROF.]:[AGRUP. CLAS. PROF.]]=$B21,IF(DATOS_[[Check Periodo Ref.]:[Check Periodo Ref.]]="Dentro",IF(DATOS_[[Check Equiparado]:[Check Equiparado]]="Sí",IF(DATOS!AS$5="Sí",(1/DATOS_[[% anualiz]:[% anualiz]]),1)*IF(DATOS!AS$4="Sí",1/DATOS_[[% normaliz]:[% normaliz]],1)*(DATOS_[Conc.Sal.15])))))))),
0)</f>
        <v>0</v>
      </c>
      <c r="Y23" s="111">
        <f t="array" ref="Y23">IFERROR(
(MEDIAN((IF(DATOS_[[Sexo]:[Sexo]]=$B23,IF(DATOS_[[AGRUP. CLAS. PROF.]:[AGRUP. CLAS. PROF.]]=$B21,IF(DATOS_[[Check Periodo Ref.]:[Check Periodo Ref.]]="Dentro",IF(DATOS_[[Check Equiparado]:[Check Equiparado]]="Sí",IF(DATOS!AT$5="Sí",(1/DATOS_[[% anualiz]:[% anualiz]]),1)*IF(DATOS!AT$4="Sí",1/DATOS_[[% normaliz]:[% normaliz]],1)*(DATOS_[Conc.Sal.16])))))))),
0)</f>
        <v>0</v>
      </c>
      <c r="Z23" s="111">
        <f t="array" ref="Z23">IFERROR(
(MEDIAN((IF(DATOS_[[Sexo]:[Sexo]]=$B23,IF(DATOS_[[AGRUP. CLAS. PROF.]:[AGRUP. CLAS. PROF.]]=$B21,IF(DATOS_[[Check Periodo Ref.]:[Check Periodo Ref.]]="Dentro",IF(DATOS_[[Check Equiparado]:[Check Equiparado]]="Sí",IF(DATOS!AU$5="Sí",(1/DATOS_[[% anualiz]:[% anualiz]]),1)*IF(DATOS!AU$4="Sí",1/DATOS_[[% normaliz]:[% normaliz]],1)*(DATOS_[Conc.Sal.17])))))))),
0)</f>
        <v>0</v>
      </c>
      <c r="AA23" s="111">
        <f t="array" ref="AA23">IFERROR(
(MEDIAN((IF(DATOS_[[Sexo]:[Sexo]]=$B23,IF(DATOS_[[AGRUP. CLAS. PROF.]:[AGRUP. CLAS. PROF.]]=$B21,IF(DATOS_[[Check Periodo Ref.]:[Check Periodo Ref.]]="Dentro",IF(DATOS_[[Check Equiparado]:[Check Equiparado]]="Sí",IF(DATOS!AV$5="Sí",(1/DATOS_[[% anualiz]:[% anualiz]]),1)*IF(DATOS!AV$4="Sí",1/DATOS_[[% normaliz]:[% normaliz]],1)*(DATOS_[Conc.Sal.18])))))))),
0)</f>
        <v>0</v>
      </c>
      <c r="AB23" s="111">
        <f t="array" ref="AB23">IFERROR(
(MEDIAN((IF(DATOS_[[Sexo]:[Sexo]]=$B23,IF(DATOS_[[AGRUP. CLAS. PROF.]:[AGRUP. CLAS. PROF.]]=$B21,IF(DATOS_[[Check Periodo Ref.]:[Check Periodo Ref.]]="Dentro",IF(DATOS_[[Check Equiparado]:[Check Equiparado]]="Sí",IF(DATOS!AW$5="Sí",(1/DATOS_[[% anualiz]:[% anualiz]]),1)*IF(DATOS!AW$4="Sí",1/DATOS_[[% normaliz]:[% normaliz]],1)*(DATOS_[Conc.Sal.19])))))))),
0)</f>
        <v>0</v>
      </c>
      <c r="AC23" s="111">
        <f t="array" ref="AC23">IFERROR(
(MEDIAN((IF(DATOS_[[Sexo]:[Sexo]]=$B23,IF(DATOS_[[AGRUP. CLAS. PROF.]:[AGRUP. CLAS. PROF.]]=$B21,IF(DATOS_[[Check Periodo Ref.]:[Check Periodo Ref.]]="Dentro",IF(DATOS_[[Check Equiparado]:[Check Equiparado]]="Sí",IF(DATOS!AX$5="Sí",(1/DATOS_[[% anualiz]:[% anualiz]]),1)*IF(DATOS!AX$4="Sí",1/DATOS_[[% normaliz]:[% normaliz]],1)*(DATOS_[Conc.Sal.20])))))))),
0)</f>
        <v>0</v>
      </c>
      <c r="AD23" s="111">
        <f t="array" ref="AD23">IFERROR(
(MEDIAN((IF(DATOS_[[Sexo]:[Sexo]]=$B23,IF(DATOS_[[AGRUP. CLAS. PROF.]:[AGRUP. CLAS. PROF.]]=$B21,IF(DATOS_[[Check Periodo Ref.]:[Check Periodo Ref.]]="Dentro",IF(DATOS_[[Check Equiparado]:[Check Equiparado]]="Sí",IF(DATOS!AY$5="Sí",(1/DATOS_[[% anualiz]:[% anualiz]]),1)*IF(DATOS!AY$4="Sí",1/DATOS_[[% normaliz]:[% normaliz]],1)*(DATOS_[Conc.Sal.21])))))))),
0)</f>
        <v>0</v>
      </c>
      <c r="AE23" s="111">
        <f t="array" ref="AE23">IFERROR(
(MEDIAN((IF(DATOS_[[Sexo]:[Sexo]]=$B23,IF(DATOS_[[AGRUP. CLAS. PROF.]:[AGRUP. CLAS. PROF.]]=$B21,IF(DATOS_[[Check Periodo Ref.]:[Check Periodo Ref.]]="Dentro",IF(DATOS_[[Check Equiparado]:[Check Equiparado]]="Sí",IF(DATOS!AZ$5="Sí",(1/DATOS_[[% anualiz]:[% anualiz]]),1)*IF(DATOS!AZ$4="Sí",1/DATOS_[[% normaliz]:[% normaliz]],1)*(DATOS_[Conc.Sal.22])))))))),
0)</f>
        <v>0</v>
      </c>
      <c r="AF23" s="111">
        <f t="array" ref="AF23">IFERROR(
(MEDIAN((IF(DATOS_[[Sexo]:[Sexo]]=$B23,IF(DATOS_[[AGRUP. CLAS. PROF.]:[AGRUP. CLAS. PROF.]]=$B21,IF(DATOS_[[Check Periodo Ref.]:[Check Periodo Ref.]]="Dentro",IF(DATOS_[[Check Equiparado]:[Check Equiparado]]="Sí",IF(DATOS!BA$5="Sí",(1/DATOS_[[% anualiz]:[% anualiz]]),1)*IF(DATOS!BA$4="Sí",1/DATOS_[[% normaliz]:[% normaliz]],1)*(DATOS_[Conc.Sal.23])))))))),
0)</f>
        <v>0</v>
      </c>
      <c r="AG23" s="111">
        <f t="array" ref="AG23">IFERROR(
(MEDIAN((IF(DATOS_[[Sexo]:[Sexo]]=$B23,IF(DATOS_[[AGRUP. CLAS. PROF.]:[AGRUP. CLAS. PROF.]]=$B21,IF(DATOS_[[Check Periodo Ref.]:[Check Periodo Ref.]]="Dentro",IF(DATOS_[[Check Equiparado]:[Check Equiparado]]="Sí",IF(DATOS!BB$5="Sí",(1/DATOS_[[% anualiz]:[% anualiz]]),1)*IF(DATOS!BB$4="Sí",1/DATOS_[[% normaliz]:[% normaliz]],1)*(DATOS_[Conc.Sal.24])))))))),
0)</f>
        <v>0</v>
      </c>
      <c r="AH23" s="111">
        <f t="array" ref="AH23">IFERROR(
(MEDIAN((IF(DATOS_[[Sexo]:[Sexo]]=$B23,IF(DATOS_[[AGRUP. CLAS. PROF.]:[AGRUP. CLAS. PROF.]]=$B21,IF(DATOS_[[Check Periodo Ref.]:[Check Periodo Ref.]]="Dentro",IF(DATOS_[[Check Equiparado]:[Check Equiparado]]="Sí",IF(DATOS!BC$5="Sí",(1/DATOS_[[% anualiz]:[% anualiz]]),1)*IF(DATOS!BC$4="Sí",1/DATOS_[[% normaliz]:[% normaliz]],1)*(DATOS_[Conc.Sal.25])))))))),
0)</f>
        <v>0</v>
      </c>
      <c r="AI23" s="111">
        <f t="array" ref="AI23">IFERROR(
(MEDIAN((IF(DATOS_[[Sexo]:[Sexo]]=$B23,IF(DATOS_[[AGRUP. CLAS. PROF.]:[AGRUP. CLAS. PROF.]]=$B21,IF(DATOS_[[Check Periodo Ref.]:[Check Periodo Ref.]]="Dentro",IF(DATOS_[[Check Equiparado]:[Check Equiparado]]="Sí",IF(DATOS!BD$5="Sí",(1/DATOS_[[% anualiz]:[% anualiz]]),1)*IF(DATOS!BD$4="Sí",1/DATOS_[[% normaliz]:[% normaliz]],1)*(DATOS_[Conc.Sal.26])))))))),
0)</f>
        <v>0</v>
      </c>
      <c r="AJ23" s="111">
        <f t="array" ref="AJ23">IFERROR(
(MEDIAN((IF(DATOS_[[Sexo]:[Sexo]]=$B23,IF(DATOS_[[AGRUP. CLAS. PROF.]:[AGRUP. CLAS. PROF.]]=$B21,IF(DATOS_[[Check Periodo Ref.]:[Check Periodo Ref.]]="Dentro",IF(DATOS_[[Check Equiparado]:[Check Equiparado]]="Sí",IF(DATOS!BE$5="Sí",(1/DATOS_[[% anualiz]:[% anualiz]]),1)*IF(DATOS!BE$4="Sí",1/DATOS_[[% normaliz]:[% normaliz]],1)*(DATOS_[Conc.Sal.27])))))))),
0)</f>
        <v>0</v>
      </c>
      <c r="AK23" s="111">
        <f t="array" ref="AK23">IFERROR(
(MEDIAN((IF(DATOS_[[Sexo]:[Sexo]]=$B23,IF(DATOS_[[AGRUP. CLAS. PROF.]:[AGRUP. CLAS. PROF.]]=$B21,IF(DATOS_[[Check Periodo Ref.]:[Check Periodo Ref.]]="Dentro",IF(DATOS_[[Check Equiparado]:[Check Equiparado]]="Sí",IF(DATOS!BF$5="Sí",(1/DATOS_[[% anualiz]:[% anualiz]]),1)*IF(DATOS!BF$4="Sí",1/DATOS_[[% normaliz]:[% normaliz]],1)*(DATOS_[Conc.Sal.28])))))))),
0)</f>
        <v>0</v>
      </c>
      <c r="AL23" s="111">
        <f t="array" ref="AL23">IFERROR(
(MEDIAN((IF(DATOS_[[Sexo]:[Sexo]]=$B23,IF(DATOS_[[AGRUP. CLAS. PROF.]:[AGRUP. CLAS. PROF.]]=$B21,IF(DATOS_[[Check Periodo Ref.]:[Check Periodo Ref.]]="Dentro",IF(DATOS_[[Check Equiparado]:[Check Equiparado]]="Sí",IF(DATOS!BG$5="Sí",(1/DATOS_[[% anualiz]:[% anualiz]]),1)*IF(DATOS!BG$4="Sí",1/DATOS_[[% normaliz]:[% normaliz]],1)*(DATOS_[Conc.Sal.29])))))))),
0)</f>
        <v>0</v>
      </c>
      <c r="AM23" s="111">
        <f t="array" ref="AM23">IFERROR(
(MEDIAN((IF(DATOS_[[Sexo]:[Sexo]]=$B23,IF(DATOS_[[AGRUP. CLAS. PROF.]:[AGRUP. CLAS. PROF.]]=$B21,IF(DATOS_[[Check Periodo Ref.]:[Check Periodo Ref.]]="Dentro",IF(DATOS_[[Check Equiparado]:[Check Equiparado]]="Sí",IF(DATOS!BH$5="Sí",(1/DATOS_[[% anualiz]:[% anualiz]]),1)*IF(DATOS!BH$4="Sí",1/DATOS_[[% normaliz]:[% normaliz]],1)*(DATOS_[Conc.Sal.30])))))))),
0)</f>
        <v>0</v>
      </c>
      <c r="AN23" s="112">
        <f t="array" ref="AN23">IFERROR(
MEDIAN(IF(DATOS_[Sexo]=$B23,IF(DATOS_[[AGRUP. CLAS. PROF.]:[AGRUP. CLAS. PROF.]]=$B21,IF(DATOS_[Check Equiparado]="Sí",IF(DATOS_[Check Periodo Ref.]="Dentro",DATOS_[Tot COMPL.SAL Eq],FALSE))))),
0)</f>
        <v>2937.3735999999999</v>
      </c>
      <c r="AO23" s="113">
        <f t="array" ref="AO23">IFERROR(
MEDIAN(IF(DATOS_[Sexo]=$B23,IF(DATOS_[[AGRUP. CLAS. PROF.]:[AGRUP. CLAS. PROF.]]=$B21,IF(DATOS_[Check Equiparado]="Sí",IF(DATOS_[Check Periodo Ref.]="Dentro",DATOS_[TOTAL SALARIO Eq],FALSE))))),
0)</f>
        <v>18309.793600000001</v>
      </c>
      <c r="AP23" s="114">
        <f t="array" ref="AP23">IFERROR(
(MEDIAN((IF(DATOS_[[Sexo]:[Sexo]]=$B23,IF(DATOS_[[AGRUP. CLAS. PROF.]:[AGRUP. CLAS. PROF.]]=$B21,IF(DATOS_[[Check Periodo Ref.]:[Check Periodo Ref.]]="Dentro",IF(DATOS_[[Check Equiparado]:[Check Equiparado]]="Sí",IF(DATOS!BI$5="Sí",(1/DATOS_[[% anualiz]:[% anualiz]]),1)*IF(DATOS!BI$4="Sí",1/DATOS_[[% normaliz]:[% normaliz]],1)*(DATOS_[C.Extra.01])))))))),
0)</f>
        <v>0</v>
      </c>
      <c r="AQ23" s="114">
        <f t="array" ref="AQ23">IFERROR(
(MEDIAN((IF(DATOS_[[Sexo]:[Sexo]]=$B23,IF(DATOS_[[AGRUP. CLAS. PROF.]:[AGRUP. CLAS. PROF.]]=$B21,IF(DATOS_[[Check Periodo Ref.]:[Check Periodo Ref.]]="Dentro",IF(DATOS_[[Check Equiparado]:[Check Equiparado]]="Sí",IF(DATOS!BJ$5="Sí",(1/DATOS_[[% anualiz]:[% anualiz]]),1)*IF(DATOS!BJ$4="Sí",1/DATOS_[[% normaliz]:[% normaliz]],1)*(DATOS_[C.Extra.02])))))))),
0)</f>
        <v>0</v>
      </c>
      <c r="AR23" s="114">
        <f t="array" ref="AR23">IFERROR(
(MEDIAN((IF(DATOS_[[Sexo]:[Sexo]]=$B23,IF(DATOS_[[AGRUP. CLAS. PROF.]:[AGRUP. CLAS. PROF.]]=$B21,IF(DATOS_[[Check Periodo Ref.]:[Check Periodo Ref.]]="Dentro",IF(DATOS_[[Check Equiparado]:[Check Equiparado]]="Sí",IF(DATOS!BK$5="Sí",(1/DATOS_[[% anualiz]:[% anualiz]]),1)*IF(DATOS!BK$4="Sí",1/DATOS_[[% normaliz]:[% normaliz]],1)*(DATOS_[C.Extra.03])))))))),
0)</f>
        <v>0</v>
      </c>
      <c r="AS23" s="114">
        <f t="array" ref="AS23">IFERROR(
(MEDIAN((IF(DATOS_[[Sexo]:[Sexo]]=$B23,IF(DATOS_[[AGRUP. CLAS. PROF.]:[AGRUP. CLAS. PROF.]]=$B21,IF(DATOS_[[Check Periodo Ref.]:[Check Periodo Ref.]]="Dentro",IF(DATOS_[[Check Equiparado]:[Check Equiparado]]="Sí",IF(DATOS!BL$5="Sí",(1/DATOS_[[% anualiz]:[% anualiz]]),1)*IF(DATOS!BL$4="Sí",1/DATOS_[[% normaliz]:[% normaliz]],1)*(DATOS_[C.Extra.04])))))))),
0)</f>
        <v>0</v>
      </c>
      <c r="AT23" s="114">
        <f t="array" ref="AT23">IFERROR(
(MEDIAN((IF(DATOS_[[Sexo]:[Sexo]]=$B23,IF(DATOS_[[AGRUP. CLAS. PROF.]:[AGRUP. CLAS. PROF.]]=$B21,IF(DATOS_[[Check Periodo Ref.]:[Check Periodo Ref.]]="Dentro",IF(DATOS_[[Check Equiparado]:[Check Equiparado]]="Sí",IF(DATOS!BM$5="Sí",(1/DATOS_[[% anualiz]:[% anualiz]]),1)*IF(DATOS!BM$4="Sí",1/DATOS_[[% normaliz]:[% normaliz]],1)*(DATOS_[C.Extra.05])))))))),
0)</f>
        <v>0</v>
      </c>
      <c r="AU23" s="115">
        <f t="array" ref="AU23">IFERROR(
MEDIAN(IF(DATOS_[Sexo]=$B23,IF(DATOS_[[AGRUP. CLAS. PROF.]:[AGRUP. CLAS. PROF.]]=$B21,IF(DATOS_[Check Equiparado]="Sí",IF(DATOS_[Check Periodo Ref.]="Dentro",DATOS_[Tot Extrasalarial Eq],FALSE))))),
0)</f>
        <v>0</v>
      </c>
      <c r="AV23" s="116">
        <f t="array" ref="AV23">IFERROR(
MEDIAN(IF(DATOS_[Sexo]=$B23,IF(DATOS_[[AGRUP. CLAS. PROF.]:[AGRUP. CLAS. PROF.]]=$B21,IF(DATOS_[Check Equiparado]="Sí",IF(DATOS_[Check Periodo Ref.]="Dentro",DATOS_[TOTAL Retrib Eq],FALSE))))),
0)</f>
        <v>18309.793600000001</v>
      </c>
    </row>
    <row r="24" spans="1:48" ht="17.25" thickBot="1" x14ac:dyDescent="0.35">
      <c r="A24" s="42" t="str">
        <f t="shared" ref="A24" si="15">+A25</f>
        <v/>
      </c>
      <c r="B24" s="90" t="s">
        <v>301</v>
      </c>
      <c r="C24" s="109"/>
      <c r="D24" s="41"/>
      <c r="E24" s="41"/>
      <c r="F24" s="41"/>
      <c r="G24" s="41"/>
      <c r="H24" s="41"/>
      <c r="I24" s="119">
        <f t="shared" ref="I24:AV24" si="16">IFERROR((I25-I26)/I25,"")</f>
        <v>0</v>
      </c>
      <c r="J24" s="123">
        <f t="shared" si="16"/>
        <v>0</v>
      </c>
      <c r="K24" s="123">
        <f t="shared" si="16"/>
        <v>0.33333333333333326</v>
      </c>
      <c r="L24" s="123">
        <f t="shared" si="16"/>
        <v>0</v>
      </c>
      <c r="M24" s="123" t="str">
        <f t="shared" si="16"/>
        <v/>
      </c>
      <c r="N24" s="123" t="str">
        <f t="shared" si="16"/>
        <v/>
      </c>
      <c r="O24" s="123" t="str">
        <f t="shared" si="16"/>
        <v/>
      </c>
      <c r="P24" s="123">
        <f t="shared" si="16"/>
        <v>0</v>
      </c>
      <c r="Q24" s="123" t="str">
        <f t="shared" si="16"/>
        <v/>
      </c>
      <c r="R24" s="123" t="str">
        <f t="shared" si="16"/>
        <v/>
      </c>
      <c r="S24" s="123" t="str">
        <f t="shared" si="16"/>
        <v/>
      </c>
      <c r="T24" s="123" t="str">
        <f t="shared" si="16"/>
        <v/>
      </c>
      <c r="U24" s="123" t="str">
        <f t="shared" si="16"/>
        <v/>
      </c>
      <c r="V24" s="123" t="str">
        <f t="shared" si="16"/>
        <v/>
      </c>
      <c r="W24" s="123" t="str">
        <f t="shared" si="16"/>
        <v/>
      </c>
      <c r="X24" s="123" t="str">
        <f t="shared" si="16"/>
        <v/>
      </c>
      <c r="Y24" s="123" t="str">
        <f t="shared" si="16"/>
        <v/>
      </c>
      <c r="Z24" s="122" t="str">
        <f t="shared" si="16"/>
        <v/>
      </c>
      <c r="AA24" s="122" t="str">
        <f t="shared" si="16"/>
        <v/>
      </c>
      <c r="AB24" s="122" t="str">
        <f t="shared" si="16"/>
        <v/>
      </c>
      <c r="AC24" s="122" t="str">
        <f t="shared" si="16"/>
        <v/>
      </c>
      <c r="AD24" s="122" t="str">
        <f t="shared" si="16"/>
        <v/>
      </c>
      <c r="AE24" s="122" t="str">
        <f t="shared" si="16"/>
        <v/>
      </c>
      <c r="AF24" s="122" t="str">
        <f t="shared" si="16"/>
        <v/>
      </c>
      <c r="AG24" s="122" t="str">
        <f t="shared" si="16"/>
        <v/>
      </c>
      <c r="AH24" s="122" t="str">
        <f t="shared" si="16"/>
        <v/>
      </c>
      <c r="AI24" s="122" t="str">
        <f t="shared" si="16"/>
        <v/>
      </c>
      <c r="AJ24" s="122" t="str">
        <f t="shared" si="16"/>
        <v/>
      </c>
      <c r="AK24" s="122" t="str">
        <f t="shared" si="16"/>
        <v/>
      </c>
      <c r="AL24" s="122" t="str">
        <f t="shared" si="16"/>
        <v/>
      </c>
      <c r="AM24" s="122" t="str">
        <f t="shared" si="16"/>
        <v/>
      </c>
      <c r="AN24" s="124">
        <f t="shared" si="16"/>
        <v>0.2221083726266791</v>
      </c>
      <c r="AO24" s="128">
        <f t="shared" si="16"/>
        <v>3.7901200971796757E-2</v>
      </c>
      <c r="AP24" s="125" t="str">
        <f t="shared" si="16"/>
        <v/>
      </c>
      <c r="AQ24" s="125" t="str">
        <f t="shared" si="16"/>
        <v/>
      </c>
      <c r="AR24" s="125" t="str">
        <f t="shared" si="16"/>
        <v/>
      </c>
      <c r="AS24" s="125" t="str">
        <f t="shared" si="16"/>
        <v/>
      </c>
      <c r="AT24" s="125" t="str">
        <f t="shared" si="16"/>
        <v/>
      </c>
      <c r="AU24" s="126" t="str">
        <f t="shared" si="16"/>
        <v/>
      </c>
      <c r="AV24" s="127">
        <f t="shared" si="16"/>
        <v>3.7901200971796757E-2</v>
      </c>
    </row>
    <row r="25" spans="1:48" x14ac:dyDescent="0.3">
      <c r="A25" s="42" t="str">
        <f t="shared" ref="A25" si="17">+IF(C25+C26=0,"[ocultar]","")</f>
        <v/>
      </c>
      <c r="B25" s="86" t="s">
        <v>162</v>
      </c>
      <c r="C25" s="33">
        <f t="array" ref="C25">SUM(IF($B25=DATOS_[Sexo],
IF($B24=DATOS_[AGRUP. CLAS. PROF.],
IF("Dentro"=DATOS_[Check Periodo Ref.],
1/(COUNTIFS(DATOS_[Sexo],$B25,DATOS_[AGRUP. CLAS. PROF.],$B24,DATOS_[Check Periodo Ref.],"Dentro",DATOS_[id],DATOS_[id]))))))</f>
        <v>16</v>
      </c>
      <c r="D25" s="35">
        <f>COUNTIFS(DATOS_[AGRUP. CLAS. PROF.],$B24,DATOS_[Sexo],$B25,DATOS_[Check Periodo Ref.],"Dentro")</f>
        <v>17</v>
      </c>
      <c r="E25" s="35">
        <f>COUNTIFS(DATOS_[AGRUP. CLAS. PROF.],$B24,DATOS_[Sexo],$B25,DATOS_[Check Periodo Ref.],"Dentro",DATOS_[Check Nº SC Norm],"Sí")</f>
        <v>0</v>
      </c>
      <c r="F25" s="35">
        <f>COUNTIFS(DATOS_[AGRUP. CLAS. PROF.],$B24,DATOS_[Sexo],$B25,DATOS_[Check Periodo Ref.],"Dentro",DATOS_[Check Nº SC Anualiz],"Sí")</f>
        <v>2</v>
      </c>
      <c r="G25" s="35">
        <f>COUNTIFS(DATOS_[AGRUP. CLAS. PROF.],$B24,DATOS_[Sexo],$B25,DATOS_[Check Periodo Ref.],"Dentro",DATOS_[Check Nº SC Norm y Anualiz],"Sí")</f>
        <v>1</v>
      </c>
      <c r="H25" s="35">
        <f>COUNTIFS(DATOS_[AGRUP. CLAS. PROF.],$B24,DATOS_[Sexo],$B25,DATOS_[Check Periodo Ref.],"Dentro",DATOS_[Check Equiparación],"Sí")</f>
        <v>3</v>
      </c>
      <c r="I25" s="110">
        <f t="array" ref="I25">IFERROR(
MEDIAN(IF(DATOS_[Sexo]=$B25,IF(DATOS_[[AGRUP. CLAS. PROF.]:[AGRUP. CLAS. PROF.]]=$B24,IF(DATOS_[Check Equiparado]="Sí",IF(DATOS_[Check Periodo Ref.]="Dentro",DATOS_[SALARIO BASE Eq],FALSE))))),
0)</f>
        <v>14036.34</v>
      </c>
      <c r="J25" s="111">
        <f t="array" ref="J25">IFERROR(
(MEDIAN((IF(DATOS_[[Sexo]:[Sexo]]=$B25,IF(DATOS_[[AGRUP. CLAS. PROF.]:[AGRUP. CLAS. PROF.]]=$B24,IF(DATOS_[[Check Periodo Ref.]:[Check Periodo Ref.]]="Dentro",IF(DATOS_[[Check Equiparado]:[Check Equiparado]]="Sí",IF(DATOS!AE$5="Sí",(1/DATOS_[[% anualiz]:[% anualiz]]),1)*IF(DATOS!AE$4="Sí",1/DATOS_[[% normaliz]:[% normaliz]],1)*(DATOS_[Conc.Sal.01])))))))),
0)</f>
        <v>163.65999999999985</v>
      </c>
      <c r="K25" s="111">
        <f t="array" ref="K25">IFERROR(
(MEDIAN((IF(DATOS_[[Sexo]:[Sexo]]=$B25,IF(DATOS_[[AGRUP. CLAS. PROF.]:[AGRUP. CLAS. PROF.]]=$B24,IF(DATOS_[[Check Periodo Ref.]:[Check Periodo Ref.]]="Dentro",IF(DATOS_[[Check Equiparado]:[Check Equiparado]]="Sí",IF(DATOS!AF$5="Sí",(1/DATOS_[[% anualiz]:[% anualiz]]),1)*IF(DATOS!AF$4="Sí",1/DATOS_[[% normaliz]:[% normaliz]],1)*(DATOS_[Conc.Sal.02])))))))),
0)</f>
        <v>1684.3607999999999</v>
      </c>
      <c r="L25" s="111">
        <f t="array" ref="L25">IFERROR(
(MEDIAN((IF(DATOS_[[Sexo]:[Sexo]]=$B25,IF(DATOS_[[AGRUP. CLAS. PROF.]:[AGRUP. CLAS. PROF.]]=$B24,IF(DATOS_[[Check Periodo Ref.]:[Check Periodo Ref.]]="Dentro",IF(DATOS_[[Check Equiparado]:[Check Equiparado]]="Sí",IF(DATOS!AG$5="Sí",(1/DATOS_[[% anualiz]:[% anualiz]]),1)*IF(DATOS!AG$4="Sí",1/DATOS_[[% normaliz]:[% normaliz]],1)*(DATOS_[Conc.Sal.03])))))))),
0)</f>
        <v>960</v>
      </c>
      <c r="M25" s="111">
        <f t="array" ref="M25">IFERROR(
(MEDIAN((IF(DATOS_[[Sexo]:[Sexo]]=$B25,IF(DATOS_[[AGRUP. CLAS. PROF.]:[AGRUP. CLAS. PROF.]]=$B24,IF(DATOS_[[Check Periodo Ref.]:[Check Periodo Ref.]]="Dentro",IF(DATOS_[[Check Equiparado]:[Check Equiparado]]="Sí",IF(DATOS!AH$5="Sí",(1/DATOS_[[% anualiz]:[% anualiz]]),1)*IF(DATOS!AH$4="Sí",1/DATOS_[[% normaliz]:[% normaliz]],1)*(DATOS_[Conc.Sal.04])))))))),
0)</f>
        <v>0</v>
      </c>
      <c r="N25" s="111">
        <f t="array" ref="N25">IFERROR(
(MEDIAN((IF(DATOS_[[Sexo]:[Sexo]]=$B25,IF(DATOS_[[AGRUP. CLAS. PROF.]:[AGRUP. CLAS. PROF.]]=$B24,IF(DATOS_[[Check Periodo Ref.]:[Check Periodo Ref.]]="Dentro",IF(DATOS_[[Check Equiparado]:[Check Equiparado]]="Sí",IF(DATOS!AI$5="Sí",(1/DATOS_[[% anualiz]:[% anualiz]]),1)*IF(DATOS!AI$4="Sí",1/DATOS_[[% normaliz]:[% normaliz]],1)*(DATOS_[Conc.Sal.05])))))))),
0)</f>
        <v>0</v>
      </c>
      <c r="O25" s="111">
        <f t="array" ref="O25">IFERROR(
(MEDIAN((IF(DATOS_[[Sexo]:[Sexo]]=$B25,IF(DATOS_[[AGRUP. CLAS. PROF.]:[AGRUP. CLAS. PROF.]]=$B24,IF(DATOS_[[Check Periodo Ref.]:[Check Periodo Ref.]]="Dentro",IF(DATOS_[[Check Equiparado]:[Check Equiparado]]="Sí",IF(DATOS!AJ$5="Sí",(1/DATOS_[[% anualiz]:[% anualiz]]),1)*IF(DATOS!AJ$4="Sí",1/DATOS_[[% normaliz]:[% normaliz]],1)*(DATOS_[Conc.Sal.06])))))))),
0)</f>
        <v>0</v>
      </c>
      <c r="P25" s="111">
        <f t="array" ref="P25">IFERROR(
(MEDIAN((IF(DATOS_[[Sexo]:[Sexo]]=$B25,IF(DATOS_[[AGRUP. CLAS. PROF.]:[AGRUP. CLAS. PROF.]]=$B24,IF(DATOS_[[Check Periodo Ref.]:[Check Periodo Ref.]]="Dentro",IF(DATOS_[[Check Equiparado]:[Check Equiparado]]="Sí",IF(DATOS!AK$5="Sí",(1/DATOS_[[% anualiz]:[% anualiz]]),1)*IF(DATOS!AK$4="Sí",1/DATOS_[[% normaliz]:[% normaliz]],1)*(DATOS_[Conc.Sal.07])))))))),
0)</f>
        <v>80</v>
      </c>
      <c r="Q25" s="111">
        <f t="array" ref="Q25">IFERROR(
(MEDIAN((IF(DATOS_[[Sexo]:[Sexo]]=$B25,IF(DATOS_[[AGRUP. CLAS. PROF.]:[AGRUP. CLAS. PROF.]]=$B24,IF(DATOS_[[Check Periodo Ref.]:[Check Periodo Ref.]]="Dentro",IF(DATOS_[[Check Equiparado]:[Check Equiparado]]="Sí",IF(DATOS!AL$5="Sí",(1/DATOS_[[% anualiz]:[% anualiz]]),1)*IF(DATOS!AL$4="Sí",1/DATOS_[[% normaliz]:[% normaliz]],1)*(DATOS_[Conc.Sal.08])))))))),
0)</f>
        <v>0</v>
      </c>
      <c r="R25" s="111">
        <f t="array" ref="R25">IFERROR(
(MEDIAN((IF(DATOS_[[Sexo]:[Sexo]]=$B25,IF(DATOS_[[AGRUP. CLAS. PROF.]:[AGRUP. CLAS. PROF.]]=$B24,IF(DATOS_[[Check Periodo Ref.]:[Check Periodo Ref.]]="Dentro",IF(DATOS_[[Check Equiparado]:[Check Equiparado]]="Sí",IF(DATOS!AM$5="Sí",(1/DATOS_[[% anualiz]:[% anualiz]]),1)*IF(DATOS!AM$4="Sí",1/DATOS_[[% normaliz]:[% normaliz]],1)*(DATOS_[Conc.Sal.09])))))))),
0)</f>
        <v>0</v>
      </c>
      <c r="S25" s="111">
        <f t="array" ref="S25">IFERROR(
(MEDIAN((IF(DATOS_[[Sexo]:[Sexo]]=$B25,IF(DATOS_[[AGRUP. CLAS. PROF.]:[AGRUP. CLAS. PROF.]]=$B24,IF(DATOS_[[Check Periodo Ref.]:[Check Periodo Ref.]]="Dentro",IF(DATOS_[[Check Equiparado]:[Check Equiparado]]="Sí",IF(DATOS!AN$5="Sí",(1/DATOS_[[% anualiz]:[% anualiz]]),1)*IF(DATOS!AN$4="Sí",1/DATOS_[[% normaliz]:[% normaliz]],1)*(DATOS_[Conc.Sal.10])))))))),
0)</f>
        <v>0</v>
      </c>
      <c r="T25" s="111">
        <f t="array" ref="T25">IFERROR(
(MEDIAN((IF(DATOS_[[Sexo]:[Sexo]]=$B25,IF(DATOS_[[AGRUP. CLAS. PROF.]:[AGRUP. CLAS. PROF.]]=$B24,IF(DATOS_[[Check Periodo Ref.]:[Check Periodo Ref.]]="Dentro",IF(DATOS_[[Check Equiparado]:[Check Equiparado]]="Sí",IF(DATOS!AO$5="Sí",(1/DATOS_[[% anualiz]:[% anualiz]]),1)*IF(DATOS!AO$4="Sí",1/DATOS_[[% normaliz]:[% normaliz]],1)*(DATOS_[Conc.Sal.11])))))))),
0)</f>
        <v>0</v>
      </c>
      <c r="U25" s="111">
        <f t="array" ref="U25">IFERROR(
(MEDIAN((IF(DATOS_[[Sexo]:[Sexo]]=$B25,IF(DATOS_[[AGRUP. CLAS. PROF.]:[AGRUP. CLAS. PROF.]]=$B24,IF(DATOS_[[Check Periodo Ref.]:[Check Periodo Ref.]]="Dentro",IF(DATOS_[[Check Equiparado]:[Check Equiparado]]="Sí",IF(DATOS!AP$5="Sí",(1/DATOS_[[% anualiz]:[% anualiz]]),1)*IF(DATOS!AP$4="Sí",1/DATOS_[[% normaliz]:[% normaliz]],1)*(DATOS_[Conc.Sal.12])))))))),
0)</f>
        <v>0</v>
      </c>
      <c r="V25" s="111">
        <f t="array" ref="V25">IFERROR(
(MEDIAN((IF(DATOS_[[Sexo]:[Sexo]]=$B25,IF(DATOS_[[AGRUP. CLAS. PROF.]:[AGRUP. CLAS. PROF.]]=$B24,IF(DATOS_[[Check Periodo Ref.]:[Check Periodo Ref.]]="Dentro",IF(DATOS_[[Check Equiparado]:[Check Equiparado]]="Sí",IF(DATOS!AQ$5="Sí",(1/DATOS_[[% anualiz]:[% anualiz]]),1)*IF(DATOS!AQ$4="Sí",1/DATOS_[[% normaliz]:[% normaliz]],1)*(DATOS_[Conc.Sal.13])))))))),
0)</f>
        <v>0</v>
      </c>
      <c r="W25" s="111">
        <f t="array" ref="W25">IFERROR(
(MEDIAN((IF(DATOS_[[Sexo]:[Sexo]]=$B25,IF(DATOS_[[AGRUP. CLAS. PROF.]:[AGRUP. CLAS. PROF.]]=$B24,IF(DATOS_[[Check Periodo Ref.]:[Check Periodo Ref.]]="Dentro",IF(DATOS_[[Check Equiparado]:[Check Equiparado]]="Sí",IF(DATOS!AR$5="Sí",(1/DATOS_[[% anualiz]:[% anualiz]]),1)*IF(DATOS!AR$4="Sí",1/DATOS_[[% normaliz]:[% normaliz]],1)*(DATOS_[Conc.Sal.14])))))))),
0)</f>
        <v>0</v>
      </c>
      <c r="X25" s="111">
        <f t="array" ref="X25">IFERROR(
(MEDIAN((IF(DATOS_[[Sexo]:[Sexo]]=$B25,IF(DATOS_[[AGRUP. CLAS. PROF.]:[AGRUP. CLAS. PROF.]]=$B24,IF(DATOS_[[Check Periodo Ref.]:[Check Periodo Ref.]]="Dentro",IF(DATOS_[[Check Equiparado]:[Check Equiparado]]="Sí",IF(DATOS!AS$5="Sí",(1/DATOS_[[% anualiz]:[% anualiz]]),1)*IF(DATOS!AS$4="Sí",1/DATOS_[[% normaliz]:[% normaliz]],1)*(DATOS_[Conc.Sal.15])))))))),
0)</f>
        <v>0</v>
      </c>
      <c r="Y25" s="111">
        <f t="array" ref="Y25">IFERROR(
(MEDIAN((IF(DATOS_[[Sexo]:[Sexo]]=$B25,IF(DATOS_[[AGRUP. CLAS. PROF.]:[AGRUP. CLAS. PROF.]]=$B24,IF(DATOS_[[Check Periodo Ref.]:[Check Periodo Ref.]]="Dentro",IF(DATOS_[[Check Equiparado]:[Check Equiparado]]="Sí",IF(DATOS!AT$5="Sí",(1/DATOS_[[% anualiz]:[% anualiz]]),1)*IF(DATOS!AT$4="Sí",1/DATOS_[[% normaliz]:[% normaliz]],1)*(DATOS_[Conc.Sal.16])))))))),
0)</f>
        <v>0</v>
      </c>
      <c r="Z25" s="111">
        <f t="array" ref="Z25">IFERROR(
(MEDIAN((IF(DATOS_[[Sexo]:[Sexo]]=$B25,IF(DATOS_[[AGRUP. CLAS. PROF.]:[AGRUP. CLAS. PROF.]]=$B24,IF(DATOS_[[Check Periodo Ref.]:[Check Periodo Ref.]]="Dentro",IF(DATOS_[[Check Equiparado]:[Check Equiparado]]="Sí",IF(DATOS!AU$5="Sí",(1/DATOS_[[% anualiz]:[% anualiz]]),1)*IF(DATOS!AU$4="Sí",1/DATOS_[[% normaliz]:[% normaliz]],1)*(DATOS_[Conc.Sal.17])))))))),
0)</f>
        <v>0</v>
      </c>
      <c r="AA25" s="111">
        <f t="array" ref="AA25">IFERROR(
(MEDIAN((IF(DATOS_[[Sexo]:[Sexo]]=$B25,IF(DATOS_[[AGRUP. CLAS. PROF.]:[AGRUP. CLAS. PROF.]]=$B24,IF(DATOS_[[Check Periodo Ref.]:[Check Periodo Ref.]]="Dentro",IF(DATOS_[[Check Equiparado]:[Check Equiparado]]="Sí",IF(DATOS!AV$5="Sí",(1/DATOS_[[% anualiz]:[% anualiz]]),1)*IF(DATOS!AV$4="Sí",1/DATOS_[[% normaliz]:[% normaliz]],1)*(DATOS_[Conc.Sal.18])))))))),
0)</f>
        <v>0</v>
      </c>
      <c r="AB25" s="111">
        <f t="array" ref="AB25">IFERROR(
(MEDIAN((IF(DATOS_[[Sexo]:[Sexo]]=$B25,IF(DATOS_[[AGRUP. CLAS. PROF.]:[AGRUP. CLAS. PROF.]]=$B24,IF(DATOS_[[Check Periodo Ref.]:[Check Periodo Ref.]]="Dentro",IF(DATOS_[[Check Equiparado]:[Check Equiparado]]="Sí",IF(DATOS!AW$5="Sí",(1/DATOS_[[% anualiz]:[% anualiz]]),1)*IF(DATOS!AW$4="Sí",1/DATOS_[[% normaliz]:[% normaliz]],1)*(DATOS_[Conc.Sal.19])))))))),
0)</f>
        <v>0</v>
      </c>
      <c r="AC25" s="111">
        <f t="array" ref="AC25">IFERROR(
(MEDIAN((IF(DATOS_[[Sexo]:[Sexo]]=$B25,IF(DATOS_[[AGRUP. CLAS. PROF.]:[AGRUP. CLAS. PROF.]]=$B24,IF(DATOS_[[Check Periodo Ref.]:[Check Periodo Ref.]]="Dentro",IF(DATOS_[[Check Equiparado]:[Check Equiparado]]="Sí",IF(DATOS!AX$5="Sí",(1/DATOS_[[% anualiz]:[% anualiz]]),1)*IF(DATOS!AX$4="Sí",1/DATOS_[[% normaliz]:[% normaliz]],1)*(DATOS_[Conc.Sal.20])))))))),
0)</f>
        <v>0</v>
      </c>
      <c r="AD25" s="111">
        <f t="array" ref="AD25">IFERROR(
(MEDIAN((IF(DATOS_[[Sexo]:[Sexo]]=$B25,IF(DATOS_[[AGRUP. CLAS. PROF.]:[AGRUP. CLAS. PROF.]]=$B24,IF(DATOS_[[Check Periodo Ref.]:[Check Periodo Ref.]]="Dentro",IF(DATOS_[[Check Equiparado]:[Check Equiparado]]="Sí",IF(DATOS!AY$5="Sí",(1/DATOS_[[% anualiz]:[% anualiz]]),1)*IF(DATOS!AY$4="Sí",1/DATOS_[[% normaliz]:[% normaliz]],1)*(DATOS_[Conc.Sal.21])))))))),
0)</f>
        <v>0</v>
      </c>
      <c r="AE25" s="111">
        <f t="array" ref="AE25">IFERROR(
(MEDIAN((IF(DATOS_[[Sexo]:[Sexo]]=$B25,IF(DATOS_[[AGRUP. CLAS. PROF.]:[AGRUP. CLAS. PROF.]]=$B24,IF(DATOS_[[Check Periodo Ref.]:[Check Periodo Ref.]]="Dentro",IF(DATOS_[[Check Equiparado]:[Check Equiparado]]="Sí",IF(DATOS!AZ$5="Sí",(1/DATOS_[[% anualiz]:[% anualiz]]),1)*IF(DATOS!AZ$4="Sí",1/DATOS_[[% normaliz]:[% normaliz]],1)*(DATOS_[Conc.Sal.22])))))))),
0)</f>
        <v>0</v>
      </c>
      <c r="AF25" s="111">
        <f t="array" ref="AF25">IFERROR(
(MEDIAN((IF(DATOS_[[Sexo]:[Sexo]]=$B25,IF(DATOS_[[AGRUP. CLAS. PROF.]:[AGRUP. CLAS. PROF.]]=$B24,IF(DATOS_[[Check Periodo Ref.]:[Check Periodo Ref.]]="Dentro",IF(DATOS_[[Check Equiparado]:[Check Equiparado]]="Sí",IF(DATOS!BA$5="Sí",(1/DATOS_[[% anualiz]:[% anualiz]]),1)*IF(DATOS!BA$4="Sí",1/DATOS_[[% normaliz]:[% normaliz]],1)*(DATOS_[Conc.Sal.23])))))))),
0)</f>
        <v>0</v>
      </c>
      <c r="AG25" s="111">
        <f t="array" ref="AG25">IFERROR(
(MEDIAN((IF(DATOS_[[Sexo]:[Sexo]]=$B25,IF(DATOS_[[AGRUP. CLAS. PROF.]:[AGRUP. CLAS. PROF.]]=$B24,IF(DATOS_[[Check Periodo Ref.]:[Check Periodo Ref.]]="Dentro",IF(DATOS_[[Check Equiparado]:[Check Equiparado]]="Sí",IF(DATOS!BB$5="Sí",(1/DATOS_[[% anualiz]:[% anualiz]]),1)*IF(DATOS!BB$4="Sí",1/DATOS_[[% normaliz]:[% normaliz]],1)*(DATOS_[Conc.Sal.24])))))))),
0)</f>
        <v>0</v>
      </c>
      <c r="AH25" s="111">
        <f t="array" ref="AH25">IFERROR(
(MEDIAN((IF(DATOS_[[Sexo]:[Sexo]]=$B25,IF(DATOS_[[AGRUP. CLAS. PROF.]:[AGRUP. CLAS. PROF.]]=$B24,IF(DATOS_[[Check Periodo Ref.]:[Check Periodo Ref.]]="Dentro",IF(DATOS_[[Check Equiparado]:[Check Equiparado]]="Sí",IF(DATOS!BC$5="Sí",(1/DATOS_[[% anualiz]:[% anualiz]]),1)*IF(DATOS!BC$4="Sí",1/DATOS_[[% normaliz]:[% normaliz]],1)*(DATOS_[Conc.Sal.25])))))))),
0)</f>
        <v>0</v>
      </c>
      <c r="AI25" s="111">
        <f t="array" ref="AI25">IFERROR(
(MEDIAN((IF(DATOS_[[Sexo]:[Sexo]]=$B25,IF(DATOS_[[AGRUP. CLAS. PROF.]:[AGRUP. CLAS. PROF.]]=$B24,IF(DATOS_[[Check Periodo Ref.]:[Check Periodo Ref.]]="Dentro",IF(DATOS_[[Check Equiparado]:[Check Equiparado]]="Sí",IF(DATOS!BD$5="Sí",(1/DATOS_[[% anualiz]:[% anualiz]]),1)*IF(DATOS!BD$4="Sí",1/DATOS_[[% normaliz]:[% normaliz]],1)*(DATOS_[Conc.Sal.26])))))))),
0)</f>
        <v>0</v>
      </c>
      <c r="AJ25" s="111">
        <f t="array" ref="AJ25">IFERROR(
(MEDIAN((IF(DATOS_[[Sexo]:[Sexo]]=$B25,IF(DATOS_[[AGRUP. CLAS. PROF.]:[AGRUP. CLAS. PROF.]]=$B24,IF(DATOS_[[Check Periodo Ref.]:[Check Periodo Ref.]]="Dentro",IF(DATOS_[[Check Equiparado]:[Check Equiparado]]="Sí",IF(DATOS!BE$5="Sí",(1/DATOS_[[% anualiz]:[% anualiz]]),1)*IF(DATOS!BE$4="Sí",1/DATOS_[[% normaliz]:[% normaliz]],1)*(DATOS_[Conc.Sal.27])))))))),
0)</f>
        <v>0</v>
      </c>
      <c r="AK25" s="111">
        <f t="array" ref="AK25">IFERROR(
(MEDIAN((IF(DATOS_[[Sexo]:[Sexo]]=$B25,IF(DATOS_[[AGRUP. CLAS. PROF.]:[AGRUP. CLAS. PROF.]]=$B24,IF(DATOS_[[Check Periodo Ref.]:[Check Periodo Ref.]]="Dentro",IF(DATOS_[[Check Equiparado]:[Check Equiparado]]="Sí",IF(DATOS!BF$5="Sí",(1/DATOS_[[% anualiz]:[% anualiz]]),1)*IF(DATOS!BF$4="Sí",1/DATOS_[[% normaliz]:[% normaliz]],1)*(DATOS_[Conc.Sal.28])))))))),
0)</f>
        <v>0</v>
      </c>
      <c r="AL25" s="111">
        <f t="array" ref="AL25">IFERROR(
(MEDIAN((IF(DATOS_[[Sexo]:[Sexo]]=$B25,IF(DATOS_[[AGRUP. CLAS. PROF.]:[AGRUP. CLAS. PROF.]]=$B24,IF(DATOS_[[Check Periodo Ref.]:[Check Periodo Ref.]]="Dentro",IF(DATOS_[[Check Equiparado]:[Check Equiparado]]="Sí",IF(DATOS!BG$5="Sí",(1/DATOS_[[% anualiz]:[% anualiz]]),1)*IF(DATOS!BG$4="Sí",1/DATOS_[[% normaliz]:[% normaliz]],1)*(DATOS_[Conc.Sal.29])))))))),
0)</f>
        <v>0</v>
      </c>
      <c r="AM25" s="111">
        <f t="array" ref="AM25">IFERROR(
(MEDIAN((IF(DATOS_[[Sexo]:[Sexo]]=$B25,IF(DATOS_[[AGRUP. CLAS. PROF.]:[AGRUP. CLAS. PROF.]]=$B24,IF(DATOS_[[Check Periodo Ref.]:[Check Periodo Ref.]]="Dentro",IF(DATOS_[[Check Equiparado]:[Check Equiparado]]="Sí",IF(DATOS!BH$5="Sí",(1/DATOS_[[% anualiz]:[% anualiz]]),1)*IF(DATOS!BH$4="Sí",1/DATOS_[[% normaliz]:[% normaliz]],1)*(DATOS_[Conc.Sal.30])))))))),
0)</f>
        <v>0</v>
      </c>
      <c r="AN25" s="112">
        <f t="array" ref="AN25">IFERROR(
MEDIAN(IF(DATOS_[Sexo]=$B25,IF(DATOS_[[AGRUP. CLAS. PROF.]:[AGRUP. CLAS. PROF.]]=$B24,IF(DATOS_[Check Equiparado]="Sí",IF(DATOS_[Check Periodo Ref.]="Dentro",DATOS_[Tot COMPL.SAL Eq],FALSE))))),
0)</f>
        <v>2888.0207999999998</v>
      </c>
      <c r="AO25" s="113">
        <f t="array" ref="AO25">IFERROR(
MEDIAN(IF(DATOS_[Sexo]=$B25,IF(DATOS_[[AGRUP. CLAS. PROF.]:[AGRUP. CLAS. PROF.]]=$B24,IF(DATOS_[Check Equiparado]="Sí",IF(DATOS_[Check Periodo Ref.]="Dentro",DATOS_[TOTAL SALARIO Eq],FALSE))))),
0)</f>
        <v>16924.360799999999</v>
      </c>
      <c r="AP25" s="114">
        <f t="array" ref="AP25">IFERROR(
(MEDIAN((IF(DATOS_[[Sexo]:[Sexo]]=$B25,IF(DATOS_[[AGRUP. CLAS. PROF.]:[AGRUP. CLAS. PROF.]]=$B24,IF(DATOS_[[Check Periodo Ref.]:[Check Periodo Ref.]]="Dentro",IF(DATOS_[[Check Equiparado]:[Check Equiparado]]="Sí",IF(DATOS!BI$5="Sí",(1/DATOS_[[% anualiz]:[% anualiz]]),1)*IF(DATOS!BI$4="Sí",1/DATOS_[[% normaliz]:[% normaliz]],1)*(DATOS_[C.Extra.01])))))))),
0)</f>
        <v>0</v>
      </c>
      <c r="AQ25" s="114">
        <f t="array" ref="AQ25">IFERROR(
(MEDIAN((IF(DATOS_[[Sexo]:[Sexo]]=$B25,IF(DATOS_[[AGRUP. CLAS. PROF.]:[AGRUP. CLAS. PROF.]]=$B24,IF(DATOS_[[Check Periodo Ref.]:[Check Periodo Ref.]]="Dentro",IF(DATOS_[[Check Equiparado]:[Check Equiparado]]="Sí",IF(DATOS!BJ$5="Sí",(1/DATOS_[[% anualiz]:[% anualiz]]),1)*IF(DATOS!BJ$4="Sí",1/DATOS_[[% normaliz]:[% normaliz]],1)*(DATOS_[C.Extra.02])))))))),
0)</f>
        <v>0</v>
      </c>
      <c r="AR25" s="114">
        <f t="array" ref="AR25">IFERROR(
(MEDIAN((IF(DATOS_[[Sexo]:[Sexo]]=$B25,IF(DATOS_[[AGRUP. CLAS. PROF.]:[AGRUP. CLAS. PROF.]]=$B24,IF(DATOS_[[Check Periodo Ref.]:[Check Periodo Ref.]]="Dentro",IF(DATOS_[[Check Equiparado]:[Check Equiparado]]="Sí",IF(DATOS!BK$5="Sí",(1/DATOS_[[% anualiz]:[% anualiz]]),1)*IF(DATOS!BK$4="Sí",1/DATOS_[[% normaliz]:[% normaliz]],1)*(DATOS_[C.Extra.03])))))))),
0)</f>
        <v>0</v>
      </c>
      <c r="AS25" s="114">
        <f t="array" ref="AS25">IFERROR(
(MEDIAN((IF(DATOS_[[Sexo]:[Sexo]]=$B25,IF(DATOS_[[AGRUP. CLAS. PROF.]:[AGRUP. CLAS. PROF.]]=$B24,IF(DATOS_[[Check Periodo Ref.]:[Check Periodo Ref.]]="Dentro",IF(DATOS_[[Check Equiparado]:[Check Equiparado]]="Sí",IF(DATOS!BL$5="Sí",(1/DATOS_[[% anualiz]:[% anualiz]]),1)*IF(DATOS!BL$4="Sí",1/DATOS_[[% normaliz]:[% normaliz]],1)*(DATOS_[C.Extra.04])))))))),
0)</f>
        <v>0</v>
      </c>
      <c r="AT25" s="114">
        <f t="array" ref="AT25">IFERROR(
(MEDIAN((IF(DATOS_[[Sexo]:[Sexo]]=$B25,IF(DATOS_[[AGRUP. CLAS. PROF.]:[AGRUP. CLAS. PROF.]]=$B24,IF(DATOS_[[Check Periodo Ref.]:[Check Periodo Ref.]]="Dentro",IF(DATOS_[[Check Equiparado]:[Check Equiparado]]="Sí",IF(DATOS!BM$5="Sí",(1/DATOS_[[% anualiz]:[% anualiz]]),1)*IF(DATOS!BM$4="Sí",1/DATOS_[[% normaliz]:[% normaliz]],1)*(DATOS_[C.Extra.05])))))))),
0)</f>
        <v>0</v>
      </c>
      <c r="AU25" s="115">
        <f t="array" ref="AU25">IFERROR(
MEDIAN(IF(DATOS_[Sexo]=$B25,IF(DATOS_[[AGRUP. CLAS. PROF.]:[AGRUP. CLAS. PROF.]]=$B24,IF(DATOS_[Check Equiparado]="Sí",IF(DATOS_[Check Periodo Ref.]="Dentro",DATOS_[Tot Extrasalarial Eq],FALSE))))),
0)</f>
        <v>0</v>
      </c>
      <c r="AV25" s="116">
        <f t="array" ref="AV25">IFERROR(
MEDIAN(IF(DATOS_[Sexo]=$B25,IF(DATOS_[[AGRUP. CLAS. PROF.]:[AGRUP. CLAS. PROF.]]=$B24,IF(DATOS_[Check Equiparado]="Sí",IF(DATOS_[Check Periodo Ref.]="Dentro",DATOS_[TOTAL Retrib Eq],FALSE))))),
0)</f>
        <v>16924.360799999999</v>
      </c>
    </row>
    <row r="26" spans="1:48" x14ac:dyDescent="0.3">
      <c r="A26" s="42" t="str">
        <f t="shared" ref="A26" si="18">+A25</f>
        <v/>
      </c>
      <c r="B26" s="86" t="s">
        <v>163</v>
      </c>
      <c r="C26" s="33">
        <f t="array" ref="C26">SUM(IF($B26=DATOS_[Sexo],
IF($B24=DATOS_[AGRUP. CLAS. PROF.],
IF("Dentro"=DATOS_[Check Periodo Ref.],
1/(COUNTIFS(DATOS_[Sexo],$B26,DATOS_[AGRUP. CLAS. PROF.],$B24,DATOS_[Check Periodo Ref.],"Dentro",DATOS_[id],DATOS_[id]))))))</f>
        <v>24</v>
      </c>
      <c r="D26" s="35">
        <f>COUNTIFS(DATOS_[AGRUP. CLAS. PROF.],$B24,DATOS_[Sexo],$B26,DATOS_[Check Periodo Ref.],"Dentro")</f>
        <v>24</v>
      </c>
      <c r="E26" s="35">
        <f>COUNTIFS(DATOS_[AGRUP. CLAS. PROF.],$B24,DATOS_[Sexo],$B26,DATOS_[Check Periodo Ref.],"Dentro",DATOS_[Check Nº SC Norm],"Sí")</f>
        <v>3</v>
      </c>
      <c r="F26" s="35">
        <f>COUNTIFS(DATOS_[AGRUP. CLAS. PROF.],$B24,DATOS_[Sexo],$B26,DATOS_[Check Periodo Ref.],"Dentro",DATOS_[Check Nº SC Anualiz],"Sí")</f>
        <v>1</v>
      </c>
      <c r="G26" s="35">
        <f>COUNTIFS(DATOS_[AGRUP. CLAS. PROF.],$B24,DATOS_[Sexo],$B26,DATOS_[Check Periodo Ref.],"Dentro",DATOS_[Check Nº SC Norm y Anualiz],"Sí")</f>
        <v>0</v>
      </c>
      <c r="H26" s="35">
        <f>COUNTIFS(DATOS_[AGRUP. CLAS. PROF.],$B24,DATOS_[Sexo],$B26,DATOS_[Check Periodo Ref.],"Dentro",DATOS_[Check Equiparación],"Sí")</f>
        <v>4</v>
      </c>
      <c r="I26" s="110" cm="1">
        <f t="array" ref="I26">IFERROR(
MEDIAN(IF(DATOS_[Sexo]=$B26,IF(DATOS_[[AGRUP. CLAS. PROF.]:[AGRUP. CLAS. PROF.]]=$B24,IF(DATOS_[Check Equiparado]="Sí",IF(DATOS_[Check Periodo Ref.]="Dentro",DATOS_[SALARIO BASE Eq],FALSE))))),
0)</f>
        <v>14036.34</v>
      </c>
      <c r="J26" s="111">
        <f t="array" ref="J26">IFERROR(
(MEDIAN((IF(DATOS_[[Sexo]:[Sexo]]=$B26,IF(DATOS_[[AGRUP. CLAS. PROF.]:[AGRUP. CLAS. PROF.]]=$B24,IF(DATOS_[[Check Periodo Ref.]:[Check Periodo Ref.]]="Dentro",IF(DATOS_[[Check Equiparado]:[Check Equiparado]]="Sí",IF(DATOS!AE$5="Sí",(1/DATOS_[[% anualiz]:[% anualiz]]),1)*IF(DATOS!AE$4="Sí",1/DATOS_[[% normaliz]:[% normaliz]],1)*(DATOS_[Conc.Sal.01])))))))),
0)</f>
        <v>163.65999999999985</v>
      </c>
      <c r="K26" s="111">
        <f t="array" ref="K26">IFERROR(
(MEDIAN((IF(DATOS_[[Sexo]:[Sexo]]=$B26,IF(DATOS_[[AGRUP. CLAS. PROF.]:[AGRUP. CLAS. PROF.]]=$B24,IF(DATOS_[[Check Periodo Ref.]:[Check Periodo Ref.]]="Dentro",IF(DATOS_[[Check Equiparado]:[Check Equiparado]]="Sí",IF(DATOS!AF$5="Sí",(1/DATOS_[[% anualiz]:[% anualiz]]),1)*IF(DATOS!AF$4="Sí",1/DATOS_[[% normaliz]:[% normaliz]],1)*(DATOS_[Conc.Sal.02])))))))),
0)</f>
        <v>1122.9072000000001</v>
      </c>
      <c r="L26" s="111">
        <f t="array" ref="L26">IFERROR(
(MEDIAN((IF(DATOS_[[Sexo]:[Sexo]]=$B26,IF(DATOS_[[AGRUP. CLAS. PROF.]:[AGRUP. CLAS. PROF.]]=$B24,IF(DATOS_[[Check Periodo Ref.]:[Check Periodo Ref.]]="Dentro",IF(DATOS_[[Check Equiparado]:[Check Equiparado]]="Sí",IF(DATOS!AG$5="Sí",(1/DATOS_[[% anualiz]:[% anualiz]]),1)*IF(DATOS!AG$4="Sí",1/DATOS_[[% normaliz]:[% normaliz]],1)*(DATOS_[Conc.Sal.03])))))))),
0)</f>
        <v>960</v>
      </c>
      <c r="M26" s="111">
        <f t="array" ref="M26">IFERROR(
(MEDIAN((IF(DATOS_[[Sexo]:[Sexo]]=$B26,IF(DATOS_[[AGRUP. CLAS. PROF.]:[AGRUP. CLAS. PROF.]]=$B24,IF(DATOS_[[Check Periodo Ref.]:[Check Periodo Ref.]]="Dentro",IF(DATOS_[[Check Equiparado]:[Check Equiparado]]="Sí",IF(DATOS!AH$5="Sí",(1/DATOS_[[% anualiz]:[% anualiz]]),1)*IF(DATOS!AH$4="Sí",1/DATOS_[[% normaliz]:[% normaliz]],1)*(DATOS_[Conc.Sal.04])))))))),
0)</f>
        <v>0</v>
      </c>
      <c r="N26" s="111">
        <f t="array" ref="N26">IFERROR(
(MEDIAN((IF(DATOS_[[Sexo]:[Sexo]]=$B26,IF(DATOS_[[AGRUP. CLAS. PROF.]:[AGRUP. CLAS. PROF.]]=$B24,IF(DATOS_[[Check Periodo Ref.]:[Check Periodo Ref.]]="Dentro",IF(DATOS_[[Check Equiparado]:[Check Equiparado]]="Sí",IF(DATOS!AI$5="Sí",(1/DATOS_[[% anualiz]:[% anualiz]]),1)*IF(DATOS!AI$4="Sí",1/DATOS_[[% normaliz]:[% normaliz]],1)*(DATOS_[Conc.Sal.05])))))))),
0)</f>
        <v>0</v>
      </c>
      <c r="O26" s="111">
        <f t="array" ref="O26">IFERROR(
(MEDIAN((IF(DATOS_[[Sexo]:[Sexo]]=$B26,IF(DATOS_[[AGRUP. CLAS. PROF.]:[AGRUP. CLAS. PROF.]]=$B24,IF(DATOS_[[Check Periodo Ref.]:[Check Periodo Ref.]]="Dentro",IF(DATOS_[[Check Equiparado]:[Check Equiparado]]="Sí",IF(DATOS!AJ$5="Sí",(1/DATOS_[[% anualiz]:[% anualiz]]),1)*IF(DATOS!AJ$4="Sí",1/DATOS_[[% normaliz]:[% normaliz]],1)*(DATOS_[Conc.Sal.06])))))))),
0)</f>
        <v>0</v>
      </c>
      <c r="P26" s="111">
        <f t="array" ref="P26">IFERROR(
(MEDIAN((IF(DATOS_[[Sexo]:[Sexo]]=$B26,IF(DATOS_[[AGRUP. CLAS. PROF.]:[AGRUP. CLAS. PROF.]]=$B24,IF(DATOS_[[Check Periodo Ref.]:[Check Periodo Ref.]]="Dentro",IF(DATOS_[[Check Equiparado]:[Check Equiparado]]="Sí",IF(DATOS!AK$5="Sí",(1/DATOS_[[% anualiz]:[% anualiz]]),1)*IF(DATOS!AK$4="Sí",1/DATOS_[[% normaliz]:[% normaliz]],1)*(DATOS_[Conc.Sal.07])))))))),
0)</f>
        <v>80</v>
      </c>
      <c r="Q26" s="111">
        <f t="array" ref="Q26">IFERROR(
(MEDIAN((IF(DATOS_[[Sexo]:[Sexo]]=$B26,IF(DATOS_[[AGRUP. CLAS. PROF.]:[AGRUP. CLAS. PROF.]]=$B24,IF(DATOS_[[Check Periodo Ref.]:[Check Periodo Ref.]]="Dentro",IF(DATOS_[[Check Equiparado]:[Check Equiparado]]="Sí",IF(DATOS!AL$5="Sí",(1/DATOS_[[% anualiz]:[% anualiz]]),1)*IF(DATOS!AL$4="Sí",1/DATOS_[[% normaliz]:[% normaliz]],1)*(DATOS_[Conc.Sal.08])))))))),
0)</f>
        <v>0</v>
      </c>
      <c r="R26" s="111">
        <f t="array" ref="R26">IFERROR(
(MEDIAN((IF(DATOS_[[Sexo]:[Sexo]]=$B26,IF(DATOS_[[AGRUP. CLAS. PROF.]:[AGRUP. CLAS. PROF.]]=$B24,IF(DATOS_[[Check Periodo Ref.]:[Check Periodo Ref.]]="Dentro",IF(DATOS_[[Check Equiparado]:[Check Equiparado]]="Sí",IF(DATOS!AM$5="Sí",(1/DATOS_[[% anualiz]:[% anualiz]]),1)*IF(DATOS!AM$4="Sí",1/DATOS_[[% normaliz]:[% normaliz]],1)*(DATOS_[Conc.Sal.09])))))))),
0)</f>
        <v>0</v>
      </c>
      <c r="S26" s="111">
        <f t="array" ref="S26">IFERROR(
(MEDIAN((IF(DATOS_[[Sexo]:[Sexo]]=$B26,IF(DATOS_[[AGRUP. CLAS. PROF.]:[AGRUP. CLAS. PROF.]]=$B24,IF(DATOS_[[Check Periodo Ref.]:[Check Periodo Ref.]]="Dentro",IF(DATOS_[[Check Equiparado]:[Check Equiparado]]="Sí",IF(DATOS!AN$5="Sí",(1/DATOS_[[% anualiz]:[% anualiz]]),1)*IF(DATOS!AN$4="Sí",1/DATOS_[[% normaliz]:[% normaliz]],1)*(DATOS_[Conc.Sal.10])))))))),
0)</f>
        <v>0</v>
      </c>
      <c r="T26" s="111">
        <f t="array" ref="T26">IFERROR(
(MEDIAN((IF(DATOS_[[Sexo]:[Sexo]]=$B26,IF(DATOS_[[AGRUP. CLAS. PROF.]:[AGRUP. CLAS. PROF.]]=$B24,IF(DATOS_[[Check Periodo Ref.]:[Check Periodo Ref.]]="Dentro",IF(DATOS_[[Check Equiparado]:[Check Equiparado]]="Sí",IF(DATOS!AO$5="Sí",(1/DATOS_[[% anualiz]:[% anualiz]]),1)*IF(DATOS!AO$4="Sí",1/DATOS_[[% normaliz]:[% normaliz]],1)*(DATOS_[Conc.Sal.11])))))))),
0)</f>
        <v>0</v>
      </c>
      <c r="U26" s="111">
        <f t="array" ref="U26">IFERROR(
(MEDIAN((IF(DATOS_[[Sexo]:[Sexo]]=$B26,IF(DATOS_[[AGRUP. CLAS. PROF.]:[AGRUP. CLAS. PROF.]]=$B24,IF(DATOS_[[Check Periodo Ref.]:[Check Periodo Ref.]]="Dentro",IF(DATOS_[[Check Equiparado]:[Check Equiparado]]="Sí",IF(DATOS!AP$5="Sí",(1/DATOS_[[% anualiz]:[% anualiz]]),1)*IF(DATOS!AP$4="Sí",1/DATOS_[[% normaliz]:[% normaliz]],1)*(DATOS_[Conc.Sal.12])))))))),
0)</f>
        <v>0</v>
      </c>
      <c r="V26" s="111">
        <f t="array" ref="V26">IFERROR(
(MEDIAN((IF(DATOS_[[Sexo]:[Sexo]]=$B26,IF(DATOS_[[AGRUP. CLAS. PROF.]:[AGRUP. CLAS. PROF.]]=$B24,IF(DATOS_[[Check Periodo Ref.]:[Check Periodo Ref.]]="Dentro",IF(DATOS_[[Check Equiparado]:[Check Equiparado]]="Sí",IF(DATOS!AQ$5="Sí",(1/DATOS_[[% anualiz]:[% anualiz]]),1)*IF(DATOS!AQ$4="Sí",1/DATOS_[[% normaliz]:[% normaliz]],1)*(DATOS_[Conc.Sal.13])))))))),
0)</f>
        <v>0</v>
      </c>
      <c r="W26" s="111">
        <f t="array" ref="W26">IFERROR(
(MEDIAN((IF(DATOS_[[Sexo]:[Sexo]]=$B26,IF(DATOS_[[AGRUP. CLAS. PROF.]:[AGRUP. CLAS. PROF.]]=$B24,IF(DATOS_[[Check Periodo Ref.]:[Check Periodo Ref.]]="Dentro",IF(DATOS_[[Check Equiparado]:[Check Equiparado]]="Sí",IF(DATOS!AR$5="Sí",(1/DATOS_[[% anualiz]:[% anualiz]]),1)*IF(DATOS!AR$4="Sí",1/DATOS_[[% normaliz]:[% normaliz]],1)*(DATOS_[Conc.Sal.14])))))))),
0)</f>
        <v>0</v>
      </c>
      <c r="X26" s="111">
        <f t="array" ref="X26">IFERROR(
(MEDIAN((IF(DATOS_[[Sexo]:[Sexo]]=$B26,IF(DATOS_[[AGRUP. CLAS. PROF.]:[AGRUP. CLAS. PROF.]]=$B24,IF(DATOS_[[Check Periodo Ref.]:[Check Periodo Ref.]]="Dentro",IF(DATOS_[[Check Equiparado]:[Check Equiparado]]="Sí",IF(DATOS!AS$5="Sí",(1/DATOS_[[% anualiz]:[% anualiz]]),1)*IF(DATOS!AS$4="Sí",1/DATOS_[[% normaliz]:[% normaliz]],1)*(DATOS_[Conc.Sal.15])))))))),
0)</f>
        <v>0</v>
      </c>
      <c r="Y26" s="111">
        <f t="array" ref="Y26">IFERROR(
(MEDIAN((IF(DATOS_[[Sexo]:[Sexo]]=$B26,IF(DATOS_[[AGRUP. CLAS. PROF.]:[AGRUP. CLAS. PROF.]]=$B24,IF(DATOS_[[Check Periodo Ref.]:[Check Periodo Ref.]]="Dentro",IF(DATOS_[[Check Equiparado]:[Check Equiparado]]="Sí",IF(DATOS!AT$5="Sí",(1/DATOS_[[% anualiz]:[% anualiz]]),1)*IF(DATOS!AT$4="Sí",1/DATOS_[[% normaliz]:[% normaliz]],1)*(DATOS_[Conc.Sal.16])))))))),
0)</f>
        <v>0</v>
      </c>
      <c r="Z26" s="111">
        <f t="array" ref="Z26">IFERROR(
(MEDIAN((IF(DATOS_[[Sexo]:[Sexo]]=$B26,IF(DATOS_[[AGRUP. CLAS. PROF.]:[AGRUP. CLAS. PROF.]]=$B24,IF(DATOS_[[Check Periodo Ref.]:[Check Periodo Ref.]]="Dentro",IF(DATOS_[[Check Equiparado]:[Check Equiparado]]="Sí",IF(DATOS!AU$5="Sí",(1/DATOS_[[% anualiz]:[% anualiz]]),1)*IF(DATOS!AU$4="Sí",1/DATOS_[[% normaliz]:[% normaliz]],1)*(DATOS_[Conc.Sal.17])))))))),
0)</f>
        <v>0</v>
      </c>
      <c r="AA26" s="111">
        <f t="array" ref="AA26">IFERROR(
(MEDIAN((IF(DATOS_[[Sexo]:[Sexo]]=$B26,IF(DATOS_[[AGRUP. CLAS. PROF.]:[AGRUP. CLAS. PROF.]]=$B24,IF(DATOS_[[Check Periodo Ref.]:[Check Periodo Ref.]]="Dentro",IF(DATOS_[[Check Equiparado]:[Check Equiparado]]="Sí",IF(DATOS!AV$5="Sí",(1/DATOS_[[% anualiz]:[% anualiz]]),1)*IF(DATOS!AV$4="Sí",1/DATOS_[[% normaliz]:[% normaliz]],1)*(DATOS_[Conc.Sal.18])))))))),
0)</f>
        <v>0</v>
      </c>
      <c r="AB26" s="111">
        <f t="array" ref="AB26">IFERROR(
(MEDIAN((IF(DATOS_[[Sexo]:[Sexo]]=$B26,IF(DATOS_[[AGRUP. CLAS. PROF.]:[AGRUP. CLAS. PROF.]]=$B24,IF(DATOS_[[Check Periodo Ref.]:[Check Periodo Ref.]]="Dentro",IF(DATOS_[[Check Equiparado]:[Check Equiparado]]="Sí",IF(DATOS!AW$5="Sí",(1/DATOS_[[% anualiz]:[% anualiz]]),1)*IF(DATOS!AW$4="Sí",1/DATOS_[[% normaliz]:[% normaliz]],1)*(DATOS_[Conc.Sal.19])))))))),
0)</f>
        <v>0</v>
      </c>
      <c r="AC26" s="111">
        <f t="array" ref="AC26">IFERROR(
(MEDIAN((IF(DATOS_[[Sexo]:[Sexo]]=$B26,IF(DATOS_[[AGRUP. CLAS. PROF.]:[AGRUP. CLAS. PROF.]]=$B24,IF(DATOS_[[Check Periodo Ref.]:[Check Periodo Ref.]]="Dentro",IF(DATOS_[[Check Equiparado]:[Check Equiparado]]="Sí",IF(DATOS!AX$5="Sí",(1/DATOS_[[% anualiz]:[% anualiz]]),1)*IF(DATOS!AX$4="Sí",1/DATOS_[[% normaliz]:[% normaliz]],1)*(DATOS_[Conc.Sal.20])))))))),
0)</f>
        <v>0</v>
      </c>
      <c r="AD26" s="111">
        <f t="array" ref="AD26">IFERROR(
(MEDIAN((IF(DATOS_[[Sexo]:[Sexo]]=$B26,IF(DATOS_[[AGRUP. CLAS. PROF.]:[AGRUP. CLAS. PROF.]]=$B24,IF(DATOS_[[Check Periodo Ref.]:[Check Periodo Ref.]]="Dentro",IF(DATOS_[[Check Equiparado]:[Check Equiparado]]="Sí",IF(DATOS!AY$5="Sí",(1/DATOS_[[% anualiz]:[% anualiz]]),1)*IF(DATOS!AY$4="Sí",1/DATOS_[[% normaliz]:[% normaliz]],1)*(DATOS_[Conc.Sal.21])))))))),
0)</f>
        <v>0</v>
      </c>
      <c r="AE26" s="111">
        <f t="array" ref="AE26">IFERROR(
(MEDIAN((IF(DATOS_[[Sexo]:[Sexo]]=$B26,IF(DATOS_[[AGRUP. CLAS. PROF.]:[AGRUP. CLAS. PROF.]]=$B24,IF(DATOS_[[Check Periodo Ref.]:[Check Periodo Ref.]]="Dentro",IF(DATOS_[[Check Equiparado]:[Check Equiparado]]="Sí",IF(DATOS!AZ$5="Sí",(1/DATOS_[[% anualiz]:[% anualiz]]),1)*IF(DATOS!AZ$4="Sí",1/DATOS_[[% normaliz]:[% normaliz]],1)*(DATOS_[Conc.Sal.22])))))))),
0)</f>
        <v>0</v>
      </c>
      <c r="AF26" s="111">
        <f t="array" ref="AF26">IFERROR(
(MEDIAN((IF(DATOS_[[Sexo]:[Sexo]]=$B26,IF(DATOS_[[AGRUP. CLAS. PROF.]:[AGRUP. CLAS. PROF.]]=$B24,IF(DATOS_[[Check Periodo Ref.]:[Check Periodo Ref.]]="Dentro",IF(DATOS_[[Check Equiparado]:[Check Equiparado]]="Sí",IF(DATOS!BA$5="Sí",(1/DATOS_[[% anualiz]:[% anualiz]]),1)*IF(DATOS!BA$4="Sí",1/DATOS_[[% normaliz]:[% normaliz]],1)*(DATOS_[Conc.Sal.23])))))))),
0)</f>
        <v>0</v>
      </c>
      <c r="AG26" s="111">
        <f t="array" ref="AG26">IFERROR(
(MEDIAN((IF(DATOS_[[Sexo]:[Sexo]]=$B26,IF(DATOS_[[AGRUP. CLAS. PROF.]:[AGRUP. CLAS. PROF.]]=$B24,IF(DATOS_[[Check Periodo Ref.]:[Check Periodo Ref.]]="Dentro",IF(DATOS_[[Check Equiparado]:[Check Equiparado]]="Sí",IF(DATOS!BB$5="Sí",(1/DATOS_[[% anualiz]:[% anualiz]]),1)*IF(DATOS!BB$4="Sí",1/DATOS_[[% normaliz]:[% normaliz]],1)*(DATOS_[Conc.Sal.24])))))))),
0)</f>
        <v>0</v>
      </c>
      <c r="AH26" s="111">
        <f t="array" ref="AH26">IFERROR(
(MEDIAN((IF(DATOS_[[Sexo]:[Sexo]]=$B26,IF(DATOS_[[AGRUP. CLAS. PROF.]:[AGRUP. CLAS. PROF.]]=$B24,IF(DATOS_[[Check Periodo Ref.]:[Check Periodo Ref.]]="Dentro",IF(DATOS_[[Check Equiparado]:[Check Equiparado]]="Sí",IF(DATOS!BC$5="Sí",(1/DATOS_[[% anualiz]:[% anualiz]]),1)*IF(DATOS!BC$4="Sí",1/DATOS_[[% normaliz]:[% normaliz]],1)*(DATOS_[Conc.Sal.25])))))))),
0)</f>
        <v>0</v>
      </c>
      <c r="AI26" s="111">
        <f t="array" ref="AI26">IFERROR(
(MEDIAN((IF(DATOS_[[Sexo]:[Sexo]]=$B26,IF(DATOS_[[AGRUP. CLAS. PROF.]:[AGRUP. CLAS. PROF.]]=$B24,IF(DATOS_[[Check Periodo Ref.]:[Check Periodo Ref.]]="Dentro",IF(DATOS_[[Check Equiparado]:[Check Equiparado]]="Sí",IF(DATOS!BD$5="Sí",(1/DATOS_[[% anualiz]:[% anualiz]]),1)*IF(DATOS!BD$4="Sí",1/DATOS_[[% normaliz]:[% normaliz]],1)*(DATOS_[Conc.Sal.26])))))))),
0)</f>
        <v>0</v>
      </c>
      <c r="AJ26" s="111">
        <f t="array" ref="AJ26">IFERROR(
(MEDIAN((IF(DATOS_[[Sexo]:[Sexo]]=$B26,IF(DATOS_[[AGRUP. CLAS. PROF.]:[AGRUP. CLAS. PROF.]]=$B24,IF(DATOS_[[Check Periodo Ref.]:[Check Periodo Ref.]]="Dentro",IF(DATOS_[[Check Equiparado]:[Check Equiparado]]="Sí",IF(DATOS!BE$5="Sí",(1/DATOS_[[% anualiz]:[% anualiz]]),1)*IF(DATOS!BE$4="Sí",1/DATOS_[[% normaliz]:[% normaliz]],1)*(DATOS_[Conc.Sal.27])))))))),
0)</f>
        <v>0</v>
      </c>
      <c r="AK26" s="111">
        <f t="array" ref="AK26">IFERROR(
(MEDIAN((IF(DATOS_[[Sexo]:[Sexo]]=$B26,IF(DATOS_[[AGRUP. CLAS. PROF.]:[AGRUP. CLAS. PROF.]]=$B24,IF(DATOS_[[Check Periodo Ref.]:[Check Periodo Ref.]]="Dentro",IF(DATOS_[[Check Equiparado]:[Check Equiparado]]="Sí",IF(DATOS!BF$5="Sí",(1/DATOS_[[% anualiz]:[% anualiz]]),1)*IF(DATOS!BF$4="Sí",1/DATOS_[[% normaliz]:[% normaliz]],1)*(DATOS_[Conc.Sal.28])))))))),
0)</f>
        <v>0</v>
      </c>
      <c r="AL26" s="111">
        <f t="array" ref="AL26">IFERROR(
(MEDIAN((IF(DATOS_[[Sexo]:[Sexo]]=$B26,IF(DATOS_[[AGRUP. CLAS. PROF.]:[AGRUP. CLAS. PROF.]]=$B24,IF(DATOS_[[Check Periodo Ref.]:[Check Periodo Ref.]]="Dentro",IF(DATOS_[[Check Equiparado]:[Check Equiparado]]="Sí",IF(DATOS!BG$5="Sí",(1/DATOS_[[% anualiz]:[% anualiz]]),1)*IF(DATOS!BG$4="Sí",1/DATOS_[[% normaliz]:[% normaliz]],1)*(DATOS_[Conc.Sal.29])))))))),
0)</f>
        <v>0</v>
      </c>
      <c r="AM26" s="111">
        <f t="array" ref="AM26">IFERROR(
(MEDIAN((IF(DATOS_[[Sexo]:[Sexo]]=$B26,IF(DATOS_[[AGRUP. CLAS. PROF.]:[AGRUP. CLAS. PROF.]]=$B24,IF(DATOS_[[Check Periodo Ref.]:[Check Periodo Ref.]]="Dentro",IF(DATOS_[[Check Equiparado]:[Check Equiparado]]="Sí",IF(DATOS!BH$5="Sí",(1/DATOS_[[% anualiz]:[% anualiz]]),1)*IF(DATOS!BH$4="Sí",1/DATOS_[[% normaliz]:[% normaliz]],1)*(DATOS_[Conc.Sal.30])))))))),
0)</f>
        <v>0</v>
      </c>
      <c r="AN26" s="112">
        <f t="array" ref="AN26">IFERROR(
MEDIAN(IF(DATOS_[Sexo]=$B26,IF(DATOS_[[AGRUP. CLAS. PROF.]:[AGRUP. CLAS. PROF.]]=$B24,IF(DATOS_[Check Equiparado]="Sí",IF(DATOS_[Check Periodo Ref.]="Dentro",DATOS_[Tot COMPL.SAL Eq],FALSE))))),
0)</f>
        <v>2246.5672</v>
      </c>
      <c r="AO26" s="113">
        <f t="array" ref="AO26">IFERROR(
MEDIAN(IF(DATOS_[Sexo]=$B26,IF(DATOS_[[AGRUP. CLAS. PROF.]:[AGRUP. CLAS. PROF.]]=$B24,IF(DATOS_[Check Equiparado]="Sí",IF(DATOS_[Check Periodo Ref.]="Dentro",DATOS_[TOTAL SALARIO Eq],FALSE))))),
0)</f>
        <v>16282.9072</v>
      </c>
      <c r="AP26" s="114">
        <f t="array" ref="AP26">IFERROR(
(MEDIAN((IF(DATOS_[[Sexo]:[Sexo]]=$B26,IF(DATOS_[[AGRUP. CLAS. PROF.]:[AGRUP. CLAS. PROF.]]=$B24,IF(DATOS_[[Check Periodo Ref.]:[Check Periodo Ref.]]="Dentro",IF(DATOS_[[Check Equiparado]:[Check Equiparado]]="Sí",IF(DATOS!BI$5="Sí",(1/DATOS_[[% anualiz]:[% anualiz]]),1)*IF(DATOS!BI$4="Sí",1/DATOS_[[% normaliz]:[% normaliz]],1)*(DATOS_[C.Extra.01])))))))),
0)</f>
        <v>0</v>
      </c>
      <c r="AQ26" s="114">
        <f t="array" ref="AQ26">IFERROR(
(MEDIAN((IF(DATOS_[[Sexo]:[Sexo]]=$B26,IF(DATOS_[[AGRUP. CLAS. PROF.]:[AGRUP. CLAS. PROF.]]=$B24,IF(DATOS_[[Check Periodo Ref.]:[Check Periodo Ref.]]="Dentro",IF(DATOS_[[Check Equiparado]:[Check Equiparado]]="Sí",IF(DATOS!BJ$5="Sí",(1/DATOS_[[% anualiz]:[% anualiz]]),1)*IF(DATOS!BJ$4="Sí",1/DATOS_[[% normaliz]:[% normaliz]],1)*(DATOS_[C.Extra.02])))))))),
0)</f>
        <v>0</v>
      </c>
      <c r="AR26" s="114">
        <f t="array" ref="AR26">IFERROR(
(MEDIAN((IF(DATOS_[[Sexo]:[Sexo]]=$B26,IF(DATOS_[[AGRUP. CLAS. PROF.]:[AGRUP. CLAS. PROF.]]=$B24,IF(DATOS_[[Check Periodo Ref.]:[Check Periodo Ref.]]="Dentro",IF(DATOS_[[Check Equiparado]:[Check Equiparado]]="Sí",IF(DATOS!BK$5="Sí",(1/DATOS_[[% anualiz]:[% anualiz]]),1)*IF(DATOS!BK$4="Sí",1/DATOS_[[% normaliz]:[% normaliz]],1)*(DATOS_[C.Extra.03])))))))),
0)</f>
        <v>0</v>
      </c>
      <c r="AS26" s="114">
        <f t="array" ref="AS26">IFERROR(
(MEDIAN((IF(DATOS_[[Sexo]:[Sexo]]=$B26,IF(DATOS_[[AGRUP. CLAS. PROF.]:[AGRUP. CLAS. PROF.]]=$B24,IF(DATOS_[[Check Periodo Ref.]:[Check Periodo Ref.]]="Dentro",IF(DATOS_[[Check Equiparado]:[Check Equiparado]]="Sí",IF(DATOS!BL$5="Sí",(1/DATOS_[[% anualiz]:[% anualiz]]),1)*IF(DATOS!BL$4="Sí",1/DATOS_[[% normaliz]:[% normaliz]],1)*(DATOS_[C.Extra.04])))))))),
0)</f>
        <v>0</v>
      </c>
      <c r="AT26" s="114">
        <f t="array" ref="AT26">IFERROR(
(MEDIAN((IF(DATOS_[[Sexo]:[Sexo]]=$B26,IF(DATOS_[[AGRUP. CLAS. PROF.]:[AGRUP. CLAS. PROF.]]=$B24,IF(DATOS_[[Check Periodo Ref.]:[Check Periodo Ref.]]="Dentro",IF(DATOS_[[Check Equiparado]:[Check Equiparado]]="Sí",IF(DATOS!BM$5="Sí",(1/DATOS_[[% anualiz]:[% anualiz]]),1)*IF(DATOS!BM$4="Sí",1/DATOS_[[% normaliz]:[% normaliz]],1)*(DATOS_[C.Extra.05])))))))),
0)</f>
        <v>0</v>
      </c>
      <c r="AU26" s="115">
        <f t="array" ref="AU26">IFERROR(
MEDIAN(IF(DATOS_[Sexo]=$B26,IF(DATOS_[[AGRUP. CLAS. PROF.]:[AGRUP. CLAS. PROF.]]=$B24,IF(DATOS_[Check Equiparado]="Sí",IF(DATOS_[Check Periodo Ref.]="Dentro",DATOS_[Tot Extrasalarial Eq],FALSE))))),
0)</f>
        <v>0</v>
      </c>
      <c r="AV26" s="116">
        <f t="array" ref="AV26">IFERROR(
MEDIAN(IF(DATOS_[Sexo]=$B26,IF(DATOS_[[AGRUP. CLAS. PROF.]:[AGRUP. CLAS. PROF.]]=$B24,IF(DATOS_[Check Equiparado]="Sí",IF(DATOS_[Check Periodo Ref.]="Dentro",DATOS_[TOTAL Retrib Eq],FALSE))))),
0)</f>
        <v>16282.9072</v>
      </c>
    </row>
    <row r="27" spans="1:48" ht="17.25" thickBot="1" x14ac:dyDescent="0.35">
      <c r="A27" s="42" t="str">
        <f t="shared" ref="A27" si="19">+A28</f>
        <v/>
      </c>
      <c r="B27" s="90" t="s">
        <v>311</v>
      </c>
      <c r="C27" s="109"/>
      <c r="D27" s="41"/>
      <c r="E27" s="41"/>
      <c r="F27" s="41"/>
      <c r="G27" s="41"/>
      <c r="H27" s="41"/>
      <c r="I27" s="119">
        <f t="shared" ref="I27:AV27" si="20">IFERROR((I28-I29)/I28,"")</f>
        <v>0</v>
      </c>
      <c r="J27" s="123">
        <f t="shared" si="20"/>
        <v>0</v>
      </c>
      <c r="K27" s="123" t="str">
        <f t="shared" si="20"/>
        <v/>
      </c>
      <c r="L27" s="123">
        <f t="shared" si="20"/>
        <v>0</v>
      </c>
      <c r="M27" s="123" t="str">
        <f t="shared" si="20"/>
        <v/>
      </c>
      <c r="N27" s="123" t="str">
        <f t="shared" si="20"/>
        <v/>
      </c>
      <c r="O27" s="123" t="str">
        <f t="shared" si="20"/>
        <v/>
      </c>
      <c r="P27" s="123" t="str">
        <f t="shared" si="20"/>
        <v/>
      </c>
      <c r="Q27" s="123" t="str">
        <f t="shared" si="20"/>
        <v/>
      </c>
      <c r="R27" s="123" t="str">
        <f t="shared" si="20"/>
        <v/>
      </c>
      <c r="S27" s="123" t="str">
        <f t="shared" si="20"/>
        <v/>
      </c>
      <c r="T27" s="123" t="str">
        <f t="shared" si="20"/>
        <v/>
      </c>
      <c r="U27" s="123" t="str">
        <f t="shared" si="20"/>
        <v/>
      </c>
      <c r="V27" s="123" t="str">
        <f t="shared" si="20"/>
        <v/>
      </c>
      <c r="W27" s="123" t="str">
        <f t="shared" si="20"/>
        <v/>
      </c>
      <c r="X27" s="123" t="str">
        <f t="shared" si="20"/>
        <v/>
      </c>
      <c r="Y27" s="123" t="str">
        <f t="shared" si="20"/>
        <v/>
      </c>
      <c r="Z27" s="122" t="str">
        <f t="shared" si="20"/>
        <v/>
      </c>
      <c r="AA27" s="122" t="str">
        <f t="shared" si="20"/>
        <v/>
      </c>
      <c r="AB27" s="122" t="str">
        <f t="shared" si="20"/>
        <v/>
      </c>
      <c r="AC27" s="122" t="str">
        <f t="shared" si="20"/>
        <v/>
      </c>
      <c r="AD27" s="122" t="str">
        <f t="shared" si="20"/>
        <v/>
      </c>
      <c r="AE27" s="122" t="str">
        <f t="shared" si="20"/>
        <v/>
      </c>
      <c r="AF27" s="122" t="str">
        <f t="shared" si="20"/>
        <v/>
      </c>
      <c r="AG27" s="122" t="str">
        <f t="shared" si="20"/>
        <v/>
      </c>
      <c r="AH27" s="122" t="str">
        <f t="shared" si="20"/>
        <v/>
      </c>
      <c r="AI27" s="122" t="str">
        <f t="shared" si="20"/>
        <v/>
      </c>
      <c r="AJ27" s="122" t="str">
        <f t="shared" si="20"/>
        <v/>
      </c>
      <c r="AK27" s="122" t="str">
        <f t="shared" si="20"/>
        <v/>
      </c>
      <c r="AL27" s="122" t="str">
        <f t="shared" si="20"/>
        <v/>
      </c>
      <c r="AM27" s="122" t="str">
        <f t="shared" si="20"/>
        <v/>
      </c>
      <c r="AN27" s="124">
        <f t="shared" si="20"/>
        <v>0</v>
      </c>
      <c r="AO27" s="128">
        <f t="shared" si="20"/>
        <v>0</v>
      </c>
      <c r="AP27" s="125" t="str">
        <f t="shared" si="20"/>
        <v/>
      </c>
      <c r="AQ27" s="125" t="str">
        <f t="shared" si="20"/>
        <v/>
      </c>
      <c r="AR27" s="125" t="str">
        <f t="shared" si="20"/>
        <v/>
      </c>
      <c r="AS27" s="125" t="str">
        <f t="shared" si="20"/>
        <v/>
      </c>
      <c r="AT27" s="125" t="str">
        <f t="shared" si="20"/>
        <v/>
      </c>
      <c r="AU27" s="126" t="str">
        <f t="shared" si="20"/>
        <v/>
      </c>
      <c r="AV27" s="127">
        <f t="shared" si="20"/>
        <v>0</v>
      </c>
    </row>
    <row r="28" spans="1:48" x14ac:dyDescent="0.3">
      <c r="A28" s="42" t="str">
        <f t="shared" ref="A28" si="21">+IF(C28+C29=0,"[ocultar]","")</f>
        <v/>
      </c>
      <c r="B28" s="86" t="s">
        <v>162</v>
      </c>
      <c r="C28" s="33">
        <f t="array" ref="C28">SUM(IF($B28=DATOS_[Sexo],
IF($B27=DATOS_[AGRUP. CLAS. PROF.],
IF("Dentro"=DATOS_[Check Periodo Ref.],
1/(COUNTIFS(DATOS_[Sexo],$B28,DATOS_[AGRUP. CLAS. PROF.],$B27,DATOS_[Check Periodo Ref.],"Dentro",DATOS_[id],DATOS_[id]))))))</f>
        <v>26</v>
      </c>
      <c r="D28" s="35">
        <f>COUNTIFS(DATOS_[AGRUP. CLAS. PROF.],$B27,DATOS_[Sexo],$B28,DATOS_[Check Periodo Ref.],"Dentro")</f>
        <v>31</v>
      </c>
      <c r="E28" s="35">
        <f>COUNTIFS(DATOS_[AGRUP. CLAS. PROF.],$B27,DATOS_[Sexo],$B28,DATOS_[Check Periodo Ref.],"Dentro",DATOS_[Check Nº SC Norm],"Sí")</f>
        <v>4</v>
      </c>
      <c r="F28" s="35">
        <f>COUNTIFS(DATOS_[AGRUP. CLAS. PROF.],$B27,DATOS_[Sexo],$B28,DATOS_[Check Periodo Ref.],"Dentro",DATOS_[Check Nº SC Anualiz],"Sí")</f>
        <v>5</v>
      </c>
      <c r="G28" s="35">
        <f>COUNTIFS(DATOS_[AGRUP. CLAS. PROF.],$B27,DATOS_[Sexo],$B28,DATOS_[Check Periodo Ref.],"Dentro",DATOS_[Check Nº SC Norm y Anualiz],"Sí")</f>
        <v>0</v>
      </c>
      <c r="H28" s="35">
        <f>COUNTIFS(DATOS_[AGRUP. CLAS. PROF.],$B27,DATOS_[Sexo],$B28,DATOS_[Check Periodo Ref.],"Dentro",DATOS_[Check Equiparación],"Sí")</f>
        <v>9</v>
      </c>
      <c r="I28" s="110">
        <f t="array" ref="I28">IFERROR(
MEDIAN(IF(DATOS_[Sexo]=$B28,IF(DATOS_[[AGRUP. CLAS. PROF.]:[AGRUP. CLAS. PROF.]]=$B27,IF(DATOS_[Check Equiparado]="Sí",IF(DATOS_[Check Periodo Ref.]="Dentro",DATOS_[SALARIO BASE Eq],FALSE))))),
0)</f>
        <v>12915.07</v>
      </c>
      <c r="J28" s="111">
        <f t="array" ref="J28">IFERROR(
(MEDIAN((IF(DATOS_[[Sexo]:[Sexo]]=$B28,IF(DATOS_[[AGRUP. CLAS. PROF.]:[AGRUP. CLAS. PROF.]]=$B27,IF(DATOS_[[Check Periodo Ref.]:[Check Periodo Ref.]]="Dentro",IF(DATOS_[[Check Equiparado]:[Check Equiparado]]="Sí",IF(DATOS!AE$5="Sí",(1/DATOS_[[% anualiz]:[% anualiz]]),1)*IF(DATOS!AE$4="Sí",1/DATOS_[[% normaliz]:[% normaliz]],1)*(DATOS_[Conc.Sal.01])))))))),
0)</f>
        <v>84.930000000000291</v>
      </c>
      <c r="K28" s="111">
        <f t="array" ref="K28">IFERROR(
(MEDIAN((IF(DATOS_[[Sexo]:[Sexo]]=$B28,IF(DATOS_[[AGRUP. CLAS. PROF.]:[AGRUP. CLAS. PROF.]]=$B27,IF(DATOS_[[Check Periodo Ref.]:[Check Periodo Ref.]]="Dentro",IF(DATOS_[[Check Equiparado]:[Check Equiparado]]="Sí",IF(DATOS!AF$5="Sí",(1/DATOS_[[% anualiz]:[% anualiz]]),1)*IF(DATOS!AF$4="Sí",1/DATOS_[[% normaliz]:[% normaliz]],1)*(DATOS_[Conc.Sal.02])))))))),
0)</f>
        <v>0</v>
      </c>
      <c r="L28" s="111">
        <f t="array" ref="L28">IFERROR(
(MEDIAN((IF(DATOS_[[Sexo]:[Sexo]]=$B28,IF(DATOS_[[AGRUP. CLAS. PROF.]:[AGRUP. CLAS. PROF.]]=$B27,IF(DATOS_[[Check Periodo Ref.]:[Check Periodo Ref.]]="Dentro",IF(DATOS_[[Check Equiparado]:[Check Equiparado]]="Sí",IF(DATOS!AG$5="Sí",(1/DATOS_[[% anualiz]:[% anualiz]]),1)*IF(DATOS!AG$4="Sí",1/DATOS_[[% normaliz]:[% normaliz]],1)*(DATOS_[Conc.Sal.03])))))))),
0)</f>
        <v>960</v>
      </c>
      <c r="M28" s="111">
        <f t="array" ref="M28">IFERROR(
(MEDIAN((IF(DATOS_[[Sexo]:[Sexo]]=$B28,IF(DATOS_[[AGRUP. CLAS. PROF.]:[AGRUP. CLAS. PROF.]]=$B27,IF(DATOS_[[Check Periodo Ref.]:[Check Periodo Ref.]]="Dentro",IF(DATOS_[[Check Equiparado]:[Check Equiparado]]="Sí",IF(DATOS!AH$5="Sí",(1/DATOS_[[% anualiz]:[% anualiz]]),1)*IF(DATOS!AH$4="Sí",1/DATOS_[[% normaliz]:[% normaliz]],1)*(DATOS_[Conc.Sal.04])))))))),
0)</f>
        <v>0</v>
      </c>
      <c r="N28" s="111">
        <f t="array" ref="N28">IFERROR(
(MEDIAN((IF(DATOS_[[Sexo]:[Sexo]]=$B28,IF(DATOS_[[AGRUP. CLAS. PROF.]:[AGRUP. CLAS. PROF.]]=$B27,IF(DATOS_[[Check Periodo Ref.]:[Check Periodo Ref.]]="Dentro",IF(DATOS_[[Check Equiparado]:[Check Equiparado]]="Sí",IF(DATOS!AI$5="Sí",(1/DATOS_[[% anualiz]:[% anualiz]]),1)*IF(DATOS!AI$4="Sí",1/DATOS_[[% normaliz]:[% normaliz]],1)*(DATOS_[Conc.Sal.05])))))))),
0)</f>
        <v>0</v>
      </c>
      <c r="O28" s="111">
        <f t="array" ref="O28">IFERROR(
(MEDIAN((IF(DATOS_[[Sexo]:[Sexo]]=$B28,IF(DATOS_[[AGRUP. CLAS. PROF.]:[AGRUP. CLAS. PROF.]]=$B27,IF(DATOS_[[Check Periodo Ref.]:[Check Periodo Ref.]]="Dentro",IF(DATOS_[[Check Equiparado]:[Check Equiparado]]="Sí",IF(DATOS!AJ$5="Sí",(1/DATOS_[[% anualiz]:[% anualiz]]),1)*IF(DATOS!AJ$4="Sí",1/DATOS_[[% normaliz]:[% normaliz]],1)*(DATOS_[Conc.Sal.06])))))))),
0)</f>
        <v>0</v>
      </c>
      <c r="P28" s="111"/>
      <c r="Q28" s="111">
        <f t="array" ref="Q28">IFERROR(
(MEDIAN((IF(DATOS_[[Sexo]:[Sexo]]=$B28,IF(DATOS_[[AGRUP. CLAS. PROF.]:[AGRUP. CLAS. PROF.]]=$B27,IF(DATOS_[[Check Periodo Ref.]:[Check Periodo Ref.]]="Dentro",IF(DATOS_[[Check Equiparado]:[Check Equiparado]]="Sí",IF(DATOS!AL$5="Sí",(1/DATOS_[[% anualiz]:[% anualiz]]),1)*IF(DATOS!AL$4="Sí",1/DATOS_[[% normaliz]:[% normaliz]],1)*(DATOS_[Conc.Sal.08])))))))),
0)</f>
        <v>0</v>
      </c>
      <c r="R28" s="111">
        <f t="array" ref="R28">IFERROR(
(MEDIAN((IF(DATOS_[[Sexo]:[Sexo]]=$B28,IF(DATOS_[[AGRUP. CLAS. PROF.]:[AGRUP. CLAS. PROF.]]=$B27,IF(DATOS_[[Check Periodo Ref.]:[Check Periodo Ref.]]="Dentro",IF(DATOS_[[Check Equiparado]:[Check Equiparado]]="Sí",IF(DATOS!AM$5="Sí",(1/DATOS_[[% anualiz]:[% anualiz]]),1)*IF(DATOS!AM$4="Sí",1/DATOS_[[% normaliz]:[% normaliz]],1)*(DATOS_[Conc.Sal.09])))))))),
0)</f>
        <v>0</v>
      </c>
      <c r="S28" s="111">
        <f t="array" ref="S28">IFERROR(
(MEDIAN((IF(DATOS_[[Sexo]:[Sexo]]=$B28,IF(DATOS_[[AGRUP. CLAS. PROF.]:[AGRUP. CLAS. PROF.]]=$B27,IF(DATOS_[[Check Periodo Ref.]:[Check Periodo Ref.]]="Dentro",IF(DATOS_[[Check Equiparado]:[Check Equiparado]]="Sí",IF(DATOS!AN$5="Sí",(1/DATOS_[[% anualiz]:[% anualiz]]),1)*IF(DATOS!AN$4="Sí",1/DATOS_[[% normaliz]:[% normaliz]],1)*(DATOS_[Conc.Sal.10])))))))),
0)</f>
        <v>0</v>
      </c>
      <c r="T28" s="111">
        <f t="array" ref="T28">IFERROR(
(MEDIAN((IF(DATOS_[[Sexo]:[Sexo]]=$B28,IF(DATOS_[[AGRUP. CLAS. PROF.]:[AGRUP. CLAS. PROF.]]=$B27,IF(DATOS_[[Check Periodo Ref.]:[Check Periodo Ref.]]="Dentro",IF(DATOS_[[Check Equiparado]:[Check Equiparado]]="Sí",IF(DATOS!AO$5="Sí",(1/DATOS_[[% anualiz]:[% anualiz]]),1)*IF(DATOS!AO$4="Sí",1/DATOS_[[% normaliz]:[% normaliz]],1)*(DATOS_[Conc.Sal.11])))))))),
0)</f>
        <v>0</v>
      </c>
      <c r="U28" s="111">
        <f t="array" ref="U28">IFERROR(
(MEDIAN((IF(DATOS_[[Sexo]:[Sexo]]=$B28,IF(DATOS_[[AGRUP. CLAS. PROF.]:[AGRUP. CLAS. PROF.]]=$B27,IF(DATOS_[[Check Periodo Ref.]:[Check Periodo Ref.]]="Dentro",IF(DATOS_[[Check Equiparado]:[Check Equiparado]]="Sí",IF(DATOS!AP$5="Sí",(1/DATOS_[[% anualiz]:[% anualiz]]),1)*IF(DATOS!AP$4="Sí",1/DATOS_[[% normaliz]:[% normaliz]],1)*(DATOS_[Conc.Sal.12])))))))),
0)</f>
        <v>0</v>
      </c>
      <c r="V28" s="111">
        <f t="array" ref="V28">IFERROR(
(MEDIAN((IF(DATOS_[[Sexo]:[Sexo]]=$B28,IF(DATOS_[[AGRUP. CLAS. PROF.]:[AGRUP. CLAS. PROF.]]=$B27,IF(DATOS_[[Check Periodo Ref.]:[Check Periodo Ref.]]="Dentro",IF(DATOS_[[Check Equiparado]:[Check Equiparado]]="Sí",IF(DATOS!AQ$5="Sí",(1/DATOS_[[% anualiz]:[% anualiz]]),1)*IF(DATOS!AQ$4="Sí",1/DATOS_[[% normaliz]:[% normaliz]],1)*(DATOS_[Conc.Sal.13])))))))),
0)</f>
        <v>0</v>
      </c>
      <c r="W28" s="111">
        <f t="array" ref="W28">IFERROR(
(MEDIAN((IF(DATOS_[[Sexo]:[Sexo]]=$B28,IF(DATOS_[[AGRUP. CLAS. PROF.]:[AGRUP. CLAS. PROF.]]=$B27,IF(DATOS_[[Check Periodo Ref.]:[Check Periodo Ref.]]="Dentro",IF(DATOS_[[Check Equiparado]:[Check Equiparado]]="Sí",IF(DATOS!AR$5="Sí",(1/DATOS_[[% anualiz]:[% anualiz]]),1)*IF(DATOS!AR$4="Sí",1/DATOS_[[% normaliz]:[% normaliz]],1)*(DATOS_[Conc.Sal.14])))))))),
0)</f>
        <v>0</v>
      </c>
      <c r="X28" s="111">
        <f t="array" ref="X28">IFERROR(
(MEDIAN((IF(DATOS_[[Sexo]:[Sexo]]=$B28,IF(DATOS_[[AGRUP. CLAS. PROF.]:[AGRUP. CLAS. PROF.]]=$B27,IF(DATOS_[[Check Periodo Ref.]:[Check Periodo Ref.]]="Dentro",IF(DATOS_[[Check Equiparado]:[Check Equiparado]]="Sí",IF(DATOS!AS$5="Sí",(1/DATOS_[[% anualiz]:[% anualiz]]),1)*IF(DATOS!AS$4="Sí",1/DATOS_[[% normaliz]:[% normaliz]],1)*(DATOS_[Conc.Sal.15])))))))),
0)</f>
        <v>0</v>
      </c>
      <c r="Y28" s="111">
        <f t="array" ref="Y28">IFERROR(
(MEDIAN((IF(DATOS_[[Sexo]:[Sexo]]=$B28,IF(DATOS_[[AGRUP. CLAS. PROF.]:[AGRUP. CLAS. PROF.]]=$B27,IF(DATOS_[[Check Periodo Ref.]:[Check Periodo Ref.]]="Dentro",IF(DATOS_[[Check Equiparado]:[Check Equiparado]]="Sí",IF(DATOS!AT$5="Sí",(1/DATOS_[[% anualiz]:[% anualiz]]),1)*IF(DATOS!AT$4="Sí",1/DATOS_[[% normaliz]:[% normaliz]],1)*(DATOS_[Conc.Sal.16])))))))),
0)</f>
        <v>0</v>
      </c>
      <c r="Z28" s="111">
        <f t="array" ref="Z28">IFERROR(
(MEDIAN((IF(DATOS_[[Sexo]:[Sexo]]=$B28,IF(DATOS_[[AGRUP. CLAS. PROF.]:[AGRUP. CLAS. PROF.]]=$B27,IF(DATOS_[[Check Periodo Ref.]:[Check Periodo Ref.]]="Dentro",IF(DATOS_[[Check Equiparado]:[Check Equiparado]]="Sí",IF(DATOS!AU$5="Sí",(1/DATOS_[[% anualiz]:[% anualiz]]),1)*IF(DATOS!AU$4="Sí",1/DATOS_[[% normaliz]:[% normaliz]],1)*(DATOS_[Conc.Sal.17])))))))),
0)</f>
        <v>0</v>
      </c>
      <c r="AA28" s="111">
        <f t="array" ref="AA28">IFERROR(
(MEDIAN((IF(DATOS_[[Sexo]:[Sexo]]=$B28,IF(DATOS_[[AGRUP. CLAS. PROF.]:[AGRUP. CLAS. PROF.]]=$B27,IF(DATOS_[[Check Periodo Ref.]:[Check Periodo Ref.]]="Dentro",IF(DATOS_[[Check Equiparado]:[Check Equiparado]]="Sí",IF(DATOS!AV$5="Sí",(1/DATOS_[[% anualiz]:[% anualiz]]),1)*IF(DATOS!AV$4="Sí",1/DATOS_[[% normaliz]:[% normaliz]],1)*(DATOS_[Conc.Sal.18])))))))),
0)</f>
        <v>0</v>
      </c>
      <c r="AB28" s="111">
        <f t="array" ref="AB28">IFERROR(
(MEDIAN((IF(DATOS_[[Sexo]:[Sexo]]=$B28,IF(DATOS_[[AGRUP. CLAS. PROF.]:[AGRUP. CLAS. PROF.]]=$B27,IF(DATOS_[[Check Periodo Ref.]:[Check Periodo Ref.]]="Dentro",IF(DATOS_[[Check Equiparado]:[Check Equiparado]]="Sí",IF(DATOS!AW$5="Sí",(1/DATOS_[[% anualiz]:[% anualiz]]),1)*IF(DATOS!AW$4="Sí",1/DATOS_[[% normaliz]:[% normaliz]],1)*(DATOS_[Conc.Sal.19])))))))),
0)</f>
        <v>0</v>
      </c>
      <c r="AC28" s="111">
        <f t="array" ref="AC28">IFERROR(
(MEDIAN((IF(DATOS_[[Sexo]:[Sexo]]=$B28,IF(DATOS_[[AGRUP. CLAS. PROF.]:[AGRUP. CLAS. PROF.]]=$B27,IF(DATOS_[[Check Periodo Ref.]:[Check Periodo Ref.]]="Dentro",IF(DATOS_[[Check Equiparado]:[Check Equiparado]]="Sí",IF(DATOS!AX$5="Sí",(1/DATOS_[[% anualiz]:[% anualiz]]),1)*IF(DATOS!AX$4="Sí",1/DATOS_[[% normaliz]:[% normaliz]],1)*(DATOS_[Conc.Sal.20])))))))),
0)</f>
        <v>0</v>
      </c>
      <c r="AD28" s="111">
        <f t="array" ref="AD28">IFERROR(
(MEDIAN((IF(DATOS_[[Sexo]:[Sexo]]=$B28,IF(DATOS_[[AGRUP. CLAS. PROF.]:[AGRUP. CLAS. PROF.]]=$B27,IF(DATOS_[[Check Periodo Ref.]:[Check Periodo Ref.]]="Dentro",IF(DATOS_[[Check Equiparado]:[Check Equiparado]]="Sí",IF(DATOS!AY$5="Sí",(1/DATOS_[[% anualiz]:[% anualiz]]),1)*IF(DATOS!AY$4="Sí",1/DATOS_[[% normaliz]:[% normaliz]],1)*(DATOS_[Conc.Sal.21])))))))),
0)</f>
        <v>0</v>
      </c>
      <c r="AE28" s="111">
        <f t="array" ref="AE28">IFERROR(
(MEDIAN((IF(DATOS_[[Sexo]:[Sexo]]=$B28,IF(DATOS_[[AGRUP. CLAS. PROF.]:[AGRUP. CLAS. PROF.]]=$B27,IF(DATOS_[[Check Periodo Ref.]:[Check Periodo Ref.]]="Dentro",IF(DATOS_[[Check Equiparado]:[Check Equiparado]]="Sí",IF(DATOS!AZ$5="Sí",(1/DATOS_[[% anualiz]:[% anualiz]]),1)*IF(DATOS!AZ$4="Sí",1/DATOS_[[% normaliz]:[% normaliz]],1)*(DATOS_[Conc.Sal.22])))))))),
0)</f>
        <v>0</v>
      </c>
      <c r="AF28" s="111">
        <f t="array" ref="AF28">IFERROR(
(MEDIAN((IF(DATOS_[[Sexo]:[Sexo]]=$B28,IF(DATOS_[[AGRUP. CLAS. PROF.]:[AGRUP. CLAS. PROF.]]=$B27,IF(DATOS_[[Check Periodo Ref.]:[Check Periodo Ref.]]="Dentro",IF(DATOS_[[Check Equiparado]:[Check Equiparado]]="Sí",IF(DATOS!BA$5="Sí",(1/DATOS_[[% anualiz]:[% anualiz]]),1)*IF(DATOS!BA$4="Sí",1/DATOS_[[% normaliz]:[% normaliz]],1)*(DATOS_[Conc.Sal.23])))))))),
0)</f>
        <v>0</v>
      </c>
      <c r="AG28" s="111">
        <f t="array" ref="AG28">IFERROR(
(MEDIAN((IF(DATOS_[[Sexo]:[Sexo]]=$B28,IF(DATOS_[[AGRUP. CLAS. PROF.]:[AGRUP. CLAS. PROF.]]=$B27,IF(DATOS_[[Check Periodo Ref.]:[Check Periodo Ref.]]="Dentro",IF(DATOS_[[Check Equiparado]:[Check Equiparado]]="Sí",IF(DATOS!BB$5="Sí",(1/DATOS_[[% anualiz]:[% anualiz]]),1)*IF(DATOS!BB$4="Sí",1/DATOS_[[% normaliz]:[% normaliz]],1)*(DATOS_[Conc.Sal.24])))))))),
0)</f>
        <v>0</v>
      </c>
      <c r="AH28" s="111">
        <f t="array" ref="AH28">IFERROR(
(MEDIAN((IF(DATOS_[[Sexo]:[Sexo]]=$B28,IF(DATOS_[[AGRUP. CLAS. PROF.]:[AGRUP. CLAS. PROF.]]=$B27,IF(DATOS_[[Check Periodo Ref.]:[Check Periodo Ref.]]="Dentro",IF(DATOS_[[Check Equiparado]:[Check Equiparado]]="Sí",IF(DATOS!BC$5="Sí",(1/DATOS_[[% anualiz]:[% anualiz]]),1)*IF(DATOS!BC$4="Sí",1/DATOS_[[% normaliz]:[% normaliz]],1)*(DATOS_[Conc.Sal.25])))))))),
0)</f>
        <v>0</v>
      </c>
      <c r="AI28" s="111">
        <f t="array" ref="AI28">IFERROR(
(MEDIAN((IF(DATOS_[[Sexo]:[Sexo]]=$B28,IF(DATOS_[[AGRUP. CLAS. PROF.]:[AGRUP. CLAS. PROF.]]=$B27,IF(DATOS_[[Check Periodo Ref.]:[Check Periodo Ref.]]="Dentro",IF(DATOS_[[Check Equiparado]:[Check Equiparado]]="Sí",IF(DATOS!BD$5="Sí",(1/DATOS_[[% anualiz]:[% anualiz]]),1)*IF(DATOS!BD$4="Sí",1/DATOS_[[% normaliz]:[% normaliz]],1)*(DATOS_[Conc.Sal.26])))))))),
0)</f>
        <v>0</v>
      </c>
      <c r="AJ28" s="111">
        <f t="array" ref="AJ28">IFERROR(
(MEDIAN((IF(DATOS_[[Sexo]:[Sexo]]=$B28,IF(DATOS_[[AGRUP. CLAS. PROF.]:[AGRUP. CLAS. PROF.]]=$B27,IF(DATOS_[[Check Periodo Ref.]:[Check Periodo Ref.]]="Dentro",IF(DATOS_[[Check Equiparado]:[Check Equiparado]]="Sí",IF(DATOS!BE$5="Sí",(1/DATOS_[[% anualiz]:[% anualiz]]),1)*IF(DATOS!BE$4="Sí",1/DATOS_[[% normaliz]:[% normaliz]],1)*(DATOS_[Conc.Sal.27])))))))),
0)</f>
        <v>0</v>
      </c>
      <c r="AK28" s="111">
        <f t="array" ref="AK28">IFERROR(
(MEDIAN((IF(DATOS_[[Sexo]:[Sexo]]=$B28,IF(DATOS_[[AGRUP. CLAS. PROF.]:[AGRUP. CLAS. PROF.]]=$B27,IF(DATOS_[[Check Periodo Ref.]:[Check Periodo Ref.]]="Dentro",IF(DATOS_[[Check Equiparado]:[Check Equiparado]]="Sí",IF(DATOS!BF$5="Sí",(1/DATOS_[[% anualiz]:[% anualiz]]),1)*IF(DATOS!BF$4="Sí",1/DATOS_[[% normaliz]:[% normaliz]],1)*(DATOS_[Conc.Sal.28])))))))),
0)</f>
        <v>0</v>
      </c>
      <c r="AL28" s="111">
        <f t="array" ref="AL28">IFERROR(
(MEDIAN((IF(DATOS_[[Sexo]:[Sexo]]=$B28,IF(DATOS_[[AGRUP. CLAS. PROF.]:[AGRUP. CLAS. PROF.]]=$B27,IF(DATOS_[[Check Periodo Ref.]:[Check Periodo Ref.]]="Dentro",IF(DATOS_[[Check Equiparado]:[Check Equiparado]]="Sí",IF(DATOS!BG$5="Sí",(1/DATOS_[[% anualiz]:[% anualiz]]),1)*IF(DATOS!BG$4="Sí",1/DATOS_[[% normaliz]:[% normaliz]],1)*(DATOS_[Conc.Sal.29])))))))),
0)</f>
        <v>0</v>
      </c>
      <c r="AM28" s="111">
        <f t="array" ref="AM28">IFERROR(
(MEDIAN((IF(DATOS_[[Sexo]:[Sexo]]=$B28,IF(DATOS_[[AGRUP. CLAS. PROF.]:[AGRUP. CLAS. PROF.]]=$B27,IF(DATOS_[[Check Periodo Ref.]:[Check Periodo Ref.]]="Dentro",IF(DATOS_[[Check Equiparado]:[Check Equiparado]]="Sí",IF(DATOS!BH$5="Sí",(1/DATOS_[[% anualiz]:[% anualiz]]),1)*IF(DATOS!BH$4="Sí",1/DATOS_[[% normaliz]:[% normaliz]],1)*(DATOS_[Conc.Sal.30])))))))),
0)</f>
        <v>0</v>
      </c>
      <c r="AN28" s="112">
        <f t="array" ref="AN28">IFERROR(
MEDIAN(IF(DATOS_[Sexo]=$B28,IF(DATOS_[[AGRUP. CLAS. PROF.]:[AGRUP. CLAS. PROF.]]=$B27,IF(DATOS_[Check Equiparado]="Sí",IF(DATOS_[Check Periodo Ref.]="Dentro",DATOS_[Tot COMPL.SAL Eq],FALSE))))),
0)</f>
        <v>1124.9300000000003</v>
      </c>
      <c r="AO28" s="113">
        <f t="array" ref="AO28">IFERROR(
MEDIAN(IF(DATOS_[Sexo]=$B28,IF(DATOS_[[AGRUP. CLAS. PROF.]:[AGRUP. CLAS. PROF.]]=$B27,IF(DATOS_[Check Equiparado]="Sí",IF(DATOS_[Check Periodo Ref.]="Dentro",DATOS_[TOTAL SALARIO Eq],FALSE))))),
0)</f>
        <v>14040</v>
      </c>
      <c r="AP28" s="114">
        <f t="array" ref="AP28">IFERROR(
(MEDIAN((IF(DATOS_[[Sexo]:[Sexo]]=$B28,IF(DATOS_[[AGRUP. CLAS. PROF.]:[AGRUP. CLAS. PROF.]]=$B27,IF(DATOS_[[Check Periodo Ref.]:[Check Periodo Ref.]]="Dentro",IF(DATOS_[[Check Equiparado]:[Check Equiparado]]="Sí",IF(DATOS!BI$5="Sí",(1/DATOS_[[% anualiz]:[% anualiz]]),1)*IF(DATOS!BI$4="Sí",1/DATOS_[[% normaliz]:[% normaliz]],1)*(DATOS_[C.Extra.01])))))))),
0)</f>
        <v>0</v>
      </c>
      <c r="AQ28" s="114">
        <f t="array" ref="AQ28">IFERROR(
(MEDIAN((IF(DATOS_[[Sexo]:[Sexo]]=$B28,IF(DATOS_[[AGRUP. CLAS. PROF.]:[AGRUP. CLAS. PROF.]]=$B27,IF(DATOS_[[Check Periodo Ref.]:[Check Periodo Ref.]]="Dentro",IF(DATOS_[[Check Equiparado]:[Check Equiparado]]="Sí",IF(DATOS!BJ$5="Sí",(1/DATOS_[[% anualiz]:[% anualiz]]),1)*IF(DATOS!BJ$4="Sí",1/DATOS_[[% normaliz]:[% normaliz]],1)*(DATOS_[C.Extra.02])))))))),
0)</f>
        <v>0</v>
      </c>
      <c r="AR28" s="114">
        <f t="array" ref="AR28">IFERROR(
(MEDIAN((IF(DATOS_[[Sexo]:[Sexo]]=$B28,IF(DATOS_[[AGRUP. CLAS. PROF.]:[AGRUP. CLAS. PROF.]]=$B27,IF(DATOS_[[Check Periodo Ref.]:[Check Periodo Ref.]]="Dentro",IF(DATOS_[[Check Equiparado]:[Check Equiparado]]="Sí",IF(DATOS!BK$5="Sí",(1/DATOS_[[% anualiz]:[% anualiz]]),1)*IF(DATOS!BK$4="Sí",1/DATOS_[[% normaliz]:[% normaliz]],1)*(DATOS_[C.Extra.03])))))))),
0)</f>
        <v>0</v>
      </c>
      <c r="AS28" s="114">
        <f t="array" ref="AS28">IFERROR(
(MEDIAN((IF(DATOS_[[Sexo]:[Sexo]]=$B28,IF(DATOS_[[AGRUP. CLAS. PROF.]:[AGRUP. CLAS. PROF.]]=$B27,IF(DATOS_[[Check Periodo Ref.]:[Check Periodo Ref.]]="Dentro",IF(DATOS_[[Check Equiparado]:[Check Equiparado]]="Sí",IF(DATOS!BL$5="Sí",(1/DATOS_[[% anualiz]:[% anualiz]]),1)*IF(DATOS!BL$4="Sí",1/DATOS_[[% normaliz]:[% normaliz]],1)*(DATOS_[C.Extra.04])))))))),
0)</f>
        <v>0</v>
      </c>
      <c r="AT28" s="114">
        <f t="array" ref="AT28">IFERROR(
(MEDIAN((IF(DATOS_[[Sexo]:[Sexo]]=$B28,IF(DATOS_[[AGRUP. CLAS. PROF.]:[AGRUP. CLAS. PROF.]]=$B27,IF(DATOS_[[Check Periodo Ref.]:[Check Periodo Ref.]]="Dentro",IF(DATOS_[[Check Equiparado]:[Check Equiparado]]="Sí",IF(DATOS!BM$5="Sí",(1/DATOS_[[% anualiz]:[% anualiz]]),1)*IF(DATOS!BM$4="Sí",1/DATOS_[[% normaliz]:[% normaliz]],1)*(DATOS_[C.Extra.05])))))))),
0)</f>
        <v>0</v>
      </c>
      <c r="AU28" s="115">
        <f t="array" ref="AU28">IFERROR(
MEDIAN(IF(DATOS_[Sexo]=$B28,IF(DATOS_[[AGRUP. CLAS. PROF.]:[AGRUP. CLAS. PROF.]]=$B27,IF(DATOS_[Check Equiparado]="Sí",IF(DATOS_[Check Periodo Ref.]="Dentro",DATOS_[Tot Extrasalarial Eq],FALSE))))),
0)</f>
        <v>0</v>
      </c>
      <c r="AV28" s="116">
        <f t="array" ref="AV28">IFERROR(
MEDIAN(IF(DATOS_[Sexo]=$B28,IF(DATOS_[[AGRUP. CLAS. PROF.]:[AGRUP. CLAS. PROF.]]=$B27,IF(DATOS_[Check Equiparado]="Sí",IF(DATOS_[Check Periodo Ref.]="Dentro",DATOS_[TOTAL Retrib Eq],FALSE))))),
0)</f>
        <v>14040</v>
      </c>
    </row>
    <row r="29" spans="1:48" x14ac:dyDescent="0.3">
      <c r="A29" s="42" t="str">
        <f t="shared" ref="A29" si="22">+A28</f>
        <v/>
      </c>
      <c r="B29" s="86" t="s">
        <v>163</v>
      </c>
      <c r="C29" s="33">
        <f t="array" ref="C29">SUM(IF($B29=DATOS_[Sexo],
IF($B27=DATOS_[AGRUP. CLAS. PROF.],
IF("Dentro"=DATOS_[Check Periodo Ref.],
1/(COUNTIFS(DATOS_[Sexo],$B29,DATOS_[AGRUP. CLAS. PROF.],$B27,DATOS_[Check Periodo Ref.],"Dentro",DATOS_[id],DATOS_[id]))))))</f>
        <v>49</v>
      </c>
      <c r="D29" s="35">
        <f>COUNTIFS(DATOS_[AGRUP. CLAS. PROF.],$B27,DATOS_[Sexo],$B29,DATOS_[Check Periodo Ref.],"Dentro")</f>
        <v>55</v>
      </c>
      <c r="E29" s="35">
        <f>COUNTIFS(DATOS_[AGRUP. CLAS. PROF.],$B27,DATOS_[Sexo],$B29,DATOS_[Check Periodo Ref.],"Dentro",DATOS_[Check Nº SC Norm],"Sí")</f>
        <v>12</v>
      </c>
      <c r="F29" s="35">
        <f>COUNTIFS(DATOS_[AGRUP. CLAS. PROF.],$B27,DATOS_[Sexo],$B29,DATOS_[Check Periodo Ref.],"Dentro",DATOS_[Check Nº SC Anualiz],"Sí")</f>
        <v>6</v>
      </c>
      <c r="G29" s="35">
        <f>COUNTIFS(DATOS_[AGRUP. CLAS. PROF.],$B27,DATOS_[Sexo],$B29,DATOS_[Check Periodo Ref.],"Dentro",DATOS_[Check Nº SC Norm y Anualiz],"Sí")</f>
        <v>0</v>
      </c>
      <c r="H29" s="35">
        <f>COUNTIFS(DATOS_[AGRUP. CLAS. PROF.],$B27,DATOS_[Sexo],$B29,DATOS_[Check Periodo Ref.],"Dentro",DATOS_[Check Equiparación],"Sí")</f>
        <v>18</v>
      </c>
      <c r="I29" s="110" cm="1">
        <f t="array" ref="I29">IFERROR(
MEDIAN(IF(DATOS_[Sexo]=$B29,IF(DATOS_[[AGRUP. CLAS. PROF.]:[AGRUP. CLAS. PROF.]]=$B27,IF(DATOS_[Check Equiparado]="Sí",IF(DATOS_[Check Periodo Ref.]="Dentro",DATOS_[SALARIO BASE Eq],FALSE))))),
0)</f>
        <v>12915.07</v>
      </c>
      <c r="J29" s="111">
        <f t="array" ref="J29">IFERROR(
(MEDIAN((IF(DATOS_[[Sexo]:[Sexo]]=$B29,IF(DATOS_[[AGRUP. CLAS. PROF.]:[AGRUP. CLAS. PROF.]]=$B27,IF(DATOS_[[Check Periodo Ref.]:[Check Periodo Ref.]]="Dentro",IF(DATOS_[[Check Equiparado]:[Check Equiparado]]="Sí",IF(DATOS!AE$5="Sí",(1/DATOS_[[% anualiz]:[% anualiz]]),1)*IF(DATOS!AE$4="Sí",1/DATOS_[[% normaliz]:[% normaliz]],1)*(DATOS_[Conc.Sal.01])))))))),
0)</f>
        <v>84.930000000000291</v>
      </c>
      <c r="K29" s="111">
        <f t="array" ref="K29">IFERROR(
(MEDIAN((IF(DATOS_[[Sexo]:[Sexo]]=$B29,IF(DATOS_[[AGRUP. CLAS. PROF.]:[AGRUP. CLAS. PROF.]]=$B27,IF(DATOS_[[Check Periodo Ref.]:[Check Periodo Ref.]]="Dentro",IF(DATOS_[[Check Equiparado]:[Check Equiparado]]="Sí",IF(DATOS!AF$5="Sí",(1/DATOS_[[% anualiz]:[% anualiz]]),1)*IF(DATOS!AF$4="Sí",1/DATOS_[[% normaliz]:[% normaliz]],1)*(DATOS_[Conc.Sal.02])))))))),
0)</f>
        <v>0</v>
      </c>
      <c r="L29" s="111">
        <f t="array" ref="L29">IFERROR(
(MEDIAN((IF(DATOS_[[Sexo]:[Sexo]]=$B29,IF(DATOS_[[AGRUP. CLAS. PROF.]:[AGRUP. CLAS. PROF.]]=$B27,IF(DATOS_[[Check Periodo Ref.]:[Check Periodo Ref.]]="Dentro",IF(DATOS_[[Check Equiparado]:[Check Equiparado]]="Sí",IF(DATOS!AG$5="Sí",(1/DATOS_[[% anualiz]:[% anualiz]]),1)*IF(DATOS!AG$4="Sí",1/DATOS_[[% normaliz]:[% normaliz]],1)*(DATOS_[Conc.Sal.03])))))))),
0)</f>
        <v>960</v>
      </c>
      <c r="M29" s="111">
        <f t="array" ref="M29">IFERROR(
(MEDIAN((IF(DATOS_[[Sexo]:[Sexo]]=$B29,IF(DATOS_[[AGRUP. CLAS. PROF.]:[AGRUP. CLAS. PROF.]]=$B27,IF(DATOS_[[Check Periodo Ref.]:[Check Periodo Ref.]]="Dentro",IF(DATOS_[[Check Equiparado]:[Check Equiparado]]="Sí",IF(DATOS!AH$5="Sí",(1/DATOS_[[% anualiz]:[% anualiz]]),1)*IF(DATOS!AH$4="Sí",1/DATOS_[[% normaliz]:[% normaliz]],1)*(DATOS_[Conc.Sal.04])))))))),
0)</f>
        <v>0</v>
      </c>
      <c r="N29" s="111">
        <f t="array" ref="N29">IFERROR(
(MEDIAN((IF(DATOS_[[Sexo]:[Sexo]]=$B29,IF(DATOS_[[AGRUP. CLAS. PROF.]:[AGRUP. CLAS. PROF.]]=$B27,IF(DATOS_[[Check Periodo Ref.]:[Check Periodo Ref.]]="Dentro",IF(DATOS_[[Check Equiparado]:[Check Equiparado]]="Sí",IF(DATOS!AI$5="Sí",(1/DATOS_[[% anualiz]:[% anualiz]]),1)*IF(DATOS!AI$4="Sí",1/DATOS_[[% normaliz]:[% normaliz]],1)*(DATOS_[Conc.Sal.05])))))))),
0)</f>
        <v>0</v>
      </c>
      <c r="O29" s="111">
        <f t="array" ref="O29">IFERROR(
(MEDIAN((IF(DATOS_[[Sexo]:[Sexo]]=$B29,IF(DATOS_[[AGRUP. CLAS. PROF.]:[AGRUP. CLAS. PROF.]]=$B27,IF(DATOS_[[Check Periodo Ref.]:[Check Periodo Ref.]]="Dentro",IF(DATOS_[[Check Equiparado]:[Check Equiparado]]="Sí",IF(DATOS!AJ$5="Sí",(1/DATOS_[[% anualiz]:[% anualiz]]),1)*IF(DATOS!AJ$4="Sí",1/DATOS_[[% normaliz]:[% normaliz]],1)*(DATOS_[Conc.Sal.06])))))))),
0)</f>
        <v>0</v>
      </c>
      <c r="P29" s="111">
        <f t="array" ref="P29">IFERROR(
(MEDIAN((IF(DATOS_[[Sexo]:[Sexo]]=$B29,IF(DATOS_[[AGRUP. CLAS. PROF.]:[AGRUP. CLAS. PROF.]]=$B27,IF(DATOS_[[Check Periodo Ref.]:[Check Periodo Ref.]]="Dentro",IF(DATOS_[[Check Equiparado]:[Check Equiparado]]="Sí",IF(DATOS!AK$5="Sí",(1/DATOS_[[% anualiz]:[% anualiz]]),1)*IF(DATOS!AK$4="Sí",1/DATOS_[[% normaliz]:[% normaliz]],1)*(DATOS_[Conc.Sal.07])))))))),
0)</f>
        <v>80</v>
      </c>
      <c r="Q29" s="111">
        <f t="array" ref="Q29">IFERROR(
(MEDIAN((IF(DATOS_[[Sexo]:[Sexo]]=$B29,IF(DATOS_[[AGRUP. CLAS. PROF.]:[AGRUP. CLAS. PROF.]]=$B27,IF(DATOS_[[Check Periodo Ref.]:[Check Periodo Ref.]]="Dentro",IF(DATOS_[[Check Equiparado]:[Check Equiparado]]="Sí",IF(DATOS!AL$5="Sí",(1/DATOS_[[% anualiz]:[% anualiz]]),1)*IF(DATOS!AL$4="Sí",1/DATOS_[[% normaliz]:[% normaliz]],1)*(DATOS_[Conc.Sal.08])))))))),
0)</f>
        <v>0</v>
      </c>
      <c r="R29" s="111">
        <f t="array" ref="R29">IFERROR(
(MEDIAN((IF(DATOS_[[Sexo]:[Sexo]]=$B29,IF(DATOS_[[AGRUP. CLAS. PROF.]:[AGRUP. CLAS. PROF.]]=$B27,IF(DATOS_[[Check Periodo Ref.]:[Check Periodo Ref.]]="Dentro",IF(DATOS_[[Check Equiparado]:[Check Equiparado]]="Sí",IF(DATOS!AM$5="Sí",(1/DATOS_[[% anualiz]:[% anualiz]]),1)*IF(DATOS!AM$4="Sí",1/DATOS_[[% normaliz]:[% normaliz]],1)*(DATOS_[Conc.Sal.09])))))))),
0)</f>
        <v>0</v>
      </c>
      <c r="S29" s="111">
        <f t="array" ref="S29">IFERROR(
(MEDIAN((IF(DATOS_[[Sexo]:[Sexo]]=$B29,IF(DATOS_[[AGRUP. CLAS. PROF.]:[AGRUP. CLAS. PROF.]]=$B27,IF(DATOS_[[Check Periodo Ref.]:[Check Periodo Ref.]]="Dentro",IF(DATOS_[[Check Equiparado]:[Check Equiparado]]="Sí",IF(DATOS!AN$5="Sí",(1/DATOS_[[% anualiz]:[% anualiz]]),1)*IF(DATOS!AN$4="Sí",1/DATOS_[[% normaliz]:[% normaliz]],1)*(DATOS_[Conc.Sal.10])))))))),
0)</f>
        <v>0</v>
      </c>
      <c r="T29" s="111">
        <f t="array" ref="T29">IFERROR(
(MEDIAN((IF(DATOS_[[Sexo]:[Sexo]]=$B29,IF(DATOS_[[AGRUP. CLAS. PROF.]:[AGRUP. CLAS. PROF.]]=$B27,IF(DATOS_[[Check Periodo Ref.]:[Check Periodo Ref.]]="Dentro",IF(DATOS_[[Check Equiparado]:[Check Equiparado]]="Sí",IF(DATOS!AO$5="Sí",(1/DATOS_[[% anualiz]:[% anualiz]]),1)*IF(DATOS!AO$4="Sí",1/DATOS_[[% normaliz]:[% normaliz]],1)*(DATOS_[Conc.Sal.11])))))))),
0)</f>
        <v>0</v>
      </c>
      <c r="U29" s="111">
        <f t="array" ref="U29">IFERROR(
(MEDIAN((IF(DATOS_[[Sexo]:[Sexo]]=$B29,IF(DATOS_[[AGRUP. CLAS. PROF.]:[AGRUP. CLAS. PROF.]]=$B27,IF(DATOS_[[Check Periodo Ref.]:[Check Periodo Ref.]]="Dentro",IF(DATOS_[[Check Equiparado]:[Check Equiparado]]="Sí",IF(DATOS!AP$5="Sí",(1/DATOS_[[% anualiz]:[% anualiz]]),1)*IF(DATOS!AP$4="Sí",1/DATOS_[[% normaliz]:[% normaliz]],1)*(DATOS_[Conc.Sal.12])))))))),
0)</f>
        <v>0</v>
      </c>
      <c r="V29" s="111">
        <f t="array" ref="V29">IFERROR(
(MEDIAN((IF(DATOS_[[Sexo]:[Sexo]]=$B29,IF(DATOS_[[AGRUP. CLAS. PROF.]:[AGRUP. CLAS. PROF.]]=$B27,IF(DATOS_[[Check Periodo Ref.]:[Check Periodo Ref.]]="Dentro",IF(DATOS_[[Check Equiparado]:[Check Equiparado]]="Sí",IF(DATOS!AQ$5="Sí",(1/DATOS_[[% anualiz]:[% anualiz]]),1)*IF(DATOS!AQ$4="Sí",1/DATOS_[[% normaliz]:[% normaliz]],1)*(DATOS_[Conc.Sal.13])))))))),
0)</f>
        <v>0</v>
      </c>
      <c r="W29" s="111">
        <f t="array" ref="W29">IFERROR(
(MEDIAN((IF(DATOS_[[Sexo]:[Sexo]]=$B29,IF(DATOS_[[AGRUP. CLAS. PROF.]:[AGRUP. CLAS. PROF.]]=$B27,IF(DATOS_[[Check Periodo Ref.]:[Check Periodo Ref.]]="Dentro",IF(DATOS_[[Check Equiparado]:[Check Equiparado]]="Sí",IF(DATOS!AR$5="Sí",(1/DATOS_[[% anualiz]:[% anualiz]]),1)*IF(DATOS!AR$4="Sí",1/DATOS_[[% normaliz]:[% normaliz]],1)*(DATOS_[Conc.Sal.14])))))))),
0)</f>
        <v>0</v>
      </c>
      <c r="X29" s="111">
        <f t="array" ref="X29">IFERROR(
(MEDIAN((IF(DATOS_[[Sexo]:[Sexo]]=$B29,IF(DATOS_[[AGRUP. CLAS. PROF.]:[AGRUP. CLAS. PROF.]]=$B27,IF(DATOS_[[Check Periodo Ref.]:[Check Periodo Ref.]]="Dentro",IF(DATOS_[[Check Equiparado]:[Check Equiparado]]="Sí",IF(DATOS!AS$5="Sí",(1/DATOS_[[% anualiz]:[% anualiz]]),1)*IF(DATOS!AS$4="Sí",1/DATOS_[[% normaliz]:[% normaliz]],1)*(DATOS_[Conc.Sal.15])))))))),
0)</f>
        <v>0</v>
      </c>
      <c r="Y29" s="111">
        <f t="array" ref="Y29">IFERROR(
(MEDIAN((IF(DATOS_[[Sexo]:[Sexo]]=$B29,IF(DATOS_[[AGRUP. CLAS. PROF.]:[AGRUP. CLAS. PROF.]]=$B27,IF(DATOS_[[Check Periodo Ref.]:[Check Periodo Ref.]]="Dentro",IF(DATOS_[[Check Equiparado]:[Check Equiparado]]="Sí",IF(DATOS!AT$5="Sí",(1/DATOS_[[% anualiz]:[% anualiz]]),1)*IF(DATOS!AT$4="Sí",1/DATOS_[[% normaliz]:[% normaliz]],1)*(DATOS_[Conc.Sal.16])))))))),
0)</f>
        <v>0</v>
      </c>
      <c r="Z29" s="111">
        <f t="array" ref="Z29">IFERROR(
(MEDIAN((IF(DATOS_[[Sexo]:[Sexo]]=$B29,IF(DATOS_[[AGRUP. CLAS. PROF.]:[AGRUP. CLAS. PROF.]]=$B27,IF(DATOS_[[Check Periodo Ref.]:[Check Periodo Ref.]]="Dentro",IF(DATOS_[[Check Equiparado]:[Check Equiparado]]="Sí",IF(DATOS!AU$5="Sí",(1/DATOS_[[% anualiz]:[% anualiz]]),1)*IF(DATOS!AU$4="Sí",1/DATOS_[[% normaliz]:[% normaliz]],1)*(DATOS_[Conc.Sal.17])))))))),
0)</f>
        <v>0</v>
      </c>
      <c r="AA29" s="111">
        <f t="array" ref="AA29">IFERROR(
(MEDIAN((IF(DATOS_[[Sexo]:[Sexo]]=$B29,IF(DATOS_[[AGRUP. CLAS. PROF.]:[AGRUP. CLAS. PROF.]]=$B27,IF(DATOS_[[Check Periodo Ref.]:[Check Periodo Ref.]]="Dentro",IF(DATOS_[[Check Equiparado]:[Check Equiparado]]="Sí",IF(DATOS!AV$5="Sí",(1/DATOS_[[% anualiz]:[% anualiz]]),1)*IF(DATOS!AV$4="Sí",1/DATOS_[[% normaliz]:[% normaliz]],1)*(DATOS_[Conc.Sal.18])))))))),
0)</f>
        <v>0</v>
      </c>
      <c r="AB29" s="111">
        <f t="array" ref="AB29">IFERROR(
(MEDIAN((IF(DATOS_[[Sexo]:[Sexo]]=$B29,IF(DATOS_[[AGRUP. CLAS. PROF.]:[AGRUP. CLAS. PROF.]]=$B27,IF(DATOS_[[Check Periodo Ref.]:[Check Periodo Ref.]]="Dentro",IF(DATOS_[[Check Equiparado]:[Check Equiparado]]="Sí",IF(DATOS!AW$5="Sí",(1/DATOS_[[% anualiz]:[% anualiz]]),1)*IF(DATOS!AW$4="Sí",1/DATOS_[[% normaliz]:[% normaliz]],1)*(DATOS_[Conc.Sal.19])))))))),
0)</f>
        <v>0</v>
      </c>
      <c r="AC29" s="111">
        <f t="array" ref="AC29">IFERROR(
(MEDIAN((IF(DATOS_[[Sexo]:[Sexo]]=$B29,IF(DATOS_[[AGRUP. CLAS. PROF.]:[AGRUP. CLAS. PROF.]]=$B27,IF(DATOS_[[Check Periodo Ref.]:[Check Periodo Ref.]]="Dentro",IF(DATOS_[[Check Equiparado]:[Check Equiparado]]="Sí",IF(DATOS!AX$5="Sí",(1/DATOS_[[% anualiz]:[% anualiz]]),1)*IF(DATOS!AX$4="Sí",1/DATOS_[[% normaliz]:[% normaliz]],1)*(DATOS_[Conc.Sal.20])))))))),
0)</f>
        <v>0</v>
      </c>
      <c r="AD29" s="111">
        <f t="array" ref="AD29">IFERROR(
(MEDIAN((IF(DATOS_[[Sexo]:[Sexo]]=$B29,IF(DATOS_[[AGRUP. CLAS. PROF.]:[AGRUP. CLAS. PROF.]]=$B27,IF(DATOS_[[Check Periodo Ref.]:[Check Periodo Ref.]]="Dentro",IF(DATOS_[[Check Equiparado]:[Check Equiparado]]="Sí",IF(DATOS!AY$5="Sí",(1/DATOS_[[% anualiz]:[% anualiz]]),1)*IF(DATOS!AY$4="Sí",1/DATOS_[[% normaliz]:[% normaliz]],1)*(DATOS_[Conc.Sal.21])))))))),
0)</f>
        <v>0</v>
      </c>
      <c r="AE29" s="111">
        <f t="array" ref="AE29">IFERROR(
(MEDIAN((IF(DATOS_[[Sexo]:[Sexo]]=$B29,IF(DATOS_[[AGRUP. CLAS. PROF.]:[AGRUP. CLAS. PROF.]]=$B27,IF(DATOS_[[Check Periodo Ref.]:[Check Periodo Ref.]]="Dentro",IF(DATOS_[[Check Equiparado]:[Check Equiparado]]="Sí",IF(DATOS!AZ$5="Sí",(1/DATOS_[[% anualiz]:[% anualiz]]),1)*IF(DATOS!AZ$4="Sí",1/DATOS_[[% normaliz]:[% normaliz]],1)*(DATOS_[Conc.Sal.22])))))))),
0)</f>
        <v>0</v>
      </c>
      <c r="AF29" s="111">
        <f t="array" ref="AF29">IFERROR(
(MEDIAN((IF(DATOS_[[Sexo]:[Sexo]]=$B29,IF(DATOS_[[AGRUP. CLAS. PROF.]:[AGRUP. CLAS. PROF.]]=$B27,IF(DATOS_[[Check Periodo Ref.]:[Check Periodo Ref.]]="Dentro",IF(DATOS_[[Check Equiparado]:[Check Equiparado]]="Sí",IF(DATOS!BA$5="Sí",(1/DATOS_[[% anualiz]:[% anualiz]]),1)*IF(DATOS!BA$4="Sí",1/DATOS_[[% normaliz]:[% normaliz]],1)*(DATOS_[Conc.Sal.23])))))))),
0)</f>
        <v>0</v>
      </c>
      <c r="AG29" s="111">
        <f t="array" ref="AG29">IFERROR(
(MEDIAN((IF(DATOS_[[Sexo]:[Sexo]]=$B29,IF(DATOS_[[AGRUP. CLAS. PROF.]:[AGRUP. CLAS. PROF.]]=$B27,IF(DATOS_[[Check Periodo Ref.]:[Check Periodo Ref.]]="Dentro",IF(DATOS_[[Check Equiparado]:[Check Equiparado]]="Sí",IF(DATOS!BB$5="Sí",(1/DATOS_[[% anualiz]:[% anualiz]]),1)*IF(DATOS!BB$4="Sí",1/DATOS_[[% normaliz]:[% normaliz]],1)*(DATOS_[Conc.Sal.24])))))))),
0)</f>
        <v>0</v>
      </c>
      <c r="AH29" s="111">
        <f t="array" ref="AH29">IFERROR(
(MEDIAN((IF(DATOS_[[Sexo]:[Sexo]]=$B29,IF(DATOS_[[AGRUP. CLAS. PROF.]:[AGRUP. CLAS. PROF.]]=$B27,IF(DATOS_[[Check Periodo Ref.]:[Check Periodo Ref.]]="Dentro",IF(DATOS_[[Check Equiparado]:[Check Equiparado]]="Sí",IF(DATOS!BC$5="Sí",(1/DATOS_[[% anualiz]:[% anualiz]]),1)*IF(DATOS!BC$4="Sí",1/DATOS_[[% normaliz]:[% normaliz]],1)*(DATOS_[Conc.Sal.25])))))))),
0)</f>
        <v>0</v>
      </c>
      <c r="AI29" s="111">
        <f t="array" ref="AI29">IFERROR(
(MEDIAN((IF(DATOS_[[Sexo]:[Sexo]]=$B29,IF(DATOS_[[AGRUP. CLAS. PROF.]:[AGRUP. CLAS. PROF.]]=$B27,IF(DATOS_[[Check Periodo Ref.]:[Check Periodo Ref.]]="Dentro",IF(DATOS_[[Check Equiparado]:[Check Equiparado]]="Sí",IF(DATOS!BD$5="Sí",(1/DATOS_[[% anualiz]:[% anualiz]]),1)*IF(DATOS!BD$4="Sí",1/DATOS_[[% normaliz]:[% normaliz]],1)*(DATOS_[Conc.Sal.26])))))))),
0)</f>
        <v>0</v>
      </c>
      <c r="AJ29" s="111">
        <f t="array" ref="AJ29">IFERROR(
(MEDIAN((IF(DATOS_[[Sexo]:[Sexo]]=$B29,IF(DATOS_[[AGRUP. CLAS. PROF.]:[AGRUP. CLAS. PROF.]]=$B27,IF(DATOS_[[Check Periodo Ref.]:[Check Periodo Ref.]]="Dentro",IF(DATOS_[[Check Equiparado]:[Check Equiparado]]="Sí",IF(DATOS!BE$5="Sí",(1/DATOS_[[% anualiz]:[% anualiz]]),1)*IF(DATOS!BE$4="Sí",1/DATOS_[[% normaliz]:[% normaliz]],1)*(DATOS_[Conc.Sal.27])))))))),
0)</f>
        <v>0</v>
      </c>
      <c r="AK29" s="111">
        <f t="array" ref="AK29">IFERROR(
(MEDIAN((IF(DATOS_[[Sexo]:[Sexo]]=$B29,IF(DATOS_[[AGRUP. CLAS. PROF.]:[AGRUP. CLAS. PROF.]]=$B27,IF(DATOS_[[Check Periodo Ref.]:[Check Periodo Ref.]]="Dentro",IF(DATOS_[[Check Equiparado]:[Check Equiparado]]="Sí",IF(DATOS!BF$5="Sí",(1/DATOS_[[% anualiz]:[% anualiz]]),1)*IF(DATOS!BF$4="Sí",1/DATOS_[[% normaliz]:[% normaliz]],1)*(DATOS_[Conc.Sal.28])))))))),
0)</f>
        <v>0</v>
      </c>
      <c r="AL29" s="111">
        <f t="array" ref="AL29">IFERROR(
(MEDIAN((IF(DATOS_[[Sexo]:[Sexo]]=$B29,IF(DATOS_[[AGRUP. CLAS. PROF.]:[AGRUP. CLAS. PROF.]]=$B27,IF(DATOS_[[Check Periodo Ref.]:[Check Periodo Ref.]]="Dentro",IF(DATOS_[[Check Equiparado]:[Check Equiparado]]="Sí",IF(DATOS!BG$5="Sí",(1/DATOS_[[% anualiz]:[% anualiz]]),1)*IF(DATOS!BG$4="Sí",1/DATOS_[[% normaliz]:[% normaliz]],1)*(DATOS_[Conc.Sal.29])))))))),
0)</f>
        <v>0</v>
      </c>
      <c r="AM29" s="111">
        <f t="array" ref="AM29">IFERROR(
(MEDIAN((IF(DATOS_[[Sexo]:[Sexo]]=$B29,IF(DATOS_[[AGRUP. CLAS. PROF.]:[AGRUP. CLAS. PROF.]]=$B27,IF(DATOS_[[Check Periodo Ref.]:[Check Periodo Ref.]]="Dentro",IF(DATOS_[[Check Equiparado]:[Check Equiparado]]="Sí",IF(DATOS!BH$5="Sí",(1/DATOS_[[% anualiz]:[% anualiz]]),1)*IF(DATOS!BH$4="Sí",1/DATOS_[[% normaliz]:[% normaliz]],1)*(DATOS_[Conc.Sal.30])))))))),
0)</f>
        <v>0</v>
      </c>
      <c r="AN29" s="112">
        <f t="array" ref="AN29">IFERROR(
MEDIAN(IF(DATOS_[Sexo]=$B29,IF(DATOS_[[AGRUP. CLAS. PROF.]:[AGRUP. CLAS. PROF.]]=$B27,IF(DATOS_[Check Equiparado]="Sí",IF(DATOS_[Check Periodo Ref.]="Dentro",DATOS_[Tot COMPL.SAL Eq],FALSE))))),
0)</f>
        <v>1124.9300000000003</v>
      </c>
      <c r="AO29" s="113">
        <f t="array" ref="AO29">IFERROR(
MEDIAN(IF(DATOS_[Sexo]=$B29,IF(DATOS_[[AGRUP. CLAS. PROF.]:[AGRUP. CLAS. PROF.]]=$B27,IF(DATOS_[Check Equiparado]="Sí",IF(DATOS_[Check Periodo Ref.]="Dentro",DATOS_[TOTAL SALARIO Eq],FALSE))))),
0)</f>
        <v>14040</v>
      </c>
      <c r="AP29" s="114">
        <f t="array" ref="AP29">IFERROR(
(MEDIAN((IF(DATOS_[[Sexo]:[Sexo]]=$B29,IF(DATOS_[[AGRUP. CLAS. PROF.]:[AGRUP. CLAS. PROF.]]=$B27,IF(DATOS_[[Check Periodo Ref.]:[Check Periodo Ref.]]="Dentro",IF(DATOS_[[Check Equiparado]:[Check Equiparado]]="Sí",IF(DATOS!BI$5="Sí",(1/DATOS_[[% anualiz]:[% anualiz]]),1)*IF(DATOS!BI$4="Sí",1/DATOS_[[% normaliz]:[% normaliz]],1)*(DATOS_[C.Extra.01])))))))),
0)</f>
        <v>0</v>
      </c>
      <c r="AQ29" s="114">
        <f t="array" ref="AQ29">IFERROR(
(MEDIAN((IF(DATOS_[[Sexo]:[Sexo]]=$B29,IF(DATOS_[[AGRUP. CLAS. PROF.]:[AGRUP. CLAS. PROF.]]=$B27,IF(DATOS_[[Check Periodo Ref.]:[Check Periodo Ref.]]="Dentro",IF(DATOS_[[Check Equiparado]:[Check Equiparado]]="Sí",IF(DATOS!BJ$5="Sí",(1/DATOS_[[% anualiz]:[% anualiz]]),1)*IF(DATOS!BJ$4="Sí",1/DATOS_[[% normaliz]:[% normaliz]],1)*(DATOS_[C.Extra.02])))))))),
0)</f>
        <v>0</v>
      </c>
      <c r="AR29" s="114">
        <f t="array" ref="AR29">IFERROR(
(MEDIAN((IF(DATOS_[[Sexo]:[Sexo]]=$B29,IF(DATOS_[[AGRUP. CLAS. PROF.]:[AGRUP. CLAS. PROF.]]=$B27,IF(DATOS_[[Check Periodo Ref.]:[Check Periodo Ref.]]="Dentro",IF(DATOS_[[Check Equiparado]:[Check Equiparado]]="Sí",IF(DATOS!BK$5="Sí",(1/DATOS_[[% anualiz]:[% anualiz]]),1)*IF(DATOS!BK$4="Sí",1/DATOS_[[% normaliz]:[% normaliz]],1)*(DATOS_[C.Extra.03])))))))),
0)</f>
        <v>0</v>
      </c>
      <c r="AS29" s="114">
        <f t="array" ref="AS29">IFERROR(
(MEDIAN((IF(DATOS_[[Sexo]:[Sexo]]=$B29,IF(DATOS_[[AGRUP. CLAS. PROF.]:[AGRUP. CLAS. PROF.]]=$B27,IF(DATOS_[[Check Periodo Ref.]:[Check Periodo Ref.]]="Dentro",IF(DATOS_[[Check Equiparado]:[Check Equiparado]]="Sí",IF(DATOS!BL$5="Sí",(1/DATOS_[[% anualiz]:[% anualiz]]),1)*IF(DATOS!BL$4="Sí",1/DATOS_[[% normaliz]:[% normaliz]],1)*(DATOS_[C.Extra.04])))))))),
0)</f>
        <v>0</v>
      </c>
      <c r="AT29" s="114">
        <f t="array" ref="AT29">IFERROR(
(MEDIAN((IF(DATOS_[[Sexo]:[Sexo]]=$B29,IF(DATOS_[[AGRUP. CLAS. PROF.]:[AGRUP. CLAS. PROF.]]=$B27,IF(DATOS_[[Check Periodo Ref.]:[Check Periodo Ref.]]="Dentro",IF(DATOS_[[Check Equiparado]:[Check Equiparado]]="Sí",IF(DATOS!BM$5="Sí",(1/DATOS_[[% anualiz]:[% anualiz]]),1)*IF(DATOS!BM$4="Sí",1/DATOS_[[% normaliz]:[% normaliz]],1)*(DATOS_[C.Extra.05])))))))),
0)</f>
        <v>0</v>
      </c>
      <c r="AU29" s="115">
        <f t="array" ref="AU29">IFERROR(
MEDIAN(IF(DATOS_[Sexo]=$B29,IF(DATOS_[[AGRUP. CLAS. PROF.]:[AGRUP. CLAS. PROF.]]=$B27,IF(DATOS_[Check Equiparado]="Sí",IF(DATOS_[Check Periodo Ref.]="Dentro",DATOS_[Tot Extrasalarial Eq],FALSE))))),
0)</f>
        <v>0</v>
      </c>
      <c r="AV29" s="116">
        <f t="array" ref="AV29">IFERROR(
MEDIAN(IF(DATOS_[Sexo]=$B29,IF(DATOS_[[AGRUP. CLAS. PROF.]:[AGRUP. CLAS. PROF.]]=$B27,IF(DATOS_[Check Equiparado]="Sí",IF(DATOS_[Check Periodo Ref.]="Dentro",DATOS_[TOTAL Retrib Eq],FALSE))))),
0)</f>
        <v>14040</v>
      </c>
    </row>
    <row r="30" spans="1:48" ht="17.25" hidden="1" thickBot="1" x14ac:dyDescent="0.35">
      <c r="A30" s="42" t="str">
        <f t="shared" ref="A30" si="23">+A31</f>
        <v>[ocultar]</v>
      </c>
      <c r="B30" s="90" t="s">
        <v>312</v>
      </c>
      <c r="C30" s="109"/>
      <c r="D30" s="41"/>
      <c r="E30" s="41"/>
      <c r="F30" s="41"/>
      <c r="G30" s="41"/>
      <c r="H30" s="41"/>
      <c r="I30" s="119" t="str">
        <f t="shared" ref="I30:AV30" si="24">IFERROR((I31-I32)/I31,"")</f>
        <v/>
      </c>
      <c r="J30" s="123" t="str">
        <f t="shared" si="24"/>
        <v/>
      </c>
      <c r="K30" s="123" t="str">
        <f t="shared" si="24"/>
        <v/>
      </c>
      <c r="L30" s="123" t="str">
        <f t="shared" si="24"/>
        <v/>
      </c>
      <c r="M30" s="123" t="str">
        <f t="shared" si="24"/>
        <v/>
      </c>
      <c r="N30" s="123" t="str">
        <f t="shared" si="24"/>
        <v/>
      </c>
      <c r="O30" s="123" t="str">
        <f t="shared" si="24"/>
        <v/>
      </c>
      <c r="P30" s="123" t="str">
        <f t="shared" si="24"/>
        <v/>
      </c>
      <c r="Q30" s="123" t="str">
        <f t="shared" si="24"/>
        <v/>
      </c>
      <c r="R30" s="123" t="str">
        <f t="shared" si="24"/>
        <v/>
      </c>
      <c r="S30" s="123" t="str">
        <f t="shared" si="24"/>
        <v/>
      </c>
      <c r="T30" s="123" t="str">
        <f t="shared" si="24"/>
        <v/>
      </c>
      <c r="U30" s="123" t="str">
        <f t="shared" si="24"/>
        <v/>
      </c>
      <c r="V30" s="123" t="str">
        <f t="shared" si="24"/>
        <v/>
      </c>
      <c r="W30" s="123" t="str">
        <f t="shared" si="24"/>
        <v/>
      </c>
      <c r="X30" s="123" t="str">
        <f t="shared" si="24"/>
        <v/>
      </c>
      <c r="Y30" s="123" t="str">
        <f t="shared" si="24"/>
        <v/>
      </c>
      <c r="Z30" s="122" t="str">
        <f t="shared" si="24"/>
        <v/>
      </c>
      <c r="AA30" s="122" t="str">
        <f t="shared" si="24"/>
        <v/>
      </c>
      <c r="AB30" s="122" t="str">
        <f t="shared" si="24"/>
        <v/>
      </c>
      <c r="AC30" s="122" t="str">
        <f t="shared" si="24"/>
        <v/>
      </c>
      <c r="AD30" s="122" t="str">
        <f t="shared" si="24"/>
        <v/>
      </c>
      <c r="AE30" s="122" t="str">
        <f t="shared" si="24"/>
        <v/>
      </c>
      <c r="AF30" s="122" t="str">
        <f t="shared" si="24"/>
        <v/>
      </c>
      <c r="AG30" s="122" t="str">
        <f t="shared" si="24"/>
        <v/>
      </c>
      <c r="AH30" s="122" t="str">
        <f t="shared" si="24"/>
        <v/>
      </c>
      <c r="AI30" s="122" t="str">
        <f t="shared" si="24"/>
        <v/>
      </c>
      <c r="AJ30" s="122" t="str">
        <f t="shared" si="24"/>
        <v/>
      </c>
      <c r="AK30" s="122" t="str">
        <f t="shared" si="24"/>
        <v/>
      </c>
      <c r="AL30" s="122" t="str">
        <f t="shared" si="24"/>
        <v/>
      </c>
      <c r="AM30" s="122" t="str">
        <f t="shared" si="24"/>
        <v/>
      </c>
      <c r="AN30" s="124" t="str">
        <f t="shared" si="24"/>
        <v/>
      </c>
      <c r="AO30" s="128" t="str">
        <f t="shared" si="24"/>
        <v/>
      </c>
      <c r="AP30" s="125" t="str">
        <f t="shared" si="24"/>
        <v/>
      </c>
      <c r="AQ30" s="125" t="str">
        <f t="shared" si="24"/>
        <v/>
      </c>
      <c r="AR30" s="125" t="str">
        <f t="shared" si="24"/>
        <v/>
      </c>
      <c r="AS30" s="125" t="str">
        <f t="shared" si="24"/>
        <v/>
      </c>
      <c r="AT30" s="125" t="str">
        <f t="shared" si="24"/>
        <v/>
      </c>
      <c r="AU30" s="126" t="str">
        <f t="shared" si="24"/>
        <v/>
      </c>
      <c r="AV30" s="127" t="str">
        <f t="shared" si="24"/>
        <v/>
      </c>
    </row>
    <row r="31" spans="1:48" hidden="1" x14ac:dyDescent="0.3">
      <c r="A31" s="42" t="str">
        <f t="shared" ref="A31" si="25">+IF(C31+C32=0,"[ocultar]","")</f>
        <v>[ocultar]</v>
      </c>
      <c r="B31" s="86" t="s">
        <v>162</v>
      </c>
      <c r="C31" s="33">
        <f t="array" ref="C31">SUM(IF($B31=DATOS_[Sexo],
IF($B30=DATOS_[AGRUP. CLAS. PROF.],
IF("Dentro"=DATOS_[Check Periodo Ref.],
1/(COUNTIFS(DATOS_[Sexo],$B31,DATOS_[AGRUP. CLAS. PROF.],$B30,DATOS_[Check Periodo Ref.],"Dentro",DATOS_[id],DATOS_[id]))))))</f>
        <v>0</v>
      </c>
      <c r="D31" s="35">
        <f>COUNTIFS(DATOS_[AGRUP. CLAS. PROF.],$B30,DATOS_[Sexo],$B31,DATOS_[Check Periodo Ref.],"Dentro")</f>
        <v>0</v>
      </c>
      <c r="E31" s="35">
        <f>COUNTIFS(DATOS_[AGRUP. CLAS. PROF.],$B30,DATOS_[Sexo],$B31,DATOS_[Check Periodo Ref.],"Dentro",DATOS_[Check Nº SC Norm],"Sí")</f>
        <v>0</v>
      </c>
      <c r="F31" s="35">
        <f>COUNTIFS(DATOS_[AGRUP. CLAS. PROF.],$B30,DATOS_[Sexo],$B31,DATOS_[Check Periodo Ref.],"Dentro",DATOS_[Check Nº SC Anualiz],"Sí")</f>
        <v>0</v>
      </c>
      <c r="G31" s="35">
        <f>COUNTIFS(DATOS_[AGRUP. CLAS. PROF.],$B30,DATOS_[Sexo],$B31,DATOS_[Check Periodo Ref.],"Dentro",DATOS_[Check Nº SC Norm y Anualiz],"Sí")</f>
        <v>0</v>
      </c>
      <c r="H31" s="35">
        <f>COUNTIFS(DATOS_[AGRUP. CLAS. PROF.],$B30,DATOS_[Sexo],$B31,DATOS_[Check Periodo Ref.],"Dentro",DATOS_[Check Equiparación],"Sí")</f>
        <v>0</v>
      </c>
      <c r="I31" s="110">
        <f t="array" ref="I31">IFERROR(
MEDIAN(IF(DATOS_[Sexo]=$B31,IF(DATOS_[[AGRUP. CLAS. PROF.]:[AGRUP. CLAS. PROF.]]=$B30,IF(DATOS_[Check Equiparado]="Sí",IF(DATOS_[Check Periodo Ref.]="Dentro",DATOS_[SALARIO BASE Eq],FALSE))))),
0)</f>
        <v>0</v>
      </c>
      <c r="J31" s="111">
        <f t="array" ref="J31">IFERROR(
(MEDIAN((IF(DATOS_[[Sexo]:[Sexo]]=$B31,IF(DATOS_[[AGRUP. CLAS. PROF.]:[AGRUP. CLAS. PROF.]]=$B30,IF(DATOS_[[Check Periodo Ref.]:[Check Periodo Ref.]]="Dentro",IF(DATOS_[[Check Equiparado]:[Check Equiparado]]="Sí",IF(DATOS!AE$5="Sí",(1/DATOS_[[% anualiz]:[% anualiz]]),1)*IF(DATOS!AE$4="Sí",1/DATOS_[[% normaliz]:[% normaliz]],1)*(DATOS_[Conc.Sal.01])))))))),
0)</f>
        <v>0</v>
      </c>
      <c r="K31" s="111">
        <f t="array" ref="K31">IFERROR(
(MEDIAN((IF(DATOS_[[Sexo]:[Sexo]]=$B31,IF(DATOS_[[AGRUP. CLAS. PROF.]:[AGRUP. CLAS. PROF.]]=$B30,IF(DATOS_[[Check Periodo Ref.]:[Check Periodo Ref.]]="Dentro",IF(DATOS_[[Check Equiparado]:[Check Equiparado]]="Sí",IF(DATOS!AF$5="Sí",(1/DATOS_[[% anualiz]:[% anualiz]]),1)*IF(DATOS!AF$4="Sí",1/DATOS_[[% normaliz]:[% normaliz]],1)*(DATOS_[Conc.Sal.02])))))))),
0)</f>
        <v>0</v>
      </c>
      <c r="L31" s="111">
        <f t="array" ref="L31">IFERROR(
(MEDIAN((IF(DATOS_[[Sexo]:[Sexo]]=$B31,IF(DATOS_[[AGRUP. CLAS. PROF.]:[AGRUP. CLAS. PROF.]]=$B30,IF(DATOS_[[Check Periodo Ref.]:[Check Periodo Ref.]]="Dentro",IF(DATOS_[[Check Equiparado]:[Check Equiparado]]="Sí",IF(DATOS!AG$5="Sí",(1/DATOS_[[% anualiz]:[% anualiz]]),1)*IF(DATOS!AG$4="Sí",1/DATOS_[[% normaliz]:[% normaliz]],1)*(DATOS_[Conc.Sal.03])))))))),
0)</f>
        <v>0</v>
      </c>
      <c r="M31" s="111">
        <f t="array" ref="M31">IFERROR(
(MEDIAN((IF(DATOS_[[Sexo]:[Sexo]]=$B31,IF(DATOS_[[AGRUP. CLAS. PROF.]:[AGRUP. CLAS. PROF.]]=$B30,IF(DATOS_[[Check Periodo Ref.]:[Check Periodo Ref.]]="Dentro",IF(DATOS_[[Check Equiparado]:[Check Equiparado]]="Sí",IF(DATOS!AH$5="Sí",(1/DATOS_[[% anualiz]:[% anualiz]]),1)*IF(DATOS!AH$4="Sí",1/DATOS_[[% normaliz]:[% normaliz]],1)*(DATOS_[Conc.Sal.04])))))))),
0)</f>
        <v>0</v>
      </c>
      <c r="N31" s="111">
        <f t="array" ref="N31">IFERROR(
(MEDIAN((IF(DATOS_[[Sexo]:[Sexo]]=$B31,IF(DATOS_[[AGRUP. CLAS. PROF.]:[AGRUP. CLAS. PROF.]]=$B30,IF(DATOS_[[Check Periodo Ref.]:[Check Periodo Ref.]]="Dentro",IF(DATOS_[[Check Equiparado]:[Check Equiparado]]="Sí",IF(DATOS!AI$5="Sí",(1/DATOS_[[% anualiz]:[% anualiz]]),1)*IF(DATOS!AI$4="Sí",1/DATOS_[[% normaliz]:[% normaliz]],1)*(DATOS_[Conc.Sal.05])))))))),
0)</f>
        <v>0</v>
      </c>
      <c r="O31" s="111">
        <f t="array" ref="O31">IFERROR(
(MEDIAN((IF(DATOS_[[Sexo]:[Sexo]]=$B31,IF(DATOS_[[AGRUP. CLAS. PROF.]:[AGRUP. CLAS. PROF.]]=$B30,IF(DATOS_[[Check Periodo Ref.]:[Check Periodo Ref.]]="Dentro",IF(DATOS_[[Check Equiparado]:[Check Equiparado]]="Sí",IF(DATOS!AJ$5="Sí",(1/DATOS_[[% anualiz]:[% anualiz]]),1)*IF(DATOS!AJ$4="Sí",1/DATOS_[[% normaliz]:[% normaliz]],1)*(DATOS_[Conc.Sal.06])))))))),
0)</f>
        <v>0</v>
      </c>
      <c r="P31" s="111">
        <f t="array" ref="P31">IFERROR(
(MEDIAN((IF(DATOS_[[Sexo]:[Sexo]]=$B31,IF(DATOS_[[AGRUP. CLAS. PROF.]:[AGRUP. CLAS. PROF.]]=$B30,IF(DATOS_[[Check Periodo Ref.]:[Check Periodo Ref.]]="Dentro",IF(DATOS_[[Check Equiparado]:[Check Equiparado]]="Sí",IF(DATOS!AK$5="Sí",(1/DATOS_[[% anualiz]:[% anualiz]]),1)*IF(DATOS!AK$4="Sí",1/DATOS_[[% normaliz]:[% normaliz]],1)*(DATOS_[Conc.Sal.07])))))))),
0)</f>
        <v>0</v>
      </c>
      <c r="Q31" s="111">
        <f t="array" ref="Q31">IFERROR(
(MEDIAN((IF(DATOS_[[Sexo]:[Sexo]]=$B31,IF(DATOS_[[AGRUP. CLAS. PROF.]:[AGRUP. CLAS. PROF.]]=$B30,IF(DATOS_[[Check Periodo Ref.]:[Check Periodo Ref.]]="Dentro",IF(DATOS_[[Check Equiparado]:[Check Equiparado]]="Sí",IF(DATOS!AL$5="Sí",(1/DATOS_[[% anualiz]:[% anualiz]]),1)*IF(DATOS!AL$4="Sí",1/DATOS_[[% normaliz]:[% normaliz]],1)*(DATOS_[Conc.Sal.08])))))))),
0)</f>
        <v>0</v>
      </c>
      <c r="R31" s="111">
        <f t="array" ref="R31">IFERROR(
(MEDIAN((IF(DATOS_[[Sexo]:[Sexo]]=$B31,IF(DATOS_[[AGRUP. CLAS. PROF.]:[AGRUP. CLAS. PROF.]]=$B30,IF(DATOS_[[Check Periodo Ref.]:[Check Periodo Ref.]]="Dentro",IF(DATOS_[[Check Equiparado]:[Check Equiparado]]="Sí",IF(DATOS!AM$5="Sí",(1/DATOS_[[% anualiz]:[% anualiz]]),1)*IF(DATOS!AM$4="Sí",1/DATOS_[[% normaliz]:[% normaliz]],1)*(DATOS_[Conc.Sal.09])))))))),
0)</f>
        <v>0</v>
      </c>
      <c r="S31" s="111">
        <f t="array" ref="S31">IFERROR(
(MEDIAN((IF(DATOS_[[Sexo]:[Sexo]]=$B31,IF(DATOS_[[AGRUP. CLAS. PROF.]:[AGRUP. CLAS. PROF.]]=$B30,IF(DATOS_[[Check Periodo Ref.]:[Check Periodo Ref.]]="Dentro",IF(DATOS_[[Check Equiparado]:[Check Equiparado]]="Sí",IF(DATOS!AN$5="Sí",(1/DATOS_[[% anualiz]:[% anualiz]]),1)*IF(DATOS!AN$4="Sí",1/DATOS_[[% normaliz]:[% normaliz]],1)*(DATOS_[Conc.Sal.10])))))))),
0)</f>
        <v>0</v>
      </c>
      <c r="T31" s="111">
        <f t="array" ref="T31">IFERROR(
(MEDIAN((IF(DATOS_[[Sexo]:[Sexo]]=$B31,IF(DATOS_[[AGRUP. CLAS. PROF.]:[AGRUP. CLAS. PROF.]]=$B30,IF(DATOS_[[Check Periodo Ref.]:[Check Periodo Ref.]]="Dentro",IF(DATOS_[[Check Equiparado]:[Check Equiparado]]="Sí",IF(DATOS!AO$5="Sí",(1/DATOS_[[% anualiz]:[% anualiz]]),1)*IF(DATOS!AO$4="Sí",1/DATOS_[[% normaliz]:[% normaliz]],1)*(DATOS_[Conc.Sal.11])))))))),
0)</f>
        <v>0</v>
      </c>
      <c r="U31" s="111">
        <f t="array" ref="U31">IFERROR(
(MEDIAN((IF(DATOS_[[Sexo]:[Sexo]]=$B31,IF(DATOS_[[AGRUP. CLAS. PROF.]:[AGRUP. CLAS. PROF.]]=$B30,IF(DATOS_[[Check Periodo Ref.]:[Check Periodo Ref.]]="Dentro",IF(DATOS_[[Check Equiparado]:[Check Equiparado]]="Sí",IF(DATOS!AP$5="Sí",(1/DATOS_[[% anualiz]:[% anualiz]]),1)*IF(DATOS!AP$4="Sí",1/DATOS_[[% normaliz]:[% normaliz]],1)*(DATOS_[Conc.Sal.12])))))))),
0)</f>
        <v>0</v>
      </c>
      <c r="V31" s="111">
        <f t="array" ref="V31">IFERROR(
(MEDIAN((IF(DATOS_[[Sexo]:[Sexo]]=$B31,IF(DATOS_[[AGRUP. CLAS. PROF.]:[AGRUP. CLAS. PROF.]]=$B30,IF(DATOS_[[Check Periodo Ref.]:[Check Periodo Ref.]]="Dentro",IF(DATOS_[[Check Equiparado]:[Check Equiparado]]="Sí",IF(DATOS!AQ$5="Sí",(1/DATOS_[[% anualiz]:[% anualiz]]),1)*IF(DATOS!AQ$4="Sí",1/DATOS_[[% normaliz]:[% normaliz]],1)*(DATOS_[Conc.Sal.13])))))))),
0)</f>
        <v>0</v>
      </c>
      <c r="W31" s="111">
        <f t="array" ref="W31">IFERROR(
(MEDIAN((IF(DATOS_[[Sexo]:[Sexo]]=$B31,IF(DATOS_[[AGRUP. CLAS. PROF.]:[AGRUP. CLAS. PROF.]]=$B30,IF(DATOS_[[Check Periodo Ref.]:[Check Periodo Ref.]]="Dentro",IF(DATOS_[[Check Equiparado]:[Check Equiparado]]="Sí",IF(DATOS!AR$5="Sí",(1/DATOS_[[% anualiz]:[% anualiz]]),1)*IF(DATOS!AR$4="Sí",1/DATOS_[[% normaliz]:[% normaliz]],1)*(DATOS_[Conc.Sal.14])))))))),
0)</f>
        <v>0</v>
      </c>
      <c r="X31" s="111">
        <f t="array" ref="X31">IFERROR(
(MEDIAN((IF(DATOS_[[Sexo]:[Sexo]]=$B31,IF(DATOS_[[AGRUP. CLAS. PROF.]:[AGRUP. CLAS. PROF.]]=$B30,IF(DATOS_[[Check Periodo Ref.]:[Check Periodo Ref.]]="Dentro",IF(DATOS_[[Check Equiparado]:[Check Equiparado]]="Sí",IF(DATOS!AS$5="Sí",(1/DATOS_[[% anualiz]:[% anualiz]]),1)*IF(DATOS!AS$4="Sí",1/DATOS_[[% normaliz]:[% normaliz]],1)*(DATOS_[Conc.Sal.15])))))))),
0)</f>
        <v>0</v>
      </c>
      <c r="Y31" s="111">
        <f t="array" ref="Y31">IFERROR(
(MEDIAN((IF(DATOS_[[Sexo]:[Sexo]]=$B31,IF(DATOS_[[AGRUP. CLAS. PROF.]:[AGRUP. CLAS. PROF.]]=$B30,IF(DATOS_[[Check Periodo Ref.]:[Check Periodo Ref.]]="Dentro",IF(DATOS_[[Check Equiparado]:[Check Equiparado]]="Sí",IF(DATOS!AT$5="Sí",(1/DATOS_[[% anualiz]:[% anualiz]]),1)*IF(DATOS!AT$4="Sí",1/DATOS_[[% normaliz]:[% normaliz]],1)*(DATOS_[Conc.Sal.16])))))))),
0)</f>
        <v>0</v>
      </c>
      <c r="Z31" s="111">
        <f t="array" ref="Z31">IFERROR(
(MEDIAN((IF(DATOS_[[Sexo]:[Sexo]]=$B31,IF(DATOS_[[AGRUP. CLAS. PROF.]:[AGRUP. CLAS. PROF.]]=$B30,IF(DATOS_[[Check Periodo Ref.]:[Check Periodo Ref.]]="Dentro",IF(DATOS_[[Check Equiparado]:[Check Equiparado]]="Sí",IF(DATOS!AU$5="Sí",(1/DATOS_[[% anualiz]:[% anualiz]]),1)*IF(DATOS!AU$4="Sí",1/DATOS_[[% normaliz]:[% normaliz]],1)*(DATOS_[Conc.Sal.17])))))))),
0)</f>
        <v>0</v>
      </c>
      <c r="AA31" s="111">
        <f t="array" ref="AA31">IFERROR(
(MEDIAN((IF(DATOS_[[Sexo]:[Sexo]]=$B31,IF(DATOS_[[AGRUP. CLAS. PROF.]:[AGRUP. CLAS. PROF.]]=$B30,IF(DATOS_[[Check Periodo Ref.]:[Check Periodo Ref.]]="Dentro",IF(DATOS_[[Check Equiparado]:[Check Equiparado]]="Sí",IF(DATOS!AV$5="Sí",(1/DATOS_[[% anualiz]:[% anualiz]]),1)*IF(DATOS!AV$4="Sí",1/DATOS_[[% normaliz]:[% normaliz]],1)*(DATOS_[Conc.Sal.18])))))))),
0)</f>
        <v>0</v>
      </c>
      <c r="AB31" s="111">
        <f t="array" ref="AB31">IFERROR(
(MEDIAN((IF(DATOS_[[Sexo]:[Sexo]]=$B31,IF(DATOS_[[AGRUP. CLAS. PROF.]:[AGRUP. CLAS. PROF.]]=$B30,IF(DATOS_[[Check Periodo Ref.]:[Check Periodo Ref.]]="Dentro",IF(DATOS_[[Check Equiparado]:[Check Equiparado]]="Sí",IF(DATOS!AW$5="Sí",(1/DATOS_[[% anualiz]:[% anualiz]]),1)*IF(DATOS!AW$4="Sí",1/DATOS_[[% normaliz]:[% normaliz]],1)*(DATOS_[Conc.Sal.19])))))))),
0)</f>
        <v>0</v>
      </c>
      <c r="AC31" s="111">
        <f t="array" ref="AC31">IFERROR(
(MEDIAN((IF(DATOS_[[Sexo]:[Sexo]]=$B31,IF(DATOS_[[AGRUP. CLAS. PROF.]:[AGRUP. CLAS. PROF.]]=$B30,IF(DATOS_[[Check Periodo Ref.]:[Check Periodo Ref.]]="Dentro",IF(DATOS_[[Check Equiparado]:[Check Equiparado]]="Sí",IF(DATOS!AX$5="Sí",(1/DATOS_[[% anualiz]:[% anualiz]]),1)*IF(DATOS!AX$4="Sí",1/DATOS_[[% normaliz]:[% normaliz]],1)*(DATOS_[Conc.Sal.20])))))))),
0)</f>
        <v>0</v>
      </c>
      <c r="AD31" s="111">
        <f t="array" ref="AD31">IFERROR(
(MEDIAN((IF(DATOS_[[Sexo]:[Sexo]]=$B31,IF(DATOS_[[AGRUP. CLAS. PROF.]:[AGRUP. CLAS. PROF.]]=$B30,IF(DATOS_[[Check Periodo Ref.]:[Check Periodo Ref.]]="Dentro",IF(DATOS_[[Check Equiparado]:[Check Equiparado]]="Sí",IF(DATOS!AY$5="Sí",(1/DATOS_[[% anualiz]:[% anualiz]]),1)*IF(DATOS!AY$4="Sí",1/DATOS_[[% normaliz]:[% normaliz]],1)*(DATOS_[Conc.Sal.21])))))))),
0)</f>
        <v>0</v>
      </c>
      <c r="AE31" s="111">
        <f t="array" ref="AE31">IFERROR(
(MEDIAN((IF(DATOS_[[Sexo]:[Sexo]]=$B31,IF(DATOS_[[AGRUP. CLAS. PROF.]:[AGRUP. CLAS. PROF.]]=$B30,IF(DATOS_[[Check Periodo Ref.]:[Check Periodo Ref.]]="Dentro",IF(DATOS_[[Check Equiparado]:[Check Equiparado]]="Sí",IF(DATOS!AZ$5="Sí",(1/DATOS_[[% anualiz]:[% anualiz]]),1)*IF(DATOS!AZ$4="Sí",1/DATOS_[[% normaliz]:[% normaliz]],1)*(DATOS_[Conc.Sal.22])))))))),
0)</f>
        <v>0</v>
      </c>
      <c r="AF31" s="111">
        <f t="array" ref="AF31">IFERROR(
(MEDIAN((IF(DATOS_[[Sexo]:[Sexo]]=$B31,IF(DATOS_[[AGRUP. CLAS. PROF.]:[AGRUP. CLAS. PROF.]]=$B30,IF(DATOS_[[Check Periodo Ref.]:[Check Periodo Ref.]]="Dentro",IF(DATOS_[[Check Equiparado]:[Check Equiparado]]="Sí",IF(DATOS!BA$5="Sí",(1/DATOS_[[% anualiz]:[% anualiz]]),1)*IF(DATOS!BA$4="Sí",1/DATOS_[[% normaliz]:[% normaliz]],1)*(DATOS_[Conc.Sal.23])))))))),
0)</f>
        <v>0</v>
      </c>
      <c r="AG31" s="111">
        <f t="array" ref="AG31">IFERROR(
(MEDIAN((IF(DATOS_[[Sexo]:[Sexo]]=$B31,IF(DATOS_[[AGRUP. CLAS. PROF.]:[AGRUP. CLAS. PROF.]]=$B30,IF(DATOS_[[Check Periodo Ref.]:[Check Periodo Ref.]]="Dentro",IF(DATOS_[[Check Equiparado]:[Check Equiparado]]="Sí",IF(DATOS!BB$5="Sí",(1/DATOS_[[% anualiz]:[% anualiz]]),1)*IF(DATOS!BB$4="Sí",1/DATOS_[[% normaliz]:[% normaliz]],1)*(DATOS_[Conc.Sal.24])))))))),
0)</f>
        <v>0</v>
      </c>
      <c r="AH31" s="111">
        <f t="array" ref="AH31">IFERROR(
(MEDIAN((IF(DATOS_[[Sexo]:[Sexo]]=$B31,IF(DATOS_[[AGRUP. CLAS. PROF.]:[AGRUP. CLAS. PROF.]]=$B30,IF(DATOS_[[Check Periodo Ref.]:[Check Periodo Ref.]]="Dentro",IF(DATOS_[[Check Equiparado]:[Check Equiparado]]="Sí",IF(DATOS!BC$5="Sí",(1/DATOS_[[% anualiz]:[% anualiz]]),1)*IF(DATOS!BC$4="Sí",1/DATOS_[[% normaliz]:[% normaliz]],1)*(DATOS_[Conc.Sal.25])))))))),
0)</f>
        <v>0</v>
      </c>
      <c r="AI31" s="111">
        <f t="array" ref="AI31">IFERROR(
(MEDIAN((IF(DATOS_[[Sexo]:[Sexo]]=$B31,IF(DATOS_[[AGRUP. CLAS. PROF.]:[AGRUP. CLAS. PROF.]]=$B30,IF(DATOS_[[Check Periodo Ref.]:[Check Periodo Ref.]]="Dentro",IF(DATOS_[[Check Equiparado]:[Check Equiparado]]="Sí",IF(DATOS!BD$5="Sí",(1/DATOS_[[% anualiz]:[% anualiz]]),1)*IF(DATOS!BD$4="Sí",1/DATOS_[[% normaliz]:[% normaliz]],1)*(DATOS_[Conc.Sal.26])))))))),
0)</f>
        <v>0</v>
      </c>
      <c r="AJ31" s="111">
        <f t="array" ref="AJ31">IFERROR(
(MEDIAN((IF(DATOS_[[Sexo]:[Sexo]]=$B31,IF(DATOS_[[AGRUP. CLAS. PROF.]:[AGRUP. CLAS. PROF.]]=$B30,IF(DATOS_[[Check Periodo Ref.]:[Check Periodo Ref.]]="Dentro",IF(DATOS_[[Check Equiparado]:[Check Equiparado]]="Sí",IF(DATOS!BE$5="Sí",(1/DATOS_[[% anualiz]:[% anualiz]]),1)*IF(DATOS!BE$4="Sí",1/DATOS_[[% normaliz]:[% normaliz]],1)*(DATOS_[Conc.Sal.27])))))))),
0)</f>
        <v>0</v>
      </c>
      <c r="AK31" s="111">
        <f t="array" ref="AK31">IFERROR(
(MEDIAN((IF(DATOS_[[Sexo]:[Sexo]]=$B31,IF(DATOS_[[AGRUP. CLAS. PROF.]:[AGRUP. CLAS. PROF.]]=$B30,IF(DATOS_[[Check Periodo Ref.]:[Check Periodo Ref.]]="Dentro",IF(DATOS_[[Check Equiparado]:[Check Equiparado]]="Sí",IF(DATOS!BF$5="Sí",(1/DATOS_[[% anualiz]:[% anualiz]]),1)*IF(DATOS!BF$4="Sí",1/DATOS_[[% normaliz]:[% normaliz]],1)*(DATOS_[Conc.Sal.28])))))))),
0)</f>
        <v>0</v>
      </c>
      <c r="AL31" s="111">
        <f t="array" ref="AL31">IFERROR(
(MEDIAN((IF(DATOS_[[Sexo]:[Sexo]]=$B31,IF(DATOS_[[AGRUP. CLAS. PROF.]:[AGRUP. CLAS. PROF.]]=$B30,IF(DATOS_[[Check Periodo Ref.]:[Check Periodo Ref.]]="Dentro",IF(DATOS_[[Check Equiparado]:[Check Equiparado]]="Sí",IF(DATOS!BG$5="Sí",(1/DATOS_[[% anualiz]:[% anualiz]]),1)*IF(DATOS!BG$4="Sí",1/DATOS_[[% normaliz]:[% normaliz]],1)*(DATOS_[Conc.Sal.29])))))))),
0)</f>
        <v>0</v>
      </c>
      <c r="AM31" s="111">
        <f t="array" ref="AM31">IFERROR(
(MEDIAN((IF(DATOS_[[Sexo]:[Sexo]]=$B31,IF(DATOS_[[AGRUP. CLAS. PROF.]:[AGRUP. CLAS. PROF.]]=$B30,IF(DATOS_[[Check Periodo Ref.]:[Check Periodo Ref.]]="Dentro",IF(DATOS_[[Check Equiparado]:[Check Equiparado]]="Sí",IF(DATOS!BH$5="Sí",(1/DATOS_[[% anualiz]:[% anualiz]]),1)*IF(DATOS!BH$4="Sí",1/DATOS_[[% normaliz]:[% normaliz]],1)*(DATOS_[Conc.Sal.30])))))))),
0)</f>
        <v>0</v>
      </c>
      <c r="AN31" s="112">
        <f t="array" ref="AN31">IFERROR(
MEDIAN(IF(DATOS_[Sexo]=$B31,IF(DATOS_[[AGRUP. CLAS. PROF.]:[AGRUP. CLAS. PROF.]]=$B30,IF(DATOS_[Check Equiparado]="Sí",IF(DATOS_[Check Periodo Ref.]="Dentro",DATOS_[Tot COMPL.SAL Eq],FALSE))))),
0)</f>
        <v>0</v>
      </c>
      <c r="AO31" s="113">
        <f t="array" ref="AO31">IFERROR(
MEDIAN(IF(DATOS_[Sexo]=$B31,IF(DATOS_[[AGRUP. CLAS. PROF.]:[AGRUP. CLAS. PROF.]]=$B30,IF(DATOS_[Check Equiparado]="Sí",IF(DATOS_[Check Periodo Ref.]="Dentro",DATOS_[TOTAL SALARIO Eq],FALSE))))),
0)</f>
        <v>0</v>
      </c>
      <c r="AP31" s="114">
        <f t="array" ref="AP31">IFERROR(
(MEDIAN((IF(DATOS_[[Sexo]:[Sexo]]=$B31,IF(DATOS_[[AGRUP. CLAS. PROF.]:[AGRUP. CLAS. PROF.]]=$B30,IF(DATOS_[[Check Periodo Ref.]:[Check Periodo Ref.]]="Dentro",IF(DATOS_[[Check Equiparado]:[Check Equiparado]]="Sí",IF(DATOS!BI$5="Sí",(1/DATOS_[[% anualiz]:[% anualiz]]),1)*IF(DATOS!BI$4="Sí",1/DATOS_[[% normaliz]:[% normaliz]],1)*(DATOS_[C.Extra.01])))))))),
0)</f>
        <v>0</v>
      </c>
      <c r="AQ31" s="114">
        <f t="array" ref="AQ31">IFERROR(
(MEDIAN((IF(DATOS_[[Sexo]:[Sexo]]=$B31,IF(DATOS_[[AGRUP. CLAS. PROF.]:[AGRUP. CLAS. PROF.]]=$B30,IF(DATOS_[[Check Periodo Ref.]:[Check Periodo Ref.]]="Dentro",IF(DATOS_[[Check Equiparado]:[Check Equiparado]]="Sí",IF(DATOS!BJ$5="Sí",(1/DATOS_[[% anualiz]:[% anualiz]]),1)*IF(DATOS!BJ$4="Sí",1/DATOS_[[% normaliz]:[% normaliz]],1)*(DATOS_[C.Extra.02])))))))),
0)</f>
        <v>0</v>
      </c>
      <c r="AR31" s="114">
        <f t="array" ref="AR31">IFERROR(
(MEDIAN((IF(DATOS_[[Sexo]:[Sexo]]=$B31,IF(DATOS_[[AGRUP. CLAS. PROF.]:[AGRUP. CLAS. PROF.]]=$B30,IF(DATOS_[[Check Periodo Ref.]:[Check Periodo Ref.]]="Dentro",IF(DATOS_[[Check Equiparado]:[Check Equiparado]]="Sí",IF(DATOS!BK$5="Sí",(1/DATOS_[[% anualiz]:[% anualiz]]),1)*IF(DATOS!BK$4="Sí",1/DATOS_[[% normaliz]:[% normaliz]],1)*(DATOS_[C.Extra.03])))))))),
0)</f>
        <v>0</v>
      </c>
      <c r="AS31" s="114">
        <f t="array" ref="AS31">IFERROR(
(MEDIAN((IF(DATOS_[[Sexo]:[Sexo]]=$B31,IF(DATOS_[[AGRUP. CLAS. PROF.]:[AGRUP. CLAS. PROF.]]=$B30,IF(DATOS_[[Check Periodo Ref.]:[Check Periodo Ref.]]="Dentro",IF(DATOS_[[Check Equiparado]:[Check Equiparado]]="Sí",IF(DATOS!BL$5="Sí",(1/DATOS_[[% anualiz]:[% anualiz]]),1)*IF(DATOS!BL$4="Sí",1/DATOS_[[% normaliz]:[% normaliz]],1)*(DATOS_[C.Extra.04])))))))),
0)</f>
        <v>0</v>
      </c>
      <c r="AT31" s="114">
        <f t="array" ref="AT31">IFERROR(
(MEDIAN((IF(DATOS_[[Sexo]:[Sexo]]=$B31,IF(DATOS_[[AGRUP. CLAS. PROF.]:[AGRUP. CLAS. PROF.]]=$B30,IF(DATOS_[[Check Periodo Ref.]:[Check Periodo Ref.]]="Dentro",IF(DATOS_[[Check Equiparado]:[Check Equiparado]]="Sí",IF(DATOS!BM$5="Sí",(1/DATOS_[[% anualiz]:[% anualiz]]),1)*IF(DATOS!BM$4="Sí",1/DATOS_[[% normaliz]:[% normaliz]],1)*(DATOS_[C.Extra.05])))))))),
0)</f>
        <v>0</v>
      </c>
      <c r="AU31" s="115">
        <f t="array" ref="AU31">IFERROR(
MEDIAN(IF(DATOS_[Sexo]=$B31,IF(DATOS_[[AGRUP. CLAS. PROF.]:[AGRUP. CLAS. PROF.]]=$B30,IF(DATOS_[Check Equiparado]="Sí",IF(DATOS_[Check Periodo Ref.]="Dentro",DATOS_[Tot Extrasalarial Eq],FALSE))))),
0)</f>
        <v>0</v>
      </c>
      <c r="AV31" s="116">
        <f t="array" ref="AV31">IFERROR(
MEDIAN(IF(DATOS_[Sexo]=$B31,IF(DATOS_[[AGRUP. CLAS. PROF.]:[AGRUP. CLAS. PROF.]]=$B30,IF(DATOS_[Check Equiparado]="Sí",IF(DATOS_[Check Periodo Ref.]="Dentro",DATOS_[TOTAL Retrib Eq],FALSE))))),
0)</f>
        <v>0</v>
      </c>
    </row>
    <row r="32" spans="1:48" hidden="1" x14ac:dyDescent="0.3">
      <c r="A32" s="42" t="str">
        <f t="shared" ref="A32" si="26">+A31</f>
        <v>[ocultar]</v>
      </c>
      <c r="B32" s="86" t="s">
        <v>163</v>
      </c>
      <c r="C32" s="33">
        <f t="array" ref="C32">SUM(IF($B32=DATOS_[Sexo],
IF($B30=DATOS_[AGRUP. CLAS. PROF.],
IF("Dentro"=DATOS_[Check Periodo Ref.],
1/(COUNTIFS(DATOS_[Sexo],$B32,DATOS_[AGRUP. CLAS. PROF.],$B30,DATOS_[Check Periodo Ref.],"Dentro",DATOS_[id],DATOS_[id]))))))</f>
        <v>0</v>
      </c>
      <c r="D32" s="35">
        <f>COUNTIFS(DATOS_[AGRUP. CLAS. PROF.],$B30,DATOS_[Sexo],$B32,DATOS_[Check Periodo Ref.],"Dentro")</f>
        <v>0</v>
      </c>
      <c r="E32" s="35">
        <f>COUNTIFS(DATOS_[AGRUP. CLAS. PROF.],$B30,DATOS_[Sexo],$B32,DATOS_[Check Periodo Ref.],"Dentro",DATOS_[Check Nº SC Norm],"Sí")</f>
        <v>0</v>
      </c>
      <c r="F32" s="35">
        <f>COUNTIFS(DATOS_[AGRUP. CLAS. PROF.],$B30,DATOS_[Sexo],$B32,DATOS_[Check Periodo Ref.],"Dentro",DATOS_[Check Nº SC Anualiz],"Sí")</f>
        <v>0</v>
      </c>
      <c r="G32" s="35">
        <f>COUNTIFS(DATOS_[AGRUP. CLAS. PROF.],$B30,DATOS_[Sexo],$B32,DATOS_[Check Periodo Ref.],"Dentro",DATOS_[Check Nº SC Norm y Anualiz],"Sí")</f>
        <v>0</v>
      </c>
      <c r="H32" s="35">
        <f>COUNTIFS(DATOS_[AGRUP. CLAS. PROF.],$B30,DATOS_[Sexo],$B32,DATOS_[Check Periodo Ref.],"Dentro",DATOS_[Check Equiparación],"Sí")</f>
        <v>0</v>
      </c>
      <c r="I32" s="110" cm="1">
        <f t="array" ref="I32">IFERROR(
MEDIAN(IF(DATOS_[Sexo]=$B32,IF(DATOS_[[AGRUP. CLAS. PROF.]:[AGRUP. CLAS. PROF.]]=$B30,IF(DATOS_[Check Equiparado]="Sí",IF(DATOS_[Check Periodo Ref.]="Dentro",DATOS_[SALARIO BASE Eq],FALSE))))),
0)</f>
        <v>0</v>
      </c>
      <c r="J32" s="111">
        <f t="array" ref="J32">IFERROR(
(MEDIAN((IF(DATOS_[[Sexo]:[Sexo]]=$B32,IF(DATOS_[[AGRUP. CLAS. PROF.]:[AGRUP. CLAS. PROF.]]=$B30,IF(DATOS_[[Check Periodo Ref.]:[Check Periodo Ref.]]="Dentro",IF(DATOS_[[Check Equiparado]:[Check Equiparado]]="Sí",IF(DATOS!AE$5="Sí",(1/DATOS_[[% anualiz]:[% anualiz]]),1)*IF(DATOS!AE$4="Sí",1/DATOS_[[% normaliz]:[% normaliz]],1)*(DATOS_[Conc.Sal.01])))))))),
0)</f>
        <v>0</v>
      </c>
      <c r="K32" s="111">
        <f t="array" ref="K32">IFERROR(
(MEDIAN((IF(DATOS_[[Sexo]:[Sexo]]=$B32,IF(DATOS_[[AGRUP. CLAS. PROF.]:[AGRUP. CLAS. PROF.]]=$B30,IF(DATOS_[[Check Periodo Ref.]:[Check Periodo Ref.]]="Dentro",IF(DATOS_[[Check Equiparado]:[Check Equiparado]]="Sí",IF(DATOS!AF$5="Sí",(1/DATOS_[[% anualiz]:[% anualiz]]),1)*IF(DATOS!AF$4="Sí",1/DATOS_[[% normaliz]:[% normaliz]],1)*(DATOS_[Conc.Sal.02])))))))),
0)</f>
        <v>0</v>
      </c>
      <c r="L32" s="111">
        <f t="array" ref="L32">IFERROR(
(MEDIAN((IF(DATOS_[[Sexo]:[Sexo]]=$B32,IF(DATOS_[[AGRUP. CLAS. PROF.]:[AGRUP. CLAS. PROF.]]=$B30,IF(DATOS_[[Check Periodo Ref.]:[Check Periodo Ref.]]="Dentro",IF(DATOS_[[Check Equiparado]:[Check Equiparado]]="Sí",IF(DATOS!AG$5="Sí",(1/DATOS_[[% anualiz]:[% anualiz]]),1)*IF(DATOS!AG$4="Sí",1/DATOS_[[% normaliz]:[% normaliz]],1)*(DATOS_[Conc.Sal.03])))))))),
0)</f>
        <v>0</v>
      </c>
      <c r="M32" s="111">
        <f t="array" ref="M32">IFERROR(
(MEDIAN((IF(DATOS_[[Sexo]:[Sexo]]=$B32,IF(DATOS_[[AGRUP. CLAS. PROF.]:[AGRUP. CLAS. PROF.]]=$B30,IF(DATOS_[[Check Periodo Ref.]:[Check Periodo Ref.]]="Dentro",IF(DATOS_[[Check Equiparado]:[Check Equiparado]]="Sí",IF(DATOS!AH$5="Sí",(1/DATOS_[[% anualiz]:[% anualiz]]),1)*IF(DATOS!AH$4="Sí",1/DATOS_[[% normaliz]:[% normaliz]],1)*(DATOS_[Conc.Sal.04])))))))),
0)</f>
        <v>0</v>
      </c>
      <c r="N32" s="111">
        <f t="array" ref="N32">IFERROR(
(MEDIAN((IF(DATOS_[[Sexo]:[Sexo]]=$B32,IF(DATOS_[[AGRUP. CLAS. PROF.]:[AGRUP. CLAS. PROF.]]=$B30,IF(DATOS_[[Check Periodo Ref.]:[Check Periodo Ref.]]="Dentro",IF(DATOS_[[Check Equiparado]:[Check Equiparado]]="Sí",IF(DATOS!AI$5="Sí",(1/DATOS_[[% anualiz]:[% anualiz]]),1)*IF(DATOS!AI$4="Sí",1/DATOS_[[% normaliz]:[% normaliz]],1)*(DATOS_[Conc.Sal.05])))))))),
0)</f>
        <v>0</v>
      </c>
      <c r="O32" s="111">
        <f t="array" ref="O32">IFERROR(
(MEDIAN((IF(DATOS_[[Sexo]:[Sexo]]=$B32,IF(DATOS_[[AGRUP. CLAS. PROF.]:[AGRUP. CLAS. PROF.]]=$B30,IF(DATOS_[[Check Periodo Ref.]:[Check Periodo Ref.]]="Dentro",IF(DATOS_[[Check Equiparado]:[Check Equiparado]]="Sí",IF(DATOS!AJ$5="Sí",(1/DATOS_[[% anualiz]:[% anualiz]]),1)*IF(DATOS!AJ$4="Sí",1/DATOS_[[% normaliz]:[% normaliz]],1)*(DATOS_[Conc.Sal.06])))))))),
0)</f>
        <v>0</v>
      </c>
      <c r="P32" s="111">
        <f t="array" ref="P32">IFERROR(
(MEDIAN((IF(DATOS_[[Sexo]:[Sexo]]=$B32,IF(DATOS_[[AGRUP. CLAS. PROF.]:[AGRUP. CLAS. PROF.]]=$B30,IF(DATOS_[[Check Periodo Ref.]:[Check Periodo Ref.]]="Dentro",IF(DATOS_[[Check Equiparado]:[Check Equiparado]]="Sí",IF(DATOS!AK$5="Sí",(1/DATOS_[[% anualiz]:[% anualiz]]),1)*IF(DATOS!AK$4="Sí",1/DATOS_[[% normaliz]:[% normaliz]],1)*(DATOS_[Conc.Sal.07])))))))),
0)</f>
        <v>0</v>
      </c>
      <c r="Q32" s="111">
        <f t="array" ref="Q32">IFERROR(
(MEDIAN((IF(DATOS_[[Sexo]:[Sexo]]=$B32,IF(DATOS_[[AGRUP. CLAS. PROF.]:[AGRUP. CLAS. PROF.]]=$B30,IF(DATOS_[[Check Periodo Ref.]:[Check Periodo Ref.]]="Dentro",IF(DATOS_[[Check Equiparado]:[Check Equiparado]]="Sí",IF(DATOS!AL$5="Sí",(1/DATOS_[[% anualiz]:[% anualiz]]),1)*IF(DATOS!AL$4="Sí",1/DATOS_[[% normaliz]:[% normaliz]],1)*(DATOS_[Conc.Sal.08])))))))),
0)</f>
        <v>0</v>
      </c>
      <c r="R32" s="111">
        <f t="array" ref="R32">IFERROR(
(MEDIAN((IF(DATOS_[[Sexo]:[Sexo]]=$B32,IF(DATOS_[[AGRUP. CLAS. PROF.]:[AGRUP. CLAS. PROF.]]=$B30,IF(DATOS_[[Check Periodo Ref.]:[Check Periodo Ref.]]="Dentro",IF(DATOS_[[Check Equiparado]:[Check Equiparado]]="Sí",IF(DATOS!AM$5="Sí",(1/DATOS_[[% anualiz]:[% anualiz]]),1)*IF(DATOS!AM$4="Sí",1/DATOS_[[% normaliz]:[% normaliz]],1)*(DATOS_[Conc.Sal.09])))))))),
0)</f>
        <v>0</v>
      </c>
      <c r="S32" s="111">
        <f t="array" ref="S32">IFERROR(
(MEDIAN((IF(DATOS_[[Sexo]:[Sexo]]=$B32,IF(DATOS_[[AGRUP. CLAS. PROF.]:[AGRUP. CLAS. PROF.]]=$B30,IF(DATOS_[[Check Periodo Ref.]:[Check Periodo Ref.]]="Dentro",IF(DATOS_[[Check Equiparado]:[Check Equiparado]]="Sí",IF(DATOS!AN$5="Sí",(1/DATOS_[[% anualiz]:[% anualiz]]),1)*IF(DATOS!AN$4="Sí",1/DATOS_[[% normaliz]:[% normaliz]],1)*(DATOS_[Conc.Sal.10])))))))),
0)</f>
        <v>0</v>
      </c>
      <c r="T32" s="111">
        <f t="array" ref="T32">IFERROR(
(MEDIAN((IF(DATOS_[[Sexo]:[Sexo]]=$B32,IF(DATOS_[[AGRUP. CLAS. PROF.]:[AGRUP. CLAS. PROF.]]=$B30,IF(DATOS_[[Check Periodo Ref.]:[Check Periodo Ref.]]="Dentro",IF(DATOS_[[Check Equiparado]:[Check Equiparado]]="Sí",IF(DATOS!AO$5="Sí",(1/DATOS_[[% anualiz]:[% anualiz]]),1)*IF(DATOS!AO$4="Sí",1/DATOS_[[% normaliz]:[% normaliz]],1)*(DATOS_[Conc.Sal.11])))))))),
0)</f>
        <v>0</v>
      </c>
      <c r="U32" s="111">
        <f t="array" ref="U32">IFERROR(
(MEDIAN((IF(DATOS_[[Sexo]:[Sexo]]=$B32,IF(DATOS_[[AGRUP. CLAS. PROF.]:[AGRUP. CLAS. PROF.]]=$B30,IF(DATOS_[[Check Periodo Ref.]:[Check Periodo Ref.]]="Dentro",IF(DATOS_[[Check Equiparado]:[Check Equiparado]]="Sí",IF(DATOS!AP$5="Sí",(1/DATOS_[[% anualiz]:[% anualiz]]),1)*IF(DATOS!AP$4="Sí",1/DATOS_[[% normaliz]:[% normaliz]],1)*(DATOS_[Conc.Sal.12])))))))),
0)</f>
        <v>0</v>
      </c>
      <c r="V32" s="111">
        <f t="array" ref="V32">IFERROR(
(MEDIAN((IF(DATOS_[[Sexo]:[Sexo]]=$B32,IF(DATOS_[[AGRUP. CLAS. PROF.]:[AGRUP. CLAS. PROF.]]=$B30,IF(DATOS_[[Check Periodo Ref.]:[Check Periodo Ref.]]="Dentro",IF(DATOS_[[Check Equiparado]:[Check Equiparado]]="Sí",IF(DATOS!AQ$5="Sí",(1/DATOS_[[% anualiz]:[% anualiz]]),1)*IF(DATOS!AQ$4="Sí",1/DATOS_[[% normaliz]:[% normaliz]],1)*(DATOS_[Conc.Sal.13])))))))),
0)</f>
        <v>0</v>
      </c>
      <c r="W32" s="111">
        <f t="array" ref="W32">IFERROR(
(MEDIAN((IF(DATOS_[[Sexo]:[Sexo]]=$B32,IF(DATOS_[[AGRUP. CLAS. PROF.]:[AGRUP. CLAS. PROF.]]=$B30,IF(DATOS_[[Check Periodo Ref.]:[Check Periodo Ref.]]="Dentro",IF(DATOS_[[Check Equiparado]:[Check Equiparado]]="Sí",IF(DATOS!AR$5="Sí",(1/DATOS_[[% anualiz]:[% anualiz]]),1)*IF(DATOS!AR$4="Sí",1/DATOS_[[% normaliz]:[% normaliz]],1)*(DATOS_[Conc.Sal.14])))))))),
0)</f>
        <v>0</v>
      </c>
      <c r="X32" s="111">
        <f t="array" ref="X32">IFERROR(
(MEDIAN((IF(DATOS_[[Sexo]:[Sexo]]=$B32,IF(DATOS_[[AGRUP. CLAS. PROF.]:[AGRUP. CLAS. PROF.]]=$B30,IF(DATOS_[[Check Periodo Ref.]:[Check Periodo Ref.]]="Dentro",IF(DATOS_[[Check Equiparado]:[Check Equiparado]]="Sí",IF(DATOS!AS$5="Sí",(1/DATOS_[[% anualiz]:[% anualiz]]),1)*IF(DATOS!AS$4="Sí",1/DATOS_[[% normaliz]:[% normaliz]],1)*(DATOS_[Conc.Sal.15])))))))),
0)</f>
        <v>0</v>
      </c>
      <c r="Y32" s="111">
        <f t="array" ref="Y32">IFERROR(
(MEDIAN((IF(DATOS_[[Sexo]:[Sexo]]=$B32,IF(DATOS_[[AGRUP. CLAS. PROF.]:[AGRUP. CLAS. PROF.]]=$B30,IF(DATOS_[[Check Periodo Ref.]:[Check Periodo Ref.]]="Dentro",IF(DATOS_[[Check Equiparado]:[Check Equiparado]]="Sí",IF(DATOS!AT$5="Sí",(1/DATOS_[[% anualiz]:[% anualiz]]),1)*IF(DATOS!AT$4="Sí",1/DATOS_[[% normaliz]:[% normaliz]],1)*(DATOS_[Conc.Sal.16])))))))),
0)</f>
        <v>0</v>
      </c>
      <c r="Z32" s="111">
        <f t="array" ref="Z32">IFERROR(
(MEDIAN((IF(DATOS_[[Sexo]:[Sexo]]=$B32,IF(DATOS_[[AGRUP. CLAS. PROF.]:[AGRUP. CLAS. PROF.]]=$B30,IF(DATOS_[[Check Periodo Ref.]:[Check Periodo Ref.]]="Dentro",IF(DATOS_[[Check Equiparado]:[Check Equiparado]]="Sí",IF(DATOS!AU$5="Sí",(1/DATOS_[[% anualiz]:[% anualiz]]),1)*IF(DATOS!AU$4="Sí",1/DATOS_[[% normaliz]:[% normaliz]],1)*(DATOS_[Conc.Sal.17])))))))),
0)</f>
        <v>0</v>
      </c>
      <c r="AA32" s="111">
        <f t="array" ref="AA32">IFERROR(
(MEDIAN((IF(DATOS_[[Sexo]:[Sexo]]=$B32,IF(DATOS_[[AGRUP. CLAS. PROF.]:[AGRUP. CLAS. PROF.]]=$B30,IF(DATOS_[[Check Periodo Ref.]:[Check Periodo Ref.]]="Dentro",IF(DATOS_[[Check Equiparado]:[Check Equiparado]]="Sí",IF(DATOS!AV$5="Sí",(1/DATOS_[[% anualiz]:[% anualiz]]),1)*IF(DATOS!AV$4="Sí",1/DATOS_[[% normaliz]:[% normaliz]],1)*(DATOS_[Conc.Sal.18])))))))),
0)</f>
        <v>0</v>
      </c>
      <c r="AB32" s="111">
        <f t="array" ref="AB32">IFERROR(
(MEDIAN((IF(DATOS_[[Sexo]:[Sexo]]=$B32,IF(DATOS_[[AGRUP. CLAS. PROF.]:[AGRUP. CLAS. PROF.]]=$B30,IF(DATOS_[[Check Periodo Ref.]:[Check Periodo Ref.]]="Dentro",IF(DATOS_[[Check Equiparado]:[Check Equiparado]]="Sí",IF(DATOS!AW$5="Sí",(1/DATOS_[[% anualiz]:[% anualiz]]),1)*IF(DATOS!AW$4="Sí",1/DATOS_[[% normaliz]:[% normaliz]],1)*(DATOS_[Conc.Sal.19])))))))),
0)</f>
        <v>0</v>
      </c>
      <c r="AC32" s="111">
        <f t="array" ref="AC32">IFERROR(
(MEDIAN((IF(DATOS_[[Sexo]:[Sexo]]=$B32,IF(DATOS_[[AGRUP. CLAS. PROF.]:[AGRUP. CLAS. PROF.]]=$B30,IF(DATOS_[[Check Periodo Ref.]:[Check Periodo Ref.]]="Dentro",IF(DATOS_[[Check Equiparado]:[Check Equiparado]]="Sí",IF(DATOS!AX$5="Sí",(1/DATOS_[[% anualiz]:[% anualiz]]),1)*IF(DATOS!AX$4="Sí",1/DATOS_[[% normaliz]:[% normaliz]],1)*(DATOS_[Conc.Sal.20])))))))),
0)</f>
        <v>0</v>
      </c>
      <c r="AD32" s="111">
        <f t="array" ref="AD32">IFERROR(
(MEDIAN((IF(DATOS_[[Sexo]:[Sexo]]=$B32,IF(DATOS_[[AGRUP. CLAS. PROF.]:[AGRUP. CLAS. PROF.]]=$B30,IF(DATOS_[[Check Periodo Ref.]:[Check Periodo Ref.]]="Dentro",IF(DATOS_[[Check Equiparado]:[Check Equiparado]]="Sí",IF(DATOS!AY$5="Sí",(1/DATOS_[[% anualiz]:[% anualiz]]),1)*IF(DATOS!AY$4="Sí",1/DATOS_[[% normaliz]:[% normaliz]],1)*(DATOS_[Conc.Sal.21])))))))),
0)</f>
        <v>0</v>
      </c>
      <c r="AE32" s="111">
        <f t="array" ref="AE32">IFERROR(
(MEDIAN((IF(DATOS_[[Sexo]:[Sexo]]=$B32,IF(DATOS_[[AGRUP. CLAS. PROF.]:[AGRUP. CLAS. PROF.]]=$B30,IF(DATOS_[[Check Periodo Ref.]:[Check Periodo Ref.]]="Dentro",IF(DATOS_[[Check Equiparado]:[Check Equiparado]]="Sí",IF(DATOS!AZ$5="Sí",(1/DATOS_[[% anualiz]:[% anualiz]]),1)*IF(DATOS!AZ$4="Sí",1/DATOS_[[% normaliz]:[% normaliz]],1)*(DATOS_[Conc.Sal.22])))))))),
0)</f>
        <v>0</v>
      </c>
      <c r="AF32" s="111">
        <f t="array" ref="AF32">IFERROR(
(MEDIAN((IF(DATOS_[[Sexo]:[Sexo]]=$B32,IF(DATOS_[[AGRUP. CLAS. PROF.]:[AGRUP. CLAS. PROF.]]=$B30,IF(DATOS_[[Check Periodo Ref.]:[Check Periodo Ref.]]="Dentro",IF(DATOS_[[Check Equiparado]:[Check Equiparado]]="Sí",IF(DATOS!BA$5="Sí",(1/DATOS_[[% anualiz]:[% anualiz]]),1)*IF(DATOS!BA$4="Sí",1/DATOS_[[% normaliz]:[% normaliz]],1)*(DATOS_[Conc.Sal.23])))))))),
0)</f>
        <v>0</v>
      </c>
      <c r="AG32" s="111">
        <f t="array" ref="AG32">IFERROR(
(MEDIAN((IF(DATOS_[[Sexo]:[Sexo]]=$B32,IF(DATOS_[[AGRUP. CLAS. PROF.]:[AGRUP. CLAS. PROF.]]=$B30,IF(DATOS_[[Check Periodo Ref.]:[Check Periodo Ref.]]="Dentro",IF(DATOS_[[Check Equiparado]:[Check Equiparado]]="Sí",IF(DATOS!BB$5="Sí",(1/DATOS_[[% anualiz]:[% anualiz]]),1)*IF(DATOS!BB$4="Sí",1/DATOS_[[% normaliz]:[% normaliz]],1)*(DATOS_[Conc.Sal.24])))))))),
0)</f>
        <v>0</v>
      </c>
      <c r="AH32" s="111">
        <f t="array" ref="AH32">IFERROR(
(MEDIAN((IF(DATOS_[[Sexo]:[Sexo]]=$B32,IF(DATOS_[[AGRUP. CLAS. PROF.]:[AGRUP. CLAS. PROF.]]=$B30,IF(DATOS_[[Check Periodo Ref.]:[Check Periodo Ref.]]="Dentro",IF(DATOS_[[Check Equiparado]:[Check Equiparado]]="Sí",IF(DATOS!BC$5="Sí",(1/DATOS_[[% anualiz]:[% anualiz]]),1)*IF(DATOS!BC$4="Sí",1/DATOS_[[% normaliz]:[% normaliz]],1)*(DATOS_[Conc.Sal.25])))))))),
0)</f>
        <v>0</v>
      </c>
      <c r="AI32" s="111">
        <f t="array" ref="AI32">IFERROR(
(MEDIAN((IF(DATOS_[[Sexo]:[Sexo]]=$B32,IF(DATOS_[[AGRUP. CLAS. PROF.]:[AGRUP. CLAS. PROF.]]=$B30,IF(DATOS_[[Check Periodo Ref.]:[Check Periodo Ref.]]="Dentro",IF(DATOS_[[Check Equiparado]:[Check Equiparado]]="Sí",IF(DATOS!BD$5="Sí",(1/DATOS_[[% anualiz]:[% anualiz]]),1)*IF(DATOS!BD$4="Sí",1/DATOS_[[% normaliz]:[% normaliz]],1)*(DATOS_[Conc.Sal.26])))))))),
0)</f>
        <v>0</v>
      </c>
      <c r="AJ32" s="111">
        <f t="array" ref="AJ32">IFERROR(
(MEDIAN((IF(DATOS_[[Sexo]:[Sexo]]=$B32,IF(DATOS_[[AGRUP. CLAS. PROF.]:[AGRUP. CLAS. PROF.]]=$B30,IF(DATOS_[[Check Periodo Ref.]:[Check Periodo Ref.]]="Dentro",IF(DATOS_[[Check Equiparado]:[Check Equiparado]]="Sí",IF(DATOS!BE$5="Sí",(1/DATOS_[[% anualiz]:[% anualiz]]),1)*IF(DATOS!BE$4="Sí",1/DATOS_[[% normaliz]:[% normaliz]],1)*(DATOS_[Conc.Sal.27])))))))),
0)</f>
        <v>0</v>
      </c>
      <c r="AK32" s="111">
        <f t="array" ref="AK32">IFERROR(
(MEDIAN((IF(DATOS_[[Sexo]:[Sexo]]=$B32,IF(DATOS_[[AGRUP. CLAS. PROF.]:[AGRUP. CLAS. PROF.]]=$B30,IF(DATOS_[[Check Periodo Ref.]:[Check Periodo Ref.]]="Dentro",IF(DATOS_[[Check Equiparado]:[Check Equiparado]]="Sí",IF(DATOS!BF$5="Sí",(1/DATOS_[[% anualiz]:[% anualiz]]),1)*IF(DATOS!BF$4="Sí",1/DATOS_[[% normaliz]:[% normaliz]],1)*(DATOS_[Conc.Sal.28])))))))),
0)</f>
        <v>0</v>
      </c>
      <c r="AL32" s="111">
        <f t="array" ref="AL32">IFERROR(
(MEDIAN((IF(DATOS_[[Sexo]:[Sexo]]=$B32,IF(DATOS_[[AGRUP. CLAS. PROF.]:[AGRUP. CLAS. PROF.]]=$B30,IF(DATOS_[[Check Periodo Ref.]:[Check Periodo Ref.]]="Dentro",IF(DATOS_[[Check Equiparado]:[Check Equiparado]]="Sí",IF(DATOS!BG$5="Sí",(1/DATOS_[[% anualiz]:[% anualiz]]),1)*IF(DATOS!BG$4="Sí",1/DATOS_[[% normaliz]:[% normaliz]],1)*(DATOS_[Conc.Sal.29])))))))),
0)</f>
        <v>0</v>
      </c>
      <c r="AM32" s="111">
        <f t="array" ref="AM32">IFERROR(
(MEDIAN((IF(DATOS_[[Sexo]:[Sexo]]=$B32,IF(DATOS_[[AGRUP. CLAS. PROF.]:[AGRUP. CLAS. PROF.]]=$B30,IF(DATOS_[[Check Periodo Ref.]:[Check Periodo Ref.]]="Dentro",IF(DATOS_[[Check Equiparado]:[Check Equiparado]]="Sí",IF(DATOS!BH$5="Sí",(1/DATOS_[[% anualiz]:[% anualiz]]),1)*IF(DATOS!BH$4="Sí",1/DATOS_[[% normaliz]:[% normaliz]],1)*(DATOS_[Conc.Sal.30])))))))),
0)</f>
        <v>0</v>
      </c>
      <c r="AN32" s="112">
        <f t="array" ref="AN32">IFERROR(
MEDIAN(IF(DATOS_[Sexo]=$B32,IF(DATOS_[[AGRUP. CLAS. PROF.]:[AGRUP. CLAS. PROF.]]=$B30,IF(DATOS_[Check Equiparado]="Sí",IF(DATOS_[Check Periodo Ref.]="Dentro",DATOS_[Tot COMPL.SAL Eq],FALSE))))),
0)</f>
        <v>0</v>
      </c>
      <c r="AO32" s="113">
        <f t="array" ref="AO32">IFERROR(
MEDIAN(IF(DATOS_[Sexo]=$B32,IF(DATOS_[[AGRUP. CLAS. PROF.]:[AGRUP. CLAS. PROF.]]=$B30,IF(DATOS_[Check Equiparado]="Sí",IF(DATOS_[Check Periodo Ref.]="Dentro",DATOS_[TOTAL SALARIO Eq],FALSE))))),
0)</f>
        <v>0</v>
      </c>
      <c r="AP32" s="114">
        <f t="array" ref="AP32">IFERROR(
(MEDIAN((IF(DATOS_[[Sexo]:[Sexo]]=$B32,IF(DATOS_[[AGRUP. CLAS. PROF.]:[AGRUP. CLAS. PROF.]]=$B30,IF(DATOS_[[Check Periodo Ref.]:[Check Periodo Ref.]]="Dentro",IF(DATOS_[[Check Equiparado]:[Check Equiparado]]="Sí",IF(DATOS!BI$5="Sí",(1/DATOS_[[% anualiz]:[% anualiz]]),1)*IF(DATOS!BI$4="Sí",1/DATOS_[[% normaliz]:[% normaliz]],1)*(DATOS_[C.Extra.01])))))))),
0)</f>
        <v>0</v>
      </c>
      <c r="AQ32" s="114">
        <f t="array" ref="AQ32">IFERROR(
(MEDIAN((IF(DATOS_[[Sexo]:[Sexo]]=$B32,IF(DATOS_[[AGRUP. CLAS. PROF.]:[AGRUP. CLAS. PROF.]]=$B30,IF(DATOS_[[Check Periodo Ref.]:[Check Periodo Ref.]]="Dentro",IF(DATOS_[[Check Equiparado]:[Check Equiparado]]="Sí",IF(DATOS!BJ$5="Sí",(1/DATOS_[[% anualiz]:[% anualiz]]),1)*IF(DATOS!BJ$4="Sí",1/DATOS_[[% normaliz]:[% normaliz]],1)*(DATOS_[C.Extra.02])))))))),
0)</f>
        <v>0</v>
      </c>
      <c r="AR32" s="114">
        <f t="array" ref="AR32">IFERROR(
(MEDIAN((IF(DATOS_[[Sexo]:[Sexo]]=$B32,IF(DATOS_[[AGRUP. CLAS. PROF.]:[AGRUP. CLAS. PROF.]]=$B30,IF(DATOS_[[Check Periodo Ref.]:[Check Periodo Ref.]]="Dentro",IF(DATOS_[[Check Equiparado]:[Check Equiparado]]="Sí",IF(DATOS!BK$5="Sí",(1/DATOS_[[% anualiz]:[% anualiz]]),1)*IF(DATOS!BK$4="Sí",1/DATOS_[[% normaliz]:[% normaliz]],1)*(DATOS_[C.Extra.03])))))))),
0)</f>
        <v>0</v>
      </c>
      <c r="AS32" s="114">
        <f t="array" ref="AS32">IFERROR(
(MEDIAN((IF(DATOS_[[Sexo]:[Sexo]]=$B32,IF(DATOS_[[AGRUP. CLAS. PROF.]:[AGRUP. CLAS. PROF.]]=$B30,IF(DATOS_[[Check Periodo Ref.]:[Check Periodo Ref.]]="Dentro",IF(DATOS_[[Check Equiparado]:[Check Equiparado]]="Sí",IF(DATOS!BL$5="Sí",(1/DATOS_[[% anualiz]:[% anualiz]]),1)*IF(DATOS!BL$4="Sí",1/DATOS_[[% normaliz]:[% normaliz]],1)*(DATOS_[C.Extra.04])))))))),
0)</f>
        <v>0</v>
      </c>
      <c r="AT32" s="114">
        <f t="array" ref="AT32">IFERROR(
(MEDIAN((IF(DATOS_[[Sexo]:[Sexo]]=$B32,IF(DATOS_[[AGRUP. CLAS. PROF.]:[AGRUP. CLAS. PROF.]]=$B30,IF(DATOS_[[Check Periodo Ref.]:[Check Periodo Ref.]]="Dentro",IF(DATOS_[[Check Equiparado]:[Check Equiparado]]="Sí",IF(DATOS!BM$5="Sí",(1/DATOS_[[% anualiz]:[% anualiz]]),1)*IF(DATOS!BM$4="Sí",1/DATOS_[[% normaliz]:[% normaliz]],1)*(DATOS_[C.Extra.05])))))))),
0)</f>
        <v>0</v>
      </c>
      <c r="AU32" s="115">
        <f t="array" ref="AU32">IFERROR(
MEDIAN(IF(DATOS_[Sexo]=$B32,IF(DATOS_[[AGRUP. CLAS. PROF.]:[AGRUP. CLAS. PROF.]]=$B30,IF(DATOS_[Check Equiparado]="Sí",IF(DATOS_[Check Periodo Ref.]="Dentro",DATOS_[Tot Extrasalarial Eq],FALSE))))),
0)</f>
        <v>0</v>
      </c>
      <c r="AV32" s="116">
        <f t="array" ref="AV32">IFERROR(
MEDIAN(IF(DATOS_[Sexo]=$B32,IF(DATOS_[[AGRUP. CLAS. PROF.]:[AGRUP. CLAS. PROF.]]=$B30,IF(DATOS_[Check Equiparado]="Sí",IF(DATOS_[Check Periodo Ref.]="Dentro",DATOS_[TOTAL Retrib Eq],FALSE))))),
0)</f>
        <v>0</v>
      </c>
    </row>
    <row r="33" spans="1:48" ht="17.25" hidden="1" thickBot="1" x14ac:dyDescent="0.35">
      <c r="A33" s="42" t="str">
        <f t="shared" ref="A33" si="27">+A34</f>
        <v>[ocultar]</v>
      </c>
      <c r="B33" s="90" t="s">
        <v>313</v>
      </c>
      <c r="C33" s="109"/>
      <c r="D33" s="41"/>
      <c r="E33" s="41"/>
      <c r="F33" s="41"/>
      <c r="G33" s="41"/>
      <c r="H33" s="41"/>
      <c r="I33" s="119" t="str">
        <f t="shared" ref="I33:AV33" si="28">IFERROR((I34-I35)/I34,"")</f>
        <v/>
      </c>
      <c r="J33" s="123" t="str">
        <f t="shared" si="28"/>
        <v/>
      </c>
      <c r="K33" s="123" t="str">
        <f t="shared" si="28"/>
        <v/>
      </c>
      <c r="L33" s="123" t="str">
        <f t="shared" si="28"/>
        <v/>
      </c>
      <c r="M33" s="123" t="str">
        <f t="shared" si="28"/>
        <v/>
      </c>
      <c r="N33" s="123" t="str">
        <f t="shared" si="28"/>
        <v/>
      </c>
      <c r="O33" s="123" t="str">
        <f t="shared" si="28"/>
        <v/>
      </c>
      <c r="P33" s="123" t="str">
        <f t="shared" si="28"/>
        <v/>
      </c>
      <c r="Q33" s="123" t="str">
        <f t="shared" si="28"/>
        <v/>
      </c>
      <c r="R33" s="123" t="str">
        <f t="shared" si="28"/>
        <v/>
      </c>
      <c r="S33" s="123" t="str">
        <f t="shared" si="28"/>
        <v/>
      </c>
      <c r="T33" s="123" t="str">
        <f t="shared" si="28"/>
        <v/>
      </c>
      <c r="U33" s="123" t="str">
        <f t="shared" si="28"/>
        <v/>
      </c>
      <c r="V33" s="123" t="str">
        <f t="shared" si="28"/>
        <v/>
      </c>
      <c r="W33" s="123" t="str">
        <f t="shared" si="28"/>
        <v/>
      </c>
      <c r="X33" s="123" t="str">
        <f t="shared" si="28"/>
        <v/>
      </c>
      <c r="Y33" s="123" t="str">
        <f t="shared" si="28"/>
        <v/>
      </c>
      <c r="Z33" s="122" t="str">
        <f t="shared" si="28"/>
        <v/>
      </c>
      <c r="AA33" s="122" t="str">
        <f t="shared" si="28"/>
        <v/>
      </c>
      <c r="AB33" s="122" t="str">
        <f t="shared" si="28"/>
        <v/>
      </c>
      <c r="AC33" s="122" t="str">
        <f t="shared" si="28"/>
        <v/>
      </c>
      <c r="AD33" s="122" t="str">
        <f t="shared" si="28"/>
        <v/>
      </c>
      <c r="AE33" s="122" t="str">
        <f t="shared" si="28"/>
        <v/>
      </c>
      <c r="AF33" s="122" t="str">
        <f t="shared" si="28"/>
        <v/>
      </c>
      <c r="AG33" s="122" t="str">
        <f t="shared" si="28"/>
        <v/>
      </c>
      <c r="AH33" s="122" t="str">
        <f t="shared" si="28"/>
        <v/>
      </c>
      <c r="AI33" s="122" t="str">
        <f t="shared" si="28"/>
        <v/>
      </c>
      <c r="AJ33" s="122" t="str">
        <f t="shared" si="28"/>
        <v/>
      </c>
      <c r="AK33" s="122" t="str">
        <f t="shared" si="28"/>
        <v/>
      </c>
      <c r="AL33" s="122" t="str">
        <f t="shared" si="28"/>
        <v/>
      </c>
      <c r="AM33" s="122" t="str">
        <f t="shared" si="28"/>
        <v/>
      </c>
      <c r="AN33" s="124" t="str">
        <f t="shared" si="28"/>
        <v/>
      </c>
      <c r="AO33" s="128" t="str">
        <f t="shared" si="28"/>
        <v/>
      </c>
      <c r="AP33" s="125" t="str">
        <f t="shared" si="28"/>
        <v/>
      </c>
      <c r="AQ33" s="125" t="str">
        <f t="shared" si="28"/>
        <v/>
      </c>
      <c r="AR33" s="125" t="str">
        <f t="shared" si="28"/>
        <v/>
      </c>
      <c r="AS33" s="125" t="str">
        <f t="shared" si="28"/>
        <v/>
      </c>
      <c r="AT33" s="125" t="str">
        <f t="shared" si="28"/>
        <v/>
      </c>
      <c r="AU33" s="126" t="str">
        <f t="shared" si="28"/>
        <v/>
      </c>
      <c r="AV33" s="127" t="str">
        <f t="shared" si="28"/>
        <v/>
      </c>
    </row>
    <row r="34" spans="1:48" hidden="1" x14ac:dyDescent="0.3">
      <c r="A34" s="42" t="str">
        <f t="shared" ref="A34" si="29">+IF(C34+C35=0,"[ocultar]","")</f>
        <v>[ocultar]</v>
      </c>
      <c r="B34" s="86" t="s">
        <v>162</v>
      </c>
      <c r="C34" s="33">
        <f t="array" ref="C34">SUM(IF($B34=DATOS_[Sexo],
IF($B33=DATOS_[AGRUP. CLAS. PROF.],
IF("Dentro"=DATOS_[Check Periodo Ref.],
1/(COUNTIFS(DATOS_[Sexo],$B34,DATOS_[AGRUP. CLAS. PROF.],$B33,DATOS_[Check Periodo Ref.],"Dentro",DATOS_[id],DATOS_[id]))))))</f>
        <v>0</v>
      </c>
      <c r="D34" s="35">
        <f>COUNTIFS(DATOS_[AGRUP. CLAS. PROF.],$B33,DATOS_[Sexo],$B34,DATOS_[Check Periodo Ref.],"Dentro")</f>
        <v>0</v>
      </c>
      <c r="E34" s="35">
        <f>COUNTIFS(DATOS_[AGRUP. CLAS. PROF.],$B33,DATOS_[Sexo],$B34,DATOS_[Check Periodo Ref.],"Dentro",DATOS_[Check Nº SC Norm],"Sí")</f>
        <v>0</v>
      </c>
      <c r="F34" s="35">
        <f>COUNTIFS(DATOS_[AGRUP. CLAS. PROF.],$B33,DATOS_[Sexo],$B34,DATOS_[Check Periodo Ref.],"Dentro",DATOS_[Check Nº SC Anualiz],"Sí")</f>
        <v>0</v>
      </c>
      <c r="G34" s="35">
        <f>COUNTIFS(DATOS_[AGRUP. CLAS. PROF.],$B33,DATOS_[Sexo],$B34,DATOS_[Check Periodo Ref.],"Dentro",DATOS_[Check Nº SC Norm y Anualiz],"Sí")</f>
        <v>0</v>
      </c>
      <c r="H34" s="35">
        <f>COUNTIFS(DATOS_[AGRUP. CLAS. PROF.],$B33,DATOS_[Sexo],$B34,DATOS_[Check Periodo Ref.],"Dentro",DATOS_[Check Equiparación],"Sí")</f>
        <v>0</v>
      </c>
      <c r="I34" s="110">
        <f t="array" ref="I34">IFERROR(
MEDIAN(IF(DATOS_[Sexo]=$B34,IF(DATOS_[[AGRUP. CLAS. PROF.]:[AGRUP. CLAS. PROF.]]=$B33,IF(DATOS_[Check Equiparado]="Sí",IF(DATOS_[Check Periodo Ref.]="Dentro",DATOS_[SALARIO BASE Eq],FALSE))))),
0)</f>
        <v>0</v>
      </c>
      <c r="J34" s="111">
        <f t="array" ref="J34">IFERROR(
(MEDIAN((IF(DATOS_[[Sexo]:[Sexo]]=$B34,IF(DATOS_[[AGRUP. CLAS. PROF.]:[AGRUP. CLAS. PROF.]]=$B33,IF(DATOS_[[Check Periodo Ref.]:[Check Periodo Ref.]]="Dentro",IF(DATOS_[[Check Equiparado]:[Check Equiparado]]="Sí",IF(DATOS!AE$5="Sí",(1/DATOS_[[% anualiz]:[% anualiz]]),1)*IF(DATOS!AE$4="Sí",1/DATOS_[[% normaliz]:[% normaliz]],1)*(DATOS_[Conc.Sal.01])))))))),
0)</f>
        <v>0</v>
      </c>
      <c r="K34" s="111">
        <f t="array" ref="K34">IFERROR(
(MEDIAN((IF(DATOS_[[Sexo]:[Sexo]]=$B34,IF(DATOS_[[AGRUP. CLAS. PROF.]:[AGRUP. CLAS. PROF.]]=$B33,IF(DATOS_[[Check Periodo Ref.]:[Check Periodo Ref.]]="Dentro",IF(DATOS_[[Check Equiparado]:[Check Equiparado]]="Sí",IF(DATOS!AF$5="Sí",(1/DATOS_[[% anualiz]:[% anualiz]]),1)*IF(DATOS!AF$4="Sí",1/DATOS_[[% normaliz]:[% normaliz]],1)*(DATOS_[Conc.Sal.02])))))))),
0)</f>
        <v>0</v>
      </c>
      <c r="L34" s="111">
        <f t="array" ref="L34">IFERROR(
(MEDIAN((IF(DATOS_[[Sexo]:[Sexo]]=$B34,IF(DATOS_[[AGRUP. CLAS. PROF.]:[AGRUP. CLAS. PROF.]]=$B33,IF(DATOS_[[Check Periodo Ref.]:[Check Periodo Ref.]]="Dentro",IF(DATOS_[[Check Equiparado]:[Check Equiparado]]="Sí",IF(DATOS!AG$5="Sí",(1/DATOS_[[% anualiz]:[% anualiz]]),1)*IF(DATOS!AG$4="Sí",1/DATOS_[[% normaliz]:[% normaliz]],1)*(DATOS_[Conc.Sal.03])))))))),
0)</f>
        <v>0</v>
      </c>
      <c r="M34" s="111">
        <f t="array" ref="M34">IFERROR(
(MEDIAN((IF(DATOS_[[Sexo]:[Sexo]]=$B34,IF(DATOS_[[AGRUP. CLAS. PROF.]:[AGRUP. CLAS. PROF.]]=$B33,IF(DATOS_[[Check Periodo Ref.]:[Check Periodo Ref.]]="Dentro",IF(DATOS_[[Check Equiparado]:[Check Equiparado]]="Sí",IF(DATOS!AH$5="Sí",(1/DATOS_[[% anualiz]:[% anualiz]]),1)*IF(DATOS!AH$4="Sí",1/DATOS_[[% normaliz]:[% normaliz]],1)*(DATOS_[Conc.Sal.04])))))))),
0)</f>
        <v>0</v>
      </c>
      <c r="N34" s="111">
        <f t="array" ref="N34">IFERROR(
(MEDIAN((IF(DATOS_[[Sexo]:[Sexo]]=$B34,IF(DATOS_[[AGRUP. CLAS. PROF.]:[AGRUP. CLAS. PROF.]]=$B33,IF(DATOS_[[Check Periodo Ref.]:[Check Periodo Ref.]]="Dentro",IF(DATOS_[[Check Equiparado]:[Check Equiparado]]="Sí",IF(DATOS!AI$5="Sí",(1/DATOS_[[% anualiz]:[% anualiz]]),1)*IF(DATOS!AI$4="Sí",1/DATOS_[[% normaliz]:[% normaliz]],1)*(DATOS_[Conc.Sal.05])))))))),
0)</f>
        <v>0</v>
      </c>
      <c r="O34" s="111">
        <f t="array" ref="O34">IFERROR(
(MEDIAN((IF(DATOS_[[Sexo]:[Sexo]]=$B34,IF(DATOS_[[AGRUP. CLAS. PROF.]:[AGRUP. CLAS. PROF.]]=$B33,IF(DATOS_[[Check Periodo Ref.]:[Check Periodo Ref.]]="Dentro",IF(DATOS_[[Check Equiparado]:[Check Equiparado]]="Sí",IF(DATOS!AJ$5="Sí",(1/DATOS_[[% anualiz]:[% anualiz]]),1)*IF(DATOS!AJ$4="Sí",1/DATOS_[[% normaliz]:[% normaliz]],1)*(DATOS_[Conc.Sal.06])))))))),
0)</f>
        <v>0</v>
      </c>
      <c r="P34" s="111">
        <f t="array" ref="P34">IFERROR(
(MEDIAN((IF(DATOS_[[Sexo]:[Sexo]]=$B34,IF(DATOS_[[AGRUP. CLAS. PROF.]:[AGRUP. CLAS. PROF.]]=$B33,IF(DATOS_[[Check Periodo Ref.]:[Check Periodo Ref.]]="Dentro",IF(DATOS_[[Check Equiparado]:[Check Equiparado]]="Sí",IF(DATOS!AK$5="Sí",(1/DATOS_[[% anualiz]:[% anualiz]]),1)*IF(DATOS!AK$4="Sí",1/DATOS_[[% normaliz]:[% normaliz]],1)*(DATOS_[Conc.Sal.07])))))))),
0)</f>
        <v>0</v>
      </c>
      <c r="Q34" s="111">
        <f t="array" ref="Q34">IFERROR(
(MEDIAN((IF(DATOS_[[Sexo]:[Sexo]]=$B34,IF(DATOS_[[AGRUP. CLAS. PROF.]:[AGRUP. CLAS. PROF.]]=$B33,IF(DATOS_[[Check Periodo Ref.]:[Check Periodo Ref.]]="Dentro",IF(DATOS_[[Check Equiparado]:[Check Equiparado]]="Sí",IF(DATOS!AL$5="Sí",(1/DATOS_[[% anualiz]:[% anualiz]]),1)*IF(DATOS!AL$4="Sí",1/DATOS_[[% normaliz]:[% normaliz]],1)*(DATOS_[Conc.Sal.08])))))))),
0)</f>
        <v>0</v>
      </c>
      <c r="R34" s="111">
        <f t="array" ref="R34">IFERROR(
(MEDIAN((IF(DATOS_[[Sexo]:[Sexo]]=$B34,IF(DATOS_[[AGRUP. CLAS. PROF.]:[AGRUP. CLAS. PROF.]]=$B33,IF(DATOS_[[Check Periodo Ref.]:[Check Periodo Ref.]]="Dentro",IF(DATOS_[[Check Equiparado]:[Check Equiparado]]="Sí",IF(DATOS!AM$5="Sí",(1/DATOS_[[% anualiz]:[% anualiz]]),1)*IF(DATOS!AM$4="Sí",1/DATOS_[[% normaliz]:[% normaliz]],1)*(DATOS_[Conc.Sal.09])))))))),
0)</f>
        <v>0</v>
      </c>
      <c r="S34" s="111">
        <f t="array" ref="S34">IFERROR(
(MEDIAN((IF(DATOS_[[Sexo]:[Sexo]]=$B34,IF(DATOS_[[AGRUP. CLAS. PROF.]:[AGRUP. CLAS. PROF.]]=$B33,IF(DATOS_[[Check Periodo Ref.]:[Check Periodo Ref.]]="Dentro",IF(DATOS_[[Check Equiparado]:[Check Equiparado]]="Sí",IF(DATOS!AN$5="Sí",(1/DATOS_[[% anualiz]:[% anualiz]]),1)*IF(DATOS!AN$4="Sí",1/DATOS_[[% normaliz]:[% normaliz]],1)*(DATOS_[Conc.Sal.10])))))))),
0)</f>
        <v>0</v>
      </c>
      <c r="T34" s="111">
        <f t="array" ref="T34">IFERROR(
(MEDIAN((IF(DATOS_[[Sexo]:[Sexo]]=$B34,IF(DATOS_[[AGRUP. CLAS. PROF.]:[AGRUP. CLAS. PROF.]]=$B33,IF(DATOS_[[Check Periodo Ref.]:[Check Periodo Ref.]]="Dentro",IF(DATOS_[[Check Equiparado]:[Check Equiparado]]="Sí",IF(DATOS!AO$5="Sí",(1/DATOS_[[% anualiz]:[% anualiz]]),1)*IF(DATOS!AO$4="Sí",1/DATOS_[[% normaliz]:[% normaliz]],1)*(DATOS_[Conc.Sal.11])))))))),
0)</f>
        <v>0</v>
      </c>
      <c r="U34" s="111">
        <f t="array" ref="U34">IFERROR(
(MEDIAN((IF(DATOS_[[Sexo]:[Sexo]]=$B34,IF(DATOS_[[AGRUP. CLAS. PROF.]:[AGRUP. CLAS. PROF.]]=$B33,IF(DATOS_[[Check Periodo Ref.]:[Check Periodo Ref.]]="Dentro",IF(DATOS_[[Check Equiparado]:[Check Equiparado]]="Sí",IF(DATOS!AP$5="Sí",(1/DATOS_[[% anualiz]:[% anualiz]]),1)*IF(DATOS!AP$4="Sí",1/DATOS_[[% normaliz]:[% normaliz]],1)*(DATOS_[Conc.Sal.12])))))))),
0)</f>
        <v>0</v>
      </c>
      <c r="V34" s="111">
        <f t="array" ref="V34">IFERROR(
(MEDIAN((IF(DATOS_[[Sexo]:[Sexo]]=$B34,IF(DATOS_[[AGRUP. CLAS. PROF.]:[AGRUP. CLAS. PROF.]]=$B33,IF(DATOS_[[Check Periodo Ref.]:[Check Periodo Ref.]]="Dentro",IF(DATOS_[[Check Equiparado]:[Check Equiparado]]="Sí",IF(DATOS!AQ$5="Sí",(1/DATOS_[[% anualiz]:[% anualiz]]),1)*IF(DATOS!AQ$4="Sí",1/DATOS_[[% normaliz]:[% normaliz]],1)*(DATOS_[Conc.Sal.13])))))))),
0)</f>
        <v>0</v>
      </c>
      <c r="W34" s="111">
        <f t="array" ref="W34">IFERROR(
(MEDIAN((IF(DATOS_[[Sexo]:[Sexo]]=$B34,IF(DATOS_[[AGRUP. CLAS. PROF.]:[AGRUP. CLAS. PROF.]]=$B33,IF(DATOS_[[Check Periodo Ref.]:[Check Periodo Ref.]]="Dentro",IF(DATOS_[[Check Equiparado]:[Check Equiparado]]="Sí",IF(DATOS!AR$5="Sí",(1/DATOS_[[% anualiz]:[% anualiz]]),1)*IF(DATOS!AR$4="Sí",1/DATOS_[[% normaliz]:[% normaliz]],1)*(DATOS_[Conc.Sal.14])))))))),
0)</f>
        <v>0</v>
      </c>
      <c r="X34" s="111">
        <f t="array" ref="X34">IFERROR(
(MEDIAN((IF(DATOS_[[Sexo]:[Sexo]]=$B34,IF(DATOS_[[AGRUP. CLAS. PROF.]:[AGRUP. CLAS. PROF.]]=$B33,IF(DATOS_[[Check Periodo Ref.]:[Check Periodo Ref.]]="Dentro",IF(DATOS_[[Check Equiparado]:[Check Equiparado]]="Sí",IF(DATOS!AS$5="Sí",(1/DATOS_[[% anualiz]:[% anualiz]]),1)*IF(DATOS!AS$4="Sí",1/DATOS_[[% normaliz]:[% normaliz]],1)*(DATOS_[Conc.Sal.15])))))))),
0)</f>
        <v>0</v>
      </c>
      <c r="Y34" s="111">
        <f t="array" ref="Y34">IFERROR(
(MEDIAN((IF(DATOS_[[Sexo]:[Sexo]]=$B34,IF(DATOS_[[AGRUP. CLAS. PROF.]:[AGRUP. CLAS. PROF.]]=$B33,IF(DATOS_[[Check Periodo Ref.]:[Check Periodo Ref.]]="Dentro",IF(DATOS_[[Check Equiparado]:[Check Equiparado]]="Sí",IF(DATOS!AT$5="Sí",(1/DATOS_[[% anualiz]:[% anualiz]]),1)*IF(DATOS!AT$4="Sí",1/DATOS_[[% normaliz]:[% normaliz]],1)*(DATOS_[Conc.Sal.16])))))))),
0)</f>
        <v>0</v>
      </c>
      <c r="Z34" s="111">
        <f t="array" ref="Z34">IFERROR(
(MEDIAN((IF(DATOS_[[Sexo]:[Sexo]]=$B34,IF(DATOS_[[AGRUP. CLAS. PROF.]:[AGRUP. CLAS. PROF.]]=$B33,IF(DATOS_[[Check Periodo Ref.]:[Check Periodo Ref.]]="Dentro",IF(DATOS_[[Check Equiparado]:[Check Equiparado]]="Sí",IF(DATOS!AU$5="Sí",(1/DATOS_[[% anualiz]:[% anualiz]]),1)*IF(DATOS!AU$4="Sí",1/DATOS_[[% normaliz]:[% normaliz]],1)*(DATOS_[Conc.Sal.17])))))))),
0)</f>
        <v>0</v>
      </c>
      <c r="AA34" s="111">
        <f t="array" ref="AA34">IFERROR(
(MEDIAN((IF(DATOS_[[Sexo]:[Sexo]]=$B34,IF(DATOS_[[AGRUP. CLAS. PROF.]:[AGRUP. CLAS. PROF.]]=$B33,IF(DATOS_[[Check Periodo Ref.]:[Check Periodo Ref.]]="Dentro",IF(DATOS_[[Check Equiparado]:[Check Equiparado]]="Sí",IF(DATOS!AV$5="Sí",(1/DATOS_[[% anualiz]:[% anualiz]]),1)*IF(DATOS!AV$4="Sí",1/DATOS_[[% normaliz]:[% normaliz]],1)*(DATOS_[Conc.Sal.18])))))))),
0)</f>
        <v>0</v>
      </c>
      <c r="AB34" s="111">
        <f t="array" ref="AB34">IFERROR(
(MEDIAN((IF(DATOS_[[Sexo]:[Sexo]]=$B34,IF(DATOS_[[AGRUP. CLAS. PROF.]:[AGRUP. CLAS. PROF.]]=$B33,IF(DATOS_[[Check Periodo Ref.]:[Check Periodo Ref.]]="Dentro",IF(DATOS_[[Check Equiparado]:[Check Equiparado]]="Sí",IF(DATOS!AW$5="Sí",(1/DATOS_[[% anualiz]:[% anualiz]]),1)*IF(DATOS!AW$4="Sí",1/DATOS_[[% normaliz]:[% normaliz]],1)*(DATOS_[Conc.Sal.19])))))))),
0)</f>
        <v>0</v>
      </c>
      <c r="AC34" s="111">
        <f t="array" ref="AC34">IFERROR(
(MEDIAN((IF(DATOS_[[Sexo]:[Sexo]]=$B34,IF(DATOS_[[AGRUP. CLAS. PROF.]:[AGRUP. CLAS. PROF.]]=$B33,IF(DATOS_[[Check Periodo Ref.]:[Check Periodo Ref.]]="Dentro",IF(DATOS_[[Check Equiparado]:[Check Equiparado]]="Sí",IF(DATOS!AX$5="Sí",(1/DATOS_[[% anualiz]:[% anualiz]]),1)*IF(DATOS!AX$4="Sí",1/DATOS_[[% normaliz]:[% normaliz]],1)*(DATOS_[Conc.Sal.20])))))))),
0)</f>
        <v>0</v>
      </c>
      <c r="AD34" s="111">
        <f t="array" ref="AD34">IFERROR(
(MEDIAN((IF(DATOS_[[Sexo]:[Sexo]]=$B34,IF(DATOS_[[AGRUP. CLAS. PROF.]:[AGRUP. CLAS. PROF.]]=$B33,IF(DATOS_[[Check Periodo Ref.]:[Check Periodo Ref.]]="Dentro",IF(DATOS_[[Check Equiparado]:[Check Equiparado]]="Sí",IF(DATOS!AY$5="Sí",(1/DATOS_[[% anualiz]:[% anualiz]]),1)*IF(DATOS!AY$4="Sí",1/DATOS_[[% normaliz]:[% normaliz]],1)*(DATOS_[Conc.Sal.21])))))))),
0)</f>
        <v>0</v>
      </c>
      <c r="AE34" s="111">
        <f t="array" ref="AE34">IFERROR(
(MEDIAN((IF(DATOS_[[Sexo]:[Sexo]]=$B34,IF(DATOS_[[AGRUP. CLAS. PROF.]:[AGRUP. CLAS. PROF.]]=$B33,IF(DATOS_[[Check Periodo Ref.]:[Check Periodo Ref.]]="Dentro",IF(DATOS_[[Check Equiparado]:[Check Equiparado]]="Sí",IF(DATOS!AZ$5="Sí",(1/DATOS_[[% anualiz]:[% anualiz]]),1)*IF(DATOS!AZ$4="Sí",1/DATOS_[[% normaliz]:[% normaliz]],1)*(DATOS_[Conc.Sal.22])))))))),
0)</f>
        <v>0</v>
      </c>
      <c r="AF34" s="111">
        <f t="array" ref="AF34">IFERROR(
(MEDIAN((IF(DATOS_[[Sexo]:[Sexo]]=$B34,IF(DATOS_[[AGRUP. CLAS. PROF.]:[AGRUP. CLAS. PROF.]]=$B33,IF(DATOS_[[Check Periodo Ref.]:[Check Periodo Ref.]]="Dentro",IF(DATOS_[[Check Equiparado]:[Check Equiparado]]="Sí",IF(DATOS!BA$5="Sí",(1/DATOS_[[% anualiz]:[% anualiz]]),1)*IF(DATOS!BA$4="Sí",1/DATOS_[[% normaliz]:[% normaliz]],1)*(DATOS_[Conc.Sal.23])))))))),
0)</f>
        <v>0</v>
      </c>
      <c r="AG34" s="111">
        <f t="array" ref="AG34">IFERROR(
(MEDIAN((IF(DATOS_[[Sexo]:[Sexo]]=$B34,IF(DATOS_[[AGRUP. CLAS. PROF.]:[AGRUP. CLAS. PROF.]]=$B33,IF(DATOS_[[Check Periodo Ref.]:[Check Periodo Ref.]]="Dentro",IF(DATOS_[[Check Equiparado]:[Check Equiparado]]="Sí",IF(DATOS!BB$5="Sí",(1/DATOS_[[% anualiz]:[% anualiz]]),1)*IF(DATOS!BB$4="Sí",1/DATOS_[[% normaliz]:[% normaliz]],1)*(DATOS_[Conc.Sal.24])))))))),
0)</f>
        <v>0</v>
      </c>
      <c r="AH34" s="111">
        <f t="array" ref="AH34">IFERROR(
(MEDIAN((IF(DATOS_[[Sexo]:[Sexo]]=$B34,IF(DATOS_[[AGRUP. CLAS. PROF.]:[AGRUP. CLAS. PROF.]]=$B33,IF(DATOS_[[Check Periodo Ref.]:[Check Periodo Ref.]]="Dentro",IF(DATOS_[[Check Equiparado]:[Check Equiparado]]="Sí",IF(DATOS!BC$5="Sí",(1/DATOS_[[% anualiz]:[% anualiz]]),1)*IF(DATOS!BC$4="Sí",1/DATOS_[[% normaliz]:[% normaliz]],1)*(DATOS_[Conc.Sal.25])))))))),
0)</f>
        <v>0</v>
      </c>
      <c r="AI34" s="111">
        <f t="array" ref="AI34">IFERROR(
(MEDIAN((IF(DATOS_[[Sexo]:[Sexo]]=$B34,IF(DATOS_[[AGRUP. CLAS. PROF.]:[AGRUP. CLAS. PROF.]]=$B33,IF(DATOS_[[Check Periodo Ref.]:[Check Periodo Ref.]]="Dentro",IF(DATOS_[[Check Equiparado]:[Check Equiparado]]="Sí",IF(DATOS!BD$5="Sí",(1/DATOS_[[% anualiz]:[% anualiz]]),1)*IF(DATOS!BD$4="Sí",1/DATOS_[[% normaliz]:[% normaliz]],1)*(DATOS_[Conc.Sal.26])))))))),
0)</f>
        <v>0</v>
      </c>
      <c r="AJ34" s="111">
        <f t="array" ref="AJ34">IFERROR(
(MEDIAN((IF(DATOS_[[Sexo]:[Sexo]]=$B34,IF(DATOS_[[AGRUP. CLAS. PROF.]:[AGRUP. CLAS. PROF.]]=$B33,IF(DATOS_[[Check Periodo Ref.]:[Check Periodo Ref.]]="Dentro",IF(DATOS_[[Check Equiparado]:[Check Equiparado]]="Sí",IF(DATOS!BE$5="Sí",(1/DATOS_[[% anualiz]:[% anualiz]]),1)*IF(DATOS!BE$4="Sí",1/DATOS_[[% normaliz]:[% normaliz]],1)*(DATOS_[Conc.Sal.27])))))))),
0)</f>
        <v>0</v>
      </c>
      <c r="AK34" s="111">
        <f t="array" ref="AK34">IFERROR(
(MEDIAN((IF(DATOS_[[Sexo]:[Sexo]]=$B34,IF(DATOS_[[AGRUP. CLAS. PROF.]:[AGRUP. CLAS. PROF.]]=$B33,IF(DATOS_[[Check Periodo Ref.]:[Check Periodo Ref.]]="Dentro",IF(DATOS_[[Check Equiparado]:[Check Equiparado]]="Sí",IF(DATOS!BF$5="Sí",(1/DATOS_[[% anualiz]:[% anualiz]]),1)*IF(DATOS!BF$4="Sí",1/DATOS_[[% normaliz]:[% normaliz]],1)*(DATOS_[Conc.Sal.28])))))))),
0)</f>
        <v>0</v>
      </c>
      <c r="AL34" s="111">
        <f t="array" ref="AL34">IFERROR(
(MEDIAN((IF(DATOS_[[Sexo]:[Sexo]]=$B34,IF(DATOS_[[AGRUP. CLAS. PROF.]:[AGRUP. CLAS. PROF.]]=$B33,IF(DATOS_[[Check Periodo Ref.]:[Check Periodo Ref.]]="Dentro",IF(DATOS_[[Check Equiparado]:[Check Equiparado]]="Sí",IF(DATOS!BG$5="Sí",(1/DATOS_[[% anualiz]:[% anualiz]]),1)*IF(DATOS!BG$4="Sí",1/DATOS_[[% normaliz]:[% normaliz]],1)*(DATOS_[Conc.Sal.29])))))))),
0)</f>
        <v>0</v>
      </c>
      <c r="AM34" s="111">
        <f t="array" ref="AM34">IFERROR(
(MEDIAN((IF(DATOS_[[Sexo]:[Sexo]]=$B34,IF(DATOS_[[AGRUP. CLAS. PROF.]:[AGRUP. CLAS. PROF.]]=$B33,IF(DATOS_[[Check Periodo Ref.]:[Check Periodo Ref.]]="Dentro",IF(DATOS_[[Check Equiparado]:[Check Equiparado]]="Sí",IF(DATOS!BH$5="Sí",(1/DATOS_[[% anualiz]:[% anualiz]]),1)*IF(DATOS!BH$4="Sí",1/DATOS_[[% normaliz]:[% normaliz]],1)*(DATOS_[Conc.Sal.30])))))))),
0)</f>
        <v>0</v>
      </c>
      <c r="AN34" s="112">
        <f t="array" ref="AN34">IFERROR(
MEDIAN(IF(DATOS_[Sexo]=$B34,IF(DATOS_[[AGRUP. CLAS. PROF.]:[AGRUP. CLAS. PROF.]]=$B33,IF(DATOS_[Check Equiparado]="Sí",IF(DATOS_[Check Periodo Ref.]="Dentro",DATOS_[Tot COMPL.SAL Eq],FALSE))))),
0)</f>
        <v>0</v>
      </c>
      <c r="AO34" s="113">
        <f t="array" ref="AO34">IFERROR(
MEDIAN(IF(DATOS_[Sexo]=$B34,IF(DATOS_[[AGRUP. CLAS. PROF.]:[AGRUP. CLAS. PROF.]]=$B33,IF(DATOS_[Check Equiparado]="Sí",IF(DATOS_[Check Periodo Ref.]="Dentro",DATOS_[TOTAL SALARIO Eq],FALSE))))),
0)</f>
        <v>0</v>
      </c>
      <c r="AP34" s="114">
        <f t="array" ref="AP34">IFERROR(
(MEDIAN((IF(DATOS_[[Sexo]:[Sexo]]=$B34,IF(DATOS_[[AGRUP. CLAS. PROF.]:[AGRUP. CLAS. PROF.]]=$B33,IF(DATOS_[[Check Periodo Ref.]:[Check Periodo Ref.]]="Dentro",IF(DATOS_[[Check Equiparado]:[Check Equiparado]]="Sí",IF(DATOS!BI$5="Sí",(1/DATOS_[[% anualiz]:[% anualiz]]),1)*IF(DATOS!BI$4="Sí",1/DATOS_[[% normaliz]:[% normaliz]],1)*(DATOS_[C.Extra.01])))))))),
0)</f>
        <v>0</v>
      </c>
      <c r="AQ34" s="114">
        <f t="array" ref="AQ34">IFERROR(
(MEDIAN((IF(DATOS_[[Sexo]:[Sexo]]=$B34,IF(DATOS_[[AGRUP. CLAS. PROF.]:[AGRUP. CLAS. PROF.]]=$B33,IF(DATOS_[[Check Periodo Ref.]:[Check Periodo Ref.]]="Dentro",IF(DATOS_[[Check Equiparado]:[Check Equiparado]]="Sí",IF(DATOS!BJ$5="Sí",(1/DATOS_[[% anualiz]:[% anualiz]]),1)*IF(DATOS!BJ$4="Sí",1/DATOS_[[% normaliz]:[% normaliz]],1)*(DATOS_[C.Extra.02])))))))),
0)</f>
        <v>0</v>
      </c>
      <c r="AR34" s="114">
        <f t="array" ref="AR34">IFERROR(
(MEDIAN((IF(DATOS_[[Sexo]:[Sexo]]=$B34,IF(DATOS_[[AGRUP. CLAS. PROF.]:[AGRUP. CLAS. PROF.]]=$B33,IF(DATOS_[[Check Periodo Ref.]:[Check Periodo Ref.]]="Dentro",IF(DATOS_[[Check Equiparado]:[Check Equiparado]]="Sí",IF(DATOS!BK$5="Sí",(1/DATOS_[[% anualiz]:[% anualiz]]),1)*IF(DATOS!BK$4="Sí",1/DATOS_[[% normaliz]:[% normaliz]],1)*(DATOS_[C.Extra.03])))))))),
0)</f>
        <v>0</v>
      </c>
      <c r="AS34" s="114">
        <f t="array" ref="AS34">IFERROR(
(MEDIAN((IF(DATOS_[[Sexo]:[Sexo]]=$B34,IF(DATOS_[[AGRUP. CLAS. PROF.]:[AGRUP. CLAS. PROF.]]=$B33,IF(DATOS_[[Check Periodo Ref.]:[Check Periodo Ref.]]="Dentro",IF(DATOS_[[Check Equiparado]:[Check Equiparado]]="Sí",IF(DATOS!BL$5="Sí",(1/DATOS_[[% anualiz]:[% anualiz]]),1)*IF(DATOS!BL$4="Sí",1/DATOS_[[% normaliz]:[% normaliz]],1)*(DATOS_[C.Extra.04])))))))),
0)</f>
        <v>0</v>
      </c>
      <c r="AT34" s="114">
        <f t="array" ref="AT34">IFERROR(
(MEDIAN((IF(DATOS_[[Sexo]:[Sexo]]=$B34,IF(DATOS_[[AGRUP. CLAS. PROF.]:[AGRUP. CLAS. PROF.]]=$B33,IF(DATOS_[[Check Periodo Ref.]:[Check Periodo Ref.]]="Dentro",IF(DATOS_[[Check Equiparado]:[Check Equiparado]]="Sí",IF(DATOS!BM$5="Sí",(1/DATOS_[[% anualiz]:[% anualiz]]),1)*IF(DATOS!BM$4="Sí",1/DATOS_[[% normaliz]:[% normaliz]],1)*(DATOS_[C.Extra.05])))))))),
0)</f>
        <v>0</v>
      </c>
      <c r="AU34" s="115">
        <f t="array" ref="AU34">IFERROR(
MEDIAN(IF(DATOS_[Sexo]=$B34,IF(DATOS_[[AGRUP. CLAS. PROF.]:[AGRUP. CLAS. PROF.]]=$B33,IF(DATOS_[Check Equiparado]="Sí",IF(DATOS_[Check Periodo Ref.]="Dentro",DATOS_[Tot Extrasalarial Eq],FALSE))))),
0)</f>
        <v>0</v>
      </c>
      <c r="AV34" s="116">
        <f t="array" ref="AV34">IFERROR(
MEDIAN(IF(DATOS_[Sexo]=$B34,IF(DATOS_[[AGRUP. CLAS. PROF.]:[AGRUP. CLAS. PROF.]]=$B33,IF(DATOS_[Check Equiparado]="Sí",IF(DATOS_[Check Periodo Ref.]="Dentro",DATOS_[TOTAL Retrib Eq],FALSE))))),
0)</f>
        <v>0</v>
      </c>
    </row>
    <row r="35" spans="1:48" hidden="1" x14ac:dyDescent="0.3">
      <c r="A35" s="42" t="str">
        <f t="shared" ref="A35" si="30">+A34</f>
        <v>[ocultar]</v>
      </c>
      <c r="B35" s="86" t="s">
        <v>163</v>
      </c>
      <c r="C35" s="33">
        <f t="array" ref="C35">SUM(IF($B35=DATOS_[Sexo],
IF($B33=DATOS_[AGRUP. CLAS. PROF.],
IF("Dentro"=DATOS_[Check Periodo Ref.],
1/(COUNTIFS(DATOS_[Sexo],$B35,DATOS_[AGRUP. CLAS. PROF.],$B33,DATOS_[Check Periodo Ref.],"Dentro",DATOS_[id],DATOS_[id]))))))</f>
        <v>0</v>
      </c>
      <c r="D35" s="35">
        <f>COUNTIFS(DATOS_[AGRUP. CLAS. PROF.],$B33,DATOS_[Sexo],$B35,DATOS_[Check Periodo Ref.],"Dentro")</f>
        <v>0</v>
      </c>
      <c r="E35" s="35">
        <f>COUNTIFS(DATOS_[AGRUP. CLAS. PROF.],$B33,DATOS_[Sexo],$B35,DATOS_[Check Periodo Ref.],"Dentro",DATOS_[Check Nº SC Norm],"Sí")</f>
        <v>0</v>
      </c>
      <c r="F35" s="35">
        <f>COUNTIFS(DATOS_[AGRUP. CLAS. PROF.],$B33,DATOS_[Sexo],$B35,DATOS_[Check Periodo Ref.],"Dentro",DATOS_[Check Nº SC Anualiz],"Sí")</f>
        <v>0</v>
      </c>
      <c r="G35" s="35">
        <f>COUNTIFS(DATOS_[AGRUP. CLAS. PROF.],$B33,DATOS_[Sexo],$B35,DATOS_[Check Periodo Ref.],"Dentro",DATOS_[Check Nº SC Norm y Anualiz],"Sí")</f>
        <v>0</v>
      </c>
      <c r="H35" s="35">
        <f>COUNTIFS(DATOS_[AGRUP. CLAS. PROF.],$B33,DATOS_[Sexo],$B35,DATOS_[Check Periodo Ref.],"Dentro",DATOS_[Check Equiparación],"Sí")</f>
        <v>0</v>
      </c>
      <c r="I35" s="110" cm="1">
        <f t="array" ref="I35">IFERROR(
MEDIAN(IF(DATOS_[Sexo]=$B35,IF(DATOS_[[AGRUP. CLAS. PROF.]:[AGRUP. CLAS. PROF.]]=$B33,IF(DATOS_[Check Equiparado]="Sí",IF(DATOS_[Check Periodo Ref.]="Dentro",DATOS_[SALARIO BASE Eq],FALSE))))),
0)</f>
        <v>0</v>
      </c>
      <c r="J35" s="111">
        <f t="array" ref="J35">IFERROR(
(MEDIAN((IF(DATOS_[[Sexo]:[Sexo]]=$B35,IF(DATOS_[[AGRUP. CLAS. PROF.]:[AGRUP. CLAS. PROF.]]=$B33,IF(DATOS_[[Check Periodo Ref.]:[Check Periodo Ref.]]="Dentro",IF(DATOS_[[Check Equiparado]:[Check Equiparado]]="Sí",IF(DATOS!AE$5="Sí",(1/DATOS_[[% anualiz]:[% anualiz]]),1)*IF(DATOS!AE$4="Sí",1/DATOS_[[% normaliz]:[% normaliz]],1)*(DATOS_[Conc.Sal.01])))))))),
0)</f>
        <v>0</v>
      </c>
      <c r="K35" s="111">
        <f t="array" ref="K35">IFERROR(
(MEDIAN((IF(DATOS_[[Sexo]:[Sexo]]=$B35,IF(DATOS_[[AGRUP. CLAS. PROF.]:[AGRUP. CLAS. PROF.]]=$B33,IF(DATOS_[[Check Periodo Ref.]:[Check Periodo Ref.]]="Dentro",IF(DATOS_[[Check Equiparado]:[Check Equiparado]]="Sí",IF(DATOS!AF$5="Sí",(1/DATOS_[[% anualiz]:[% anualiz]]),1)*IF(DATOS!AF$4="Sí",1/DATOS_[[% normaliz]:[% normaliz]],1)*(DATOS_[Conc.Sal.02])))))))),
0)</f>
        <v>0</v>
      </c>
      <c r="L35" s="111">
        <f t="array" ref="L35">IFERROR(
(MEDIAN((IF(DATOS_[[Sexo]:[Sexo]]=$B35,IF(DATOS_[[AGRUP. CLAS. PROF.]:[AGRUP. CLAS. PROF.]]=$B33,IF(DATOS_[[Check Periodo Ref.]:[Check Periodo Ref.]]="Dentro",IF(DATOS_[[Check Equiparado]:[Check Equiparado]]="Sí",IF(DATOS!AG$5="Sí",(1/DATOS_[[% anualiz]:[% anualiz]]),1)*IF(DATOS!AG$4="Sí",1/DATOS_[[% normaliz]:[% normaliz]],1)*(DATOS_[Conc.Sal.03])))))))),
0)</f>
        <v>0</v>
      </c>
      <c r="M35" s="111">
        <f t="array" ref="M35">IFERROR(
(MEDIAN((IF(DATOS_[[Sexo]:[Sexo]]=$B35,IF(DATOS_[[AGRUP. CLAS. PROF.]:[AGRUP. CLAS. PROF.]]=$B33,IF(DATOS_[[Check Periodo Ref.]:[Check Periodo Ref.]]="Dentro",IF(DATOS_[[Check Equiparado]:[Check Equiparado]]="Sí",IF(DATOS!AH$5="Sí",(1/DATOS_[[% anualiz]:[% anualiz]]),1)*IF(DATOS!AH$4="Sí",1/DATOS_[[% normaliz]:[% normaliz]],1)*(DATOS_[Conc.Sal.04])))))))),
0)</f>
        <v>0</v>
      </c>
      <c r="N35" s="111">
        <f t="array" ref="N35">IFERROR(
(MEDIAN((IF(DATOS_[[Sexo]:[Sexo]]=$B35,IF(DATOS_[[AGRUP. CLAS. PROF.]:[AGRUP. CLAS. PROF.]]=$B33,IF(DATOS_[[Check Periodo Ref.]:[Check Periodo Ref.]]="Dentro",IF(DATOS_[[Check Equiparado]:[Check Equiparado]]="Sí",IF(DATOS!AI$5="Sí",(1/DATOS_[[% anualiz]:[% anualiz]]),1)*IF(DATOS!AI$4="Sí",1/DATOS_[[% normaliz]:[% normaliz]],1)*(DATOS_[Conc.Sal.05])))))))),
0)</f>
        <v>0</v>
      </c>
      <c r="O35" s="111">
        <f t="array" ref="O35">IFERROR(
(MEDIAN((IF(DATOS_[[Sexo]:[Sexo]]=$B35,IF(DATOS_[[AGRUP. CLAS. PROF.]:[AGRUP. CLAS. PROF.]]=$B33,IF(DATOS_[[Check Periodo Ref.]:[Check Periodo Ref.]]="Dentro",IF(DATOS_[[Check Equiparado]:[Check Equiparado]]="Sí",IF(DATOS!AJ$5="Sí",(1/DATOS_[[% anualiz]:[% anualiz]]),1)*IF(DATOS!AJ$4="Sí",1/DATOS_[[% normaliz]:[% normaliz]],1)*(DATOS_[Conc.Sal.06])))))))),
0)</f>
        <v>0</v>
      </c>
      <c r="P35" s="111">
        <f t="array" ref="P35">IFERROR(
(MEDIAN((IF(DATOS_[[Sexo]:[Sexo]]=$B35,IF(DATOS_[[AGRUP. CLAS. PROF.]:[AGRUP. CLAS. PROF.]]=$B33,IF(DATOS_[[Check Periodo Ref.]:[Check Periodo Ref.]]="Dentro",IF(DATOS_[[Check Equiparado]:[Check Equiparado]]="Sí",IF(DATOS!AK$5="Sí",(1/DATOS_[[% anualiz]:[% anualiz]]),1)*IF(DATOS!AK$4="Sí",1/DATOS_[[% normaliz]:[% normaliz]],1)*(DATOS_[Conc.Sal.07])))))))),
0)</f>
        <v>0</v>
      </c>
      <c r="Q35" s="111">
        <f t="array" ref="Q35">IFERROR(
(MEDIAN((IF(DATOS_[[Sexo]:[Sexo]]=$B35,IF(DATOS_[[AGRUP. CLAS. PROF.]:[AGRUP. CLAS. PROF.]]=$B33,IF(DATOS_[[Check Periodo Ref.]:[Check Periodo Ref.]]="Dentro",IF(DATOS_[[Check Equiparado]:[Check Equiparado]]="Sí",IF(DATOS!AL$5="Sí",(1/DATOS_[[% anualiz]:[% anualiz]]),1)*IF(DATOS!AL$4="Sí",1/DATOS_[[% normaliz]:[% normaliz]],1)*(DATOS_[Conc.Sal.08])))))))),
0)</f>
        <v>0</v>
      </c>
      <c r="R35" s="111">
        <f t="array" ref="R35">IFERROR(
(MEDIAN((IF(DATOS_[[Sexo]:[Sexo]]=$B35,IF(DATOS_[[AGRUP. CLAS. PROF.]:[AGRUP. CLAS. PROF.]]=$B33,IF(DATOS_[[Check Periodo Ref.]:[Check Periodo Ref.]]="Dentro",IF(DATOS_[[Check Equiparado]:[Check Equiparado]]="Sí",IF(DATOS!AM$5="Sí",(1/DATOS_[[% anualiz]:[% anualiz]]),1)*IF(DATOS!AM$4="Sí",1/DATOS_[[% normaliz]:[% normaliz]],1)*(DATOS_[Conc.Sal.09])))))))),
0)</f>
        <v>0</v>
      </c>
      <c r="S35" s="111">
        <f t="array" ref="S35">IFERROR(
(MEDIAN((IF(DATOS_[[Sexo]:[Sexo]]=$B35,IF(DATOS_[[AGRUP. CLAS. PROF.]:[AGRUP. CLAS. PROF.]]=$B33,IF(DATOS_[[Check Periodo Ref.]:[Check Periodo Ref.]]="Dentro",IF(DATOS_[[Check Equiparado]:[Check Equiparado]]="Sí",IF(DATOS!AN$5="Sí",(1/DATOS_[[% anualiz]:[% anualiz]]),1)*IF(DATOS!AN$4="Sí",1/DATOS_[[% normaliz]:[% normaliz]],1)*(DATOS_[Conc.Sal.10])))))))),
0)</f>
        <v>0</v>
      </c>
      <c r="T35" s="111">
        <f t="array" ref="T35">IFERROR(
(MEDIAN((IF(DATOS_[[Sexo]:[Sexo]]=$B35,IF(DATOS_[[AGRUP. CLAS. PROF.]:[AGRUP. CLAS. PROF.]]=$B33,IF(DATOS_[[Check Periodo Ref.]:[Check Periodo Ref.]]="Dentro",IF(DATOS_[[Check Equiparado]:[Check Equiparado]]="Sí",IF(DATOS!AO$5="Sí",(1/DATOS_[[% anualiz]:[% anualiz]]),1)*IF(DATOS!AO$4="Sí",1/DATOS_[[% normaliz]:[% normaliz]],1)*(DATOS_[Conc.Sal.11])))))))),
0)</f>
        <v>0</v>
      </c>
      <c r="U35" s="111">
        <f t="array" ref="U35">IFERROR(
(MEDIAN((IF(DATOS_[[Sexo]:[Sexo]]=$B35,IF(DATOS_[[AGRUP. CLAS. PROF.]:[AGRUP. CLAS. PROF.]]=$B33,IF(DATOS_[[Check Periodo Ref.]:[Check Periodo Ref.]]="Dentro",IF(DATOS_[[Check Equiparado]:[Check Equiparado]]="Sí",IF(DATOS!AP$5="Sí",(1/DATOS_[[% anualiz]:[% anualiz]]),1)*IF(DATOS!AP$4="Sí",1/DATOS_[[% normaliz]:[% normaliz]],1)*(DATOS_[Conc.Sal.12])))))))),
0)</f>
        <v>0</v>
      </c>
      <c r="V35" s="111">
        <f t="array" ref="V35">IFERROR(
(MEDIAN((IF(DATOS_[[Sexo]:[Sexo]]=$B35,IF(DATOS_[[AGRUP. CLAS. PROF.]:[AGRUP. CLAS. PROF.]]=$B33,IF(DATOS_[[Check Periodo Ref.]:[Check Periodo Ref.]]="Dentro",IF(DATOS_[[Check Equiparado]:[Check Equiparado]]="Sí",IF(DATOS!AQ$5="Sí",(1/DATOS_[[% anualiz]:[% anualiz]]),1)*IF(DATOS!AQ$4="Sí",1/DATOS_[[% normaliz]:[% normaliz]],1)*(DATOS_[Conc.Sal.13])))))))),
0)</f>
        <v>0</v>
      </c>
      <c r="W35" s="111">
        <f t="array" ref="W35">IFERROR(
(MEDIAN((IF(DATOS_[[Sexo]:[Sexo]]=$B35,IF(DATOS_[[AGRUP. CLAS. PROF.]:[AGRUP. CLAS. PROF.]]=$B33,IF(DATOS_[[Check Periodo Ref.]:[Check Periodo Ref.]]="Dentro",IF(DATOS_[[Check Equiparado]:[Check Equiparado]]="Sí",IF(DATOS!AR$5="Sí",(1/DATOS_[[% anualiz]:[% anualiz]]),1)*IF(DATOS!AR$4="Sí",1/DATOS_[[% normaliz]:[% normaliz]],1)*(DATOS_[Conc.Sal.14])))))))),
0)</f>
        <v>0</v>
      </c>
      <c r="X35" s="111">
        <f t="array" ref="X35">IFERROR(
(MEDIAN((IF(DATOS_[[Sexo]:[Sexo]]=$B35,IF(DATOS_[[AGRUP. CLAS. PROF.]:[AGRUP. CLAS. PROF.]]=$B33,IF(DATOS_[[Check Periodo Ref.]:[Check Periodo Ref.]]="Dentro",IF(DATOS_[[Check Equiparado]:[Check Equiparado]]="Sí",IF(DATOS!AS$5="Sí",(1/DATOS_[[% anualiz]:[% anualiz]]),1)*IF(DATOS!AS$4="Sí",1/DATOS_[[% normaliz]:[% normaliz]],1)*(DATOS_[Conc.Sal.15])))))))),
0)</f>
        <v>0</v>
      </c>
      <c r="Y35" s="111">
        <f t="array" ref="Y35">IFERROR(
(MEDIAN((IF(DATOS_[[Sexo]:[Sexo]]=$B35,IF(DATOS_[[AGRUP. CLAS. PROF.]:[AGRUP. CLAS. PROF.]]=$B33,IF(DATOS_[[Check Periodo Ref.]:[Check Periodo Ref.]]="Dentro",IF(DATOS_[[Check Equiparado]:[Check Equiparado]]="Sí",IF(DATOS!AT$5="Sí",(1/DATOS_[[% anualiz]:[% anualiz]]),1)*IF(DATOS!AT$4="Sí",1/DATOS_[[% normaliz]:[% normaliz]],1)*(DATOS_[Conc.Sal.16])))))))),
0)</f>
        <v>0</v>
      </c>
      <c r="Z35" s="111">
        <f t="array" ref="Z35">IFERROR(
(MEDIAN((IF(DATOS_[[Sexo]:[Sexo]]=$B35,IF(DATOS_[[AGRUP. CLAS. PROF.]:[AGRUP. CLAS. PROF.]]=$B33,IF(DATOS_[[Check Periodo Ref.]:[Check Periodo Ref.]]="Dentro",IF(DATOS_[[Check Equiparado]:[Check Equiparado]]="Sí",IF(DATOS!AU$5="Sí",(1/DATOS_[[% anualiz]:[% anualiz]]),1)*IF(DATOS!AU$4="Sí",1/DATOS_[[% normaliz]:[% normaliz]],1)*(DATOS_[Conc.Sal.17])))))))),
0)</f>
        <v>0</v>
      </c>
      <c r="AA35" s="111">
        <f t="array" ref="AA35">IFERROR(
(MEDIAN((IF(DATOS_[[Sexo]:[Sexo]]=$B35,IF(DATOS_[[AGRUP. CLAS. PROF.]:[AGRUP. CLAS. PROF.]]=$B33,IF(DATOS_[[Check Periodo Ref.]:[Check Periodo Ref.]]="Dentro",IF(DATOS_[[Check Equiparado]:[Check Equiparado]]="Sí",IF(DATOS!AV$5="Sí",(1/DATOS_[[% anualiz]:[% anualiz]]),1)*IF(DATOS!AV$4="Sí",1/DATOS_[[% normaliz]:[% normaliz]],1)*(DATOS_[Conc.Sal.18])))))))),
0)</f>
        <v>0</v>
      </c>
      <c r="AB35" s="111">
        <f t="array" ref="AB35">IFERROR(
(MEDIAN((IF(DATOS_[[Sexo]:[Sexo]]=$B35,IF(DATOS_[[AGRUP. CLAS. PROF.]:[AGRUP. CLAS. PROF.]]=$B33,IF(DATOS_[[Check Periodo Ref.]:[Check Periodo Ref.]]="Dentro",IF(DATOS_[[Check Equiparado]:[Check Equiparado]]="Sí",IF(DATOS!AW$5="Sí",(1/DATOS_[[% anualiz]:[% anualiz]]),1)*IF(DATOS!AW$4="Sí",1/DATOS_[[% normaliz]:[% normaliz]],1)*(DATOS_[Conc.Sal.19])))))))),
0)</f>
        <v>0</v>
      </c>
      <c r="AC35" s="111">
        <f t="array" ref="AC35">IFERROR(
(MEDIAN((IF(DATOS_[[Sexo]:[Sexo]]=$B35,IF(DATOS_[[AGRUP. CLAS. PROF.]:[AGRUP. CLAS. PROF.]]=$B33,IF(DATOS_[[Check Periodo Ref.]:[Check Periodo Ref.]]="Dentro",IF(DATOS_[[Check Equiparado]:[Check Equiparado]]="Sí",IF(DATOS!AX$5="Sí",(1/DATOS_[[% anualiz]:[% anualiz]]),1)*IF(DATOS!AX$4="Sí",1/DATOS_[[% normaliz]:[% normaliz]],1)*(DATOS_[Conc.Sal.20])))))))),
0)</f>
        <v>0</v>
      </c>
      <c r="AD35" s="111">
        <f t="array" ref="AD35">IFERROR(
(MEDIAN((IF(DATOS_[[Sexo]:[Sexo]]=$B35,IF(DATOS_[[AGRUP. CLAS. PROF.]:[AGRUP. CLAS. PROF.]]=$B33,IF(DATOS_[[Check Periodo Ref.]:[Check Periodo Ref.]]="Dentro",IF(DATOS_[[Check Equiparado]:[Check Equiparado]]="Sí",IF(DATOS!AY$5="Sí",(1/DATOS_[[% anualiz]:[% anualiz]]),1)*IF(DATOS!AY$4="Sí",1/DATOS_[[% normaliz]:[% normaliz]],1)*(DATOS_[Conc.Sal.21])))))))),
0)</f>
        <v>0</v>
      </c>
      <c r="AE35" s="111">
        <f t="array" ref="AE35">IFERROR(
(MEDIAN((IF(DATOS_[[Sexo]:[Sexo]]=$B35,IF(DATOS_[[AGRUP. CLAS. PROF.]:[AGRUP. CLAS. PROF.]]=$B33,IF(DATOS_[[Check Periodo Ref.]:[Check Periodo Ref.]]="Dentro",IF(DATOS_[[Check Equiparado]:[Check Equiparado]]="Sí",IF(DATOS!AZ$5="Sí",(1/DATOS_[[% anualiz]:[% anualiz]]),1)*IF(DATOS!AZ$4="Sí",1/DATOS_[[% normaliz]:[% normaliz]],1)*(DATOS_[Conc.Sal.22])))))))),
0)</f>
        <v>0</v>
      </c>
      <c r="AF35" s="111">
        <f t="array" ref="AF35">IFERROR(
(MEDIAN((IF(DATOS_[[Sexo]:[Sexo]]=$B35,IF(DATOS_[[AGRUP. CLAS. PROF.]:[AGRUP. CLAS. PROF.]]=$B33,IF(DATOS_[[Check Periodo Ref.]:[Check Periodo Ref.]]="Dentro",IF(DATOS_[[Check Equiparado]:[Check Equiparado]]="Sí",IF(DATOS!BA$5="Sí",(1/DATOS_[[% anualiz]:[% anualiz]]),1)*IF(DATOS!BA$4="Sí",1/DATOS_[[% normaliz]:[% normaliz]],1)*(DATOS_[Conc.Sal.23])))))))),
0)</f>
        <v>0</v>
      </c>
      <c r="AG35" s="111">
        <f t="array" ref="AG35">IFERROR(
(MEDIAN((IF(DATOS_[[Sexo]:[Sexo]]=$B35,IF(DATOS_[[AGRUP. CLAS. PROF.]:[AGRUP. CLAS. PROF.]]=$B33,IF(DATOS_[[Check Periodo Ref.]:[Check Periodo Ref.]]="Dentro",IF(DATOS_[[Check Equiparado]:[Check Equiparado]]="Sí",IF(DATOS!BB$5="Sí",(1/DATOS_[[% anualiz]:[% anualiz]]),1)*IF(DATOS!BB$4="Sí",1/DATOS_[[% normaliz]:[% normaliz]],1)*(DATOS_[Conc.Sal.24])))))))),
0)</f>
        <v>0</v>
      </c>
      <c r="AH35" s="111">
        <f t="array" ref="AH35">IFERROR(
(MEDIAN((IF(DATOS_[[Sexo]:[Sexo]]=$B35,IF(DATOS_[[AGRUP. CLAS. PROF.]:[AGRUP. CLAS. PROF.]]=$B33,IF(DATOS_[[Check Periodo Ref.]:[Check Periodo Ref.]]="Dentro",IF(DATOS_[[Check Equiparado]:[Check Equiparado]]="Sí",IF(DATOS!BC$5="Sí",(1/DATOS_[[% anualiz]:[% anualiz]]),1)*IF(DATOS!BC$4="Sí",1/DATOS_[[% normaliz]:[% normaliz]],1)*(DATOS_[Conc.Sal.25])))))))),
0)</f>
        <v>0</v>
      </c>
      <c r="AI35" s="111">
        <f t="array" ref="AI35">IFERROR(
(MEDIAN((IF(DATOS_[[Sexo]:[Sexo]]=$B35,IF(DATOS_[[AGRUP. CLAS. PROF.]:[AGRUP. CLAS. PROF.]]=$B33,IF(DATOS_[[Check Periodo Ref.]:[Check Periodo Ref.]]="Dentro",IF(DATOS_[[Check Equiparado]:[Check Equiparado]]="Sí",IF(DATOS!BD$5="Sí",(1/DATOS_[[% anualiz]:[% anualiz]]),1)*IF(DATOS!BD$4="Sí",1/DATOS_[[% normaliz]:[% normaliz]],1)*(DATOS_[Conc.Sal.26])))))))),
0)</f>
        <v>0</v>
      </c>
      <c r="AJ35" s="111">
        <f t="array" ref="AJ35">IFERROR(
(MEDIAN((IF(DATOS_[[Sexo]:[Sexo]]=$B35,IF(DATOS_[[AGRUP. CLAS. PROF.]:[AGRUP. CLAS. PROF.]]=$B33,IF(DATOS_[[Check Periodo Ref.]:[Check Periodo Ref.]]="Dentro",IF(DATOS_[[Check Equiparado]:[Check Equiparado]]="Sí",IF(DATOS!BE$5="Sí",(1/DATOS_[[% anualiz]:[% anualiz]]),1)*IF(DATOS!BE$4="Sí",1/DATOS_[[% normaliz]:[% normaliz]],1)*(DATOS_[Conc.Sal.27])))))))),
0)</f>
        <v>0</v>
      </c>
      <c r="AK35" s="111">
        <f t="array" ref="AK35">IFERROR(
(MEDIAN((IF(DATOS_[[Sexo]:[Sexo]]=$B35,IF(DATOS_[[AGRUP. CLAS. PROF.]:[AGRUP. CLAS. PROF.]]=$B33,IF(DATOS_[[Check Periodo Ref.]:[Check Periodo Ref.]]="Dentro",IF(DATOS_[[Check Equiparado]:[Check Equiparado]]="Sí",IF(DATOS!BF$5="Sí",(1/DATOS_[[% anualiz]:[% anualiz]]),1)*IF(DATOS!BF$4="Sí",1/DATOS_[[% normaliz]:[% normaliz]],1)*(DATOS_[Conc.Sal.28])))))))),
0)</f>
        <v>0</v>
      </c>
      <c r="AL35" s="111">
        <f t="array" ref="AL35">IFERROR(
(MEDIAN((IF(DATOS_[[Sexo]:[Sexo]]=$B35,IF(DATOS_[[AGRUP. CLAS. PROF.]:[AGRUP. CLAS. PROF.]]=$B33,IF(DATOS_[[Check Periodo Ref.]:[Check Periodo Ref.]]="Dentro",IF(DATOS_[[Check Equiparado]:[Check Equiparado]]="Sí",IF(DATOS!BG$5="Sí",(1/DATOS_[[% anualiz]:[% anualiz]]),1)*IF(DATOS!BG$4="Sí",1/DATOS_[[% normaliz]:[% normaliz]],1)*(DATOS_[Conc.Sal.29])))))))),
0)</f>
        <v>0</v>
      </c>
      <c r="AM35" s="111">
        <f t="array" ref="AM35">IFERROR(
(MEDIAN((IF(DATOS_[[Sexo]:[Sexo]]=$B35,IF(DATOS_[[AGRUP. CLAS. PROF.]:[AGRUP. CLAS. PROF.]]=$B33,IF(DATOS_[[Check Periodo Ref.]:[Check Periodo Ref.]]="Dentro",IF(DATOS_[[Check Equiparado]:[Check Equiparado]]="Sí",IF(DATOS!BH$5="Sí",(1/DATOS_[[% anualiz]:[% anualiz]]),1)*IF(DATOS!BH$4="Sí",1/DATOS_[[% normaliz]:[% normaliz]],1)*(DATOS_[Conc.Sal.30])))))))),
0)</f>
        <v>0</v>
      </c>
      <c r="AN35" s="112">
        <f t="array" ref="AN35">IFERROR(
MEDIAN(IF(DATOS_[Sexo]=$B35,IF(DATOS_[[AGRUP. CLAS. PROF.]:[AGRUP. CLAS. PROF.]]=$B33,IF(DATOS_[Check Equiparado]="Sí",IF(DATOS_[Check Periodo Ref.]="Dentro",DATOS_[Tot COMPL.SAL Eq],FALSE))))),
0)</f>
        <v>0</v>
      </c>
      <c r="AO35" s="113">
        <f t="array" ref="AO35">IFERROR(
MEDIAN(IF(DATOS_[Sexo]=$B35,IF(DATOS_[[AGRUP. CLAS. PROF.]:[AGRUP. CLAS. PROF.]]=$B33,IF(DATOS_[Check Equiparado]="Sí",IF(DATOS_[Check Periodo Ref.]="Dentro",DATOS_[TOTAL SALARIO Eq],FALSE))))),
0)</f>
        <v>0</v>
      </c>
      <c r="AP35" s="114">
        <f t="array" ref="AP35">IFERROR(
(MEDIAN((IF(DATOS_[[Sexo]:[Sexo]]=$B35,IF(DATOS_[[AGRUP. CLAS. PROF.]:[AGRUP. CLAS. PROF.]]=$B33,IF(DATOS_[[Check Periodo Ref.]:[Check Periodo Ref.]]="Dentro",IF(DATOS_[[Check Equiparado]:[Check Equiparado]]="Sí",IF(DATOS!BI$5="Sí",(1/DATOS_[[% anualiz]:[% anualiz]]),1)*IF(DATOS!BI$4="Sí",1/DATOS_[[% normaliz]:[% normaliz]],1)*(DATOS_[C.Extra.01])))))))),
0)</f>
        <v>0</v>
      </c>
      <c r="AQ35" s="114">
        <f t="array" ref="AQ35">IFERROR(
(MEDIAN((IF(DATOS_[[Sexo]:[Sexo]]=$B35,IF(DATOS_[[AGRUP. CLAS. PROF.]:[AGRUP. CLAS. PROF.]]=$B33,IF(DATOS_[[Check Periodo Ref.]:[Check Periodo Ref.]]="Dentro",IF(DATOS_[[Check Equiparado]:[Check Equiparado]]="Sí",IF(DATOS!BJ$5="Sí",(1/DATOS_[[% anualiz]:[% anualiz]]),1)*IF(DATOS!BJ$4="Sí",1/DATOS_[[% normaliz]:[% normaliz]],1)*(DATOS_[C.Extra.02])))))))),
0)</f>
        <v>0</v>
      </c>
      <c r="AR35" s="114">
        <f t="array" ref="AR35">IFERROR(
(MEDIAN((IF(DATOS_[[Sexo]:[Sexo]]=$B35,IF(DATOS_[[AGRUP. CLAS. PROF.]:[AGRUP. CLAS. PROF.]]=$B33,IF(DATOS_[[Check Periodo Ref.]:[Check Periodo Ref.]]="Dentro",IF(DATOS_[[Check Equiparado]:[Check Equiparado]]="Sí",IF(DATOS!BK$5="Sí",(1/DATOS_[[% anualiz]:[% anualiz]]),1)*IF(DATOS!BK$4="Sí",1/DATOS_[[% normaliz]:[% normaliz]],1)*(DATOS_[C.Extra.03])))))))),
0)</f>
        <v>0</v>
      </c>
      <c r="AS35" s="114">
        <f t="array" ref="AS35">IFERROR(
(MEDIAN((IF(DATOS_[[Sexo]:[Sexo]]=$B35,IF(DATOS_[[AGRUP. CLAS. PROF.]:[AGRUP. CLAS. PROF.]]=$B33,IF(DATOS_[[Check Periodo Ref.]:[Check Periodo Ref.]]="Dentro",IF(DATOS_[[Check Equiparado]:[Check Equiparado]]="Sí",IF(DATOS!BL$5="Sí",(1/DATOS_[[% anualiz]:[% anualiz]]),1)*IF(DATOS!BL$4="Sí",1/DATOS_[[% normaliz]:[% normaliz]],1)*(DATOS_[C.Extra.04])))))))),
0)</f>
        <v>0</v>
      </c>
      <c r="AT35" s="114">
        <f t="array" ref="AT35">IFERROR(
(MEDIAN((IF(DATOS_[[Sexo]:[Sexo]]=$B35,IF(DATOS_[[AGRUP. CLAS. PROF.]:[AGRUP. CLAS. PROF.]]=$B33,IF(DATOS_[[Check Periodo Ref.]:[Check Periodo Ref.]]="Dentro",IF(DATOS_[[Check Equiparado]:[Check Equiparado]]="Sí",IF(DATOS!BM$5="Sí",(1/DATOS_[[% anualiz]:[% anualiz]]),1)*IF(DATOS!BM$4="Sí",1/DATOS_[[% normaliz]:[% normaliz]],1)*(DATOS_[C.Extra.05])))))))),
0)</f>
        <v>0</v>
      </c>
      <c r="AU35" s="115">
        <f t="array" ref="AU35">IFERROR(
MEDIAN(IF(DATOS_[Sexo]=$B35,IF(DATOS_[[AGRUP. CLAS. PROF.]:[AGRUP. CLAS. PROF.]]=$B33,IF(DATOS_[Check Equiparado]="Sí",IF(DATOS_[Check Periodo Ref.]="Dentro",DATOS_[Tot Extrasalarial Eq],FALSE))))),
0)</f>
        <v>0</v>
      </c>
      <c r="AV35" s="116">
        <f t="array" ref="AV35">IFERROR(
MEDIAN(IF(DATOS_[Sexo]=$B35,IF(DATOS_[[AGRUP. CLAS. PROF.]:[AGRUP. CLAS. PROF.]]=$B33,IF(DATOS_[Check Equiparado]="Sí",IF(DATOS_[Check Periodo Ref.]="Dentro",DATOS_[TOTAL Retrib Eq],FALSE))))),
0)</f>
        <v>0</v>
      </c>
    </row>
    <row r="36" spans="1:48" ht="17.25" hidden="1" thickBot="1" x14ac:dyDescent="0.35">
      <c r="A36" s="42" t="str">
        <f t="shared" ref="A36" si="31">+A37</f>
        <v>[ocultar]</v>
      </c>
      <c r="B36" s="90" t="s">
        <v>314</v>
      </c>
      <c r="C36" s="109"/>
      <c r="D36" s="41"/>
      <c r="E36" s="41"/>
      <c r="F36" s="41"/>
      <c r="G36" s="41"/>
      <c r="H36" s="41"/>
      <c r="I36" s="119" t="str">
        <f t="shared" ref="I36:AV36" si="32">IFERROR((I37-I38)/I37,"")</f>
        <v/>
      </c>
      <c r="J36" s="123" t="str">
        <f t="shared" si="32"/>
        <v/>
      </c>
      <c r="K36" s="123" t="str">
        <f t="shared" si="32"/>
        <v/>
      </c>
      <c r="L36" s="123" t="str">
        <f t="shared" si="32"/>
        <v/>
      </c>
      <c r="M36" s="123" t="str">
        <f t="shared" si="32"/>
        <v/>
      </c>
      <c r="N36" s="123" t="str">
        <f t="shared" si="32"/>
        <v/>
      </c>
      <c r="O36" s="123" t="str">
        <f t="shared" si="32"/>
        <v/>
      </c>
      <c r="P36" s="123" t="str">
        <f t="shared" si="32"/>
        <v/>
      </c>
      <c r="Q36" s="123" t="str">
        <f t="shared" si="32"/>
        <v/>
      </c>
      <c r="R36" s="123" t="str">
        <f t="shared" si="32"/>
        <v/>
      </c>
      <c r="S36" s="123" t="str">
        <f t="shared" si="32"/>
        <v/>
      </c>
      <c r="T36" s="123" t="str">
        <f t="shared" si="32"/>
        <v/>
      </c>
      <c r="U36" s="123" t="str">
        <f t="shared" si="32"/>
        <v/>
      </c>
      <c r="V36" s="123" t="str">
        <f t="shared" si="32"/>
        <v/>
      </c>
      <c r="W36" s="123" t="str">
        <f t="shared" si="32"/>
        <v/>
      </c>
      <c r="X36" s="123" t="str">
        <f t="shared" si="32"/>
        <v/>
      </c>
      <c r="Y36" s="123" t="str">
        <f t="shared" si="32"/>
        <v/>
      </c>
      <c r="Z36" s="122" t="str">
        <f t="shared" si="32"/>
        <v/>
      </c>
      <c r="AA36" s="122" t="str">
        <f t="shared" si="32"/>
        <v/>
      </c>
      <c r="AB36" s="122" t="str">
        <f t="shared" si="32"/>
        <v/>
      </c>
      <c r="AC36" s="122" t="str">
        <f t="shared" si="32"/>
        <v/>
      </c>
      <c r="AD36" s="122" t="str">
        <f t="shared" si="32"/>
        <v/>
      </c>
      <c r="AE36" s="122" t="str">
        <f t="shared" si="32"/>
        <v/>
      </c>
      <c r="AF36" s="122" t="str">
        <f t="shared" si="32"/>
        <v/>
      </c>
      <c r="AG36" s="122" t="str">
        <f t="shared" si="32"/>
        <v/>
      </c>
      <c r="AH36" s="122" t="str">
        <f t="shared" si="32"/>
        <v/>
      </c>
      <c r="AI36" s="122" t="str">
        <f t="shared" si="32"/>
        <v/>
      </c>
      <c r="AJ36" s="122" t="str">
        <f t="shared" si="32"/>
        <v/>
      </c>
      <c r="AK36" s="122" t="str">
        <f t="shared" si="32"/>
        <v/>
      </c>
      <c r="AL36" s="122" t="str">
        <f t="shared" si="32"/>
        <v/>
      </c>
      <c r="AM36" s="122" t="str">
        <f t="shared" si="32"/>
        <v/>
      </c>
      <c r="AN36" s="124" t="str">
        <f t="shared" si="32"/>
        <v/>
      </c>
      <c r="AO36" s="128" t="str">
        <f t="shared" si="32"/>
        <v/>
      </c>
      <c r="AP36" s="125" t="str">
        <f t="shared" si="32"/>
        <v/>
      </c>
      <c r="AQ36" s="125" t="str">
        <f t="shared" si="32"/>
        <v/>
      </c>
      <c r="AR36" s="125" t="str">
        <f t="shared" si="32"/>
        <v/>
      </c>
      <c r="AS36" s="125" t="str">
        <f t="shared" si="32"/>
        <v/>
      </c>
      <c r="AT36" s="125" t="str">
        <f t="shared" si="32"/>
        <v/>
      </c>
      <c r="AU36" s="126" t="str">
        <f t="shared" si="32"/>
        <v/>
      </c>
      <c r="AV36" s="127" t="str">
        <f t="shared" si="32"/>
        <v/>
      </c>
    </row>
    <row r="37" spans="1:48" hidden="1" x14ac:dyDescent="0.3">
      <c r="A37" s="42" t="str">
        <f t="shared" ref="A37" si="33">+IF(C37+C38=0,"[ocultar]","")</f>
        <v>[ocultar]</v>
      </c>
      <c r="B37" s="86" t="s">
        <v>162</v>
      </c>
      <c r="C37" s="33">
        <f t="array" ref="C37">SUM(IF($B37=DATOS_[Sexo],
IF($B36=DATOS_[AGRUP. CLAS. PROF.],
IF("Dentro"=DATOS_[Check Periodo Ref.],
1/(COUNTIFS(DATOS_[Sexo],$B37,DATOS_[AGRUP. CLAS. PROF.],$B36,DATOS_[Check Periodo Ref.],"Dentro",DATOS_[id],DATOS_[id]))))))</f>
        <v>0</v>
      </c>
      <c r="D37" s="35">
        <f>COUNTIFS(DATOS_[AGRUP. CLAS. PROF.],$B36,DATOS_[Sexo],$B37,DATOS_[Check Periodo Ref.],"Dentro")</f>
        <v>0</v>
      </c>
      <c r="E37" s="35">
        <f>COUNTIFS(DATOS_[AGRUP. CLAS. PROF.],$B36,DATOS_[Sexo],$B37,DATOS_[Check Periodo Ref.],"Dentro",DATOS_[Check Nº SC Norm],"Sí")</f>
        <v>0</v>
      </c>
      <c r="F37" s="35">
        <f>COUNTIFS(DATOS_[AGRUP. CLAS. PROF.],$B36,DATOS_[Sexo],$B37,DATOS_[Check Periodo Ref.],"Dentro",DATOS_[Check Nº SC Anualiz],"Sí")</f>
        <v>0</v>
      </c>
      <c r="G37" s="35">
        <f>COUNTIFS(DATOS_[AGRUP. CLAS. PROF.],$B36,DATOS_[Sexo],$B37,DATOS_[Check Periodo Ref.],"Dentro",DATOS_[Check Nº SC Norm y Anualiz],"Sí")</f>
        <v>0</v>
      </c>
      <c r="H37" s="35">
        <f>COUNTIFS(DATOS_[AGRUP. CLAS. PROF.],$B36,DATOS_[Sexo],$B37,DATOS_[Check Periodo Ref.],"Dentro",DATOS_[Check Equiparación],"Sí")</f>
        <v>0</v>
      </c>
      <c r="I37" s="110">
        <f t="array" ref="I37">IFERROR(
MEDIAN(IF(DATOS_[Sexo]=$B37,IF(DATOS_[[AGRUP. CLAS. PROF.]:[AGRUP. CLAS. PROF.]]=$B36,IF(DATOS_[Check Equiparado]="Sí",IF(DATOS_[Check Periodo Ref.]="Dentro",DATOS_[SALARIO BASE Eq],FALSE))))),
0)</f>
        <v>0</v>
      </c>
      <c r="J37" s="111">
        <f t="array" ref="J37">IFERROR(
(MEDIAN((IF(DATOS_[[Sexo]:[Sexo]]=$B37,IF(DATOS_[[AGRUP. CLAS. PROF.]:[AGRUP. CLAS. PROF.]]=$B36,IF(DATOS_[[Check Periodo Ref.]:[Check Periodo Ref.]]="Dentro",IF(DATOS_[[Check Equiparado]:[Check Equiparado]]="Sí",IF(DATOS!AE$5="Sí",(1/DATOS_[[% anualiz]:[% anualiz]]),1)*IF(DATOS!AE$4="Sí",1/DATOS_[[% normaliz]:[% normaliz]],1)*(DATOS_[Conc.Sal.01])))))))),
0)</f>
        <v>0</v>
      </c>
      <c r="K37" s="111">
        <f t="array" ref="K37">IFERROR(
(MEDIAN((IF(DATOS_[[Sexo]:[Sexo]]=$B37,IF(DATOS_[[AGRUP. CLAS. PROF.]:[AGRUP. CLAS. PROF.]]=$B36,IF(DATOS_[[Check Periodo Ref.]:[Check Periodo Ref.]]="Dentro",IF(DATOS_[[Check Equiparado]:[Check Equiparado]]="Sí",IF(DATOS!AF$5="Sí",(1/DATOS_[[% anualiz]:[% anualiz]]),1)*IF(DATOS!AF$4="Sí",1/DATOS_[[% normaliz]:[% normaliz]],1)*(DATOS_[Conc.Sal.02])))))))),
0)</f>
        <v>0</v>
      </c>
      <c r="L37" s="111">
        <f t="array" ref="L37">IFERROR(
(MEDIAN((IF(DATOS_[[Sexo]:[Sexo]]=$B37,IF(DATOS_[[AGRUP. CLAS. PROF.]:[AGRUP. CLAS. PROF.]]=$B36,IF(DATOS_[[Check Periodo Ref.]:[Check Periodo Ref.]]="Dentro",IF(DATOS_[[Check Equiparado]:[Check Equiparado]]="Sí",IF(DATOS!AG$5="Sí",(1/DATOS_[[% anualiz]:[% anualiz]]),1)*IF(DATOS!AG$4="Sí",1/DATOS_[[% normaliz]:[% normaliz]],1)*(DATOS_[Conc.Sal.03])))))))),
0)</f>
        <v>0</v>
      </c>
      <c r="M37" s="111">
        <f t="array" ref="M37">IFERROR(
(MEDIAN((IF(DATOS_[[Sexo]:[Sexo]]=$B37,IF(DATOS_[[AGRUP. CLAS. PROF.]:[AGRUP. CLAS. PROF.]]=$B36,IF(DATOS_[[Check Periodo Ref.]:[Check Periodo Ref.]]="Dentro",IF(DATOS_[[Check Equiparado]:[Check Equiparado]]="Sí",IF(DATOS!AH$5="Sí",(1/DATOS_[[% anualiz]:[% anualiz]]),1)*IF(DATOS!AH$4="Sí",1/DATOS_[[% normaliz]:[% normaliz]],1)*(DATOS_[Conc.Sal.04])))))))),
0)</f>
        <v>0</v>
      </c>
      <c r="N37" s="111">
        <f t="array" ref="N37">IFERROR(
(MEDIAN((IF(DATOS_[[Sexo]:[Sexo]]=$B37,IF(DATOS_[[AGRUP. CLAS. PROF.]:[AGRUP. CLAS. PROF.]]=$B36,IF(DATOS_[[Check Periodo Ref.]:[Check Periodo Ref.]]="Dentro",IF(DATOS_[[Check Equiparado]:[Check Equiparado]]="Sí",IF(DATOS!AI$5="Sí",(1/DATOS_[[% anualiz]:[% anualiz]]),1)*IF(DATOS!AI$4="Sí",1/DATOS_[[% normaliz]:[% normaliz]],1)*(DATOS_[Conc.Sal.05])))))))),
0)</f>
        <v>0</v>
      </c>
      <c r="O37" s="111">
        <f t="array" ref="O37">IFERROR(
(MEDIAN((IF(DATOS_[[Sexo]:[Sexo]]=$B37,IF(DATOS_[[AGRUP. CLAS. PROF.]:[AGRUP. CLAS. PROF.]]=$B36,IF(DATOS_[[Check Periodo Ref.]:[Check Periodo Ref.]]="Dentro",IF(DATOS_[[Check Equiparado]:[Check Equiparado]]="Sí",IF(DATOS!AJ$5="Sí",(1/DATOS_[[% anualiz]:[% anualiz]]),1)*IF(DATOS!AJ$4="Sí",1/DATOS_[[% normaliz]:[% normaliz]],1)*(DATOS_[Conc.Sal.06])))))))),
0)</f>
        <v>0</v>
      </c>
      <c r="P37" s="111">
        <f t="array" ref="P37">IFERROR(
(MEDIAN((IF(DATOS_[[Sexo]:[Sexo]]=$B37,IF(DATOS_[[AGRUP. CLAS. PROF.]:[AGRUP. CLAS. PROF.]]=$B36,IF(DATOS_[[Check Periodo Ref.]:[Check Periodo Ref.]]="Dentro",IF(DATOS_[[Check Equiparado]:[Check Equiparado]]="Sí",IF(DATOS!AK$5="Sí",(1/DATOS_[[% anualiz]:[% anualiz]]),1)*IF(DATOS!AK$4="Sí",1/DATOS_[[% normaliz]:[% normaliz]],1)*(DATOS_[Conc.Sal.07])))))))),
0)</f>
        <v>0</v>
      </c>
      <c r="Q37" s="111">
        <f t="array" ref="Q37">IFERROR(
(MEDIAN((IF(DATOS_[[Sexo]:[Sexo]]=$B37,IF(DATOS_[[AGRUP. CLAS. PROF.]:[AGRUP. CLAS. PROF.]]=$B36,IF(DATOS_[[Check Periodo Ref.]:[Check Periodo Ref.]]="Dentro",IF(DATOS_[[Check Equiparado]:[Check Equiparado]]="Sí",IF(DATOS!AL$5="Sí",(1/DATOS_[[% anualiz]:[% anualiz]]),1)*IF(DATOS!AL$4="Sí",1/DATOS_[[% normaliz]:[% normaliz]],1)*(DATOS_[Conc.Sal.08])))))))),
0)</f>
        <v>0</v>
      </c>
      <c r="R37" s="111">
        <f t="array" ref="R37">IFERROR(
(MEDIAN((IF(DATOS_[[Sexo]:[Sexo]]=$B37,IF(DATOS_[[AGRUP. CLAS. PROF.]:[AGRUP. CLAS. PROF.]]=$B36,IF(DATOS_[[Check Periodo Ref.]:[Check Periodo Ref.]]="Dentro",IF(DATOS_[[Check Equiparado]:[Check Equiparado]]="Sí",IF(DATOS!AM$5="Sí",(1/DATOS_[[% anualiz]:[% anualiz]]),1)*IF(DATOS!AM$4="Sí",1/DATOS_[[% normaliz]:[% normaliz]],1)*(DATOS_[Conc.Sal.09])))))))),
0)</f>
        <v>0</v>
      </c>
      <c r="S37" s="111">
        <f t="array" ref="S37">IFERROR(
(MEDIAN((IF(DATOS_[[Sexo]:[Sexo]]=$B37,IF(DATOS_[[AGRUP. CLAS. PROF.]:[AGRUP. CLAS. PROF.]]=$B36,IF(DATOS_[[Check Periodo Ref.]:[Check Periodo Ref.]]="Dentro",IF(DATOS_[[Check Equiparado]:[Check Equiparado]]="Sí",IF(DATOS!AN$5="Sí",(1/DATOS_[[% anualiz]:[% anualiz]]),1)*IF(DATOS!AN$4="Sí",1/DATOS_[[% normaliz]:[% normaliz]],1)*(DATOS_[Conc.Sal.10])))))))),
0)</f>
        <v>0</v>
      </c>
      <c r="T37" s="111">
        <f t="array" ref="T37">IFERROR(
(MEDIAN((IF(DATOS_[[Sexo]:[Sexo]]=$B37,IF(DATOS_[[AGRUP. CLAS. PROF.]:[AGRUP. CLAS. PROF.]]=$B36,IF(DATOS_[[Check Periodo Ref.]:[Check Periodo Ref.]]="Dentro",IF(DATOS_[[Check Equiparado]:[Check Equiparado]]="Sí",IF(DATOS!AO$5="Sí",(1/DATOS_[[% anualiz]:[% anualiz]]),1)*IF(DATOS!AO$4="Sí",1/DATOS_[[% normaliz]:[% normaliz]],1)*(DATOS_[Conc.Sal.11])))))))),
0)</f>
        <v>0</v>
      </c>
      <c r="U37" s="111">
        <f t="array" ref="U37">IFERROR(
(MEDIAN((IF(DATOS_[[Sexo]:[Sexo]]=$B37,IF(DATOS_[[AGRUP. CLAS. PROF.]:[AGRUP. CLAS. PROF.]]=$B36,IF(DATOS_[[Check Periodo Ref.]:[Check Periodo Ref.]]="Dentro",IF(DATOS_[[Check Equiparado]:[Check Equiparado]]="Sí",IF(DATOS!AP$5="Sí",(1/DATOS_[[% anualiz]:[% anualiz]]),1)*IF(DATOS!AP$4="Sí",1/DATOS_[[% normaliz]:[% normaliz]],1)*(DATOS_[Conc.Sal.12])))))))),
0)</f>
        <v>0</v>
      </c>
      <c r="V37" s="111">
        <f t="array" ref="V37">IFERROR(
(MEDIAN((IF(DATOS_[[Sexo]:[Sexo]]=$B37,IF(DATOS_[[AGRUP. CLAS. PROF.]:[AGRUP. CLAS. PROF.]]=$B36,IF(DATOS_[[Check Periodo Ref.]:[Check Periodo Ref.]]="Dentro",IF(DATOS_[[Check Equiparado]:[Check Equiparado]]="Sí",IF(DATOS!AQ$5="Sí",(1/DATOS_[[% anualiz]:[% anualiz]]),1)*IF(DATOS!AQ$4="Sí",1/DATOS_[[% normaliz]:[% normaliz]],1)*(DATOS_[Conc.Sal.13])))))))),
0)</f>
        <v>0</v>
      </c>
      <c r="W37" s="111">
        <f t="array" ref="W37">IFERROR(
(MEDIAN((IF(DATOS_[[Sexo]:[Sexo]]=$B37,IF(DATOS_[[AGRUP. CLAS. PROF.]:[AGRUP. CLAS. PROF.]]=$B36,IF(DATOS_[[Check Periodo Ref.]:[Check Periodo Ref.]]="Dentro",IF(DATOS_[[Check Equiparado]:[Check Equiparado]]="Sí",IF(DATOS!AR$5="Sí",(1/DATOS_[[% anualiz]:[% anualiz]]),1)*IF(DATOS!AR$4="Sí",1/DATOS_[[% normaliz]:[% normaliz]],1)*(DATOS_[Conc.Sal.14])))))))),
0)</f>
        <v>0</v>
      </c>
      <c r="X37" s="111">
        <f t="array" ref="X37">IFERROR(
(MEDIAN((IF(DATOS_[[Sexo]:[Sexo]]=$B37,IF(DATOS_[[AGRUP. CLAS. PROF.]:[AGRUP. CLAS. PROF.]]=$B36,IF(DATOS_[[Check Periodo Ref.]:[Check Periodo Ref.]]="Dentro",IF(DATOS_[[Check Equiparado]:[Check Equiparado]]="Sí",IF(DATOS!AS$5="Sí",(1/DATOS_[[% anualiz]:[% anualiz]]),1)*IF(DATOS!AS$4="Sí",1/DATOS_[[% normaliz]:[% normaliz]],1)*(DATOS_[Conc.Sal.15])))))))),
0)</f>
        <v>0</v>
      </c>
      <c r="Y37" s="111">
        <f t="array" ref="Y37">IFERROR(
(MEDIAN((IF(DATOS_[[Sexo]:[Sexo]]=$B37,IF(DATOS_[[AGRUP. CLAS. PROF.]:[AGRUP. CLAS. PROF.]]=$B36,IF(DATOS_[[Check Periodo Ref.]:[Check Periodo Ref.]]="Dentro",IF(DATOS_[[Check Equiparado]:[Check Equiparado]]="Sí",IF(DATOS!AT$5="Sí",(1/DATOS_[[% anualiz]:[% anualiz]]),1)*IF(DATOS!AT$4="Sí",1/DATOS_[[% normaliz]:[% normaliz]],1)*(DATOS_[Conc.Sal.16])))))))),
0)</f>
        <v>0</v>
      </c>
      <c r="Z37" s="111">
        <f t="array" ref="Z37">IFERROR(
(MEDIAN((IF(DATOS_[[Sexo]:[Sexo]]=$B37,IF(DATOS_[[AGRUP. CLAS. PROF.]:[AGRUP. CLAS. PROF.]]=$B36,IF(DATOS_[[Check Periodo Ref.]:[Check Periodo Ref.]]="Dentro",IF(DATOS_[[Check Equiparado]:[Check Equiparado]]="Sí",IF(DATOS!AU$5="Sí",(1/DATOS_[[% anualiz]:[% anualiz]]),1)*IF(DATOS!AU$4="Sí",1/DATOS_[[% normaliz]:[% normaliz]],1)*(DATOS_[Conc.Sal.17])))))))),
0)</f>
        <v>0</v>
      </c>
      <c r="AA37" s="111">
        <f t="array" ref="AA37">IFERROR(
(MEDIAN((IF(DATOS_[[Sexo]:[Sexo]]=$B37,IF(DATOS_[[AGRUP. CLAS. PROF.]:[AGRUP. CLAS. PROF.]]=$B36,IF(DATOS_[[Check Periodo Ref.]:[Check Periodo Ref.]]="Dentro",IF(DATOS_[[Check Equiparado]:[Check Equiparado]]="Sí",IF(DATOS!AV$5="Sí",(1/DATOS_[[% anualiz]:[% anualiz]]),1)*IF(DATOS!AV$4="Sí",1/DATOS_[[% normaliz]:[% normaliz]],1)*(DATOS_[Conc.Sal.18])))))))),
0)</f>
        <v>0</v>
      </c>
      <c r="AB37" s="111">
        <f t="array" ref="AB37">IFERROR(
(MEDIAN((IF(DATOS_[[Sexo]:[Sexo]]=$B37,IF(DATOS_[[AGRUP. CLAS. PROF.]:[AGRUP. CLAS. PROF.]]=$B36,IF(DATOS_[[Check Periodo Ref.]:[Check Periodo Ref.]]="Dentro",IF(DATOS_[[Check Equiparado]:[Check Equiparado]]="Sí",IF(DATOS!AW$5="Sí",(1/DATOS_[[% anualiz]:[% anualiz]]),1)*IF(DATOS!AW$4="Sí",1/DATOS_[[% normaliz]:[% normaliz]],1)*(DATOS_[Conc.Sal.19])))))))),
0)</f>
        <v>0</v>
      </c>
      <c r="AC37" s="111">
        <f t="array" ref="AC37">IFERROR(
(MEDIAN((IF(DATOS_[[Sexo]:[Sexo]]=$B37,IF(DATOS_[[AGRUP. CLAS. PROF.]:[AGRUP. CLAS. PROF.]]=$B36,IF(DATOS_[[Check Periodo Ref.]:[Check Periodo Ref.]]="Dentro",IF(DATOS_[[Check Equiparado]:[Check Equiparado]]="Sí",IF(DATOS!AX$5="Sí",(1/DATOS_[[% anualiz]:[% anualiz]]),1)*IF(DATOS!AX$4="Sí",1/DATOS_[[% normaliz]:[% normaliz]],1)*(DATOS_[Conc.Sal.20])))))))),
0)</f>
        <v>0</v>
      </c>
      <c r="AD37" s="111">
        <f t="array" ref="AD37">IFERROR(
(MEDIAN((IF(DATOS_[[Sexo]:[Sexo]]=$B37,IF(DATOS_[[AGRUP. CLAS. PROF.]:[AGRUP. CLAS. PROF.]]=$B36,IF(DATOS_[[Check Periodo Ref.]:[Check Periodo Ref.]]="Dentro",IF(DATOS_[[Check Equiparado]:[Check Equiparado]]="Sí",IF(DATOS!AY$5="Sí",(1/DATOS_[[% anualiz]:[% anualiz]]),1)*IF(DATOS!AY$4="Sí",1/DATOS_[[% normaliz]:[% normaliz]],1)*(DATOS_[Conc.Sal.21])))))))),
0)</f>
        <v>0</v>
      </c>
      <c r="AE37" s="111">
        <f t="array" ref="AE37">IFERROR(
(MEDIAN((IF(DATOS_[[Sexo]:[Sexo]]=$B37,IF(DATOS_[[AGRUP. CLAS. PROF.]:[AGRUP. CLAS. PROF.]]=$B36,IF(DATOS_[[Check Periodo Ref.]:[Check Periodo Ref.]]="Dentro",IF(DATOS_[[Check Equiparado]:[Check Equiparado]]="Sí",IF(DATOS!AZ$5="Sí",(1/DATOS_[[% anualiz]:[% anualiz]]),1)*IF(DATOS!AZ$4="Sí",1/DATOS_[[% normaliz]:[% normaliz]],1)*(DATOS_[Conc.Sal.22])))))))),
0)</f>
        <v>0</v>
      </c>
      <c r="AF37" s="111">
        <f t="array" ref="AF37">IFERROR(
(MEDIAN((IF(DATOS_[[Sexo]:[Sexo]]=$B37,IF(DATOS_[[AGRUP. CLAS. PROF.]:[AGRUP. CLAS. PROF.]]=$B36,IF(DATOS_[[Check Periodo Ref.]:[Check Periodo Ref.]]="Dentro",IF(DATOS_[[Check Equiparado]:[Check Equiparado]]="Sí",IF(DATOS!BA$5="Sí",(1/DATOS_[[% anualiz]:[% anualiz]]),1)*IF(DATOS!BA$4="Sí",1/DATOS_[[% normaliz]:[% normaliz]],1)*(DATOS_[Conc.Sal.23])))))))),
0)</f>
        <v>0</v>
      </c>
      <c r="AG37" s="111">
        <f t="array" ref="AG37">IFERROR(
(MEDIAN((IF(DATOS_[[Sexo]:[Sexo]]=$B37,IF(DATOS_[[AGRUP. CLAS. PROF.]:[AGRUP. CLAS. PROF.]]=$B36,IF(DATOS_[[Check Periodo Ref.]:[Check Periodo Ref.]]="Dentro",IF(DATOS_[[Check Equiparado]:[Check Equiparado]]="Sí",IF(DATOS!BB$5="Sí",(1/DATOS_[[% anualiz]:[% anualiz]]),1)*IF(DATOS!BB$4="Sí",1/DATOS_[[% normaliz]:[% normaliz]],1)*(DATOS_[Conc.Sal.24])))))))),
0)</f>
        <v>0</v>
      </c>
      <c r="AH37" s="111">
        <f t="array" ref="AH37">IFERROR(
(MEDIAN((IF(DATOS_[[Sexo]:[Sexo]]=$B37,IF(DATOS_[[AGRUP. CLAS. PROF.]:[AGRUP. CLAS. PROF.]]=$B36,IF(DATOS_[[Check Periodo Ref.]:[Check Periodo Ref.]]="Dentro",IF(DATOS_[[Check Equiparado]:[Check Equiparado]]="Sí",IF(DATOS!BC$5="Sí",(1/DATOS_[[% anualiz]:[% anualiz]]),1)*IF(DATOS!BC$4="Sí",1/DATOS_[[% normaliz]:[% normaliz]],1)*(DATOS_[Conc.Sal.25])))))))),
0)</f>
        <v>0</v>
      </c>
      <c r="AI37" s="111">
        <f t="array" ref="AI37">IFERROR(
(MEDIAN((IF(DATOS_[[Sexo]:[Sexo]]=$B37,IF(DATOS_[[AGRUP. CLAS. PROF.]:[AGRUP. CLAS. PROF.]]=$B36,IF(DATOS_[[Check Periodo Ref.]:[Check Periodo Ref.]]="Dentro",IF(DATOS_[[Check Equiparado]:[Check Equiparado]]="Sí",IF(DATOS!BD$5="Sí",(1/DATOS_[[% anualiz]:[% anualiz]]),1)*IF(DATOS!BD$4="Sí",1/DATOS_[[% normaliz]:[% normaliz]],1)*(DATOS_[Conc.Sal.26])))))))),
0)</f>
        <v>0</v>
      </c>
      <c r="AJ37" s="111">
        <f t="array" ref="AJ37">IFERROR(
(MEDIAN((IF(DATOS_[[Sexo]:[Sexo]]=$B37,IF(DATOS_[[AGRUP. CLAS. PROF.]:[AGRUP. CLAS. PROF.]]=$B36,IF(DATOS_[[Check Periodo Ref.]:[Check Periodo Ref.]]="Dentro",IF(DATOS_[[Check Equiparado]:[Check Equiparado]]="Sí",IF(DATOS!BE$5="Sí",(1/DATOS_[[% anualiz]:[% anualiz]]),1)*IF(DATOS!BE$4="Sí",1/DATOS_[[% normaliz]:[% normaliz]],1)*(DATOS_[Conc.Sal.27])))))))),
0)</f>
        <v>0</v>
      </c>
      <c r="AK37" s="111">
        <f t="array" ref="AK37">IFERROR(
(MEDIAN((IF(DATOS_[[Sexo]:[Sexo]]=$B37,IF(DATOS_[[AGRUP. CLAS. PROF.]:[AGRUP. CLAS. PROF.]]=$B36,IF(DATOS_[[Check Periodo Ref.]:[Check Periodo Ref.]]="Dentro",IF(DATOS_[[Check Equiparado]:[Check Equiparado]]="Sí",IF(DATOS!BF$5="Sí",(1/DATOS_[[% anualiz]:[% anualiz]]),1)*IF(DATOS!BF$4="Sí",1/DATOS_[[% normaliz]:[% normaliz]],1)*(DATOS_[Conc.Sal.28])))))))),
0)</f>
        <v>0</v>
      </c>
      <c r="AL37" s="111">
        <f t="array" ref="AL37">IFERROR(
(MEDIAN((IF(DATOS_[[Sexo]:[Sexo]]=$B37,IF(DATOS_[[AGRUP. CLAS. PROF.]:[AGRUP. CLAS. PROF.]]=$B36,IF(DATOS_[[Check Periodo Ref.]:[Check Periodo Ref.]]="Dentro",IF(DATOS_[[Check Equiparado]:[Check Equiparado]]="Sí",IF(DATOS!BG$5="Sí",(1/DATOS_[[% anualiz]:[% anualiz]]),1)*IF(DATOS!BG$4="Sí",1/DATOS_[[% normaliz]:[% normaliz]],1)*(DATOS_[Conc.Sal.29])))))))),
0)</f>
        <v>0</v>
      </c>
      <c r="AM37" s="111">
        <f t="array" ref="AM37">IFERROR(
(MEDIAN((IF(DATOS_[[Sexo]:[Sexo]]=$B37,IF(DATOS_[[AGRUP. CLAS. PROF.]:[AGRUP. CLAS. PROF.]]=$B36,IF(DATOS_[[Check Periodo Ref.]:[Check Periodo Ref.]]="Dentro",IF(DATOS_[[Check Equiparado]:[Check Equiparado]]="Sí",IF(DATOS!BH$5="Sí",(1/DATOS_[[% anualiz]:[% anualiz]]),1)*IF(DATOS!BH$4="Sí",1/DATOS_[[% normaliz]:[% normaliz]],1)*(DATOS_[Conc.Sal.30])))))))),
0)</f>
        <v>0</v>
      </c>
      <c r="AN37" s="112">
        <f t="array" ref="AN37">IFERROR(
MEDIAN(IF(DATOS_[Sexo]=$B37,IF(DATOS_[[AGRUP. CLAS. PROF.]:[AGRUP. CLAS. PROF.]]=$B36,IF(DATOS_[Check Equiparado]="Sí",IF(DATOS_[Check Periodo Ref.]="Dentro",DATOS_[Tot COMPL.SAL Eq],FALSE))))),
0)</f>
        <v>0</v>
      </c>
      <c r="AO37" s="113">
        <f t="array" ref="AO37">IFERROR(
MEDIAN(IF(DATOS_[Sexo]=$B37,IF(DATOS_[[AGRUP. CLAS. PROF.]:[AGRUP. CLAS. PROF.]]=$B36,IF(DATOS_[Check Equiparado]="Sí",IF(DATOS_[Check Periodo Ref.]="Dentro",DATOS_[TOTAL SALARIO Eq],FALSE))))),
0)</f>
        <v>0</v>
      </c>
      <c r="AP37" s="114">
        <f t="array" ref="AP37">IFERROR(
(MEDIAN((IF(DATOS_[[Sexo]:[Sexo]]=$B37,IF(DATOS_[[AGRUP. CLAS. PROF.]:[AGRUP. CLAS. PROF.]]=$B36,IF(DATOS_[[Check Periodo Ref.]:[Check Periodo Ref.]]="Dentro",IF(DATOS_[[Check Equiparado]:[Check Equiparado]]="Sí",IF(DATOS!BI$5="Sí",(1/DATOS_[[% anualiz]:[% anualiz]]),1)*IF(DATOS!BI$4="Sí",1/DATOS_[[% normaliz]:[% normaliz]],1)*(DATOS_[C.Extra.01])))))))),
0)</f>
        <v>0</v>
      </c>
      <c r="AQ37" s="114">
        <f t="array" ref="AQ37">IFERROR(
(MEDIAN((IF(DATOS_[[Sexo]:[Sexo]]=$B37,IF(DATOS_[[AGRUP. CLAS. PROF.]:[AGRUP. CLAS. PROF.]]=$B36,IF(DATOS_[[Check Periodo Ref.]:[Check Periodo Ref.]]="Dentro",IF(DATOS_[[Check Equiparado]:[Check Equiparado]]="Sí",IF(DATOS!BJ$5="Sí",(1/DATOS_[[% anualiz]:[% anualiz]]),1)*IF(DATOS!BJ$4="Sí",1/DATOS_[[% normaliz]:[% normaliz]],1)*(DATOS_[C.Extra.02])))))))),
0)</f>
        <v>0</v>
      </c>
      <c r="AR37" s="114">
        <f t="array" ref="AR37">IFERROR(
(MEDIAN((IF(DATOS_[[Sexo]:[Sexo]]=$B37,IF(DATOS_[[AGRUP. CLAS. PROF.]:[AGRUP. CLAS. PROF.]]=$B36,IF(DATOS_[[Check Periodo Ref.]:[Check Periodo Ref.]]="Dentro",IF(DATOS_[[Check Equiparado]:[Check Equiparado]]="Sí",IF(DATOS!BK$5="Sí",(1/DATOS_[[% anualiz]:[% anualiz]]),1)*IF(DATOS!BK$4="Sí",1/DATOS_[[% normaliz]:[% normaliz]],1)*(DATOS_[C.Extra.03])))))))),
0)</f>
        <v>0</v>
      </c>
      <c r="AS37" s="114">
        <f t="array" ref="AS37">IFERROR(
(MEDIAN((IF(DATOS_[[Sexo]:[Sexo]]=$B37,IF(DATOS_[[AGRUP. CLAS. PROF.]:[AGRUP. CLAS. PROF.]]=$B36,IF(DATOS_[[Check Periodo Ref.]:[Check Periodo Ref.]]="Dentro",IF(DATOS_[[Check Equiparado]:[Check Equiparado]]="Sí",IF(DATOS!BL$5="Sí",(1/DATOS_[[% anualiz]:[% anualiz]]),1)*IF(DATOS!BL$4="Sí",1/DATOS_[[% normaliz]:[% normaliz]],1)*(DATOS_[C.Extra.04])))))))),
0)</f>
        <v>0</v>
      </c>
      <c r="AT37" s="114">
        <f t="array" ref="AT37">IFERROR(
(MEDIAN((IF(DATOS_[[Sexo]:[Sexo]]=$B37,IF(DATOS_[[AGRUP. CLAS. PROF.]:[AGRUP. CLAS. PROF.]]=$B36,IF(DATOS_[[Check Periodo Ref.]:[Check Periodo Ref.]]="Dentro",IF(DATOS_[[Check Equiparado]:[Check Equiparado]]="Sí",IF(DATOS!BM$5="Sí",(1/DATOS_[[% anualiz]:[% anualiz]]),1)*IF(DATOS!BM$4="Sí",1/DATOS_[[% normaliz]:[% normaliz]],1)*(DATOS_[C.Extra.05])))))))),
0)</f>
        <v>0</v>
      </c>
      <c r="AU37" s="115">
        <f t="array" ref="AU37">IFERROR(
MEDIAN(IF(DATOS_[Sexo]=$B37,IF(DATOS_[[AGRUP. CLAS. PROF.]:[AGRUP. CLAS. PROF.]]=$B36,IF(DATOS_[Check Equiparado]="Sí",IF(DATOS_[Check Periodo Ref.]="Dentro",DATOS_[Tot Extrasalarial Eq],FALSE))))),
0)</f>
        <v>0</v>
      </c>
      <c r="AV37" s="116">
        <f t="array" ref="AV37">IFERROR(
MEDIAN(IF(DATOS_[Sexo]=$B37,IF(DATOS_[[AGRUP. CLAS. PROF.]:[AGRUP. CLAS. PROF.]]=$B36,IF(DATOS_[Check Equiparado]="Sí",IF(DATOS_[Check Periodo Ref.]="Dentro",DATOS_[TOTAL Retrib Eq],FALSE))))),
0)</f>
        <v>0</v>
      </c>
    </row>
    <row r="38" spans="1:48" hidden="1" x14ac:dyDescent="0.3">
      <c r="A38" s="42" t="str">
        <f t="shared" ref="A38" si="34">+A37</f>
        <v>[ocultar]</v>
      </c>
      <c r="B38" s="86" t="s">
        <v>163</v>
      </c>
      <c r="C38" s="33">
        <f t="array" ref="C38">SUM(IF($B38=DATOS_[Sexo],
IF($B36=DATOS_[AGRUP. CLAS. PROF.],
IF("Dentro"=DATOS_[Check Periodo Ref.],
1/(COUNTIFS(DATOS_[Sexo],$B38,DATOS_[AGRUP. CLAS. PROF.],$B36,DATOS_[Check Periodo Ref.],"Dentro",DATOS_[id],DATOS_[id]))))))</f>
        <v>0</v>
      </c>
      <c r="D38" s="35">
        <f>COUNTIFS(DATOS_[AGRUP. CLAS. PROF.],$B36,DATOS_[Sexo],$B38,DATOS_[Check Periodo Ref.],"Dentro")</f>
        <v>0</v>
      </c>
      <c r="E38" s="35">
        <f>COUNTIFS(DATOS_[AGRUP. CLAS. PROF.],$B36,DATOS_[Sexo],$B38,DATOS_[Check Periodo Ref.],"Dentro",DATOS_[Check Nº SC Norm],"Sí")</f>
        <v>0</v>
      </c>
      <c r="F38" s="35">
        <f>COUNTIFS(DATOS_[AGRUP. CLAS. PROF.],$B36,DATOS_[Sexo],$B38,DATOS_[Check Periodo Ref.],"Dentro",DATOS_[Check Nº SC Anualiz],"Sí")</f>
        <v>0</v>
      </c>
      <c r="G38" s="35">
        <f>COUNTIFS(DATOS_[AGRUP. CLAS. PROF.],$B36,DATOS_[Sexo],$B38,DATOS_[Check Periodo Ref.],"Dentro",DATOS_[Check Nº SC Norm y Anualiz],"Sí")</f>
        <v>0</v>
      </c>
      <c r="H38" s="35">
        <f>COUNTIFS(DATOS_[AGRUP. CLAS. PROF.],$B36,DATOS_[Sexo],$B38,DATOS_[Check Periodo Ref.],"Dentro",DATOS_[Check Equiparación],"Sí")</f>
        <v>0</v>
      </c>
      <c r="I38" s="110" cm="1">
        <f t="array" ref="I38">IFERROR(
MEDIAN(IF(DATOS_[Sexo]=$B38,IF(DATOS_[[AGRUP. CLAS. PROF.]:[AGRUP. CLAS. PROF.]]=$B36,IF(DATOS_[Check Equiparado]="Sí",IF(DATOS_[Check Periodo Ref.]="Dentro",DATOS_[SALARIO BASE Eq],FALSE))))),
0)</f>
        <v>0</v>
      </c>
      <c r="J38" s="111">
        <f t="array" ref="J38">IFERROR(
(MEDIAN((IF(DATOS_[[Sexo]:[Sexo]]=$B38,IF(DATOS_[[AGRUP. CLAS. PROF.]:[AGRUP. CLAS. PROF.]]=$B36,IF(DATOS_[[Check Periodo Ref.]:[Check Periodo Ref.]]="Dentro",IF(DATOS_[[Check Equiparado]:[Check Equiparado]]="Sí",IF(DATOS!AE$5="Sí",(1/DATOS_[[% anualiz]:[% anualiz]]),1)*IF(DATOS!AE$4="Sí",1/DATOS_[[% normaliz]:[% normaliz]],1)*(DATOS_[Conc.Sal.01])))))))),
0)</f>
        <v>0</v>
      </c>
      <c r="K38" s="111">
        <f t="array" ref="K38">IFERROR(
(MEDIAN((IF(DATOS_[[Sexo]:[Sexo]]=$B38,IF(DATOS_[[AGRUP. CLAS. PROF.]:[AGRUP. CLAS. PROF.]]=$B36,IF(DATOS_[[Check Periodo Ref.]:[Check Periodo Ref.]]="Dentro",IF(DATOS_[[Check Equiparado]:[Check Equiparado]]="Sí",IF(DATOS!AF$5="Sí",(1/DATOS_[[% anualiz]:[% anualiz]]),1)*IF(DATOS!AF$4="Sí",1/DATOS_[[% normaliz]:[% normaliz]],1)*(DATOS_[Conc.Sal.02])))))))),
0)</f>
        <v>0</v>
      </c>
      <c r="L38" s="111">
        <f t="array" ref="L38">IFERROR(
(MEDIAN((IF(DATOS_[[Sexo]:[Sexo]]=$B38,IF(DATOS_[[AGRUP. CLAS. PROF.]:[AGRUP. CLAS. PROF.]]=$B36,IF(DATOS_[[Check Periodo Ref.]:[Check Periodo Ref.]]="Dentro",IF(DATOS_[[Check Equiparado]:[Check Equiparado]]="Sí",IF(DATOS!AG$5="Sí",(1/DATOS_[[% anualiz]:[% anualiz]]),1)*IF(DATOS!AG$4="Sí",1/DATOS_[[% normaliz]:[% normaliz]],1)*(DATOS_[Conc.Sal.03])))))))),
0)</f>
        <v>0</v>
      </c>
      <c r="M38" s="111">
        <f t="array" ref="M38">IFERROR(
(MEDIAN((IF(DATOS_[[Sexo]:[Sexo]]=$B38,IF(DATOS_[[AGRUP. CLAS. PROF.]:[AGRUP. CLAS. PROF.]]=$B36,IF(DATOS_[[Check Periodo Ref.]:[Check Periodo Ref.]]="Dentro",IF(DATOS_[[Check Equiparado]:[Check Equiparado]]="Sí",IF(DATOS!AH$5="Sí",(1/DATOS_[[% anualiz]:[% anualiz]]),1)*IF(DATOS!AH$4="Sí",1/DATOS_[[% normaliz]:[% normaliz]],1)*(DATOS_[Conc.Sal.04])))))))),
0)</f>
        <v>0</v>
      </c>
      <c r="N38" s="111">
        <f t="array" ref="N38">IFERROR(
(MEDIAN((IF(DATOS_[[Sexo]:[Sexo]]=$B38,IF(DATOS_[[AGRUP. CLAS. PROF.]:[AGRUP. CLAS. PROF.]]=$B36,IF(DATOS_[[Check Periodo Ref.]:[Check Periodo Ref.]]="Dentro",IF(DATOS_[[Check Equiparado]:[Check Equiparado]]="Sí",IF(DATOS!AI$5="Sí",(1/DATOS_[[% anualiz]:[% anualiz]]),1)*IF(DATOS!AI$4="Sí",1/DATOS_[[% normaliz]:[% normaliz]],1)*(DATOS_[Conc.Sal.05])))))))),
0)</f>
        <v>0</v>
      </c>
      <c r="O38" s="111">
        <f t="array" ref="O38">IFERROR(
(MEDIAN((IF(DATOS_[[Sexo]:[Sexo]]=$B38,IF(DATOS_[[AGRUP. CLAS. PROF.]:[AGRUP. CLAS. PROF.]]=$B36,IF(DATOS_[[Check Periodo Ref.]:[Check Periodo Ref.]]="Dentro",IF(DATOS_[[Check Equiparado]:[Check Equiparado]]="Sí",IF(DATOS!AJ$5="Sí",(1/DATOS_[[% anualiz]:[% anualiz]]),1)*IF(DATOS!AJ$4="Sí",1/DATOS_[[% normaliz]:[% normaliz]],1)*(DATOS_[Conc.Sal.06])))))))),
0)</f>
        <v>0</v>
      </c>
      <c r="P38" s="111">
        <f t="array" ref="P38">IFERROR(
(MEDIAN((IF(DATOS_[[Sexo]:[Sexo]]=$B38,IF(DATOS_[[AGRUP. CLAS. PROF.]:[AGRUP. CLAS. PROF.]]=$B36,IF(DATOS_[[Check Periodo Ref.]:[Check Periodo Ref.]]="Dentro",IF(DATOS_[[Check Equiparado]:[Check Equiparado]]="Sí",IF(DATOS!AK$5="Sí",(1/DATOS_[[% anualiz]:[% anualiz]]),1)*IF(DATOS!AK$4="Sí",1/DATOS_[[% normaliz]:[% normaliz]],1)*(DATOS_[Conc.Sal.07])))))))),
0)</f>
        <v>0</v>
      </c>
      <c r="Q38" s="111">
        <f t="array" ref="Q38">IFERROR(
(MEDIAN((IF(DATOS_[[Sexo]:[Sexo]]=$B38,IF(DATOS_[[AGRUP. CLAS. PROF.]:[AGRUP. CLAS. PROF.]]=$B36,IF(DATOS_[[Check Periodo Ref.]:[Check Periodo Ref.]]="Dentro",IF(DATOS_[[Check Equiparado]:[Check Equiparado]]="Sí",IF(DATOS!AL$5="Sí",(1/DATOS_[[% anualiz]:[% anualiz]]),1)*IF(DATOS!AL$4="Sí",1/DATOS_[[% normaliz]:[% normaliz]],1)*(DATOS_[Conc.Sal.08])))))))),
0)</f>
        <v>0</v>
      </c>
      <c r="R38" s="111">
        <f t="array" ref="R38">IFERROR(
(MEDIAN((IF(DATOS_[[Sexo]:[Sexo]]=$B38,IF(DATOS_[[AGRUP. CLAS. PROF.]:[AGRUP. CLAS. PROF.]]=$B36,IF(DATOS_[[Check Periodo Ref.]:[Check Periodo Ref.]]="Dentro",IF(DATOS_[[Check Equiparado]:[Check Equiparado]]="Sí",IF(DATOS!AM$5="Sí",(1/DATOS_[[% anualiz]:[% anualiz]]),1)*IF(DATOS!AM$4="Sí",1/DATOS_[[% normaliz]:[% normaliz]],1)*(DATOS_[Conc.Sal.09])))))))),
0)</f>
        <v>0</v>
      </c>
      <c r="S38" s="111">
        <f t="array" ref="S38">IFERROR(
(MEDIAN((IF(DATOS_[[Sexo]:[Sexo]]=$B38,IF(DATOS_[[AGRUP. CLAS. PROF.]:[AGRUP. CLAS. PROF.]]=$B36,IF(DATOS_[[Check Periodo Ref.]:[Check Periodo Ref.]]="Dentro",IF(DATOS_[[Check Equiparado]:[Check Equiparado]]="Sí",IF(DATOS!AN$5="Sí",(1/DATOS_[[% anualiz]:[% anualiz]]),1)*IF(DATOS!AN$4="Sí",1/DATOS_[[% normaliz]:[% normaliz]],1)*(DATOS_[Conc.Sal.10])))))))),
0)</f>
        <v>0</v>
      </c>
      <c r="T38" s="111">
        <f t="array" ref="T38">IFERROR(
(MEDIAN((IF(DATOS_[[Sexo]:[Sexo]]=$B38,IF(DATOS_[[AGRUP. CLAS. PROF.]:[AGRUP. CLAS. PROF.]]=$B36,IF(DATOS_[[Check Periodo Ref.]:[Check Periodo Ref.]]="Dentro",IF(DATOS_[[Check Equiparado]:[Check Equiparado]]="Sí",IF(DATOS!AO$5="Sí",(1/DATOS_[[% anualiz]:[% anualiz]]),1)*IF(DATOS!AO$4="Sí",1/DATOS_[[% normaliz]:[% normaliz]],1)*(DATOS_[Conc.Sal.11])))))))),
0)</f>
        <v>0</v>
      </c>
      <c r="U38" s="111">
        <f t="array" ref="U38">IFERROR(
(MEDIAN((IF(DATOS_[[Sexo]:[Sexo]]=$B38,IF(DATOS_[[AGRUP. CLAS. PROF.]:[AGRUP. CLAS. PROF.]]=$B36,IF(DATOS_[[Check Periodo Ref.]:[Check Periodo Ref.]]="Dentro",IF(DATOS_[[Check Equiparado]:[Check Equiparado]]="Sí",IF(DATOS!AP$5="Sí",(1/DATOS_[[% anualiz]:[% anualiz]]),1)*IF(DATOS!AP$4="Sí",1/DATOS_[[% normaliz]:[% normaliz]],1)*(DATOS_[Conc.Sal.12])))))))),
0)</f>
        <v>0</v>
      </c>
      <c r="V38" s="111">
        <f t="array" ref="V38">IFERROR(
(MEDIAN((IF(DATOS_[[Sexo]:[Sexo]]=$B38,IF(DATOS_[[AGRUP. CLAS. PROF.]:[AGRUP. CLAS. PROF.]]=$B36,IF(DATOS_[[Check Periodo Ref.]:[Check Periodo Ref.]]="Dentro",IF(DATOS_[[Check Equiparado]:[Check Equiparado]]="Sí",IF(DATOS!AQ$5="Sí",(1/DATOS_[[% anualiz]:[% anualiz]]),1)*IF(DATOS!AQ$4="Sí",1/DATOS_[[% normaliz]:[% normaliz]],1)*(DATOS_[Conc.Sal.13])))))))),
0)</f>
        <v>0</v>
      </c>
      <c r="W38" s="111">
        <f t="array" ref="W38">IFERROR(
(MEDIAN((IF(DATOS_[[Sexo]:[Sexo]]=$B38,IF(DATOS_[[AGRUP. CLAS. PROF.]:[AGRUP. CLAS. PROF.]]=$B36,IF(DATOS_[[Check Periodo Ref.]:[Check Periodo Ref.]]="Dentro",IF(DATOS_[[Check Equiparado]:[Check Equiparado]]="Sí",IF(DATOS!AR$5="Sí",(1/DATOS_[[% anualiz]:[% anualiz]]),1)*IF(DATOS!AR$4="Sí",1/DATOS_[[% normaliz]:[% normaliz]],1)*(DATOS_[Conc.Sal.14])))))))),
0)</f>
        <v>0</v>
      </c>
      <c r="X38" s="111">
        <f t="array" ref="X38">IFERROR(
(MEDIAN((IF(DATOS_[[Sexo]:[Sexo]]=$B38,IF(DATOS_[[AGRUP. CLAS. PROF.]:[AGRUP. CLAS. PROF.]]=$B36,IF(DATOS_[[Check Periodo Ref.]:[Check Periodo Ref.]]="Dentro",IF(DATOS_[[Check Equiparado]:[Check Equiparado]]="Sí",IF(DATOS!AS$5="Sí",(1/DATOS_[[% anualiz]:[% anualiz]]),1)*IF(DATOS!AS$4="Sí",1/DATOS_[[% normaliz]:[% normaliz]],1)*(DATOS_[Conc.Sal.15])))))))),
0)</f>
        <v>0</v>
      </c>
      <c r="Y38" s="111">
        <f t="array" ref="Y38">IFERROR(
(MEDIAN((IF(DATOS_[[Sexo]:[Sexo]]=$B38,IF(DATOS_[[AGRUP. CLAS. PROF.]:[AGRUP. CLAS. PROF.]]=$B36,IF(DATOS_[[Check Periodo Ref.]:[Check Periodo Ref.]]="Dentro",IF(DATOS_[[Check Equiparado]:[Check Equiparado]]="Sí",IF(DATOS!AT$5="Sí",(1/DATOS_[[% anualiz]:[% anualiz]]),1)*IF(DATOS!AT$4="Sí",1/DATOS_[[% normaliz]:[% normaliz]],1)*(DATOS_[Conc.Sal.16])))))))),
0)</f>
        <v>0</v>
      </c>
      <c r="Z38" s="111">
        <f t="array" ref="Z38">IFERROR(
(MEDIAN((IF(DATOS_[[Sexo]:[Sexo]]=$B38,IF(DATOS_[[AGRUP. CLAS. PROF.]:[AGRUP. CLAS. PROF.]]=$B36,IF(DATOS_[[Check Periodo Ref.]:[Check Periodo Ref.]]="Dentro",IF(DATOS_[[Check Equiparado]:[Check Equiparado]]="Sí",IF(DATOS!AU$5="Sí",(1/DATOS_[[% anualiz]:[% anualiz]]),1)*IF(DATOS!AU$4="Sí",1/DATOS_[[% normaliz]:[% normaliz]],1)*(DATOS_[Conc.Sal.17])))))))),
0)</f>
        <v>0</v>
      </c>
      <c r="AA38" s="111">
        <f t="array" ref="AA38">IFERROR(
(MEDIAN((IF(DATOS_[[Sexo]:[Sexo]]=$B38,IF(DATOS_[[AGRUP. CLAS. PROF.]:[AGRUP. CLAS. PROF.]]=$B36,IF(DATOS_[[Check Periodo Ref.]:[Check Periodo Ref.]]="Dentro",IF(DATOS_[[Check Equiparado]:[Check Equiparado]]="Sí",IF(DATOS!AV$5="Sí",(1/DATOS_[[% anualiz]:[% anualiz]]),1)*IF(DATOS!AV$4="Sí",1/DATOS_[[% normaliz]:[% normaliz]],1)*(DATOS_[Conc.Sal.18])))))))),
0)</f>
        <v>0</v>
      </c>
      <c r="AB38" s="111">
        <f t="array" ref="AB38">IFERROR(
(MEDIAN((IF(DATOS_[[Sexo]:[Sexo]]=$B38,IF(DATOS_[[AGRUP. CLAS. PROF.]:[AGRUP. CLAS. PROF.]]=$B36,IF(DATOS_[[Check Periodo Ref.]:[Check Periodo Ref.]]="Dentro",IF(DATOS_[[Check Equiparado]:[Check Equiparado]]="Sí",IF(DATOS!AW$5="Sí",(1/DATOS_[[% anualiz]:[% anualiz]]),1)*IF(DATOS!AW$4="Sí",1/DATOS_[[% normaliz]:[% normaliz]],1)*(DATOS_[Conc.Sal.19])))))))),
0)</f>
        <v>0</v>
      </c>
      <c r="AC38" s="111">
        <f t="array" ref="AC38">IFERROR(
(MEDIAN((IF(DATOS_[[Sexo]:[Sexo]]=$B38,IF(DATOS_[[AGRUP. CLAS. PROF.]:[AGRUP. CLAS. PROF.]]=$B36,IF(DATOS_[[Check Periodo Ref.]:[Check Periodo Ref.]]="Dentro",IF(DATOS_[[Check Equiparado]:[Check Equiparado]]="Sí",IF(DATOS!AX$5="Sí",(1/DATOS_[[% anualiz]:[% anualiz]]),1)*IF(DATOS!AX$4="Sí",1/DATOS_[[% normaliz]:[% normaliz]],1)*(DATOS_[Conc.Sal.20])))))))),
0)</f>
        <v>0</v>
      </c>
      <c r="AD38" s="111">
        <f t="array" ref="AD38">IFERROR(
(MEDIAN((IF(DATOS_[[Sexo]:[Sexo]]=$B38,IF(DATOS_[[AGRUP. CLAS. PROF.]:[AGRUP. CLAS. PROF.]]=$B36,IF(DATOS_[[Check Periodo Ref.]:[Check Periodo Ref.]]="Dentro",IF(DATOS_[[Check Equiparado]:[Check Equiparado]]="Sí",IF(DATOS!AY$5="Sí",(1/DATOS_[[% anualiz]:[% anualiz]]),1)*IF(DATOS!AY$4="Sí",1/DATOS_[[% normaliz]:[% normaliz]],1)*(DATOS_[Conc.Sal.21])))))))),
0)</f>
        <v>0</v>
      </c>
      <c r="AE38" s="111">
        <f t="array" ref="AE38">IFERROR(
(MEDIAN((IF(DATOS_[[Sexo]:[Sexo]]=$B38,IF(DATOS_[[AGRUP. CLAS. PROF.]:[AGRUP. CLAS. PROF.]]=$B36,IF(DATOS_[[Check Periodo Ref.]:[Check Periodo Ref.]]="Dentro",IF(DATOS_[[Check Equiparado]:[Check Equiparado]]="Sí",IF(DATOS!AZ$5="Sí",(1/DATOS_[[% anualiz]:[% anualiz]]),1)*IF(DATOS!AZ$4="Sí",1/DATOS_[[% normaliz]:[% normaliz]],1)*(DATOS_[Conc.Sal.22])))))))),
0)</f>
        <v>0</v>
      </c>
      <c r="AF38" s="111">
        <f t="array" ref="AF38">IFERROR(
(MEDIAN((IF(DATOS_[[Sexo]:[Sexo]]=$B38,IF(DATOS_[[AGRUP. CLAS. PROF.]:[AGRUP. CLAS. PROF.]]=$B36,IF(DATOS_[[Check Periodo Ref.]:[Check Periodo Ref.]]="Dentro",IF(DATOS_[[Check Equiparado]:[Check Equiparado]]="Sí",IF(DATOS!BA$5="Sí",(1/DATOS_[[% anualiz]:[% anualiz]]),1)*IF(DATOS!BA$4="Sí",1/DATOS_[[% normaliz]:[% normaliz]],1)*(DATOS_[Conc.Sal.23])))))))),
0)</f>
        <v>0</v>
      </c>
      <c r="AG38" s="111">
        <f t="array" ref="AG38">IFERROR(
(MEDIAN((IF(DATOS_[[Sexo]:[Sexo]]=$B38,IF(DATOS_[[AGRUP. CLAS. PROF.]:[AGRUP. CLAS. PROF.]]=$B36,IF(DATOS_[[Check Periodo Ref.]:[Check Periodo Ref.]]="Dentro",IF(DATOS_[[Check Equiparado]:[Check Equiparado]]="Sí",IF(DATOS!BB$5="Sí",(1/DATOS_[[% anualiz]:[% anualiz]]),1)*IF(DATOS!BB$4="Sí",1/DATOS_[[% normaliz]:[% normaliz]],1)*(DATOS_[Conc.Sal.24])))))))),
0)</f>
        <v>0</v>
      </c>
      <c r="AH38" s="111">
        <f t="array" ref="AH38">IFERROR(
(MEDIAN((IF(DATOS_[[Sexo]:[Sexo]]=$B38,IF(DATOS_[[AGRUP. CLAS. PROF.]:[AGRUP. CLAS. PROF.]]=$B36,IF(DATOS_[[Check Periodo Ref.]:[Check Periodo Ref.]]="Dentro",IF(DATOS_[[Check Equiparado]:[Check Equiparado]]="Sí",IF(DATOS!BC$5="Sí",(1/DATOS_[[% anualiz]:[% anualiz]]),1)*IF(DATOS!BC$4="Sí",1/DATOS_[[% normaliz]:[% normaliz]],1)*(DATOS_[Conc.Sal.25])))))))),
0)</f>
        <v>0</v>
      </c>
      <c r="AI38" s="111">
        <f t="array" ref="AI38">IFERROR(
(MEDIAN((IF(DATOS_[[Sexo]:[Sexo]]=$B38,IF(DATOS_[[AGRUP. CLAS. PROF.]:[AGRUP. CLAS. PROF.]]=$B36,IF(DATOS_[[Check Periodo Ref.]:[Check Periodo Ref.]]="Dentro",IF(DATOS_[[Check Equiparado]:[Check Equiparado]]="Sí",IF(DATOS!BD$5="Sí",(1/DATOS_[[% anualiz]:[% anualiz]]),1)*IF(DATOS!BD$4="Sí",1/DATOS_[[% normaliz]:[% normaliz]],1)*(DATOS_[Conc.Sal.26])))))))),
0)</f>
        <v>0</v>
      </c>
      <c r="AJ38" s="111">
        <f t="array" ref="AJ38">IFERROR(
(MEDIAN((IF(DATOS_[[Sexo]:[Sexo]]=$B38,IF(DATOS_[[AGRUP. CLAS. PROF.]:[AGRUP. CLAS. PROF.]]=$B36,IF(DATOS_[[Check Periodo Ref.]:[Check Periodo Ref.]]="Dentro",IF(DATOS_[[Check Equiparado]:[Check Equiparado]]="Sí",IF(DATOS!BE$5="Sí",(1/DATOS_[[% anualiz]:[% anualiz]]),1)*IF(DATOS!BE$4="Sí",1/DATOS_[[% normaliz]:[% normaliz]],1)*(DATOS_[Conc.Sal.27])))))))),
0)</f>
        <v>0</v>
      </c>
      <c r="AK38" s="111">
        <f t="array" ref="AK38">IFERROR(
(MEDIAN((IF(DATOS_[[Sexo]:[Sexo]]=$B38,IF(DATOS_[[AGRUP. CLAS. PROF.]:[AGRUP. CLAS. PROF.]]=$B36,IF(DATOS_[[Check Periodo Ref.]:[Check Periodo Ref.]]="Dentro",IF(DATOS_[[Check Equiparado]:[Check Equiparado]]="Sí",IF(DATOS!BF$5="Sí",(1/DATOS_[[% anualiz]:[% anualiz]]),1)*IF(DATOS!BF$4="Sí",1/DATOS_[[% normaliz]:[% normaliz]],1)*(DATOS_[Conc.Sal.28])))))))),
0)</f>
        <v>0</v>
      </c>
      <c r="AL38" s="111">
        <f t="array" ref="AL38">IFERROR(
(MEDIAN((IF(DATOS_[[Sexo]:[Sexo]]=$B38,IF(DATOS_[[AGRUP. CLAS. PROF.]:[AGRUP. CLAS. PROF.]]=$B36,IF(DATOS_[[Check Periodo Ref.]:[Check Periodo Ref.]]="Dentro",IF(DATOS_[[Check Equiparado]:[Check Equiparado]]="Sí",IF(DATOS!BG$5="Sí",(1/DATOS_[[% anualiz]:[% anualiz]]),1)*IF(DATOS!BG$4="Sí",1/DATOS_[[% normaliz]:[% normaliz]],1)*(DATOS_[Conc.Sal.29])))))))),
0)</f>
        <v>0</v>
      </c>
      <c r="AM38" s="111">
        <f t="array" ref="AM38">IFERROR(
(MEDIAN((IF(DATOS_[[Sexo]:[Sexo]]=$B38,IF(DATOS_[[AGRUP. CLAS. PROF.]:[AGRUP. CLAS. PROF.]]=$B36,IF(DATOS_[[Check Periodo Ref.]:[Check Periodo Ref.]]="Dentro",IF(DATOS_[[Check Equiparado]:[Check Equiparado]]="Sí",IF(DATOS!BH$5="Sí",(1/DATOS_[[% anualiz]:[% anualiz]]),1)*IF(DATOS!BH$4="Sí",1/DATOS_[[% normaliz]:[% normaliz]],1)*(DATOS_[Conc.Sal.30])))))))),
0)</f>
        <v>0</v>
      </c>
      <c r="AN38" s="112">
        <f t="array" ref="AN38">IFERROR(
MEDIAN(IF(DATOS_[Sexo]=$B38,IF(DATOS_[[AGRUP. CLAS. PROF.]:[AGRUP. CLAS. PROF.]]=$B36,IF(DATOS_[Check Equiparado]="Sí",IF(DATOS_[Check Periodo Ref.]="Dentro",DATOS_[Tot COMPL.SAL Eq],FALSE))))),
0)</f>
        <v>0</v>
      </c>
      <c r="AO38" s="113">
        <f t="array" ref="AO38">IFERROR(
MEDIAN(IF(DATOS_[Sexo]=$B38,IF(DATOS_[[AGRUP. CLAS. PROF.]:[AGRUP. CLAS. PROF.]]=$B36,IF(DATOS_[Check Equiparado]="Sí",IF(DATOS_[Check Periodo Ref.]="Dentro",DATOS_[TOTAL SALARIO Eq],FALSE))))),
0)</f>
        <v>0</v>
      </c>
      <c r="AP38" s="114">
        <f t="array" ref="AP38">IFERROR(
(MEDIAN((IF(DATOS_[[Sexo]:[Sexo]]=$B38,IF(DATOS_[[AGRUP. CLAS. PROF.]:[AGRUP. CLAS. PROF.]]=$B36,IF(DATOS_[[Check Periodo Ref.]:[Check Periodo Ref.]]="Dentro",IF(DATOS_[[Check Equiparado]:[Check Equiparado]]="Sí",IF(DATOS!BI$5="Sí",(1/DATOS_[[% anualiz]:[% anualiz]]),1)*IF(DATOS!BI$4="Sí",1/DATOS_[[% normaliz]:[% normaliz]],1)*(DATOS_[C.Extra.01])))))))),
0)</f>
        <v>0</v>
      </c>
      <c r="AQ38" s="114">
        <f t="array" ref="AQ38">IFERROR(
(MEDIAN((IF(DATOS_[[Sexo]:[Sexo]]=$B38,IF(DATOS_[[AGRUP. CLAS. PROF.]:[AGRUP. CLAS. PROF.]]=$B36,IF(DATOS_[[Check Periodo Ref.]:[Check Periodo Ref.]]="Dentro",IF(DATOS_[[Check Equiparado]:[Check Equiparado]]="Sí",IF(DATOS!BJ$5="Sí",(1/DATOS_[[% anualiz]:[% anualiz]]),1)*IF(DATOS!BJ$4="Sí",1/DATOS_[[% normaliz]:[% normaliz]],1)*(DATOS_[C.Extra.02])))))))),
0)</f>
        <v>0</v>
      </c>
      <c r="AR38" s="114">
        <f t="array" ref="AR38">IFERROR(
(MEDIAN((IF(DATOS_[[Sexo]:[Sexo]]=$B38,IF(DATOS_[[AGRUP. CLAS. PROF.]:[AGRUP. CLAS. PROF.]]=$B36,IF(DATOS_[[Check Periodo Ref.]:[Check Periodo Ref.]]="Dentro",IF(DATOS_[[Check Equiparado]:[Check Equiparado]]="Sí",IF(DATOS!BK$5="Sí",(1/DATOS_[[% anualiz]:[% anualiz]]),1)*IF(DATOS!BK$4="Sí",1/DATOS_[[% normaliz]:[% normaliz]],1)*(DATOS_[C.Extra.03])))))))),
0)</f>
        <v>0</v>
      </c>
      <c r="AS38" s="114">
        <f t="array" ref="AS38">IFERROR(
(MEDIAN((IF(DATOS_[[Sexo]:[Sexo]]=$B38,IF(DATOS_[[AGRUP. CLAS. PROF.]:[AGRUP. CLAS. PROF.]]=$B36,IF(DATOS_[[Check Periodo Ref.]:[Check Periodo Ref.]]="Dentro",IF(DATOS_[[Check Equiparado]:[Check Equiparado]]="Sí",IF(DATOS!BL$5="Sí",(1/DATOS_[[% anualiz]:[% anualiz]]),1)*IF(DATOS!BL$4="Sí",1/DATOS_[[% normaliz]:[% normaliz]],1)*(DATOS_[C.Extra.04])))))))),
0)</f>
        <v>0</v>
      </c>
      <c r="AT38" s="114">
        <f t="array" ref="AT38">IFERROR(
(MEDIAN((IF(DATOS_[[Sexo]:[Sexo]]=$B38,IF(DATOS_[[AGRUP. CLAS. PROF.]:[AGRUP. CLAS. PROF.]]=$B36,IF(DATOS_[[Check Periodo Ref.]:[Check Periodo Ref.]]="Dentro",IF(DATOS_[[Check Equiparado]:[Check Equiparado]]="Sí",IF(DATOS!BM$5="Sí",(1/DATOS_[[% anualiz]:[% anualiz]]),1)*IF(DATOS!BM$4="Sí",1/DATOS_[[% normaliz]:[% normaliz]],1)*(DATOS_[C.Extra.05])))))))),
0)</f>
        <v>0</v>
      </c>
      <c r="AU38" s="115">
        <f t="array" ref="AU38">IFERROR(
MEDIAN(IF(DATOS_[Sexo]=$B38,IF(DATOS_[[AGRUP. CLAS. PROF.]:[AGRUP. CLAS. PROF.]]=$B36,IF(DATOS_[Check Equiparado]="Sí",IF(DATOS_[Check Periodo Ref.]="Dentro",DATOS_[Tot Extrasalarial Eq],FALSE))))),
0)</f>
        <v>0</v>
      </c>
      <c r="AV38" s="116">
        <f t="array" ref="AV38">IFERROR(
MEDIAN(IF(DATOS_[Sexo]=$B38,IF(DATOS_[[AGRUP. CLAS. PROF.]:[AGRUP. CLAS. PROF.]]=$B36,IF(DATOS_[Check Equiparado]="Sí",IF(DATOS_[Check Periodo Ref.]="Dentro",DATOS_[TOTAL Retrib Eq],FALSE))))),
0)</f>
        <v>0</v>
      </c>
    </row>
    <row r="39" spans="1:48" ht="17.25" hidden="1" thickBot="1" x14ac:dyDescent="0.35">
      <c r="A39" s="42" t="str">
        <f t="shared" ref="A39" si="35">+A40</f>
        <v>[ocultar]</v>
      </c>
      <c r="B39" s="90" t="s">
        <v>315</v>
      </c>
      <c r="C39" s="109"/>
      <c r="D39" s="41"/>
      <c r="E39" s="41"/>
      <c r="F39" s="41"/>
      <c r="G39" s="41"/>
      <c r="H39" s="41"/>
      <c r="I39" s="119" t="str">
        <f t="shared" ref="I39:AV39" si="36">IFERROR((I40-I41)/I40,"")</f>
        <v/>
      </c>
      <c r="J39" s="123" t="str">
        <f t="shared" si="36"/>
        <v/>
      </c>
      <c r="K39" s="123" t="str">
        <f t="shared" si="36"/>
        <v/>
      </c>
      <c r="L39" s="123" t="str">
        <f t="shared" si="36"/>
        <v/>
      </c>
      <c r="M39" s="123" t="str">
        <f t="shared" si="36"/>
        <v/>
      </c>
      <c r="N39" s="123" t="str">
        <f t="shared" si="36"/>
        <v/>
      </c>
      <c r="O39" s="123" t="str">
        <f t="shared" si="36"/>
        <v/>
      </c>
      <c r="P39" s="123" t="str">
        <f t="shared" si="36"/>
        <v/>
      </c>
      <c r="Q39" s="123" t="str">
        <f t="shared" si="36"/>
        <v/>
      </c>
      <c r="R39" s="123" t="str">
        <f t="shared" si="36"/>
        <v/>
      </c>
      <c r="S39" s="123" t="str">
        <f t="shared" si="36"/>
        <v/>
      </c>
      <c r="T39" s="123" t="str">
        <f t="shared" si="36"/>
        <v/>
      </c>
      <c r="U39" s="123" t="str">
        <f t="shared" si="36"/>
        <v/>
      </c>
      <c r="V39" s="123" t="str">
        <f t="shared" si="36"/>
        <v/>
      </c>
      <c r="W39" s="123" t="str">
        <f t="shared" si="36"/>
        <v/>
      </c>
      <c r="X39" s="123" t="str">
        <f t="shared" si="36"/>
        <v/>
      </c>
      <c r="Y39" s="123" t="str">
        <f t="shared" si="36"/>
        <v/>
      </c>
      <c r="Z39" s="122" t="str">
        <f t="shared" si="36"/>
        <v/>
      </c>
      <c r="AA39" s="122" t="str">
        <f t="shared" si="36"/>
        <v/>
      </c>
      <c r="AB39" s="122" t="str">
        <f t="shared" si="36"/>
        <v/>
      </c>
      <c r="AC39" s="122" t="str">
        <f t="shared" si="36"/>
        <v/>
      </c>
      <c r="AD39" s="122" t="str">
        <f t="shared" si="36"/>
        <v/>
      </c>
      <c r="AE39" s="122" t="str">
        <f t="shared" si="36"/>
        <v/>
      </c>
      <c r="AF39" s="122" t="str">
        <f t="shared" si="36"/>
        <v/>
      </c>
      <c r="AG39" s="122" t="str">
        <f t="shared" si="36"/>
        <v/>
      </c>
      <c r="AH39" s="122" t="str">
        <f t="shared" si="36"/>
        <v/>
      </c>
      <c r="AI39" s="122" t="str">
        <f t="shared" si="36"/>
        <v/>
      </c>
      <c r="AJ39" s="122" t="str">
        <f t="shared" si="36"/>
        <v/>
      </c>
      <c r="AK39" s="122" t="str">
        <f t="shared" si="36"/>
        <v/>
      </c>
      <c r="AL39" s="122" t="str">
        <f t="shared" si="36"/>
        <v/>
      </c>
      <c r="AM39" s="122" t="str">
        <f t="shared" si="36"/>
        <v/>
      </c>
      <c r="AN39" s="124" t="str">
        <f t="shared" si="36"/>
        <v/>
      </c>
      <c r="AO39" s="128" t="str">
        <f t="shared" si="36"/>
        <v/>
      </c>
      <c r="AP39" s="125" t="str">
        <f t="shared" si="36"/>
        <v/>
      </c>
      <c r="AQ39" s="125" t="str">
        <f t="shared" si="36"/>
        <v/>
      </c>
      <c r="AR39" s="125" t="str">
        <f t="shared" si="36"/>
        <v/>
      </c>
      <c r="AS39" s="125" t="str">
        <f t="shared" si="36"/>
        <v/>
      </c>
      <c r="AT39" s="125" t="str">
        <f t="shared" si="36"/>
        <v/>
      </c>
      <c r="AU39" s="126" t="str">
        <f t="shared" si="36"/>
        <v/>
      </c>
      <c r="AV39" s="127" t="str">
        <f t="shared" si="36"/>
        <v/>
      </c>
    </row>
    <row r="40" spans="1:48" hidden="1" x14ac:dyDescent="0.3">
      <c r="A40" s="42" t="str">
        <f t="shared" ref="A40" si="37">+IF(C40+C41=0,"[ocultar]","")</f>
        <v>[ocultar]</v>
      </c>
      <c r="B40" s="86" t="s">
        <v>162</v>
      </c>
      <c r="C40" s="33">
        <f t="array" ref="C40">SUM(IF($B40=DATOS_[Sexo],
IF($B39=DATOS_[AGRUP. CLAS. PROF.],
IF("Dentro"=DATOS_[Check Periodo Ref.],
1/(COUNTIFS(DATOS_[Sexo],$B40,DATOS_[AGRUP. CLAS. PROF.],$B39,DATOS_[Check Periodo Ref.],"Dentro",DATOS_[id],DATOS_[id]))))))</f>
        <v>0</v>
      </c>
      <c r="D40" s="35">
        <f>COUNTIFS(DATOS_[AGRUP. CLAS. PROF.],$B39,DATOS_[Sexo],$B40,DATOS_[Check Periodo Ref.],"Dentro")</f>
        <v>0</v>
      </c>
      <c r="E40" s="35">
        <f>COUNTIFS(DATOS_[AGRUP. CLAS. PROF.],$B39,DATOS_[Sexo],$B40,DATOS_[Check Periodo Ref.],"Dentro",DATOS_[Check Nº SC Norm],"Sí")</f>
        <v>0</v>
      </c>
      <c r="F40" s="35">
        <f>COUNTIFS(DATOS_[AGRUP. CLAS. PROF.],$B39,DATOS_[Sexo],$B40,DATOS_[Check Periodo Ref.],"Dentro",DATOS_[Check Nº SC Anualiz],"Sí")</f>
        <v>0</v>
      </c>
      <c r="G40" s="35">
        <f>COUNTIFS(DATOS_[AGRUP. CLAS. PROF.],$B39,DATOS_[Sexo],$B40,DATOS_[Check Periodo Ref.],"Dentro",DATOS_[Check Nº SC Norm y Anualiz],"Sí")</f>
        <v>0</v>
      </c>
      <c r="H40" s="35">
        <f>COUNTIFS(DATOS_[AGRUP. CLAS. PROF.],$B39,DATOS_[Sexo],$B40,DATOS_[Check Periodo Ref.],"Dentro",DATOS_[Check Equiparación],"Sí")</f>
        <v>0</v>
      </c>
      <c r="I40" s="110">
        <f t="array" ref="I40">IFERROR(
MEDIAN(IF(DATOS_[Sexo]=$B40,IF(DATOS_[[AGRUP. CLAS. PROF.]:[AGRUP. CLAS. PROF.]]=$B39,IF(DATOS_[Check Equiparado]="Sí",IF(DATOS_[Check Periodo Ref.]="Dentro",DATOS_[SALARIO BASE Eq],FALSE))))),
0)</f>
        <v>0</v>
      </c>
      <c r="J40" s="111">
        <f t="array" ref="J40">IFERROR(
(MEDIAN((IF(DATOS_[[Sexo]:[Sexo]]=$B40,IF(DATOS_[[AGRUP. CLAS. PROF.]:[AGRUP. CLAS. PROF.]]=$B39,IF(DATOS_[[Check Periodo Ref.]:[Check Periodo Ref.]]="Dentro",IF(DATOS_[[Check Equiparado]:[Check Equiparado]]="Sí",IF(DATOS!AE$5="Sí",(1/DATOS_[[% anualiz]:[% anualiz]]),1)*IF(DATOS!AE$4="Sí",1/DATOS_[[% normaliz]:[% normaliz]],1)*(DATOS_[Conc.Sal.01])))))))),
0)</f>
        <v>0</v>
      </c>
      <c r="K40" s="111">
        <f t="array" ref="K40">IFERROR(
(MEDIAN((IF(DATOS_[[Sexo]:[Sexo]]=$B40,IF(DATOS_[[AGRUP. CLAS. PROF.]:[AGRUP. CLAS. PROF.]]=$B39,IF(DATOS_[[Check Periodo Ref.]:[Check Periodo Ref.]]="Dentro",IF(DATOS_[[Check Equiparado]:[Check Equiparado]]="Sí",IF(DATOS!AF$5="Sí",(1/DATOS_[[% anualiz]:[% anualiz]]),1)*IF(DATOS!AF$4="Sí",1/DATOS_[[% normaliz]:[% normaliz]],1)*(DATOS_[Conc.Sal.02])))))))),
0)</f>
        <v>0</v>
      </c>
      <c r="L40" s="111">
        <f t="array" ref="L40">IFERROR(
(MEDIAN((IF(DATOS_[[Sexo]:[Sexo]]=$B40,IF(DATOS_[[AGRUP. CLAS. PROF.]:[AGRUP. CLAS. PROF.]]=$B39,IF(DATOS_[[Check Periodo Ref.]:[Check Periodo Ref.]]="Dentro",IF(DATOS_[[Check Equiparado]:[Check Equiparado]]="Sí",IF(DATOS!AG$5="Sí",(1/DATOS_[[% anualiz]:[% anualiz]]),1)*IF(DATOS!AG$4="Sí",1/DATOS_[[% normaliz]:[% normaliz]],1)*(DATOS_[Conc.Sal.03])))))))),
0)</f>
        <v>0</v>
      </c>
      <c r="M40" s="111">
        <f t="array" ref="M40">IFERROR(
(MEDIAN((IF(DATOS_[[Sexo]:[Sexo]]=$B40,IF(DATOS_[[AGRUP. CLAS. PROF.]:[AGRUP. CLAS. PROF.]]=$B39,IF(DATOS_[[Check Periodo Ref.]:[Check Periodo Ref.]]="Dentro",IF(DATOS_[[Check Equiparado]:[Check Equiparado]]="Sí",IF(DATOS!AH$5="Sí",(1/DATOS_[[% anualiz]:[% anualiz]]),1)*IF(DATOS!AH$4="Sí",1/DATOS_[[% normaliz]:[% normaliz]],1)*(DATOS_[Conc.Sal.04])))))))),
0)</f>
        <v>0</v>
      </c>
      <c r="N40" s="111">
        <f t="array" ref="N40">IFERROR(
(MEDIAN((IF(DATOS_[[Sexo]:[Sexo]]=$B40,IF(DATOS_[[AGRUP. CLAS. PROF.]:[AGRUP. CLAS. PROF.]]=$B39,IF(DATOS_[[Check Periodo Ref.]:[Check Periodo Ref.]]="Dentro",IF(DATOS_[[Check Equiparado]:[Check Equiparado]]="Sí",IF(DATOS!AI$5="Sí",(1/DATOS_[[% anualiz]:[% anualiz]]),1)*IF(DATOS!AI$4="Sí",1/DATOS_[[% normaliz]:[% normaliz]],1)*(DATOS_[Conc.Sal.05])))))))),
0)</f>
        <v>0</v>
      </c>
      <c r="O40" s="111">
        <f t="array" ref="O40">IFERROR(
(MEDIAN((IF(DATOS_[[Sexo]:[Sexo]]=$B40,IF(DATOS_[[AGRUP. CLAS. PROF.]:[AGRUP. CLAS. PROF.]]=$B39,IF(DATOS_[[Check Periodo Ref.]:[Check Periodo Ref.]]="Dentro",IF(DATOS_[[Check Equiparado]:[Check Equiparado]]="Sí",IF(DATOS!AJ$5="Sí",(1/DATOS_[[% anualiz]:[% anualiz]]),1)*IF(DATOS!AJ$4="Sí",1/DATOS_[[% normaliz]:[% normaliz]],1)*(DATOS_[Conc.Sal.06])))))))),
0)</f>
        <v>0</v>
      </c>
      <c r="P40" s="111">
        <f t="array" ref="P40">IFERROR(
(MEDIAN((IF(DATOS_[[Sexo]:[Sexo]]=$B40,IF(DATOS_[[AGRUP. CLAS. PROF.]:[AGRUP. CLAS. PROF.]]=$B39,IF(DATOS_[[Check Periodo Ref.]:[Check Periodo Ref.]]="Dentro",IF(DATOS_[[Check Equiparado]:[Check Equiparado]]="Sí",IF(DATOS!AK$5="Sí",(1/DATOS_[[% anualiz]:[% anualiz]]),1)*IF(DATOS!AK$4="Sí",1/DATOS_[[% normaliz]:[% normaliz]],1)*(DATOS_[Conc.Sal.07])))))))),
0)</f>
        <v>0</v>
      </c>
      <c r="Q40" s="111">
        <f t="array" ref="Q40">IFERROR(
(MEDIAN((IF(DATOS_[[Sexo]:[Sexo]]=$B40,IF(DATOS_[[AGRUP. CLAS. PROF.]:[AGRUP. CLAS. PROF.]]=$B39,IF(DATOS_[[Check Periodo Ref.]:[Check Periodo Ref.]]="Dentro",IF(DATOS_[[Check Equiparado]:[Check Equiparado]]="Sí",IF(DATOS!AL$5="Sí",(1/DATOS_[[% anualiz]:[% anualiz]]),1)*IF(DATOS!AL$4="Sí",1/DATOS_[[% normaliz]:[% normaliz]],1)*(DATOS_[Conc.Sal.08])))))))),
0)</f>
        <v>0</v>
      </c>
      <c r="R40" s="111">
        <f t="array" ref="R40">IFERROR(
(MEDIAN((IF(DATOS_[[Sexo]:[Sexo]]=$B40,IF(DATOS_[[AGRUP. CLAS. PROF.]:[AGRUP. CLAS. PROF.]]=$B39,IF(DATOS_[[Check Periodo Ref.]:[Check Periodo Ref.]]="Dentro",IF(DATOS_[[Check Equiparado]:[Check Equiparado]]="Sí",IF(DATOS!AM$5="Sí",(1/DATOS_[[% anualiz]:[% anualiz]]),1)*IF(DATOS!AM$4="Sí",1/DATOS_[[% normaliz]:[% normaliz]],1)*(DATOS_[Conc.Sal.09])))))))),
0)</f>
        <v>0</v>
      </c>
      <c r="S40" s="111">
        <f t="array" ref="S40">IFERROR(
(MEDIAN((IF(DATOS_[[Sexo]:[Sexo]]=$B40,IF(DATOS_[[AGRUP. CLAS. PROF.]:[AGRUP. CLAS. PROF.]]=$B39,IF(DATOS_[[Check Periodo Ref.]:[Check Periodo Ref.]]="Dentro",IF(DATOS_[[Check Equiparado]:[Check Equiparado]]="Sí",IF(DATOS!AN$5="Sí",(1/DATOS_[[% anualiz]:[% anualiz]]),1)*IF(DATOS!AN$4="Sí",1/DATOS_[[% normaliz]:[% normaliz]],1)*(DATOS_[Conc.Sal.10])))))))),
0)</f>
        <v>0</v>
      </c>
      <c r="T40" s="111">
        <f t="array" ref="T40">IFERROR(
(MEDIAN((IF(DATOS_[[Sexo]:[Sexo]]=$B40,IF(DATOS_[[AGRUP. CLAS. PROF.]:[AGRUP. CLAS. PROF.]]=$B39,IF(DATOS_[[Check Periodo Ref.]:[Check Periodo Ref.]]="Dentro",IF(DATOS_[[Check Equiparado]:[Check Equiparado]]="Sí",IF(DATOS!AO$5="Sí",(1/DATOS_[[% anualiz]:[% anualiz]]),1)*IF(DATOS!AO$4="Sí",1/DATOS_[[% normaliz]:[% normaliz]],1)*(DATOS_[Conc.Sal.11])))))))),
0)</f>
        <v>0</v>
      </c>
      <c r="U40" s="111">
        <f t="array" ref="U40">IFERROR(
(MEDIAN((IF(DATOS_[[Sexo]:[Sexo]]=$B40,IF(DATOS_[[AGRUP. CLAS. PROF.]:[AGRUP. CLAS. PROF.]]=$B39,IF(DATOS_[[Check Periodo Ref.]:[Check Periodo Ref.]]="Dentro",IF(DATOS_[[Check Equiparado]:[Check Equiparado]]="Sí",IF(DATOS!AP$5="Sí",(1/DATOS_[[% anualiz]:[% anualiz]]),1)*IF(DATOS!AP$4="Sí",1/DATOS_[[% normaliz]:[% normaliz]],1)*(DATOS_[Conc.Sal.12])))))))),
0)</f>
        <v>0</v>
      </c>
      <c r="V40" s="111">
        <f t="array" ref="V40">IFERROR(
(MEDIAN((IF(DATOS_[[Sexo]:[Sexo]]=$B40,IF(DATOS_[[AGRUP. CLAS. PROF.]:[AGRUP. CLAS. PROF.]]=$B39,IF(DATOS_[[Check Periodo Ref.]:[Check Periodo Ref.]]="Dentro",IF(DATOS_[[Check Equiparado]:[Check Equiparado]]="Sí",IF(DATOS!AQ$5="Sí",(1/DATOS_[[% anualiz]:[% anualiz]]),1)*IF(DATOS!AQ$4="Sí",1/DATOS_[[% normaliz]:[% normaliz]],1)*(DATOS_[Conc.Sal.13])))))))),
0)</f>
        <v>0</v>
      </c>
      <c r="W40" s="111">
        <f t="array" ref="W40">IFERROR(
(MEDIAN((IF(DATOS_[[Sexo]:[Sexo]]=$B40,IF(DATOS_[[AGRUP. CLAS. PROF.]:[AGRUP. CLAS. PROF.]]=$B39,IF(DATOS_[[Check Periodo Ref.]:[Check Periodo Ref.]]="Dentro",IF(DATOS_[[Check Equiparado]:[Check Equiparado]]="Sí",IF(DATOS!AR$5="Sí",(1/DATOS_[[% anualiz]:[% anualiz]]),1)*IF(DATOS!AR$4="Sí",1/DATOS_[[% normaliz]:[% normaliz]],1)*(DATOS_[Conc.Sal.14])))))))),
0)</f>
        <v>0</v>
      </c>
      <c r="X40" s="111">
        <f t="array" ref="X40">IFERROR(
(MEDIAN((IF(DATOS_[[Sexo]:[Sexo]]=$B40,IF(DATOS_[[AGRUP. CLAS. PROF.]:[AGRUP. CLAS. PROF.]]=$B39,IF(DATOS_[[Check Periodo Ref.]:[Check Periodo Ref.]]="Dentro",IF(DATOS_[[Check Equiparado]:[Check Equiparado]]="Sí",IF(DATOS!AS$5="Sí",(1/DATOS_[[% anualiz]:[% anualiz]]),1)*IF(DATOS!AS$4="Sí",1/DATOS_[[% normaliz]:[% normaliz]],1)*(DATOS_[Conc.Sal.15])))))))),
0)</f>
        <v>0</v>
      </c>
      <c r="Y40" s="111">
        <f t="array" ref="Y40">IFERROR(
(MEDIAN((IF(DATOS_[[Sexo]:[Sexo]]=$B40,IF(DATOS_[[AGRUP. CLAS. PROF.]:[AGRUP. CLAS. PROF.]]=$B39,IF(DATOS_[[Check Periodo Ref.]:[Check Periodo Ref.]]="Dentro",IF(DATOS_[[Check Equiparado]:[Check Equiparado]]="Sí",IF(DATOS!AT$5="Sí",(1/DATOS_[[% anualiz]:[% anualiz]]),1)*IF(DATOS!AT$4="Sí",1/DATOS_[[% normaliz]:[% normaliz]],1)*(DATOS_[Conc.Sal.16])))))))),
0)</f>
        <v>0</v>
      </c>
      <c r="Z40" s="111">
        <f t="array" ref="Z40">IFERROR(
(MEDIAN((IF(DATOS_[[Sexo]:[Sexo]]=$B40,IF(DATOS_[[AGRUP. CLAS. PROF.]:[AGRUP. CLAS. PROF.]]=$B39,IF(DATOS_[[Check Periodo Ref.]:[Check Periodo Ref.]]="Dentro",IF(DATOS_[[Check Equiparado]:[Check Equiparado]]="Sí",IF(DATOS!AU$5="Sí",(1/DATOS_[[% anualiz]:[% anualiz]]),1)*IF(DATOS!AU$4="Sí",1/DATOS_[[% normaliz]:[% normaliz]],1)*(DATOS_[Conc.Sal.17])))))))),
0)</f>
        <v>0</v>
      </c>
      <c r="AA40" s="111">
        <f t="array" ref="AA40">IFERROR(
(MEDIAN((IF(DATOS_[[Sexo]:[Sexo]]=$B40,IF(DATOS_[[AGRUP. CLAS. PROF.]:[AGRUP. CLAS. PROF.]]=$B39,IF(DATOS_[[Check Periodo Ref.]:[Check Periodo Ref.]]="Dentro",IF(DATOS_[[Check Equiparado]:[Check Equiparado]]="Sí",IF(DATOS!AV$5="Sí",(1/DATOS_[[% anualiz]:[% anualiz]]),1)*IF(DATOS!AV$4="Sí",1/DATOS_[[% normaliz]:[% normaliz]],1)*(DATOS_[Conc.Sal.18])))))))),
0)</f>
        <v>0</v>
      </c>
      <c r="AB40" s="111">
        <f t="array" ref="AB40">IFERROR(
(MEDIAN((IF(DATOS_[[Sexo]:[Sexo]]=$B40,IF(DATOS_[[AGRUP. CLAS. PROF.]:[AGRUP. CLAS. PROF.]]=$B39,IF(DATOS_[[Check Periodo Ref.]:[Check Periodo Ref.]]="Dentro",IF(DATOS_[[Check Equiparado]:[Check Equiparado]]="Sí",IF(DATOS!AW$5="Sí",(1/DATOS_[[% anualiz]:[% anualiz]]),1)*IF(DATOS!AW$4="Sí",1/DATOS_[[% normaliz]:[% normaliz]],1)*(DATOS_[Conc.Sal.19])))))))),
0)</f>
        <v>0</v>
      </c>
      <c r="AC40" s="111">
        <f t="array" ref="AC40">IFERROR(
(MEDIAN((IF(DATOS_[[Sexo]:[Sexo]]=$B40,IF(DATOS_[[AGRUP. CLAS. PROF.]:[AGRUP. CLAS. PROF.]]=$B39,IF(DATOS_[[Check Periodo Ref.]:[Check Periodo Ref.]]="Dentro",IF(DATOS_[[Check Equiparado]:[Check Equiparado]]="Sí",IF(DATOS!AX$5="Sí",(1/DATOS_[[% anualiz]:[% anualiz]]),1)*IF(DATOS!AX$4="Sí",1/DATOS_[[% normaliz]:[% normaliz]],1)*(DATOS_[Conc.Sal.20])))))))),
0)</f>
        <v>0</v>
      </c>
      <c r="AD40" s="111">
        <f t="array" ref="AD40">IFERROR(
(MEDIAN((IF(DATOS_[[Sexo]:[Sexo]]=$B40,IF(DATOS_[[AGRUP. CLAS. PROF.]:[AGRUP. CLAS. PROF.]]=$B39,IF(DATOS_[[Check Periodo Ref.]:[Check Periodo Ref.]]="Dentro",IF(DATOS_[[Check Equiparado]:[Check Equiparado]]="Sí",IF(DATOS!AY$5="Sí",(1/DATOS_[[% anualiz]:[% anualiz]]),1)*IF(DATOS!AY$4="Sí",1/DATOS_[[% normaliz]:[% normaliz]],1)*(DATOS_[Conc.Sal.21])))))))),
0)</f>
        <v>0</v>
      </c>
      <c r="AE40" s="111">
        <f t="array" ref="AE40">IFERROR(
(MEDIAN((IF(DATOS_[[Sexo]:[Sexo]]=$B40,IF(DATOS_[[AGRUP. CLAS. PROF.]:[AGRUP. CLAS. PROF.]]=$B39,IF(DATOS_[[Check Periodo Ref.]:[Check Periodo Ref.]]="Dentro",IF(DATOS_[[Check Equiparado]:[Check Equiparado]]="Sí",IF(DATOS!AZ$5="Sí",(1/DATOS_[[% anualiz]:[% anualiz]]),1)*IF(DATOS!AZ$4="Sí",1/DATOS_[[% normaliz]:[% normaliz]],1)*(DATOS_[Conc.Sal.22])))))))),
0)</f>
        <v>0</v>
      </c>
      <c r="AF40" s="111">
        <f t="array" ref="AF40">IFERROR(
(MEDIAN((IF(DATOS_[[Sexo]:[Sexo]]=$B40,IF(DATOS_[[AGRUP. CLAS. PROF.]:[AGRUP. CLAS. PROF.]]=$B39,IF(DATOS_[[Check Periodo Ref.]:[Check Periodo Ref.]]="Dentro",IF(DATOS_[[Check Equiparado]:[Check Equiparado]]="Sí",IF(DATOS!BA$5="Sí",(1/DATOS_[[% anualiz]:[% anualiz]]),1)*IF(DATOS!BA$4="Sí",1/DATOS_[[% normaliz]:[% normaliz]],1)*(DATOS_[Conc.Sal.23])))))))),
0)</f>
        <v>0</v>
      </c>
      <c r="AG40" s="111">
        <f t="array" ref="AG40">IFERROR(
(MEDIAN((IF(DATOS_[[Sexo]:[Sexo]]=$B40,IF(DATOS_[[AGRUP. CLAS. PROF.]:[AGRUP. CLAS. PROF.]]=$B39,IF(DATOS_[[Check Periodo Ref.]:[Check Periodo Ref.]]="Dentro",IF(DATOS_[[Check Equiparado]:[Check Equiparado]]="Sí",IF(DATOS!BB$5="Sí",(1/DATOS_[[% anualiz]:[% anualiz]]),1)*IF(DATOS!BB$4="Sí",1/DATOS_[[% normaliz]:[% normaliz]],1)*(DATOS_[Conc.Sal.24])))))))),
0)</f>
        <v>0</v>
      </c>
      <c r="AH40" s="111">
        <f t="array" ref="AH40">IFERROR(
(MEDIAN((IF(DATOS_[[Sexo]:[Sexo]]=$B40,IF(DATOS_[[AGRUP. CLAS. PROF.]:[AGRUP. CLAS. PROF.]]=$B39,IF(DATOS_[[Check Periodo Ref.]:[Check Periodo Ref.]]="Dentro",IF(DATOS_[[Check Equiparado]:[Check Equiparado]]="Sí",IF(DATOS!BC$5="Sí",(1/DATOS_[[% anualiz]:[% anualiz]]),1)*IF(DATOS!BC$4="Sí",1/DATOS_[[% normaliz]:[% normaliz]],1)*(DATOS_[Conc.Sal.25])))))))),
0)</f>
        <v>0</v>
      </c>
      <c r="AI40" s="111">
        <f t="array" ref="AI40">IFERROR(
(MEDIAN((IF(DATOS_[[Sexo]:[Sexo]]=$B40,IF(DATOS_[[AGRUP. CLAS. PROF.]:[AGRUP. CLAS. PROF.]]=$B39,IF(DATOS_[[Check Periodo Ref.]:[Check Periodo Ref.]]="Dentro",IF(DATOS_[[Check Equiparado]:[Check Equiparado]]="Sí",IF(DATOS!BD$5="Sí",(1/DATOS_[[% anualiz]:[% anualiz]]),1)*IF(DATOS!BD$4="Sí",1/DATOS_[[% normaliz]:[% normaliz]],1)*(DATOS_[Conc.Sal.26])))))))),
0)</f>
        <v>0</v>
      </c>
      <c r="AJ40" s="111">
        <f t="array" ref="AJ40">IFERROR(
(MEDIAN((IF(DATOS_[[Sexo]:[Sexo]]=$B40,IF(DATOS_[[AGRUP. CLAS. PROF.]:[AGRUP. CLAS. PROF.]]=$B39,IF(DATOS_[[Check Periodo Ref.]:[Check Periodo Ref.]]="Dentro",IF(DATOS_[[Check Equiparado]:[Check Equiparado]]="Sí",IF(DATOS!BE$5="Sí",(1/DATOS_[[% anualiz]:[% anualiz]]),1)*IF(DATOS!BE$4="Sí",1/DATOS_[[% normaliz]:[% normaliz]],1)*(DATOS_[Conc.Sal.27])))))))),
0)</f>
        <v>0</v>
      </c>
      <c r="AK40" s="111">
        <f t="array" ref="AK40">IFERROR(
(MEDIAN((IF(DATOS_[[Sexo]:[Sexo]]=$B40,IF(DATOS_[[AGRUP. CLAS. PROF.]:[AGRUP. CLAS. PROF.]]=$B39,IF(DATOS_[[Check Periodo Ref.]:[Check Periodo Ref.]]="Dentro",IF(DATOS_[[Check Equiparado]:[Check Equiparado]]="Sí",IF(DATOS!BF$5="Sí",(1/DATOS_[[% anualiz]:[% anualiz]]),1)*IF(DATOS!BF$4="Sí",1/DATOS_[[% normaliz]:[% normaliz]],1)*(DATOS_[Conc.Sal.28])))))))),
0)</f>
        <v>0</v>
      </c>
      <c r="AL40" s="111">
        <f t="array" ref="AL40">IFERROR(
(MEDIAN((IF(DATOS_[[Sexo]:[Sexo]]=$B40,IF(DATOS_[[AGRUP. CLAS. PROF.]:[AGRUP. CLAS. PROF.]]=$B39,IF(DATOS_[[Check Periodo Ref.]:[Check Periodo Ref.]]="Dentro",IF(DATOS_[[Check Equiparado]:[Check Equiparado]]="Sí",IF(DATOS!BG$5="Sí",(1/DATOS_[[% anualiz]:[% anualiz]]),1)*IF(DATOS!BG$4="Sí",1/DATOS_[[% normaliz]:[% normaliz]],1)*(DATOS_[Conc.Sal.29])))))))),
0)</f>
        <v>0</v>
      </c>
      <c r="AM40" s="111">
        <f t="array" ref="AM40">IFERROR(
(MEDIAN((IF(DATOS_[[Sexo]:[Sexo]]=$B40,IF(DATOS_[[AGRUP. CLAS. PROF.]:[AGRUP. CLAS. PROF.]]=$B39,IF(DATOS_[[Check Periodo Ref.]:[Check Periodo Ref.]]="Dentro",IF(DATOS_[[Check Equiparado]:[Check Equiparado]]="Sí",IF(DATOS!BH$5="Sí",(1/DATOS_[[% anualiz]:[% anualiz]]),1)*IF(DATOS!BH$4="Sí",1/DATOS_[[% normaliz]:[% normaliz]],1)*(DATOS_[Conc.Sal.30])))))))),
0)</f>
        <v>0</v>
      </c>
      <c r="AN40" s="112">
        <f t="array" ref="AN40">IFERROR(
MEDIAN(IF(DATOS_[Sexo]=$B40,IF(DATOS_[[AGRUP. CLAS. PROF.]:[AGRUP. CLAS. PROF.]]=$B39,IF(DATOS_[Check Equiparado]="Sí",IF(DATOS_[Check Periodo Ref.]="Dentro",DATOS_[Tot COMPL.SAL Eq],FALSE))))),
0)</f>
        <v>0</v>
      </c>
      <c r="AO40" s="113">
        <f t="array" ref="AO40">IFERROR(
MEDIAN(IF(DATOS_[Sexo]=$B40,IF(DATOS_[[AGRUP. CLAS. PROF.]:[AGRUP. CLAS. PROF.]]=$B39,IF(DATOS_[Check Equiparado]="Sí",IF(DATOS_[Check Periodo Ref.]="Dentro",DATOS_[TOTAL SALARIO Eq],FALSE))))),
0)</f>
        <v>0</v>
      </c>
      <c r="AP40" s="114">
        <f t="array" ref="AP40">IFERROR(
(MEDIAN((IF(DATOS_[[Sexo]:[Sexo]]=$B40,IF(DATOS_[[AGRUP. CLAS. PROF.]:[AGRUP. CLAS. PROF.]]=$B39,IF(DATOS_[[Check Periodo Ref.]:[Check Periodo Ref.]]="Dentro",IF(DATOS_[[Check Equiparado]:[Check Equiparado]]="Sí",IF(DATOS!BI$5="Sí",(1/DATOS_[[% anualiz]:[% anualiz]]),1)*IF(DATOS!BI$4="Sí",1/DATOS_[[% normaliz]:[% normaliz]],1)*(DATOS_[C.Extra.01])))))))),
0)</f>
        <v>0</v>
      </c>
      <c r="AQ40" s="114">
        <f t="array" ref="AQ40">IFERROR(
(MEDIAN((IF(DATOS_[[Sexo]:[Sexo]]=$B40,IF(DATOS_[[AGRUP. CLAS. PROF.]:[AGRUP. CLAS. PROF.]]=$B39,IF(DATOS_[[Check Periodo Ref.]:[Check Periodo Ref.]]="Dentro",IF(DATOS_[[Check Equiparado]:[Check Equiparado]]="Sí",IF(DATOS!BJ$5="Sí",(1/DATOS_[[% anualiz]:[% anualiz]]),1)*IF(DATOS!BJ$4="Sí",1/DATOS_[[% normaliz]:[% normaliz]],1)*(DATOS_[C.Extra.02])))))))),
0)</f>
        <v>0</v>
      </c>
      <c r="AR40" s="114">
        <f t="array" ref="AR40">IFERROR(
(MEDIAN((IF(DATOS_[[Sexo]:[Sexo]]=$B40,IF(DATOS_[[AGRUP. CLAS. PROF.]:[AGRUP. CLAS. PROF.]]=$B39,IF(DATOS_[[Check Periodo Ref.]:[Check Periodo Ref.]]="Dentro",IF(DATOS_[[Check Equiparado]:[Check Equiparado]]="Sí",IF(DATOS!BK$5="Sí",(1/DATOS_[[% anualiz]:[% anualiz]]),1)*IF(DATOS!BK$4="Sí",1/DATOS_[[% normaliz]:[% normaliz]],1)*(DATOS_[C.Extra.03])))))))),
0)</f>
        <v>0</v>
      </c>
      <c r="AS40" s="114">
        <f t="array" ref="AS40">IFERROR(
(MEDIAN((IF(DATOS_[[Sexo]:[Sexo]]=$B40,IF(DATOS_[[AGRUP. CLAS. PROF.]:[AGRUP. CLAS. PROF.]]=$B39,IF(DATOS_[[Check Periodo Ref.]:[Check Periodo Ref.]]="Dentro",IF(DATOS_[[Check Equiparado]:[Check Equiparado]]="Sí",IF(DATOS!BL$5="Sí",(1/DATOS_[[% anualiz]:[% anualiz]]),1)*IF(DATOS!BL$4="Sí",1/DATOS_[[% normaliz]:[% normaliz]],1)*(DATOS_[C.Extra.04])))))))),
0)</f>
        <v>0</v>
      </c>
      <c r="AT40" s="114">
        <f t="array" ref="AT40">IFERROR(
(MEDIAN((IF(DATOS_[[Sexo]:[Sexo]]=$B40,IF(DATOS_[[AGRUP. CLAS. PROF.]:[AGRUP. CLAS. PROF.]]=$B39,IF(DATOS_[[Check Periodo Ref.]:[Check Periodo Ref.]]="Dentro",IF(DATOS_[[Check Equiparado]:[Check Equiparado]]="Sí",IF(DATOS!BM$5="Sí",(1/DATOS_[[% anualiz]:[% anualiz]]),1)*IF(DATOS!BM$4="Sí",1/DATOS_[[% normaliz]:[% normaliz]],1)*(DATOS_[C.Extra.05])))))))),
0)</f>
        <v>0</v>
      </c>
      <c r="AU40" s="115">
        <f t="array" ref="AU40">IFERROR(
MEDIAN(IF(DATOS_[Sexo]=$B40,IF(DATOS_[[AGRUP. CLAS. PROF.]:[AGRUP. CLAS. PROF.]]=$B39,IF(DATOS_[Check Equiparado]="Sí",IF(DATOS_[Check Periodo Ref.]="Dentro",DATOS_[Tot Extrasalarial Eq],FALSE))))),
0)</f>
        <v>0</v>
      </c>
      <c r="AV40" s="116">
        <f t="array" ref="AV40">IFERROR(
MEDIAN(IF(DATOS_[Sexo]=$B40,IF(DATOS_[[AGRUP. CLAS. PROF.]:[AGRUP. CLAS. PROF.]]=$B39,IF(DATOS_[Check Equiparado]="Sí",IF(DATOS_[Check Periodo Ref.]="Dentro",DATOS_[TOTAL Retrib Eq],FALSE))))),
0)</f>
        <v>0</v>
      </c>
    </row>
    <row r="41" spans="1:48" hidden="1" x14ac:dyDescent="0.3">
      <c r="A41" s="42" t="str">
        <f t="shared" ref="A41" si="38">+A40</f>
        <v>[ocultar]</v>
      </c>
      <c r="B41" s="86" t="s">
        <v>163</v>
      </c>
      <c r="C41" s="33">
        <f t="array" ref="C41">SUM(IF($B41=DATOS_[Sexo],
IF($B39=DATOS_[AGRUP. CLAS. PROF.],
IF("Dentro"=DATOS_[Check Periodo Ref.],
1/(COUNTIFS(DATOS_[Sexo],$B41,DATOS_[AGRUP. CLAS. PROF.],$B39,DATOS_[Check Periodo Ref.],"Dentro",DATOS_[id],DATOS_[id]))))))</f>
        <v>0</v>
      </c>
      <c r="D41" s="35">
        <f>COUNTIFS(DATOS_[AGRUP. CLAS. PROF.],$B39,DATOS_[Sexo],$B41,DATOS_[Check Periodo Ref.],"Dentro")</f>
        <v>0</v>
      </c>
      <c r="E41" s="35">
        <f>COUNTIFS(DATOS_[AGRUP. CLAS. PROF.],$B39,DATOS_[Sexo],$B41,DATOS_[Check Periodo Ref.],"Dentro",DATOS_[Check Nº SC Norm],"Sí")</f>
        <v>0</v>
      </c>
      <c r="F41" s="35">
        <f>COUNTIFS(DATOS_[AGRUP. CLAS. PROF.],$B39,DATOS_[Sexo],$B41,DATOS_[Check Periodo Ref.],"Dentro",DATOS_[Check Nº SC Anualiz],"Sí")</f>
        <v>0</v>
      </c>
      <c r="G41" s="35">
        <f>COUNTIFS(DATOS_[AGRUP. CLAS. PROF.],$B39,DATOS_[Sexo],$B41,DATOS_[Check Periodo Ref.],"Dentro",DATOS_[Check Nº SC Norm y Anualiz],"Sí")</f>
        <v>0</v>
      </c>
      <c r="H41" s="35">
        <f>COUNTIFS(DATOS_[AGRUP. CLAS. PROF.],$B39,DATOS_[Sexo],$B41,DATOS_[Check Periodo Ref.],"Dentro",DATOS_[Check Equiparación],"Sí")</f>
        <v>0</v>
      </c>
      <c r="I41" s="110" cm="1">
        <f t="array" ref="I41">IFERROR(
MEDIAN(IF(DATOS_[Sexo]=$B41,IF(DATOS_[[AGRUP. CLAS. PROF.]:[AGRUP. CLAS. PROF.]]=$B39,IF(DATOS_[Check Equiparado]="Sí",IF(DATOS_[Check Periodo Ref.]="Dentro",DATOS_[SALARIO BASE Eq],FALSE))))),
0)</f>
        <v>0</v>
      </c>
      <c r="J41" s="111">
        <f t="array" ref="J41">IFERROR(
(MEDIAN((IF(DATOS_[[Sexo]:[Sexo]]=$B41,IF(DATOS_[[AGRUP. CLAS. PROF.]:[AGRUP. CLAS. PROF.]]=$B39,IF(DATOS_[[Check Periodo Ref.]:[Check Periodo Ref.]]="Dentro",IF(DATOS_[[Check Equiparado]:[Check Equiparado]]="Sí",IF(DATOS!AE$5="Sí",(1/DATOS_[[% anualiz]:[% anualiz]]),1)*IF(DATOS!AE$4="Sí",1/DATOS_[[% normaliz]:[% normaliz]],1)*(DATOS_[Conc.Sal.01])))))))),
0)</f>
        <v>0</v>
      </c>
      <c r="K41" s="111">
        <f t="array" ref="K41">IFERROR(
(MEDIAN((IF(DATOS_[[Sexo]:[Sexo]]=$B41,IF(DATOS_[[AGRUP. CLAS. PROF.]:[AGRUP. CLAS. PROF.]]=$B39,IF(DATOS_[[Check Periodo Ref.]:[Check Periodo Ref.]]="Dentro",IF(DATOS_[[Check Equiparado]:[Check Equiparado]]="Sí",IF(DATOS!AF$5="Sí",(1/DATOS_[[% anualiz]:[% anualiz]]),1)*IF(DATOS!AF$4="Sí",1/DATOS_[[% normaliz]:[% normaliz]],1)*(DATOS_[Conc.Sal.02])))))))),
0)</f>
        <v>0</v>
      </c>
      <c r="L41" s="111">
        <f t="array" ref="L41">IFERROR(
(MEDIAN((IF(DATOS_[[Sexo]:[Sexo]]=$B41,IF(DATOS_[[AGRUP. CLAS. PROF.]:[AGRUP. CLAS. PROF.]]=$B39,IF(DATOS_[[Check Periodo Ref.]:[Check Periodo Ref.]]="Dentro",IF(DATOS_[[Check Equiparado]:[Check Equiparado]]="Sí",IF(DATOS!AG$5="Sí",(1/DATOS_[[% anualiz]:[% anualiz]]),1)*IF(DATOS!AG$4="Sí",1/DATOS_[[% normaliz]:[% normaliz]],1)*(DATOS_[Conc.Sal.03])))))))),
0)</f>
        <v>0</v>
      </c>
      <c r="M41" s="111">
        <f t="array" ref="M41">IFERROR(
(MEDIAN((IF(DATOS_[[Sexo]:[Sexo]]=$B41,IF(DATOS_[[AGRUP. CLAS. PROF.]:[AGRUP. CLAS. PROF.]]=$B39,IF(DATOS_[[Check Periodo Ref.]:[Check Periodo Ref.]]="Dentro",IF(DATOS_[[Check Equiparado]:[Check Equiparado]]="Sí",IF(DATOS!AH$5="Sí",(1/DATOS_[[% anualiz]:[% anualiz]]),1)*IF(DATOS!AH$4="Sí",1/DATOS_[[% normaliz]:[% normaliz]],1)*(DATOS_[Conc.Sal.04])))))))),
0)</f>
        <v>0</v>
      </c>
      <c r="N41" s="111">
        <f t="array" ref="N41">IFERROR(
(MEDIAN((IF(DATOS_[[Sexo]:[Sexo]]=$B41,IF(DATOS_[[AGRUP. CLAS. PROF.]:[AGRUP. CLAS. PROF.]]=$B39,IF(DATOS_[[Check Periodo Ref.]:[Check Periodo Ref.]]="Dentro",IF(DATOS_[[Check Equiparado]:[Check Equiparado]]="Sí",IF(DATOS!AI$5="Sí",(1/DATOS_[[% anualiz]:[% anualiz]]),1)*IF(DATOS!AI$4="Sí",1/DATOS_[[% normaliz]:[% normaliz]],1)*(DATOS_[Conc.Sal.05])))))))),
0)</f>
        <v>0</v>
      </c>
      <c r="O41" s="111">
        <f t="array" ref="O41">IFERROR(
(MEDIAN((IF(DATOS_[[Sexo]:[Sexo]]=$B41,IF(DATOS_[[AGRUP. CLAS. PROF.]:[AGRUP. CLAS. PROF.]]=$B39,IF(DATOS_[[Check Periodo Ref.]:[Check Periodo Ref.]]="Dentro",IF(DATOS_[[Check Equiparado]:[Check Equiparado]]="Sí",IF(DATOS!AJ$5="Sí",(1/DATOS_[[% anualiz]:[% anualiz]]),1)*IF(DATOS!AJ$4="Sí",1/DATOS_[[% normaliz]:[% normaliz]],1)*(DATOS_[Conc.Sal.06])))))))),
0)</f>
        <v>0</v>
      </c>
      <c r="P41" s="111">
        <f t="array" ref="P41">IFERROR(
(MEDIAN((IF(DATOS_[[Sexo]:[Sexo]]=$B41,IF(DATOS_[[AGRUP. CLAS. PROF.]:[AGRUP. CLAS. PROF.]]=$B39,IF(DATOS_[[Check Periodo Ref.]:[Check Periodo Ref.]]="Dentro",IF(DATOS_[[Check Equiparado]:[Check Equiparado]]="Sí",IF(DATOS!AK$5="Sí",(1/DATOS_[[% anualiz]:[% anualiz]]),1)*IF(DATOS!AK$4="Sí",1/DATOS_[[% normaliz]:[% normaliz]],1)*(DATOS_[Conc.Sal.07])))))))),
0)</f>
        <v>0</v>
      </c>
      <c r="Q41" s="111">
        <f t="array" ref="Q41">IFERROR(
(MEDIAN((IF(DATOS_[[Sexo]:[Sexo]]=$B41,IF(DATOS_[[AGRUP. CLAS. PROF.]:[AGRUP. CLAS. PROF.]]=$B39,IF(DATOS_[[Check Periodo Ref.]:[Check Periodo Ref.]]="Dentro",IF(DATOS_[[Check Equiparado]:[Check Equiparado]]="Sí",IF(DATOS!AL$5="Sí",(1/DATOS_[[% anualiz]:[% anualiz]]),1)*IF(DATOS!AL$4="Sí",1/DATOS_[[% normaliz]:[% normaliz]],1)*(DATOS_[Conc.Sal.08])))))))),
0)</f>
        <v>0</v>
      </c>
      <c r="R41" s="111">
        <f t="array" ref="R41">IFERROR(
(MEDIAN((IF(DATOS_[[Sexo]:[Sexo]]=$B41,IF(DATOS_[[AGRUP. CLAS. PROF.]:[AGRUP. CLAS. PROF.]]=$B39,IF(DATOS_[[Check Periodo Ref.]:[Check Periodo Ref.]]="Dentro",IF(DATOS_[[Check Equiparado]:[Check Equiparado]]="Sí",IF(DATOS!AM$5="Sí",(1/DATOS_[[% anualiz]:[% anualiz]]),1)*IF(DATOS!AM$4="Sí",1/DATOS_[[% normaliz]:[% normaliz]],1)*(DATOS_[Conc.Sal.09])))))))),
0)</f>
        <v>0</v>
      </c>
      <c r="S41" s="111">
        <f t="array" ref="S41">IFERROR(
(MEDIAN((IF(DATOS_[[Sexo]:[Sexo]]=$B41,IF(DATOS_[[AGRUP. CLAS. PROF.]:[AGRUP. CLAS. PROF.]]=$B39,IF(DATOS_[[Check Periodo Ref.]:[Check Periodo Ref.]]="Dentro",IF(DATOS_[[Check Equiparado]:[Check Equiparado]]="Sí",IF(DATOS!AN$5="Sí",(1/DATOS_[[% anualiz]:[% anualiz]]),1)*IF(DATOS!AN$4="Sí",1/DATOS_[[% normaliz]:[% normaliz]],1)*(DATOS_[Conc.Sal.10])))))))),
0)</f>
        <v>0</v>
      </c>
      <c r="T41" s="111">
        <f t="array" ref="T41">IFERROR(
(MEDIAN((IF(DATOS_[[Sexo]:[Sexo]]=$B41,IF(DATOS_[[AGRUP. CLAS. PROF.]:[AGRUP. CLAS. PROF.]]=$B39,IF(DATOS_[[Check Periodo Ref.]:[Check Periodo Ref.]]="Dentro",IF(DATOS_[[Check Equiparado]:[Check Equiparado]]="Sí",IF(DATOS!AO$5="Sí",(1/DATOS_[[% anualiz]:[% anualiz]]),1)*IF(DATOS!AO$4="Sí",1/DATOS_[[% normaliz]:[% normaliz]],1)*(DATOS_[Conc.Sal.11])))))))),
0)</f>
        <v>0</v>
      </c>
      <c r="U41" s="111">
        <f t="array" ref="U41">IFERROR(
(MEDIAN((IF(DATOS_[[Sexo]:[Sexo]]=$B41,IF(DATOS_[[AGRUP. CLAS. PROF.]:[AGRUP. CLAS. PROF.]]=$B39,IF(DATOS_[[Check Periodo Ref.]:[Check Periodo Ref.]]="Dentro",IF(DATOS_[[Check Equiparado]:[Check Equiparado]]="Sí",IF(DATOS!AP$5="Sí",(1/DATOS_[[% anualiz]:[% anualiz]]),1)*IF(DATOS!AP$4="Sí",1/DATOS_[[% normaliz]:[% normaliz]],1)*(DATOS_[Conc.Sal.12])))))))),
0)</f>
        <v>0</v>
      </c>
      <c r="V41" s="111">
        <f t="array" ref="V41">IFERROR(
(MEDIAN((IF(DATOS_[[Sexo]:[Sexo]]=$B41,IF(DATOS_[[AGRUP. CLAS. PROF.]:[AGRUP. CLAS. PROF.]]=$B39,IF(DATOS_[[Check Periodo Ref.]:[Check Periodo Ref.]]="Dentro",IF(DATOS_[[Check Equiparado]:[Check Equiparado]]="Sí",IF(DATOS!AQ$5="Sí",(1/DATOS_[[% anualiz]:[% anualiz]]),1)*IF(DATOS!AQ$4="Sí",1/DATOS_[[% normaliz]:[% normaliz]],1)*(DATOS_[Conc.Sal.13])))))))),
0)</f>
        <v>0</v>
      </c>
      <c r="W41" s="111">
        <f t="array" ref="W41">IFERROR(
(MEDIAN((IF(DATOS_[[Sexo]:[Sexo]]=$B41,IF(DATOS_[[AGRUP. CLAS. PROF.]:[AGRUP. CLAS. PROF.]]=$B39,IF(DATOS_[[Check Periodo Ref.]:[Check Periodo Ref.]]="Dentro",IF(DATOS_[[Check Equiparado]:[Check Equiparado]]="Sí",IF(DATOS!AR$5="Sí",(1/DATOS_[[% anualiz]:[% anualiz]]),1)*IF(DATOS!AR$4="Sí",1/DATOS_[[% normaliz]:[% normaliz]],1)*(DATOS_[Conc.Sal.14])))))))),
0)</f>
        <v>0</v>
      </c>
      <c r="X41" s="111">
        <f t="array" ref="X41">IFERROR(
(MEDIAN((IF(DATOS_[[Sexo]:[Sexo]]=$B41,IF(DATOS_[[AGRUP. CLAS. PROF.]:[AGRUP. CLAS. PROF.]]=$B39,IF(DATOS_[[Check Periodo Ref.]:[Check Periodo Ref.]]="Dentro",IF(DATOS_[[Check Equiparado]:[Check Equiparado]]="Sí",IF(DATOS!AS$5="Sí",(1/DATOS_[[% anualiz]:[% anualiz]]),1)*IF(DATOS!AS$4="Sí",1/DATOS_[[% normaliz]:[% normaliz]],1)*(DATOS_[Conc.Sal.15])))))))),
0)</f>
        <v>0</v>
      </c>
      <c r="Y41" s="111">
        <f t="array" ref="Y41">IFERROR(
(MEDIAN((IF(DATOS_[[Sexo]:[Sexo]]=$B41,IF(DATOS_[[AGRUP. CLAS. PROF.]:[AGRUP. CLAS. PROF.]]=$B39,IF(DATOS_[[Check Periodo Ref.]:[Check Periodo Ref.]]="Dentro",IF(DATOS_[[Check Equiparado]:[Check Equiparado]]="Sí",IF(DATOS!AT$5="Sí",(1/DATOS_[[% anualiz]:[% anualiz]]),1)*IF(DATOS!AT$4="Sí",1/DATOS_[[% normaliz]:[% normaliz]],1)*(DATOS_[Conc.Sal.16])))))))),
0)</f>
        <v>0</v>
      </c>
      <c r="Z41" s="111">
        <f t="array" ref="Z41">IFERROR(
(MEDIAN((IF(DATOS_[[Sexo]:[Sexo]]=$B41,IF(DATOS_[[AGRUP. CLAS. PROF.]:[AGRUP. CLAS. PROF.]]=$B39,IF(DATOS_[[Check Periodo Ref.]:[Check Periodo Ref.]]="Dentro",IF(DATOS_[[Check Equiparado]:[Check Equiparado]]="Sí",IF(DATOS!AU$5="Sí",(1/DATOS_[[% anualiz]:[% anualiz]]),1)*IF(DATOS!AU$4="Sí",1/DATOS_[[% normaliz]:[% normaliz]],1)*(DATOS_[Conc.Sal.17])))))))),
0)</f>
        <v>0</v>
      </c>
      <c r="AA41" s="111">
        <f t="array" ref="AA41">IFERROR(
(MEDIAN((IF(DATOS_[[Sexo]:[Sexo]]=$B41,IF(DATOS_[[AGRUP. CLAS. PROF.]:[AGRUP. CLAS. PROF.]]=$B39,IF(DATOS_[[Check Periodo Ref.]:[Check Periodo Ref.]]="Dentro",IF(DATOS_[[Check Equiparado]:[Check Equiparado]]="Sí",IF(DATOS!AV$5="Sí",(1/DATOS_[[% anualiz]:[% anualiz]]),1)*IF(DATOS!AV$4="Sí",1/DATOS_[[% normaliz]:[% normaliz]],1)*(DATOS_[Conc.Sal.18])))))))),
0)</f>
        <v>0</v>
      </c>
      <c r="AB41" s="111">
        <f t="array" ref="AB41">IFERROR(
(MEDIAN((IF(DATOS_[[Sexo]:[Sexo]]=$B41,IF(DATOS_[[AGRUP. CLAS. PROF.]:[AGRUP. CLAS. PROF.]]=$B39,IF(DATOS_[[Check Periodo Ref.]:[Check Periodo Ref.]]="Dentro",IF(DATOS_[[Check Equiparado]:[Check Equiparado]]="Sí",IF(DATOS!AW$5="Sí",(1/DATOS_[[% anualiz]:[% anualiz]]),1)*IF(DATOS!AW$4="Sí",1/DATOS_[[% normaliz]:[% normaliz]],1)*(DATOS_[Conc.Sal.19])))))))),
0)</f>
        <v>0</v>
      </c>
      <c r="AC41" s="111">
        <f t="array" ref="AC41">IFERROR(
(MEDIAN((IF(DATOS_[[Sexo]:[Sexo]]=$B41,IF(DATOS_[[AGRUP. CLAS. PROF.]:[AGRUP. CLAS. PROF.]]=$B39,IF(DATOS_[[Check Periodo Ref.]:[Check Periodo Ref.]]="Dentro",IF(DATOS_[[Check Equiparado]:[Check Equiparado]]="Sí",IF(DATOS!AX$5="Sí",(1/DATOS_[[% anualiz]:[% anualiz]]),1)*IF(DATOS!AX$4="Sí",1/DATOS_[[% normaliz]:[% normaliz]],1)*(DATOS_[Conc.Sal.20])))))))),
0)</f>
        <v>0</v>
      </c>
      <c r="AD41" s="111">
        <f t="array" ref="AD41">IFERROR(
(MEDIAN((IF(DATOS_[[Sexo]:[Sexo]]=$B41,IF(DATOS_[[AGRUP. CLAS. PROF.]:[AGRUP. CLAS. PROF.]]=$B39,IF(DATOS_[[Check Periodo Ref.]:[Check Periodo Ref.]]="Dentro",IF(DATOS_[[Check Equiparado]:[Check Equiparado]]="Sí",IF(DATOS!AY$5="Sí",(1/DATOS_[[% anualiz]:[% anualiz]]),1)*IF(DATOS!AY$4="Sí",1/DATOS_[[% normaliz]:[% normaliz]],1)*(DATOS_[Conc.Sal.21])))))))),
0)</f>
        <v>0</v>
      </c>
      <c r="AE41" s="111">
        <f t="array" ref="AE41">IFERROR(
(MEDIAN((IF(DATOS_[[Sexo]:[Sexo]]=$B41,IF(DATOS_[[AGRUP. CLAS. PROF.]:[AGRUP. CLAS. PROF.]]=$B39,IF(DATOS_[[Check Periodo Ref.]:[Check Periodo Ref.]]="Dentro",IF(DATOS_[[Check Equiparado]:[Check Equiparado]]="Sí",IF(DATOS!AZ$5="Sí",(1/DATOS_[[% anualiz]:[% anualiz]]),1)*IF(DATOS!AZ$4="Sí",1/DATOS_[[% normaliz]:[% normaliz]],1)*(DATOS_[Conc.Sal.22])))))))),
0)</f>
        <v>0</v>
      </c>
      <c r="AF41" s="111">
        <f t="array" ref="AF41">IFERROR(
(MEDIAN((IF(DATOS_[[Sexo]:[Sexo]]=$B41,IF(DATOS_[[AGRUP. CLAS. PROF.]:[AGRUP. CLAS. PROF.]]=$B39,IF(DATOS_[[Check Periodo Ref.]:[Check Periodo Ref.]]="Dentro",IF(DATOS_[[Check Equiparado]:[Check Equiparado]]="Sí",IF(DATOS!BA$5="Sí",(1/DATOS_[[% anualiz]:[% anualiz]]),1)*IF(DATOS!BA$4="Sí",1/DATOS_[[% normaliz]:[% normaliz]],1)*(DATOS_[Conc.Sal.23])))))))),
0)</f>
        <v>0</v>
      </c>
      <c r="AG41" s="111">
        <f t="array" ref="AG41">IFERROR(
(MEDIAN((IF(DATOS_[[Sexo]:[Sexo]]=$B41,IF(DATOS_[[AGRUP. CLAS. PROF.]:[AGRUP. CLAS. PROF.]]=$B39,IF(DATOS_[[Check Periodo Ref.]:[Check Periodo Ref.]]="Dentro",IF(DATOS_[[Check Equiparado]:[Check Equiparado]]="Sí",IF(DATOS!BB$5="Sí",(1/DATOS_[[% anualiz]:[% anualiz]]),1)*IF(DATOS!BB$4="Sí",1/DATOS_[[% normaliz]:[% normaliz]],1)*(DATOS_[Conc.Sal.24])))))))),
0)</f>
        <v>0</v>
      </c>
      <c r="AH41" s="111">
        <f t="array" ref="AH41">IFERROR(
(MEDIAN((IF(DATOS_[[Sexo]:[Sexo]]=$B41,IF(DATOS_[[AGRUP. CLAS. PROF.]:[AGRUP. CLAS. PROF.]]=$B39,IF(DATOS_[[Check Periodo Ref.]:[Check Periodo Ref.]]="Dentro",IF(DATOS_[[Check Equiparado]:[Check Equiparado]]="Sí",IF(DATOS!BC$5="Sí",(1/DATOS_[[% anualiz]:[% anualiz]]),1)*IF(DATOS!BC$4="Sí",1/DATOS_[[% normaliz]:[% normaliz]],1)*(DATOS_[Conc.Sal.25])))))))),
0)</f>
        <v>0</v>
      </c>
      <c r="AI41" s="111">
        <f t="array" ref="AI41">IFERROR(
(MEDIAN((IF(DATOS_[[Sexo]:[Sexo]]=$B41,IF(DATOS_[[AGRUP. CLAS. PROF.]:[AGRUP. CLAS. PROF.]]=$B39,IF(DATOS_[[Check Periodo Ref.]:[Check Periodo Ref.]]="Dentro",IF(DATOS_[[Check Equiparado]:[Check Equiparado]]="Sí",IF(DATOS!BD$5="Sí",(1/DATOS_[[% anualiz]:[% anualiz]]),1)*IF(DATOS!BD$4="Sí",1/DATOS_[[% normaliz]:[% normaliz]],1)*(DATOS_[Conc.Sal.26])))))))),
0)</f>
        <v>0</v>
      </c>
      <c r="AJ41" s="111">
        <f t="array" ref="AJ41">IFERROR(
(MEDIAN((IF(DATOS_[[Sexo]:[Sexo]]=$B41,IF(DATOS_[[AGRUP. CLAS. PROF.]:[AGRUP. CLAS. PROF.]]=$B39,IF(DATOS_[[Check Periodo Ref.]:[Check Periodo Ref.]]="Dentro",IF(DATOS_[[Check Equiparado]:[Check Equiparado]]="Sí",IF(DATOS!BE$5="Sí",(1/DATOS_[[% anualiz]:[% anualiz]]),1)*IF(DATOS!BE$4="Sí",1/DATOS_[[% normaliz]:[% normaliz]],1)*(DATOS_[Conc.Sal.27])))))))),
0)</f>
        <v>0</v>
      </c>
      <c r="AK41" s="111">
        <f t="array" ref="AK41">IFERROR(
(MEDIAN((IF(DATOS_[[Sexo]:[Sexo]]=$B41,IF(DATOS_[[AGRUP. CLAS. PROF.]:[AGRUP. CLAS. PROF.]]=$B39,IF(DATOS_[[Check Periodo Ref.]:[Check Periodo Ref.]]="Dentro",IF(DATOS_[[Check Equiparado]:[Check Equiparado]]="Sí",IF(DATOS!BF$5="Sí",(1/DATOS_[[% anualiz]:[% anualiz]]),1)*IF(DATOS!BF$4="Sí",1/DATOS_[[% normaliz]:[% normaliz]],1)*(DATOS_[Conc.Sal.28])))))))),
0)</f>
        <v>0</v>
      </c>
      <c r="AL41" s="111">
        <f t="array" ref="AL41">IFERROR(
(MEDIAN((IF(DATOS_[[Sexo]:[Sexo]]=$B41,IF(DATOS_[[AGRUP. CLAS. PROF.]:[AGRUP. CLAS. PROF.]]=$B39,IF(DATOS_[[Check Periodo Ref.]:[Check Periodo Ref.]]="Dentro",IF(DATOS_[[Check Equiparado]:[Check Equiparado]]="Sí",IF(DATOS!BG$5="Sí",(1/DATOS_[[% anualiz]:[% anualiz]]),1)*IF(DATOS!BG$4="Sí",1/DATOS_[[% normaliz]:[% normaliz]],1)*(DATOS_[Conc.Sal.29])))))))),
0)</f>
        <v>0</v>
      </c>
      <c r="AM41" s="111">
        <f t="array" ref="AM41">IFERROR(
(MEDIAN((IF(DATOS_[[Sexo]:[Sexo]]=$B41,IF(DATOS_[[AGRUP. CLAS. PROF.]:[AGRUP. CLAS. PROF.]]=$B39,IF(DATOS_[[Check Periodo Ref.]:[Check Periodo Ref.]]="Dentro",IF(DATOS_[[Check Equiparado]:[Check Equiparado]]="Sí",IF(DATOS!BH$5="Sí",(1/DATOS_[[% anualiz]:[% anualiz]]),1)*IF(DATOS!BH$4="Sí",1/DATOS_[[% normaliz]:[% normaliz]],1)*(DATOS_[Conc.Sal.30])))))))),
0)</f>
        <v>0</v>
      </c>
      <c r="AN41" s="112">
        <f t="array" ref="AN41">IFERROR(
MEDIAN(IF(DATOS_[Sexo]=$B41,IF(DATOS_[[AGRUP. CLAS. PROF.]:[AGRUP. CLAS. PROF.]]=$B39,IF(DATOS_[Check Equiparado]="Sí",IF(DATOS_[Check Periodo Ref.]="Dentro",DATOS_[Tot COMPL.SAL Eq],FALSE))))),
0)</f>
        <v>0</v>
      </c>
      <c r="AO41" s="113">
        <f t="array" ref="AO41">IFERROR(
MEDIAN(IF(DATOS_[Sexo]=$B41,IF(DATOS_[[AGRUP. CLAS. PROF.]:[AGRUP. CLAS. PROF.]]=$B39,IF(DATOS_[Check Equiparado]="Sí",IF(DATOS_[Check Periodo Ref.]="Dentro",DATOS_[TOTAL SALARIO Eq],FALSE))))),
0)</f>
        <v>0</v>
      </c>
      <c r="AP41" s="114">
        <f t="array" ref="AP41">IFERROR(
(MEDIAN((IF(DATOS_[[Sexo]:[Sexo]]=$B41,IF(DATOS_[[AGRUP. CLAS. PROF.]:[AGRUP. CLAS. PROF.]]=$B39,IF(DATOS_[[Check Periodo Ref.]:[Check Periodo Ref.]]="Dentro",IF(DATOS_[[Check Equiparado]:[Check Equiparado]]="Sí",IF(DATOS!BI$5="Sí",(1/DATOS_[[% anualiz]:[% anualiz]]),1)*IF(DATOS!BI$4="Sí",1/DATOS_[[% normaliz]:[% normaliz]],1)*(DATOS_[C.Extra.01])))))))),
0)</f>
        <v>0</v>
      </c>
      <c r="AQ41" s="114">
        <f t="array" ref="AQ41">IFERROR(
(MEDIAN((IF(DATOS_[[Sexo]:[Sexo]]=$B41,IF(DATOS_[[AGRUP. CLAS. PROF.]:[AGRUP. CLAS. PROF.]]=$B39,IF(DATOS_[[Check Periodo Ref.]:[Check Periodo Ref.]]="Dentro",IF(DATOS_[[Check Equiparado]:[Check Equiparado]]="Sí",IF(DATOS!BJ$5="Sí",(1/DATOS_[[% anualiz]:[% anualiz]]),1)*IF(DATOS!BJ$4="Sí",1/DATOS_[[% normaliz]:[% normaliz]],1)*(DATOS_[C.Extra.02])))))))),
0)</f>
        <v>0</v>
      </c>
      <c r="AR41" s="114">
        <f t="array" ref="AR41">IFERROR(
(MEDIAN((IF(DATOS_[[Sexo]:[Sexo]]=$B41,IF(DATOS_[[AGRUP. CLAS. PROF.]:[AGRUP. CLAS. PROF.]]=$B39,IF(DATOS_[[Check Periodo Ref.]:[Check Periodo Ref.]]="Dentro",IF(DATOS_[[Check Equiparado]:[Check Equiparado]]="Sí",IF(DATOS!BK$5="Sí",(1/DATOS_[[% anualiz]:[% anualiz]]),1)*IF(DATOS!BK$4="Sí",1/DATOS_[[% normaliz]:[% normaliz]],1)*(DATOS_[C.Extra.03])))))))),
0)</f>
        <v>0</v>
      </c>
      <c r="AS41" s="114">
        <f t="array" ref="AS41">IFERROR(
(MEDIAN((IF(DATOS_[[Sexo]:[Sexo]]=$B41,IF(DATOS_[[AGRUP. CLAS. PROF.]:[AGRUP. CLAS. PROF.]]=$B39,IF(DATOS_[[Check Periodo Ref.]:[Check Periodo Ref.]]="Dentro",IF(DATOS_[[Check Equiparado]:[Check Equiparado]]="Sí",IF(DATOS!BL$5="Sí",(1/DATOS_[[% anualiz]:[% anualiz]]),1)*IF(DATOS!BL$4="Sí",1/DATOS_[[% normaliz]:[% normaliz]],1)*(DATOS_[C.Extra.04])))))))),
0)</f>
        <v>0</v>
      </c>
      <c r="AT41" s="114">
        <f t="array" ref="AT41">IFERROR(
(MEDIAN((IF(DATOS_[[Sexo]:[Sexo]]=$B41,IF(DATOS_[[AGRUP. CLAS. PROF.]:[AGRUP. CLAS. PROF.]]=$B39,IF(DATOS_[[Check Periodo Ref.]:[Check Periodo Ref.]]="Dentro",IF(DATOS_[[Check Equiparado]:[Check Equiparado]]="Sí",IF(DATOS!BM$5="Sí",(1/DATOS_[[% anualiz]:[% anualiz]]),1)*IF(DATOS!BM$4="Sí",1/DATOS_[[% normaliz]:[% normaliz]],1)*(DATOS_[C.Extra.05])))))))),
0)</f>
        <v>0</v>
      </c>
      <c r="AU41" s="115">
        <f t="array" ref="AU41">IFERROR(
MEDIAN(IF(DATOS_[Sexo]=$B41,IF(DATOS_[[AGRUP. CLAS. PROF.]:[AGRUP. CLAS. PROF.]]=$B39,IF(DATOS_[Check Equiparado]="Sí",IF(DATOS_[Check Periodo Ref.]="Dentro",DATOS_[Tot Extrasalarial Eq],FALSE))))),
0)</f>
        <v>0</v>
      </c>
      <c r="AV41" s="116">
        <f t="array" ref="AV41">IFERROR(
MEDIAN(IF(DATOS_[Sexo]=$B41,IF(DATOS_[[AGRUP. CLAS. PROF.]:[AGRUP. CLAS. PROF.]]=$B39,IF(DATOS_[Check Equiparado]="Sí",IF(DATOS_[Check Periodo Ref.]="Dentro",DATOS_[TOTAL Retrib Eq],FALSE))))),
0)</f>
        <v>0</v>
      </c>
    </row>
    <row r="42" spans="1:48" ht="17.25" hidden="1" thickBot="1" x14ac:dyDescent="0.35">
      <c r="A42" s="42" t="str">
        <f t="shared" ref="A42" si="39">+A43</f>
        <v>[ocultar]</v>
      </c>
      <c r="B42" s="90" t="s">
        <v>226</v>
      </c>
      <c r="C42" s="109"/>
      <c r="D42" s="41"/>
      <c r="E42" s="41"/>
      <c r="F42" s="41"/>
      <c r="G42" s="41"/>
      <c r="H42" s="41"/>
      <c r="I42" s="119" t="str">
        <f t="shared" ref="I42:AV42" si="40">IFERROR((I43-I44)/I43,"")</f>
        <v/>
      </c>
      <c r="J42" s="123" t="str">
        <f t="shared" si="40"/>
        <v/>
      </c>
      <c r="K42" s="123" t="str">
        <f t="shared" si="40"/>
        <v/>
      </c>
      <c r="L42" s="123" t="str">
        <f t="shared" si="40"/>
        <v/>
      </c>
      <c r="M42" s="123" t="str">
        <f t="shared" si="40"/>
        <v/>
      </c>
      <c r="N42" s="123" t="str">
        <f t="shared" si="40"/>
        <v/>
      </c>
      <c r="O42" s="123" t="str">
        <f t="shared" si="40"/>
        <v/>
      </c>
      <c r="P42" s="123" t="str">
        <f t="shared" si="40"/>
        <v/>
      </c>
      <c r="Q42" s="123" t="str">
        <f t="shared" si="40"/>
        <v/>
      </c>
      <c r="R42" s="123" t="str">
        <f t="shared" si="40"/>
        <v/>
      </c>
      <c r="S42" s="123" t="str">
        <f t="shared" si="40"/>
        <v/>
      </c>
      <c r="T42" s="123" t="str">
        <f t="shared" si="40"/>
        <v/>
      </c>
      <c r="U42" s="123" t="str">
        <f t="shared" si="40"/>
        <v/>
      </c>
      <c r="V42" s="123" t="str">
        <f t="shared" si="40"/>
        <v/>
      </c>
      <c r="W42" s="123" t="str">
        <f t="shared" si="40"/>
        <v/>
      </c>
      <c r="X42" s="123" t="str">
        <f t="shared" si="40"/>
        <v/>
      </c>
      <c r="Y42" s="123" t="str">
        <f t="shared" si="40"/>
        <v/>
      </c>
      <c r="Z42" s="122" t="str">
        <f t="shared" si="40"/>
        <v/>
      </c>
      <c r="AA42" s="122" t="str">
        <f t="shared" si="40"/>
        <v/>
      </c>
      <c r="AB42" s="122" t="str">
        <f t="shared" si="40"/>
        <v/>
      </c>
      <c r="AC42" s="122" t="str">
        <f t="shared" si="40"/>
        <v/>
      </c>
      <c r="AD42" s="122" t="str">
        <f t="shared" si="40"/>
        <v/>
      </c>
      <c r="AE42" s="122" t="str">
        <f t="shared" si="40"/>
        <v/>
      </c>
      <c r="AF42" s="122" t="str">
        <f t="shared" si="40"/>
        <v/>
      </c>
      <c r="AG42" s="122" t="str">
        <f t="shared" si="40"/>
        <v/>
      </c>
      <c r="AH42" s="122" t="str">
        <f t="shared" si="40"/>
        <v/>
      </c>
      <c r="AI42" s="122" t="str">
        <f t="shared" si="40"/>
        <v/>
      </c>
      <c r="AJ42" s="122" t="str">
        <f t="shared" si="40"/>
        <v/>
      </c>
      <c r="AK42" s="122" t="str">
        <f t="shared" si="40"/>
        <v/>
      </c>
      <c r="AL42" s="122" t="str">
        <f t="shared" si="40"/>
        <v/>
      </c>
      <c r="AM42" s="122" t="str">
        <f t="shared" si="40"/>
        <v/>
      </c>
      <c r="AN42" s="124" t="str">
        <f t="shared" si="40"/>
        <v/>
      </c>
      <c r="AO42" s="128" t="str">
        <f t="shared" si="40"/>
        <v/>
      </c>
      <c r="AP42" s="125" t="str">
        <f t="shared" si="40"/>
        <v/>
      </c>
      <c r="AQ42" s="125" t="str">
        <f t="shared" si="40"/>
        <v/>
      </c>
      <c r="AR42" s="125" t="str">
        <f t="shared" si="40"/>
        <v/>
      </c>
      <c r="AS42" s="125" t="str">
        <f t="shared" si="40"/>
        <v/>
      </c>
      <c r="AT42" s="125" t="str">
        <f t="shared" si="40"/>
        <v/>
      </c>
      <c r="AU42" s="126" t="str">
        <f t="shared" si="40"/>
        <v/>
      </c>
      <c r="AV42" s="127" t="str">
        <f t="shared" si="40"/>
        <v/>
      </c>
    </row>
    <row r="43" spans="1:48" hidden="1" x14ac:dyDescent="0.3">
      <c r="A43" s="42" t="str">
        <f t="shared" ref="A43" si="41">+IF(C43+C44=0,"[ocultar]","")</f>
        <v>[ocultar]</v>
      </c>
      <c r="B43" s="86" t="s">
        <v>162</v>
      </c>
      <c r="C43" s="33">
        <f t="array" ref="C43">SUM(IF($B43=DATOS_[Sexo],
IF($B42=DATOS_[AGRUP. CLAS. PROF.],
IF("Dentro"=DATOS_[Check Periodo Ref.],
1/(COUNTIFS(DATOS_[Sexo],$B43,DATOS_[AGRUP. CLAS. PROF.],$B42,DATOS_[Check Periodo Ref.],"Dentro",DATOS_[id],DATOS_[id]))))))</f>
        <v>0</v>
      </c>
      <c r="D43" s="35">
        <f>COUNTIFS(DATOS_[AGRUP. CLAS. PROF.],$B42,DATOS_[Sexo],$B43,DATOS_[Check Periodo Ref.],"Dentro")</f>
        <v>0</v>
      </c>
      <c r="E43" s="35">
        <f>COUNTIFS(DATOS_[AGRUP. CLAS. PROF.],$B42,DATOS_[Sexo],$B43,DATOS_[Check Periodo Ref.],"Dentro",DATOS_[Check Nº SC Norm],"Sí")</f>
        <v>0</v>
      </c>
      <c r="F43" s="35">
        <f>COUNTIFS(DATOS_[AGRUP. CLAS. PROF.],$B42,DATOS_[Sexo],$B43,DATOS_[Check Periodo Ref.],"Dentro",DATOS_[Check Nº SC Anualiz],"Sí")</f>
        <v>0</v>
      </c>
      <c r="G43" s="35">
        <f>COUNTIFS(DATOS_[AGRUP. CLAS. PROF.],$B42,DATOS_[Sexo],$B43,DATOS_[Check Periodo Ref.],"Dentro",DATOS_[Check Nº SC Norm y Anualiz],"Sí")</f>
        <v>0</v>
      </c>
      <c r="H43" s="35">
        <f>COUNTIFS(DATOS_[AGRUP. CLAS. PROF.],$B42,DATOS_[Sexo],$B43,DATOS_[Check Periodo Ref.],"Dentro",DATOS_[Check Equiparación],"Sí")</f>
        <v>0</v>
      </c>
      <c r="I43" s="110">
        <f t="array" ref="I43">IFERROR(
MEDIAN(IF(DATOS_[Sexo]=$B43,IF(DATOS_[[AGRUP. CLAS. PROF.]:[AGRUP. CLAS. PROF.]]=$B42,IF(DATOS_[Check Equiparado]="Sí",IF(DATOS_[Check Periodo Ref.]="Dentro",DATOS_[SALARIO BASE Eq],FALSE))))),
0)</f>
        <v>0</v>
      </c>
      <c r="J43" s="111">
        <f t="array" ref="J43">IFERROR(
(MEDIAN((IF(DATOS_[[Sexo]:[Sexo]]=$B43,IF(DATOS_[[AGRUP. CLAS. PROF.]:[AGRUP. CLAS. PROF.]]=$B42,IF(DATOS_[[Check Periodo Ref.]:[Check Periodo Ref.]]="Dentro",IF(DATOS_[[Check Equiparado]:[Check Equiparado]]="Sí",IF(DATOS!AE$5="Sí",(1/DATOS_[[% anualiz]:[% anualiz]]),1)*IF(DATOS!AE$4="Sí",1/DATOS_[[% normaliz]:[% normaliz]],1)*(DATOS_[Conc.Sal.01])))))))),
0)</f>
        <v>0</v>
      </c>
      <c r="K43" s="111">
        <f t="array" ref="K43">IFERROR(
(MEDIAN((IF(DATOS_[[Sexo]:[Sexo]]=$B43,IF(DATOS_[[AGRUP. CLAS. PROF.]:[AGRUP. CLAS. PROF.]]=$B42,IF(DATOS_[[Check Periodo Ref.]:[Check Periodo Ref.]]="Dentro",IF(DATOS_[[Check Equiparado]:[Check Equiparado]]="Sí",IF(DATOS!AF$5="Sí",(1/DATOS_[[% anualiz]:[% anualiz]]),1)*IF(DATOS!AF$4="Sí",1/DATOS_[[% normaliz]:[% normaliz]],1)*(DATOS_[Conc.Sal.02])))))))),
0)</f>
        <v>0</v>
      </c>
      <c r="L43" s="111">
        <f t="array" ref="L43">IFERROR(
(MEDIAN((IF(DATOS_[[Sexo]:[Sexo]]=$B43,IF(DATOS_[[AGRUP. CLAS. PROF.]:[AGRUP. CLAS. PROF.]]=$B42,IF(DATOS_[[Check Periodo Ref.]:[Check Periodo Ref.]]="Dentro",IF(DATOS_[[Check Equiparado]:[Check Equiparado]]="Sí",IF(DATOS!AG$5="Sí",(1/DATOS_[[% anualiz]:[% anualiz]]),1)*IF(DATOS!AG$4="Sí",1/DATOS_[[% normaliz]:[% normaliz]],1)*(DATOS_[Conc.Sal.03])))))))),
0)</f>
        <v>0</v>
      </c>
      <c r="M43" s="111">
        <f t="array" ref="M43">IFERROR(
(MEDIAN((IF(DATOS_[[Sexo]:[Sexo]]=$B43,IF(DATOS_[[AGRUP. CLAS. PROF.]:[AGRUP. CLAS. PROF.]]=$B42,IF(DATOS_[[Check Periodo Ref.]:[Check Periodo Ref.]]="Dentro",IF(DATOS_[[Check Equiparado]:[Check Equiparado]]="Sí",IF(DATOS!AH$5="Sí",(1/DATOS_[[% anualiz]:[% anualiz]]),1)*IF(DATOS!AH$4="Sí",1/DATOS_[[% normaliz]:[% normaliz]],1)*(DATOS_[Conc.Sal.04])))))))),
0)</f>
        <v>0</v>
      </c>
      <c r="N43" s="111">
        <f t="array" ref="N43">IFERROR(
(MEDIAN((IF(DATOS_[[Sexo]:[Sexo]]=$B43,IF(DATOS_[[AGRUP. CLAS. PROF.]:[AGRUP. CLAS. PROF.]]=$B42,IF(DATOS_[[Check Periodo Ref.]:[Check Periodo Ref.]]="Dentro",IF(DATOS_[[Check Equiparado]:[Check Equiparado]]="Sí",IF(DATOS!AI$5="Sí",(1/DATOS_[[% anualiz]:[% anualiz]]),1)*IF(DATOS!AI$4="Sí",1/DATOS_[[% normaliz]:[% normaliz]],1)*(DATOS_[Conc.Sal.05])))))))),
0)</f>
        <v>0</v>
      </c>
      <c r="O43" s="111">
        <f t="array" ref="O43">IFERROR(
(MEDIAN((IF(DATOS_[[Sexo]:[Sexo]]=$B43,IF(DATOS_[[AGRUP. CLAS. PROF.]:[AGRUP. CLAS. PROF.]]=$B42,IF(DATOS_[[Check Periodo Ref.]:[Check Periodo Ref.]]="Dentro",IF(DATOS_[[Check Equiparado]:[Check Equiparado]]="Sí",IF(DATOS!AJ$5="Sí",(1/DATOS_[[% anualiz]:[% anualiz]]),1)*IF(DATOS!AJ$4="Sí",1/DATOS_[[% normaliz]:[% normaliz]],1)*(DATOS_[Conc.Sal.06])))))))),
0)</f>
        <v>0</v>
      </c>
      <c r="P43" s="111">
        <f t="array" ref="P43">IFERROR(
(MEDIAN((IF(DATOS_[[Sexo]:[Sexo]]=$B43,IF(DATOS_[[AGRUP. CLAS. PROF.]:[AGRUP. CLAS. PROF.]]=$B42,IF(DATOS_[[Check Periodo Ref.]:[Check Periodo Ref.]]="Dentro",IF(DATOS_[[Check Equiparado]:[Check Equiparado]]="Sí",IF(DATOS!AK$5="Sí",(1/DATOS_[[% anualiz]:[% anualiz]]),1)*IF(DATOS!AK$4="Sí",1/DATOS_[[% normaliz]:[% normaliz]],1)*(DATOS_[Conc.Sal.07])))))))),
0)</f>
        <v>0</v>
      </c>
      <c r="Q43" s="111">
        <f t="array" ref="Q43">IFERROR(
(MEDIAN((IF(DATOS_[[Sexo]:[Sexo]]=$B43,IF(DATOS_[[AGRUP. CLAS. PROF.]:[AGRUP. CLAS. PROF.]]=$B42,IF(DATOS_[[Check Periodo Ref.]:[Check Periodo Ref.]]="Dentro",IF(DATOS_[[Check Equiparado]:[Check Equiparado]]="Sí",IF(DATOS!AL$5="Sí",(1/DATOS_[[% anualiz]:[% anualiz]]),1)*IF(DATOS!AL$4="Sí",1/DATOS_[[% normaliz]:[% normaliz]],1)*(DATOS_[Conc.Sal.08])))))))),
0)</f>
        <v>0</v>
      </c>
      <c r="R43" s="111">
        <f t="array" ref="R43">IFERROR(
(MEDIAN((IF(DATOS_[[Sexo]:[Sexo]]=$B43,IF(DATOS_[[AGRUP. CLAS. PROF.]:[AGRUP. CLAS. PROF.]]=$B42,IF(DATOS_[[Check Periodo Ref.]:[Check Periodo Ref.]]="Dentro",IF(DATOS_[[Check Equiparado]:[Check Equiparado]]="Sí",IF(DATOS!AM$5="Sí",(1/DATOS_[[% anualiz]:[% anualiz]]),1)*IF(DATOS!AM$4="Sí",1/DATOS_[[% normaliz]:[% normaliz]],1)*(DATOS_[Conc.Sal.09])))))))),
0)</f>
        <v>0</v>
      </c>
      <c r="S43" s="111">
        <f t="array" ref="S43">IFERROR(
(MEDIAN((IF(DATOS_[[Sexo]:[Sexo]]=$B43,IF(DATOS_[[AGRUP. CLAS. PROF.]:[AGRUP. CLAS. PROF.]]=$B42,IF(DATOS_[[Check Periodo Ref.]:[Check Periodo Ref.]]="Dentro",IF(DATOS_[[Check Equiparado]:[Check Equiparado]]="Sí",IF(DATOS!AN$5="Sí",(1/DATOS_[[% anualiz]:[% anualiz]]),1)*IF(DATOS!AN$4="Sí",1/DATOS_[[% normaliz]:[% normaliz]],1)*(DATOS_[Conc.Sal.10])))))))),
0)</f>
        <v>0</v>
      </c>
      <c r="T43" s="111">
        <f t="array" ref="T43">IFERROR(
(MEDIAN((IF(DATOS_[[Sexo]:[Sexo]]=$B43,IF(DATOS_[[AGRUP. CLAS. PROF.]:[AGRUP. CLAS. PROF.]]=$B42,IF(DATOS_[[Check Periodo Ref.]:[Check Periodo Ref.]]="Dentro",IF(DATOS_[[Check Equiparado]:[Check Equiparado]]="Sí",IF(DATOS!AO$5="Sí",(1/DATOS_[[% anualiz]:[% anualiz]]),1)*IF(DATOS!AO$4="Sí",1/DATOS_[[% normaliz]:[% normaliz]],1)*(DATOS_[Conc.Sal.11])))))))),
0)</f>
        <v>0</v>
      </c>
      <c r="U43" s="111">
        <f t="array" ref="U43">IFERROR(
(MEDIAN((IF(DATOS_[[Sexo]:[Sexo]]=$B43,IF(DATOS_[[AGRUP. CLAS. PROF.]:[AGRUP. CLAS. PROF.]]=$B42,IF(DATOS_[[Check Periodo Ref.]:[Check Periodo Ref.]]="Dentro",IF(DATOS_[[Check Equiparado]:[Check Equiparado]]="Sí",IF(DATOS!AP$5="Sí",(1/DATOS_[[% anualiz]:[% anualiz]]),1)*IF(DATOS!AP$4="Sí",1/DATOS_[[% normaliz]:[% normaliz]],1)*(DATOS_[Conc.Sal.12])))))))),
0)</f>
        <v>0</v>
      </c>
      <c r="V43" s="111">
        <f t="array" ref="V43">IFERROR(
(MEDIAN((IF(DATOS_[[Sexo]:[Sexo]]=$B43,IF(DATOS_[[AGRUP. CLAS. PROF.]:[AGRUP. CLAS. PROF.]]=$B42,IF(DATOS_[[Check Periodo Ref.]:[Check Periodo Ref.]]="Dentro",IF(DATOS_[[Check Equiparado]:[Check Equiparado]]="Sí",IF(DATOS!AQ$5="Sí",(1/DATOS_[[% anualiz]:[% anualiz]]),1)*IF(DATOS!AQ$4="Sí",1/DATOS_[[% normaliz]:[% normaliz]],1)*(DATOS_[Conc.Sal.13])))))))),
0)</f>
        <v>0</v>
      </c>
      <c r="W43" s="111">
        <f t="array" ref="W43">IFERROR(
(MEDIAN((IF(DATOS_[[Sexo]:[Sexo]]=$B43,IF(DATOS_[[AGRUP. CLAS. PROF.]:[AGRUP. CLAS. PROF.]]=$B42,IF(DATOS_[[Check Periodo Ref.]:[Check Periodo Ref.]]="Dentro",IF(DATOS_[[Check Equiparado]:[Check Equiparado]]="Sí",IF(DATOS!AR$5="Sí",(1/DATOS_[[% anualiz]:[% anualiz]]),1)*IF(DATOS!AR$4="Sí",1/DATOS_[[% normaliz]:[% normaliz]],1)*(DATOS_[Conc.Sal.14])))))))),
0)</f>
        <v>0</v>
      </c>
      <c r="X43" s="111">
        <f t="array" ref="X43">IFERROR(
(MEDIAN((IF(DATOS_[[Sexo]:[Sexo]]=$B43,IF(DATOS_[[AGRUP. CLAS. PROF.]:[AGRUP. CLAS. PROF.]]=$B42,IF(DATOS_[[Check Periodo Ref.]:[Check Periodo Ref.]]="Dentro",IF(DATOS_[[Check Equiparado]:[Check Equiparado]]="Sí",IF(DATOS!AS$5="Sí",(1/DATOS_[[% anualiz]:[% anualiz]]),1)*IF(DATOS!AS$4="Sí",1/DATOS_[[% normaliz]:[% normaliz]],1)*(DATOS_[Conc.Sal.15])))))))),
0)</f>
        <v>0</v>
      </c>
      <c r="Y43" s="111">
        <f t="array" ref="Y43">IFERROR(
(MEDIAN((IF(DATOS_[[Sexo]:[Sexo]]=$B43,IF(DATOS_[[AGRUP. CLAS. PROF.]:[AGRUP. CLAS. PROF.]]=$B42,IF(DATOS_[[Check Periodo Ref.]:[Check Periodo Ref.]]="Dentro",IF(DATOS_[[Check Equiparado]:[Check Equiparado]]="Sí",IF(DATOS!AT$5="Sí",(1/DATOS_[[% anualiz]:[% anualiz]]),1)*IF(DATOS!AT$4="Sí",1/DATOS_[[% normaliz]:[% normaliz]],1)*(DATOS_[Conc.Sal.16])))))))),
0)</f>
        <v>0</v>
      </c>
      <c r="Z43" s="111">
        <f t="array" ref="Z43">IFERROR(
(MEDIAN((IF(DATOS_[[Sexo]:[Sexo]]=$B43,IF(DATOS_[[AGRUP. CLAS. PROF.]:[AGRUP. CLAS. PROF.]]=$B42,IF(DATOS_[[Check Periodo Ref.]:[Check Periodo Ref.]]="Dentro",IF(DATOS_[[Check Equiparado]:[Check Equiparado]]="Sí",IF(DATOS!AU$5="Sí",(1/DATOS_[[% anualiz]:[% anualiz]]),1)*IF(DATOS!AU$4="Sí",1/DATOS_[[% normaliz]:[% normaliz]],1)*(DATOS_[Conc.Sal.17])))))))),
0)</f>
        <v>0</v>
      </c>
      <c r="AA43" s="111">
        <f t="array" ref="AA43">IFERROR(
(MEDIAN((IF(DATOS_[[Sexo]:[Sexo]]=$B43,IF(DATOS_[[AGRUP. CLAS. PROF.]:[AGRUP. CLAS. PROF.]]=$B42,IF(DATOS_[[Check Periodo Ref.]:[Check Periodo Ref.]]="Dentro",IF(DATOS_[[Check Equiparado]:[Check Equiparado]]="Sí",IF(DATOS!AV$5="Sí",(1/DATOS_[[% anualiz]:[% anualiz]]),1)*IF(DATOS!AV$4="Sí",1/DATOS_[[% normaliz]:[% normaliz]],1)*(DATOS_[Conc.Sal.18])))))))),
0)</f>
        <v>0</v>
      </c>
      <c r="AB43" s="111">
        <f t="array" ref="AB43">IFERROR(
(MEDIAN((IF(DATOS_[[Sexo]:[Sexo]]=$B43,IF(DATOS_[[AGRUP. CLAS. PROF.]:[AGRUP. CLAS. PROF.]]=$B42,IF(DATOS_[[Check Periodo Ref.]:[Check Periodo Ref.]]="Dentro",IF(DATOS_[[Check Equiparado]:[Check Equiparado]]="Sí",IF(DATOS!AW$5="Sí",(1/DATOS_[[% anualiz]:[% anualiz]]),1)*IF(DATOS!AW$4="Sí",1/DATOS_[[% normaliz]:[% normaliz]],1)*(DATOS_[Conc.Sal.19])))))))),
0)</f>
        <v>0</v>
      </c>
      <c r="AC43" s="111">
        <f t="array" ref="AC43">IFERROR(
(MEDIAN((IF(DATOS_[[Sexo]:[Sexo]]=$B43,IF(DATOS_[[AGRUP. CLAS. PROF.]:[AGRUP. CLAS. PROF.]]=$B42,IF(DATOS_[[Check Periodo Ref.]:[Check Periodo Ref.]]="Dentro",IF(DATOS_[[Check Equiparado]:[Check Equiparado]]="Sí",IF(DATOS!AX$5="Sí",(1/DATOS_[[% anualiz]:[% anualiz]]),1)*IF(DATOS!AX$4="Sí",1/DATOS_[[% normaliz]:[% normaliz]],1)*(DATOS_[Conc.Sal.20])))))))),
0)</f>
        <v>0</v>
      </c>
      <c r="AD43" s="111">
        <f t="array" ref="AD43">IFERROR(
(MEDIAN((IF(DATOS_[[Sexo]:[Sexo]]=$B43,IF(DATOS_[[AGRUP. CLAS. PROF.]:[AGRUP. CLAS. PROF.]]=$B42,IF(DATOS_[[Check Periodo Ref.]:[Check Periodo Ref.]]="Dentro",IF(DATOS_[[Check Equiparado]:[Check Equiparado]]="Sí",IF(DATOS!AY$5="Sí",(1/DATOS_[[% anualiz]:[% anualiz]]),1)*IF(DATOS!AY$4="Sí",1/DATOS_[[% normaliz]:[% normaliz]],1)*(DATOS_[Conc.Sal.21])))))))),
0)</f>
        <v>0</v>
      </c>
      <c r="AE43" s="111">
        <f t="array" ref="AE43">IFERROR(
(MEDIAN((IF(DATOS_[[Sexo]:[Sexo]]=$B43,IF(DATOS_[[AGRUP. CLAS. PROF.]:[AGRUP. CLAS. PROF.]]=$B42,IF(DATOS_[[Check Periodo Ref.]:[Check Periodo Ref.]]="Dentro",IF(DATOS_[[Check Equiparado]:[Check Equiparado]]="Sí",IF(DATOS!AZ$5="Sí",(1/DATOS_[[% anualiz]:[% anualiz]]),1)*IF(DATOS!AZ$4="Sí",1/DATOS_[[% normaliz]:[% normaliz]],1)*(DATOS_[Conc.Sal.22])))))))),
0)</f>
        <v>0</v>
      </c>
      <c r="AF43" s="111">
        <f t="array" ref="AF43">IFERROR(
(MEDIAN((IF(DATOS_[[Sexo]:[Sexo]]=$B43,IF(DATOS_[[AGRUP. CLAS. PROF.]:[AGRUP. CLAS. PROF.]]=$B42,IF(DATOS_[[Check Periodo Ref.]:[Check Periodo Ref.]]="Dentro",IF(DATOS_[[Check Equiparado]:[Check Equiparado]]="Sí",IF(DATOS!BA$5="Sí",(1/DATOS_[[% anualiz]:[% anualiz]]),1)*IF(DATOS!BA$4="Sí",1/DATOS_[[% normaliz]:[% normaliz]],1)*(DATOS_[Conc.Sal.23])))))))),
0)</f>
        <v>0</v>
      </c>
      <c r="AG43" s="111">
        <f t="array" ref="AG43">IFERROR(
(MEDIAN((IF(DATOS_[[Sexo]:[Sexo]]=$B43,IF(DATOS_[[AGRUP. CLAS. PROF.]:[AGRUP. CLAS. PROF.]]=$B42,IF(DATOS_[[Check Periodo Ref.]:[Check Periodo Ref.]]="Dentro",IF(DATOS_[[Check Equiparado]:[Check Equiparado]]="Sí",IF(DATOS!BB$5="Sí",(1/DATOS_[[% anualiz]:[% anualiz]]),1)*IF(DATOS!BB$4="Sí",1/DATOS_[[% normaliz]:[% normaliz]],1)*(DATOS_[Conc.Sal.24])))))))),
0)</f>
        <v>0</v>
      </c>
      <c r="AH43" s="111">
        <f t="array" ref="AH43">IFERROR(
(MEDIAN((IF(DATOS_[[Sexo]:[Sexo]]=$B43,IF(DATOS_[[AGRUP. CLAS. PROF.]:[AGRUP. CLAS. PROF.]]=$B42,IF(DATOS_[[Check Periodo Ref.]:[Check Periodo Ref.]]="Dentro",IF(DATOS_[[Check Equiparado]:[Check Equiparado]]="Sí",IF(DATOS!BC$5="Sí",(1/DATOS_[[% anualiz]:[% anualiz]]),1)*IF(DATOS!BC$4="Sí",1/DATOS_[[% normaliz]:[% normaliz]],1)*(DATOS_[Conc.Sal.25])))))))),
0)</f>
        <v>0</v>
      </c>
      <c r="AI43" s="111">
        <f t="array" ref="AI43">IFERROR(
(MEDIAN((IF(DATOS_[[Sexo]:[Sexo]]=$B43,IF(DATOS_[[AGRUP. CLAS. PROF.]:[AGRUP. CLAS. PROF.]]=$B42,IF(DATOS_[[Check Periodo Ref.]:[Check Periodo Ref.]]="Dentro",IF(DATOS_[[Check Equiparado]:[Check Equiparado]]="Sí",IF(DATOS!BD$5="Sí",(1/DATOS_[[% anualiz]:[% anualiz]]),1)*IF(DATOS!BD$4="Sí",1/DATOS_[[% normaliz]:[% normaliz]],1)*(DATOS_[Conc.Sal.26])))))))),
0)</f>
        <v>0</v>
      </c>
      <c r="AJ43" s="111">
        <f t="array" ref="AJ43">IFERROR(
(MEDIAN((IF(DATOS_[[Sexo]:[Sexo]]=$B43,IF(DATOS_[[AGRUP. CLAS. PROF.]:[AGRUP. CLAS. PROF.]]=$B42,IF(DATOS_[[Check Periodo Ref.]:[Check Periodo Ref.]]="Dentro",IF(DATOS_[[Check Equiparado]:[Check Equiparado]]="Sí",IF(DATOS!BE$5="Sí",(1/DATOS_[[% anualiz]:[% anualiz]]),1)*IF(DATOS!BE$4="Sí",1/DATOS_[[% normaliz]:[% normaliz]],1)*(DATOS_[Conc.Sal.27])))))))),
0)</f>
        <v>0</v>
      </c>
      <c r="AK43" s="111">
        <f t="array" ref="AK43">IFERROR(
(MEDIAN((IF(DATOS_[[Sexo]:[Sexo]]=$B43,IF(DATOS_[[AGRUP. CLAS. PROF.]:[AGRUP. CLAS. PROF.]]=$B42,IF(DATOS_[[Check Periodo Ref.]:[Check Periodo Ref.]]="Dentro",IF(DATOS_[[Check Equiparado]:[Check Equiparado]]="Sí",IF(DATOS!BF$5="Sí",(1/DATOS_[[% anualiz]:[% anualiz]]),1)*IF(DATOS!BF$4="Sí",1/DATOS_[[% normaliz]:[% normaliz]],1)*(DATOS_[Conc.Sal.28])))))))),
0)</f>
        <v>0</v>
      </c>
      <c r="AL43" s="111">
        <f t="array" ref="AL43">IFERROR(
(MEDIAN((IF(DATOS_[[Sexo]:[Sexo]]=$B43,IF(DATOS_[[AGRUP. CLAS. PROF.]:[AGRUP. CLAS. PROF.]]=$B42,IF(DATOS_[[Check Periodo Ref.]:[Check Periodo Ref.]]="Dentro",IF(DATOS_[[Check Equiparado]:[Check Equiparado]]="Sí",IF(DATOS!BG$5="Sí",(1/DATOS_[[% anualiz]:[% anualiz]]),1)*IF(DATOS!BG$4="Sí",1/DATOS_[[% normaliz]:[% normaliz]],1)*(DATOS_[Conc.Sal.29])))))))),
0)</f>
        <v>0</v>
      </c>
      <c r="AM43" s="111">
        <f t="array" ref="AM43">IFERROR(
(MEDIAN((IF(DATOS_[[Sexo]:[Sexo]]=$B43,IF(DATOS_[[AGRUP. CLAS. PROF.]:[AGRUP. CLAS. PROF.]]=$B42,IF(DATOS_[[Check Periodo Ref.]:[Check Periodo Ref.]]="Dentro",IF(DATOS_[[Check Equiparado]:[Check Equiparado]]="Sí",IF(DATOS!BH$5="Sí",(1/DATOS_[[% anualiz]:[% anualiz]]),1)*IF(DATOS!BH$4="Sí",1/DATOS_[[% normaliz]:[% normaliz]],1)*(DATOS_[Conc.Sal.30])))))))),
0)</f>
        <v>0</v>
      </c>
      <c r="AN43" s="112">
        <f t="array" ref="AN43">IFERROR(
MEDIAN(IF(DATOS_[Sexo]=$B43,IF(DATOS_[[AGRUP. CLAS. PROF.]:[AGRUP. CLAS. PROF.]]=$B42,IF(DATOS_[Check Equiparado]="Sí",IF(DATOS_[Check Periodo Ref.]="Dentro",DATOS_[Tot COMPL.SAL Eq],FALSE))))),
0)</f>
        <v>0</v>
      </c>
      <c r="AO43" s="113">
        <f t="array" ref="AO43">IFERROR(
MEDIAN(IF(DATOS_[Sexo]=$B43,IF(DATOS_[[AGRUP. CLAS. PROF.]:[AGRUP. CLAS. PROF.]]=$B42,IF(DATOS_[Check Equiparado]="Sí",IF(DATOS_[Check Periodo Ref.]="Dentro",DATOS_[TOTAL SALARIO Eq],FALSE))))),
0)</f>
        <v>0</v>
      </c>
      <c r="AP43" s="114">
        <f t="array" ref="AP43">IFERROR(
(MEDIAN((IF(DATOS_[[Sexo]:[Sexo]]=$B43,IF(DATOS_[[AGRUP. CLAS. PROF.]:[AGRUP. CLAS. PROF.]]=$B42,IF(DATOS_[[Check Periodo Ref.]:[Check Periodo Ref.]]="Dentro",IF(DATOS_[[Check Equiparado]:[Check Equiparado]]="Sí",IF(DATOS!BI$5="Sí",(1/DATOS_[[% anualiz]:[% anualiz]]),1)*IF(DATOS!BI$4="Sí",1/DATOS_[[% normaliz]:[% normaliz]],1)*(DATOS_[C.Extra.01])))))))),
0)</f>
        <v>0</v>
      </c>
      <c r="AQ43" s="114">
        <f t="array" ref="AQ43">IFERROR(
(MEDIAN((IF(DATOS_[[Sexo]:[Sexo]]=$B43,IF(DATOS_[[AGRUP. CLAS. PROF.]:[AGRUP. CLAS. PROF.]]=$B42,IF(DATOS_[[Check Periodo Ref.]:[Check Periodo Ref.]]="Dentro",IF(DATOS_[[Check Equiparado]:[Check Equiparado]]="Sí",IF(DATOS!BJ$5="Sí",(1/DATOS_[[% anualiz]:[% anualiz]]),1)*IF(DATOS!BJ$4="Sí",1/DATOS_[[% normaliz]:[% normaliz]],1)*(DATOS_[C.Extra.02])))))))),
0)</f>
        <v>0</v>
      </c>
      <c r="AR43" s="114">
        <f t="array" ref="AR43">IFERROR(
(MEDIAN((IF(DATOS_[[Sexo]:[Sexo]]=$B43,IF(DATOS_[[AGRUP. CLAS. PROF.]:[AGRUP. CLAS. PROF.]]=$B42,IF(DATOS_[[Check Periodo Ref.]:[Check Periodo Ref.]]="Dentro",IF(DATOS_[[Check Equiparado]:[Check Equiparado]]="Sí",IF(DATOS!BK$5="Sí",(1/DATOS_[[% anualiz]:[% anualiz]]),1)*IF(DATOS!BK$4="Sí",1/DATOS_[[% normaliz]:[% normaliz]],1)*(DATOS_[C.Extra.03])))))))),
0)</f>
        <v>0</v>
      </c>
      <c r="AS43" s="114">
        <f t="array" ref="AS43">IFERROR(
(MEDIAN((IF(DATOS_[[Sexo]:[Sexo]]=$B43,IF(DATOS_[[AGRUP. CLAS. PROF.]:[AGRUP. CLAS. PROF.]]=$B42,IF(DATOS_[[Check Periodo Ref.]:[Check Periodo Ref.]]="Dentro",IF(DATOS_[[Check Equiparado]:[Check Equiparado]]="Sí",IF(DATOS!BL$5="Sí",(1/DATOS_[[% anualiz]:[% anualiz]]),1)*IF(DATOS!BL$4="Sí",1/DATOS_[[% normaliz]:[% normaliz]],1)*(DATOS_[C.Extra.04])))))))),
0)</f>
        <v>0</v>
      </c>
      <c r="AT43" s="114">
        <f t="array" ref="AT43">IFERROR(
(MEDIAN((IF(DATOS_[[Sexo]:[Sexo]]=$B43,IF(DATOS_[[AGRUP. CLAS. PROF.]:[AGRUP. CLAS. PROF.]]=$B42,IF(DATOS_[[Check Periodo Ref.]:[Check Periodo Ref.]]="Dentro",IF(DATOS_[[Check Equiparado]:[Check Equiparado]]="Sí",IF(DATOS!BM$5="Sí",(1/DATOS_[[% anualiz]:[% anualiz]]),1)*IF(DATOS!BM$4="Sí",1/DATOS_[[% normaliz]:[% normaliz]],1)*(DATOS_[C.Extra.05])))))))),
0)</f>
        <v>0</v>
      </c>
      <c r="AU43" s="115">
        <f t="array" ref="AU43">IFERROR(
MEDIAN(IF(DATOS_[Sexo]=$B43,IF(DATOS_[[AGRUP. CLAS. PROF.]:[AGRUP. CLAS. PROF.]]=$B42,IF(DATOS_[Check Equiparado]="Sí",IF(DATOS_[Check Periodo Ref.]="Dentro",DATOS_[Tot Extrasalarial Eq],FALSE))))),
0)</f>
        <v>0</v>
      </c>
      <c r="AV43" s="116">
        <f t="array" ref="AV43">IFERROR(
MEDIAN(IF(DATOS_[Sexo]=$B43,IF(DATOS_[[AGRUP. CLAS. PROF.]:[AGRUP. CLAS. PROF.]]=$B42,IF(DATOS_[Check Equiparado]="Sí",IF(DATOS_[Check Periodo Ref.]="Dentro",DATOS_[TOTAL Retrib Eq],FALSE))))),
0)</f>
        <v>0</v>
      </c>
    </row>
    <row r="44" spans="1:48" hidden="1" x14ac:dyDescent="0.3">
      <c r="A44" s="42" t="str">
        <f t="shared" ref="A44" si="42">+A43</f>
        <v>[ocultar]</v>
      </c>
      <c r="B44" s="86" t="s">
        <v>163</v>
      </c>
      <c r="C44" s="33">
        <f t="array" ref="C44">SUM(IF($B44=DATOS_[Sexo],
IF($B42=DATOS_[AGRUP. CLAS. PROF.],
IF("Dentro"=DATOS_[Check Periodo Ref.],
1/(COUNTIFS(DATOS_[Sexo],$B44,DATOS_[AGRUP. CLAS. PROF.],$B42,DATOS_[Check Periodo Ref.],"Dentro",DATOS_[id],DATOS_[id]))))))</f>
        <v>0</v>
      </c>
      <c r="D44" s="35">
        <f>COUNTIFS(DATOS_[AGRUP. CLAS. PROF.],$B42,DATOS_[Sexo],$B44,DATOS_[Check Periodo Ref.],"Dentro")</f>
        <v>0</v>
      </c>
      <c r="E44" s="35">
        <f>COUNTIFS(DATOS_[AGRUP. CLAS. PROF.],$B42,DATOS_[Sexo],$B44,DATOS_[Check Periodo Ref.],"Dentro",DATOS_[Check Nº SC Norm],"Sí")</f>
        <v>0</v>
      </c>
      <c r="F44" s="35">
        <f>COUNTIFS(DATOS_[AGRUP. CLAS. PROF.],$B42,DATOS_[Sexo],$B44,DATOS_[Check Periodo Ref.],"Dentro",DATOS_[Check Nº SC Anualiz],"Sí")</f>
        <v>0</v>
      </c>
      <c r="G44" s="35">
        <f>COUNTIFS(DATOS_[AGRUP. CLAS. PROF.],$B42,DATOS_[Sexo],$B44,DATOS_[Check Periodo Ref.],"Dentro",DATOS_[Check Nº SC Norm y Anualiz],"Sí")</f>
        <v>0</v>
      </c>
      <c r="H44" s="35">
        <f>COUNTIFS(DATOS_[AGRUP. CLAS. PROF.],$B42,DATOS_[Sexo],$B44,DATOS_[Check Periodo Ref.],"Dentro",DATOS_[Check Equiparación],"Sí")</f>
        <v>0</v>
      </c>
      <c r="I44" s="110" cm="1">
        <f t="array" ref="I44">IFERROR(
MEDIAN(IF(DATOS_[Sexo]=$B44,IF(DATOS_[[AGRUP. CLAS. PROF.]:[AGRUP. CLAS. PROF.]]=$B42,IF(DATOS_[Check Equiparado]="Sí",IF(DATOS_[Check Periodo Ref.]="Dentro",DATOS_[SALARIO BASE Eq],FALSE))))),
0)</f>
        <v>0</v>
      </c>
      <c r="J44" s="111">
        <f t="array" ref="J44">IFERROR(
(MEDIAN((IF(DATOS_[[Sexo]:[Sexo]]=$B44,IF(DATOS_[[AGRUP. CLAS. PROF.]:[AGRUP. CLAS. PROF.]]=$B42,IF(DATOS_[[Check Periodo Ref.]:[Check Periodo Ref.]]="Dentro",IF(DATOS_[[Check Equiparado]:[Check Equiparado]]="Sí",IF(DATOS!AE$5="Sí",(1/DATOS_[[% anualiz]:[% anualiz]]),1)*IF(DATOS!AE$4="Sí",1/DATOS_[[% normaliz]:[% normaliz]],1)*(DATOS_[Conc.Sal.01])))))))),
0)</f>
        <v>0</v>
      </c>
      <c r="K44" s="111">
        <f t="array" ref="K44">IFERROR(
(MEDIAN((IF(DATOS_[[Sexo]:[Sexo]]=$B44,IF(DATOS_[[AGRUP. CLAS. PROF.]:[AGRUP. CLAS. PROF.]]=$B42,IF(DATOS_[[Check Periodo Ref.]:[Check Periodo Ref.]]="Dentro",IF(DATOS_[[Check Equiparado]:[Check Equiparado]]="Sí",IF(DATOS!AF$5="Sí",(1/DATOS_[[% anualiz]:[% anualiz]]),1)*IF(DATOS!AF$4="Sí",1/DATOS_[[% normaliz]:[% normaliz]],1)*(DATOS_[Conc.Sal.02])))))))),
0)</f>
        <v>0</v>
      </c>
      <c r="L44" s="111">
        <f t="array" ref="L44">IFERROR(
(MEDIAN((IF(DATOS_[[Sexo]:[Sexo]]=$B44,IF(DATOS_[[AGRUP. CLAS. PROF.]:[AGRUP. CLAS. PROF.]]=$B42,IF(DATOS_[[Check Periodo Ref.]:[Check Periodo Ref.]]="Dentro",IF(DATOS_[[Check Equiparado]:[Check Equiparado]]="Sí",IF(DATOS!AG$5="Sí",(1/DATOS_[[% anualiz]:[% anualiz]]),1)*IF(DATOS!AG$4="Sí",1/DATOS_[[% normaliz]:[% normaliz]],1)*(DATOS_[Conc.Sal.03])))))))),
0)</f>
        <v>0</v>
      </c>
      <c r="M44" s="111">
        <f t="array" ref="M44">IFERROR(
(MEDIAN((IF(DATOS_[[Sexo]:[Sexo]]=$B44,IF(DATOS_[[AGRUP. CLAS. PROF.]:[AGRUP. CLAS. PROF.]]=$B42,IF(DATOS_[[Check Periodo Ref.]:[Check Periodo Ref.]]="Dentro",IF(DATOS_[[Check Equiparado]:[Check Equiparado]]="Sí",IF(DATOS!AH$5="Sí",(1/DATOS_[[% anualiz]:[% anualiz]]),1)*IF(DATOS!AH$4="Sí",1/DATOS_[[% normaliz]:[% normaliz]],1)*(DATOS_[Conc.Sal.04])))))))),
0)</f>
        <v>0</v>
      </c>
      <c r="N44" s="111">
        <f t="array" ref="N44">IFERROR(
(MEDIAN((IF(DATOS_[[Sexo]:[Sexo]]=$B44,IF(DATOS_[[AGRUP. CLAS. PROF.]:[AGRUP. CLAS. PROF.]]=$B42,IF(DATOS_[[Check Periodo Ref.]:[Check Periodo Ref.]]="Dentro",IF(DATOS_[[Check Equiparado]:[Check Equiparado]]="Sí",IF(DATOS!AI$5="Sí",(1/DATOS_[[% anualiz]:[% anualiz]]),1)*IF(DATOS!AI$4="Sí",1/DATOS_[[% normaliz]:[% normaliz]],1)*(DATOS_[Conc.Sal.05])))))))),
0)</f>
        <v>0</v>
      </c>
      <c r="O44" s="111">
        <f t="array" ref="O44">IFERROR(
(MEDIAN((IF(DATOS_[[Sexo]:[Sexo]]=$B44,IF(DATOS_[[AGRUP. CLAS. PROF.]:[AGRUP. CLAS. PROF.]]=$B42,IF(DATOS_[[Check Periodo Ref.]:[Check Periodo Ref.]]="Dentro",IF(DATOS_[[Check Equiparado]:[Check Equiparado]]="Sí",IF(DATOS!AJ$5="Sí",(1/DATOS_[[% anualiz]:[% anualiz]]),1)*IF(DATOS!AJ$4="Sí",1/DATOS_[[% normaliz]:[% normaliz]],1)*(DATOS_[Conc.Sal.06])))))))),
0)</f>
        <v>0</v>
      </c>
      <c r="P44" s="111">
        <f t="array" ref="P44">IFERROR(
(MEDIAN((IF(DATOS_[[Sexo]:[Sexo]]=$B44,IF(DATOS_[[AGRUP. CLAS. PROF.]:[AGRUP. CLAS. PROF.]]=$B42,IF(DATOS_[[Check Periodo Ref.]:[Check Periodo Ref.]]="Dentro",IF(DATOS_[[Check Equiparado]:[Check Equiparado]]="Sí",IF(DATOS!AK$5="Sí",(1/DATOS_[[% anualiz]:[% anualiz]]),1)*IF(DATOS!AK$4="Sí",1/DATOS_[[% normaliz]:[% normaliz]],1)*(DATOS_[Conc.Sal.07])))))))),
0)</f>
        <v>0</v>
      </c>
      <c r="Q44" s="111">
        <f t="array" ref="Q44">IFERROR(
(MEDIAN((IF(DATOS_[[Sexo]:[Sexo]]=$B44,IF(DATOS_[[AGRUP. CLAS. PROF.]:[AGRUP. CLAS. PROF.]]=$B42,IF(DATOS_[[Check Periodo Ref.]:[Check Periodo Ref.]]="Dentro",IF(DATOS_[[Check Equiparado]:[Check Equiparado]]="Sí",IF(DATOS!AL$5="Sí",(1/DATOS_[[% anualiz]:[% anualiz]]),1)*IF(DATOS!AL$4="Sí",1/DATOS_[[% normaliz]:[% normaliz]],1)*(DATOS_[Conc.Sal.08])))))))),
0)</f>
        <v>0</v>
      </c>
      <c r="R44" s="111">
        <f t="array" ref="R44">IFERROR(
(MEDIAN((IF(DATOS_[[Sexo]:[Sexo]]=$B44,IF(DATOS_[[AGRUP. CLAS. PROF.]:[AGRUP. CLAS. PROF.]]=$B42,IF(DATOS_[[Check Periodo Ref.]:[Check Periodo Ref.]]="Dentro",IF(DATOS_[[Check Equiparado]:[Check Equiparado]]="Sí",IF(DATOS!AM$5="Sí",(1/DATOS_[[% anualiz]:[% anualiz]]),1)*IF(DATOS!AM$4="Sí",1/DATOS_[[% normaliz]:[% normaliz]],1)*(DATOS_[Conc.Sal.09])))))))),
0)</f>
        <v>0</v>
      </c>
      <c r="S44" s="111">
        <f t="array" ref="S44">IFERROR(
(MEDIAN((IF(DATOS_[[Sexo]:[Sexo]]=$B44,IF(DATOS_[[AGRUP. CLAS. PROF.]:[AGRUP. CLAS. PROF.]]=$B42,IF(DATOS_[[Check Periodo Ref.]:[Check Periodo Ref.]]="Dentro",IF(DATOS_[[Check Equiparado]:[Check Equiparado]]="Sí",IF(DATOS!AN$5="Sí",(1/DATOS_[[% anualiz]:[% anualiz]]),1)*IF(DATOS!AN$4="Sí",1/DATOS_[[% normaliz]:[% normaliz]],1)*(DATOS_[Conc.Sal.10])))))))),
0)</f>
        <v>0</v>
      </c>
      <c r="T44" s="111">
        <f t="array" ref="T44">IFERROR(
(MEDIAN((IF(DATOS_[[Sexo]:[Sexo]]=$B44,IF(DATOS_[[AGRUP. CLAS. PROF.]:[AGRUP. CLAS. PROF.]]=$B42,IF(DATOS_[[Check Periodo Ref.]:[Check Periodo Ref.]]="Dentro",IF(DATOS_[[Check Equiparado]:[Check Equiparado]]="Sí",IF(DATOS!AO$5="Sí",(1/DATOS_[[% anualiz]:[% anualiz]]),1)*IF(DATOS!AO$4="Sí",1/DATOS_[[% normaliz]:[% normaliz]],1)*(DATOS_[Conc.Sal.11])))))))),
0)</f>
        <v>0</v>
      </c>
      <c r="U44" s="111">
        <f t="array" ref="U44">IFERROR(
(MEDIAN((IF(DATOS_[[Sexo]:[Sexo]]=$B44,IF(DATOS_[[AGRUP. CLAS. PROF.]:[AGRUP. CLAS. PROF.]]=$B42,IF(DATOS_[[Check Periodo Ref.]:[Check Periodo Ref.]]="Dentro",IF(DATOS_[[Check Equiparado]:[Check Equiparado]]="Sí",IF(DATOS!AP$5="Sí",(1/DATOS_[[% anualiz]:[% anualiz]]),1)*IF(DATOS!AP$4="Sí",1/DATOS_[[% normaliz]:[% normaliz]],1)*(DATOS_[Conc.Sal.12])))))))),
0)</f>
        <v>0</v>
      </c>
      <c r="V44" s="111">
        <f t="array" ref="V44">IFERROR(
(MEDIAN((IF(DATOS_[[Sexo]:[Sexo]]=$B44,IF(DATOS_[[AGRUP. CLAS. PROF.]:[AGRUP. CLAS. PROF.]]=$B42,IF(DATOS_[[Check Periodo Ref.]:[Check Periodo Ref.]]="Dentro",IF(DATOS_[[Check Equiparado]:[Check Equiparado]]="Sí",IF(DATOS!AQ$5="Sí",(1/DATOS_[[% anualiz]:[% anualiz]]),1)*IF(DATOS!AQ$4="Sí",1/DATOS_[[% normaliz]:[% normaliz]],1)*(DATOS_[Conc.Sal.13])))))))),
0)</f>
        <v>0</v>
      </c>
      <c r="W44" s="111">
        <f t="array" ref="W44">IFERROR(
(MEDIAN((IF(DATOS_[[Sexo]:[Sexo]]=$B44,IF(DATOS_[[AGRUP. CLAS. PROF.]:[AGRUP. CLAS. PROF.]]=$B42,IF(DATOS_[[Check Periodo Ref.]:[Check Periodo Ref.]]="Dentro",IF(DATOS_[[Check Equiparado]:[Check Equiparado]]="Sí",IF(DATOS!AR$5="Sí",(1/DATOS_[[% anualiz]:[% anualiz]]),1)*IF(DATOS!AR$4="Sí",1/DATOS_[[% normaliz]:[% normaliz]],1)*(DATOS_[Conc.Sal.14])))))))),
0)</f>
        <v>0</v>
      </c>
      <c r="X44" s="111">
        <f t="array" ref="X44">IFERROR(
(MEDIAN((IF(DATOS_[[Sexo]:[Sexo]]=$B44,IF(DATOS_[[AGRUP. CLAS. PROF.]:[AGRUP. CLAS. PROF.]]=$B42,IF(DATOS_[[Check Periodo Ref.]:[Check Periodo Ref.]]="Dentro",IF(DATOS_[[Check Equiparado]:[Check Equiparado]]="Sí",IF(DATOS!AS$5="Sí",(1/DATOS_[[% anualiz]:[% anualiz]]),1)*IF(DATOS!AS$4="Sí",1/DATOS_[[% normaliz]:[% normaliz]],1)*(DATOS_[Conc.Sal.15])))))))),
0)</f>
        <v>0</v>
      </c>
      <c r="Y44" s="111">
        <f t="array" ref="Y44">IFERROR(
(MEDIAN((IF(DATOS_[[Sexo]:[Sexo]]=$B44,IF(DATOS_[[AGRUP. CLAS. PROF.]:[AGRUP. CLAS. PROF.]]=$B42,IF(DATOS_[[Check Periodo Ref.]:[Check Periodo Ref.]]="Dentro",IF(DATOS_[[Check Equiparado]:[Check Equiparado]]="Sí",IF(DATOS!AT$5="Sí",(1/DATOS_[[% anualiz]:[% anualiz]]),1)*IF(DATOS!AT$4="Sí",1/DATOS_[[% normaliz]:[% normaliz]],1)*(DATOS_[Conc.Sal.16])))))))),
0)</f>
        <v>0</v>
      </c>
      <c r="Z44" s="111">
        <f t="array" ref="Z44">IFERROR(
(MEDIAN((IF(DATOS_[[Sexo]:[Sexo]]=$B44,IF(DATOS_[[AGRUP. CLAS. PROF.]:[AGRUP. CLAS. PROF.]]=$B42,IF(DATOS_[[Check Periodo Ref.]:[Check Periodo Ref.]]="Dentro",IF(DATOS_[[Check Equiparado]:[Check Equiparado]]="Sí",IF(DATOS!AU$5="Sí",(1/DATOS_[[% anualiz]:[% anualiz]]),1)*IF(DATOS!AU$4="Sí",1/DATOS_[[% normaliz]:[% normaliz]],1)*(DATOS_[Conc.Sal.17])))))))),
0)</f>
        <v>0</v>
      </c>
      <c r="AA44" s="111">
        <f t="array" ref="AA44">IFERROR(
(MEDIAN((IF(DATOS_[[Sexo]:[Sexo]]=$B44,IF(DATOS_[[AGRUP. CLAS. PROF.]:[AGRUP. CLAS. PROF.]]=$B42,IF(DATOS_[[Check Periodo Ref.]:[Check Periodo Ref.]]="Dentro",IF(DATOS_[[Check Equiparado]:[Check Equiparado]]="Sí",IF(DATOS!AV$5="Sí",(1/DATOS_[[% anualiz]:[% anualiz]]),1)*IF(DATOS!AV$4="Sí",1/DATOS_[[% normaliz]:[% normaliz]],1)*(DATOS_[Conc.Sal.18])))))))),
0)</f>
        <v>0</v>
      </c>
      <c r="AB44" s="111">
        <f t="array" ref="AB44">IFERROR(
(MEDIAN((IF(DATOS_[[Sexo]:[Sexo]]=$B44,IF(DATOS_[[AGRUP. CLAS. PROF.]:[AGRUP. CLAS. PROF.]]=$B42,IF(DATOS_[[Check Periodo Ref.]:[Check Periodo Ref.]]="Dentro",IF(DATOS_[[Check Equiparado]:[Check Equiparado]]="Sí",IF(DATOS!AW$5="Sí",(1/DATOS_[[% anualiz]:[% anualiz]]),1)*IF(DATOS!AW$4="Sí",1/DATOS_[[% normaliz]:[% normaliz]],1)*(DATOS_[Conc.Sal.19])))))))),
0)</f>
        <v>0</v>
      </c>
      <c r="AC44" s="111">
        <f t="array" ref="AC44">IFERROR(
(MEDIAN((IF(DATOS_[[Sexo]:[Sexo]]=$B44,IF(DATOS_[[AGRUP. CLAS. PROF.]:[AGRUP. CLAS. PROF.]]=$B42,IF(DATOS_[[Check Periodo Ref.]:[Check Periodo Ref.]]="Dentro",IF(DATOS_[[Check Equiparado]:[Check Equiparado]]="Sí",IF(DATOS!AX$5="Sí",(1/DATOS_[[% anualiz]:[% anualiz]]),1)*IF(DATOS!AX$4="Sí",1/DATOS_[[% normaliz]:[% normaliz]],1)*(DATOS_[Conc.Sal.20])))))))),
0)</f>
        <v>0</v>
      </c>
      <c r="AD44" s="111">
        <f t="array" ref="AD44">IFERROR(
(MEDIAN((IF(DATOS_[[Sexo]:[Sexo]]=$B44,IF(DATOS_[[AGRUP. CLAS. PROF.]:[AGRUP. CLAS. PROF.]]=$B42,IF(DATOS_[[Check Periodo Ref.]:[Check Periodo Ref.]]="Dentro",IF(DATOS_[[Check Equiparado]:[Check Equiparado]]="Sí",IF(DATOS!AY$5="Sí",(1/DATOS_[[% anualiz]:[% anualiz]]),1)*IF(DATOS!AY$4="Sí",1/DATOS_[[% normaliz]:[% normaliz]],1)*(DATOS_[Conc.Sal.21])))))))),
0)</f>
        <v>0</v>
      </c>
      <c r="AE44" s="111">
        <f t="array" ref="AE44">IFERROR(
(MEDIAN((IF(DATOS_[[Sexo]:[Sexo]]=$B44,IF(DATOS_[[AGRUP. CLAS. PROF.]:[AGRUP. CLAS. PROF.]]=$B42,IF(DATOS_[[Check Periodo Ref.]:[Check Periodo Ref.]]="Dentro",IF(DATOS_[[Check Equiparado]:[Check Equiparado]]="Sí",IF(DATOS!AZ$5="Sí",(1/DATOS_[[% anualiz]:[% anualiz]]),1)*IF(DATOS!AZ$4="Sí",1/DATOS_[[% normaliz]:[% normaliz]],1)*(DATOS_[Conc.Sal.22])))))))),
0)</f>
        <v>0</v>
      </c>
      <c r="AF44" s="111">
        <f t="array" ref="AF44">IFERROR(
(MEDIAN((IF(DATOS_[[Sexo]:[Sexo]]=$B44,IF(DATOS_[[AGRUP. CLAS. PROF.]:[AGRUP. CLAS. PROF.]]=$B42,IF(DATOS_[[Check Periodo Ref.]:[Check Periodo Ref.]]="Dentro",IF(DATOS_[[Check Equiparado]:[Check Equiparado]]="Sí",IF(DATOS!BA$5="Sí",(1/DATOS_[[% anualiz]:[% anualiz]]),1)*IF(DATOS!BA$4="Sí",1/DATOS_[[% normaliz]:[% normaliz]],1)*(DATOS_[Conc.Sal.23])))))))),
0)</f>
        <v>0</v>
      </c>
      <c r="AG44" s="111">
        <f t="array" ref="AG44">IFERROR(
(MEDIAN((IF(DATOS_[[Sexo]:[Sexo]]=$B44,IF(DATOS_[[AGRUP. CLAS. PROF.]:[AGRUP. CLAS. PROF.]]=$B42,IF(DATOS_[[Check Periodo Ref.]:[Check Periodo Ref.]]="Dentro",IF(DATOS_[[Check Equiparado]:[Check Equiparado]]="Sí",IF(DATOS!BB$5="Sí",(1/DATOS_[[% anualiz]:[% anualiz]]),1)*IF(DATOS!BB$4="Sí",1/DATOS_[[% normaliz]:[% normaliz]],1)*(DATOS_[Conc.Sal.24])))))))),
0)</f>
        <v>0</v>
      </c>
      <c r="AH44" s="111">
        <f t="array" ref="AH44">IFERROR(
(MEDIAN((IF(DATOS_[[Sexo]:[Sexo]]=$B44,IF(DATOS_[[AGRUP. CLAS. PROF.]:[AGRUP. CLAS. PROF.]]=$B42,IF(DATOS_[[Check Periodo Ref.]:[Check Periodo Ref.]]="Dentro",IF(DATOS_[[Check Equiparado]:[Check Equiparado]]="Sí",IF(DATOS!BC$5="Sí",(1/DATOS_[[% anualiz]:[% anualiz]]),1)*IF(DATOS!BC$4="Sí",1/DATOS_[[% normaliz]:[% normaliz]],1)*(DATOS_[Conc.Sal.25])))))))),
0)</f>
        <v>0</v>
      </c>
      <c r="AI44" s="111">
        <f t="array" ref="AI44">IFERROR(
(MEDIAN((IF(DATOS_[[Sexo]:[Sexo]]=$B44,IF(DATOS_[[AGRUP. CLAS. PROF.]:[AGRUP. CLAS. PROF.]]=$B42,IF(DATOS_[[Check Periodo Ref.]:[Check Periodo Ref.]]="Dentro",IF(DATOS_[[Check Equiparado]:[Check Equiparado]]="Sí",IF(DATOS!BD$5="Sí",(1/DATOS_[[% anualiz]:[% anualiz]]),1)*IF(DATOS!BD$4="Sí",1/DATOS_[[% normaliz]:[% normaliz]],1)*(DATOS_[Conc.Sal.26])))))))),
0)</f>
        <v>0</v>
      </c>
      <c r="AJ44" s="111">
        <f t="array" ref="AJ44">IFERROR(
(MEDIAN((IF(DATOS_[[Sexo]:[Sexo]]=$B44,IF(DATOS_[[AGRUP. CLAS. PROF.]:[AGRUP. CLAS. PROF.]]=$B42,IF(DATOS_[[Check Periodo Ref.]:[Check Periodo Ref.]]="Dentro",IF(DATOS_[[Check Equiparado]:[Check Equiparado]]="Sí",IF(DATOS!BE$5="Sí",(1/DATOS_[[% anualiz]:[% anualiz]]),1)*IF(DATOS!BE$4="Sí",1/DATOS_[[% normaliz]:[% normaliz]],1)*(DATOS_[Conc.Sal.27])))))))),
0)</f>
        <v>0</v>
      </c>
      <c r="AK44" s="111">
        <f t="array" ref="AK44">IFERROR(
(MEDIAN((IF(DATOS_[[Sexo]:[Sexo]]=$B44,IF(DATOS_[[AGRUP. CLAS. PROF.]:[AGRUP. CLAS. PROF.]]=$B42,IF(DATOS_[[Check Periodo Ref.]:[Check Periodo Ref.]]="Dentro",IF(DATOS_[[Check Equiparado]:[Check Equiparado]]="Sí",IF(DATOS!BF$5="Sí",(1/DATOS_[[% anualiz]:[% anualiz]]),1)*IF(DATOS!BF$4="Sí",1/DATOS_[[% normaliz]:[% normaliz]],1)*(DATOS_[Conc.Sal.28])))))))),
0)</f>
        <v>0</v>
      </c>
      <c r="AL44" s="111">
        <f t="array" ref="AL44">IFERROR(
(MEDIAN((IF(DATOS_[[Sexo]:[Sexo]]=$B44,IF(DATOS_[[AGRUP. CLAS. PROF.]:[AGRUP. CLAS. PROF.]]=$B42,IF(DATOS_[[Check Periodo Ref.]:[Check Periodo Ref.]]="Dentro",IF(DATOS_[[Check Equiparado]:[Check Equiparado]]="Sí",IF(DATOS!BG$5="Sí",(1/DATOS_[[% anualiz]:[% anualiz]]),1)*IF(DATOS!BG$4="Sí",1/DATOS_[[% normaliz]:[% normaliz]],1)*(DATOS_[Conc.Sal.29])))))))),
0)</f>
        <v>0</v>
      </c>
      <c r="AM44" s="111">
        <f t="array" ref="AM44">IFERROR(
(MEDIAN((IF(DATOS_[[Sexo]:[Sexo]]=$B44,IF(DATOS_[[AGRUP. CLAS. PROF.]:[AGRUP. CLAS. PROF.]]=$B42,IF(DATOS_[[Check Periodo Ref.]:[Check Periodo Ref.]]="Dentro",IF(DATOS_[[Check Equiparado]:[Check Equiparado]]="Sí",IF(DATOS!BH$5="Sí",(1/DATOS_[[% anualiz]:[% anualiz]]),1)*IF(DATOS!BH$4="Sí",1/DATOS_[[% normaliz]:[% normaliz]],1)*(DATOS_[Conc.Sal.30])))))))),
0)</f>
        <v>0</v>
      </c>
      <c r="AN44" s="112">
        <f t="array" ref="AN44">IFERROR(
MEDIAN(IF(DATOS_[Sexo]=$B44,IF(DATOS_[[AGRUP. CLAS. PROF.]:[AGRUP. CLAS. PROF.]]=$B42,IF(DATOS_[Check Equiparado]="Sí",IF(DATOS_[Check Periodo Ref.]="Dentro",DATOS_[Tot COMPL.SAL Eq],FALSE))))),
0)</f>
        <v>0</v>
      </c>
      <c r="AO44" s="113">
        <f t="array" ref="AO44">IFERROR(
MEDIAN(IF(DATOS_[Sexo]=$B44,IF(DATOS_[[AGRUP. CLAS. PROF.]:[AGRUP. CLAS. PROF.]]=$B42,IF(DATOS_[Check Equiparado]="Sí",IF(DATOS_[Check Periodo Ref.]="Dentro",DATOS_[TOTAL SALARIO Eq],FALSE))))),
0)</f>
        <v>0</v>
      </c>
      <c r="AP44" s="114">
        <f t="array" ref="AP44">IFERROR(
(MEDIAN((IF(DATOS_[[Sexo]:[Sexo]]=$B44,IF(DATOS_[[AGRUP. CLAS. PROF.]:[AGRUP. CLAS. PROF.]]=$B42,IF(DATOS_[[Check Periodo Ref.]:[Check Periodo Ref.]]="Dentro",IF(DATOS_[[Check Equiparado]:[Check Equiparado]]="Sí",IF(DATOS!BI$5="Sí",(1/DATOS_[[% anualiz]:[% anualiz]]),1)*IF(DATOS!BI$4="Sí",1/DATOS_[[% normaliz]:[% normaliz]],1)*(DATOS_[C.Extra.01])))))))),
0)</f>
        <v>0</v>
      </c>
      <c r="AQ44" s="114">
        <f t="array" ref="AQ44">IFERROR(
(MEDIAN((IF(DATOS_[[Sexo]:[Sexo]]=$B44,IF(DATOS_[[AGRUP. CLAS. PROF.]:[AGRUP. CLAS. PROF.]]=$B42,IF(DATOS_[[Check Periodo Ref.]:[Check Periodo Ref.]]="Dentro",IF(DATOS_[[Check Equiparado]:[Check Equiparado]]="Sí",IF(DATOS!BJ$5="Sí",(1/DATOS_[[% anualiz]:[% anualiz]]),1)*IF(DATOS!BJ$4="Sí",1/DATOS_[[% normaliz]:[% normaliz]],1)*(DATOS_[C.Extra.02])))))))),
0)</f>
        <v>0</v>
      </c>
      <c r="AR44" s="114">
        <f t="array" ref="AR44">IFERROR(
(MEDIAN((IF(DATOS_[[Sexo]:[Sexo]]=$B44,IF(DATOS_[[AGRUP. CLAS. PROF.]:[AGRUP. CLAS. PROF.]]=$B42,IF(DATOS_[[Check Periodo Ref.]:[Check Periodo Ref.]]="Dentro",IF(DATOS_[[Check Equiparado]:[Check Equiparado]]="Sí",IF(DATOS!BK$5="Sí",(1/DATOS_[[% anualiz]:[% anualiz]]),1)*IF(DATOS!BK$4="Sí",1/DATOS_[[% normaliz]:[% normaliz]],1)*(DATOS_[C.Extra.03])))))))),
0)</f>
        <v>0</v>
      </c>
      <c r="AS44" s="114">
        <f t="array" ref="AS44">IFERROR(
(MEDIAN((IF(DATOS_[[Sexo]:[Sexo]]=$B44,IF(DATOS_[[AGRUP. CLAS. PROF.]:[AGRUP. CLAS. PROF.]]=$B42,IF(DATOS_[[Check Periodo Ref.]:[Check Periodo Ref.]]="Dentro",IF(DATOS_[[Check Equiparado]:[Check Equiparado]]="Sí",IF(DATOS!BL$5="Sí",(1/DATOS_[[% anualiz]:[% anualiz]]),1)*IF(DATOS!BL$4="Sí",1/DATOS_[[% normaliz]:[% normaliz]],1)*(DATOS_[C.Extra.04])))))))),
0)</f>
        <v>0</v>
      </c>
      <c r="AT44" s="114">
        <f t="array" ref="AT44">IFERROR(
(MEDIAN((IF(DATOS_[[Sexo]:[Sexo]]=$B44,IF(DATOS_[[AGRUP. CLAS. PROF.]:[AGRUP. CLAS. PROF.]]=$B42,IF(DATOS_[[Check Periodo Ref.]:[Check Periodo Ref.]]="Dentro",IF(DATOS_[[Check Equiparado]:[Check Equiparado]]="Sí",IF(DATOS!BM$5="Sí",(1/DATOS_[[% anualiz]:[% anualiz]]),1)*IF(DATOS!BM$4="Sí",1/DATOS_[[% normaliz]:[% normaliz]],1)*(DATOS_[C.Extra.05])))))))),
0)</f>
        <v>0</v>
      </c>
      <c r="AU44" s="115">
        <f t="array" ref="AU44">IFERROR(
MEDIAN(IF(DATOS_[Sexo]=$B44,IF(DATOS_[[AGRUP. CLAS. PROF.]:[AGRUP. CLAS. PROF.]]=$B42,IF(DATOS_[Check Equiparado]="Sí",IF(DATOS_[Check Periodo Ref.]="Dentro",DATOS_[Tot Extrasalarial Eq],FALSE))))),
0)</f>
        <v>0</v>
      </c>
      <c r="AV44" s="116">
        <f t="array" ref="AV44">IFERROR(
MEDIAN(IF(DATOS_[Sexo]=$B44,IF(DATOS_[[AGRUP. CLAS. PROF.]:[AGRUP. CLAS. PROF.]]=$B42,IF(DATOS_[Check Equiparado]="Sí",IF(DATOS_[Check Periodo Ref.]="Dentro",DATOS_[TOTAL Retrib Eq],FALSE))))),
0)</f>
        <v>0</v>
      </c>
    </row>
    <row r="45" spans="1:48" ht="17.25" hidden="1" thickBot="1" x14ac:dyDescent="0.35">
      <c r="A45" s="42" t="str">
        <f t="shared" ref="A45" si="43">+A46</f>
        <v>[ocultar]</v>
      </c>
      <c r="B45" s="90" t="s">
        <v>227</v>
      </c>
      <c r="C45" s="109"/>
      <c r="D45" s="41"/>
      <c r="E45" s="41"/>
      <c r="F45" s="41"/>
      <c r="G45" s="41"/>
      <c r="H45" s="41"/>
      <c r="I45" s="119" t="str">
        <f t="shared" ref="I45:AV45" si="44">IFERROR((I46-I47)/I46,"")</f>
        <v/>
      </c>
      <c r="J45" s="123" t="str">
        <f t="shared" si="44"/>
        <v/>
      </c>
      <c r="K45" s="123" t="str">
        <f t="shared" si="44"/>
        <v/>
      </c>
      <c r="L45" s="123" t="str">
        <f t="shared" si="44"/>
        <v/>
      </c>
      <c r="M45" s="123" t="str">
        <f t="shared" si="44"/>
        <v/>
      </c>
      <c r="N45" s="123" t="str">
        <f t="shared" si="44"/>
        <v/>
      </c>
      <c r="O45" s="123" t="str">
        <f t="shared" si="44"/>
        <v/>
      </c>
      <c r="P45" s="123" t="str">
        <f t="shared" si="44"/>
        <v/>
      </c>
      <c r="Q45" s="123" t="str">
        <f t="shared" si="44"/>
        <v/>
      </c>
      <c r="R45" s="123" t="str">
        <f t="shared" si="44"/>
        <v/>
      </c>
      <c r="S45" s="123" t="str">
        <f t="shared" si="44"/>
        <v/>
      </c>
      <c r="T45" s="123" t="str">
        <f t="shared" si="44"/>
        <v/>
      </c>
      <c r="U45" s="123" t="str">
        <f t="shared" si="44"/>
        <v/>
      </c>
      <c r="V45" s="123" t="str">
        <f t="shared" si="44"/>
        <v/>
      </c>
      <c r="W45" s="123" t="str">
        <f t="shared" si="44"/>
        <v/>
      </c>
      <c r="X45" s="123" t="str">
        <f t="shared" si="44"/>
        <v/>
      </c>
      <c r="Y45" s="123" t="str">
        <f t="shared" si="44"/>
        <v/>
      </c>
      <c r="Z45" s="122" t="str">
        <f t="shared" si="44"/>
        <v/>
      </c>
      <c r="AA45" s="122" t="str">
        <f t="shared" si="44"/>
        <v/>
      </c>
      <c r="AB45" s="122" t="str">
        <f t="shared" si="44"/>
        <v/>
      </c>
      <c r="AC45" s="122" t="str">
        <f t="shared" si="44"/>
        <v/>
      </c>
      <c r="AD45" s="122" t="str">
        <f t="shared" si="44"/>
        <v/>
      </c>
      <c r="AE45" s="122" t="str">
        <f t="shared" si="44"/>
        <v/>
      </c>
      <c r="AF45" s="122" t="str">
        <f t="shared" si="44"/>
        <v/>
      </c>
      <c r="AG45" s="122" t="str">
        <f t="shared" si="44"/>
        <v/>
      </c>
      <c r="AH45" s="122" t="str">
        <f t="shared" si="44"/>
        <v/>
      </c>
      <c r="AI45" s="122" t="str">
        <f t="shared" si="44"/>
        <v/>
      </c>
      <c r="AJ45" s="122" t="str">
        <f t="shared" si="44"/>
        <v/>
      </c>
      <c r="AK45" s="122" t="str">
        <f t="shared" si="44"/>
        <v/>
      </c>
      <c r="AL45" s="122" t="str">
        <f t="shared" si="44"/>
        <v/>
      </c>
      <c r="AM45" s="122" t="str">
        <f t="shared" si="44"/>
        <v/>
      </c>
      <c r="AN45" s="124" t="str">
        <f t="shared" si="44"/>
        <v/>
      </c>
      <c r="AO45" s="128" t="str">
        <f t="shared" si="44"/>
        <v/>
      </c>
      <c r="AP45" s="125" t="str">
        <f t="shared" si="44"/>
        <v/>
      </c>
      <c r="AQ45" s="125" t="str">
        <f t="shared" si="44"/>
        <v/>
      </c>
      <c r="AR45" s="125" t="str">
        <f t="shared" si="44"/>
        <v/>
      </c>
      <c r="AS45" s="125" t="str">
        <f t="shared" si="44"/>
        <v/>
      </c>
      <c r="AT45" s="125" t="str">
        <f t="shared" si="44"/>
        <v/>
      </c>
      <c r="AU45" s="126" t="str">
        <f t="shared" si="44"/>
        <v/>
      </c>
      <c r="AV45" s="127" t="str">
        <f t="shared" si="44"/>
        <v/>
      </c>
    </row>
    <row r="46" spans="1:48" hidden="1" x14ac:dyDescent="0.3">
      <c r="A46" s="42" t="str">
        <f t="shared" ref="A46" si="45">+IF(C46+C47=0,"[ocultar]","")</f>
        <v>[ocultar]</v>
      </c>
      <c r="B46" s="86" t="s">
        <v>162</v>
      </c>
      <c r="C46" s="33">
        <f t="array" ref="C46">SUM(IF($B46=DATOS_[Sexo],
IF($B45=DATOS_[AGRUP. CLAS. PROF.],
IF("Dentro"=DATOS_[Check Periodo Ref.],
1/(COUNTIFS(DATOS_[Sexo],$B46,DATOS_[AGRUP. CLAS. PROF.],$B45,DATOS_[Check Periodo Ref.],"Dentro",DATOS_[id],DATOS_[id]))))))</f>
        <v>0</v>
      </c>
      <c r="D46" s="35">
        <f>COUNTIFS(DATOS_[AGRUP. CLAS. PROF.],$B45,DATOS_[Sexo],$B46,DATOS_[Check Periodo Ref.],"Dentro")</f>
        <v>0</v>
      </c>
      <c r="E46" s="35">
        <f>COUNTIFS(DATOS_[AGRUP. CLAS. PROF.],$B45,DATOS_[Sexo],$B46,DATOS_[Check Periodo Ref.],"Dentro",DATOS_[Check Nº SC Norm],"Sí")</f>
        <v>0</v>
      </c>
      <c r="F46" s="35">
        <f>COUNTIFS(DATOS_[AGRUP. CLAS. PROF.],$B45,DATOS_[Sexo],$B46,DATOS_[Check Periodo Ref.],"Dentro",DATOS_[Check Nº SC Anualiz],"Sí")</f>
        <v>0</v>
      </c>
      <c r="G46" s="35">
        <f>COUNTIFS(DATOS_[AGRUP. CLAS. PROF.],$B45,DATOS_[Sexo],$B46,DATOS_[Check Periodo Ref.],"Dentro",DATOS_[Check Nº SC Norm y Anualiz],"Sí")</f>
        <v>0</v>
      </c>
      <c r="H46" s="35">
        <f>COUNTIFS(DATOS_[AGRUP. CLAS. PROF.],$B45,DATOS_[Sexo],$B46,DATOS_[Check Periodo Ref.],"Dentro",DATOS_[Check Equiparación],"Sí")</f>
        <v>0</v>
      </c>
      <c r="I46" s="110">
        <f t="array" ref="I46">IFERROR(
MEDIAN(IF(DATOS_[Sexo]=$B46,IF(DATOS_[[AGRUP. CLAS. PROF.]:[AGRUP. CLAS. PROF.]]=$B45,IF(DATOS_[Check Equiparado]="Sí",IF(DATOS_[Check Periodo Ref.]="Dentro",DATOS_[SALARIO BASE Eq],FALSE))))),
0)</f>
        <v>0</v>
      </c>
      <c r="J46" s="111">
        <f t="array" ref="J46">IFERROR(
(MEDIAN((IF(DATOS_[[Sexo]:[Sexo]]=$B46,IF(DATOS_[[AGRUP. CLAS. PROF.]:[AGRUP. CLAS. PROF.]]=$B45,IF(DATOS_[[Check Periodo Ref.]:[Check Periodo Ref.]]="Dentro",IF(DATOS_[[Check Equiparado]:[Check Equiparado]]="Sí",IF(DATOS!AE$5="Sí",(1/DATOS_[[% anualiz]:[% anualiz]]),1)*IF(DATOS!AE$4="Sí",1/DATOS_[[% normaliz]:[% normaliz]],1)*(DATOS_[Conc.Sal.01])))))))),
0)</f>
        <v>0</v>
      </c>
      <c r="K46" s="111">
        <f t="array" ref="K46">IFERROR(
(MEDIAN((IF(DATOS_[[Sexo]:[Sexo]]=$B46,IF(DATOS_[[AGRUP. CLAS. PROF.]:[AGRUP. CLAS. PROF.]]=$B45,IF(DATOS_[[Check Periodo Ref.]:[Check Periodo Ref.]]="Dentro",IF(DATOS_[[Check Equiparado]:[Check Equiparado]]="Sí",IF(DATOS!AF$5="Sí",(1/DATOS_[[% anualiz]:[% anualiz]]),1)*IF(DATOS!AF$4="Sí",1/DATOS_[[% normaliz]:[% normaliz]],1)*(DATOS_[Conc.Sal.02])))))))),
0)</f>
        <v>0</v>
      </c>
      <c r="L46" s="111">
        <f t="array" ref="L46">IFERROR(
(MEDIAN((IF(DATOS_[[Sexo]:[Sexo]]=$B46,IF(DATOS_[[AGRUP. CLAS. PROF.]:[AGRUP. CLAS. PROF.]]=$B45,IF(DATOS_[[Check Periodo Ref.]:[Check Periodo Ref.]]="Dentro",IF(DATOS_[[Check Equiparado]:[Check Equiparado]]="Sí",IF(DATOS!AG$5="Sí",(1/DATOS_[[% anualiz]:[% anualiz]]),1)*IF(DATOS!AG$4="Sí",1/DATOS_[[% normaliz]:[% normaliz]],1)*(DATOS_[Conc.Sal.03])))))))),
0)</f>
        <v>0</v>
      </c>
      <c r="M46" s="111">
        <f t="array" ref="M46">IFERROR(
(MEDIAN((IF(DATOS_[[Sexo]:[Sexo]]=$B46,IF(DATOS_[[AGRUP. CLAS. PROF.]:[AGRUP. CLAS. PROF.]]=$B45,IF(DATOS_[[Check Periodo Ref.]:[Check Periodo Ref.]]="Dentro",IF(DATOS_[[Check Equiparado]:[Check Equiparado]]="Sí",IF(DATOS!AH$5="Sí",(1/DATOS_[[% anualiz]:[% anualiz]]),1)*IF(DATOS!AH$4="Sí",1/DATOS_[[% normaliz]:[% normaliz]],1)*(DATOS_[Conc.Sal.04])))))))),
0)</f>
        <v>0</v>
      </c>
      <c r="N46" s="111">
        <f t="array" ref="N46">IFERROR(
(MEDIAN((IF(DATOS_[[Sexo]:[Sexo]]=$B46,IF(DATOS_[[AGRUP. CLAS. PROF.]:[AGRUP. CLAS. PROF.]]=$B45,IF(DATOS_[[Check Periodo Ref.]:[Check Periodo Ref.]]="Dentro",IF(DATOS_[[Check Equiparado]:[Check Equiparado]]="Sí",IF(DATOS!AI$5="Sí",(1/DATOS_[[% anualiz]:[% anualiz]]),1)*IF(DATOS!AI$4="Sí",1/DATOS_[[% normaliz]:[% normaliz]],1)*(DATOS_[Conc.Sal.05])))))))),
0)</f>
        <v>0</v>
      </c>
      <c r="O46" s="111">
        <f t="array" ref="O46">IFERROR(
(MEDIAN((IF(DATOS_[[Sexo]:[Sexo]]=$B46,IF(DATOS_[[AGRUP. CLAS. PROF.]:[AGRUP. CLAS. PROF.]]=$B45,IF(DATOS_[[Check Periodo Ref.]:[Check Periodo Ref.]]="Dentro",IF(DATOS_[[Check Equiparado]:[Check Equiparado]]="Sí",IF(DATOS!AJ$5="Sí",(1/DATOS_[[% anualiz]:[% anualiz]]),1)*IF(DATOS!AJ$4="Sí",1/DATOS_[[% normaliz]:[% normaliz]],1)*(DATOS_[Conc.Sal.06])))))))),
0)</f>
        <v>0</v>
      </c>
      <c r="P46" s="111">
        <f t="array" ref="P46">IFERROR(
(MEDIAN((IF(DATOS_[[Sexo]:[Sexo]]=$B46,IF(DATOS_[[AGRUP. CLAS. PROF.]:[AGRUP. CLAS. PROF.]]=$B45,IF(DATOS_[[Check Periodo Ref.]:[Check Periodo Ref.]]="Dentro",IF(DATOS_[[Check Equiparado]:[Check Equiparado]]="Sí",IF(DATOS!AK$5="Sí",(1/DATOS_[[% anualiz]:[% anualiz]]),1)*IF(DATOS!AK$4="Sí",1/DATOS_[[% normaliz]:[% normaliz]],1)*(DATOS_[Conc.Sal.07])))))))),
0)</f>
        <v>0</v>
      </c>
      <c r="Q46" s="111">
        <f t="array" ref="Q46">IFERROR(
(MEDIAN((IF(DATOS_[[Sexo]:[Sexo]]=$B46,IF(DATOS_[[AGRUP. CLAS. PROF.]:[AGRUP. CLAS. PROF.]]=$B45,IF(DATOS_[[Check Periodo Ref.]:[Check Periodo Ref.]]="Dentro",IF(DATOS_[[Check Equiparado]:[Check Equiparado]]="Sí",IF(DATOS!AL$5="Sí",(1/DATOS_[[% anualiz]:[% anualiz]]),1)*IF(DATOS!AL$4="Sí",1/DATOS_[[% normaliz]:[% normaliz]],1)*(DATOS_[Conc.Sal.08])))))))),
0)</f>
        <v>0</v>
      </c>
      <c r="R46" s="111">
        <f t="array" ref="R46">IFERROR(
(MEDIAN((IF(DATOS_[[Sexo]:[Sexo]]=$B46,IF(DATOS_[[AGRUP. CLAS. PROF.]:[AGRUP. CLAS. PROF.]]=$B45,IF(DATOS_[[Check Periodo Ref.]:[Check Periodo Ref.]]="Dentro",IF(DATOS_[[Check Equiparado]:[Check Equiparado]]="Sí",IF(DATOS!AM$5="Sí",(1/DATOS_[[% anualiz]:[% anualiz]]),1)*IF(DATOS!AM$4="Sí",1/DATOS_[[% normaliz]:[% normaliz]],1)*(DATOS_[Conc.Sal.09])))))))),
0)</f>
        <v>0</v>
      </c>
      <c r="S46" s="111">
        <f t="array" ref="S46">IFERROR(
(MEDIAN((IF(DATOS_[[Sexo]:[Sexo]]=$B46,IF(DATOS_[[AGRUP. CLAS. PROF.]:[AGRUP. CLAS. PROF.]]=$B45,IF(DATOS_[[Check Periodo Ref.]:[Check Periodo Ref.]]="Dentro",IF(DATOS_[[Check Equiparado]:[Check Equiparado]]="Sí",IF(DATOS!AN$5="Sí",(1/DATOS_[[% anualiz]:[% anualiz]]),1)*IF(DATOS!AN$4="Sí",1/DATOS_[[% normaliz]:[% normaliz]],1)*(DATOS_[Conc.Sal.10])))))))),
0)</f>
        <v>0</v>
      </c>
      <c r="T46" s="111">
        <f t="array" ref="T46">IFERROR(
(MEDIAN((IF(DATOS_[[Sexo]:[Sexo]]=$B46,IF(DATOS_[[AGRUP. CLAS. PROF.]:[AGRUP. CLAS. PROF.]]=$B45,IF(DATOS_[[Check Periodo Ref.]:[Check Periodo Ref.]]="Dentro",IF(DATOS_[[Check Equiparado]:[Check Equiparado]]="Sí",IF(DATOS!AO$5="Sí",(1/DATOS_[[% anualiz]:[% anualiz]]),1)*IF(DATOS!AO$4="Sí",1/DATOS_[[% normaliz]:[% normaliz]],1)*(DATOS_[Conc.Sal.11])))))))),
0)</f>
        <v>0</v>
      </c>
      <c r="U46" s="111">
        <f t="array" ref="U46">IFERROR(
(MEDIAN((IF(DATOS_[[Sexo]:[Sexo]]=$B46,IF(DATOS_[[AGRUP. CLAS. PROF.]:[AGRUP. CLAS. PROF.]]=$B45,IF(DATOS_[[Check Periodo Ref.]:[Check Periodo Ref.]]="Dentro",IF(DATOS_[[Check Equiparado]:[Check Equiparado]]="Sí",IF(DATOS!AP$5="Sí",(1/DATOS_[[% anualiz]:[% anualiz]]),1)*IF(DATOS!AP$4="Sí",1/DATOS_[[% normaliz]:[% normaliz]],1)*(DATOS_[Conc.Sal.12])))))))),
0)</f>
        <v>0</v>
      </c>
      <c r="V46" s="111">
        <f t="array" ref="V46">IFERROR(
(MEDIAN((IF(DATOS_[[Sexo]:[Sexo]]=$B46,IF(DATOS_[[AGRUP. CLAS. PROF.]:[AGRUP. CLAS. PROF.]]=$B45,IF(DATOS_[[Check Periodo Ref.]:[Check Periodo Ref.]]="Dentro",IF(DATOS_[[Check Equiparado]:[Check Equiparado]]="Sí",IF(DATOS!AQ$5="Sí",(1/DATOS_[[% anualiz]:[% anualiz]]),1)*IF(DATOS!AQ$4="Sí",1/DATOS_[[% normaliz]:[% normaliz]],1)*(DATOS_[Conc.Sal.13])))))))),
0)</f>
        <v>0</v>
      </c>
      <c r="W46" s="111">
        <f t="array" ref="W46">IFERROR(
(MEDIAN((IF(DATOS_[[Sexo]:[Sexo]]=$B46,IF(DATOS_[[AGRUP. CLAS. PROF.]:[AGRUP. CLAS. PROF.]]=$B45,IF(DATOS_[[Check Periodo Ref.]:[Check Periodo Ref.]]="Dentro",IF(DATOS_[[Check Equiparado]:[Check Equiparado]]="Sí",IF(DATOS!AR$5="Sí",(1/DATOS_[[% anualiz]:[% anualiz]]),1)*IF(DATOS!AR$4="Sí",1/DATOS_[[% normaliz]:[% normaliz]],1)*(DATOS_[Conc.Sal.14])))))))),
0)</f>
        <v>0</v>
      </c>
      <c r="X46" s="111">
        <f t="array" ref="X46">IFERROR(
(MEDIAN((IF(DATOS_[[Sexo]:[Sexo]]=$B46,IF(DATOS_[[AGRUP. CLAS. PROF.]:[AGRUP. CLAS. PROF.]]=$B45,IF(DATOS_[[Check Periodo Ref.]:[Check Periodo Ref.]]="Dentro",IF(DATOS_[[Check Equiparado]:[Check Equiparado]]="Sí",IF(DATOS!AS$5="Sí",(1/DATOS_[[% anualiz]:[% anualiz]]),1)*IF(DATOS!AS$4="Sí",1/DATOS_[[% normaliz]:[% normaliz]],1)*(DATOS_[Conc.Sal.15])))))))),
0)</f>
        <v>0</v>
      </c>
      <c r="Y46" s="111">
        <f t="array" ref="Y46">IFERROR(
(MEDIAN((IF(DATOS_[[Sexo]:[Sexo]]=$B46,IF(DATOS_[[AGRUP. CLAS. PROF.]:[AGRUP. CLAS. PROF.]]=$B45,IF(DATOS_[[Check Periodo Ref.]:[Check Periodo Ref.]]="Dentro",IF(DATOS_[[Check Equiparado]:[Check Equiparado]]="Sí",IF(DATOS!AT$5="Sí",(1/DATOS_[[% anualiz]:[% anualiz]]),1)*IF(DATOS!AT$4="Sí",1/DATOS_[[% normaliz]:[% normaliz]],1)*(DATOS_[Conc.Sal.16])))))))),
0)</f>
        <v>0</v>
      </c>
      <c r="Z46" s="111">
        <f t="array" ref="Z46">IFERROR(
(MEDIAN((IF(DATOS_[[Sexo]:[Sexo]]=$B46,IF(DATOS_[[AGRUP. CLAS. PROF.]:[AGRUP. CLAS. PROF.]]=$B45,IF(DATOS_[[Check Periodo Ref.]:[Check Periodo Ref.]]="Dentro",IF(DATOS_[[Check Equiparado]:[Check Equiparado]]="Sí",IF(DATOS!AU$5="Sí",(1/DATOS_[[% anualiz]:[% anualiz]]),1)*IF(DATOS!AU$4="Sí",1/DATOS_[[% normaliz]:[% normaliz]],1)*(DATOS_[Conc.Sal.17])))))))),
0)</f>
        <v>0</v>
      </c>
      <c r="AA46" s="111">
        <f t="array" ref="AA46">IFERROR(
(MEDIAN((IF(DATOS_[[Sexo]:[Sexo]]=$B46,IF(DATOS_[[AGRUP. CLAS. PROF.]:[AGRUP. CLAS. PROF.]]=$B45,IF(DATOS_[[Check Periodo Ref.]:[Check Periodo Ref.]]="Dentro",IF(DATOS_[[Check Equiparado]:[Check Equiparado]]="Sí",IF(DATOS!AV$5="Sí",(1/DATOS_[[% anualiz]:[% anualiz]]),1)*IF(DATOS!AV$4="Sí",1/DATOS_[[% normaliz]:[% normaliz]],1)*(DATOS_[Conc.Sal.18])))))))),
0)</f>
        <v>0</v>
      </c>
      <c r="AB46" s="111">
        <f t="array" ref="AB46">IFERROR(
(MEDIAN((IF(DATOS_[[Sexo]:[Sexo]]=$B46,IF(DATOS_[[AGRUP. CLAS. PROF.]:[AGRUP. CLAS. PROF.]]=$B45,IF(DATOS_[[Check Periodo Ref.]:[Check Periodo Ref.]]="Dentro",IF(DATOS_[[Check Equiparado]:[Check Equiparado]]="Sí",IF(DATOS!AW$5="Sí",(1/DATOS_[[% anualiz]:[% anualiz]]),1)*IF(DATOS!AW$4="Sí",1/DATOS_[[% normaliz]:[% normaliz]],1)*(DATOS_[Conc.Sal.19])))))))),
0)</f>
        <v>0</v>
      </c>
      <c r="AC46" s="111">
        <f t="array" ref="AC46">IFERROR(
(MEDIAN((IF(DATOS_[[Sexo]:[Sexo]]=$B46,IF(DATOS_[[AGRUP. CLAS. PROF.]:[AGRUP. CLAS. PROF.]]=$B45,IF(DATOS_[[Check Periodo Ref.]:[Check Periodo Ref.]]="Dentro",IF(DATOS_[[Check Equiparado]:[Check Equiparado]]="Sí",IF(DATOS!AX$5="Sí",(1/DATOS_[[% anualiz]:[% anualiz]]),1)*IF(DATOS!AX$4="Sí",1/DATOS_[[% normaliz]:[% normaliz]],1)*(DATOS_[Conc.Sal.20])))))))),
0)</f>
        <v>0</v>
      </c>
      <c r="AD46" s="111">
        <f t="array" ref="AD46">IFERROR(
(MEDIAN((IF(DATOS_[[Sexo]:[Sexo]]=$B46,IF(DATOS_[[AGRUP. CLAS. PROF.]:[AGRUP. CLAS. PROF.]]=$B45,IF(DATOS_[[Check Periodo Ref.]:[Check Periodo Ref.]]="Dentro",IF(DATOS_[[Check Equiparado]:[Check Equiparado]]="Sí",IF(DATOS!AY$5="Sí",(1/DATOS_[[% anualiz]:[% anualiz]]),1)*IF(DATOS!AY$4="Sí",1/DATOS_[[% normaliz]:[% normaliz]],1)*(DATOS_[Conc.Sal.21])))))))),
0)</f>
        <v>0</v>
      </c>
      <c r="AE46" s="111">
        <f t="array" ref="AE46">IFERROR(
(MEDIAN((IF(DATOS_[[Sexo]:[Sexo]]=$B46,IF(DATOS_[[AGRUP. CLAS. PROF.]:[AGRUP. CLAS. PROF.]]=$B45,IF(DATOS_[[Check Periodo Ref.]:[Check Periodo Ref.]]="Dentro",IF(DATOS_[[Check Equiparado]:[Check Equiparado]]="Sí",IF(DATOS!AZ$5="Sí",(1/DATOS_[[% anualiz]:[% anualiz]]),1)*IF(DATOS!AZ$4="Sí",1/DATOS_[[% normaliz]:[% normaliz]],1)*(DATOS_[Conc.Sal.22])))))))),
0)</f>
        <v>0</v>
      </c>
      <c r="AF46" s="111">
        <f t="array" ref="AF46">IFERROR(
(MEDIAN((IF(DATOS_[[Sexo]:[Sexo]]=$B46,IF(DATOS_[[AGRUP. CLAS. PROF.]:[AGRUP. CLAS. PROF.]]=$B45,IF(DATOS_[[Check Periodo Ref.]:[Check Periodo Ref.]]="Dentro",IF(DATOS_[[Check Equiparado]:[Check Equiparado]]="Sí",IF(DATOS!BA$5="Sí",(1/DATOS_[[% anualiz]:[% anualiz]]),1)*IF(DATOS!BA$4="Sí",1/DATOS_[[% normaliz]:[% normaliz]],1)*(DATOS_[Conc.Sal.23])))))))),
0)</f>
        <v>0</v>
      </c>
      <c r="AG46" s="111">
        <f t="array" ref="AG46">IFERROR(
(MEDIAN((IF(DATOS_[[Sexo]:[Sexo]]=$B46,IF(DATOS_[[AGRUP. CLAS. PROF.]:[AGRUP. CLAS. PROF.]]=$B45,IF(DATOS_[[Check Periodo Ref.]:[Check Periodo Ref.]]="Dentro",IF(DATOS_[[Check Equiparado]:[Check Equiparado]]="Sí",IF(DATOS!BB$5="Sí",(1/DATOS_[[% anualiz]:[% anualiz]]),1)*IF(DATOS!BB$4="Sí",1/DATOS_[[% normaliz]:[% normaliz]],1)*(DATOS_[Conc.Sal.24])))))))),
0)</f>
        <v>0</v>
      </c>
      <c r="AH46" s="111">
        <f t="array" ref="AH46">IFERROR(
(MEDIAN((IF(DATOS_[[Sexo]:[Sexo]]=$B46,IF(DATOS_[[AGRUP. CLAS. PROF.]:[AGRUP. CLAS. PROF.]]=$B45,IF(DATOS_[[Check Periodo Ref.]:[Check Periodo Ref.]]="Dentro",IF(DATOS_[[Check Equiparado]:[Check Equiparado]]="Sí",IF(DATOS!BC$5="Sí",(1/DATOS_[[% anualiz]:[% anualiz]]),1)*IF(DATOS!BC$4="Sí",1/DATOS_[[% normaliz]:[% normaliz]],1)*(DATOS_[Conc.Sal.25])))))))),
0)</f>
        <v>0</v>
      </c>
      <c r="AI46" s="111">
        <f t="array" ref="AI46">IFERROR(
(MEDIAN((IF(DATOS_[[Sexo]:[Sexo]]=$B46,IF(DATOS_[[AGRUP. CLAS. PROF.]:[AGRUP. CLAS. PROF.]]=$B45,IF(DATOS_[[Check Periodo Ref.]:[Check Periodo Ref.]]="Dentro",IF(DATOS_[[Check Equiparado]:[Check Equiparado]]="Sí",IF(DATOS!BD$5="Sí",(1/DATOS_[[% anualiz]:[% anualiz]]),1)*IF(DATOS!BD$4="Sí",1/DATOS_[[% normaliz]:[% normaliz]],1)*(DATOS_[Conc.Sal.26])))))))),
0)</f>
        <v>0</v>
      </c>
      <c r="AJ46" s="111">
        <f t="array" ref="AJ46">IFERROR(
(MEDIAN((IF(DATOS_[[Sexo]:[Sexo]]=$B46,IF(DATOS_[[AGRUP. CLAS. PROF.]:[AGRUP. CLAS. PROF.]]=$B45,IF(DATOS_[[Check Periodo Ref.]:[Check Periodo Ref.]]="Dentro",IF(DATOS_[[Check Equiparado]:[Check Equiparado]]="Sí",IF(DATOS!BE$5="Sí",(1/DATOS_[[% anualiz]:[% anualiz]]),1)*IF(DATOS!BE$4="Sí",1/DATOS_[[% normaliz]:[% normaliz]],1)*(DATOS_[Conc.Sal.27])))))))),
0)</f>
        <v>0</v>
      </c>
      <c r="AK46" s="111">
        <f t="array" ref="AK46">IFERROR(
(MEDIAN((IF(DATOS_[[Sexo]:[Sexo]]=$B46,IF(DATOS_[[AGRUP. CLAS. PROF.]:[AGRUP. CLAS. PROF.]]=$B45,IF(DATOS_[[Check Periodo Ref.]:[Check Periodo Ref.]]="Dentro",IF(DATOS_[[Check Equiparado]:[Check Equiparado]]="Sí",IF(DATOS!BF$5="Sí",(1/DATOS_[[% anualiz]:[% anualiz]]),1)*IF(DATOS!BF$4="Sí",1/DATOS_[[% normaliz]:[% normaliz]],1)*(DATOS_[Conc.Sal.28])))))))),
0)</f>
        <v>0</v>
      </c>
      <c r="AL46" s="111">
        <f t="array" ref="AL46">IFERROR(
(MEDIAN((IF(DATOS_[[Sexo]:[Sexo]]=$B46,IF(DATOS_[[AGRUP. CLAS. PROF.]:[AGRUP. CLAS. PROF.]]=$B45,IF(DATOS_[[Check Periodo Ref.]:[Check Periodo Ref.]]="Dentro",IF(DATOS_[[Check Equiparado]:[Check Equiparado]]="Sí",IF(DATOS!BG$5="Sí",(1/DATOS_[[% anualiz]:[% anualiz]]),1)*IF(DATOS!BG$4="Sí",1/DATOS_[[% normaliz]:[% normaliz]],1)*(DATOS_[Conc.Sal.29])))))))),
0)</f>
        <v>0</v>
      </c>
      <c r="AM46" s="111">
        <f t="array" ref="AM46">IFERROR(
(MEDIAN((IF(DATOS_[[Sexo]:[Sexo]]=$B46,IF(DATOS_[[AGRUP. CLAS. PROF.]:[AGRUP. CLAS. PROF.]]=$B45,IF(DATOS_[[Check Periodo Ref.]:[Check Periodo Ref.]]="Dentro",IF(DATOS_[[Check Equiparado]:[Check Equiparado]]="Sí",IF(DATOS!BH$5="Sí",(1/DATOS_[[% anualiz]:[% anualiz]]),1)*IF(DATOS!BH$4="Sí",1/DATOS_[[% normaliz]:[% normaliz]],1)*(DATOS_[Conc.Sal.30])))))))),
0)</f>
        <v>0</v>
      </c>
      <c r="AN46" s="112">
        <f t="array" ref="AN46">IFERROR(
MEDIAN(IF(DATOS_[Sexo]=$B46,IF(DATOS_[[AGRUP. CLAS. PROF.]:[AGRUP. CLAS. PROF.]]=$B45,IF(DATOS_[Check Equiparado]="Sí",IF(DATOS_[Check Periodo Ref.]="Dentro",DATOS_[Tot COMPL.SAL Eq],FALSE))))),
0)</f>
        <v>0</v>
      </c>
      <c r="AO46" s="113">
        <f t="array" ref="AO46">IFERROR(
MEDIAN(IF(DATOS_[Sexo]=$B46,IF(DATOS_[[AGRUP. CLAS. PROF.]:[AGRUP. CLAS. PROF.]]=$B45,IF(DATOS_[Check Equiparado]="Sí",IF(DATOS_[Check Periodo Ref.]="Dentro",DATOS_[TOTAL SALARIO Eq],FALSE))))),
0)</f>
        <v>0</v>
      </c>
      <c r="AP46" s="114">
        <f t="array" ref="AP46">IFERROR(
(MEDIAN((IF(DATOS_[[Sexo]:[Sexo]]=$B46,IF(DATOS_[[AGRUP. CLAS. PROF.]:[AGRUP. CLAS. PROF.]]=$B45,IF(DATOS_[[Check Periodo Ref.]:[Check Periodo Ref.]]="Dentro",IF(DATOS_[[Check Equiparado]:[Check Equiparado]]="Sí",IF(DATOS!BI$5="Sí",(1/DATOS_[[% anualiz]:[% anualiz]]),1)*IF(DATOS!BI$4="Sí",1/DATOS_[[% normaliz]:[% normaliz]],1)*(DATOS_[C.Extra.01])))))))),
0)</f>
        <v>0</v>
      </c>
      <c r="AQ46" s="114">
        <f t="array" ref="AQ46">IFERROR(
(MEDIAN((IF(DATOS_[[Sexo]:[Sexo]]=$B46,IF(DATOS_[[AGRUP. CLAS. PROF.]:[AGRUP. CLAS. PROF.]]=$B45,IF(DATOS_[[Check Periodo Ref.]:[Check Periodo Ref.]]="Dentro",IF(DATOS_[[Check Equiparado]:[Check Equiparado]]="Sí",IF(DATOS!BJ$5="Sí",(1/DATOS_[[% anualiz]:[% anualiz]]),1)*IF(DATOS!BJ$4="Sí",1/DATOS_[[% normaliz]:[% normaliz]],1)*(DATOS_[C.Extra.02])))))))),
0)</f>
        <v>0</v>
      </c>
      <c r="AR46" s="114">
        <f t="array" ref="AR46">IFERROR(
(MEDIAN((IF(DATOS_[[Sexo]:[Sexo]]=$B46,IF(DATOS_[[AGRUP. CLAS. PROF.]:[AGRUP. CLAS. PROF.]]=$B45,IF(DATOS_[[Check Periodo Ref.]:[Check Periodo Ref.]]="Dentro",IF(DATOS_[[Check Equiparado]:[Check Equiparado]]="Sí",IF(DATOS!BK$5="Sí",(1/DATOS_[[% anualiz]:[% anualiz]]),1)*IF(DATOS!BK$4="Sí",1/DATOS_[[% normaliz]:[% normaliz]],1)*(DATOS_[C.Extra.03])))))))),
0)</f>
        <v>0</v>
      </c>
      <c r="AS46" s="114">
        <f t="array" ref="AS46">IFERROR(
(MEDIAN((IF(DATOS_[[Sexo]:[Sexo]]=$B46,IF(DATOS_[[AGRUP. CLAS. PROF.]:[AGRUP. CLAS. PROF.]]=$B45,IF(DATOS_[[Check Periodo Ref.]:[Check Periodo Ref.]]="Dentro",IF(DATOS_[[Check Equiparado]:[Check Equiparado]]="Sí",IF(DATOS!BL$5="Sí",(1/DATOS_[[% anualiz]:[% anualiz]]),1)*IF(DATOS!BL$4="Sí",1/DATOS_[[% normaliz]:[% normaliz]],1)*(DATOS_[C.Extra.04])))))))),
0)</f>
        <v>0</v>
      </c>
      <c r="AT46" s="114">
        <f t="array" ref="AT46">IFERROR(
(MEDIAN((IF(DATOS_[[Sexo]:[Sexo]]=$B46,IF(DATOS_[[AGRUP. CLAS. PROF.]:[AGRUP. CLAS. PROF.]]=$B45,IF(DATOS_[[Check Periodo Ref.]:[Check Periodo Ref.]]="Dentro",IF(DATOS_[[Check Equiparado]:[Check Equiparado]]="Sí",IF(DATOS!BM$5="Sí",(1/DATOS_[[% anualiz]:[% anualiz]]),1)*IF(DATOS!BM$4="Sí",1/DATOS_[[% normaliz]:[% normaliz]],1)*(DATOS_[C.Extra.05])))))))),
0)</f>
        <v>0</v>
      </c>
      <c r="AU46" s="115">
        <f t="array" ref="AU46">IFERROR(
MEDIAN(IF(DATOS_[Sexo]=$B46,IF(DATOS_[[AGRUP. CLAS. PROF.]:[AGRUP. CLAS. PROF.]]=$B45,IF(DATOS_[Check Equiparado]="Sí",IF(DATOS_[Check Periodo Ref.]="Dentro",DATOS_[Tot Extrasalarial Eq],FALSE))))),
0)</f>
        <v>0</v>
      </c>
      <c r="AV46" s="116">
        <f t="array" ref="AV46">IFERROR(
MEDIAN(IF(DATOS_[Sexo]=$B46,IF(DATOS_[[AGRUP. CLAS. PROF.]:[AGRUP. CLAS. PROF.]]=$B45,IF(DATOS_[Check Equiparado]="Sí",IF(DATOS_[Check Periodo Ref.]="Dentro",DATOS_[TOTAL Retrib Eq],FALSE))))),
0)</f>
        <v>0</v>
      </c>
    </row>
    <row r="47" spans="1:48" hidden="1" x14ac:dyDescent="0.3">
      <c r="A47" s="42" t="str">
        <f t="shared" ref="A47" si="46">+A46</f>
        <v>[ocultar]</v>
      </c>
      <c r="B47" s="86" t="s">
        <v>163</v>
      </c>
      <c r="C47" s="33">
        <f t="array" ref="C47">SUM(IF($B47=DATOS_[Sexo],
IF($B45=DATOS_[AGRUP. CLAS. PROF.],
IF("Dentro"=DATOS_[Check Periodo Ref.],
1/(COUNTIFS(DATOS_[Sexo],$B47,DATOS_[AGRUP. CLAS. PROF.],$B45,DATOS_[Check Periodo Ref.],"Dentro",DATOS_[id],DATOS_[id]))))))</f>
        <v>0</v>
      </c>
      <c r="D47" s="35">
        <f>COUNTIFS(DATOS_[AGRUP. CLAS. PROF.],$B45,DATOS_[Sexo],$B47,DATOS_[Check Periodo Ref.],"Dentro")</f>
        <v>0</v>
      </c>
      <c r="E47" s="35">
        <f>COUNTIFS(DATOS_[AGRUP. CLAS. PROF.],$B45,DATOS_[Sexo],$B47,DATOS_[Check Periodo Ref.],"Dentro",DATOS_[Check Nº SC Norm],"Sí")</f>
        <v>0</v>
      </c>
      <c r="F47" s="35">
        <f>COUNTIFS(DATOS_[AGRUP. CLAS. PROF.],$B45,DATOS_[Sexo],$B47,DATOS_[Check Periodo Ref.],"Dentro",DATOS_[Check Nº SC Anualiz],"Sí")</f>
        <v>0</v>
      </c>
      <c r="G47" s="35">
        <f>COUNTIFS(DATOS_[AGRUP. CLAS. PROF.],$B45,DATOS_[Sexo],$B47,DATOS_[Check Periodo Ref.],"Dentro",DATOS_[Check Nº SC Norm y Anualiz],"Sí")</f>
        <v>0</v>
      </c>
      <c r="H47" s="35">
        <f>COUNTIFS(DATOS_[AGRUP. CLAS. PROF.],$B45,DATOS_[Sexo],$B47,DATOS_[Check Periodo Ref.],"Dentro",DATOS_[Check Equiparación],"Sí")</f>
        <v>0</v>
      </c>
      <c r="I47" s="110" cm="1">
        <f t="array" ref="I47">IFERROR(
MEDIAN(IF(DATOS_[Sexo]=$B47,IF(DATOS_[[AGRUP. CLAS. PROF.]:[AGRUP. CLAS. PROF.]]=$B45,IF(DATOS_[Check Equiparado]="Sí",IF(DATOS_[Check Periodo Ref.]="Dentro",DATOS_[SALARIO BASE Eq],FALSE))))),
0)</f>
        <v>0</v>
      </c>
      <c r="J47" s="111">
        <f t="array" ref="J47">IFERROR(
(MEDIAN((IF(DATOS_[[Sexo]:[Sexo]]=$B47,IF(DATOS_[[AGRUP. CLAS. PROF.]:[AGRUP. CLAS. PROF.]]=$B45,IF(DATOS_[[Check Periodo Ref.]:[Check Periodo Ref.]]="Dentro",IF(DATOS_[[Check Equiparado]:[Check Equiparado]]="Sí",IF(DATOS!AE$5="Sí",(1/DATOS_[[% anualiz]:[% anualiz]]),1)*IF(DATOS!AE$4="Sí",1/DATOS_[[% normaliz]:[% normaliz]],1)*(DATOS_[Conc.Sal.01])))))))),
0)</f>
        <v>0</v>
      </c>
      <c r="K47" s="111">
        <f t="array" ref="K47">IFERROR(
(MEDIAN((IF(DATOS_[[Sexo]:[Sexo]]=$B47,IF(DATOS_[[AGRUP. CLAS. PROF.]:[AGRUP. CLAS. PROF.]]=$B45,IF(DATOS_[[Check Periodo Ref.]:[Check Periodo Ref.]]="Dentro",IF(DATOS_[[Check Equiparado]:[Check Equiparado]]="Sí",IF(DATOS!AF$5="Sí",(1/DATOS_[[% anualiz]:[% anualiz]]),1)*IF(DATOS!AF$4="Sí",1/DATOS_[[% normaliz]:[% normaliz]],1)*(DATOS_[Conc.Sal.02])))))))),
0)</f>
        <v>0</v>
      </c>
      <c r="L47" s="111">
        <f t="array" ref="L47">IFERROR(
(MEDIAN((IF(DATOS_[[Sexo]:[Sexo]]=$B47,IF(DATOS_[[AGRUP. CLAS. PROF.]:[AGRUP. CLAS. PROF.]]=$B45,IF(DATOS_[[Check Periodo Ref.]:[Check Periodo Ref.]]="Dentro",IF(DATOS_[[Check Equiparado]:[Check Equiparado]]="Sí",IF(DATOS!AG$5="Sí",(1/DATOS_[[% anualiz]:[% anualiz]]),1)*IF(DATOS!AG$4="Sí",1/DATOS_[[% normaliz]:[% normaliz]],1)*(DATOS_[Conc.Sal.03])))))))),
0)</f>
        <v>0</v>
      </c>
      <c r="M47" s="111">
        <f t="array" ref="M47">IFERROR(
(MEDIAN((IF(DATOS_[[Sexo]:[Sexo]]=$B47,IF(DATOS_[[AGRUP. CLAS. PROF.]:[AGRUP. CLAS. PROF.]]=$B45,IF(DATOS_[[Check Periodo Ref.]:[Check Periodo Ref.]]="Dentro",IF(DATOS_[[Check Equiparado]:[Check Equiparado]]="Sí",IF(DATOS!AH$5="Sí",(1/DATOS_[[% anualiz]:[% anualiz]]),1)*IF(DATOS!AH$4="Sí",1/DATOS_[[% normaliz]:[% normaliz]],1)*(DATOS_[Conc.Sal.04])))))))),
0)</f>
        <v>0</v>
      </c>
      <c r="N47" s="111">
        <f t="array" ref="N47">IFERROR(
(MEDIAN((IF(DATOS_[[Sexo]:[Sexo]]=$B47,IF(DATOS_[[AGRUP. CLAS. PROF.]:[AGRUP. CLAS. PROF.]]=$B45,IF(DATOS_[[Check Periodo Ref.]:[Check Periodo Ref.]]="Dentro",IF(DATOS_[[Check Equiparado]:[Check Equiparado]]="Sí",IF(DATOS!AI$5="Sí",(1/DATOS_[[% anualiz]:[% anualiz]]),1)*IF(DATOS!AI$4="Sí",1/DATOS_[[% normaliz]:[% normaliz]],1)*(DATOS_[Conc.Sal.05])))))))),
0)</f>
        <v>0</v>
      </c>
      <c r="O47" s="111">
        <f t="array" ref="O47">IFERROR(
(MEDIAN((IF(DATOS_[[Sexo]:[Sexo]]=$B47,IF(DATOS_[[AGRUP. CLAS. PROF.]:[AGRUP. CLAS. PROF.]]=$B45,IF(DATOS_[[Check Periodo Ref.]:[Check Periodo Ref.]]="Dentro",IF(DATOS_[[Check Equiparado]:[Check Equiparado]]="Sí",IF(DATOS!AJ$5="Sí",(1/DATOS_[[% anualiz]:[% anualiz]]),1)*IF(DATOS!AJ$4="Sí",1/DATOS_[[% normaliz]:[% normaliz]],1)*(DATOS_[Conc.Sal.06])))))))),
0)</f>
        <v>0</v>
      </c>
      <c r="P47" s="111">
        <f t="array" ref="P47">IFERROR(
(MEDIAN((IF(DATOS_[[Sexo]:[Sexo]]=$B47,IF(DATOS_[[AGRUP. CLAS. PROF.]:[AGRUP. CLAS. PROF.]]=$B45,IF(DATOS_[[Check Periodo Ref.]:[Check Periodo Ref.]]="Dentro",IF(DATOS_[[Check Equiparado]:[Check Equiparado]]="Sí",IF(DATOS!AK$5="Sí",(1/DATOS_[[% anualiz]:[% anualiz]]),1)*IF(DATOS!AK$4="Sí",1/DATOS_[[% normaliz]:[% normaliz]],1)*(DATOS_[Conc.Sal.07])))))))),
0)</f>
        <v>0</v>
      </c>
      <c r="Q47" s="111">
        <f t="array" ref="Q47">IFERROR(
(MEDIAN((IF(DATOS_[[Sexo]:[Sexo]]=$B47,IF(DATOS_[[AGRUP. CLAS. PROF.]:[AGRUP. CLAS. PROF.]]=$B45,IF(DATOS_[[Check Periodo Ref.]:[Check Periodo Ref.]]="Dentro",IF(DATOS_[[Check Equiparado]:[Check Equiparado]]="Sí",IF(DATOS!AL$5="Sí",(1/DATOS_[[% anualiz]:[% anualiz]]),1)*IF(DATOS!AL$4="Sí",1/DATOS_[[% normaliz]:[% normaliz]],1)*(DATOS_[Conc.Sal.08])))))))),
0)</f>
        <v>0</v>
      </c>
      <c r="R47" s="111">
        <f t="array" ref="R47">IFERROR(
(MEDIAN((IF(DATOS_[[Sexo]:[Sexo]]=$B47,IF(DATOS_[[AGRUP. CLAS. PROF.]:[AGRUP. CLAS. PROF.]]=$B45,IF(DATOS_[[Check Periodo Ref.]:[Check Periodo Ref.]]="Dentro",IF(DATOS_[[Check Equiparado]:[Check Equiparado]]="Sí",IF(DATOS!AM$5="Sí",(1/DATOS_[[% anualiz]:[% anualiz]]),1)*IF(DATOS!AM$4="Sí",1/DATOS_[[% normaliz]:[% normaliz]],1)*(DATOS_[Conc.Sal.09])))))))),
0)</f>
        <v>0</v>
      </c>
      <c r="S47" s="111">
        <f t="array" ref="S47">IFERROR(
(MEDIAN((IF(DATOS_[[Sexo]:[Sexo]]=$B47,IF(DATOS_[[AGRUP. CLAS. PROF.]:[AGRUP. CLAS. PROF.]]=$B45,IF(DATOS_[[Check Periodo Ref.]:[Check Periodo Ref.]]="Dentro",IF(DATOS_[[Check Equiparado]:[Check Equiparado]]="Sí",IF(DATOS!AN$5="Sí",(1/DATOS_[[% anualiz]:[% anualiz]]),1)*IF(DATOS!AN$4="Sí",1/DATOS_[[% normaliz]:[% normaliz]],1)*(DATOS_[Conc.Sal.10])))))))),
0)</f>
        <v>0</v>
      </c>
      <c r="T47" s="111">
        <f t="array" ref="T47">IFERROR(
(MEDIAN((IF(DATOS_[[Sexo]:[Sexo]]=$B47,IF(DATOS_[[AGRUP. CLAS. PROF.]:[AGRUP. CLAS. PROF.]]=$B45,IF(DATOS_[[Check Periodo Ref.]:[Check Periodo Ref.]]="Dentro",IF(DATOS_[[Check Equiparado]:[Check Equiparado]]="Sí",IF(DATOS!AO$5="Sí",(1/DATOS_[[% anualiz]:[% anualiz]]),1)*IF(DATOS!AO$4="Sí",1/DATOS_[[% normaliz]:[% normaliz]],1)*(DATOS_[Conc.Sal.11])))))))),
0)</f>
        <v>0</v>
      </c>
      <c r="U47" s="111">
        <f t="array" ref="U47">IFERROR(
(MEDIAN((IF(DATOS_[[Sexo]:[Sexo]]=$B47,IF(DATOS_[[AGRUP. CLAS. PROF.]:[AGRUP. CLAS. PROF.]]=$B45,IF(DATOS_[[Check Periodo Ref.]:[Check Periodo Ref.]]="Dentro",IF(DATOS_[[Check Equiparado]:[Check Equiparado]]="Sí",IF(DATOS!AP$5="Sí",(1/DATOS_[[% anualiz]:[% anualiz]]),1)*IF(DATOS!AP$4="Sí",1/DATOS_[[% normaliz]:[% normaliz]],1)*(DATOS_[Conc.Sal.12])))))))),
0)</f>
        <v>0</v>
      </c>
      <c r="V47" s="111">
        <f t="array" ref="V47">IFERROR(
(MEDIAN((IF(DATOS_[[Sexo]:[Sexo]]=$B47,IF(DATOS_[[AGRUP. CLAS. PROF.]:[AGRUP. CLAS. PROF.]]=$B45,IF(DATOS_[[Check Periodo Ref.]:[Check Periodo Ref.]]="Dentro",IF(DATOS_[[Check Equiparado]:[Check Equiparado]]="Sí",IF(DATOS!AQ$5="Sí",(1/DATOS_[[% anualiz]:[% anualiz]]),1)*IF(DATOS!AQ$4="Sí",1/DATOS_[[% normaliz]:[% normaliz]],1)*(DATOS_[Conc.Sal.13])))))))),
0)</f>
        <v>0</v>
      </c>
      <c r="W47" s="111">
        <f t="array" ref="W47">IFERROR(
(MEDIAN((IF(DATOS_[[Sexo]:[Sexo]]=$B47,IF(DATOS_[[AGRUP. CLAS. PROF.]:[AGRUP. CLAS. PROF.]]=$B45,IF(DATOS_[[Check Periodo Ref.]:[Check Periodo Ref.]]="Dentro",IF(DATOS_[[Check Equiparado]:[Check Equiparado]]="Sí",IF(DATOS!AR$5="Sí",(1/DATOS_[[% anualiz]:[% anualiz]]),1)*IF(DATOS!AR$4="Sí",1/DATOS_[[% normaliz]:[% normaliz]],1)*(DATOS_[Conc.Sal.14])))))))),
0)</f>
        <v>0</v>
      </c>
      <c r="X47" s="111">
        <f t="array" ref="X47">IFERROR(
(MEDIAN((IF(DATOS_[[Sexo]:[Sexo]]=$B47,IF(DATOS_[[AGRUP. CLAS. PROF.]:[AGRUP. CLAS. PROF.]]=$B45,IF(DATOS_[[Check Periodo Ref.]:[Check Periodo Ref.]]="Dentro",IF(DATOS_[[Check Equiparado]:[Check Equiparado]]="Sí",IF(DATOS!AS$5="Sí",(1/DATOS_[[% anualiz]:[% anualiz]]),1)*IF(DATOS!AS$4="Sí",1/DATOS_[[% normaliz]:[% normaliz]],1)*(DATOS_[Conc.Sal.15])))))))),
0)</f>
        <v>0</v>
      </c>
      <c r="Y47" s="111">
        <f t="array" ref="Y47">IFERROR(
(MEDIAN((IF(DATOS_[[Sexo]:[Sexo]]=$B47,IF(DATOS_[[AGRUP. CLAS. PROF.]:[AGRUP. CLAS. PROF.]]=$B45,IF(DATOS_[[Check Periodo Ref.]:[Check Periodo Ref.]]="Dentro",IF(DATOS_[[Check Equiparado]:[Check Equiparado]]="Sí",IF(DATOS!AT$5="Sí",(1/DATOS_[[% anualiz]:[% anualiz]]),1)*IF(DATOS!AT$4="Sí",1/DATOS_[[% normaliz]:[% normaliz]],1)*(DATOS_[Conc.Sal.16])))))))),
0)</f>
        <v>0</v>
      </c>
      <c r="Z47" s="111">
        <f t="array" ref="Z47">IFERROR(
(MEDIAN((IF(DATOS_[[Sexo]:[Sexo]]=$B47,IF(DATOS_[[AGRUP. CLAS. PROF.]:[AGRUP. CLAS. PROF.]]=$B45,IF(DATOS_[[Check Periodo Ref.]:[Check Periodo Ref.]]="Dentro",IF(DATOS_[[Check Equiparado]:[Check Equiparado]]="Sí",IF(DATOS!AU$5="Sí",(1/DATOS_[[% anualiz]:[% anualiz]]),1)*IF(DATOS!AU$4="Sí",1/DATOS_[[% normaliz]:[% normaliz]],1)*(DATOS_[Conc.Sal.17])))))))),
0)</f>
        <v>0</v>
      </c>
      <c r="AA47" s="111">
        <f t="array" ref="AA47">IFERROR(
(MEDIAN((IF(DATOS_[[Sexo]:[Sexo]]=$B47,IF(DATOS_[[AGRUP. CLAS. PROF.]:[AGRUP. CLAS. PROF.]]=$B45,IF(DATOS_[[Check Periodo Ref.]:[Check Periodo Ref.]]="Dentro",IF(DATOS_[[Check Equiparado]:[Check Equiparado]]="Sí",IF(DATOS!AV$5="Sí",(1/DATOS_[[% anualiz]:[% anualiz]]),1)*IF(DATOS!AV$4="Sí",1/DATOS_[[% normaliz]:[% normaliz]],1)*(DATOS_[Conc.Sal.18])))))))),
0)</f>
        <v>0</v>
      </c>
      <c r="AB47" s="111">
        <f t="array" ref="AB47">IFERROR(
(MEDIAN((IF(DATOS_[[Sexo]:[Sexo]]=$B47,IF(DATOS_[[AGRUP. CLAS. PROF.]:[AGRUP. CLAS. PROF.]]=$B45,IF(DATOS_[[Check Periodo Ref.]:[Check Periodo Ref.]]="Dentro",IF(DATOS_[[Check Equiparado]:[Check Equiparado]]="Sí",IF(DATOS!AW$5="Sí",(1/DATOS_[[% anualiz]:[% anualiz]]),1)*IF(DATOS!AW$4="Sí",1/DATOS_[[% normaliz]:[% normaliz]],1)*(DATOS_[Conc.Sal.19])))))))),
0)</f>
        <v>0</v>
      </c>
      <c r="AC47" s="111">
        <f t="array" ref="AC47">IFERROR(
(MEDIAN((IF(DATOS_[[Sexo]:[Sexo]]=$B47,IF(DATOS_[[AGRUP. CLAS. PROF.]:[AGRUP. CLAS. PROF.]]=$B45,IF(DATOS_[[Check Periodo Ref.]:[Check Periodo Ref.]]="Dentro",IF(DATOS_[[Check Equiparado]:[Check Equiparado]]="Sí",IF(DATOS!AX$5="Sí",(1/DATOS_[[% anualiz]:[% anualiz]]),1)*IF(DATOS!AX$4="Sí",1/DATOS_[[% normaliz]:[% normaliz]],1)*(DATOS_[Conc.Sal.20])))))))),
0)</f>
        <v>0</v>
      </c>
      <c r="AD47" s="111">
        <f t="array" ref="AD47">IFERROR(
(MEDIAN((IF(DATOS_[[Sexo]:[Sexo]]=$B47,IF(DATOS_[[AGRUP. CLAS. PROF.]:[AGRUP. CLAS. PROF.]]=$B45,IF(DATOS_[[Check Periodo Ref.]:[Check Periodo Ref.]]="Dentro",IF(DATOS_[[Check Equiparado]:[Check Equiparado]]="Sí",IF(DATOS!AY$5="Sí",(1/DATOS_[[% anualiz]:[% anualiz]]),1)*IF(DATOS!AY$4="Sí",1/DATOS_[[% normaliz]:[% normaliz]],1)*(DATOS_[Conc.Sal.21])))))))),
0)</f>
        <v>0</v>
      </c>
      <c r="AE47" s="111">
        <f t="array" ref="AE47">IFERROR(
(MEDIAN((IF(DATOS_[[Sexo]:[Sexo]]=$B47,IF(DATOS_[[AGRUP. CLAS. PROF.]:[AGRUP. CLAS. PROF.]]=$B45,IF(DATOS_[[Check Periodo Ref.]:[Check Periodo Ref.]]="Dentro",IF(DATOS_[[Check Equiparado]:[Check Equiparado]]="Sí",IF(DATOS!AZ$5="Sí",(1/DATOS_[[% anualiz]:[% anualiz]]),1)*IF(DATOS!AZ$4="Sí",1/DATOS_[[% normaliz]:[% normaliz]],1)*(DATOS_[Conc.Sal.22])))))))),
0)</f>
        <v>0</v>
      </c>
      <c r="AF47" s="111">
        <f t="array" ref="AF47">IFERROR(
(MEDIAN((IF(DATOS_[[Sexo]:[Sexo]]=$B47,IF(DATOS_[[AGRUP. CLAS. PROF.]:[AGRUP. CLAS. PROF.]]=$B45,IF(DATOS_[[Check Periodo Ref.]:[Check Periodo Ref.]]="Dentro",IF(DATOS_[[Check Equiparado]:[Check Equiparado]]="Sí",IF(DATOS!BA$5="Sí",(1/DATOS_[[% anualiz]:[% anualiz]]),1)*IF(DATOS!BA$4="Sí",1/DATOS_[[% normaliz]:[% normaliz]],1)*(DATOS_[Conc.Sal.23])))))))),
0)</f>
        <v>0</v>
      </c>
      <c r="AG47" s="111">
        <f t="array" ref="AG47">IFERROR(
(MEDIAN((IF(DATOS_[[Sexo]:[Sexo]]=$B47,IF(DATOS_[[AGRUP. CLAS. PROF.]:[AGRUP. CLAS. PROF.]]=$B45,IF(DATOS_[[Check Periodo Ref.]:[Check Periodo Ref.]]="Dentro",IF(DATOS_[[Check Equiparado]:[Check Equiparado]]="Sí",IF(DATOS!BB$5="Sí",(1/DATOS_[[% anualiz]:[% anualiz]]),1)*IF(DATOS!BB$4="Sí",1/DATOS_[[% normaliz]:[% normaliz]],1)*(DATOS_[Conc.Sal.24])))))))),
0)</f>
        <v>0</v>
      </c>
      <c r="AH47" s="111">
        <f t="array" ref="AH47">IFERROR(
(MEDIAN((IF(DATOS_[[Sexo]:[Sexo]]=$B47,IF(DATOS_[[AGRUP. CLAS. PROF.]:[AGRUP. CLAS. PROF.]]=$B45,IF(DATOS_[[Check Periodo Ref.]:[Check Periodo Ref.]]="Dentro",IF(DATOS_[[Check Equiparado]:[Check Equiparado]]="Sí",IF(DATOS!BC$5="Sí",(1/DATOS_[[% anualiz]:[% anualiz]]),1)*IF(DATOS!BC$4="Sí",1/DATOS_[[% normaliz]:[% normaliz]],1)*(DATOS_[Conc.Sal.25])))))))),
0)</f>
        <v>0</v>
      </c>
      <c r="AI47" s="111">
        <f t="array" ref="AI47">IFERROR(
(MEDIAN((IF(DATOS_[[Sexo]:[Sexo]]=$B47,IF(DATOS_[[AGRUP. CLAS. PROF.]:[AGRUP. CLAS. PROF.]]=$B45,IF(DATOS_[[Check Periodo Ref.]:[Check Periodo Ref.]]="Dentro",IF(DATOS_[[Check Equiparado]:[Check Equiparado]]="Sí",IF(DATOS!BD$5="Sí",(1/DATOS_[[% anualiz]:[% anualiz]]),1)*IF(DATOS!BD$4="Sí",1/DATOS_[[% normaliz]:[% normaliz]],1)*(DATOS_[Conc.Sal.26])))))))),
0)</f>
        <v>0</v>
      </c>
      <c r="AJ47" s="111">
        <f t="array" ref="AJ47">IFERROR(
(MEDIAN((IF(DATOS_[[Sexo]:[Sexo]]=$B47,IF(DATOS_[[AGRUP. CLAS. PROF.]:[AGRUP. CLAS. PROF.]]=$B45,IF(DATOS_[[Check Periodo Ref.]:[Check Periodo Ref.]]="Dentro",IF(DATOS_[[Check Equiparado]:[Check Equiparado]]="Sí",IF(DATOS!BE$5="Sí",(1/DATOS_[[% anualiz]:[% anualiz]]),1)*IF(DATOS!BE$4="Sí",1/DATOS_[[% normaliz]:[% normaliz]],1)*(DATOS_[Conc.Sal.27])))))))),
0)</f>
        <v>0</v>
      </c>
      <c r="AK47" s="111">
        <f t="array" ref="AK47">IFERROR(
(MEDIAN((IF(DATOS_[[Sexo]:[Sexo]]=$B47,IF(DATOS_[[AGRUP. CLAS. PROF.]:[AGRUP. CLAS. PROF.]]=$B45,IF(DATOS_[[Check Periodo Ref.]:[Check Periodo Ref.]]="Dentro",IF(DATOS_[[Check Equiparado]:[Check Equiparado]]="Sí",IF(DATOS!BF$5="Sí",(1/DATOS_[[% anualiz]:[% anualiz]]),1)*IF(DATOS!BF$4="Sí",1/DATOS_[[% normaliz]:[% normaliz]],1)*(DATOS_[Conc.Sal.28])))))))),
0)</f>
        <v>0</v>
      </c>
      <c r="AL47" s="111">
        <f t="array" ref="AL47">IFERROR(
(MEDIAN((IF(DATOS_[[Sexo]:[Sexo]]=$B47,IF(DATOS_[[AGRUP. CLAS. PROF.]:[AGRUP. CLAS. PROF.]]=$B45,IF(DATOS_[[Check Periodo Ref.]:[Check Periodo Ref.]]="Dentro",IF(DATOS_[[Check Equiparado]:[Check Equiparado]]="Sí",IF(DATOS!BG$5="Sí",(1/DATOS_[[% anualiz]:[% anualiz]]),1)*IF(DATOS!BG$4="Sí",1/DATOS_[[% normaliz]:[% normaliz]],1)*(DATOS_[Conc.Sal.29])))))))),
0)</f>
        <v>0</v>
      </c>
      <c r="AM47" s="111">
        <f t="array" ref="AM47">IFERROR(
(MEDIAN((IF(DATOS_[[Sexo]:[Sexo]]=$B47,IF(DATOS_[[AGRUP. CLAS. PROF.]:[AGRUP. CLAS. PROF.]]=$B45,IF(DATOS_[[Check Periodo Ref.]:[Check Periodo Ref.]]="Dentro",IF(DATOS_[[Check Equiparado]:[Check Equiparado]]="Sí",IF(DATOS!BH$5="Sí",(1/DATOS_[[% anualiz]:[% anualiz]]),1)*IF(DATOS!BH$4="Sí",1/DATOS_[[% normaliz]:[% normaliz]],1)*(DATOS_[Conc.Sal.30])))))))),
0)</f>
        <v>0</v>
      </c>
      <c r="AN47" s="112">
        <f t="array" ref="AN47">IFERROR(
MEDIAN(IF(DATOS_[Sexo]=$B47,IF(DATOS_[[AGRUP. CLAS. PROF.]:[AGRUP. CLAS. PROF.]]=$B45,IF(DATOS_[Check Equiparado]="Sí",IF(DATOS_[Check Periodo Ref.]="Dentro",DATOS_[Tot COMPL.SAL Eq],FALSE))))),
0)</f>
        <v>0</v>
      </c>
      <c r="AO47" s="113">
        <f t="array" ref="AO47">IFERROR(
MEDIAN(IF(DATOS_[Sexo]=$B47,IF(DATOS_[[AGRUP. CLAS. PROF.]:[AGRUP. CLAS. PROF.]]=$B45,IF(DATOS_[Check Equiparado]="Sí",IF(DATOS_[Check Periodo Ref.]="Dentro",DATOS_[TOTAL SALARIO Eq],FALSE))))),
0)</f>
        <v>0</v>
      </c>
      <c r="AP47" s="114">
        <f t="array" ref="AP47">IFERROR(
(MEDIAN((IF(DATOS_[[Sexo]:[Sexo]]=$B47,IF(DATOS_[[AGRUP. CLAS. PROF.]:[AGRUP. CLAS. PROF.]]=$B45,IF(DATOS_[[Check Periodo Ref.]:[Check Periodo Ref.]]="Dentro",IF(DATOS_[[Check Equiparado]:[Check Equiparado]]="Sí",IF(DATOS!BI$5="Sí",(1/DATOS_[[% anualiz]:[% anualiz]]),1)*IF(DATOS!BI$4="Sí",1/DATOS_[[% normaliz]:[% normaliz]],1)*(DATOS_[C.Extra.01])))))))),
0)</f>
        <v>0</v>
      </c>
      <c r="AQ47" s="114">
        <f t="array" ref="AQ47">IFERROR(
(MEDIAN((IF(DATOS_[[Sexo]:[Sexo]]=$B47,IF(DATOS_[[AGRUP. CLAS. PROF.]:[AGRUP. CLAS. PROF.]]=$B45,IF(DATOS_[[Check Periodo Ref.]:[Check Periodo Ref.]]="Dentro",IF(DATOS_[[Check Equiparado]:[Check Equiparado]]="Sí",IF(DATOS!BJ$5="Sí",(1/DATOS_[[% anualiz]:[% anualiz]]),1)*IF(DATOS!BJ$4="Sí",1/DATOS_[[% normaliz]:[% normaliz]],1)*(DATOS_[C.Extra.02])))))))),
0)</f>
        <v>0</v>
      </c>
      <c r="AR47" s="114">
        <f t="array" ref="AR47">IFERROR(
(MEDIAN((IF(DATOS_[[Sexo]:[Sexo]]=$B47,IF(DATOS_[[AGRUP. CLAS. PROF.]:[AGRUP. CLAS. PROF.]]=$B45,IF(DATOS_[[Check Periodo Ref.]:[Check Periodo Ref.]]="Dentro",IF(DATOS_[[Check Equiparado]:[Check Equiparado]]="Sí",IF(DATOS!BK$5="Sí",(1/DATOS_[[% anualiz]:[% anualiz]]),1)*IF(DATOS!BK$4="Sí",1/DATOS_[[% normaliz]:[% normaliz]],1)*(DATOS_[C.Extra.03])))))))),
0)</f>
        <v>0</v>
      </c>
      <c r="AS47" s="114">
        <f t="array" ref="AS47">IFERROR(
(MEDIAN((IF(DATOS_[[Sexo]:[Sexo]]=$B47,IF(DATOS_[[AGRUP. CLAS. PROF.]:[AGRUP. CLAS. PROF.]]=$B45,IF(DATOS_[[Check Periodo Ref.]:[Check Periodo Ref.]]="Dentro",IF(DATOS_[[Check Equiparado]:[Check Equiparado]]="Sí",IF(DATOS!BL$5="Sí",(1/DATOS_[[% anualiz]:[% anualiz]]),1)*IF(DATOS!BL$4="Sí",1/DATOS_[[% normaliz]:[% normaliz]],1)*(DATOS_[C.Extra.04])))))))),
0)</f>
        <v>0</v>
      </c>
      <c r="AT47" s="114">
        <f t="array" ref="AT47">IFERROR(
(MEDIAN((IF(DATOS_[[Sexo]:[Sexo]]=$B47,IF(DATOS_[[AGRUP. CLAS. PROF.]:[AGRUP. CLAS. PROF.]]=$B45,IF(DATOS_[[Check Periodo Ref.]:[Check Periodo Ref.]]="Dentro",IF(DATOS_[[Check Equiparado]:[Check Equiparado]]="Sí",IF(DATOS!BM$5="Sí",(1/DATOS_[[% anualiz]:[% anualiz]]),1)*IF(DATOS!BM$4="Sí",1/DATOS_[[% normaliz]:[% normaliz]],1)*(DATOS_[C.Extra.05])))))))),
0)</f>
        <v>0</v>
      </c>
      <c r="AU47" s="115">
        <f t="array" ref="AU47">IFERROR(
MEDIAN(IF(DATOS_[Sexo]=$B47,IF(DATOS_[[AGRUP. CLAS. PROF.]:[AGRUP. CLAS. PROF.]]=$B45,IF(DATOS_[Check Equiparado]="Sí",IF(DATOS_[Check Periodo Ref.]="Dentro",DATOS_[Tot Extrasalarial Eq],FALSE))))),
0)</f>
        <v>0</v>
      </c>
      <c r="AV47" s="116">
        <f t="array" ref="AV47">IFERROR(
MEDIAN(IF(DATOS_[Sexo]=$B47,IF(DATOS_[[AGRUP. CLAS. PROF.]:[AGRUP. CLAS. PROF.]]=$B45,IF(DATOS_[Check Equiparado]="Sí",IF(DATOS_[Check Periodo Ref.]="Dentro",DATOS_[TOTAL Retrib Eq],FALSE))))),
0)</f>
        <v>0</v>
      </c>
    </row>
    <row r="48" spans="1:48" ht="17.25" hidden="1" thickBot="1" x14ac:dyDescent="0.35">
      <c r="A48" s="42" t="str">
        <f t="shared" ref="A48" si="47">+A49</f>
        <v>[ocultar]</v>
      </c>
      <c r="B48" s="90" t="s">
        <v>228</v>
      </c>
      <c r="C48" s="109"/>
      <c r="D48" s="41"/>
      <c r="E48" s="41"/>
      <c r="F48" s="41"/>
      <c r="G48" s="41"/>
      <c r="H48" s="41"/>
      <c r="I48" s="119" t="str">
        <f t="shared" ref="I48:AV48" si="48">IFERROR((I49-I50)/I49,"")</f>
        <v/>
      </c>
      <c r="J48" s="123" t="str">
        <f t="shared" si="48"/>
        <v/>
      </c>
      <c r="K48" s="123" t="str">
        <f t="shared" si="48"/>
        <v/>
      </c>
      <c r="L48" s="123" t="str">
        <f t="shared" si="48"/>
        <v/>
      </c>
      <c r="M48" s="123" t="str">
        <f t="shared" si="48"/>
        <v/>
      </c>
      <c r="N48" s="123" t="str">
        <f t="shared" si="48"/>
        <v/>
      </c>
      <c r="O48" s="123" t="str">
        <f t="shared" si="48"/>
        <v/>
      </c>
      <c r="P48" s="123" t="str">
        <f t="shared" si="48"/>
        <v/>
      </c>
      <c r="Q48" s="123" t="str">
        <f t="shared" si="48"/>
        <v/>
      </c>
      <c r="R48" s="123" t="str">
        <f t="shared" si="48"/>
        <v/>
      </c>
      <c r="S48" s="123" t="str">
        <f t="shared" si="48"/>
        <v/>
      </c>
      <c r="T48" s="123" t="str">
        <f t="shared" si="48"/>
        <v/>
      </c>
      <c r="U48" s="123" t="str">
        <f t="shared" si="48"/>
        <v/>
      </c>
      <c r="V48" s="123" t="str">
        <f t="shared" si="48"/>
        <v/>
      </c>
      <c r="W48" s="123" t="str">
        <f t="shared" si="48"/>
        <v/>
      </c>
      <c r="X48" s="123" t="str">
        <f t="shared" si="48"/>
        <v/>
      </c>
      <c r="Y48" s="123" t="str">
        <f t="shared" si="48"/>
        <v/>
      </c>
      <c r="Z48" s="122" t="str">
        <f t="shared" si="48"/>
        <v/>
      </c>
      <c r="AA48" s="122" t="str">
        <f t="shared" si="48"/>
        <v/>
      </c>
      <c r="AB48" s="122" t="str">
        <f t="shared" si="48"/>
        <v/>
      </c>
      <c r="AC48" s="122" t="str">
        <f t="shared" si="48"/>
        <v/>
      </c>
      <c r="AD48" s="122" t="str">
        <f t="shared" si="48"/>
        <v/>
      </c>
      <c r="AE48" s="122" t="str">
        <f t="shared" si="48"/>
        <v/>
      </c>
      <c r="AF48" s="122" t="str">
        <f t="shared" si="48"/>
        <v/>
      </c>
      <c r="AG48" s="122" t="str">
        <f t="shared" si="48"/>
        <v/>
      </c>
      <c r="AH48" s="122" t="str">
        <f t="shared" si="48"/>
        <v/>
      </c>
      <c r="AI48" s="122" t="str">
        <f t="shared" si="48"/>
        <v/>
      </c>
      <c r="AJ48" s="122" t="str">
        <f t="shared" si="48"/>
        <v/>
      </c>
      <c r="AK48" s="122" t="str">
        <f t="shared" si="48"/>
        <v/>
      </c>
      <c r="AL48" s="122" t="str">
        <f t="shared" si="48"/>
        <v/>
      </c>
      <c r="AM48" s="122" t="str">
        <f t="shared" si="48"/>
        <v/>
      </c>
      <c r="AN48" s="124" t="str">
        <f t="shared" si="48"/>
        <v/>
      </c>
      <c r="AO48" s="128" t="str">
        <f t="shared" si="48"/>
        <v/>
      </c>
      <c r="AP48" s="125" t="str">
        <f t="shared" si="48"/>
        <v/>
      </c>
      <c r="AQ48" s="125" t="str">
        <f t="shared" si="48"/>
        <v/>
      </c>
      <c r="AR48" s="125" t="str">
        <f t="shared" si="48"/>
        <v/>
      </c>
      <c r="AS48" s="125" t="str">
        <f t="shared" si="48"/>
        <v/>
      </c>
      <c r="AT48" s="125" t="str">
        <f t="shared" si="48"/>
        <v/>
      </c>
      <c r="AU48" s="126" t="str">
        <f t="shared" si="48"/>
        <v/>
      </c>
      <c r="AV48" s="127" t="str">
        <f t="shared" si="48"/>
        <v/>
      </c>
    </row>
    <row r="49" spans="1:48" hidden="1" x14ac:dyDescent="0.3">
      <c r="A49" s="42" t="str">
        <f t="shared" ref="A49" si="49">+IF(C49+C50=0,"[ocultar]","")</f>
        <v>[ocultar]</v>
      </c>
      <c r="B49" s="86" t="s">
        <v>162</v>
      </c>
      <c r="C49" s="33">
        <f t="array" ref="C49">SUM(IF($B49=DATOS_[Sexo],
IF($B48=DATOS_[AGRUP. CLAS. PROF.],
IF("Dentro"=DATOS_[Check Periodo Ref.],
1/(COUNTIFS(DATOS_[Sexo],$B49,DATOS_[AGRUP. CLAS. PROF.],$B48,DATOS_[Check Periodo Ref.],"Dentro",DATOS_[id],DATOS_[id]))))))</f>
        <v>0</v>
      </c>
      <c r="D49" s="35">
        <f>COUNTIFS(DATOS_[AGRUP. CLAS. PROF.],$B48,DATOS_[Sexo],$B49,DATOS_[Check Periodo Ref.],"Dentro")</f>
        <v>0</v>
      </c>
      <c r="E49" s="35">
        <f>COUNTIFS(DATOS_[AGRUP. CLAS. PROF.],$B48,DATOS_[Sexo],$B49,DATOS_[Check Periodo Ref.],"Dentro",DATOS_[Check Nº SC Norm],"Sí")</f>
        <v>0</v>
      </c>
      <c r="F49" s="35">
        <f>COUNTIFS(DATOS_[AGRUP. CLAS. PROF.],$B48,DATOS_[Sexo],$B49,DATOS_[Check Periodo Ref.],"Dentro",DATOS_[Check Nº SC Anualiz],"Sí")</f>
        <v>0</v>
      </c>
      <c r="G49" s="35">
        <f>COUNTIFS(DATOS_[AGRUP. CLAS. PROF.],$B48,DATOS_[Sexo],$B49,DATOS_[Check Periodo Ref.],"Dentro",DATOS_[Check Nº SC Norm y Anualiz],"Sí")</f>
        <v>0</v>
      </c>
      <c r="H49" s="35">
        <f>COUNTIFS(DATOS_[AGRUP. CLAS. PROF.],$B48,DATOS_[Sexo],$B49,DATOS_[Check Periodo Ref.],"Dentro",DATOS_[Check Equiparación],"Sí")</f>
        <v>0</v>
      </c>
      <c r="I49" s="110">
        <f t="array" ref="I49">IFERROR(
MEDIAN(IF(DATOS_[Sexo]=$B49,IF(DATOS_[[AGRUP. CLAS. PROF.]:[AGRUP. CLAS. PROF.]]=$B48,IF(DATOS_[Check Equiparado]="Sí",IF(DATOS_[Check Periodo Ref.]="Dentro",DATOS_[SALARIO BASE Eq],FALSE))))),
0)</f>
        <v>0</v>
      </c>
      <c r="J49" s="111">
        <f t="array" ref="J49">IFERROR(
(MEDIAN((IF(DATOS_[[Sexo]:[Sexo]]=$B49,IF(DATOS_[[AGRUP. CLAS. PROF.]:[AGRUP. CLAS. PROF.]]=$B48,IF(DATOS_[[Check Periodo Ref.]:[Check Periodo Ref.]]="Dentro",IF(DATOS_[[Check Equiparado]:[Check Equiparado]]="Sí",IF(DATOS!AE$5="Sí",(1/DATOS_[[% anualiz]:[% anualiz]]),1)*IF(DATOS!AE$4="Sí",1/DATOS_[[% normaliz]:[% normaliz]],1)*(DATOS_[Conc.Sal.01])))))))),
0)</f>
        <v>0</v>
      </c>
      <c r="K49" s="111">
        <f t="array" ref="K49">IFERROR(
(MEDIAN((IF(DATOS_[[Sexo]:[Sexo]]=$B49,IF(DATOS_[[AGRUP. CLAS. PROF.]:[AGRUP. CLAS. PROF.]]=$B48,IF(DATOS_[[Check Periodo Ref.]:[Check Periodo Ref.]]="Dentro",IF(DATOS_[[Check Equiparado]:[Check Equiparado]]="Sí",IF(DATOS!AF$5="Sí",(1/DATOS_[[% anualiz]:[% anualiz]]),1)*IF(DATOS!AF$4="Sí",1/DATOS_[[% normaliz]:[% normaliz]],1)*(DATOS_[Conc.Sal.02])))))))),
0)</f>
        <v>0</v>
      </c>
      <c r="L49" s="111">
        <f t="array" ref="L49">IFERROR(
(MEDIAN((IF(DATOS_[[Sexo]:[Sexo]]=$B49,IF(DATOS_[[AGRUP. CLAS. PROF.]:[AGRUP. CLAS. PROF.]]=$B48,IF(DATOS_[[Check Periodo Ref.]:[Check Periodo Ref.]]="Dentro",IF(DATOS_[[Check Equiparado]:[Check Equiparado]]="Sí",IF(DATOS!AG$5="Sí",(1/DATOS_[[% anualiz]:[% anualiz]]),1)*IF(DATOS!AG$4="Sí",1/DATOS_[[% normaliz]:[% normaliz]],1)*(DATOS_[Conc.Sal.03])))))))),
0)</f>
        <v>0</v>
      </c>
      <c r="M49" s="111">
        <f t="array" ref="M49">IFERROR(
(MEDIAN((IF(DATOS_[[Sexo]:[Sexo]]=$B49,IF(DATOS_[[AGRUP. CLAS. PROF.]:[AGRUP. CLAS. PROF.]]=$B48,IF(DATOS_[[Check Periodo Ref.]:[Check Periodo Ref.]]="Dentro",IF(DATOS_[[Check Equiparado]:[Check Equiparado]]="Sí",IF(DATOS!AH$5="Sí",(1/DATOS_[[% anualiz]:[% anualiz]]),1)*IF(DATOS!AH$4="Sí",1/DATOS_[[% normaliz]:[% normaliz]],1)*(DATOS_[Conc.Sal.04])))))))),
0)</f>
        <v>0</v>
      </c>
      <c r="N49" s="111">
        <f t="array" ref="N49">IFERROR(
(MEDIAN((IF(DATOS_[[Sexo]:[Sexo]]=$B49,IF(DATOS_[[AGRUP. CLAS. PROF.]:[AGRUP. CLAS. PROF.]]=$B48,IF(DATOS_[[Check Periodo Ref.]:[Check Periodo Ref.]]="Dentro",IF(DATOS_[[Check Equiparado]:[Check Equiparado]]="Sí",IF(DATOS!AI$5="Sí",(1/DATOS_[[% anualiz]:[% anualiz]]),1)*IF(DATOS!AI$4="Sí",1/DATOS_[[% normaliz]:[% normaliz]],1)*(DATOS_[Conc.Sal.05])))))))),
0)</f>
        <v>0</v>
      </c>
      <c r="O49" s="111">
        <f t="array" ref="O49">IFERROR(
(MEDIAN((IF(DATOS_[[Sexo]:[Sexo]]=$B49,IF(DATOS_[[AGRUP. CLAS. PROF.]:[AGRUP. CLAS. PROF.]]=$B48,IF(DATOS_[[Check Periodo Ref.]:[Check Periodo Ref.]]="Dentro",IF(DATOS_[[Check Equiparado]:[Check Equiparado]]="Sí",IF(DATOS!AJ$5="Sí",(1/DATOS_[[% anualiz]:[% anualiz]]),1)*IF(DATOS!AJ$4="Sí",1/DATOS_[[% normaliz]:[% normaliz]],1)*(DATOS_[Conc.Sal.06])))))))),
0)</f>
        <v>0</v>
      </c>
      <c r="P49" s="111">
        <f t="array" ref="P49">IFERROR(
(MEDIAN((IF(DATOS_[[Sexo]:[Sexo]]=$B49,IF(DATOS_[[AGRUP. CLAS. PROF.]:[AGRUP. CLAS. PROF.]]=$B48,IF(DATOS_[[Check Periodo Ref.]:[Check Periodo Ref.]]="Dentro",IF(DATOS_[[Check Equiparado]:[Check Equiparado]]="Sí",IF(DATOS!AK$5="Sí",(1/DATOS_[[% anualiz]:[% anualiz]]),1)*IF(DATOS!AK$4="Sí",1/DATOS_[[% normaliz]:[% normaliz]],1)*(DATOS_[Conc.Sal.07])))))))),
0)</f>
        <v>0</v>
      </c>
      <c r="Q49" s="111">
        <f t="array" ref="Q49">IFERROR(
(MEDIAN((IF(DATOS_[[Sexo]:[Sexo]]=$B49,IF(DATOS_[[AGRUP. CLAS. PROF.]:[AGRUP. CLAS. PROF.]]=$B48,IF(DATOS_[[Check Periodo Ref.]:[Check Periodo Ref.]]="Dentro",IF(DATOS_[[Check Equiparado]:[Check Equiparado]]="Sí",IF(DATOS!AL$5="Sí",(1/DATOS_[[% anualiz]:[% anualiz]]),1)*IF(DATOS!AL$4="Sí",1/DATOS_[[% normaliz]:[% normaliz]],1)*(DATOS_[Conc.Sal.08])))))))),
0)</f>
        <v>0</v>
      </c>
      <c r="R49" s="111">
        <f t="array" ref="R49">IFERROR(
(MEDIAN((IF(DATOS_[[Sexo]:[Sexo]]=$B49,IF(DATOS_[[AGRUP. CLAS. PROF.]:[AGRUP. CLAS. PROF.]]=$B48,IF(DATOS_[[Check Periodo Ref.]:[Check Periodo Ref.]]="Dentro",IF(DATOS_[[Check Equiparado]:[Check Equiparado]]="Sí",IF(DATOS!AM$5="Sí",(1/DATOS_[[% anualiz]:[% anualiz]]),1)*IF(DATOS!AM$4="Sí",1/DATOS_[[% normaliz]:[% normaliz]],1)*(DATOS_[Conc.Sal.09])))))))),
0)</f>
        <v>0</v>
      </c>
      <c r="S49" s="111">
        <f t="array" ref="S49">IFERROR(
(MEDIAN((IF(DATOS_[[Sexo]:[Sexo]]=$B49,IF(DATOS_[[AGRUP. CLAS. PROF.]:[AGRUP. CLAS. PROF.]]=$B48,IF(DATOS_[[Check Periodo Ref.]:[Check Periodo Ref.]]="Dentro",IF(DATOS_[[Check Equiparado]:[Check Equiparado]]="Sí",IF(DATOS!AN$5="Sí",(1/DATOS_[[% anualiz]:[% anualiz]]),1)*IF(DATOS!AN$4="Sí",1/DATOS_[[% normaliz]:[% normaliz]],1)*(DATOS_[Conc.Sal.10])))))))),
0)</f>
        <v>0</v>
      </c>
      <c r="T49" s="111">
        <f t="array" ref="T49">IFERROR(
(MEDIAN((IF(DATOS_[[Sexo]:[Sexo]]=$B49,IF(DATOS_[[AGRUP. CLAS. PROF.]:[AGRUP. CLAS. PROF.]]=$B48,IF(DATOS_[[Check Periodo Ref.]:[Check Periodo Ref.]]="Dentro",IF(DATOS_[[Check Equiparado]:[Check Equiparado]]="Sí",IF(DATOS!AO$5="Sí",(1/DATOS_[[% anualiz]:[% anualiz]]),1)*IF(DATOS!AO$4="Sí",1/DATOS_[[% normaliz]:[% normaliz]],1)*(DATOS_[Conc.Sal.11])))))))),
0)</f>
        <v>0</v>
      </c>
      <c r="U49" s="111">
        <f t="array" ref="U49">IFERROR(
(MEDIAN((IF(DATOS_[[Sexo]:[Sexo]]=$B49,IF(DATOS_[[AGRUP. CLAS. PROF.]:[AGRUP. CLAS. PROF.]]=$B48,IF(DATOS_[[Check Periodo Ref.]:[Check Periodo Ref.]]="Dentro",IF(DATOS_[[Check Equiparado]:[Check Equiparado]]="Sí",IF(DATOS!AP$5="Sí",(1/DATOS_[[% anualiz]:[% anualiz]]),1)*IF(DATOS!AP$4="Sí",1/DATOS_[[% normaliz]:[% normaliz]],1)*(DATOS_[Conc.Sal.12])))))))),
0)</f>
        <v>0</v>
      </c>
      <c r="V49" s="111">
        <f t="array" ref="V49">IFERROR(
(MEDIAN((IF(DATOS_[[Sexo]:[Sexo]]=$B49,IF(DATOS_[[AGRUP. CLAS. PROF.]:[AGRUP. CLAS. PROF.]]=$B48,IF(DATOS_[[Check Periodo Ref.]:[Check Periodo Ref.]]="Dentro",IF(DATOS_[[Check Equiparado]:[Check Equiparado]]="Sí",IF(DATOS!AQ$5="Sí",(1/DATOS_[[% anualiz]:[% anualiz]]),1)*IF(DATOS!AQ$4="Sí",1/DATOS_[[% normaliz]:[% normaliz]],1)*(DATOS_[Conc.Sal.13])))))))),
0)</f>
        <v>0</v>
      </c>
      <c r="W49" s="111">
        <f t="array" ref="W49">IFERROR(
(MEDIAN((IF(DATOS_[[Sexo]:[Sexo]]=$B49,IF(DATOS_[[AGRUP. CLAS. PROF.]:[AGRUP. CLAS. PROF.]]=$B48,IF(DATOS_[[Check Periodo Ref.]:[Check Periodo Ref.]]="Dentro",IF(DATOS_[[Check Equiparado]:[Check Equiparado]]="Sí",IF(DATOS!AR$5="Sí",(1/DATOS_[[% anualiz]:[% anualiz]]),1)*IF(DATOS!AR$4="Sí",1/DATOS_[[% normaliz]:[% normaliz]],1)*(DATOS_[Conc.Sal.14])))))))),
0)</f>
        <v>0</v>
      </c>
      <c r="X49" s="111">
        <f t="array" ref="X49">IFERROR(
(MEDIAN((IF(DATOS_[[Sexo]:[Sexo]]=$B49,IF(DATOS_[[AGRUP. CLAS. PROF.]:[AGRUP. CLAS. PROF.]]=$B48,IF(DATOS_[[Check Periodo Ref.]:[Check Periodo Ref.]]="Dentro",IF(DATOS_[[Check Equiparado]:[Check Equiparado]]="Sí",IF(DATOS!AS$5="Sí",(1/DATOS_[[% anualiz]:[% anualiz]]),1)*IF(DATOS!AS$4="Sí",1/DATOS_[[% normaliz]:[% normaliz]],1)*(DATOS_[Conc.Sal.15])))))))),
0)</f>
        <v>0</v>
      </c>
      <c r="Y49" s="111">
        <f t="array" ref="Y49">IFERROR(
(MEDIAN((IF(DATOS_[[Sexo]:[Sexo]]=$B49,IF(DATOS_[[AGRUP. CLAS. PROF.]:[AGRUP. CLAS. PROF.]]=$B48,IF(DATOS_[[Check Periodo Ref.]:[Check Periodo Ref.]]="Dentro",IF(DATOS_[[Check Equiparado]:[Check Equiparado]]="Sí",IF(DATOS!AT$5="Sí",(1/DATOS_[[% anualiz]:[% anualiz]]),1)*IF(DATOS!AT$4="Sí",1/DATOS_[[% normaliz]:[% normaliz]],1)*(DATOS_[Conc.Sal.16])))))))),
0)</f>
        <v>0</v>
      </c>
      <c r="Z49" s="111">
        <f t="array" ref="Z49">IFERROR(
(MEDIAN((IF(DATOS_[[Sexo]:[Sexo]]=$B49,IF(DATOS_[[AGRUP. CLAS. PROF.]:[AGRUP. CLAS. PROF.]]=$B48,IF(DATOS_[[Check Periodo Ref.]:[Check Periodo Ref.]]="Dentro",IF(DATOS_[[Check Equiparado]:[Check Equiparado]]="Sí",IF(DATOS!AU$5="Sí",(1/DATOS_[[% anualiz]:[% anualiz]]),1)*IF(DATOS!AU$4="Sí",1/DATOS_[[% normaliz]:[% normaliz]],1)*(DATOS_[Conc.Sal.17])))))))),
0)</f>
        <v>0</v>
      </c>
      <c r="AA49" s="111">
        <f t="array" ref="AA49">IFERROR(
(MEDIAN((IF(DATOS_[[Sexo]:[Sexo]]=$B49,IF(DATOS_[[AGRUP. CLAS. PROF.]:[AGRUP. CLAS. PROF.]]=$B48,IF(DATOS_[[Check Periodo Ref.]:[Check Periodo Ref.]]="Dentro",IF(DATOS_[[Check Equiparado]:[Check Equiparado]]="Sí",IF(DATOS!AV$5="Sí",(1/DATOS_[[% anualiz]:[% anualiz]]),1)*IF(DATOS!AV$4="Sí",1/DATOS_[[% normaliz]:[% normaliz]],1)*(DATOS_[Conc.Sal.18])))))))),
0)</f>
        <v>0</v>
      </c>
      <c r="AB49" s="111">
        <f t="array" ref="AB49">IFERROR(
(MEDIAN((IF(DATOS_[[Sexo]:[Sexo]]=$B49,IF(DATOS_[[AGRUP. CLAS. PROF.]:[AGRUP. CLAS. PROF.]]=$B48,IF(DATOS_[[Check Periodo Ref.]:[Check Periodo Ref.]]="Dentro",IF(DATOS_[[Check Equiparado]:[Check Equiparado]]="Sí",IF(DATOS!AW$5="Sí",(1/DATOS_[[% anualiz]:[% anualiz]]),1)*IF(DATOS!AW$4="Sí",1/DATOS_[[% normaliz]:[% normaliz]],1)*(DATOS_[Conc.Sal.19])))))))),
0)</f>
        <v>0</v>
      </c>
      <c r="AC49" s="111">
        <f t="array" ref="AC49">IFERROR(
(MEDIAN((IF(DATOS_[[Sexo]:[Sexo]]=$B49,IF(DATOS_[[AGRUP. CLAS. PROF.]:[AGRUP. CLAS. PROF.]]=$B48,IF(DATOS_[[Check Periodo Ref.]:[Check Periodo Ref.]]="Dentro",IF(DATOS_[[Check Equiparado]:[Check Equiparado]]="Sí",IF(DATOS!AX$5="Sí",(1/DATOS_[[% anualiz]:[% anualiz]]),1)*IF(DATOS!AX$4="Sí",1/DATOS_[[% normaliz]:[% normaliz]],1)*(DATOS_[Conc.Sal.20])))))))),
0)</f>
        <v>0</v>
      </c>
      <c r="AD49" s="111">
        <f t="array" ref="AD49">IFERROR(
(MEDIAN((IF(DATOS_[[Sexo]:[Sexo]]=$B49,IF(DATOS_[[AGRUP. CLAS. PROF.]:[AGRUP. CLAS. PROF.]]=$B48,IF(DATOS_[[Check Periodo Ref.]:[Check Periodo Ref.]]="Dentro",IF(DATOS_[[Check Equiparado]:[Check Equiparado]]="Sí",IF(DATOS!AY$5="Sí",(1/DATOS_[[% anualiz]:[% anualiz]]),1)*IF(DATOS!AY$4="Sí",1/DATOS_[[% normaliz]:[% normaliz]],1)*(DATOS_[Conc.Sal.21])))))))),
0)</f>
        <v>0</v>
      </c>
      <c r="AE49" s="111">
        <f t="array" ref="AE49">IFERROR(
(MEDIAN((IF(DATOS_[[Sexo]:[Sexo]]=$B49,IF(DATOS_[[AGRUP. CLAS. PROF.]:[AGRUP. CLAS. PROF.]]=$B48,IF(DATOS_[[Check Periodo Ref.]:[Check Periodo Ref.]]="Dentro",IF(DATOS_[[Check Equiparado]:[Check Equiparado]]="Sí",IF(DATOS!AZ$5="Sí",(1/DATOS_[[% anualiz]:[% anualiz]]),1)*IF(DATOS!AZ$4="Sí",1/DATOS_[[% normaliz]:[% normaliz]],1)*(DATOS_[Conc.Sal.22])))))))),
0)</f>
        <v>0</v>
      </c>
      <c r="AF49" s="111">
        <f t="array" ref="AF49">IFERROR(
(MEDIAN((IF(DATOS_[[Sexo]:[Sexo]]=$B49,IF(DATOS_[[AGRUP. CLAS. PROF.]:[AGRUP. CLAS. PROF.]]=$B48,IF(DATOS_[[Check Periodo Ref.]:[Check Periodo Ref.]]="Dentro",IF(DATOS_[[Check Equiparado]:[Check Equiparado]]="Sí",IF(DATOS!BA$5="Sí",(1/DATOS_[[% anualiz]:[% anualiz]]),1)*IF(DATOS!BA$4="Sí",1/DATOS_[[% normaliz]:[% normaliz]],1)*(DATOS_[Conc.Sal.23])))))))),
0)</f>
        <v>0</v>
      </c>
      <c r="AG49" s="111">
        <f t="array" ref="AG49">IFERROR(
(MEDIAN((IF(DATOS_[[Sexo]:[Sexo]]=$B49,IF(DATOS_[[AGRUP. CLAS. PROF.]:[AGRUP. CLAS. PROF.]]=$B48,IF(DATOS_[[Check Periodo Ref.]:[Check Periodo Ref.]]="Dentro",IF(DATOS_[[Check Equiparado]:[Check Equiparado]]="Sí",IF(DATOS!BB$5="Sí",(1/DATOS_[[% anualiz]:[% anualiz]]),1)*IF(DATOS!BB$4="Sí",1/DATOS_[[% normaliz]:[% normaliz]],1)*(DATOS_[Conc.Sal.24])))))))),
0)</f>
        <v>0</v>
      </c>
      <c r="AH49" s="111">
        <f t="array" ref="AH49">IFERROR(
(MEDIAN((IF(DATOS_[[Sexo]:[Sexo]]=$B49,IF(DATOS_[[AGRUP. CLAS. PROF.]:[AGRUP. CLAS. PROF.]]=$B48,IF(DATOS_[[Check Periodo Ref.]:[Check Periodo Ref.]]="Dentro",IF(DATOS_[[Check Equiparado]:[Check Equiparado]]="Sí",IF(DATOS!BC$5="Sí",(1/DATOS_[[% anualiz]:[% anualiz]]),1)*IF(DATOS!BC$4="Sí",1/DATOS_[[% normaliz]:[% normaliz]],1)*(DATOS_[Conc.Sal.25])))))))),
0)</f>
        <v>0</v>
      </c>
      <c r="AI49" s="111">
        <f t="array" ref="AI49">IFERROR(
(MEDIAN((IF(DATOS_[[Sexo]:[Sexo]]=$B49,IF(DATOS_[[AGRUP. CLAS. PROF.]:[AGRUP. CLAS. PROF.]]=$B48,IF(DATOS_[[Check Periodo Ref.]:[Check Periodo Ref.]]="Dentro",IF(DATOS_[[Check Equiparado]:[Check Equiparado]]="Sí",IF(DATOS!BD$5="Sí",(1/DATOS_[[% anualiz]:[% anualiz]]),1)*IF(DATOS!BD$4="Sí",1/DATOS_[[% normaliz]:[% normaliz]],1)*(DATOS_[Conc.Sal.26])))))))),
0)</f>
        <v>0</v>
      </c>
      <c r="AJ49" s="111">
        <f t="array" ref="AJ49">IFERROR(
(MEDIAN((IF(DATOS_[[Sexo]:[Sexo]]=$B49,IF(DATOS_[[AGRUP. CLAS. PROF.]:[AGRUP. CLAS. PROF.]]=$B48,IF(DATOS_[[Check Periodo Ref.]:[Check Periodo Ref.]]="Dentro",IF(DATOS_[[Check Equiparado]:[Check Equiparado]]="Sí",IF(DATOS!BE$5="Sí",(1/DATOS_[[% anualiz]:[% anualiz]]),1)*IF(DATOS!BE$4="Sí",1/DATOS_[[% normaliz]:[% normaliz]],1)*(DATOS_[Conc.Sal.27])))))))),
0)</f>
        <v>0</v>
      </c>
      <c r="AK49" s="111">
        <f t="array" ref="AK49">IFERROR(
(MEDIAN((IF(DATOS_[[Sexo]:[Sexo]]=$B49,IF(DATOS_[[AGRUP. CLAS. PROF.]:[AGRUP. CLAS. PROF.]]=$B48,IF(DATOS_[[Check Periodo Ref.]:[Check Periodo Ref.]]="Dentro",IF(DATOS_[[Check Equiparado]:[Check Equiparado]]="Sí",IF(DATOS!BF$5="Sí",(1/DATOS_[[% anualiz]:[% anualiz]]),1)*IF(DATOS!BF$4="Sí",1/DATOS_[[% normaliz]:[% normaliz]],1)*(DATOS_[Conc.Sal.28])))))))),
0)</f>
        <v>0</v>
      </c>
      <c r="AL49" s="111">
        <f t="array" ref="AL49">IFERROR(
(MEDIAN((IF(DATOS_[[Sexo]:[Sexo]]=$B49,IF(DATOS_[[AGRUP. CLAS. PROF.]:[AGRUP. CLAS. PROF.]]=$B48,IF(DATOS_[[Check Periodo Ref.]:[Check Periodo Ref.]]="Dentro",IF(DATOS_[[Check Equiparado]:[Check Equiparado]]="Sí",IF(DATOS!BG$5="Sí",(1/DATOS_[[% anualiz]:[% anualiz]]),1)*IF(DATOS!BG$4="Sí",1/DATOS_[[% normaliz]:[% normaliz]],1)*(DATOS_[Conc.Sal.29])))))))),
0)</f>
        <v>0</v>
      </c>
      <c r="AM49" s="111">
        <f t="array" ref="AM49">IFERROR(
(MEDIAN((IF(DATOS_[[Sexo]:[Sexo]]=$B49,IF(DATOS_[[AGRUP. CLAS. PROF.]:[AGRUP. CLAS. PROF.]]=$B48,IF(DATOS_[[Check Periodo Ref.]:[Check Periodo Ref.]]="Dentro",IF(DATOS_[[Check Equiparado]:[Check Equiparado]]="Sí",IF(DATOS!BH$5="Sí",(1/DATOS_[[% anualiz]:[% anualiz]]),1)*IF(DATOS!BH$4="Sí",1/DATOS_[[% normaliz]:[% normaliz]],1)*(DATOS_[Conc.Sal.30])))))))),
0)</f>
        <v>0</v>
      </c>
      <c r="AN49" s="112">
        <f t="array" ref="AN49">IFERROR(
MEDIAN(IF(DATOS_[Sexo]=$B49,IF(DATOS_[[AGRUP. CLAS. PROF.]:[AGRUP. CLAS. PROF.]]=$B48,IF(DATOS_[Check Equiparado]="Sí",IF(DATOS_[Check Periodo Ref.]="Dentro",DATOS_[Tot COMPL.SAL Eq],FALSE))))),
0)</f>
        <v>0</v>
      </c>
      <c r="AO49" s="113">
        <f t="array" ref="AO49">IFERROR(
MEDIAN(IF(DATOS_[Sexo]=$B49,IF(DATOS_[[AGRUP. CLAS. PROF.]:[AGRUP. CLAS. PROF.]]=$B48,IF(DATOS_[Check Equiparado]="Sí",IF(DATOS_[Check Periodo Ref.]="Dentro",DATOS_[TOTAL SALARIO Eq],FALSE))))),
0)</f>
        <v>0</v>
      </c>
      <c r="AP49" s="114">
        <f t="array" ref="AP49">IFERROR(
(MEDIAN((IF(DATOS_[[Sexo]:[Sexo]]=$B49,IF(DATOS_[[AGRUP. CLAS. PROF.]:[AGRUP. CLAS. PROF.]]=$B48,IF(DATOS_[[Check Periodo Ref.]:[Check Periodo Ref.]]="Dentro",IF(DATOS_[[Check Equiparado]:[Check Equiparado]]="Sí",IF(DATOS!BI$5="Sí",(1/DATOS_[[% anualiz]:[% anualiz]]),1)*IF(DATOS!BI$4="Sí",1/DATOS_[[% normaliz]:[% normaliz]],1)*(DATOS_[C.Extra.01])))))))),
0)</f>
        <v>0</v>
      </c>
      <c r="AQ49" s="114">
        <f t="array" ref="AQ49">IFERROR(
(MEDIAN((IF(DATOS_[[Sexo]:[Sexo]]=$B49,IF(DATOS_[[AGRUP. CLAS. PROF.]:[AGRUP. CLAS. PROF.]]=$B48,IF(DATOS_[[Check Periodo Ref.]:[Check Periodo Ref.]]="Dentro",IF(DATOS_[[Check Equiparado]:[Check Equiparado]]="Sí",IF(DATOS!BJ$5="Sí",(1/DATOS_[[% anualiz]:[% anualiz]]),1)*IF(DATOS!BJ$4="Sí",1/DATOS_[[% normaliz]:[% normaliz]],1)*(DATOS_[C.Extra.02])))))))),
0)</f>
        <v>0</v>
      </c>
      <c r="AR49" s="114">
        <f t="array" ref="AR49">IFERROR(
(MEDIAN((IF(DATOS_[[Sexo]:[Sexo]]=$B49,IF(DATOS_[[AGRUP. CLAS. PROF.]:[AGRUP. CLAS. PROF.]]=$B48,IF(DATOS_[[Check Periodo Ref.]:[Check Periodo Ref.]]="Dentro",IF(DATOS_[[Check Equiparado]:[Check Equiparado]]="Sí",IF(DATOS!BK$5="Sí",(1/DATOS_[[% anualiz]:[% anualiz]]),1)*IF(DATOS!BK$4="Sí",1/DATOS_[[% normaliz]:[% normaliz]],1)*(DATOS_[C.Extra.03])))))))),
0)</f>
        <v>0</v>
      </c>
      <c r="AS49" s="114">
        <f t="array" ref="AS49">IFERROR(
(MEDIAN((IF(DATOS_[[Sexo]:[Sexo]]=$B49,IF(DATOS_[[AGRUP. CLAS. PROF.]:[AGRUP. CLAS. PROF.]]=$B48,IF(DATOS_[[Check Periodo Ref.]:[Check Periodo Ref.]]="Dentro",IF(DATOS_[[Check Equiparado]:[Check Equiparado]]="Sí",IF(DATOS!BL$5="Sí",(1/DATOS_[[% anualiz]:[% anualiz]]),1)*IF(DATOS!BL$4="Sí",1/DATOS_[[% normaliz]:[% normaliz]],1)*(DATOS_[C.Extra.04])))))))),
0)</f>
        <v>0</v>
      </c>
      <c r="AT49" s="114">
        <f t="array" ref="AT49">IFERROR(
(MEDIAN((IF(DATOS_[[Sexo]:[Sexo]]=$B49,IF(DATOS_[[AGRUP. CLAS. PROF.]:[AGRUP. CLAS. PROF.]]=$B48,IF(DATOS_[[Check Periodo Ref.]:[Check Periodo Ref.]]="Dentro",IF(DATOS_[[Check Equiparado]:[Check Equiparado]]="Sí",IF(DATOS!BM$5="Sí",(1/DATOS_[[% anualiz]:[% anualiz]]),1)*IF(DATOS!BM$4="Sí",1/DATOS_[[% normaliz]:[% normaliz]],1)*(DATOS_[C.Extra.05])))))))),
0)</f>
        <v>0</v>
      </c>
      <c r="AU49" s="115">
        <f t="array" ref="AU49">IFERROR(
MEDIAN(IF(DATOS_[Sexo]=$B49,IF(DATOS_[[AGRUP. CLAS. PROF.]:[AGRUP. CLAS. PROF.]]=$B48,IF(DATOS_[Check Equiparado]="Sí",IF(DATOS_[Check Periodo Ref.]="Dentro",DATOS_[Tot Extrasalarial Eq],FALSE))))),
0)</f>
        <v>0</v>
      </c>
      <c r="AV49" s="116">
        <f t="array" ref="AV49">IFERROR(
MEDIAN(IF(DATOS_[Sexo]=$B49,IF(DATOS_[[AGRUP. CLAS. PROF.]:[AGRUP. CLAS. PROF.]]=$B48,IF(DATOS_[Check Equiparado]="Sí",IF(DATOS_[Check Periodo Ref.]="Dentro",DATOS_[TOTAL Retrib Eq],FALSE))))),
0)</f>
        <v>0</v>
      </c>
    </row>
    <row r="50" spans="1:48" hidden="1" x14ac:dyDescent="0.3">
      <c r="A50" s="42" t="str">
        <f t="shared" ref="A50" si="50">+A49</f>
        <v>[ocultar]</v>
      </c>
      <c r="B50" s="86" t="s">
        <v>163</v>
      </c>
      <c r="C50" s="33">
        <f t="array" ref="C50">SUM(IF($B50=DATOS_[Sexo],
IF($B48=DATOS_[AGRUP. CLAS. PROF.],
IF("Dentro"=DATOS_[Check Periodo Ref.],
1/(COUNTIFS(DATOS_[Sexo],$B50,DATOS_[AGRUP. CLAS. PROF.],$B48,DATOS_[Check Periodo Ref.],"Dentro",DATOS_[id],DATOS_[id]))))))</f>
        <v>0</v>
      </c>
      <c r="D50" s="35">
        <f>COUNTIFS(DATOS_[AGRUP. CLAS. PROF.],$B48,DATOS_[Sexo],$B50,DATOS_[Check Periodo Ref.],"Dentro")</f>
        <v>0</v>
      </c>
      <c r="E50" s="35">
        <f>COUNTIFS(DATOS_[AGRUP. CLAS. PROF.],$B48,DATOS_[Sexo],$B50,DATOS_[Check Periodo Ref.],"Dentro",DATOS_[Check Nº SC Norm],"Sí")</f>
        <v>0</v>
      </c>
      <c r="F50" s="35">
        <f>COUNTIFS(DATOS_[AGRUP. CLAS. PROF.],$B48,DATOS_[Sexo],$B50,DATOS_[Check Periodo Ref.],"Dentro",DATOS_[Check Nº SC Anualiz],"Sí")</f>
        <v>0</v>
      </c>
      <c r="G50" s="35">
        <f>COUNTIFS(DATOS_[AGRUP. CLAS. PROF.],$B48,DATOS_[Sexo],$B50,DATOS_[Check Periodo Ref.],"Dentro",DATOS_[Check Nº SC Norm y Anualiz],"Sí")</f>
        <v>0</v>
      </c>
      <c r="H50" s="35">
        <f>COUNTIFS(DATOS_[AGRUP. CLAS. PROF.],$B48,DATOS_[Sexo],$B50,DATOS_[Check Periodo Ref.],"Dentro",DATOS_[Check Equiparación],"Sí")</f>
        <v>0</v>
      </c>
      <c r="I50" s="110" cm="1">
        <f t="array" ref="I50">IFERROR(
MEDIAN(IF(DATOS_[Sexo]=$B50,IF(DATOS_[[AGRUP. CLAS. PROF.]:[AGRUP. CLAS. PROF.]]=$B48,IF(DATOS_[Check Equiparado]="Sí",IF(DATOS_[Check Periodo Ref.]="Dentro",DATOS_[SALARIO BASE Eq],FALSE))))),
0)</f>
        <v>0</v>
      </c>
      <c r="J50" s="111">
        <f t="array" ref="J50">IFERROR(
(MEDIAN((IF(DATOS_[[Sexo]:[Sexo]]=$B50,IF(DATOS_[[AGRUP. CLAS. PROF.]:[AGRUP. CLAS. PROF.]]=$B48,IF(DATOS_[[Check Periodo Ref.]:[Check Periodo Ref.]]="Dentro",IF(DATOS_[[Check Equiparado]:[Check Equiparado]]="Sí",IF(DATOS!AE$5="Sí",(1/DATOS_[[% anualiz]:[% anualiz]]),1)*IF(DATOS!AE$4="Sí",1/DATOS_[[% normaliz]:[% normaliz]],1)*(DATOS_[Conc.Sal.01])))))))),
0)</f>
        <v>0</v>
      </c>
      <c r="K50" s="111">
        <f t="array" ref="K50">IFERROR(
(MEDIAN((IF(DATOS_[[Sexo]:[Sexo]]=$B50,IF(DATOS_[[AGRUP. CLAS. PROF.]:[AGRUP. CLAS. PROF.]]=$B48,IF(DATOS_[[Check Periodo Ref.]:[Check Periodo Ref.]]="Dentro",IF(DATOS_[[Check Equiparado]:[Check Equiparado]]="Sí",IF(DATOS!AF$5="Sí",(1/DATOS_[[% anualiz]:[% anualiz]]),1)*IF(DATOS!AF$4="Sí",1/DATOS_[[% normaliz]:[% normaliz]],1)*(DATOS_[Conc.Sal.02])))))))),
0)</f>
        <v>0</v>
      </c>
      <c r="L50" s="111">
        <f t="array" ref="L50">IFERROR(
(MEDIAN((IF(DATOS_[[Sexo]:[Sexo]]=$B50,IF(DATOS_[[AGRUP. CLAS. PROF.]:[AGRUP. CLAS. PROF.]]=$B48,IF(DATOS_[[Check Periodo Ref.]:[Check Periodo Ref.]]="Dentro",IF(DATOS_[[Check Equiparado]:[Check Equiparado]]="Sí",IF(DATOS!AG$5="Sí",(1/DATOS_[[% anualiz]:[% anualiz]]),1)*IF(DATOS!AG$4="Sí",1/DATOS_[[% normaliz]:[% normaliz]],1)*(DATOS_[Conc.Sal.03])))))))),
0)</f>
        <v>0</v>
      </c>
      <c r="M50" s="111">
        <f t="array" ref="M50">IFERROR(
(MEDIAN((IF(DATOS_[[Sexo]:[Sexo]]=$B50,IF(DATOS_[[AGRUP. CLAS. PROF.]:[AGRUP. CLAS. PROF.]]=$B48,IF(DATOS_[[Check Periodo Ref.]:[Check Periodo Ref.]]="Dentro",IF(DATOS_[[Check Equiparado]:[Check Equiparado]]="Sí",IF(DATOS!AH$5="Sí",(1/DATOS_[[% anualiz]:[% anualiz]]),1)*IF(DATOS!AH$4="Sí",1/DATOS_[[% normaliz]:[% normaliz]],1)*(DATOS_[Conc.Sal.04])))))))),
0)</f>
        <v>0</v>
      </c>
      <c r="N50" s="111">
        <f t="array" ref="N50">IFERROR(
(MEDIAN((IF(DATOS_[[Sexo]:[Sexo]]=$B50,IF(DATOS_[[AGRUP. CLAS. PROF.]:[AGRUP. CLAS. PROF.]]=$B48,IF(DATOS_[[Check Periodo Ref.]:[Check Periodo Ref.]]="Dentro",IF(DATOS_[[Check Equiparado]:[Check Equiparado]]="Sí",IF(DATOS!AI$5="Sí",(1/DATOS_[[% anualiz]:[% anualiz]]),1)*IF(DATOS!AI$4="Sí",1/DATOS_[[% normaliz]:[% normaliz]],1)*(DATOS_[Conc.Sal.05])))))))),
0)</f>
        <v>0</v>
      </c>
      <c r="O50" s="111">
        <f t="array" ref="O50">IFERROR(
(MEDIAN((IF(DATOS_[[Sexo]:[Sexo]]=$B50,IF(DATOS_[[AGRUP. CLAS. PROF.]:[AGRUP. CLAS. PROF.]]=$B48,IF(DATOS_[[Check Periodo Ref.]:[Check Periodo Ref.]]="Dentro",IF(DATOS_[[Check Equiparado]:[Check Equiparado]]="Sí",IF(DATOS!AJ$5="Sí",(1/DATOS_[[% anualiz]:[% anualiz]]),1)*IF(DATOS!AJ$4="Sí",1/DATOS_[[% normaliz]:[% normaliz]],1)*(DATOS_[Conc.Sal.06])))))))),
0)</f>
        <v>0</v>
      </c>
      <c r="P50" s="111">
        <f t="array" ref="P50">IFERROR(
(MEDIAN((IF(DATOS_[[Sexo]:[Sexo]]=$B50,IF(DATOS_[[AGRUP. CLAS. PROF.]:[AGRUP. CLAS. PROF.]]=$B48,IF(DATOS_[[Check Periodo Ref.]:[Check Periodo Ref.]]="Dentro",IF(DATOS_[[Check Equiparado]:[Check Equiparado]]="Sí",IF(DATOS!AK$5="Sí",(1/DATOS_[[% anualiz]:[% anualiz]]),1)*IF(DATOS!AK$4="Sí",1/DATOS_[[% normaliz]:[% normaliz]],1)*(DATOS_[Conc.Sal.07])))))))),
0)</f>
        <v>0</v>
      </c>
      <c r="Q50" s="111">
        <f t="array" ref="Q50">IFERROR(
(MEDIAN((IF(DATOS_[[Sexo]:[Sexo]]=$B50,IF(DATOS_[[AGRUP. CLAS. PROF.]:[AGRUP. CLAS. PROF.]]=$B48,IF(DATOS_[[Check Periodo Ref.]:[Check Periodo Ref.]]="Dentro",IF(DATOS_[[Check Equiparado]:[Check Equiparado]]="Sí",IF(DATOS!AL$5="Sí",(1/DATOS_[[% anualiz]:[% anualiz]]),1)*IF(DATOS!AL$4="Sí",1/DATOS_[[% normaliz]:[% normaliz]],1)*(DATOS_[Conc.Sal.08])))))))),
0)</f>
        <v>0</v>
      </c>
      <c r="R50" s="111">
        <f t="array" ref="R50">IFERROR(
(MEDIAN((IF(DATOS_[[Sexo]:[Sexo]]=$B50,IF(DATOS_[[AGRUP. CLAS. PROF.]:[AGRUP. CLAS. PROF.]]=$B48,IF(DATOS_[[Check Periodo Ref.]:[Check Periodo Ref.]]="Dentro",IF(DATOS_[[Check Equiparado]:[Check Equiparado]]="Sí",IF(DATOS!AM$5="Sí",(1/DATOS_[[% anualiz]:[% anualiz]]),1)*IF(DATOS!AM$4="Sí",1/DATOS_[[% normaliz]:[% normaliz]],1)*(DATOS_[Conc.Sal.09])))))))),
0)</f>
        <v>0</v>
      </c>
      <c r="S50" s="111">
        <f t="array" ref="S50">IFERROR(
(MEDIAN((IF(DATOS_[[Sexo]:[Sexo]]=$B50,IF(DATOS_[[AGRUP. CLAS. PROF.]:[AGRUP. CLAS. PROF.]]=$B48,IF(DATOS_[[Check Periodo Ref.]:[Check Periodo Ref.]]="Dentro",IF(DATOS_[[Check Equiparado]:[Check Equiparado]]="Sí",IF(DATOS!AN$5="Sí",(1/DATOS_[[% anualiz]:[% anualiz]]),1)*IF(DATOS!AN$4="Sí",1/DATOS_[[% normaliz]:[% normaliz]],1)*(DATOS_[Conc.Sal.10])))))))),
0)</f>
        <v>0</v>
      </c>
      <c r="T50" s="111">
        <f t="array" ref="T50">IFERROR(
(MEDIAN((IF(DATOS_[[Sexo]:[Sexo]]=$B50,IF(DATOS_[[AGRUP. CLAS. PROF.]:[AGRUP. CLAS. PROF.]]=$B48,IF(DATOS_[[Check Periodo Ref.]:[Check Periodo Ref.]]="Dentro",IF(DATOS_[[Check Equiparado]:[Check Equiparado]]="Sí",IF(DATOS!AO$5="Sí",(1/DATOS_[[% anualiz]:[% anualiz]]),1)*IF(DATOS!AO$4="Sí",1/DATOS_[[% normaliz]:[% normaliz]],1)*(DATOS_[Conc.Sal.11])))))))),
0)</f>
        <v>0</v>
      </c>
      <c r="U50" s="111">
        <f t="array" ref="U50">IFERROR(
(MEDIAN((IF(DATOS_[[Sexo]:[Sexo]]=$B50,IF(DATOS_[[AGRUP. CLAS. PROF.]:[AGRUP. CLAS. PROF.]]=$B48,IF(DATOS_[[Check Periodo Ref.]:[Check Periodo Ref.]]="Dentro",IF(DATOS_[[Check Equiparado]:[Check Equiparado]]="Sí",IF(DATOS!AP$5="Sí",(1/DATOS_[[% anualiz]:[% anualiz]]),1)*IF(DATOS!AP$4="Sí",1/DATOS_[[% normaliz]:[% normaliz]],1)*(DATOS_[Conc.Sal.12])))))))),
0)</f>
        <v>0</v>
      </c>
      <c r="V50" s="111">
        <f t="array" ref="V50">IFERROR(
(MEDIAN((IF(DATOS_[[Sexo]:[Sexo]]=$B50,IF(DATOS_[[AGRUP. CLAS. PROF.]:[AGRUP. CLAS. PROF.]]=$B48,IF(DATOS_[[Check Periodo Ref.]:[Check Periodo Ref.]]="Dentro",IF(DATOS_[[Check Equiparado]:[Check Equiparado]]="Sí",IF(DATOS!AQ$5="Sí",(1/DATOS_[[% anualiz]:[% anualiz]]),1)*IF(DATOS!AQ$4="Sí",1/DATOS_[[% normaliz]:[% normaliz]],1)*(DATOS_[Conc.Sal.13])))))))),
0)</f>
        <v>0</v>
      </c>
      <c r="W50" s="111">
        <f t="array" ref="W50">IFERROR(
(MEDIAN((IF(DATOS_[[Sexo]:[Sexo]]=$B50,IF(DATOS_[[AGRUP. CLAS. PROF.]:[AGRUP. CLAS. PROF.]]=$B48,IF(DATOS_[[Check Periodo Ref.]:[Check Periodo Ref.]]="Dentro",IF(DATOS_[[Check Equiparado]:[Check Equiparado]]="Sí",IF(DATOS!AR$5="Sí",(1/DATOS_[[% anualiz]:[% anualiz]]),1)*IF(DATOS!AR$4="Sí",1/DATOS_[[% normaliz]:[% normaliz]],1)*(DATOS_[Conc.Sal.14])))))))),
0)</f>
        <v>0</v>
      </c>
      <c r="X50" s="111">
        <f t="array" ref="X50">IFERROR(
(MEDIAN((IF(DATOS_[[Sexo]:[Sexo]]=$B50,IF(DATOS_[[AGRUP. CLAS. PROF.]:[AGRUP. CLAS. PROF.]]=$B48,IF(DATOS_[[Check Periodo Ref.]:[Check Periodo Ref.]]="Dentro",IF(DATOS_[[Check Equiparado]:[Check Equiparado]]="Sí",IF(DATOS!AS$5="Sí",(1/DATOS_[[% anualiz]:[% anualiz]]),1)*IF(DATOS!AS$4="Sí",1/DATOS_[[% normaliz]:[% normaliz]],1)*(DATOS_[Conc.Sal.15])))))))),
0)</f>
        <v>0</v>
      </c>
      <c r="Y50" s="111">
        <f t="array" ref="Y50">IFERROR(
(MEDIAN((IF(DATOS_[[Sexo]:[Sexo]]=$B50,IF(DATOS_[[AGRUP. CLAS. PROF.]:[AGRUP. CLAS. PROF.]]=$B48,IF(DATOS_[[Check Periodo Ref.]:[Check Periodo Ref.]]="Dentro",IF(DATOS_[[Check Equiparado]:[Check Equiparado]]="Sí",IF(DATOS!AT$5="Sí",(1/DATOS_[[% anualiz]:[% anualiz]]),1)*IF(DATOS!AT$4="Sí",1/DATOS_[[% normaliz]:[% normaliz]],1)*(DATOS_[Conc.Sal.16])))))))),
0)</f>
        <v>0</v>
      </c>
      <c r="Z50" s="111">
        <f t="array" ref="Z50">IFERROR(
(MEDIAN((IF(DATOS_[[Sexo]:[Sexo]]=$B50,IF(DATOS_[[AGRUP. CLAS. PROF.]:[AGRUP. CLAS. PROF.]]=$B48,IF(DATOS_[[Check Periodo Ref.]:[Check Periodo Ref.]]="Dentro",IF(DATOS_[[Check Equiparado]:[Check Equiparado]]="Sí",IF(DATOS!AU$5="Sí",(1/DATOS_[[% anualiz]:[% anualiz]]),1)*IF(DATOS!AU$4="Sí",1/DATOS_[[% normaliz]:[% normaliz]],1)*(DATOS_[Conc.Sal.17])))))))),
0)</f>
        <v>0</v>
      </c>
      <c r="AA50" s="111">
        <f t="array" ref="AA50">IFERROR(
(MEDIAN((IF(DATOS_[[Sexo]:[Sexo]]=$B50,IF(DATOS_[[AGRUP. CLAS. PROF.]:[AGRUP. CLAS. PROF.]]=$B48,IF(DATOS_[[Check Periodo Ref.]:[Check Periodo Ref.]]="Dentro",IF(DATOS_[[Check Equiparado]:[Check Equiparado]]="Sí",IF(DATOS!AV$5="Sí",(1/DATOS_[[% anualiz]:[% anualiz]]),1)*IF(DATOS!AV$4="Sí",1/DATOS_[[% normaliz]:[% normaliz]],1)*(DATOS_[Conc.Sal.18])))))))),
0)</f>
        <v>0</v>
      </c>
      <c r="AB50" s="111">
        <f t="array" ref="AB50">IFERROR(
(MEDIAN((IF(DATOS_[[Sexo]:[Sexo]]=$B50,IF(DATOS_[[AGRUP. CLAS. PROF.]:[AGRUP. CLAS. PROF.]]=$B48,IF(DATOS_[[Check Periodo Ref.]:[Check Periodo Ref.]]="Dentro",IF(DATOS_[[Check Equiparado]:[Check Equiparado]]="Sí",IF(DATOS!AW$5="Sí",(1/DATOS_[[% anualiz]:[% anualiz]]),1)*IF(DATOS!AW$4="Sí",1/DATOS_[[% normaliz]:[% normaliz]],1)*(DATOS_[Conc.Sal.19])))))))),
0)</f>
        <v>0</v>
      </c>
      <c r="AC50" s="111">
        <f t="array" ref="AC50">IFERROR(
(MEDIAN((IF(DATOS_[[Sexo]:[Sexo]]=$B50,IF(DATOS_[[AGRUP. CLAS. PROF.]:[AGRUP. CLAS. PROF.]]=$B48,IF(DATOS_[[Check Periodo Ref.]:[Check Periodo Ref.]]="Dentro",IF(DATOS_[[Check Equiparado]:[Check Equiparado]]="Sí",IF(DATOS!AX$5="Sí",(1/DATOS_[[% anualiz]:[% anualiz]]),1)*IF(DATOS!AX$4="Sí",1/DATOS_[[% normaliz]:[% normaliz]],1)*(DATOS_[Conc.Sal.20])))))))),
0)</f>
        <v>0</v>
      </c>
      <c r="AD50" s="111">
        <f t="array" ref="AD50">IFERROR(
(MEDIAN((IF(DATOS_[[Sexo]:[Sexo]]=$B50,IF(DATOS_[[AGRUP. CLAS. PROF.]:[AGRUP. CLAS. PROF.]]=$B48,IF(DATOS_[[Check Periodo Ref.]:[Check Periodo Ref.]]="Dentro",IF(DATOS_[[Check Equiparado]:[Check Equiparado]]="Sí",IF(DATOS!AY$5="Sí",(1/DATOS_[[% anualiz]:[% anualiz]]),1)*IF(DATOS!AY$4="Sí",1/DATOS_[[% normaliz]:[% normaliz]],1)*(DATOS_[Conc.Sal.21])))))))),
0)</f>
        <v>0</v>
      </c>
      <c r="AE50" s="111">
        <f t="array" ref="AE50">IFERROR(
(MEDIAN((IF(DATOS_[[Sexo]:[Sexo]]=$B50,IF(DATOS_[[AGRUP. CLAS. PROF.]:[AGRUP. CLAS. PROF.]]=$B48,IF(DATOS_[[Check Periodo Ref.]:[Check Periodo Ref.]]="Dentro",IF(DATOS_[[Check Equiparado]:[Check Equiparado]]="Sí",IF(DATOS!AZ$5="Sí",(1/DATOS_[[% anualiz]:[% anualiz]]),1)*IF(DATOS!AZ$4="Sí",1/DATOS_[[% normaliz]:[% normaliz]],1)*(DATOS_[Conc.Sal.22])))))))),
0)</f>
        <v>0</v>
      </c>
      <c r="AF50" s="111">
        <f t="array" ref="AF50">IFERROR(
(MEDIAN((IF(DATOS_[[Sexo]:[Sexo]]=$B50,IF(DATOS_[[AGRUP. CLAS. PROF.]:[AGRUP. CLAS. PROF.]]=$B48,IF(DATOS_[[Check Periodo Ref.]:[Check Periodo Ref.]]="Dentro",IF(DATOS_[[Check Equiparado]:[Check Equiparado]]="Sí",IF(DATOS!BA$5="Sí",(1/DATOS_[[% anualiz]:[% anualiz]]),1)*IF(DATOS!BA$4="Sí",1/DATOS_[[% normaliz]:[% normaliz]],1)*(DATOS_[Conc.Sal.23])))))))),
0)</f>
        <v>0</v>
      </c>
      <c r="AG50" s="111">
        <f t="array" ref="AG50">IFERROR(
(MEDIAN((IF(DATOS_[[Sexo]:[Sexo]]=$B50,IF(DATOS_[[AGRUP. CLAS. PROF.]:[AGRUP. CLAS. PROF.]]=$B48,IF(DATOS_[[Check Periodo Ref.]:[Check Periodo Ref.]]="Dentro",IF(DATOS_[[Check Equiparado]:[Check Equiparado]]="Sí",IF(DATOS!BB$5="Sí",(1/DATOS_[[% anualiz]:[% anualiz]]),1)*IF(DATOS!BB$4="Sí",1/DATOS_[[% normaliz]:[% normaliz]],1)*(DATOS_[Conc.Sal.24])))))))),
0)</f>
        <v>0</v>
      </c>
      <c r="AH50" s="111">
        <f t="array" ref="AH50">IFERROR(
(MEDIAN((IF(DATOS_[[Sexo]:[Sexo]]=$B50,IF(DATOS_[[AGRUP. CLAS. PROF.]:[AGRUP. CLAS. PROF.]]=$B48,IF(DATOS_[[Check Periodo Ref.]:[Check Periodo Ref.]]="Dentro",IF(DATOS_[[Check Equiparado]:[Check Equiparado]]="Sí",IF(DATOS!BC$5="Sí",(1/DATOS_[[% anualiz]:[% anualiz]]),1)*IF(DATOS!BC$4="Sí",1/DATOS_[[% normaliz]:[% normaliz]],1)*(DATOS_[Conc.Sal.25])))))))),
0)</f>
        <v>0</v>
      </c>
      <c r="AI50" s="111">
        <f t="array" ref="AI50">IFERROR(
(MEDIAN((IF(DATOS_[[Sexo]:[Sexo]]=$B50,IF(DATOS_[[AGRUP. CLAS. PROF.]:[AGRUP. CLAS. PROF.]]=$B48,IF(DATOS_[[Check Periodo Ref.]:[Check Periodo Ref.]]="Dentro",IF(DATOS_[[Check Equiparado]:[Check Equiparado]]="Sí",IF(DATOS!BD$5="Sí",(1/DATOS_[[% anualiz]:[% anualiz]]),1)*IF(DATOS!BD$4="Sí",1/DATOS_[[% normaliz]:[% normaliz]],1)*(DATOS_[Conc.Sal.26])))))))),
0)</f>
        <v>0</v>
      </c>
      <c r="AJ50" s="111">
        <f t="array" ref="AJ50">IFERROR(
(MEDIAN((IF(DATOS_[[Sexo]:[Sexo]]=$B50,IF(DATOS_[[AGRUP. CLAS. PROF.]:[AGRUP. CLAS. PROF.]]=$B48,IF(DATOS_[[Check Periodo Ref.]:[Check Periodo Ref.]]="Dentro",IF(DATOS_[[Check Equiparado]:[Check Equiparado]]="Sí",IF(DATOS!BE$5="Sí",(1/DATOS_[[% anualiz]:[% anualiz]]),1)*IF(DATOS!BE$4="Sí",1/DATOS_[[% normaliz]:[% normaliz]],1)*(DATOS_[Conc.Sal.27])))))))),
0)</f>
        <v>0</v>
      </c>
      <c r="AK50" s="111">
        <f t="array" ref="AK50">IFERROR(
(MEDIAN((IF(DATOS_[[Sexo]:[Sexo]]=$B50,IF(DATOS_[[AGRUP. CLAS. PROF.]:[AGRUP. CLAS. PROF.]]=$B48,IF(DATOS_[[Check Periodo Ref.]:[Check Periodo Ref.]]="Dentro",IF(DATOS_[[Check Equiparado]:[Check Equiparado]]="Sí",IF(DATOS!BF$5="Sí",(1/DATOS_[[% anualiz]:[% anualiz]]),1)*IF(DATOS!BF$4="Sí",1/DATOS_[[% normaliz]:[% normaliz]],1)*(DATOS_[Conc.Sal.28])))))))),
0)</f>
        <v>0</v>
      </c>
      <c r="AL50" s="111">
        <f t="array" ref="AL50">IFERROR(
(MEDIAN((IF(DATOS_[[Sexo]:[Sexo]]=$B50,IF(DATOS_[[AGRUP. CLAS. PROF.]:[AGRUP. CLAS. PROF.]]=$B48,IF(DATOS_[[Check Periodo Ref.]:[Check Periodo Ref.]]="Dentro",IF(DATOS_[[Check Equiparado]:[Check Equiparado]]="Sí",IF(DATOS!BG$5="Sí",(1/DATOS_[[% anualiz]:[% anualiz]]),1)*IF(DATOS!BG$4="Sí",1/DATOS_[[% normaliz]:[% normaliz]],1)*(DATOS_[Conc.Sal.29])))))))),
0)</f>
        <v>0</v>
      </c>
      <c r="AM50" s="111">
        <f t="array" ref="AM50">IFERROR(
(MEDIAN((IF(DATOS_[[Sexo]:[Sexo]]=$B50,IF(DATOS_[[AGRUP. CLAS. PROF.]:[AGRUP. CLAS. PROF.]]=$B48,IF(DATOS_[[Check Periodo Ref.]:[Check Periodo Ref.]]="Dentro",IF(DATOS_[[Check Equiparado]:[Check Equiparado]]="Sí",IF(DATOS!BH$5="Sí",(1/DATOS_[[% anualiz]:[% anualiz]]),1)*IF(DATOS!BH$4="Sí",1/DATOS_[[% normaliz]:[% normaliz]],1)*(DATOS_[Conc.Sal.30])))))))),
0)</f>
        <v>0</v>
      </c>
      <c r="AN50" s="112">
        <f t="array" ref="AN50">IFERROR(
MEDIAN(IF(DATOS_[Sexo]=$B50,IF(DATOS_[[AGRUP. CLAS. PROF.]:[AGRUP. CLAS. PROF.]]=$B48,IF(DATOS_[Check Equiparado]="Sí",IF(DATOS_[Check Periodo Ref.]="Dentro",DATOS_[Tot COMPL.SAL Eq],FALSE))))),
0)</f>
        <v>0</v>
      </c>
      <c r="AO50" s="113">
        <f t="array" ref="AO50">IFERROR(
MEDIAN(IF(DATOS_[Sexo]=$B50,IF(DATOS_[[AGRUP. CLAS. PROF.]:[AGRUP. CLAS. PROF.]]=$B48,IF(DATOS_[Check Equiparado]="Sí",IF(DATOS_[Check Periodo Ref.]="Dentro",DATOS_[TOTAL SALARIO Eq],FALSE))))),
0)</f>
        <v>0</v>
      </c>
      <c r="AP50" s="114">
        <f t="array" ref="AP50">IFERROR(
(MEDIAN((IF(DATOS_[[Sexo]:[Sexo]]=$B50,IF(DATOS_[[AGRUP. CLAS. PROF.]:[AGRUP. CLAS. PROF.]]=$B48,IF(DATOS_[[Check Periodo Ref.]:[Check Periodo Ref.]]="Dentro",IF(DATOS_[[Check Equiparado]:[Check Equiparado]]="Sí",IF(DATOS!BI$5="Sí",(1/DATOS_[[% anualiz]:[% anualiz]]),1)*IF(DATOS!BI$4="Sí",1/DATOS_[[% normaliz]:[% normaliz]],1)*(DATOS_[C.Extra.01])))))))),
0)</f>
        <v>0</v>
      </c>
      <c r="AQ50" s="114">
        <f t="array" ref="AQ50">IFERROR(
(MEDIAN((IF(DATOS_[[Sexo]:[Sexo]]=$B50,IF(DATOS_[[AGRUP. CLAS. PROF.]:[AGRUP. CLAS. PROF.]]=$B48,IF(DATOS_[[Check Periodo Ref.]:[Check Periodo Ref.]]="Dentro",IF(DATOS_[[Check Equiparado]:[Check Equiparado]]="Sí",IF(DATOS!BJ$5="Sí",(1/DATOS_[[% anualiz]:[% anualiz]]),1)*IF(DATOS!BJ$4="Sí",1/DATOS_[[% normaliz]:[% normaliz]],1)*(DATOS_[C.Extra.02])))))))),
0)</f>
        <v>0</v>
      </c>
      <c r="AR50" s="114">
        <f t="array" ref="AR50">IFERROR(
(MEDIAN((IF(DATOS_[[Sexo]:[Sexo]]=$B50,IF(DATOS_[[AGRUP. CLAS. PROF.]:[AGRUP. CLAS. PROF.]]=$B48,IF(DATOS_[[Check Periodo Ref.]:[Check Periodo Ref.]]="Dentro",IF(DATOS_[[Check Equiparado]:[Check Equiparado]]="Sí",IF(DATOS!BK$5="Sí",(1/DATOS_[[% anualiz]:[% anualiz]]),1)*IF(DATOS!BK$4="Sí",1/DATOS_[[% normaliz]:[% normaliz]],1)*(DATOS_[C.Extra.03])))))))),
0)</f>
        <v>0</v>
      </c>
      <c r="AS50" s="114">
        <f t="array" ref="AS50">IFERROR(
(MEDIAN((IF(DATOS_[[Sexo]:[Sexo]]=$B50,IF(DATOS_[[AGRUP. CLAS. PROF.]:[AGRUP. CLAS. PROF.]]=$B48,IF(DATOS_[[Check Periodo Ref.]:[Check Periodo Ref.]]="Dentro",IF(DATOS_[[Check Equiparado]:[Check Equiparado]]="Sí",IF(DATOS!BL$5="Sí",(1/DATOS_[[% anualiz]:[% anualiz]]),1)*IF(DATOS!BL$4="Sí",1/DATOS_[[% normaliz]:[% normaliz]],1)*(DATOS_[C.Extra.04])))))))),
0)</f>
        <v>0</v>
      </c>
      <c r="AT50" s="114">
        <f t="array" ref="AT50">IFERROR(
(MEDIAN((IF(DATOS_[[Sexo]:[Sexo]]=$B50,IF(DATOS_[[AGRUP. CLAS. PROF.]:[AGRUP. CLAS. PROF.]]=$B48,IF(DATOS_[[Check Periodo Ref.]:[Check Periodo Ref.]]="Dentro",IF(DATOS_[[Check Equiparado]:[Check Equiparado]]="Sí",IF(DATOS!BM$5="Sí",(1/DATOS_[[% anualiz]:[% anualiz]]),1)*IF(DATOS!BM$4="Sí",1/DATOS_[[% normaliz]:[% normaliz]],1)*(DATOS_[C.Extra.05])))))))),
0)</f>
        <v>0</v>
      </c>
      <c r="AU50" s="115">
        <f t="array" ref="AU50">IFERROR(
MEDIAN(IF(DATOS_[Sexo]=$B50,IF(DATOS_[[AGRUP. CLAS. PROF.]:[AGRUP. CLAS. PROF.]]=$B48,IF(DATOS_[Check Equiparado]="Sí",IF(DATOS_[Check Periodo Ref.]="Dentro",DATOS_[Tot Extrasalarial Eq],FALSE))))),
0)</f>
        <v>0</v>
      </c>
      <c r="AV50" s="116">
        <f t="array" ref="AV50">IFERROR(
MEDIAN(IF(DATOS_[Sexo]=$B50,IF(DATOS_[[AGRUP. CLAS. PROF.]:[AGRUP. CLAS. PROF.]]=$B48,IF(DATOS_[Check Equiparado]="Sí",IF(DATOS_[Check Periodo Ref.]="Dentro",DATOS_[TOTAL Retrib Eq],FALSE))))),
0)</f>
        <v>0</v>
      </c>
    </row>
    <row r="51" spans="1:48" ht="17.25" hidden="1" thickBot="1" x14ac:dyDescent="0.35">
      <c r="A51" s="42" t="str">
        <f t="shared" ref="A51" si="51">+A52</f>
        <v>[ocultar]</v>
      </c>
      <c r="B51" s="90" t="s">
        <v>229</v>
      </c>
      <c r="C51" s="109"/>
      <c r="D51" s="41"/>
      <c r="E51" s="41"/>
      <c r="F51" s="41"/>
      <c r="G51" s="41"/>
      <c r="H51" s="41"/>
      <c r="I51" s="119" t="str">
        <f t="shared" ref="I51:AV51" si="52">IFERROR((I52-I53)/I52,"")</f>
        <v/>
      </c>
      <c r="J51" s="123" t="str">
        <f t="shared" si="52"/>
        <v/>
      </c>
      <c r="K51" s="123" t="str">
        <f t="shared" si="52"/>
        <v/>
      </c>
      <c r="L51" s="123" t="str">
        <f t="shared" si="52"/>
        <v/>
      </c>
      <c r="M51" s="123" t="str">
        <f t="shared" si="52"/>
        <v/>
      </c>
      <c r="N51" s="123" t="str">
        <f t="shared" si="52"/>
        <v/>
      </c>
      <c r="O51" s="123" t="str">
        <f t="shared" si="52"/>
        <v/>
      </c>
      <c r="P51" s="123" t="str">
        <f t="shared" si="52"/>
        <v/>
      </c>
      <c r="Q51" s="123" t="str">
        <f t="shared" si="52"/>
        <v/>
      </c>
      <c r="R51" s="123" t="str">
        <f t="shared" si="52"/>
        <v/>
      </c>
      <c r="S51" s="123" t="str">
        <f t="shared" si="52"/>
        <v/>
      </c>
      <c r="T51" s="123" t="str">
        <f t="shared" si="52"/>
        <v/>
      </c>
      <c r="U51" s="123" t="str">
        <f t="shared" si="52"/>
        <v/>
      </c>
      <c r="V51" s="123" t="str">
        <f t="shared" si="52"/>
        <v/>
      </c>
      <c r="W51" s="123" t="str">
        <f t="shared" si="52"/>
        <v/>
      </c>
      <c r="X51" s="123" t="str">
        <f t="shared" si="52"/>
        <v/>
      </c>
      <c r="Y51" s="123" t="str">
        <f t="shared" si="52"/>
        <v/>
      </c>
      <c r="Z51" s="122" t="str">
        <f t="shared" si="52"/>
        <v/>
      </c>
      <c r="AA51" s="122" t="str">
        <f t="shared" si="52"/>
        <v/>
      </c>
      <c r="AB51" s="122" t="str">
        <f t="shared" si="52"/>
        <v/>
      </c>
      <c r="AC51" s="122" t="str">
        <f t="shared" si="52"/>
        <v/>
      </c>
      <c r="AD51" s="122" t="str">
        <f t="shared" si="52"/>
        <v/>
      </c>
      <c r="AE51" s="122" t="str">
        <f t="shared" si="52"/>
        <v/>
      </c>
      <c r="AF51" s="122" t="str">
        <f t="shared" si="52"/>
        <v/>
      </c>
      <c r="AG51" s="122" t="str">
        <f t="shared" si="52"/>
        <v/>
      </c>
      <c r="AH51" s="122" t="str">
        <f t="shared" si="52"/>
        <v/>
      </c>
      <c r="AI51" s="122" t="str">
        <f t="shared" si="52"/>
        <v/>
      </c>
      <c r="AJ51" s="122" t="str">
        <f t="shared" si="52"/>
        <v/>
      </c>
      <c r="AK51" s="122" t="str">
        <f t="shared" si="52"/>
        <v/>
      </c>
      <c r="AL51" s="122" t="str">
        <f t="shared" si="52"/>
        <v/>
      </c>
      <c r="AM51" s="122" t="str">
        <f t="shared" si="52"/>
        <v/>
      </c>
      <c r="AN51" s="124" t="str">
        <f t="shared" si="52"/>
        <v/>
      </c>
      <c r="AO51" s="128" t="str">
        <f t="shared" si="52"/>
        <v/>
      </c>
      <c r="AP51" s="125" t="str">
        <f t="shared" si="52"/>
        <v/>
      </c>
      <c r="AQ51" s="125" t="str">
        <f t="shared" si="52"/>
        <v/>
      </c>
      <c r="AR51" s="125" t="str">
        <f t="shared" si="52"/>
        <v/>
      </c>
      <c r="AS51" s="125" t="str">
        <f t="shared" si="52"/>
        <v/>
      </c>
      <c r="AT51" s="125" t="str">
        <f t="shared" si="52"/>
        <v/>
      </c>
      <c r="AU51" s="126" t="str">
        <f t="shared" si="52"/>
        <v/>
      </c>
      <c r="AV51" s="127" t="str">
        <f t="shared" si="52"/>
        <v/>
      </c>
    </row>
    <row r="52" spans="1:48" hidden="1" x14ac:dyDescent="0.3">
      <c r="A52" s="42" t="str">
        <f t="shared" ref="A52" si="53">+IF(C52+C53=0,"[ocultar]","")</f>
        <v>[ocultar]</v>
      </c>
      <c r="B52" s="86" t="s">
        <v>162</v>
      </c>
      <c r="C52" s="33">
        <f t="array" ref="C52">SUM(IF($B52=DATOS_[Sexo],
IF($B51=DATOS_[AGRUP. CLAS. PROF.],
IF("Dentro"=DATOS_[Check Periodo Ref.],
1/(COUNTIFS(DATOS_[Sexo],$B52,DATOS_[AGRUP. CLAS. PROF.],$B51,DATOS_[Check Periodo Ref.],"Dentro",DATOS_[id],DATOS_[id]))))))</f>
        <v>0</v>
      </c>
      <c r="D52" s="35">
        <f>COUNTIFS(DATOS_[AGRUP. CLAS. PROF.],$B51,DATOS_[Sexo],$B52,DATOS_[Check Periodo Ref.],"Dentro")</f>
        <v>0</v>
      </c>
      <c r="E52" s="35">
        <f>COUNTIFS(DATOS_[AGRUP. CLAS. PROF.],$B51,DATOS_[Sexo],$B52,DATOS_[Check Periodo Ref.],"Dentro",DATOS_[Check Nº SC Norm],"Sí")</f>
        <v>0</v>
      </c>
      <c r="F52" s="35">
        <f>COUNTIFS(DATOS_[AGRUP. CLAS. PROF.],$B51,DATOS_[Sexo],$B52,DATOS_[Check Periodo Ref.],"Dentro",DATOS_[Check Nº SC Anualiz],"Sí")</f>
        <v>0</v>
      </c>
      <c r="G52" s="35">
        <f>COUNTIFS(DATOS_[AGRUP. CLAS. PROF.],$B51,DATOS_[Sexo],$B52,DATOS_[Check Periodo Ref.],"Dentro",DATOS_[Check Nº SC Norm y Anualiz],"Sí")</f>
        <v>0</v>
      </c>
      <c r="H52" s="35">
        <f>COUNTIFS(DATOS_[AGRUP. CLAS. PROF.],$B51,DATOS_[Sexo],$B52,DATOS_[Check Periodo Ref.],"Dentro",DATOS_[Check Equiparación],"Sí")</f>
        <v>0</v>
      </c>
      <c r="I52" s="110">
        <f t="array" ref="I52">IFERROR(
MEDIAN(IF(DATOS_[Sexo]=$B52,IF(DATOS_[[AGRUP. CLAS. PROF.]:[AGRUP. CLAS. PROF.]]=$B51,IF(DATOS_[Check Equiparado]="Sí",IF(DATOS_[Check Periodo Ref.]="Dentro",DATOS_[SALARIO BASE Eq],FALSE))))),
0)</f>
        <v>0</v>
      </c>
      <c r="J52" s="111">
        <f t="array" ref="J52">IFERROR(
(MEDIAN((IF(DATOS_[[Sexo]:[Sexo]]=$B52,IF(DATOS_[[AGRUP. CLAS. PROF.]:[AGRUP. CLAS. PROF.]]=$B51,IF(DATOS_[[Check Periodo Ref.]:[Check Periodo Ref.]]="Dentro",IF(DATOS_[[Check Equiparado]:[Check Equiparado]]="Sí",IF(DATOS!AE$5="Sí",(1/DATOS_[[% anualiz]:[% anualiz]]),1)*IF(DATOS!AE$4="Sí",1/DATOS_[[% normaliz]:[% normaliz]],1)*(DATOS_[Conc.Sal.01])))))))),
0)</f>
        <v>0</v>
      </c>
      <c r="K52" s="111">
        <f t="array" ref="K52">IFERROR(
(MEDIAN((IF(DATOS_[[Sexo]:[Sexo]]=$B52,IF(DATOS_[[AGRUP. CLAS. PROF.]:[AGRUP. CLAS. PROF.]]=$B51,IF(DATOS_[[Check Periodo Ref.]:[Check Periodo Ref.]]="Dentro",IF(DATOS_[[Check Equiparado]:[Check Equiparado]]="Sí",IF(DATOS!AF$5="Sí",(1/DATOS_[[% anualiz]:[% anualiz]]),1)*IF(DATOS!AF$4="Sí",1/DATOS_[[% normaliz]:[% normaliz]],1)*(DATOS_[Conc.Sal.02])))))))),
0)</f>
        <v>0</v>
      </c>
      <c r="L52" s="111">
        <f t="array" ref="L52">IFERROR(
(MEDIAN((IF(DATOS_[[Sexo]:[Sexo]]=$B52,IF(DATOS_[[AGRUP. CLAS. PROF.]:[AGRUP. CLAS. PROF.]]=$B51,IF(DATOS_[[Check Periodo Ref.]:[Check Periodo Ref.]]="Dentro",IF(DATOS_[[Check Equiparado]:[Check Equiparado]]="Sí",IF(DATOS!AG$5="Sí",(1/DATOS_[[% anualiz]:[% anualiz]]),1)*IF(DATOS!AG$4="Sí",1/DATOS_[[% normaliz]:[% normaliz]],1)*(DATOS_[Conc.Sal.03])))))))),
0)</f>
        <v>0</v>
      </c>
      <c r="M52" s="111">
        <f t="array" ref="M52">IFERROR(
(MEDIAN((IF(DATOS_[[Sexo]:[Sexo]]=$B52,IF(DATOS_[[AGRUP. CLAS. PROF.]:[AGRUP. CLAS. PROF.]]=$B51,IF(DATOS_[[Check Periodo Ref.]:[Check Periodo Ref.]]="Dentro",IF(DATOS_[[Check Equiparado]:[Check Equiparado]]="Sí",IF(DATOS!AH$5="Sí",(1/DATOS_[[% anualiz]:[% anualiz]]),1)*IF(DATOS!AH$4="Sí",1/DATOS_[[% normaliz]:[% normaliz]],1)*(DATOS_[Conc.Sal.04])))))))),
0)</f>
        <v>0</v>
      </c>
      <c r="N52" s="111">
        <f t="array" ref="N52">IFERROR(
(MEDIAN((IF(DATOS_[[Sexo]:[Sexo]]=$B52,IF(DATOS_[[AGRUP. CLAS. PROF.]:[AGRUP. CLAS. PROF.]]=$B51,IF(DATOS_[[Check Periodo Ref.]:[Check Periodo Ref.]]="Dentro",IF(DATOS_[[Check Equiparado]:[Check Equiparado]]="Sí",IF(DATOS!AI$5="Sí",(1/DATOS_[[% anualiz]:[% anualiz]]),1)*IF(DATOS!AI$4="Sí",1/DATOS_[[% normaliz]:[% normaliz]],1)*(DATOS_[Conc.Sal.05])))))))),
0)</f>
        <v>0</v>
      </c>
      <c r="O52" s="111">
        <f t="array" ref="O52">IFERROR(
(MEDIAN((IF(DATOS_[[Sexo]:[Sexo]]=$B52,IF(DATOS_[[AGRUP. CLAS. PROF.]:[AGRUP. CLAS. PROF.]]=$B51,IF(DATOS_[[Check Periodo Ref.]:[Check Periodo Ref.]]="Dentro",IF(DATOS_[[Check Equiparado]:[Check Equiparado]]="Sí",IF(DATOS!AJ$5="Sí",(1/DATOS_[[% anualiz]:[% anualiz]]),1)*IF(DATOS!AJ$4="Sí",1/DATOS_[[% normaliz]:[% normaliz]],1)*(DATOS_[Conc.Sal.06])))))))),
0)</f>
        <v>0</v>
      </c>
      <c r="P52" s="111">
        <f t="array" ref="P52">IFERROR(
(MEDIAN((IF(DATOS_[[Sexo]:[Sexo]]=$B52,IF(DATOS_[[AGRUP. CLAS. PROF.]:[AGRUP. CLAS. PROF.]]=$B51,IF(DATOS_[[Check Periodo Ref.]:[Check Periodo Ref.]]="Dentro",IF(DATOS_[[Check Equiparado]:[Check Equiparado]]="Sí",IF(DATOS!AK$5="Sí",(1/DATOS_[[% anualiz]:[% anualiz]]),1)*IF(DATOS!AK$4="Sí",1/DATOS_[[% normaliz]:[% normaliz]],1)*(DATOS_[Conc.Sal.07])))))))),
0)</f>
        <v>0</v>
      </c>
      <c r="Q52" s="111">
        <f t="array" ref="Q52">IFERROR(
(MEDIAN((IF(DATOS_[[Sexo]:[Sexo]]=$B52,IF(DATOS_[[AGRUP. CLAS. PROF.]:[AGRUP. CLAS. PROF.]]=$B51,IF(DATOS_[[Check Periodo Ref.]:[Check Periodo Ref.]]="Dentro",IF(DATOS_[[Check Equiparado]:[Check Equiparado]]="Sí",IF(DATOS!AL$5="Sí",(1/DATOS_[[% anualiz]:[% anualiz]]),1)*IF(DATOS!AL$4="Sí",1/DATOS_[[% normaliz]:[% normaliz]],1)*(DATOS_[Conc.Sal.08])))))))),
0)</f>
        <v>0</v>
      </c>
      <c r="R52" s="111">
        <f t="array" ref="R52">IFERROR(
(MEDIAN((IF(DATOS_[[Sexo]:[Sexo]]=$B52,IF(DATOS_[[AGRUP. CLAS. PROF.]:[AGRUP. CLAS. PROF.]]=$B51,IF(DATOS_[[Check Periodo Ref.]:[Check Periodo Ref.]]="Dentro",IF(DATOS_[[Check Equiparado]:[Check Equiparado]]="Sí",IF(DATOS!AM$5="Sí",(1/DATOS_[[% anualiz]:[% anualiz]]),1)*IF(DATOS!AM$4="Sí",1/DATOS_[[% normaliz]:[% normaliz]],1)*(DATOS_[Conc.Sal.09])))))))),
0)</f>
        <v>0</v>
      </c>
      <c r="S52" s="111">
        <f t="array" ref="S52">IFERROR(
(MEDIAN((IF(DATOS_[[Sexo]:[Sexo]]=$B52,IF(DATOS_[[AGRUP. CLAS. PROF.]:[AGRUP. CLAS. PROF.]]=$B51,IF(DATOS_[[Check Periodo Ref.]:[Check Periodo Ref.]]="Dentro",IF(DATOS_[[Check Equiparado]:[Check Equiparado]]="Sí",IF(DATOS!AN$5="Sí",(1/DATOS_[[% anualiz]:[% anualiz]]),1)*IF(DATOS!AN$4="Sí",1/DATOS_[[% normaliz]:[% normaliz]],1)*(DATOS_[Conc.Sal.10])))))))),
0)</f>
        <v>0</v>
      </c>
      <c r="T52" s="111">
        <f t="array" ref="T52">IFERROR(
(MEDIAN((IF(DATOS_[[Sexo]:[Sexo]]=$B52,IF(DATOS_[[AGRUP. CLAS. PROF.]:[AGRUP. CLAS. PROF.]]=$B51,IF(DATOS_[[Check Periodo Ref.]:[Check Periodo Ref.]]="Dentro",IF(DATOS_[[Check Equiparado]:[Check Equiparado]]="Sí",IF(DATOS!AO$5="Sí",(1/DATOS_[[% anualiz]:[% anualiz]]),1)*IF(DATOS!AO$4="Sí",1/DATOS_[[% normaliz]:[% normaliz]],1)*(DATOS_[Conc.Sal.11])))))))),
0)</f>
        <v>0</v>
      </c>
      <c r="U52" s="111">
        <f t="array" ref="U52">IFERROR(
(MEDIAN((IF(DATOS_[[Sexo]:[Sexo]]=$B52,IF(DATOS_[[AGRUP. CLAS. PROF.]:[AGRUP. CLAS. PROF.]]=$B51,IF(DATOS_[[Check Periodo Ref.]:[Check Periodo Ref.]]="Dentro",IF(DATOS_[[Check Equiparado]:[Check Equiparado]]="Sí",IF(DATOS!AP$5="Sí",(1/DATOS_[[% anualiz]:[% anualiz]]),1)*IF(DATOS!AP$4="Sí",1/DATOS_[[% normaliz]:[% normaliz]],1)*(DATOS_[Conc.Sal.12])))))))),
0)</f>
        <v>0</v>
      </c>
      <c r="V52" s="111">
        <f t="array" ref="V52">IFERROR(
(MEDIAN((IF(DATOS_[[Sexo]:[Sexo]]=$B52,IF(DATOS_[[AGRUP. CLAS. PROF.]:[AGRUP. CLAS. PROF.]]=$B51,IF(DATOS_[[Check Periodo Ref.]:[Check Periodo Ref.]]="Dentro",IF(DATOS_[[Check Equiparado]:[Check Equiparado]]="Sí",IF(DATOS!AQ$5="Sí",(1/DATOS_[[% anualiz]:[% anualiz]]),1)*IF(DATOS!AQ$4="Sí",1/DATOS_[[% normaliz]:[% normaliz]],1)*(DATOS_[Conc.Sal.13])))))))),
0)</f>
        <v>0</v>
      </c>
      <c r="W52" s="111">
        <f t="array" ref="W52">IFERROR(
(MEDIAN((IF(DATOS_[[Sexo]:[Sexo]]=$B52,IF(DATOS_[[AGRUP. CLAS. PROF.]:[AGRUP. CLAS. PROF.]]=$B51,IF(DATOS_[[Check Periodo Ref.]:[Check Periodo Ref.]]="Dentro",IF(DATOS_[[Check Equiparado]:[Check Equiparado]]="Sí",IF(DATOS!AR$5="Sí",(1/DATOS_[[% anualiz]:[% anualiz]]),1)*IF(DATOS!AR$4="Sí",1/DATOS_[[% normaliz]:[% normaliz]],1)*(DATOS_[Conc.Sal.14])))))))),
0)</f>
        <v>0</v>
      </c>
      <c r="X52" s="111">
        <f t="array" ref="X52">IFERROR(
(MEDIAN((IF(DATOS_[[Sexo]:[Sexo]]=$B52,IF(DATOS_[[AGRUP. CLAS. PROF.]:[AGRUP. CLAS. PROF.]]=$B51,IF(DATOS_[[Check Periodo Ref.]:[Check Periodo Ref.]]="Dentro",IF(DATOS_[[Check Equiparado]:[Check Equiparado]]="Sí",IF(DATOS!AS$5="Sí",(1/DATOS_[[% anualiz]:[% anualiz]]),1)*IF(DATOS!AS$4="Sí",1/DATOS_[[% normaliz]:[% normaliz]],1)*(DATOS_[Conc.Sal.15])))))))),
0)</f>
        <v>0</v>
      </c>
      <c r="Y52" s="111">
        <f t="array" ref="Y52">IFERROR(
(MEDIAN((IF(DATOS_[[Sexo]:[Sexo]]=$B52,IF(DATOS_[[AGRUP. CLAS. PROF.]:[AGRUP. CLAS. PROF.]]=$B51,IF(DATOS_[[Check Periodo Ref.]:[Check Periodo Ref.]]="Dentro",IF(DATOS_[[Check Equiparado]:[Check Equiparado]]="Sí",IF(DATOS!AT$5="Sí",(1/DATOS_[[% anualiz]:[% anualiz]]),1)*IF(DATOS!AT$4="Sí",1/DATOS_[[% normaliz]:[% normaliz]],1)*(DATOS_[Conc.Sal.16])))))))),
0)</f>
        <v>0</v>
      </c>
      <c r="Z52" s="111">
        <f t="array" ref="Z52">IFERROR(
(MEDIAN((IF(DATOS_[[Sexo]:[Sexo]]=$B52,IF(DATOS_[[AGRUP. CLAS. PROF.]:[AGRUP. CLAS. PROF.]]=$B51,IF(DATOS_[[Check Periodo Ref.]:[Check Periodo Ref.]]="Dentro",IF(DATOS_[[Check Equiparado]:[Check Equiparado]]="Sí",IF(DATOS!AU$5="Sí",(1/DATOS_[[% anualiz]:[% anualiz]]),1)*IF(DATOS!AU$4="Sí",1/DATOS_[[% normaliz]:[% normaliz]],1)*(DATOS_[Conc.Sal.17])))))))),
0)</f>
        <v>0</v>
      </c>
      <c r="AA52" s="111">
        <f t="array" ref="AA52">IFERROR(
(MEDIAN((IF(DATOS_[[Sexo]:[Sexo]]=$B52,IF(DATOS_[[AGRUP. CLAS. PROF.]:[AGRUP. CLAS. PROF.]]=$B51,IF(DATOS_[[Check Periodo Ref.]:[Check Periodo Ref.]]="Dentro",IF(DATOS_[[Check Equiparado]:[Check Equiparado]]="Sí",IF(DATOS!AV$5="Sí",(1/DATOS_[[% anualiz]:[% anualiz]]),1)*IF(DATOS!AV$4="Sí",1/DATOS_[[% normaliz]:[% normaliz]],1)*(DATOS_[Conc.Sal.18])))))))),
0)</f>
        <v>0</v>
      </c>
      <c r="AB52" s="111">
        <f t="array" ref="AB52">IFERROR(
(MEDIAN((IF(DATOS_[[Sexo]:[Sexo]]=$B52,IF(DATOS_[[AGRUP. CLAS. PROF.]:[AGRUP. CLAS. PROF.]]=$B51,IF(DATOS_[[Check Periodo Ref.]:[Check Periodo Ref.]]="Dentro",IF(DATOS_[[Check Equiparado]:[Check Equiparado]]="Sí",IF(DATOS!AW$5="Sí",(1/DATOS_[[% anualiz]:[% anualiz]]),1)*IF(DATOS!AW$4="Sí",1/DATOS_[[% normaliz]:[% normaliz]],1)*(DATOS_[Conc.Sal.19])))))))),
0)</f>
        <v>0</v>
      </c>
      <c r="AC52" s="111">
        <f t="array" ref="AC52">IFERROR(
(MEDIAN((IF(DATOS_[[Sexo]:[Sexo]]=$B52,IF(DATOS_[[AGRUP. CLAS. PROF.]:[AGRUP. CLAS. PROF.]]=$B51,IF(DATOS_[[Check Periodo Ref.]:[Check Periodo Ref.]]="Dentro",IF(DATOS_[[Check Equiparado]:[Check Equiparado]]="Sí",IF(DATOS!AX$5="Sí",(1/DATOS_[[% anualiz]:[% anualiz]]),1)*IF(DATOS!AX$4="Sí",1/DATOS_[[% normaliz]:[% normaliz]],1)*(DATOS_[Conc.Sal.20])))))))),
0)</f>
        <v>0</v>
      </c>
      <c r="AD52" s="111">
        <f t="array" ref="AD52">IFERROR(
(MEDIAN((IF(DATOS_[[Sexo]:[Sexo]]=$B52,IF(DATOS_[[AGRUP. CLAS. PROF.]:[AGRUP. CLAS. PROF.]]=$B51,IF(DATOS_[[Check Periodo Ref.]:[Check Periodo Ref.]]="Dentro",IF(DATOS_[[Check Equiparado]:[Check Equiparado]]="Sí",IF(DATOS!AY$5="Sí",(1/DATOS_[[% anualiz]:[% anualiz]]),1)*IF(DATOS!AY$4="Sí",1/DATOS_[[% normaliz]:[% normaliz]],1)*(DATOS_[Conc.Sal.21])))))))),
0)</f>
        <v>0</v>
      </c>
      <c r="AE52" s="111">
        <f t="array" ref="AE52">IFERROR(
(MEDIAN((IF(DATOS_[[Sexo]:[Sexo]]=$B52,IF(DATOS_[[AGRUP. CLAS. PROF.]:[AGRUP. CLAS. PROF.]]=$B51,IF(DATOS_[[Check Periodo Ref.]:[Check Periodo Ref.]]="Dentro",IF(DATOS_[[Check Equiparado]:[Check Equiparado]]="Sí",IF(DATOS!AZ$5="Sí",(1/DATOS_[[% anualiz]:[% anualiz]]),1)*IF(DATOS!AZ$4="Sí",1/DATOS_[[% normaliz]:[% normaliz]],1)*(DATOS_[Conc.Sal.22])))))))),
0)</f>
        <v>0</v>
      </c>
      <c r="AF52" s="111">
        <f t="array" ref="AF52">IFERROR(
(MEDIAN((IF(DATOS_[[Sexo]:[Sexo]]=$B52,IF(DATOS_[[AGRUP. CLAS. PROF.]:[AGRUP. CLAS. PROF.]]=$B51,IF(DATOS_[[Check Periodo Ref.]:[Check Periodo Ref.]]="Dentro",IF(DATOS_[[Check Equiparado]:[Check Equiparado]]="Sí",IF(DATOS!BA$5="Sí",(1/DATOS_[[% anualiz]:[% anualiz]]),1)*IF(DATOS!BA$4="Sí",1/DATOS_[[% normaliz]:[% normaliz]],1)*(DATOS_[Conc.Sal.23])))))))),
0)</f>
        <v>0</v>
      </c>
      <c r="AG52" s="111">
        <f t="array" ref="AG52">IFERROR(
(MEDIAN((IF(DATOS_[[Sexo]:[Sexo]]=$B52,IF(DATOS_[[AGRUP. CLAS. PROF.]:[AGRUP. CLAS. PROF.]]=$B51,IF(DATOS_[[Check Periodo Ref.]:[Check Periodo Ref.]]="Dentro",IF(DATOS_[[Check Equiparado]:[Check Equiparado]]="Sí",IF(DATOS!BB$5="Sí",(1/DATOS_[[% anualiz]:[% anualiz]]),1)*IF(DATOS!BB$4="Sí",1/DATOS_[[% normaliz]:[% normaliz]],1)*(DATOS_[Conc.Sal.24])))))))),
0)</f>
        <v>0</v>
      </c>
      <c r="AH52" s="111">
        <f t="array" ref="AH52">IFERROR(
(MEDIAN((IF(DATOS_[[Sexo]:[Sexo]]=$B52,IF(DATOS_[[AGRUP. CLAS. PROF.]:[AGRUP. CLAS. PROF.]]=$B51,IF(DATOS_[[Check Periodo Ref.]:[Check Periodo Ref.]]="Dentro",IF(DATOS_[[Check Equiparado]:[Check Equiparado]]="Sí",IF(DATOS!BC$5="Sí",(1/DATOS_[[% anualiz]:[% anualiz]]),1)*IF(DATOS!BC$4="Sí",1/DATOS_[[% normaliz]:[% normaliz]],1)*(DATOS_[Conc.Sal.25])))))))),
0)</f>
        <v>0</v>
      </c>
      <c r="AI52" s="111">
        <f t="array" ref="AI52">IFERROR(
(MEDIAN((IF(DATOS_[[Sexo]:[Sexo]]=$B52,IF(DATOS_[[AGRUP. CLAS. PROF.]:[AGRUP. CLAS. PROF.]]=$B51,IF(DATOS_[[Check Periodo Ref.]:[Check Periodo Ref.]]="Dentro",IF(DATOS_[[Check Equiparado]:[Check Equiparado]]="Sí",IF(DATOS!BD$5="Sí",(1/DATOS_[[% anualiz]:[% anualiz]]),1)*IF(DATOS!BD$4="Sí",1/DATOS_[[% normaliz]:[% normaliz]],1)*(DATOS_[Conc.Sal.26])))))))),
0)</f>
        <v>0</v>
      </c>
      <c r="AJ52" s="111">
        <f t="array" ref="AJ52">IFERROR(
(MEDIAN((IF(DATOS_[[Sexo]:[Sexo]]=$B52,IF(DATOS_[[AGRUP. CLAS. PROF.]:[AGRUP. CLAS. PROF.]]=$B51,IF(DATOS_[[Check Periodo Ref.]:[Check Periodo Ref.]]="Dentro",IF(DATOS_[[Check Equiparado]:[Check Equiparado]]="Sí",IF(DATOS!BE$5="Sí",(1/DATOS_[[% anualiz]:[% anualiz]]),1)*IF(DATOS!BE$4="Sí",1/DATOS_[[% normaliz]:[% normaliz]],1)*(DATOS_[Conc.Sal.27])))))))),
0)</f>
        <v>0</v>
      </c>
      <c r="AK52" s="111">
        <f t="array" ref="AK52">IFERROR(
(MEDIAN((IF(DATOS_[[Sexo]:[Sexo]]=$B52,IF(DATOS_[[AGRUP. CLAS. PROF.]:[AGRUP. CLAS. PROF.]]=$B51,IF(DATOS_[[Check Periodo Ref.]:[Check Periodo Ref.]]="Dentro",IF(DATOS_[[Check Equiparado]:[Check Equiparado]]="Sí",IF(DATOS!BF$5="Sí",(1/DATOS_[[% anualiz]:[% anualiz]]),1)*IF(DATOS!BF$4="Sí",1/DATOS_[[% normaliz]:[% normaliz]],1)*(DATOS_[Conc.Sal.28])))))))),
0)</f>
        <v>0</v>
      </c>
      <c r="AL52" s="111">
        <f t="array" ref="AL52">IFERROR(
(MEDIAN((IF(DATOS_[[Sexo]:[Sexo]]=$B52,IF(DATOS_[[AGRUP. CLAS. PROF.]:[AGRUP. CLAS. PROF.]]=$B51,IF(DATOS_[[Check Periodo Ref.]:[Check Periodo Ref.]]="Dentro",IF(DATOS_[[Check Equiparado]:[Check Equiparado]]="Sí",IF(DATOS!BG$5="Sí",(1/DATOS_[[% anualiz]:[% anualiz]]),1)*IF(DATOS!BG$4="Sí",1/DATOS_[[% normaliz]:[% normaliz]],1)*(DATOS_[Conc.Sal.29])))))))),
0)</f>
        <v>0</v>
      </c>
      <c r="AM52" s="111">
        <f t="array" ref="AM52">IFERROR(
(MEDIAN((IF(DATOS_[[Sexo]:[Sexo]]=$B52,IF(DATOS_[[AGRUP. CLAS. PROF.]:[AGRUP. CLAS. PROF.]]=$B51,IF(DATOS_[[Check Periodo Ref.]:[Check Periodo Ref.]]="Dentro",IF(DATOS_[[Check Equiparado]:[Check Equiparado]]="Sí",IF(DATOS!BH$5="Sí",(1/DATOS_[[% anualiz]:[% anualiz]]),1)*IF(DATOS!BH$4="Sí",1/DATOS_[[% normaliz]:[% normaliz]],1)*(DATOS_[Conc.Sal.30])))))))),
0)</f>
        <v>0</v>
      </c>
      <c r="AN52" s="112">
        <f t="array" ref="AN52">IFERROR(
MEDIAN(IF(DATOS_[Sexo]=$B52,IF(DATOS_[[AGRUP. CLAS. PROF.]:[AGRUP. CLAS. PROF.]]=$B51,IF(DATOS_[Check Equiparado]="Sí",IF(DATOS_[Check Periodo Ref.]="Dentro",DATOS_[Tot COMPL.SAL Eq],FALSE))))),
0)</f>
        <v>0</v>
      </c>
      <c r="AO52" s="113">
        <f t="array" ref="AO52">IFERROR(
MEDIAN(IF(DATOS_[Sexo]=$B52,IF(DATOS_[[AGRUP. CLAS. PROF.]:[AGRUP. CLAS. PROF.]]=$B51,IF(DATOS_[Check Equiparado]="Sí",IF(DATOS_[Check Periodo Ref.]="Dentro",DATOS_[TOTAL SALARIO Eq],FALSE))))),
0)</f>
        <v>0</v>
      </c>
      <c r="AP52" s="114">
        <f t="array" ref="AP52">IFERROR(
(MEDIAN((IF(DATOS_[[Sexo]:[Sexo]]=$B52,IF(DATOS_[[AGRUP. CLAS. PROF.]:[AGRUP. CLAS. PROF.]]=$B51,IF(DATOS_[[Check Periodo Ref.]:[Check Periodo Ref.]]="Dentro",IF(DATOS_[[Check Equiparado]:[Check Equiparado]]="Sí",IF(DATOS!BI$5="Sí",(1/DATOS_[[% anualiz]:[% anualiz]]),1)*IF(DATOS!BI$4="Sí",1/DATOS_[[% normaliz]:[% normaliz]],1)*(DATOS_[C.Extra.01])))))))),
0)</f>
        <v>0</v>
      </c>
      <c r="AQ52" s="114">
        <f t="array" ref="AQ52">IFERROR(
(MEDIAN((IF(DATOS_[[Sexo]:[Sexo]]=$B52,IF(DATOS_[[AGRUP. CLAS. PROF.]:[AGRUP. CLAS. PROF.]]=$B51,IF(DATOS_[[Check Periodo Ref.]:[Check Periodo Ref.]]="Dentro",IF(DATOS_[[Check Equiparado]:[Check Equiparado]]="Sí",IF(DATOS!BJ$5="Sí",(1/DATOS_[[% anualiz]:[% anualiz]]),1)*IF(DATOS!BJ$4="Sí",1/DATOS_[[% normaliz]:[% normaliz]],1)*(DATOS_[C.Extra.02])))))))),
0)</f>
        <v>0</v>
      </c>
      <c r="AR52" s="114">
        <f t="array" ref="AR52">IFERROR(
(MEDIAN((IF(DATOS_[[Sexo]:[Sexo]]=$B52,IF(DATOS_[[AGRUP. CLAS. PROF.]:[AGRUP. CLAS. PROF.]]=$B51,IF(DATOS_[[Check Periodo Ref.]:[Check Periodo Ref.]]="Dentro",IF(DATOS_[[Check Equiparado]:[Check Equiparado]]="Sí",IF(DATOS!BK$5="Sí",(1/DATOS_[[% anualiz]:[% anualiz]]),1)*IF(DATOS!BK$4="Sí",1/DATOS_[[% normaliz]:[% normaliz]],1)*(DATOS_[C.Extra.03])))))))),
0)</f>
        <v>0</v>
      </c>
      <c r="AS52" s="114">
        <f t="array" ref="AS52">IFERROR(
(MEDIAN((IF(DATOS_[[Sexo]:[Sexo]]=$B52,IF(DATOS_[[AGRUP. CLAS. PROF.]:[AGRUP. CLAS. PROF.]]=$B51,IF(DATOS_[[Check Periodo Ref.]:[Check Periodo Ref.]]="Dentro",IF(DATOS_[[Check Equiparado]:[Check Equiparado]]="Sí",IF(DATOS!BL$5="Sí",(1/DATOS_[[% anualiz]:[% anualiz]]),1)*IF(DATOS!BL$4="Sí",1/DATOS_[[% normaliz]:[% normaliz]],1)*(DATOS_[C.Extra.04])))))))),
0)</f>
        <v>0</v>
      </c>
      <c r="AT52" s="114">
        <f t="array" ref="AT52">IFERROR(
(MEDIAN((IF(DATOS_[[Sexo]:[Sexo]]=$B52,IF(DATOS_[[AGRUP. CLAS. PROF.]:[AGRUP. CLAS. PROF.]]=$B51,IF(DATOS_[[Check Periodo Ref.]:[Check Periodo Ref.]]="Dentro",IF(DATOS_[[Check Equiparado]:[Check Equiparado]]="Sí",IF(DATOS!BM$5="Sí",(1/DATOS_[[% anualiz]:[% anualiz]]),1)*IF(DATOS!BM$4="Sí",1/DATOS_[[% normaliz]:[% normaliz]],1)*(DATOS_[C.Extra.05])))))))),
0)</f>
        <v>0</v>
      </c>
      <c r="AU52" s="115">
        <f t="array" ref="AU52">IFERROR(
MEDIAN(IF(DATOS_[Sexo]=$B52,IF(DATOS_[[AGRUP. CLAS. PROF.]:[AGRUP. CLAS. PROF.]]=$B51,IF(DATOS_[Check Equiparado]="Sí",IF(DATOS_[Check Periodo Ref.]="Dentro",DATOS_[Tot Extrasalarial Eq],FALSE))))),
0)</f>
        <v>0</v>
      </c>
      <c r="AV52" s="116">
        <f t="array" ref="AV52">IFERROR(
MEDIAN(IF(DATOS_[Sexo]=$B52,IF(DATOS_[[AGRUP. CLAS. PROF.]:[AGRUP. CLAS. PROF.]]=$B51,IF(DATOS_[Check Equiparado]="Sí",IF(DATOS_[Check Periodo Ref.]="Dentro",DATOS_[TOTAL Retrib Eq],FALSE))))),
0)</f>
        <v>0</v>
      </c>
    </row>
    <row r="53" spans="1:48" hidden="1" x14ac:dyDescent="0.3">
      <c r="A53" s="42" t="str">
        <f t="shared" ref="A53" si="54">+A52</f>
        <v>[ocultar]</v>
      </c>
      <c r="B53" s="86" t="s">
        <v>163</v>
      </c>
      <c r="C53" s="33">
        <f t="array" ref="C53">SUM(IF($B53=DATOS_[Sexo],
IF($B51=DATOS_[AGRUP. CLAS. PROF.],
IF("Dentro"=DATOS_[Check Periodo Ref.],
1/(COUNTIFS(DATOS_[Sexo],$B53,DATOS_[AGRUP. CLAS. PROF.],$B51,DATOS_[Check Periodo Ref.],"Dentro",DATOS_[id],DATOS_[id]))))))</f>
        <v>0</v>
      </c>
      <c r="D53" s="35">
        <f>COUNTIFS(DATOS_[AGRUP. CLAS. PROF.],$B51,DATOS_[Sexo],$B53,DATOS_[Check Periodo Ref.],"Dentro")</f>
        <v>0</v>
      </c>
      <c r="E53" s="35">
        <f>COUNTIFS(DATOS_[AGRUP. CLAS. PROF.],$B51,DATOS_[Sexo],$B53,DATOS_[Check Periodo Ref.],"Dentro",DATOS_[Check Nº SC Norm],"Sí")</f>
        <v>0</v>
      </c>
      <c r="F53" s="35">
        <f>COUNTIFS(DATOS_[AGRUP. CLAS. PROF.],$B51,DATOS_[Sexo],$B53,DATOS_[Check Periodo Ref.],"Dentro",DATOS_[Check Nº SC Anualiz],"Sí")</f>
        <v>0</v>
      </c>
      <c r="G53" s="35">
        <f>COUNTIFS(DATOS_[AGRUP. CLAS. PROF.],$B51,DATOS_[Sexo],$B53,DATOS_[Check Periodo Ref.],"Dentro",DATOS_[Check Nº SC Norm y Anualiz],"Sí")</f>
        <v>0</v>
      </c>
      <c r="H53" s="35">
        <f>COUNTIFS(DATOS_[AGRUP. CLAS. PROF.],$B51,DATOS_[Sexo],$B53,DATOS_[Check Periodo Ref.],"Dentro",DATOS_[Check Equiparación],"Sí")</f>
        <v>0</v>
      </c>
      <c r="I53" s="110" cm="1">
        <f t="array" ref="I53">IFERROR(
MEDIAN(IF(DATOS_[Sexo]=$B53,IF(DATOS_[[AGRUP. CLAS. PROF.]:[AGRUP. CLAS. PROF.]]=$B51,IF(DATOS_[Check Equiparado]="Sí",IF(DATOS_[Check Periodo Ref.]="Dentro",DATOS_[SALARIO BASE Eq],FALSE))))),
0)</f>
        <v>0</v>
      </c>
      <c r="J53" s="111">
        <f t="array" ref="J53">IFERROR(
(MEDIAN((IF(DATOS_[[Sexo]:[Sexo]]=$B53,IF(DATOS_[[AGRUP. CLAS. PROF.]:[AGRUP. CLAS. PROF.]]=$B51,IF(DATOS_[[Check Periodo Ref.]:[Check Periodo Ref.]]="Dentro",IF(DATOS_[[Check Equiparado]:[Check Equiparado]]="Sí",IF(DATOS!AE$5="Sí",(1/DATOS_[[% anualiz]:[% anualiz]]),1)*IF(DATOS!AE$4="Sí",1/DATOS_[[% normaliz]:[% normaliz]],1)*(DATOS_[Conc.Sal.01])))))))),
0)</f>
        <v>0</v>
      </c>
      <c r="K53" s="111">
        <f t="array" ref="K53">IFERROR(
(MEDIAN((IF(DATOS_[[Sexo]:[Sexo]]=$B53,IF(DATOS_[[AGRUP. CLAS. PROF.]:[AGRUP. CLAS. PROF.]]=$B51,IF(DATOS_[[Check Periodo Ref.]:[Check Periodo Ref.]]="Dentro",IF(DATOS_[[Check Equiparado]:[Check Equiparado]]="Sí",IF(DATOS!AF$5="Sí",(1/DATOS_[[% anualiz]:[% anualiz]]),1)*IF(DATOS!AF$4="Sí",1/DATOS_[[% normaliz]:[% normaliz]],1)*(DATOS_[Conc.Sal.02])))))))),
0)</f>
        <v>0</v>
      </c>
      <c r="L53" s="111">
        <f t="array" ref="L53">IFERROR(
(MEDIAN((IF(DATOS_[[Sexo]:[Sexo]]=$B53,IF(DATOS_[[AGRUP. CLAS. PROF.]:[AGRUP. CLAS. PROF.]]=$B51,IF(DATOS_[[Check Periodo Ref.]:[Check Periodo Ref.]]="Dentro",IF(DATOS_[[Check Equiparado]:[Check Equiparado]]="Sí",IF(DATOS!AG$5="Sí",(1/DATOS_[[% anualiz]:[% anualiz]]),1)*IF(DATOS!AG$4="Sí",1/DATOS_[[% normaliz]:[% normaliz]],1)*(DATOS_[Conc.Sal.03])))))))),
0)</f>
        <v>0</v>
      </c>
      <c r="M53" s="111">
        <f t="array" ref="M53">IFERROR(
(MEDIAN((IF(DATOS_[[Sexo]:[Sexo]]=$B53,IF(DATOS_[[AGRUP. CLAS. PROF.]:[AGRUP. CLAS. PROF.]]=$B51,IF(DATOS_[[Check Periodo Ref.]:[Check Periodo Ref.]]="Dentro",IF(DATOS_[[Check Equiparado]:[Check Equiparado]]="Sí",IF(DATOS!AH$5="Sí",(1/DATOS_[[% anualiz]:[% anualiz]]),1)*IF(DATOS!AH$4="Sí",1/DATOS_[[% normaliz]:[% normaliz]],1)*(DATOS_[Conc.Sal.04])))))))),
0)</f>
        <v>0</v>
      </c>
      <c r="N53" s="111">
        <f t="array" ref="N53">IFERROR(
(MEDIAN((IF(DATOS_[[Sexo]:[Sexo]]=$B53,IF(DATOS_[[AGRUP. CLAS. PROF.]:[AGRUP. CLAS. PROF.]]=$B51,IF(DATOS_[[Check Periodo Ref.]:[Check Periodo Ref.]]="Dentro",IF(DATOS_[[Check Equiparado]:[Check Equiparado]]="Sí",IF(DATOS!AI$5="Sí",(1/DATOS_[[% anualiz]:[% anualiz]]),1)*IF(DATOS!AI$4="Sí",1/DATOS_[[% normaliz]:[% normaliz]],1)*(DATOS_[Conc.Sal.05])))))))),
0)</f>
        <v>0</v>
      </c>
      <c r="O53" s="111">
        <f t="array" ref="O53">IFERROR(
(MEDIAN((IF(DATOS_[[Sexo]:[Sexo]]=$B53,IF(DATOS_[[AGRUP. CLAS. PROF.]:[AGRUP. CLAS. PROF.]]=$B51,IF(DATOS_[[Check Periodo Ref.]:[Check Periodo Ref.]]="Dentro",IF(DATOS_[[Check Equiparado]:[Check Equiparado]]="Sí",IF(DATOS!AJ$5="Sí",(1/DATOS_[[% anualiz]:[% anualiz]]),1)*IF(DATOS!AJ$4="Sí",1/DATOS_[[% normaliz]:[% normaliz]],1)*(DATOS_[Conc.Sal.06])))))))),
0)</f>
        <v>0</v>
      </c>
      <c r="P53" s="111">
        <f t="array" ref="P53">IFERROR(
(MEDIAN((IF(DATOS_[[Sexo]:[Sexo]]=$B53,IF(DATOS_[[AGRUP. CLAS. PROF.]:[AGRUP. CLAS. PROF.]]=$B51,IF(DATOS_[[Check Periodo Ref.]:[Check Periodo Ref.]]="Dentro",IF(DATOS_[[Check Equiparado]:[Check Equiparado]]="Sí",IF(DATOS!AK$5="Sí",(1/DATOS_[[% anualiz]:[% anualiz]]),1)*IF(DATOS!AK$4="Sí",1/DATOS_[[% normaliz]:[% normaliz]],1)*(DATOS_[Conc.Sal.07])))))))),
0)</f>
        <v>0</v>
      </c>
      <c r="Q53" s="111">
        <f t="array" ref="Q53">IFERROR(
(MEDIAN((IF(DATOS_[[Sexo]:[Sexo]]=$B53,IF(DATOS_[[AGRUP. CLAS. PROF.]:[AGRUP. CLAS. PROF.]]=$B51,IF(DATOS_[[Check Periodo Ref.]:[Check Periodo Ref.]]="Dentro",IF(DATOS_[[Check Equiparado]:[Check Equiparado]]="Sí",IF(DATOS!AL$5="Sí",(1/DATOS_[[% anualiz]:[% anualiz]]),1)*IF(DATOS!AL$4="Sí",1/DATOS_[[% normaliz]:[% normaliz]],1)*(DATOS_[Conc.Sal.08])))))))),
0)</f>
        <v>0</v>
      </c>
      <c r="R53" s="111">
        <f t="array" ref="R53">IFERROR(
(MEDIAN((IF(DATOS_[[Sexo]:[Sexo]]=$B53,IF(DATOS_[[AGRUP. CLAS. PROF.]:[AGRUP. CLAS. PROF.]]=$B51,IF(DATOS_[[Check Periodo Ref.]:[Check Periodo Ref.]]="Dentro",IF(DATOS_[[Check Equiparado]:[Check Equiparado]]="Sí",IF(DATOS!AM$5="Sí",(1/DATOS_[[% anualiz]:[% anualiz]]),1)*IF(DATOS!AM$4="Sí",1/DATOS_[[% normaliz]:[% normaliz]],1)*(DATOS_[Conc.Sal.09])))))))),
0)</f>
        <v>0</v>
      </c>
      <c r="S53" s="111">
        <f t="array" ref="S53">IFERROR(
(MEDIAN((IF(DATOS_[[Sexo]:[Sexo]]=$B53,IF(DATOS_[[AGRUP. CLAS. PROF.]:[AGRUP. CLAS. PROF.]]=$B51,IF(DATOS_[[Check Periodo Ref.]:[Check Periodo Ref.]]="Dentro",IF(DATOS_[[Check Equiparado]:[Check Equiparado]]="Sí",IF(DATOS!AN$5="Sí",(1/DATOS_[[% anualiz]:[% anualiz]]),1)*IF(DATOS!AN$4="Sí",1/DATOS_[[% normaliz]:[% normaliz]],1)*(DATOS_[Conc.Sal.10])))))))),
0)</f>
        <v>0</v>
      </c>
      <c r="T53" s="111">
        <f t="array" ref="T53">IFERROR(
(MEDIAN((IF(DATOS_[[Sexo]:[Sexo]]=$B53,IF(DATOS_[[AGRUP. CLAS. PROF.]:[AGRUP. CLAS. PROF.]]=$B51,IF(DATOS_[[Check Periodo Ref.]:[Check Periodo Ref.]]="Dentro",IF(DATOS_[[Check Equiparado]:[Check Equiparado]]="Sí",IF(DATOS!AO$5="Sí",(1/DATOS_[[% anualiz]:[% anualiz]]),1)*IF(DATOS!AO$4="Sí",1/DATOS_[[% normaliz]:[% normaliz]],1)*(DATOS_[Conc.Sal.11])))))))),
0)</f>
        <v>0</v>
      </c>
      <c r="U53" s="111">
        <f t="array" ref="U53">IFERROR(
(MEDIAN((IF(DATOS_[[Sexo]:[Sexo]]=$B53,IF(DATOS_[[AGRUP. CLAS. PROF.]:[AGRUP. CLAS. PROF.]]=$B51,IF(DATOS_[[Check Periodo Ref.]:[Check Periodo Ref.]]="Dentro",IF(DATOS_[[Check Equiparado]:[Check Equiparado]]="Sí",IF(DATOS!AP$5="Sí",(1/DATOS_[[% anualiz]:[% anualiz]]),1)*IF(DATOS!AP$4="Sí",1/DATOS_[[% normaliz]:[% normaliz]],1)*(DATOS_[Conc.Sal.12])))))))),
0)</f>
        <v>0</v>
      </c>
      <c r="V53" s="111">
        <f t="array" ref="V53">IFERROR(
(MEDIAN((IF(DATOS_[[Sexo]:[Sexo]]=$B53,IF(DATOS_[[AGRUP. CLAS. PROF.]:[AGRUP. CLAS. PROF.]]=$B51,IF(DATOS_[[Check Periodo Ref.]:[Check Periodo Ref.]]="Dentro",IF(DATOS_[[Check Equiparado]:[Check Equiparado]]="Sí",IF(DATOS!AQ$5="Sí",(1/DATOS_[[% anualiz]:[% anualiz]]),1)*IF(DATOS!AQ$4="Sí",1/DATOS_[[% normaliz]:[% normaliz]],1)*(DATOS_[Conc.Sal.13])))))))),
0)</f>
        <v>0</v>
      </c>
      <c r="W53" s="111">
        <f t="array" ref="W53">IFERROR(
(MEDIAN((IF(DATOS_[[Sexo]:[Sexo]]=$B53,IF(DATOS_[[AGRUP. CLAS. PROF.]:[AGRUP. CLAS. PROF.]]=$B51,IF(DATOS_[[Check Periodo Ref.]:[Check Periodo Ref.]]="Dentro",IF(DATOS_[[Check Equiparado]:[Check Equiparado]]="Sí",IF(DATOS!AR$5="Sí",(1/DATOS_[[% anualiz]:[% anualiz]]),1)*IF(DATOS!AR$4="Sí",1/DATOS_[[% normaliz]:[% normaliz]],1)*(DATOS_[Conc.Sal.14])))))))),
0)</f>
        <v>0</v>
      </c>
      <c r="X53" s="111">
        <f t="array" ref="X53">IFERROR(
(MEDIAN((IF(DATOS_[[Sexo]:[Sexo]]=$B53,IF(DATOS_[[AGRUP. CLAS. PROF.]:[AGRUP. CLAS. PROF.]]=$B51,IF(DATOS_[[Check Periodo Ref.]:[Check Periodo Ref.]]="Dentro",IF(DATOS_[[Check Equiparado]:[Check Equiparado]]="Sí",IF(DATOS!AS$5="Sí",(1/DATOS_[[% anualiz]:[% anualiz]]),1)*IF(DATOS!AS$4="Sí",1/DATOS_[[% normaliz]:[% normaliz]],1)*(DATOS_[Conc.Sal.15])))))))),
0)</f>
        <v>0</v>
      </c>
      <c r="Y53" s="111">
        <f t="array" ref="Y53">IFERROR(
(MEDIAN((IF(DATOS_[[Sexo]:[Sexo]]=$B53,IF(DATOS_[[AGRUP. CLAS. PROF.]:[AGRUP. CLAS. PROF.]]=$B51,IF(DATOS_[[Check Periodo Ref.]:[Check Periodo Ref.]]="Dentro",IF(DATOS_[[Check Equiparado]:[Check Equiparado]]="Sí",IF(DATOS!AT$5="Sí",(1/DATOS_[[% anualiz]:[% anualiz]]),1)*IF(DATOS!AT$4="Sí",1/DATOS_[[% normaliz]:[% normaliz]],1)*(DATOS_[Conc.Sal.16])))))))),
0)</f>
        <v>0</v>
      </c>
      <c r="Z53" s="111">
        <f t="array" ref="Z53">IFERROR(
(MEDIAN((IF(DATOS_[[Sexo]:[Sexo]]=$B53,IF(DATOS_[[AGRUP. CLAS. PROF.]:[AGRUP. CLAS. PROF.]]=$B51,IF(DATOS_[[Check Periodo Ref.]:[Check Periodo Ref.]]="Dentro",IF(DATOS_[[Check Equiparado]:[Check Equiparado]]="Sí",IF(DATOS!AU$5="Sí",(1/DATOS_[[% anualiz]:[% anualiz]]),1)*IF(DATOS!AU$4="Sí",1/DATOS_[[% normaliz]:[% normaliz]],1)*(DATOS_[Conc.Sal.17])))))))),
0)</f>
        <v>0</v>
      </c>
      <c r="AA53" s="111">
        <f t="array" ref="AA53">IFERROR(
(MEDIAN((IF(DATOS_[[Sexo]:[Sexo]]=$B53,IF(DATOS_[[AGRUP. CLAS. PROF.]:[AGRUP. CLAS. PROF.]]=$B51,IF(DATOS_[[Check Periodo Ref.]:[Check Periodo Ref.]]="Dentro",IF(DATOS_[[Check Equiparado]:[Check Equiparado]]="Sí",IF(DATOS!AV$5="Sí",(1/DATOS_[[% anualiz]:[% anualiz]]),1)*IF(DATOS!AV$4="Sí",1/DATOS_[[% normaliz]:[% normaliz]],1)*(DATOS_[Conc.Sal.18])))))))),
0)</f>
        <v>0</v>
      </c>
      <c r="AB53" s="111">
        <f t="array" ref="AB53">IFERROR(
(MEDIAN((IF(DATOS_[[Sexo]:[Sexo]]=$B53,IF(DATOS_[[AGRUP. CLAS. PROF.]:[AGRUP. CLAS. PROF.]]=$B51,IF(DATOS_[[Check Periodo Ref.]:[Check Periodo Ref.]]="Dentro",IF(DATOS_[[Check Equiparado]:[Check Equiparado]]="Sí",IF(DATOS!AW$5="Sí",(1/DATOS_[[% anualiz]:[% anualiz]]),1)*IF(DATOS!AW$4="Sí",1/DATOS_[[% normaliz]:[% normaliz]],1)*(DATOS_[Conc.Sal.19])))))))),
0)</f>
        <v>0</v>
      </c>
      <c r="AC53" s="111">
        <f t="array" ref="AC53">IFERROR(
(MEDIAN((IF(DATOS_[[Sexo]:[Sexo]]=$B53,IF(DATOS_[[AGRUP. CLAS. PROF.]:[AGRUP. CLAS. PROF.]]=$B51,IF(DATOS_[[Check Periodo Ref.]:[Check Periodo Ref.]]="Dentro",IF(DATOS_[[Check Equiparado]:[Check Equiparado]]="Sí",IF(DATOS!AX$5="Sí",(1/DATOS_[[% anualiz]:[% anualiz]]),1)*IF(DATOS!AX$4="Sí",1/DATOS_[[% normaliz]:[% normaliz]],1)*(DATOS_[Conc.Sal.20])))))))),
0)</f>
        <v>0</v>
      </c>
      <c r="AD53" s="111">
        <f t="array" ref="AD53">IFERROR(
(MEDIAN((IF(DATOS_[[Sexo]:[Sexo]]=$B53,IF(DATOS_[[AGRUP. CLAS. PROF.]:[AGRUP. CLAS. PROF.]]=$B51,IF(DATOS_[[Check Periodo Ref.]:[Check Periodo Ref.]]="Dentro",IF(DATOS_[[Check Equiparado]:[Check Equiparado]]="Sí",IF(DATOS!AY$5="Sí",(1/DATOS_[[% anualiz]:[% anualiz]]),1)*IF(DATOS!AY$4="Sí",1/DATOS_[[% normaliz]:[% normaliz]],1)*(DATOS_[Conc.Sal.21])))))))),
0)</f>
        <v>0</v>
      </c>
      <c r="AE53" s="111">
        <f t="array" ref="AE53">IFERROR(
(MEDIAN((IF(DATOS_[[Sexo]:[Sexo]]=$B53,IF(DATOS_[[AGRUP. CLAS. PROF.]:[AGRUP. CLAS. PROF.]]=$B51,IF(DATOS_[[Check Periodo Ref.]:[Check Periodo Ref.]]="Dentro",IF(DATOS_[[Check Equiparado]:[Check Equiparado]]="Sí",IF(DATOS!AZ$5="Sí",(1/DATOS_[[% anualiz]:[% anualiz]]),1)*IF(DATOS!AZ$4="Sí",1/DATOS_[[% normaliz]:[% normaliz]],1)*(DATOS_[Conc.Sal.22])))))))),
0)</f>
        <v>0</v>
      </c>
      <c r="AF53" s="111">
        <f t="array" ref="AF53">IFERROR(
(MEDIAN((IF(DATOS_[[Sexo]:[Sexo]]=$B53,IF(DATOS_[[AGRUP. CLAS. PROF.]:[AGRUP. CLAS. PROF.]]=$B51,IF(DATOS_[[Check Periodo Ref.]:[Check Periodo Ref.]]="Dentro",IF(DATOS_[[Check Equiparado]:[Check Equiparado]]="Sí",IF(DATOS!BA$5="Sí",(1/DATOS_[[% anualiz]:[% anualiz]]),1)*IF(DATOS!BA$4="Sí",1/DATOS_[[% normaliz]:[% normaliz]],1)*(DATOS_[Conc.Sal.23])))))))),
0)</f>
        <v>0</v>
      </c>
      <c r="AG53" s="111">
        <f t="array" ref="AG53">IFERROR(
(MEDIAN((IF(DATOS_[[Sexo]:[Sexo]]=$B53,IF(DATOS_[[AGRUP. CLAS. PROF.]:[AGRUP. CLAS. PROF.]]=$B51,IF(DATOS_[[Check Periodo Ref.]:[Check Periodo Ref.]]="Dentro",IF(DATOS_[[Check Equiparado]:[Check Equiparado]]="Sí",IF(DATOS!BB$5="Sí",(1/DATOS_[[% anualiz]:[% anualiz]]),1)*IF(DATOS!BB$4="Sí",1/DATOS_[[% normaliz]:[% normaliz]],1)*(DATOS_[Conc.Sal.24])))))))),
0)</f>
        <v>0</v>
      </c>
      <c r="AH53" s="111">
        <f t="array" ref="AH53">IFERROR(
(MEDIAN((IF(DATOS_[[Sexo]:[Sexo]]=$B53,IF(DATOS_[[AGRUP. CLAS. PROF.]:[AGRUP. CLAS. PROF.]]=$B51,IF(DATOS_[[Check Periodo Ref.]:[Check Periodo Ref.]]="Dentro",IF(DATOS_[[Check Equiparado]:[Check Equiparado]]="Sí",IF(DATOS!BC$5="Sí",(1/DATOS_[[% anualiz]:[% anualiz]]),1)*IF(DATOS!BC$4="Sí",1/DATOS_[[% normaliz]:[% normaliz]],1)*(DATOS_[Conc.Sal.25])))))))),
0)</f>
        <v>0</v>
      </c>
      <c r="AI53" s="111">
        <f t="array" ref="AI53">IFERROR(
(MEDIAN((IF(DATOS_[[Sexo]:[Sexo]]=$B53,IF(DATOS_[[AGRUP. CLAS. PROF.]:[AGRUP. CLAS. PROF.]]=$B51,IF(DATOS_[[Check Periodo Ref.]:[Check Periodo Ref.]]="Dentro",IF(DATOS_[[Check Equiparado]:[Check Equiparado]]="Sí",IF(DATOS!BD$5="Sí",(1/DATOS_[[% anualiz]:[% anualiz]]),1)*IF(DATOS!BD$4="Sí",1/DATOS_[[% normaliz]:[% normaliz]],1)*(DATOS_[Conc.Sal.26])))))))),
0)</f>
        <v>0</v>
      </c>
      <c r="AJ53" s="111">
        <f t="array" ref="AJ53">IFERROR(
(MEDIAN((IF(DATOS_[[Sexo]:[Sexo]]=$B53,IF(DATOS_[[AGRUP. CLAS. PROF.]:[AGRUP. CLAS. PROF.]]=$B51,IF(DATOS_[[Check Periodo Ref.]:[Check Periodo Ref.]]="Dentro",IF(DATOS_[[Check Equiparado]:[Check Equiparado]]="Sí",IF(DATOS!BE$5="Sí",(1/DATOS_[[% anualiz]:[% anualiz]]),1)*IF(DATOS!BE$4="Sí",1/DATOS_[[% normaliz]:[% normaliz]],1)*(DATOS_[Conc.Sal.27])))))))),
0)</f>
        <v>0</v>
      </c>
      <c r="AK53" s="111">
        <f t="array" ref="AK53">IFERROR(
(MEDIAN((IF(DATOS_[[Sexo]:[Sexo]]=$B53,IF(DATOS_[[AGRUP. CLAS. PROF.]:[AGRUP. CLAS. PROF.]]=$B51,IF(DATOS_[[Check Periodo Ref.]:[Check Periodo Ref.]]="Dentro",IF(DATOS_[[Check Equiparado]:[Check Equiparado]]="Sí",IF(DATOS!BF$5="Sí",(1/DATOS_[[% anualiz]:[% anualiz]]),1)*IF(DATOS!BF$4="Sí",1/DATOS_[[% normaliz]:[% normaliz]],1)*(DATOS_[Conc.Sal.28])))))))),
0)</f>
        <v>0</v>
      </c>
      <c r="AL53" s="111">
        <f t="array" ref="AL53">IFERROR(
(MEDIAN((IF(DATOS_[[Sexo]:[Sexo]]=$B53,IF(DATOS_[[AGRUP. CLAS. PROF.]:[AGRUP. CLAS. PROF.]]=$B51,IF(DATOS_[[Check Periodo Ref.]:[Check Periodo Ref.]]="Dentro",IF(DATOS_[[Check Equiparado]:[Check Equiparado]]="Sí",IF(DATOS!BG$5="Sí",(1/DATOS_[[% anualiz]:[% anualiz]]),1)*IF(DATOS!BG$4="Sí",1/DATOS_[[% normaliz]:[% normaliz]],1)*(DATOS_[Conc.Sal.29])))))))),
0)</f>
        <v>0</v>
      </c>
      <c r="AM53" s="111">
        <f t="array" ref="AM53">IFERROR(
(MEDIAN((IF(DATOS_[[Sexo]:[Sexo]]=$B53,IF(DATOS_[[AGRUP. CLAS. PROF.]:[AGRUP. CLAS. PROF.]]=$B51,IF(DATOS_[[Check Periodo Ref.]:[Check Periodo Ref.]]="Dentro",IF(DATOS_[[Check Equiparado]:[Check Equiparado]]="Sí",IF(DATOS!BH$5="Sí",(1/DATOS_[[% anualiz]:[% anualiz]]),1)*IF(DATOS!BH$4="Sí",1/DATOS_[[% normaliz]:[% normaliz]],1)*(DATOS_[Conc.Sal.30])))))))),
0)</f>
        <v>0</v>
      </c>
      <c r="AN53" s="112">
        <f t="array" ref="AN53">IFERROR(
MEDIAN(IF(DATOS_[Sexo]=$B53,IF(DATOS_[[AGRUP. CLAS. PROF.]:[AGRUP. CLAS. PROF.]]=$B51,IF(DATOS_[Check Equiparado]="Sí",IF(DATOS_[Check Periodo Ref.]="Dentro",DATOS_[Tot COMPL.SAL Eq],FALSE))))),
0)</f>
        <v>0</v>
      </c>
      <c r="AO53" s="113">
        <f t="array" ref="AO53">IFERROR(
MEDIAN(IF(DATOS_[Sexo]=$B53,IF(DATOS_[[AGRUP. CLAS. PROF.]:[AGRUP. CLAS. PROF.]]=$B51,IF(DATOS_[Check Equiparado]="Sí",IF(DATOS_[Check Periodo Ref.]="Dentro",DATOS_[TOTAL SALARIO Eq],FALSE))))),
0)</f>
        <v>0</v>
      </c>
      <c r="AP53" s="114">
        <f t="array" ref="AP53">IFERROR(
(MEDIAN((IF(DATOS_[[Sexo]:[Sexo]]=$B53,IF(DATOS_[[AGRUP. CLAS. PROF.]:[AGRUP. CLAS. PROF.]]=$B51,IF(DATOS_[[Check Periodo Ref.]:[Check Periodo Ref.]]="Dentro",IF(DATOS_[[Check Equiparado]:[Check Equiparado]]="Sí",IF(DATOS!BI$5="Sí",(1/DATOS_[[% anualiz]:[% anualiz]]),1)*IF(DATOS!BI$4="Sí",1/DATOS_[[% normaliz]:[% normaliz]],1)*(DATOS_[C.Extra.01])))))))),
0)</f>
        <v>0</v>
      </c>
      <c r="AQ53" s="114">
        <f t="array" ref="AQ53">IFERROR(
(MEDIAN((IF(DATOS_[[Sexo]:[Sexo]]=$B53,IF(DATOS_[[AGRUP. CLAS. PROF.]:[AGRUP. CLAS. PROF.]]=$B51,IF(DATOS_[[Check Periodo Ref.]:[Check Periodo Ref.]]="Dentro",IF(DATOS_[[Check Equiparado]:[Check Equiparado]]="Sí",IF(DATOS!BJ$5="Sí",(1/DATOS_[[% anualiz]:[% anualiz]]),1)*IF(DATOS!BJ$4="Sí",1/DATOS_[[% normaliz]:[% normaliz]],1)*(DATOS_[C.Extra.02])))))))),
0)</f>
        <v>0</v>
      </c>
      <c r="AR53" s="114">
        <f t="array" ref="AR53">IFERROR(
(MEDIAN((IF(DATOS_[[Sexo]:[Sexo]]=$B53,IF(DATOS_[[AGRUP. CLAS. PROF.]:[AGRUP. CLAS. PROF.]]=$B51,IF(DATOS_[[Check Periodo Ref.]:[Check Periodo Ref.]]="Dentro",IF(DATOS_[[Check Equiparado]:[Check Equiparado]]="Sí",IF(DATOS!BK$5="Sí",(1/DATOS_[[% anualiz]:[% anualiz]]),1)*IF(DATOS!BK$4="Sí",1/DATOS_[[% normaliz]:[% normaliz]],1)*(DATOS_[C.Extra.03])))))))),
0)</f>
        <v>0</v>
      </c>
      <c r="AS53" s="114">
        <f t="array" ref="AS53">IFERROR(
(MEDIAN((IF(DATOS_[[Sexo]:[Sexo]]=$B53,IF(DATOS_[[AGRUP. CLAS. PROF.]:[AGRUP. CLAS. PROF.]]=$B51,IF(DATOS_[[Check Periodo Ref.]:[Check Periodo Ref.]]="Dentro",IF(DATOS_[[Check Equiparado]:[Check Equiparado]]="Sí",IF(DATOS!BL$5="Sí",(1/DATOS_[[% anualiz]:[% anualiz]]),1)*IF(DATOS!BL$4="Sí",1/DATOS_[[% normaliz]:[% normaliz]],1)*(DATOS_[C.Extra.04])))))))),
0)</f>
        <v>0</v>
      </c>
      <c r="AT53" s="114">
        <f t="array" ref="AT53">IFERROR(
(MEDIAN((IF(DATOS_[[Sexo]:[Sexo]]=$B53,IF(DATOS_[[AGRUP. CLAS. PROF.]:[AGRUP. CLAS. PROF.]]=$B51,IF(DATOS_[[Check Periodo Ref.]:[Check Periodo Ref.]]="Dentro",IF(DATOS_[[Check Equiparado]:[Check Equiparado]]="Sí",IF(DATOS!BM$5="Sí",(1/DATOS_[[% anualiz]:[% anualiz]]),1)*IF(DATOS!BM$4="Sí",1/DATOS_[[% normaliz]:[% normaliz]],1)*(DATOS_[C.Extra.05])))))))),
0)</f>
        <v>0</v>
      </c>
      <c r="AU53" s="115">
        <f t="array" ref="AU53">IFERROR(
MEDIAN(IF(DATOS_[Sexo]=$B53,IF(DATOS_[[AGRUP. CLAS. PROF.]:[AGRUP. CLAS. PROF.]]=$B51,IF(DATOS_[Check Equiparado]="Sí",IF(DATOS_[Check Periodo Ref.]="Dentro",DATOS_[Tot Extrasalarial Eq],FALSE))))),
0)</f>
        <v>0</v>
      </c>
      <c r="AV53" s="116">
        <f t="array" ref="AV53">IFERROR(
MEDIAN(IF(DATOS_[Sexo]=$B53,IF(DATOS_[[AGRUP. CLAS. PROF.]:[AGRUP. CLAS. PROF.]]=$B51,IF(DATOS_[Check Equiparado]="Sí",IF(DATOS_[Check Periodo Ref.]="Dentro",DATOS_[TOTAL Retrib Eq],FALSE))))),
0)</f>
        <v>0</v>
      </c>
    </row>
    <row r="54" spans="1:48" ht="17.25" hidden="1" thickBot="1" x14ac:dyDescent="0.35">
      <c r="A54" s="42" t="str">
        <f t="shared" ref="A54" si="55">+A55</f>
        <v>[ocultar]</v>
      </c>
      <c r="B54" s="90" t="s">
        <v>230</v>
      </c>
      <c r="C54" s="109"/>
      <c r="D54" s="41"/>
      <c r="E54" s="41"/>
      <c r="F54" s="41"/>
      <c r="G54" s="41"/>
      <c r="H54" s="41"/>
      <c r="I54" s="119" t="str">
        <f t="shared" ref="I54:AV54" si="56">IFERROR((I55-I56)/I55,"")</f>
        <v/>
      </c>
      <c r="J54" s="123" t="str">
        <f t="shared" si="56"/>
        <v/>
      </c>
      <c r="K54" s="123" t="str">
        <f t="shared" si="56"/>
        <v/>
      </c>
      <c r="L54" s="123" t="str">
        <f t="shared" si="56"/>
        <v/>
      </c>
      <c r="M54" s="123" t="str">
        <f t="shared" si="56"/>
        <v/>
      </c>
      <c r="N54" s="123" t="str">
        <f t="shared" si="56"/>
        <v/>
      </c>
      <c r="O54" s="123" t="str">
        <f t="shared" si="56"/>
        <v/>
      </c>
      <c r="P54" s="123" t="str">
        <f t="shared" si="56"/>
        <v/>
      </c>
      <c r="Q54" s="123" t="str">
        <f t="shared" si="56"/>
        <v/>
      </c>
      <c r="R54" s="123" t="str">
        <f t="shared" si="56"/>
        <v/>
      </c>
      <c r="S54" s="123" t="str">
        <f t="shared" si="56"/>
        <v/>
      </c>
      <c r="T54" s="123" t="str">
        <f t="shared" si="56"/>
        <v/>
      </c>
      <c r="U54" s="123" t="str">
        <f t="shared" si="56"/>
        <v/>
      </c>
      <c r="V54" s="123" t="str">
        <f t="shared" si="56"/>
        <v/>
      </c>
      <c r="W54" s="123" t="str">
        <f t="shared" si="56"/>
        <v/>
      </c>
      <c r="X54" s="123" t="str">
        <f t="shared" si="56"/>
        <v/>
      </c>
      <c r="Y54" s="123" t="str">
        <f t="shared" si="56"/>
        <v/>
      </c>
      <c r="Z54" s="122" t="str">
        <f t="shared" si="56"/>
        <v/>
      </c>
      <c r="AA54" s="122" t="str">
        <f t="shared" si="56"/>
        <v/>
      </c>
      <c r="AB54" s="122" t="str">
        <f t="shared" si="56"/>
        <v/>
      </c>
      <c r="AC54" s="122" t="str">
        <f t="shared" si="56"/>
        <v/>
      </c>
      <c r="AD54" s="122" t="str">
        <f t="shared" si="56"/>
        <v/>
      </c>
      <c r="AE54" s="122" t="str">
        <f t="shared" si="56"/>
        <v/>
      </c>
      <c r="AF54" s="122" t="str">
        <f t="shared" si="56"/>
        <v/>
      </c>
      <c r="AG54" s="122" t="str">
        <f t="shared" si="56"/>
        <v/>
      </c>
      <c r="AH54" s="122" t="str">
        <f t="shared" si="56"/>
        <v/>
      </c>
      <c r="AI54" s="122" t="str">
        <f t="shared" si="56"/>
        <v/>
      </c>
      <c r="AJ54" s="122" t="str">
        <f t="shared" si="56"/>
        <v/>
      </c>
      <c r="AK54" s="122" t="str">
        <f t="shared" si="56"/>
        <v/>
      </c>
      <c r="AL54" s="122" t="str">
        <f t="shared" si="56"/>
        <v/>
      </c>
      <c r="AM54" s="122" t="str">
        <f t="shared" si="56"/>
        <v/>
      </c>
      <c r="AN54" s="124" t="str">
        <f t="shared" si="56"/>
        <v/>
      </c>
      <c r="AO54" s="128" t="str">
        <f t="shared" si="56"/>
        <v/>
      </c>
      <c r="AP54" s="125" t="str">
        <f t="shared" si="56"/>
        <v/>
      </c>
      <c r="AQ54" s="125" t="str">
        <f t="shared" si="56"/>
        <v/>
      </c>
      <c r="AR54" s="125" t="str">
        <f t="shared" si="56"/>
        <v/>
      </c>
      <c r="AS54" s="125" t="str">
        <f t="shared" si="56"/>
        <v/>
      </c>
      <c r="AT54" s="125" t="str">
        <f t="shared" si="56"/>
        <v/>
      </c>
      <c r="AU54" s="126" t="str">
        <f t="shared" si="56"/>
        <v/>
      </c>
      <c r="AV54" s="127" t="str">
        <f t="shared" si="56"/>
        <v/>
      </c>
    </row>
    <row r="55" spans="1:48" hidden="1" x14ac:dyDescent="0.3">
      <c r="A55" s="42" t="str">
        <f t="shared" ref="A55" si="57">+IF(C55+C56=0,"[ocultar]","")</f>
        <v>[ocultar]</v>
      </c>
      <c r="B55" s="86" t="s">
        <v>162</v>
      </c>
      <c r="C55" s="33">
        <f t="array" ref="C55">SUM(IF($B55=DATOS_[Sexo],
IF($B54=DATOS_[AGRUP. CLAS. PROF.],
IF("Dentro"=DATOS_[Check Periodo Ref.],
1/(COUNTIFS(DATOS_[Sexo],$B55,DATOS_[AGRUP. CLAS. PROF.],$B54,DATOS_[Check Periodo Ref.],"Dentro",DATOS_[id],DATOS_[id]))))))</f>
        <v>0</v>
      </c>
      <c r="D55" s="35">
        <f>COUNTIFS(DATOS_[AGRUP. CLAS. PROF.],$B54,DATOS_[Sexo],$B55,DATOS_[Check Periodo Ref.],"Dentro")</f>
        <v>0</v>
      </c>
      <c r="E55" s="35">
        <f>COUNTIFS(DATOS_[AGRUP. CLAS. PROF.],$B54,DATOS_[Sexo],$B55,DATOS_[Check Periodo Ref.],"Dentro",DATOS_[Check Nº SC Norm],"Sí")</f>
        <v>0</v>
      </c>
      <c r="F55" s="35">
        <f>COUNTIFS(DATOS_[AGRUP. CLAS. PROF.],$B54,DATOS_[Sexo],$B55,DATOS_[Check Periodo Ref.],"Dentro",DATOS_[Check Nº SC Anualiz],"Sí")</f>
        <v>0</v>
      </c>
      <c r="G55" s="35">
        <f>COUNTIFS(DATOS_[AGRUP. CLAS. PROF.],$B54,DATOS_[Sexo],$B55,DATOS_[Check Periodo Ref.],"Dentro",DATOS_[Check Nº SC Norm y Anualiz],"Sí")</f>
        <v>0</v>
      </c>
      <c r="H55" s="35">
        <f>COUNTIFS(DATOS_[AGRUP. CLAS. PROF.],$B54,DATOS_[Sexo],$B55,DATOS_[Check Periodo Ref.],"Dentro",DATOS_[Check Equiparación],"Sí")</f>
        <v>0</v>
      </c>
      <c r="I55" s="110">
        <f t="array" ref="I55">IFERROR(
MEDIAN(IF(DATOS_[Sexo]=$B55,IF(DATOS_[[AGRUP. CLAS. PROF.]:[AGRUP. CLAS. PROF.]]=$B54,IF(DATOS_[Check Equiparado]="Sí",IF(DATOS_[Check Periodo Ref.]="Dentro",DATOS_[SALARIO BASE Eq],FALSE))))),
0)</f>
        <v>0</v>
      </c>
      <c r="J55" s="111">
        <f t="array" ref="J55">IFERROR(
(MEDIAN((IF(DATOS_[[Sexo]:[Sexo]]=$B55,IF(DATOS_[[AGRUP. CLAS. PROF.]:[AGRUP. CLAS. PROF.]]=$B54,IF(DATOS_[[Check Periodo Ref.]:[Check Periodo Ref.]]="Dentro",IF(DATOS_[[Check Equiparado]:[Check Equiparado]]="Sí",IF(DATOS!AE$5="Sí",(1/DATOS_[[% anualiz]:[% anualiz]]),1)*IF(DATOS!AE$4="Sí",1/DATOS_[[% normaliz]:[% normaliz]],1)*(DATOS_[Conc.Sal.01])))))))),
0)</f>
        <v>0</v>
      </c>
      <c r="K55" s="111">
        <f t="array" ref="K55">IFERROR(
(MEDIAN((IF(DATOS_[[Sexo]:[Sexo]]=$B55,IF(DATOS_[[AGRUP. CLAS. PROF.]:[AGRUP. CLAS. PROF.]]=$B54,IF(DATOS_[[Check Periodo Ref.]:[Check Periodo Ref.]]="Dentro",IF(DATOS_[[Check Equiparado]:[Check Equiparado]]="Sí",IF(DATOS!AF$5="Sí",(1/DATOS_[[% anualiz]:[% anualiz]]),1)*IF(DATOS!AF$4="Sí",1/DATOS_[[% normaliz]:[% normaliz]],1)*(DATOS_[Conc.Sal.02])))))))),
0)</f>
        <v>0</v>
      </c>
      <c r="L55" s="111">
        <f t="array" ref="L55">IFERROR(
(MEDIAN((IF(DATOS_[[Sexo]:[Sexo]]=$B55,IF(DATOS_[[AGRUP. CLAS. PROF.]:[AGRUP. CLAS. PROF.]]=$B54,IF(DATOS_[[Check Periodo Ref.]:[Check Periodo Ref.]]="Dentro",IF(DATOS_[[Check Equiparado]:[Check Equiparado]]="Sí",IF(DATOS!AG$5="Sí",(1/DATOS_[[% anualiz]:[% anualiz]]),1)*IF(DATOS!AG$4="Sí",1/DATOS_[[% normaliz]:[% normaliz]],1)*(DATOS_[Conc.Sal.03])))))))),
0)</f>
        <v>0</v>
      </c>
      <c r="M55" s="111">
        <f t="array" ref="M55">IFERROR(
(MEDIAN((IF(DATOS_[[Sexo]:[Sexo]]=$B55,IF(DATOS_[[AGRUP. CLAS. PROF.]:[AGRUP. CLAS. PROF.]]=$B54,IF(DATOS_[[Check Periodo Ref.]:[Check Periodo Ref.]]="Dentro",IF(DATOS_[[Check Equiparado]:[Check Equiparado]]="Sí",IF(DATOS!AH$5="Sí",(1/DATOS_[[% anualiz]:[% anualiz]]),1)*IF(DATOS!AH$4="Sí",1/DATOS_[[% normaliz]:[% normaliz]],1)*(DATOS_[Conc.Sal.04])))))))),
0)</f>
        <v>0</v>
      </c>
      <c r="N55" s="111">
        <f t="array" ref="N55">IFERROR(
(MEDIAN((IF(DATOS_[[Sexo]:[Sexo]]=$B55,IF(DATOS_[[AGRUP. CLAS. PROF.]:[AGRUP. CLAS. PROF.]]=$B54,IF(DATOS_[[Check Periodo Ref.]:[Check Periodo Ref.]]="Dentro",IF(DATOS_[[Check Equiparado]:[Check Equiparado]]="Sí",IF(DATOS!AI$5="Sí",(1/DATOS_[[% anualiz]:[% anualiz]]),1)*IF(DATOS!AI$4="Sí",1/DATOS_[[% normaliz]:[% normaliz]],1)*(DATOS_[Conc.Sal.05])))))))),
0)</f>
        <v>0</v>
      </c>
      <c r="O55" s="111">
        <f t="array" ref="O55">IFERROR(
(MEDIAN((IF(DATOS_[[Sexo]:[Sexo]]=$B55,IF(DATOS_[[AGRUP. CLAS. PROF.]:[AGRUP. CLAS. PROF.]]=$B54,IF(DATOS_[[Check Periodo Ref.]:[Check Periodo Ref.]]="Dentro",IF(DATOS_[[Check Equiparado]:[Check Equiparado]]="Sí",IF(DATOS!AJ$5="Sí",(1/DATOS_[[% anualiz]:[% anualiz]]),1)*IF(DATOS!AJ$4="Sí",1/DATOS_[[% normaliz]:[% normaliz]],1)*(DATOS_[Conc.Sal.06])))))))),
0)</f>
        <v>0</v>
      </c>
      <c r="P55" s="111">
        <f t="array" ref="P55">IFERROR(
(MEDIAN((IF(DATOS_[[Sexo]:[Sexo]]=$B55,IF(DATOS_[[AGRUP. CLAS. PROF.]:[AGRUP. CLAS. PROF.]]=$B54,IF(DATOS_[[Check Periodo Ref.]:[Check Periodo Ref.]]="Dentro",IF(DATOS_[[Check Equiparado]:[Check Equiparado]]="Sí",IF(DATOS!AK$5="Sí",(1/DATOS_[[% anualiz]:[% anualiz]]),1)*IF(DATOS!AK$4="Sí",1/DATOS_[[% normaliz]:[% normaliz]],1)*(DATOS_[Conc.Sal.07])))))))),
0)</f>
        <v>0</v>
      </c>
      <c r="Q55" s="111">
        <f t="array" ref="Q55">IFERROR(
(MEDIAN((IF(DATOS_[[Sexo]:[Sexo]]=$B55,IF(DATOS_[[AGRUP. CLAS. PROF.]:[AGRUP. CLAS. PROF.]]=$B54,IF(DATOS_[[Check Periodo Ref.]:[Check Periodo Ref.]]="Dentro",IF(DATOS_[[Check Equiparado]:[Check Equiparado]]="Sí",IF(DATOS!AL$5="Sí",(1/DATOS_[[% anualiz]:[% anualiz]]),1)*IF(DATOS!AL$4="Sí",1/DATOS_[[% normaliz]:[% normaliz]],1)*(DATOS_[Conc.Sal.08])))))))),
0)</f>
        <v>0</v>
      </c>
      <c r="R55" s="111">
        <f t="array" ref="R55">IFERROR(
(MEDIAN((IF(DATOS_[[Sexo]:[Sexo]]=$B55,IF(DATOS_[[AGRUP. CLAS. PROF.]:[AGRUP. CLAS. PROF.]]=$B54,IF(DATOS_[[Check Periodo Ref.]:[Check Periodo Ref.]]="Dentro",IF(DATOS_[[Check Equiparado]:[Check Equiparado]]="Sí",IF(DATOS!AM$5="Sí",(1/DATOS_[[% anualiz]:[% anualiz]]),1)*IF(DATOS!AM$4="Sí",1/DATOS_[[% normaliz]:[% normaliz]],1)*(DATOS_[Conc.Sal.09])))))))),
0)</f>
        <v>0</v>
      </c>
      <c r="S55" s="111">
        <f t="array" ref="S55">IFERROR(
(MEDIAN((IF(DATOS_[[Sexo]:[Sexo]]=$B55,IF(DATOS_[[AGRUP. CLAS. PROF.]:[AGRUP. CLAS. PROF.]]=$B54,IF(DATOS_[[Check Periodo Ref.]:[Check Periodo Ref.]]="Dentro",IF(DATOS_[[Check Equiparado]:[Check Equiparado]]="Sí",IF(DATOS!AN$5="Sí",(1/DATOS_[[% anualiz]:[% anualiz]]),1)*IF(DATOS!AN$4="Sí",1/DATOS_[[% normaliz]:[% normaliz]],1)*(DATOS_[Conc.Sal.10])))))))),
0)</f>
        <v>0</v>
      </c>
      <c r="T55" s="111">
        <f t="array" ref="T55">IFERROR(
(MEDIAN((IF(DATOS_[[Sexo]:[Sexo]]=$B55,IF(DATOS_[[AGRUP. CLAS. PROF.]:[AGRUP. CLAS. PROF.]]=$B54,IF(DATOS_[[Check Periodo Ref.]:[Check Periodo Ref.]]="Dentro",IF(DATOS_[[Check Equiparado]:[Check Equiparado]]="Sí",IF(DATOS!AO$5="Sí",(1/DATOS_[[% anualiz]:[% anualiz]]),1)*IF(DATOS!AO$4="Sí",1/DATOS_[[% normaliz]:[% normaliz]],1)*(DATOS_[Conc.Sal.11])))))))),
0)</f>
        <v>0</v>
      </c>
      <c r="U55" s="111">
        <f t="array" ref="U55">IFERROR(
(MEDIAN((IF(DATOS_[[Sexo]:[Sexo]]=$B55,IF(DATOS_[[AGRUP. CLAS. PROF.]:[AGRUP. CLAS. PROF.]]=$B54,IF(DATOS_[[Check Periodo Ref.]:[Check Periodo Ref.]]="Dentro",IF(DATOS_[[Check Equiparado]:[Check Equiparado]]="Sí",IF(DATOS!AP$5="Sí",(1/DATOS_[[% anualiz]:[% anualiz]]),1)*IF(DATOS!AP$4="Sí",1/DATOS_[[% normaliz]:[% normaliz]],1)*(DATOS_[Conc.Sal.12])))))))),
0)</f>
        <v>0</v>
      </c>
      <c r="V55" s="111">
        <f t="array" ref="V55">IFERROR(
(MEDIAN((IF(DATOS_[[Sexo]:[Sexo]]=$B55,IF(DATOS_[[AGRUP. CLAS. PROF.]:[AGRUP. CLAS. PROF.]]=$B54,IF(DATOS_[[Check Periodo Ref.]:[Check Periodo Ref.]]="Dentro",IF(DATOS_[[Check Equiparado]:[Check Equiparado]]="Sí",IF(DATOS!AQ$5="Sí",(1/DATOS_[[% anualiz]:[% anualiz]]),1)*IF(DATOS!AQ$4="Sí",1/DATOS_[[% normaliz]:[% normaliz]],1)*(DATOS_[Conc.Sal.13])))))))),
0)</f>
        <v>0</v>
      </c>
      <c r="W55" s="111">
        <f t="array" ref="W55">IFERROR(
(MEDIAN((IF(DATOS_[[Sexo]:[Sexo]]=$B55,IF(DATOS_[[AGRUP. CLAS. PROF.]:[AGRUP. CLAS. PROF.]]=$B54,IF(DATOS_[[Check Periodo Ref.]:[Check Periodo Ref.]]="Dentro",IF(DATOS_[[Check Equiparado]:[Check Equiparado]]="Sí",IF(DATOS!AR$5="Sí",(1/DATOS_[[% anualiz]:[% anualiz]]),1)*IF(DATOS!AR$4="Sí",1/DATOS_[[% normaliz]:[% normaliz]],1)*(DATOS_[Conc.Sal.14])))))))),
0)</f>
        <v>0</v>
      </c>
      <c r="X55" s="111">
        <f t="array" ref="X55">IFERROR(
(MEDIAN((IF(DATOS_[[Sexo]:[Sexo]]=$B55,IF(DATOS_[[AGRUP. CLAS. PROF.]:[AGRUP. CLAS. PROF.]]=$B54,IF(DATOS_[[Check Periodo Ref.]:[Check Periodo Ref.]]="Dentro",IF(DATOS_[[Check Equiparado]:[Check Equiparado]]="Sí",IF(DATOS!AS$5="Sí",(1/DATOS_[[% anualiz]:[% anualiz]]),1)*IF(DATOS!AS$4="Sí",1/DATOS_[[% normaliz]:[% normaliz]],1)*(DATOS_[Conc.Sal.15])))))))),
0)</f>
        <v>0</v>
      </c>
      <c r="Y55" s="111">
        <f t="array" ref="Y55">IFERROR(
(MEDIAN((IF(DATOS_[[Sexo]:[Sexo]]=$B55,IF(DATOS_[[AGRUP. CLAS. PROF.]:[AGRUP. CLAS. PROF.]]=$B54,IF(DATOS_[[Check Periodo Ref.]:[Check Periodo Ref.]]="Dentro",IF(DATOS_[[Check Equiparado]:[Check Equiparado]]="Sí",IF(DATOS!AT$5="Sí",(1/DATOS_[[% anualiz]:[% anualiz]]),1)*IF(DATOS!AT$4="Sí",1/DATOS_[[% normaliz]:[% normaliz]],1)*(DATOS_[Conc.Sal.16])))))))),
0)</f>
        <v>0</v>
      </c>
      <c r="Z55" s="111">
        <f t="array" ref="Z55">IFERROR(
(MEDIAN((IF(DATOS_[[Sexo]:[Sexo]]=$B55,IF(DATOS_[[AGRUP. CLAS. PROF.]:[AGRUP. CLAS. PROF.]]=$B54,IF(DATOS_[[Check Periodo Ref.]:[Check Periodo Ref.]]="Dentro",IF(DATOS_[[Check Equiparado]:[Check Equiparado]]="Sí",IF(DATOS!AU$5="Sí",(1/DATOS_[[% anualiz]:[% anualiz]]),1)*IF(DATOS!AU$4="Sí",1/DATOS_[[% normaliz]:[% normaliz]],1)*(DATOS_[Conc.Sal.17])))))))),
0)</f>
        <v>0</v>
      </c>
      <c r="AA55" s="111">
        <f t="array" ref="AA55">IFERROR(
(MEDIAN((IF(DATOS_[[Sexo]:[Sexo]]=$B55,IF(DATOS_[[AGRUP. CLAS. PROF.]:[AGRUP. CLAS. PROF.]]=$B54,IF(DATOS_[[Check Periodo Ref.]:[Check Periodo Ref.]]="Dentro",IF(DATOS_[[Check Equiparado]:[Check Equiparado]]="Sí",IF(DATOS!AV$5="Sí",(1/DATOS_[[% anualiz]:[% anualiz]]),1)*IF(DATOS!AV$4="Sí",1/DATOS_[[% normaliz]:[% normaliz]],1)*(DATOS_[Conc.Sal.18])))))))),
0)</f>
        <v>0</v>
      </c>
      <c r="AB55" s="111">
        <f t="array" ref="AB55">IFERROR(
(MEDIAN((IF(DATOS_[[Sexo]:[Sexo]]=$B55,IF(DATOS_[[AGRUP. CLAS. PROF.]:[AGRUP. CLAS. PROF.]]=$B54,IF(DATOS_[[Check Periodo Ref.]:[Check Periodo Ref.]]="Dentro",IF(DATOS_[[Check Equiparado]:[Check Equiparado]]="Sí",IF(DATOS!AW$5="Sí",(1/DATOS_[[% anualiz]:[% anualiz]]),1)*IF(DATOS!AW$4="Sí",1/DATOS_[[% normaliz]:[% normaliz]],1)*(DATOS_[Conc.Sal.19])))))))),
0)</f>
        <v>0</v>
      </c>
      <c r="AC55" s="111">
        <f t="array" ref="AC55">IFERROR(
(MEDIAN((IF(DATOS_[[Sexo]:[Sexo]]=$B55,IF(DATOS_[[AGRUP. CLAS. PROF.]:[AGRUP. CLAS. PROF.]]=$B54,IF(DATOS_[[Check Periodo Ref.]:[Check Periodo Ref.]]="Dentro",IF(DATOS_[[Check Equiparado]:[Check Equiparado]]="Sí",IF(DATOS!AX$5="Sí",(1/DATOS_[[% anualiz]:[% anualiz]]),1)*IF(DATOS!AX$4="Sí",1/DATOS_[[% normaliz]:[% normaliz]],1)*(DATOS_[Conc.Sal.20])))))))),
0)</f>
        <v>0</v>
      </c>
      <c r="AD55" s="111">
        <f t="array" ref="AD55">IFERROR(
(MEDIAN((IF(DATOS_[[Sexo]:[Sexo]]=$B55,IF(DATOS_[[AGRUP. CLAS. PROF.]:[AGRUP. CLAS. PROF.]]=$B54,IF(DATOS_[[Check Periodo Ref.]:[Check Periodo Ref.]]="Dentro",IF(DATOS_[[Check Equiparado]:[Check Equiparado]]="Sí",IF(DATOS!AY$5="Sí",(1/DATOS_[[% anualiz]:[% anualiz]]),1)*IF(DATOS!AY$4="Sí",1/DATOS_[[% normaliz]:[% normaliz]],1)*(DATOS_[Conc.Sal.21])))))))),
0)</f>
        <v>0</v>
      </c>
      <c r="AE55" s="111">
        <f t="array" ref="AE55">IFERROR(
(MEDIAN((IF(DATOS_[[Sexo]:[Sexo]]=$B55,IF(DATOS_[[AGRUP. CLAS. PROF.]:[AGRUP. CLAS. PROF.]]=$B54,IF(DATOS_[[Check Periodo Ref.]:[Check Periodo Ref.]]="Dentro",IF(DATOS_[[Check Equiparado]:[Check Equiparado]]="Sí",IF(DATOS!AZ$5="Sí",(1/DATOS_[[% anualiz]:[% anualiz]]),1)*IF(DATOS!AZ$4="Sí",1/DATOS_[[% normaliz]:[% normaliz]],1)*(DATOS_[Conc.Sal.22])))))))),
0)</f>
        <v>0</v>
      </c>
      <c r="AF55" s="111">
        <f t="array" ref="AF55">IFERROR(
(MEDIAN((IF(DATOS_[[Sexo]:[Sexo]]=$B55,IF(DATOS_[[AGRUP. CLAS. PROF.]:[AGRUP. CLAS. PROF.]]=$B54,IF(DATOS_[[Check Periodo Ref.]:[Check Periodo Ref.]]="Dentro",IF(DATOS_[[Check Equiparado]:[Check Equiparado]]="Sí",IF(DATOS!BA$5="Sí",(1/DATOS_[[% anualiz]:[% anualiz]]),1)*IF(DATOS!BA$4="Sí",1/DATOS_[[% normaliz]:[% normaliz]],1)*(DATOS_[Conc.Sal.23])))))))),
0)</f>
        <v>0</v>
      </c>
      <c r="AG55" s="111">
        <f t="array" ref="AG55">IFERROR(
(MEDIAN((IF(DATOS_[[Sexo]:[Sexo]]=$B55,IF(DATOS_[[AGRUP. CLAS. PROF.]:[AGRUP. CLAS. PROF.]]=$B54,IF(DATOS_[[Check Periodo Ref.]:[Check Periodo Ref.]]="Dentro",IF(DATOS_[[Check Equiparado]:[Check Equiparado]]="Sí",IF(DATOS!BB$5="Sí",(1/DATOS_[[% anualiz]:[% anualiz]]),1)*IF(DATOS!BB$4="Sí",1/DATOS_[[% normaliz]:[% normaliz]],1)*(DATOS_[Conc.Sal.24])))))))),
0)</f>
        <v>0</v>
      </c>
      <c r="AH55" s="111">
        <f t="array" ref="AH55">IFERROR(
(MEDIAN((IF(DATOS_[[Sexo]:[Sexo]]=$B55,IF(DATOS_[[AGRUP. CLAS. PROF.]:[AGRUP. CLAS. PROF.]]=$B54,IF(DATOS_[[Check Periodo Ref.]:[Check Periodo Ref.]]="Dentro",IF(DATOS_[[Check Equiparado]:[Check Equiparado]]="Sí",IF(DATOS!BC$5="Sí",(1/DATOS_[[% anualiz]:[% anualiz]]),1)*IF(DATOS!BC$4="Sí",1/DATOS_[[% normaliz]:[% normaliz]],1)*(DATOS_[Conc.Sal.25])))))))),
0)</f>
        <v>0</v>
      </c>
      <c r="AI55" s="111">
        <f t="array" ref="AI55">IFERROR(
(MEDIAN((IF(DATOS_[[Sexo]:[Sexo]]=$B55,IF(DATOS_[[AGRUP. CLAS. PROF.]:[AGRUP. CLAS. PROF.]]=$B54,IF(DATOS_[[Check Periodo Ref.]:[Check Periodo Ref.]]="Dentro",IF(DATOS_[[Check Equiparado]:[Check Equiparado]]="Sí",IF(DATOS!BD$5="Sí",(1/DATOS_[[% anualiz]:[% anualiz]]),1)*IF(DATOS!BD$4="Sí",1/DATOS_[[% normaliz]:[% normaliz]],1)*(DATOS_[Conc.Sal.26])))))))),
0)</f>
        <v>0</v>
      </c>
      <c r="AJ55" s="111">
        <f t="array" ref="AJ55">IFERROR(
(MEDIAN((IF(DATOS_[[Sexo]:[Sexo]]=$B55,IF(DATOS_[[AGRUP. CLAS. PROF.]:[AGRUP. CLAS. PROF.]]=$B54,IF(DATOS_[[Check Periodo Ref.]:[Check Periodo Ref.]]="Dentro",IF(DATOS_[[Check Equiparado]:[Check Equiparado]]="Sí",IF(DATOS!BE$5="Sí",(1/DATOS_[[% anualiz]:[% anualiz]]),1)*IF(DATOS!BE$4="Sí",1/DATOS_[[% normaliz]:[% normaliz]],1)*(DATOS_[Conc.Sal.27])))))))),
0)</f>
        <v>0</v>
      </c>
      <c r="AK55" s="111">
        <f t="array" ref="AK55">IFERROR(
(MEDIAN((IF(DATOS_[[Sexo]:[Sexo]]=$B55,IF(DATOS_[[AGRUP. CLAS. PROF.]:[AGRUP. CLAS. PROF.]]=$B54,IF(DATOS_[[Check Periodo Ref.]:[Check Periodo Ref.]]="Dentro",IF(DATOS_[[Check Equiparado]:[Check Equiparado]]="Sí",IF(DATOS!BF$5="Sí",(1/DATOS_[[% anualiz]:[% anualiz]]),1)*IF(DATOS!BF$4="Sí",1/DATOS_[[% normaliz]:[% normaliz]],1)*(DATOS_[Conc.Sal.28])))))))),
0)</f>
        <v>0</v>
      </c>
      <c r="AL55" s="111">
        <f t="array" ref="AL55">IFERROR(
(MEDIAN((IF(DATOS_[[Sexo]:[Sexo]]=$B55,IF(DATOS_[[AGRUP. CLAS. PROF.]:[AGRUP. CLAS. PROF.]]=$B54,IF(DATOS_[[Check Periodo Ref.]:[Check Periodo Ref.]]="Dentro",IF(DATOS_[[Check Equiparado]:[Check Equiparado]]="Sí",IF(DATOS!BG$5="Sí",(1/DATOS_[[% anualiz]:[% anualiz]]),1)*IF(DATOS!BG$4="Sí",1/DATOS_[[% normaliz]:[% normaliz]],1)*(DATOS_[Conc.Sal.29])))))))),
0)</f>
        <v>0</v>
      </c>
      <c r="AM55" s="111">
        <f t="array" ref="AM55">IFERROR(
(MEDIAN((IF(DATOS_[[Sexo]:[Sexo]]=$B55,IF(DATOS_[[AGRUP. CLAS. PROF.]:[AGRUP. CLAS. PROF.]]=$B54,IF(DATOS_[[Check Periodo Ref.]:[Check Periodo Ref.]]="Dentro",IF(DATOS_[[Check Equiparado]:[Check Equiparado]]="Sí",IF(DATOS!BH$5="Sí",(1/DATOS_[[% anualiz]:[% anualiz]]),1)*IF(DATOS!BH$4="Sí",1/DATOS_[[% normaliz]:[% normaliz]],1)*(DATOS_[Conc.Sal.30])))))))),
0)</f>
        <v>0</v>
      </c>
      <c r="AN55" s="112">
        <f t="array" ref="AN55">IFERROR(
MEDIAN(IF(DATOS_[Sexo]=$B55,IF(DATOS_[[AGRUP. CLAS. PROF.]:[AGRUP. CLAS. PROF.]]=$B54,IF(DATOS_[Check Equiparado]="Sí",IF(DATOS_[Check Periodo Ref.]="Dentro",DATOS_[Tot COMPL.SAL Eq],FALSE))))),
0)</f>
        <v>0</v>
      </c>
      <c r="AO55" s="113">
        <f t="array" ref="AO55">IFERROR(
MEDIAN(IF(DATOS_[Sexo]=$B55,IF(DATOS_[[AGRUP. CLAS. PROF.]:[AGRUP. CLAS. PROF.]]=$B54,IF(DATOS_[Check Equiparado]="Sí",IF(DATOS_[Check Periodo Ref.]="Dentro",DATOS_[TOTAL SALARIO Eq],FALSE))))),
0)</f>
        <v>0</v>
      </c>
      <c r="AP55" s="114">
        <f t="array" ref="AP55">IFERROR(
(MEDIAN((IF(DATOS_[[Sexo]:[Sexo]]=$B55,IF(DATOS_[[AGRUP. CLAS. PROF.]:[AGRUP. CLAS. PROF.]]=$B54,IF(DATOS_[[Check Periodo Ref.]:[Check Periodo Ref.]]="Dentro",IF(DATOS_[[Check Equiparado]:[Check Equiparado]]="Sí",IF(DATOS!BI$5="Sí",(1/DATOS_[[% anualiz]:[% anualiz]]),1)*IF(DATOS!BI$4="Sí",1/DATOS_[[% normaliz]:[% normaliz]],1)*(DATOS_[C.Extra.01])))))))),
0)</f>
        <v>0</v>
      </c>
      <c r="AQ55" s="114">
        <f t="array" ref="AQ55">IFERROR(
(MEDIAN((IF(DATOS_[[Sexo]:[Sexo]]=$B55,IF(DATOS_[[AGRUP. CLAS. PROF.]:[AGRUP. CLAS. PROF.]]=$B54,IF(DATOS_[[Check Periodo Ref.]:[Check Periodo Ref.]]="Dentro",IF(DATOS_[[Check Equiparado]:[Check Equiparado]]="Sí",IF(DATOS!BJ$5="Sí",(1/DATOS_[[% anualiz]:[% anualiz]]),1)*IF(DATOS!BJ$4="Sí",1/DATOS_[[% normaliz]:[% normaliz]],1)*(DATOS_[C.Extra.02])))))))),
0)</f>
        <v>0</v>
      </c>
      <c r="AR55" s="114">
        <f t="array" ref="AR55">IFERROR(
(MEDIAN((IF(DATOS_[[Sexo]:[Sexo]]=$B55,IF(DATOS_[[AGRUP. CLAS. PROF.]:[AGRUP. CLAS. PROF.]]=$B54,IF(DATOS_[[Check Periodo Ref.]:[Check Periodo Ref.]]="Dentro",IF(DATOS_[[Check Equiparado]:[Check Equiparado]]="Sí",IF(DATOS!BK$5="Sí",(1/DATOS_[[% anualiz]:[% anualiz]]),1)*IF(DATOS!BK$4="Sí",1/DATOS_[[% normaliz]:[% normaliz]],1)*(DATOS_[C.Extra.03])))))))),
0)</f>
        <v>0</v>
      </c>
      <c r="AS55" s="114">
        <f t="array" ref="AS55">IFERROR(
(MEDIAN((IF(DATOS_[[Sexo]:[Sexo]]=$B55,IF(DATOS_[[AGRUP. CLAS. PROF.]:[AGRUP. CLAS. PROF.]]=$B54,IF(DATOS_[[Check Periodo Ref.]:[Check Periodo Ref.]]="Dentro",IF(DATOS_[[Check Equiparado]:[Check Equiparado]]="Sí",IF(DATOS!BL$5="Sí",(1/DATOS_[[% anualiz]:[% anualiz]]),1)*IF(DATOS!BL$4="Sí",1/DATOS_[[% normaliz]:[% normaliz]],1)*(DATOS_[C.Extra.04])))))))),
0)</f>
        <v>0</v>
      </c>
      <c r="AT55" s="114">
        <f t="array" ref="AT55">IFERROR(
(MEDIAN((IF(DATOS_[[Sexo]:[Sexo]]=$B55,IF(DATOS_[[AGRUP. CLAS. PROF.]:[AGRUP. CLAS. PROF.]]=$B54,IF(DATOS_[[Check Periodo Ref.]:[Check Periodo Ref.]]="Dentro",IF(DATOS_[[Check Equiparado]:[Check Equiparado]]="Sí",IF(DATOS!BM$5="Sí",(1/DATOS_[[% anualiz]:[% anualiz]]),1)*IF(DATOS!BM$4="Sí",1/DATOS_[[% normaliz]:[% normaliz]],1)*(DATOS_[C.Extra.05])))))))),
0)</f>
        <v>0</v>
      </c>
      <c r="AU55" s="115">
        <f t="array" ref="AU55">IFERROR(
MEDIAN(IF(DATOS_[Sexo]=$B55,IF(DATOS_[[AGRUP. CLAS. PROF.]:[AGRUP. CLAS. PROF.]]=$B54,IF(DATOS_[Check Equiparado]="Sí",IF(DATOS_[Check Periodo Ref.]="Dentro",DATOS_[Tot Extrasalarial Eq],FALSE))))),
0)</f>
        <v>0</v>
      </c>
      <c r="AV55" s="116">
        <f t="array" ref="AV55">IFERROR(
MEDIAN(IF(DATOS_[Sexo]=$B55,IF(DATOS_[[AGRUP. CLAS. PROF.]:[AGRUP. CLAS. PROF.]]=$B54,IF(DATOS_[Check Equiparado]="Sí",IF(DATOS_[Check Periodo Ref.]="Dentro",DATOS_[TOTAL Retrib Eq],FALSE))))),
0)</f>
        <v>0</v>
      </c>
    </row>
    <row r="56" spans="1:48" hidden="1" x14ac:dyDescent="0.3">
      <c r="A56" s="42" t="str">
        <f t="shared" ref="A56" si="58">+A55</f>
        <v>[ocultar]</v>
      </c>
      <c r="B56" s="86" t="s">
        <v>163</v>
      </c>
      <c r="C56" s="33">
        <f t="array" ref="C56">SUM(IF($B56=DATOS_[Sexo],
IF($B54=DATOS_[AGRUP. CLAS. PROF.],
IF("Dentro"=DATOS_[Check Periodo Ref.],
1/(COUNTIFS(DATOS_[Sexo],$B56,DATOS_[AGRUP. CLAS. PROF.],$B54,DATOS_[Check Periodo Ref.],"Dentro",DATOS_[id],DATOS_[id]))))))</f>
        <v>0</v>
      </c>
      <c r="D56" s="35">
        <f>COUNTIFS(DATOS_[AGRUP. CLAS. PROF.],$B54,DATOS_[Sexo],$B56,DATOS_[Check Periodo Ref.],"Dentro")</f>
        <v>0</v>
      </c>
      <c r="E56" s="35">
        <f>COUNTIFS(DATOS_[AGRUP. CLAS. PROF.],$B54,DATOS_[Sexo],$B56,DATOS_[Check Periodo Ref.],"Dentro",DATOS_[Check Nº SC Norm],"Sí")</f>
        <v>0</v>
      </c>
      <c r="F56" s="35">
        <f>COUNTIFS(DATOS_[AGRUP. CLAS. PROF.],$B54,DATOS_[Sexo],$B56,DATOS_[Check Periodo Ref.],"Dentro",DATOS_[Check Nº SC Anualiz],"Sí")</f>
        <v>0</v>
      </c>
      <c r="G56" s="35">
        <f>COUNTIFS(DATOS_[AGRUP. CLAS. PROF.],$B54,DATOS_[Sexo],$B56,DATOS_[Check Periodo Ref.],"Dentro",DATOS_[Check Nº SC Norm y Anualiz],"Sí")</f>
        <v>0</v>
      </c>
      <c r="H56" s="35">
        <f>COUNTIFS(DATOS_[AGRUP. CLAS. PROF.],$B54,DATOS_[Sexo],$B56,DATOS_[Check Periodo Ref.],"Dentro",DATOS_[Check Equiparación],"Sí")</f>
        <v>0</v>
      </c>
      <c r="I56" s="110" cm="1">
        <f t="array" ref="I56">IFERROR(
MEDIAN(IF(DATOS_[Sexo]=$B56,IF(DATOS_[[AGRUP. CLAS. PROF.]:[AGRUP. CLAS. PROF.]]=$B54,IF(DATOS_[Check Equiparado]="Sí",IF(DATOS_[Check Periodo Ref.]="Dentro",DATOS_[SALARIO BASE Eq],FALSE))))),
0)</f>
        <v>0</v>
      </c>
      <c r="J56" s="111">
        <f t="array" ref="J56">IFERROR(
(MEDIAN((IF(DATOS_[[Sexo]:[Sexo]]=$B56,IF(DATOS_[[AGRUP. CLAS. PROF.]:[AGRUP. CLAS. PROF.]]=$B54,IF(DATOS_[[Check Periodo Ref.]:[Check Periodo Ref.]]="Dentro",IF(DATOS_[[Check Equiparado]:[Check Equiparado]]="Sí",IF(DATOS!AE$5="Sí",(1/DATOS_[[% anualiz]:[% anualiz]]),1)*IF(DATOS!AE$4="Sí",1/DATOS_[[% normaliz]:[% normaliz]],1)*(DATOS_[Conc.Sal.01])))))))),
0)</f>
        <v>0</v>
      </c>
      <c r="K56" s="111">
        <f t="array" ref="K56">IFERROR(
(MEDIAN((IF(DATOS_[[Sexo]:[Sexo]]=$B56,IF(DATOS_[[AGRUP. CLAS. PROF.]:[AGRUP. CLAS. PROF.]]=$B54,IF(DATOS_[[Check Periodo Ref.]:[Check Periodo Ref.]]="Dentro",IF(DATOS_[[Check Equiparado]:[Check Equiparado]]="Sí",IF(DATOS!AF$5="Sí",(1/DATOS_[[% anualiz]:[% anualiz]]),1)*IF(DATOS!AF$4="Sí",1/DATOS_[[% normaliz]:[% normaliz]],1)*(DATOS_[Conc.Sal.02])))))))),
0)</f>
        <v>0</v>
      </c>
      <c r="L56" s="111">
        <f t="array" ref="L56">IFERROR(
(MEDIAN((IF(DATOS_[[Sexo]:[Sexo]]=$B56,IF(DATOS_[[AGRUP. CLAS. PROF.]:[AGRUP. CLAS. PROF.]]=$B54,IF(DATOS_[[Check Periodo Ref.]:[Check Periodo Ref.]]="Dentro",IF(DATOS_[[Check Equiparado]:[Check Equiparado]]="Sí",IF(DATOS!AG$5="Sí",(1/DATOS_[[% anualiz]:[% anualiz]]),1)*IF(DATOS!AG$4="Sí",1/DATOS_[[% normaliz]:[% normaliz]],1)*(DATOS_[Conc.Sal.03])))))))),
0)</f>
        <v>0</v>
      </c>
      <c r="M56" s="111">
        <f t="array" ref="M56">IFERROR(
(MEDIAN((IF(DATOS_[[Sexo]:[Sexo]]=$B56,IF(DATOS_[[AGRUP. CLAS. PROF.]:[AGRUP. CLAS. PROF.]]=$B54,IF(DATOS_[[Check Periodo Ref.]:[Check Periodo Ref.]]="Dentro",IF(DATOS_[[Check Equiparado]:[Check Equiparado]]="Sí",IF(DATOS!AH$5="Sí",(1/DATOS_[[% anualiz]:[% anualiz]]),1)*IF(DATOS!AH$4="Sí",1/DATOS_[[% normaliz]:[% normaliz]],1)*(DATOS_[Conc.Sal.04])))))))),
0)</f>
        <v>0</v>
      </c>
      <c r="N56" s="111">
        <f t="array" ref="N56">IFERROR(
(MEDIAN((IF(DATOS_[[Sexo]:[Sexo]]=$B56,IF(DATOS_[[AGRUP. CLAS. PROF.]:[AGRUP. CLAS. PROF.]]=$B54,IF(DATOS_[[Check Periodo Ref.]:[Check Periodo Ref.]]="Dentro",IF(DATOS_[[Check Equiparado]:[Check Equiparado]]="Sí",IF(DATOS!AI$5="Sí",(1/DATOS_[[% anualiz]:[% anualiz]]),1)*IF(DATOS!AI$4="Sí",1/DATOS_[[% normaliz]:[% normaliz]],1)*(DATOS_[Conc.Sal.05])))))))),
0)</f>
        <v>0</v>
      </c>
      <c r="O56" s="111">
        <f t="array" ref="O56">IFERROR(
(MEDIAN((IF(DATOS_[[Sexo]:[Sexo]]=$B56,IF(DATOS_[[AGRUP. CLAS. PROF.]:[AGRUP. CLAS. PROF.]]=$B54,IF(DATOS_[[Check Periodo Ref.]:[Check Periodo Ref.]]="Dentro",IF(DATOS_[[Check Equiparado]:[Check Equiparado]]="Sí",IF(DATOS!AJ$5="Sí",(1/DATOS_[[% anualiz]:[% anualiz]]),1)*IF(DATOS!AJ$4="Sí",1/DATOS_[[% normaliz]:[% normaliz]],1)*(DATOS_[Conc.Sal.06])))))))),
0)</f>
        <v>0</v>
      </c>
      <c r="P56" s="111">
        <f t="array" ref="P56">IFERROR(
(MEDIAN((IF(DATOS_[[Sexo]:[Sexo]]=$B56,IF(DATOS_[[AGRUP. CLAS. PROF.]:[AGRUP. CLAS. PROF.]]=$B54,IF(DATOS_[[Check Periodo Ref.]:[Check Periodo Ref.]]="Dentro",IF(DATOS_[[Check Equiparado]:[Check Equiparado]]="Sí",IF(DATOS!AK$5="Sí",(1/DATOS_[[% anualiz]:[% anualiz]]),1)*IF(DATOS!AK$4="Sí",1/DATOS_[[% normaliz]:[% normaliz]],1)*(DATOS_[Conc.Sal.07])))))))),
0)</f>
        <v>0</v>
      </c>
      <c r="Q56" s="111">
        <f t="array" ref="Q56">IFERROR(
(MEDIAN((IF(DATOS_[[Sexo]:[Sexo]]=$B56,IF(DATOS_[[AGRUP. CLAS. PROF.]:[AGRUP. CLAS. PROF.]]=$B54,IF(DATOS_[[Check Periodo Ref.]:[Check Periodo Ref.]]="Dentro",IF(DATOS_[[Check Equiparado]:[Check Equiparado]]="Sí",IF(DATOS!AL$5="Sí",(1/DATOS_[[% anualiz]:[% anualiz]]),1)*IF(DATOS!AL$4="Sí",1/DATOS_[[% normaliz]:[% normaliz]],1)*(DATOS_[Conc.Sal.08])))))))),
0)</f>
        <v>0</v>
      </c>
      <c r="R56" s="111">
        <f t="array" ref="R56">IFERROR(
(MEDIAN((IF(DATOS_[[Sexo]:[Sexo]]=$B56,IF(DATOS_[[AGRUP. CLAS. PROF.]:[AGRUP. CLAS. PROF.]]=$B54,IF(DATOS_[[Check Periodo Ref.]:[Check Periodo Ref.]]="Dentro",IF(DATOS_[[Check Equiparado]:[Check Equiparado]]="Sí",IF(DATOS!AM$5="Sí",(1/DATOS_[[% anualiz]:[% anualiz]]),1)*IF(DATOS!AM$4="Sí",1/DATOS_[[% normaliz]:[% normaliz]],1)*(DATOS_[Conc.Sal.09])))))))),
0)</f>
        <v>0</v>
      </c>
      <c r="S56" s="111">
        <f t="array" ref="S56">IFERROR(
(MEDIAN((IF(DATOS_[[Sexo]:[Sexo]]=$B56,IF(DATOS_[[AGRUP. CLAS. PROF.]:[AGRUP. CLAS. PROF.]]=$B54,IF(DATOS_[[Check Periodo Ref.]:[Check Periodo Ref.]]="Dentro",IF(DATOS_[[Check Equiparado]:[Check Equiparado]]="Sí",IF(DATOS!AN$5="Sí",(1/DATOS_[[% anualiz]:[% anualiz]]),1)*IF(DATOS!AN$4="Sí",1/DATOS_[[% normaliz]:[% normaliz]],1)*(DATOS_[Conc.Sal.10])))))))),
0)</f>
        <v>0</v>
      </c>
      <c r="T56" s="111">
        <f t="array" ref="T56">IFERROR(
(MEDIAN((IF(DATOS_[[Sexo]:[Sexo]]=$B56,IF(DATOS_[[AGRUP. CLAS. PROF.]:[AGRUP. CLAS. PROF.]]=$B54,IF(DATOS_[[Check Periodo Ref.]:[Check Periodo Ref.]]="Dentro",IF(DATOS_[[Check Equiparado]:[Check Equiparado]]="Sí",IF(DATOS!AO$5="Sí",(1/DATOS_[[% anualiz]:[% anualiz]]),1)*IF(DATOS!AO$4="Sí",1/DATOS_[[% normaliz]:[% normaliz]],1)*(DATOS_[Conc.Sal.11])))))))),
0)</f>
        <v>0</v>
      </c>
      <c r="U56" s="111">
        <f t="array" ref="U56">IFERROR(
(MEDIAN((IF(DATOS_[[Sexo]:[Sexo]]=$B56,IF(DATOS_[[AGRUP. CLAS. PROF.]:[AGRUP. CLAS. PROF.]]=$B54,IF(DATOS_[[Check Periodo Ref.]:[Check Periodo Ref.]]="Dentro",IF(DATOS_[[Check Equiparado]:[Check Equiparado]]="Sí",IF(DATOS!AP$5="Sí",(1/DATOS_[[% anualiz]:[% anualiz]]),1)*IF(DATOS!AP$4="Sí",1/DATOS_[[% normaliz]:[% normaliz]],1)*(DATOS_[Conc.Sal.12])))))))),
0)</f>
        <v>0</v>
      </c>
      <c r="V56" s="111">
        <f t="array" ref="V56">IFERROR(
(MEDIAN((IF(DATOS_[[Sexo]:[Sexo]]=$B56,IF(DATOS_[[AGRUP. CLAS. PROF.]:[AGRUP. CLAS. PROF.]]=$B54,IF(DATOS_[[Check Periodo Ref.]:[Check Periodo Ref.]]="Dentro",IF(DATOS_[[Check Equiparado]:[Check Equiparado]]="Sí",IF(DATOS!AQ$5="Sí",(1/DATOS_[[% anualiz]:[% anualiz]]),1)*IF(DATOS!AQ$4="Sí",1/DATOS_[[% normaliz]:[% normaliz]],1)*(DATOS_[Conc.Sal.13])))))))),
0)</f>
        <v>0</v>
      </c>
      <c r="W56" s="111">
        <f t="array" ref="W56">IFERROR(
(MEDIAN((IF(DATOS_[[Sexo]:[Sexo]]=$B56,IF(DATOS_[[AGRUP. CLAS. PROF.]:[AGRUP. CLAS. PROF.]]=$B54,IF(DATOS_[[Check Periodo Ref.]:[Check Periodo Ref.]]="Dentro",IF(DATOS_[[Check Equiparado]:[Check Equiparado]]="Sí",IF(DATOS!AR$5="Sí",(1/DATOS_[[% anualiz]:[% anualiz]]),1)*IF(DATOS!AR$4="Sí",1/DATOS_[[% normaliz]:[% normaliz]],1)*(DATOS_[Conc.Sal.14])))))))),
0)</f>
        <v>0</v>
      </c>
      <c r="X56" s="111">
        <f t="array" ref="X56">IFERROR(
(MEDIAN((IF(DATOS_[[Sexo]:[Sexo]]=$B56,IF(DATOS_[[AGRUP. CLAS. PROF.]:[AGRUP. CLAS. PROF.]]=$B54,IF(DATOS_[[Check Periodo Ref.]:[Check Periodo Ref.]]="Dentro",IF(DATOS_[[Check Equiparado]:[Check Equiparado]]="Sí",IF(DATOS!AS$5="Sí",(1/DATOS_[[% anualiz]:[% anualiz]]),1)*IF(DATOS!AS$4="Sí",1/DATOS_[[% normaliz]:[% normaliz]],1)*(DATOS_[Conc.Sal.15])))))))),
0)</f>
        <v>0</v>
      </c>
      <c r="Y56" s="111">
        <f t="array" ref="Y56">IFERROR(
(MEDIAN((IF(DATOS_[[Sexo]:[Sexo]]=$B56,IF(DATOS_[[AGRUP. CLAS. PROF.]:[AGRUP. CLAS. PROF.]]=$B54,IF(DATOS_[[Check Periodo Ref.]:[Check Periodo Ref.]]="Dentro",IF(DATOS_[[Check Equiparado]:[Check Equiparado]]="Sí",IF(DATOS!AT$5="Sí",(1/DATOS_[[% anualiz]:[% anualiz]]),1)*IF(DATOS!AT$4="Sí",1/DATOS_[[% normaliz]:[% normaliz]],1)*(DATOS_[Conc.Sal.16])))))))),
0)</f>
        <v>0</v>
      </c>
      <c r="Z56" s="111">
        <f t="array" ref="Z56">IFERROR(
(MEDIAN((IF(DATOS_[[Sexo]:[Sexo]]=$B56,IF(DATOS_[[AGRUP. CLAS. PROF.]:[AGRUP. CLAS. PROF.]]=$B54,IF(DATOS_[[Check Periodo Ref.]:[Check Periodo Ref.]]="Dentro",IF(DATOS_[[Check Equiparado]:[Check Equiparado]]="Sí",IF(DATOS!AU$5="Sí",(1/DATOS_[[% anualiz]:[% anualiz]]),1)*IF(DATOS!AU$4="Sí",1/DATOS_[[% normaliz]:[% normaliz]],1)*(DATOS_[Conc.Sal.17])))))))),
0)</f>
        <v>0</v>
      </c>
      <c r="AA56" s="111">
        <f t="array" ref="AA56">IFERROR(
(MEDIAN((IF(DATOS_[[Sexo]:[Sexo]]=$B56,IF(DATOS_[[AGRUP. CLAS. PROF.]:[AGRUP. CLAS. PROF.]]=$B54,IF(DATOS_[[Check Periodo Ref.]:[Check Periodo Ref.]]="Dentro",IF(DATOS_[[Check Equiparado]:[Check Equiparado]]="Sí",IF(DATOS!AV$5="Sí",(1/DATOS_[[% anualiz]:[% anualiz]]),1)*IF(DATOS!AV$4="Sí",1/DATOS_[[% normaliz]:[% normaliz]],1)*(DATOS_[Conc.Sal.18])))))))),
0)</f>
        <v>0</v>
      </c>
      <c r="AB56" s="111">
        <f t="array" ref="AB56">IFERROR(
(MEDIAN((IF(DATOS_[[Sexo]:[Sexo]]=$B56,IF(DATOS_[[AGRUP. CLAS. PROF.]:[AGRUP. CLAS. PROF.]]=$B54,IF(DATOS_[[Check Periodo Ref.]:[Check Periodo Ref.]]="Dentro",IF(DATOS_[[Check Equiparado]:[Check Equiparado]]="Sí",IF(DATOS!AW$5="Sí",(1/DATOS_[[% anualiz]:[% anualiz]]),1)*IF(DATOS!AW$4="Sí",1/DATOS_[[% normaliz]:[% normaliz]],1)*(DATOS_[Conc.Sal.19])))))))),
0)</f>
        <v>0</v>
      </c>
      <c r="AC56" s="111">
        <f t="array" ref="AC56">IFERROR(
(MEDIAN((IF(DATOS_[[Sexo]:[Sexo]]=$B56,IF(DATOS_[[AGRUP. CLAS. PROF.]:[AGRUP. CLAS. PROF.]]=$B54,IF(DATOS_[[Check Periodo Ref.]:[Check Periodo Ref.]]="Dentro",IF(DATOS_[[Check Equiparado]:[Check Equiparado]]="Sí",IF(DATOS!AX$5="Sí",(1/DATOS_[[% anualiz]:[% anualiz]]),1)*IF(DATOS!AX$4="Sí",1/DATOS_[[% normaliz]:[% normaliz]],1)*(DATOS_[Conc.Sal.20])))))))),
0)</f>
        <v>0</v>
      </c>
      <c r="AD56" s="111">
        <f t="array" ref="AD56">IFERROR(
(MEDIAN((IF(DATOS_[[Sexo]:[Sexo]]=$B56,IF(DATOS_[[AGRUP. CLAS. PROF.]:[AGRUP. CLAS. PROF.]]=$B54,IF(DATOS_[[Check Periodo Ref.]:[Check Periodo Ref.]]="Dentro",IF(DATOS_[[Check Equiparado]:[Check Equiparado]]="Sí",IF(DATOS!AY$5="Sí",(1/DATOS_[[% anualiz]:[% anualiz]]),1)*IF(DATOS!AY$4="Sí",1/DATOS_[[% normaliz]:[% normaliz]],1)*(DATOS_[Conc.Sal.21])))))))),
0)</f>
        <v>0</v>
      </c>
      <c r="AE56" s="111">
        <f t="array" ref="AE56">IFERROR(
(MEDIAN((IF(DATOS_[[Sexo]:[Sexo]]=$B56,IF(DATOS_[[AGRUP. CLAS. PROF.]:[AGRUP. CLAS. PROF.]]=$B54,IF(DATOS_[[Check Periodo Ref.]:[Check Periodo Ref.]]="Dentro",IF(DATOS_[[Check Equiparado]:[Check Equiparado]]="Sí",IF(DATOS!AZ$5="Sí",(1/DATOS_[[% anualiz]:[% anualiz]]),1)*IF(DATOS!AZ$4="Sí",1/DATOS_[[% normaliz]:[% normaliz]],1)*(DATOS_[Conc.Sal.22])))))))),
0)</f>
        <v>0</v>
      </c>
      <c r="AF56" s="111">
        <f t="array" ref="AF56">IFERROR(
(MEDIAN((IF(DATOS_[[Sexo]:[Sexo]]=$B56,IF(DATOS_[[AGRUP. CLAS. PROF.]:[AGRUP. CLAS. PROF.]]=$B54,IF(DATOS_[[Check Periodo Ref.]:[Check Periodo Ref.]]="Dentro",IF(DATOS_[[Check Equiparado]:[Check Equiparado]]="Sí",IF(DATOS!BA$5="Sí",(1/DATOS_[[% anualiz]:[% anualiz]]),1)*IF(DATOS!BA$4="Sí",1/DATOS_[[% normaliz]:[% normaliz]],1)*(DATOS_[Conc.Sal.23])))))))),
0)</f>
        <v>0</v>
      </c>
      <c r="AG56" s="111">
        <f t="array" ref="AG56">IFERROR(
(MEDIAN((IF(DATOS_[[Sexo]:[Sexo]]=$B56,IF(DATOS_[[AGRUP. CLAS. PROF.]:[AGRUP. CLAS. PROF.]]=$B54,IF(DATOS_[[Check Periodo Ref.]:[Check Periodo Ref.]]="Dentro",IF(DATOS_[[Check Equiparado]:[Check Equiparado]]="Sí",IF(DATOS!BB$5="Sí",(1/DATOS_[[% anualiz]:[% anualiz]]),1)*IF(DATOS!BB$4="Sí",1/DATOS_[[% normaliz]:[% normaliz]],1)*(DATOS_[Conc.Sal.24])))))))),
0)</f>
        <v>0</v>
      </c>
      <c r="AH56" s="111">
        <f t="array" ref="AH56">IFERROR(
(MEDIAN((IF(DATOS_[[Sexo]:[Sexo]]=$B56,IF(DATOS_[[AGRUP. CLAS. PROF.]:[AGRUP. CLAS. PROF.]]=$B54,IF(DATOS_[[Check Periodo Ref.]:[Check Periodo Ref.]]="Dentro",IF(DATOS_[[Check Equiparado]:[Check Equiparado]]="Sí",IF(DATOS!BC$5="Sí",(1/DATOS_[[% anualiz]:[% anualiz]]),1)*IF(DATOS!BC$4="Sí",1/DATOS_[[% normaliz]:[% normaliz]],1)*(DATOS_[Conc.Sal.25])))))))),
0)</f>
        <v>0</v>
      </c>
      <c r="AI56" s="111">
        <f t="array" ref="AI56">IFERROR(
(MEDIAN((IF(DATOS_[[Sexo]:[Sexo]]=$B56,IF(DATOS_[[AGRUP. CLAS. PROF.]:[AGRUP. CLAS. PROF.]]=$B54,IF(DATOS_[[Check Periodo Ref.]:[Check Periodo Ref.]]="Dentro",IF(DATOS_[[Check Equiparado]:[Check Equiparado]]="Sí",IF(DATOS!BD$5="Sí",(1/DATOS_[[% anualiz]:[% anualiz]]),1)*IF(DATOS!BD$4="Sí",1/DATOS_[[% normaliz]:[% normaliz]],1)*(DATOS_[Conc.Sal.26])))))))),
0)</f>
        <v>0</v>
      </c>
      <c r="AJ56" s="111">
        <f t="array" ref="AJ56">IFERROR(
(MEDIAN((IF(DATOS_[[Sexo]:[Sexo]]=$B56,IF(DATOS_[[AGRUP. CLAS. PROF.]:[AGRUP. CLAS. PROF.]]=$B54,IF(DATOS_[[Check Periodo Ref.]:[Check Periodo Ref.]]="Dentro",IF(DATOS_[[Check Equiparado]:[Check Equiparado]]="Sí",IF(DATOS!BE$5="Sí",(1/DATOS_[[% anualiz]:[% anualiz]]),1)*IF(DATOS!BE$4="Sí",1/DATOS_[[% normaliz]:[% normaliz]],1)*(DATOS_[Conc.Sal.27])))))))),
0)</f>
        <v>0</v>
      </c>
      <c r="AK56" s="111">
        <f t="array" ref="AK56">IFERROR(
(MEDIAN((IF(DATOS_[[Sexo]:[Sexo]]=$B56,IF(DATOS_[[AGRUP. CLAS. PROF.]:[AGRUP. CLAS. PROF.]]=$B54,IF(DATOS_[[Check Periodo Ref.]:[Check Periodo Ref.]]="Dentro",IF(DATOS_[[Check Equiparado]:[Check Equiparado]]="Sí",IF(DATOS!BF$5="Sí",(1/DATOS_[[% anualiz]:[% anualiz]]),1)*IF(DATOS!BF$4="Sí",1/DATOS_[[% normaliz]:[% normaliz]],1)*(DATOS_[Conc.Sal.28])))))))),
0)</f>
        <v>0</v>
      </c>
      <c r="AL56" s="111">
        <f t="array" ref="AL56">IFERROR(
(MEDIAN((IF(DATOS_[[Sexo]:[Sexo]]=$B56,IF(DATOS_[[AGRUP. CLAS. PROF.]:[AGRUP. CLAS. PROF.]]=$B54,IF(DATOS_[[Check Periodo Ref.]:[Check Periodo Ref.]]="Dentro",IF(DATOS_[[Check Equiparado]:[Check Equiparado]]="Sí",IF(DATOS!BG$5="Sí",(1/DATOS_[[% anualiz]:[% anualiz]]),1)*IF(DATOS!BG$4="Sí",1/DATOS_[[% normaliz]:[% normaliz]],1)*(DATOS_[Conc.Sal.29])))))))),
0)</f>
        <v>0</v>
      </c>
      <c r="AM56" s="111">
        <f t="array" ref="AM56">IFERROR(
(MEDIAN((IF(DATOS_[[Sexo]:[Sexo]]=$B56,IF(DATOS_[[AGRUP. CLAS. PROF.]:[AGRUP. CLAS. PROF.]]=$B54,IF(DATOS_[[Check Periodo Ref.]:[Check Periodo Ref.]]="Dentro",IF(DATOS_[[Check Equiparado]:[Check Equiparado]]="Sí",IF(DATOS!BH$5="Sí",(1/DATOS_[[% anualiz]:[% anualiz]]),1)*IF(DATOS!BH$4="Sí",1/DATOS_[[% normaliz]:[% normaliz]],1)*(DATOS_[Conc.Sal.30])))))))),
0)</f>
        <v>0</v>
      </c>
      <c r="AN56" s="112">
        <f t="array" ref="AN56">IFERROR(
MEDIAN(IF(DATOS_[Sexo]=$B56,IF(DATOS_[[AGRUP. CLAS. PROF.]:[AGRUP. CLAS. PROF.]]=$B54,IF(DATOS_[Check Equiparado]="Sí",IF(DATOS_[Check Periodo Ref.]="Dentro",DATOS_[Tot COMPL.SAL Eq],FALSE))))),
0)</f>
        <v>0</v>
      </c>
      <c r="AO56" s="113">
        <f t="array" ref="AO56">IFERROR(
MEDIAN(IF(DATOS_[Sexo]=$B56,IF(DATOS_[[AGRUP. CLAS. PROF.]:[AGRUP. CLAS. PROF.]]=$B54,IF(DATOS_[Check Equiparado]="Sí",IF(DATOS_[Check Periodo Ref.]="Dentro",DATOS_[TOTAL SALARIO Eq],FALSE))))),
0)</f>
        <v>0</v>
      </c>
      <c r="AP56" s="114">
        <f t="array" ref="AP56">IFERROR(
(MEDIAN((IF(DATOS_[[Sexo]:[Sexo]]=$B56,IF(DATOS_[[AGRUP. CLAS. PROF.]:[AGRUP. CLAS. PROF.]]=$B54,IF(DATOS_[[Check Periodo Ref.]:[Check Periodo Ref.]]="Dentro",IF(DATOS_[[Check Equiparado]:[Check Equiparado]]="Sí",IF(DATOS!BI$5="Sí",(1/DATOS_[[% anualiz]:[% anualiz]]),1)*IF(DATOS!BI$4="Sí",1/DATOS_[[% normaliz]:[% normaliz]],1)*(DATOS_[C.Extra.01])))))))),
0)</f>
        <v>0</v>
      </c>
      <c r="AQ56" s="114">
        <f t="array" ref="AQ56">IFERROR(
(MEDIAN((IF(DATOS_[[Sexo]:[Sexo]]=$B56,IF(DATOS_[[AGRUP. CLAS. PROF.]:[AGRUP. CLAS. PROF.]]=$B54,IF(DATOS_[[Check Periodo Ref.]:[Check Periodo Ref.]]="Dentro",IF(DATOS_[[Check Equiparado]:[Check Equiparado]]="Sí",IF(DATOS!BJ$5="Sí",(1/DATOS_[[% anualiz]:[% anualiz]]),1)*IF(DATOS!BJ$4="Sí",1/DATOS_[[% normaliz]:[% normaliz]],1)*(DATOS_[C.Extra.02])))))))),
0)</f>
        <v>0</v>
      </c>
      <c r="AR56" s="114">
        <f t="array" ref="AR56">IFERROR(
(MEDIAN((IF(DATOS_[[Sexo]:[Sexo]]=$B56,IF(DATOS_[[AGRUP. CLAS. PROF.]:[AGRUP. CLAS. PROF.]]=$B54,IF(DATOS_[[Check Periodo Ref.]:[Check Periodo Ref.]]="Dentro",IF(DATOS_[[Check Equiparado]:[Check Equiparado]]="Sí",IF(DATOS!BK$5="Sí",(1/DATOS_[[% anualiz]:[% anualiz]]),1)*IF(DATOS!BK$4="Sí",1/DATOS_[[% normaliz]:[% normaliz]],1)*(DATOS_[C.Extra.03])))))))),
0)</f>
        <v>0</v>
      </c>
      <c r="AS56" s="114">
        <f t="array" ref="AS56">IFERROR(
(MEDIAN((IF(DATOS_[[Sexo]:[Sexo]]=$B56,IF(DATOS_[[AGRUP. CLAS. PROF.]:[AGRUP. CLAS. PROF.]]=$B54,IF(DATOS_[[Check Periodo Ref.]:[Check Periodo Ref.]]="Dentro",IF(DATOS_[[Check Equiparado]:[Check Equiparado]]="Sí",IF(DATOS!BL$5="Sí",(1/DATOS_[[% anualiz]:[% anualiz]]),1)*IF(DATOS!BL$4="Sí",1/DATOS_[[% normaliz]:[% normaliz]],1)*(DATOS_[C.Extra.04])))))))),
0)</f>
        <v>0</v>
      </c>
      <c r="AT56" s="114">
        <f t="array" ref="AT56">IFERROR(
(MEDIAN((IF(DATOS_[[Sexo]:[Sexo]]=$B56,IF(DATOS_[[AGRUP. CLAS. PROF.]:[AGRUP. CLAS. PROF.]]=$B54,IF(DATOS_[[Check Periodo Ref.]:[Check Periodo Ref.]]="Dentro",IF(DATOS_[[Check Equiparado]:[Check Equiparado]]="Sí",IF(DATOS!BM$5="Sí",(1/DATOS_[[% anualiz]:[% anualiz]]),1)*IF(DATOS!BM$4="Sí",1/DATOS_[[% normaliz]:[% normaliz]],1)*(DATOS_[C.Extra.05])))))))),
0)</f>
        <v>0</v>
      </c>
      <c r="AU56" s="115">
        <f t="array" ref="AU56">IFERROR(
MEDIAN(IF(DATOS_[Sexo]=$B56,IF(DATOS_[[AGRUP. CLAS. PROF.]:[AGRUP. CLAS. PROF.]]=$B54,IF(DATOS_[Check Equiparado]="Sí",IF(DATOS_[Check Periodo Ref.]="Dentro",DATOS_[Tot Extrasalarial Eq],FALSE))))),
0)</f>
        <v>0</v>
      </c>
      <c r="AV56" s="116">
        <f t="array" ref="AV56">IFERROR(
MEDIAN(IF(DATOS_[Sexo]=$B56,IF(DATOS_[[AGRUP. CLAS. PROF.]:[AGRUP. CLAS. PROF.]]=$B54,IF(DATOS_[Check Equiparado]="Sí",IF(DATOS_[Check Periodo Ref.]="Dentro",DATOS_[TOTAL Retrib Eq],FALSE))))),
0)</f>
        <v>0</v>
      </c>
    </row>
    <row r="57" spans="1:48" ht="17.25" hidden="1" thickBot="1" x14ac:dyDescent="0.35">
      <c r="A57" s="42" t="str">
        <f t="shared" ref="A57" si="59">+A58</f>
        <v>[ocultar]</v>
      </c>
      <c r="B57" s="90" t="s">
        <v>231</v>
      </c>
      <c r="C57" s="109"/>
      <c r="D57" s="41"/>
      <c r="E57" s="41"/>
      <c r="F57" s="41"/>
      <c r="G57" s="41"/>
      <c r="H57" s="41"/>
      <c r="I57" s="119" t="str">
        <f t="shared" ref="I57:AV57" si="60">IFERROR((I58-I59)/I58,"")</f>
        <v/>
      </c>
      <c r="J57" s="123" t="str">
        <f t="shared" si="60"/>
        <v/>
      </c>
      <c r="K57" s="123" t="str">
        <f t="shared" si="60"/>
        <v/>
      </c>
      <c r="L57" s="123" t="str">
        <f t="shared" si="60"/>
        <v/>
      </c>
      <c r="M57" s="123" t="str">
        <f t="shared" si="60"/>
        <v/>
      </c>
      <c r="N57" s="123" t="str">
        <f t="shared" si="60"/>
        <v/>
      </c>
      <c r="O57" s="123" t="str">
        <f t="shared" si="60"/>
        <v/>
      </c>
      <c r="P57" s="123" t="str">
        <f t="shared" si="60"/>
        <v/>
      </c>
      <c r="Q57" s="123" t="str">
        <f t="shared" si="60"/>
        <v/>
      </c>
      <c r="R57" s="123" t="str">
        <f t="shared" si="60"/>
        <v/>
      </c>
      <c r="S57" s="123" t="str">
        <f t="shared" si="60"/>
        <v/>
      </c>
      <c r="T57" s="123" t="str">
        <f t="shared" si="60"/>
        <v/>
      </c>
      <c r="U57" s="123" t="str">
        <f t="shared" si="60"/>
        <v/>
      </c>
      <c r="V57" s="123" t="str">
        <f t="shared" si="60"/>
        <v/>
      </c>
      <c r="W57" s="123" t="str">
        <f t="shared" si="60"/>
        <v/>
      </c>
      <c r="X57" s="123" t="str">
        <f t="shared" si="60"/>
        <v/>
      </c>
      <c r="Y57" s="123" t="str">
        <f t="shared" si="60"/>
        <v/>
      </c>
      <c r="Z57" s="122" t="str">
        <f t="shared" si="60"/>
        <v/>
      </c>
      <c r="AA57" s="122" t="str">
        <f t="shared" si="60"/>
        <v/>
      </c>
      <c r="AB57" s="122" t="str">
        <f t="shared" si="60"/>
        <v/>
      </c>
      <c r="AC57" s="122" t="str">
        <f t="shared" si="60"/>
        <v/>
      </c>
      <c r="AD57" s="122" t="str">
        <f t="shared" si="60"/>
        <v/>
      </c>
      <c r="AE57" s="122" t="str">
        <f t="shared" si="60"/>
        <v/>
      </c>
      <c r="AF57" s="122" t="str">
        <f t="shared" si="60"/>
        <v/>
      </c>
      <c r="AG57" s="122" t="str">
        <f t="shared" si="60"/>
        <v/>
      </c>
      <c r="AH57" s="122" t="str">
        <f t="shared" si="60"/>
        <v/>
      </c>
      <c r="AI57" s="122" t="str">
        <f t="shared" si="60"/>
        <v/>
      </c>
      <c r="AJ57" s="122" t="str">
        <f t="shared" si="60"/>
        <v/>
      </c>
      <c r="AK57" s="122" t="str">
        <f t="shared" si="60"/>
        <v/>
      </c>
      <c r="AL57" s="122" t="str">
        <f t="shared" si="60"/>
        <v/>
      </c>
      <c r="AM57" s="122" t="str">
        <f t="shared" si="60"/>
        <v/>
      </c>
      <c r="AN57" s="124" t="str">
        <f t="shared" si="60"/>
        <v/>
      </c>
      <c r="AO57" s="128" t="str">
        <f t="shared" si="60"/>
        <v/>
      </c>
      <c r="AP57" s="125" t="str">
        <f t="shared" si="60"/>
        <v/>
      </c>
      <c r="AQ57" s="125" t="str">
        <f t="shared" si="60"/>
        <v/>
      </c>
      <c r="AR57" s="125" t="str">
        <f t="shared" si="60"/>
        <v/>
      </c>
      <c r="AS57" s="125" t="str">
        <f t="shared" si="60"/>
        <v/>
      </c>
      <c r="AT57" s="125" t="str">
        <f t="shared" si="60"/>
        <v/>
      </c>
      <c r="AU57" s="126" t="str">
        <f t="shared" si="60"/>
        <v/>
      </c>
      <c r="AV57" s="127" t="str">
        <f t="shared" si="60"/>
        <v/>
      </c>
    </row>
    <row r="58" spans="1:48" hidden="1" x14ac:dyDescent="0.3">
      <c r="A58" s="42" t="str">
        <f t="shared" ref="A58" si="61">+IF(C58+C59=0,"[ocultar]","")</f>
        <v>[ocultar]</v>
      </c>
      <c r="B58" s="86" t="s">
        <v>162</v>
      </c>
      <c r="C58" s="33">
        <f t="array" ref="C58">SUM(IF($B58=DATOS_[Sexo],
IF($B57=DATOS_[AGRUP. CLAS. PROF.],
IF("Dentro"=DATOS_[Check Periodo Ref.],
1/(COUNTIFS(DATOS_[Sexo],$B58,DATOS_[AGRUP. CLAS. PROF.],$B57,DATOS_[Check Periodo Ref.],"Dentro",DATOS_[id],DATOS_[id]))))))</f>
        <v>0</v>
      </c>
      <c r="D58" s="35">
        <f>COUNTIFS(DATOS_[AGRUP. CLAS. PROF.],$B57,DATOS_[Sexo],$B58,DATOS_[Check Periodo Ref.],"Dentro")</f>
        <v>0</v>
      </c>
      <c r="E58" s="35">
        <f>COUNTIFS(DATOS_[AGRUP. CLAS. PROF.],$B57,DATOS_[Sexo],$B58,DATOS_[Check Periodo Ref.],"Dentro",DATOS_[Check Nº SC Norm],"Sí")</f>
        <v>0</v>
      </c>
      <c r="F58" s="35">
        <f>COUNTIFS(DATOS_[AGRUP. CLAS. PROF.],$B57,DATOS_[Sexo],$B58,DATOS_[Check Periodo Ref.],"Dentro",DATOS_[Check Nº SC Anualiz],"Sí")</f>
        <v>0</v>
      </c>
      <c r="G58" s="35">
        <f>COUNTIFS(DATOS_[AGRUP. CLAS. PROF.],$B57,DATOS_[Sexo],$B58,DATOS_[Check Periodo Ref.],"Dentro",DATOS_[Check Nº SC Norm y Anualiz],"Sí")</f>
        <v>0</v>
      </c>
      <c r="H58" s="35">
        <f>COUNTIFS(DATOS_[AGRUP. CLAS. PROF.],$B57,DATOS_[Sexo],$B58,DATOS_[Check Periodo Ref.],"Dentro",DATOS_[Check Equiparación],"Sí")</f>
        <v>0</v>
      </c>
      <c r="I58" s="110">
        <f t="array" ref="I58">IFERROR(
MEDIAN(IF(DATOS_[Sexo]=$B58,IF(DATOS_[[AGRUP. CLAS. PROF.]:[AGRUP. CLAS. PROF.]]=$B57,IF(DATOS_[Check Equiparado]="Sí",IF(DATOS_[Check Periodo Ref.]="Dentro",DATOS_[SALARIO BASE Eq],FALSE))))),
0)</f>
        <v>0</v>
      </c>
      <c r="J58" s="111">
        <f t="array" ref="J58">IFERROR(
(MEDIAN((IF(DATOS_[[Sexo]:[Sexo]]=$B58,IF(DATOS_[[AGRUP. CLAS. PROF.]:[AGRUP. CLAS. PROF.]]=$B57,IF(DATOS_[[Check Periodo Ref.]:[Check Periodo Ref.]]="Dentro",IF(DATOS_[[Check Equiparado]:[Check Equiparado]]="Sí",IF(DATOS!AE$5="Sí",(1/DATOS_[[% anualiz]:[% anualiz]]),1)*IF(DATOS!AE$4="Sí",1/DATOS_[[% normaliz]:[% normaliz]],1)*(DATOS_[Conc.Sal.01])))))))),
0)</f>
        <v>0</v>
      </c>
      <c r="K58" s="111">
        <f t="array" ref="K58">IFERROR(
(MEDIAN((IF(DATOS_[[Sexo]:[Sexo]]=$B58,IF(DATOS_[[AGRUP. CLAS. PROF.]:[AGRUP. CLAS. PROF.]]=$B57,IF(DATOS_[[Check Periodo Ref.]:[Check Periodo Ref.]]="Dentro",IF(DATOS_[[Check Equiparado]:[Check Equiparado]]="Sí",IF(DATOS!AF$5="Sí",(1/DATOS_[[% anualiz]:[% anualiz]]),1)*IF(DATOS!AF$4="Sí",1/DATOS_[[% normaliz]:[% normaliz]],1)*(DATOS_[Conc.Sal.02])))))))),
0)</f>
        <v>0</v>
      </c>
      <c r="L58" s="111">
        <f t="array" ref="L58">IFERROR(
(MEDIAN((IF(DATOS_[[Sexo]:[Sexo]]=$B58,IF(DATOS_[[AGRUP. CLAS. PROF.]:[AGRUP. CLAS. PROF.]]=$B57,IF(DATOS_[[Check Periodo Ref.]:[Check Periodo Ref.]]="Dentro",IF(DATOS_[[Check Equiparado]:[Check Equiparado]]="Sí",IF(DATOS!AG$5="Sí",(1/DATOS_[[% anualiz]:[% anualiz]]),1)*IF(DATOS!AG$4="Sí",1/DATOS_[[% normaliz]:[% normaliz]],1)*(DATOS_[Conc.Sal.03])))))))),
0)</f>
        <v>0</v>
      </c>
      <c r="M58" s="111">
        <f t="array" ref="M58">IFERROR(
(MEDIAN((IF(DATOS_[[Sexo]:[Sexo]]=$B58,IF(DATOS_[[AGRUP. CLAS. PROF.]:[AGRUP. CLAS. PROF.]]=$B57,IF(DATOS_[[Check Periodo Ref.]:[Check Periodo Ref.]]="Dentro",IF(DATOS_[[Check Equiparado]:[Check Equiparado]]="Sí",IF(DATOS!AH$5="Sí",(1/DATOS_[[% anualiz]:[% anualiz]]),1)*IF(DATOS!AH$4="Sí",1/DATOS_[[% normaliz]:[% normaliz]],1)*(DATOS_[Conc.Sal.04])))))))),
0)</f>
        <v>0</v>
      </c>
      <c r="N58" s="111">
        <f t="array" ref="N58">IFERROR(
(MEDIAN((IF(DATOS_[[Sexo]:[Sexo]]=$B58,IF(DATOS_[[AGRUP. CLAS. PROF.]:[AGRUP. CLAS. PROF.]]=$B57,IF(DATOS_[[Check Periodo Ref.]:[Check Periodo Ref.]]="Dentro",IF(DATOS_[[Check Equiparado]:[Check Equiparado]]="Sí",IF(DATOS!AI$5="Sí",(1/DATOS_[[% anualiz]:[% anualiz]]),1)*IF(DATOS!AI$4="Sí",1/DATOS_[[% normaliz]:[% normaliz]],1)*(DATOS_[Conc.Sal.05])))))))),
0)</f>
        <v>0</v>
      </c>
      <c r="O58" s="111">
        <f t="array" ref="O58">IFERROR(
(MEDIAN((IF(DATOS_[[Sexo]:[Sexo]]=$B58,IF(DATOS_[[AGRUP. CLAS. PROF.]:[AGRUP. CLAS. PROF.]]=$B57,IF(DATOS_[[Check Periodo Ref.]:[Check Periodo Ref.]]="Dentro",IF(DATOS_[[Check Equiparado]:[Check Equiparado]]="Sí",IF(DATOS!AJ$5="Sí",(1/DATOS_[[% anualiz]:[% anualiz]]),1)*IF(DATOS!AJ$4="Sí",1/DATOS_[[% normaliz]:[% normaliz]],1)*(DATOS_[Conc.Sal.06])))))))),
0)</f>
        <v>0</v>
      </c>
      <c r="P58" s="111">
        <f t="array" ref="P58">IFERROR(
(MEDIAN((IF(DATOS_[[Sexo]:[Sexo]]=$B58,IF(DATOS_[[AGRUP. CLAS. PROF.]:[AGRUP. CLAS. PROF.]]=$B57,IF(DATOS_[[Check Periodo Ref.]:[Check Periodo Ref.]]="Dentro",IF(DATOS_[[Check Equiparado]:[Check Equiparado]]="Sí",IF(DATOS!AK$5="Sí",(1/DATOS_[[% anualiz]:[% anualiz]]),1)*IF(DATOS!AK$4="Sí",1/DATOS_[[% normaliz]:[% normaliz]],1)*(DATOS_[Conc.Sal.07])))))))),
0)</f>
        <v>0</v>
      </c>
      <c r="Q58" s="111">
        <f t="array" ref="Q58">IFERROR(
(MEDIAN((IF(DATOS_[[Sexo]:[Sexo]]=$B58,IF(DATOS_[[AGRUP. CLAS. PROF.]:[AGRUP. CLAS. PROF.]]=$B57,IF(DATOS_[[Check Periodo Ref.]:[Check Periodo Ref.]]="Dentro",IF(DATOS_[[Check Equiparado]:[Check Equiparado]]="Sí",IF(DATOS!AL$5="Sí",(1/DATOS_[[% anualiz]:[% anualiz]]),1)*IF(DATOS!AL$4="Sí",1/DATOS_[[% normaliz]:[% normaliz]],1)*(DATOS_[Conc.Sal.08])))))))),
0)</f>
        <v>0</v>
      </c>
      <c r="R58" s="111">
        <f t="array" ref="R58">IFERROR(
(MEDIAN((IF(DATOS_[[Sexo]:[Sexo]]=$B58,IF(DATOS_[[AGRUP. CLAS. PROF.]:[AGRUP. CLAS. PROF.]]=$B57,IF(DATOS_[[Check Periodo Ref.]:[Check Periodo Ref.]]="Dentro",IF(DATOS_[[Check Equiparado]:[Check Equiparado]]="Sí",IF(DATOS!AM$5="Sí",(1/DATOS_[[% anualiz]:[% anualiz]]),1)*IF(DATOS!AM$4="Sí",1/DATOS_[[% normaliz]:[% normaliz]],1)*(DATOS_[Conc.Sal.09])))))))),
0)</f>
        <v>0</v>
      </c>
      <c r="S58" s="111">
        <f t="array" ref="S58">IFERROR(
(MEDIAN((IF(DATOS_[[Sexo]:[Sexo]]=$B58,IF(DATOS_[[AGRUP. CLAS. PROF.]:[AGRUP. CLAS. PROF.]]=$B57,IF(DATOS_[[Check Periodo Ref.]:[Check Periodo Ref.]]="Dentro",IF(DATOS_[[Check Equiparado]:[Check Equiparado]]="Sí",IF(DATOS!AN$5="Sí",(1/DATOS_[[% anualiz]:[% anualiz]]),1)*IF(DATOS!AN$4="Sí",1/DATOS_[[% normaliz]:[% normaliz]],1)*(DATOS_[Conc.Sal.10])))))))),
0)</f>
        <v>0</v>
      </c>
      <c r="T58" s="111">
        <f t="array" ref="T58">IFERROR(
(MEDIAN((IF(DATOS_[[Sexo]:[Sexo]]=$B58,IF(DATOS_[[AGRUP. CLAS. PROF.]:[AGRUP. CLAS. PROF.]]=$B57,IF(DATOS_[[Check Periodo Ref.]:[Check Periodo Ref.]]="Dentro",IF(DATOS_[[Check Equiparado]:[Check Equiparado]]="Sí",IF(DATOS!AO$5="Sí",(1/DATOS_[[% anualiz]:[% anualiz]]),1)*IF(DATOS!AO$4="Sí",1/DATOS_[[% normaliz]:[% normaliz]],1)*(DATOS_[Conc.Sal.11])))))))),
0)</f>
        <v>0</v>
      </c>
      <c r="U58" s="111">
        <f t="array" ref="U58">IFERROR(
(MEDIAN((IF(DATOS_[[Sexo]:[Sexo]]=$B58,IF(DATOS_[[AGRUP. CLAS. PROF.]:[AGRUP. CLAS. PROF.]]=$B57,IF(DATOS_[[Check Periodo Ref.]:[Check Periodo Ref.]]="Dentro",IF(DATOS_[[Check Equiparado]:[Check Equiparado]]="Sí",IF(DATOS!AP$5="Sí",(1/DATOS_[[% anualiz]:[% anualiz]]),1)*IF(DATOS!AP$4="Sí",1/DATOS_[[% normaliz]:[% normaliz]],1)*(DATOS_[Conc.Sal.12])))))))),
0)</f>
        <v>0</v>
      </c>
      <c r="V58" s="111">
        <f t="array" ref="V58">IFERROR(
(MEDIAN((IF(DATOS_[[Sexo]:[Sexo]]=$B58,IF(DATOS_[[AGRUP. CLAS. PROF.]:[AGRUP. CLAS. PROF.]]=$B57,IF(DATOS_[[Check Periodo Ref.]:[Check Periodo Ref.]]="Dentro",IF(DATOS_[[Check Equiparado]:[Check Equiparado]]="Sí",IF(DATOS!AQ$5="Sí",(1/DATOS_[[% anualiz]:[% anualiz]]),1)*IF(DATOS!AQ$4="Sí",1/DATOS_[[% normaliz]:[% normaliz]],1)*(DATOS_[Conc.Sal.13])))))))),
0)</f>
        <v>0</v>
      </c>
      <c r="W58" s="111">
        <f t="array" ref="W58">IFERROR(
(MEDIAN((IF(DATOS_[[Sexo]:[Sexo]]=$B58,IF(DATOS_[[AGRUP. CLAS. PROF.]:[AGRUP. CLAS. PROF.]]=$B57,IF(DATOS_[[Check Periodo Ref.]:[Check Periodo Ref.]]="Dentro",IF(DATOS_[[Check Equiparado]:[Check Equiparado]]="Sí",IF(DATOS!AR$5="Sí",(1/DATOS_[[% anualiz]:[% anualiz]]),1)*IF(DATOS!AR$4="Sí",1/DATOS_[[% normaliz]:[% normaliz]],1)*(DATOS_[Conc.Sal.14])))))))),
0)</f>
        <v>0</v>
      </c>
      <c r="X58" s="111">
        <f t="array" ref="X58">IFERROR(
(MEDIAN((IF(DATOS_[[Sexo]:[Sexo]]=$B58,IF(DATOS_[[AGRUP. CLAS. PROF.]:[AGRUP. CLAS. PROF.]]=$B57,IF(DATOS_[[Check Periodo Ref.]:[Check Periodo Ref.]]="Dentro",IF(DATOS_[[Check Equiparado]:[Check Equiparado]]="Sí",IF(DATOS!AS$5="Sí",(1/DATOS_[[% anualiz]:[% anualiz]]),1)*IF(DATOS!AS$4="Sí",1/DATOS_[[% normaliz]:[% normaliz]],1)*(DATOS_[Conc.Sal.15])))))))),
0)</f>
        <v>0</v>
      </c>
      <c r="Y58" s="111">
        <f t="array" ref="Y58">IFERROR(
(MEDIAN((IF(DATOS_[[Sexo]:[Sexo]]=$B58,IF(DATOS_[[AGRUP. CLAS. PROF.]:[AGRUP. CLAS. PROF.]]=$B57,IF(DATOS_[[Check Periodo Ref.]:[Check Periodo Ref.]]="Dentro",IF(DATOS_[[Check Equiparado]:[Check Equiparado]]="Sí",IF(DATOS!AT$5="Sí",(1/DATOS_[[% anualiz]:[% anualiz]]),1)*IF(DATOS!AT$4="Sí",1/DATOS_[[% normaliz]:[% normaliz]],1)*(DATOS_[Conc.Sal.16])))))))),
0)</f>
        <v>0</v>
      </c>
      <c r="Z58" s="111">
        <f t="array" ref="Z58">IFERROR(
(MEDIAN((IF(DATOS_[[Sexo]:[Sexo]]=$B58,IF(DATOS_[[AGRUP. CLAS. PROF.]:[AGRUP. CLAS. PROF.]]=$B57,IF(DATOS_[[Check Periodo Ref.]:[Check Periodo Ref.]]="Dentro",IF(DATOS_[[Check Equiparado]:[Check Equiparado]]="Sí",IF(DATOS!AU$5="Sí",(1/DATOS_[[% anualiz]:[% anualiz]]),1)*IF(DATOS!AU$4="Sí",1/DATOS_[[% normaliz]:[% normaliz]],1)*(DATOS_[Conc.Sal.17])))))))),
0)</f>
        <v>0</v>
      </c>
      <c r="AA58" s="111">
        <f t="array" ref="AA58">IFERROR(
(MEDIAN((IF(DATOS_[[Sexo]:[Sexo]]=$B58,IF(DATOS_[[AGRUP. CLAS. PROF.]:[AGRUP. CLAS. PROF.]]=$B57,IF(DATOS_[[Check Periodo Ref.]:[Check Periodo Ref.]]="Dentro",IF(DATOS_[[Check Equiparado]:[Check Equiparado]]="Sí",IF(DATOS!AV$5="Sí",(1/DATOS_[[% anualiz]:[% anualiz]]),1)*IF(DATOS!AV$4="Sí",1/DATOS_[[% normaliz]:[% normaliz]],1)*(DATOS_[Conc.Sal.18])))))))),
0)</f>
        <v>0</v>
      </c>
      <c r="AB58" s="111">
        <f t="array" ref="AB58">IFERROR(
(MEDIAN((IF(DATOS_[[Sexo]:[Sexo]]=$B58,IF(DATOS_[[AGRUP. CLAS. PROF.]:[AGRUP. CLAS. PROF.]]=$B57,IF(DATOS_[[Check Periodo Ref.]:[Check Periodo Ref.]]="Dentro",IF(DATOS_[[Check Equiparado]:[Check Equiparado]]="Sí",IF(DATOS!AW$5="Sí",(1/DATOS_[[% anualiz]:[% anualiz]]),1)*IF(DATOS!AW$4="Sí",1/DATOS_[[% normaliz]:[% normaliz]],1)*(DATOS_[Conc.Sal.19])))))))),
0)</f>
        <v>0</v>
      </c>
      <c r="AC58" s="111">
        <f t="array" ref="AC58">IFERROR(
(MEDIAN((IF(DATOS_[[Sexo]:[Sexo]]=$B58,IF(DATOS_[[AGRUP. CLAS. PROF.]:[AGRUP. CLAS. PROF.]]=$B57,IF(DATOS_[[Check Periodo Ref.]:[Check Periodo Ref.]]="Dentro",IF(DATOS_[[Check Equiparado]:[Check Equiparado]]="Sí",IF(DATOS!AX$5="Sí",(1/DATOS_[[% anualiz]:[% anualiz]]),1)*IF(DATOS!AX$4="Sí",1/DATOS_[[% normaliz]:[% normaliz]],1)*(DATOS_[Conc.Sal.20])))))))),
0)</f>
        <v>0</v>
      </c>
      <c r="AD58" s="111">
        <f t="array" ref="AD58">IFERROR(
(MEDIAN((IF(DATOS_[[Sexo]:[Sexo]]=$B58,IF(DATOS_[[AGRUP. CLAS. PROF.]:[AGRUP. CLAS. PROF.]]=$B57,IF(DATOS_[[Check Periodo Ref.]:[Check Periodo Ref.]]="Dentro",IF(DATOS_[[Check Equiparado]:[Check Equiparado]]="Sí",IF(DATOS!AY$5="Sí",(1/DATOS_[[% anualiz]:[% anualiz]]),1)*IF(DATOS!AY$4="Sí",1/DATOS_[[% normaliz]:[% normaliz]],1)*(DATOS_[Conc.Sal.21])))))))),
0)</f>
        <v>0</v>
      </c>
      <c r="AE58" s="111">
        <f t="array" ref="AE58">IFERROR(
(MEDIAN((IF(DATOS_[[Sexo]:[Sexo]]=$B58,IF(DATOS_[[AGRUP. CLAS. PROF.]:[AGRUP. CLAS. PROF.]]=$B57,IF(DATOS_[[Check Periodo Ref.]:[Check Periodo Ref.]]="Dentro",IF(DATOS_[[Check Equiparado]:[Check Equiparado]]="Sí",IF(DATOS!AZ$5="Sí",(1/DATOS_[[% anualiz]:[% anualiz]]),1)*IF(DATOS!AZ$4="Sí",1/DATOS_[[% normaliz]:[% normaliz]],1)*(DATOS_[Conc.Sal.22])))))))),
0)</f>
        <v>0</v>
      </c>
      <c r="AF58" s="111">
        <f t="array" ref="AF58">IFERROR(
(MEDIAN((IF(DATOS_[[Sexo]:[Sexo]]=$B58,IF(DATOS_[[AGRUP. CLAS. PROF.]:[AGRUP. CLAS. PROF.]]=$B57,IF(DATOS_[[Check Periodo Ref.]:[Check Periodo Ref.]]="Dentro",IF(DATOS_[[Check Equiparado]:[Check Equiparado]]="Sí",IF(DATOS!BA$5="Sí",(1/DATOS_[[% anualiz]:[% anualiz]]),1)*IF(DATOS!BA$4="Sí",1/DATOS_[[% normaliz]:[% normaliz]],1)*(DATOS_[Conc.Sal.23])))))))),
0)</f>
        <v>0</v>
      </c>
      <c r="AG58" s="111">
        <f t="array" ref="AG58">IFERROR(
(MEDIAN((IF(DATOS_[[Sexo]:[Sexo]]=$B58,IF(DATOS_[[AGRUP. CLAS. PROF.]:[AGRUP. CLAS. PROF.]]=$B57,IF(DATOS_[[Check Periodo Ref.]:[Check Periodo Ref.]]="Dentro",IF(DATOS_[[Check Equiparado]:[Check Equiparado]]="Sí",IF(DATOS!BB$5="Sí",(1/DATOS_[[% anualiz]:[% anualiz]]),1)*IF(DATOS!BB$4="Sí",1/DATOS_[[% normaliz]:[% normaliz]],1)*(DATOS_[Conc.Sal.24])))))))),
0)</f>
        <v>0</v>
      </c>
      <c r="AH58" s="111">
        <f t="array" ref="AH58">IFERROR(
(MEDIAN((IF(DATOS_[[Sexo]:[Sexo]]=$B58,IF(DATOS_[[AGRUP. CLAS. PROF.]:[AGRUP. CLAS. PROF.]]=$B57,IF(DATOS_[[Check Periodo Ref.]:[Check Periodo Ref.]]="Dentro",IF(DATOS_[[Check Equiparado]:[Check Equiparado]]="Sí",IF(DATOS!BC$5="Sí",(1/DATOS_[[% anualiz]:[% anualiz]]),1)*IF(DATOS!BC$4="Sí",1/DATOS_[[% normaliz]:[% normaliz]],1)*(DATOS_[Conc.Sal.25])))))))),
0)</f>
        <v>0</v>
      </c>
      <c r="AI58" s="111">
        <f t="array" ref="AI58">IFERROR(
(MEDIAN((IF(DATOS_[[Sexo]:[Sexo]]=$B58,IF(DATOS_[[AGRUP. CLAS. PROF.]:[AGRUP. CLAS. PROF.]]=$B57,IF(DATOS_[[Check Periodo Ref.]:[Check Periodo Ref.]]="Dentro",IF(DATOS_[[Check Equiparado]:[Check Equiparado]]="Sí",IF(DATOS!BD$5="Sí",(1/DATOS_[[% anualiz]:[% anualiz]]),1)*IF(DATOS!BD$4="Sí",1/DATOS_[[% normaliz]:[% normaliz]],1)*(DATOS_[Conc.Sal.26])))))))),
0)</f>
        <v>0</v>
      </c>
      <c r="AJ58" s="111">
        <f t="array" ref="AJ58">IFERROR(
(MEDIAN((IF(DATOS_[[Sexo]:[Sexo]]=$B58,IF(DATOS_[[AGRUP. CLAS. PROF.]:[AGRUP. CLAS. PROF.]]=$B57,IF(DATOS_[[Check Periodo Ref.]:[Check Periodo Ref.]]="Dentro",IF(DATOS_[[Check Equiparado]:[Check Equiparado]]="Sí",IF(DATOS!BE$5="Sí",(1/DATOS_[[% anualiz]:[% anualiz]]),1)*IF(DATOS!BE$4="Sí",1/DATOS_[[% normaliz]:[% normaliz]],1)*(DATOS_[Conc.Sal.27])))))))),
0)</f>
        <v>0</v>
      </c>
      <c r="AK58" s="111">
        <f t="array" ref="AK58">IFERROR(
(MEDIAN((IF(DATOS_[[Sexo]:[Sexo]]=$B58,IF(DATOS_[[AGRUP. CLAS. PROF.]:[AGRUP. CLAS. PROF.]]=$B57,IF(DATOS_[[Check Periodo Ref.]:[Check Periodo Ref.]]="Dentro",IF(DATOS_[[Check Equiparado]:[Check Equiparado]]="Sí",IF(DATOS!BF$5="Sí",(1/DATOS_[[% anualiz]:[% anualiz]]),1)*IF(DATOS!BF$4="Sí",1/DATOS_[[% normaliz]:[% normaliz]],1)*(DATOS_[Conc.Sal.28])))))))),
0)</f>
        <v>0</v>
      </c>
      <c r="AL58" s="111">
        <f t="array" ref="AL58">IFERROR(
(MEDIAN((IF(DATOS_[[Sexo]:[Sexo]]=$B58,IF(DATOS_[[AGRUP. CLAS. PROF.]:[AGRUP. CLAS. PROF.]]=$B57,IF(DATOS_[[Check Periodo Ref.]:[Check Periodo Ref.]]="Dentro",IF(DATOS_[[Check Equiparado]:[Check Equiparado]]="Sí",IF(DATOS!BG$5="Sí",(1/DATOS_[[% anualiz]:[% anualiz]]),1)*IF(DATOS!BG$4="Sí",1/DATOS_[[% normaliz]:[% normaliz]],1)*(DATOS_[Conc.Sal.29])))))))),
0)</f>
        <v>0</v>
      </c>
      <c r="AM58" s="111">
        <f t="array" ref="AM58">IFERROR(
(MEDIAN((IF(DATOS_[[Sexo]:[Sexo]]=$B58,IF(DATOS_[[AGRUP. CLAS. PROF.]:[AGRUP. CLAS. PROF.]]=$B57,IF(DATOS_[[Check Periodo Ref.]:[Check Periodo Ref.]]="Dentro",IF(DATOS_[[Check Equiparado]:[Check Equiparado]]="Sí",IF(DATOS!BH$5="Sí",(1/DATOS_[[% anualiz]:[% anualiz]]),1)*IF(DATOS!BH$4="Sí",1/DATOS_[[% normaliz]:[% normaliz]],1)*(DATOS_[Conc.Sal.30])))))))),
0)</f>
        <v>0</v>
      </c>
      <c r="AN58" s="112">
        <f t="array" ref="AN58">IFERROR(
MEDIAN(IF(DATOS_[Sexo]=$B58,IF(DATOS_[[AGRUP. CLAS. PROF.]:[AGRUP. CLAS. PROF.]]=$B57,IF(DATOS_[Check Equiparado]="Sí",IF(DATOS_[Check Periodo Ref.]="Dentro",DATOS_[Tot COMPL.SAL Eq],FALSE))))),
0)</f>
        <v>0</v>
      </c>
      <c r="AO58" s="113">
        <f t="array" ref="AO58">IFERROR(
MEDIAN(IF(DATOS_[Sexo]=$B58,IF(DATOS_[[AGRUP. CLAS. PROF.]:[AGRUP. CLAS. PROF.]]=$B57,IF(DATOS_[Check Equiparado]="Sí",IF(DATOS_[Check Periodo Ref.]="Dentro",DATOS_[TOTAL SALARIO Eq],FALSE))))),
0)</f>
        <v>0</v>
      </c>
      <c r="AP58" s="114">
        <f t="array" ref="AP58">IFERROR(
(MEDIAN((IF(DATOS_[[Sexo]:[Sexo]]=$B58,IF(DATOS_[[AGRUP. CLAS. PROF.]:[AGRUP. CLAS. PROF.]]=$B57,IF(DATOS_[[Check Periodo Ref.]:[Check Periodo Ref.]]="Dentro",IF(DATOS_[[Check Equiparado]:[Check Equiparado]]="Sí",IF(DATOS!BI$5="Sí",(1/DATOS_[[% anualiz]:[% anualiz]]),1)*IF(DATOS!BI$4="Sí",1/DATOS_[[% normaliz]:[% normaliz]],1)*(DATOS_[C.Extra.01])))))))),
0)</f>
        <v>0</v>
      </c>
      <c r="AQ58" s="114">
        <f t="array" ref="AQ58">IFERROR(
(MEDIAN((IF(DATOS_[[Sexo]:[Sexo]]=$B58,IF(DATOS_[[AGRUP. CLAS. PROF.]:[AGRUP. CLAS. PROF.]]=$B57,IF(DATOS_[[Check Periodo Ref.]:[Check Periodo Ref.]]="Dentro",IF(DATOS_[[Check Equiparado]:[Check Equiparado]]="Sí",IF(DATOS!BJ$5="Sí",(1/DATOS_[[% anualiz]:[% anualiz]]),1)*IF(DATOS!BJ$4="Sí",1/DATOS_[[% normaliz]:[% normaliz]],1)*(DATOS_[C.Extra.02])))))))),
0)</f>
        <v>0</v>
      </c>
      <c r="AR58" s="114">
        <f t="array" ref="AR58">IFERROR(
(MEDIAN((IF(DATOS_[[Sexo]:[Sexo]]=$B58,IF(DATOS_[[AGRUP. CLAS. PROF.]:[AGRUP. CLAS. PROF.]]=$B57,IF(DATOS_[[Check Periodo Ref.]:[Check Periodo Ref.]]="Dentro",IF(DATOS_[[Check Equiparado]:[Check Equiparado]]="Sí",IF(DATOS!BK$5="Sí",(1/DATOS_[[% anualiz]:[% anualiz]]),1)*IF(DATOS!BK$4="Sí",1/DATOS_[[% normaliz]:[% normaliz]],1)*(DATOS_[C.Extra.03])))))))),
0)</f>
        <v>0</v>
      </c>
      <c r="AS58" s="114">
        <f t="array" ref="AS58">IFERROR(
(MEDIAN((IF(DATOS_[[Sexo]:[Sexo]]=$B58,IF(DATOS_[[AGRUP. CLAS. PROF.]:[AGRUP. CLAS. PROF.]]=$B57,IF(DATOS_[[Check Periodo Ref.]:[Check Periodo Ref.]]="Dentro",IF(DATOS_[[Check Equiparado]:[Check Equiparado]]="Sí",IF(DATOS!BL$5="Sí",(1/DATOS_[[% anualiz]:[% anualiz]]),1)*IF(DATOS!BL$4="Sí",1/DATOS_[[% normaliz]:[% normaliz]],1)*(DATOS_[C.Extra.04])))))))),
0)</f>
        <v>0</v>
      </c>
      <c r="AT58" s="114">
        <f t="array" ref="AT58">IFERROR(
(MEDIAN((IF(DATOS_[[Sexo]:[Sexo]]=$B58,IF(DATOS_[[AGRUP. CLAS. PROF.]:[AGRUP. CLAS. PROF.]]=$B57,IF(DATOS_[[Check Periodo Ref.]:[Check Periodo Ref.]]="Dentro",IF(DATOS_[[Check Equiparado]:[Check Equiparado]]="Sí",IF(DATOS!BM$5="Sí",(1/DATOS_[[% anualiz]:[% anualiz]]),1)*IF(DATOS!BM$4="Sí",1/DATOS_[[% normaliz]:[% normaliz]],1)*(DATOS_[C.Extra.05])))))))),
0)</f>
        <v>0</v>
      </c>
      <c r="AU58" s="115">
        <f t="array" ref="AU58">IFERROR(
MEDIAN(IF(DATOS_[Sexo]=$B58,IF(DATOS_[[AGRUP. CLAS. PROF.]:[AGRUP. CLAS. PROF.]]=$B57,IF(DATOS_[Check Equiparado]="Sí",IF(DATOS_[Check Periodo Ref.]="Dentro",DATOS_[Tot Extrasalarial Eq],FALSE))))),
0)</f>
        <v>0</v>
      </c>
      <c r="AV58" s="116">
        <f t="array" ref="AV58">IFERROR(
MEDIAN(IF(DATOS_[Sexo]=$B58,IF(DATOS_[[AGRUP. CLAS. PROF.]:[AGRUP. CLAS. PROF.]]=$B57,IF(DATOS_[Check Equiparado]="Sí",IF(DATOS_[Check Periodo Ref.]="Dentro",DATOS_[TOTAL Retrib Eq],FALSE))))),
0)</f>
        <v>0</v>
      </c>
    </row>
    <row r="59" spans="1:48" hidden="1" x14ac:dyDescent="0.3">
      <c r="A59" s="42" t="str">
        <f t="shared" ref="A59" si="62">+A58</f>
        <v>[ocultar]</v>
      </c>
      <c r="B59" s="86" t="s">
        <v>163</v>
      </c>
      <c r="C59" s="33">
        <f t="array" ref="C59">SUM(IF($B59=DATOS_[Sexo],
IF($B57=DATOS_[AGRUP. CLAS. PROF.],
IF("Dentro"=DATOS_[Check Periodo Ref.],
1/(COUNTIFS(DATOS_[Sexo],$B59,DATOS_[AGRUP. CLAS. PROF.],$B57,DATOS_[Check Periodo Ref.],"Dentro",DATOS_[id],DATOS_[id]))))))</f>
        <v>0</v>
      </c>
      <c r="D59" s="35">
        <f>COUNTIFS(DATOS_[AGRUP. CLAS. PROF.],$B57,DATOS_[Sexo],$B59,DATOS_[Check Periodo Ref.],"Dentro")</f>
        <v>0</v>
      </c>
      <c r="E59" s="35">
        <f>COUNTIFS(DATOS_[AGRUP. CLAS. PROF.],$B57,DATOS_[Sexo],$B59,DATOS_[Check Periodo Ref.],"Dentro",DATOS_[Check Nº SC Norm],"Sí")</f>
        <v>0</v>
      </c>
      <c r="F59" s="35">
        <f>COUNTIFS(DATOS_[AGRUP. CLAS. PROF.],$B57,DATOS_[Sexo],$B59,DATOS_[Check Periodo Ref.],"Dentro",DATOS_[Check Nº SC Anualiz],"Sí")</f>
        <v>0</v>
      </c>
      <c r="G59" s="35">
        <f>COUNTIFS(DATOS_[AGRUP. CLAS. PROF.],$B57,DATOS_[Sexo],$B59,DATOS_[Check Periodo Ref.],"Dentro",DATOS_[Check Nº SC Norm y Anualiz],"Sí")</f>
        <v>0</v>
      </c>
      <c r="H59" s="35">
        <f>COUNTIFS(DATOS_[AGRUP. CLAS. PROF.],$B57,DATOS_[Sexo],$B59,DATOS_[Check Periodo Ref.],"Dentro",DATOS_[Check Equiparación],"Sí")</f>
        <v>0</v>
      </c>
      <c r="I59" s="110" cm="1">
        <f t="array" ref="I59">IFERROR(
MEDIAN(IF(DATOS_[Sexo]=$B59,IF(DATOS_[[AGRUP. CLAS. PROF.]:[AGRUP. CLAS. PROF.]]=$B57,IF(DATOS_[Check Equiparado]="Sí",IF(DATOS_[Check Periodo Ref.]="Dentro",DATOS_[SALARIO BASE Eq],FALSE))))),
0)</f>
        <v>0</v>
      </c>
      <c r="J59" s="111">
        <f t="array" ref="J59">IFERROR(
(MEDIAN((IF(DATOS_[[Sexo]:[Sexo]]=$B59,IF(DATOS_[[AGRUP. CLAS. PROF.]:[AGRUP. CLAS. PROF.]]=$B57,IF(DATOS_[[Check Periodo Ref.]:[Check Periodo Ref.]]="Dentro",IF(DATOS_[[Check Equiparado]:[Check Equiparado]]="Sí",IF(DATOS!AE$5="Sí",(1/DATOS_[[% anualiz]:[% anualiz]]),1)*IF(DATOS!AE$4="Sí",1/DATOS_[[% normaliz]:[% normaliz]],1)*(DATOS_[Conc.Sal.01])))))))),
0)</f>
        <v>0</v>
      </c>
      <c r="K59" s="111">
        <f t="array" ref="K59">IFERROR(
(MEDIAN((IF(DATOS_[[Sexo]:[Sexo]]=$B59,IF(DATOS_[[AGRUP. CLAS. PROF.]:[AGRUP. CLAS. PROF.]]=$B57,IF(DATOS_[[Check Periodo Ref.]:[Check Periodo Ref.]]="Dentro",IF(DATOS_[[Check Equiparado]:[Check Equiparado]]="Sí",IF(DATOS!AF$5="Sí",(1/DATOS_[[% anualiz]:[% anualiz]]),1)*IF(DATOS!AF$4="Sí",1/DATOS_[[% normaliz]:[% normaliz]],1)*(DATOS_[Conc.Sal.02])))))))),
0)</f>
        <v>0</v>
      </c>
      <c r="L59" s="111">
        <f t="array" ref="L59">IFERROR(
(MEDIAN((IF(DATOS_[[Sexo]:[Sexo]]=$B59,IF(DATOS_[[AGRUP. CLAS. PROF.]:[AGRUP. CLAS. PROF.]]=$B57,IF(DATOS_[[Check Periodo Ref.]:[Check Periodo Ref.]]="Dentro",IF(DATOS_[[Check Equiparado]:[Check Equiparado]]="Sí",IF(DATOS!AG$5="Sí",(1/DATOS_[[% anualiz]:[% anualiz]]),1)*IF(DATOS!AG$4="Sí",1/DATOS_[[% normaliz]:[% normaliz]],1)*(DATOS_[Conc.Sal.03])))))))),
0)</f>
        <v>0</v>
      </c>
      <c r="M59" s="111">
        <f t="array" ref="M59">IFERROR(
(MEDIAN((IF(DATOS_[[Sexo]:[Sexo]]=$B59,IF(DATOS_[[AGRUP. CLAS. PROF.]:[AGRUP. CLAS. PROF.]]=$B57,IF(DATOS_[[Check Periodo Ref.]:[Check Periodo Ref.]]="Dentro",IF(DATOS_[[Check Equiparado]:[Check Equiparado]]="Sí",IF(DATOS!AH$5="Sí",(1/DATOS_[[% anualiz]:[% anualiz]]),1)*IF(DATOS!AH$4="Sí",1/DATOS_[[% normaliz]:[% normaliz]],1)*(DATOS_[Conc.Sal.04])))))))),
0)</f>
        <v>0</v>
      </c>
      <c r="N59" s="111">
        <f t="array" ref="N59">IFERROR(
(MEDIAN((IF(DATOS_[[Sexo]:[Sexo]]=$B59,IF(DATOS_[[AGRUP. CLAS. PROF.]:[AGRUP. CLAS. PROF.]]=$B57,IF(DATOS_[[Check Periodo Ref.]:[Check Periodo Ref.]]="Dentro",IF(DATOS_[[Check Equiparado]:[Check Equiparado]]="Sí",IF(DATOS!AI$5="Sí",(1/DATOS_[[% anualiz]:[% anualiz]]),1)*IF(DATOS!AI$4="Sí",1/DATOS_[[% normaliz]:[% normaliz]],1)*(DATOS_[Conc.Sal.05])))))))),
0)</f>
        <v>0</v>
      </c>
      <c r="O59" s="111">
        <f t="array" ref="O59">IFERROR(
(MEDIAN((IF(DATOS_[[Sexo]:[Sexo]]=$B59,IF(DATOS_[[AGRUP. CLAS. PROF.]:[AGRUP. CLAS. PROF.]]=$B57,IF(DATOS_[[Check Periodo Ref.]:[Check Periodo Ref.]]="Dentro",IF(DATOS_[[Check Equiparado]:[Check Equiparado]]="Sí",IF(DATOS!AJ$5="Sí",(1/DATOS_[[% anualiz]:[% anualiz]]),1)*IF(DATOS!AJ$4="Sí",1/DATOS_[[% normaliz]:[% normaliz]],1)*(DATOS_[Conc.Sal.06])))))))),
0)</f>
        <v>0</v>
      </c>
      <c r="P59" s="111">
        <f t="array" ref="P59">IFERROR(
(MEDIAN((IF(DATOS_[[Sexo]:[Sexo]]=$B59,IF(DATOS_[[AGRUP. CLAS. PROF.]:[AGRUP. CLAS. PROF.]]=$B57,IF(DATOS_[[Check Periodo Ref.]:[Check Periodo Ref.]]="Dentro",IF(DATOS_[[Check Equiparado]:[Check Equiparado]]="Sí",IF(DATOS!AK$5="Sí",(1/DATOS_[[% anualiz]:[% anualiz]]),1)*IF(DATOS!AK$4="Sí",1/DATOS_[[% normaliz]:[% normaliz]],1)*(DATOS_[Conc.Sal.07])))))))),
0)</f>
        <v>0</v>
      </c>
      <c r="Q59" s="111">
        <f t="array" ref="Q59">IFERROR(
(MEDIAN((IF(DATOS_[[Sexo]:[Sexo]]=$B59,IF(DATOS_[[AGRUP. CLAS. PROF.]:[AGRUP. CLAS. PROF.]]=$B57,IF(DATOS_[[Check Periodo Ref.]:[Check Periodo Ref.]]="Dentro",IF(DATOS_[[Check Equiparado]:[Check Equiparado]]="Sí",IF(DATOS!AL$5="Sí",(1/DATOS_[[% anualiz]:[% anualiz]]),1)*IF(DATOS!AL$4="Sí",1/DATOS_[[% normaliz]:[% normaliz]],1)*(DATOS_[Conc.Sal.08])))))))),
0)</f>
        <v>0</v>
      </c>
      <c r="R59" s="111">
        <f t="array" ref="R59">IFERROR(
(MEDIAN((IF(DATOS_[[Sexo]:[Sexo]]=$B59,IF(DATOS_[[AGRUP. CLAS. PROF.]:[AGRUP. CLAS. PROF.]]=$B57,IF(DATOS_[[Check Periodo Ref.]:[Check Periodo Ref.]]="Dentro",IF(DATOS_[[Check Equiparado]:[Check Equiparado]]="Sí",IF(DATOS!AM$5="Sí",(1/DATOS_[[% anualiz]:[% anualiz]]),1)*IF(DATOS!AM$4="Sí",1/DATOS_[[% normaliz]:[% normaliz]],1)*(DATOS_[Conc.Sal.09])))))))),
0)</f>
        <v>0</v>
      </c>
      <c r="S59" s="111">
        <f t="array" ref="S59">IFERROR(
(MEDIAN((IF(DATOS_[[Sexo]:[Sexo]]=$B59,IF(DATOS_[[AGRUP. CLAS. PROF.]:[AGRUP. CLAS. PROF.]]=$B57,IF(DATOS_[[Check Periodo Ref.]:[Check Periodo Ref.]]="Dentro",IF(DATOS_[[Check Equiparado]:[Check Equiparado]]="Sí",IF(DATOS!AN$5="Sí",(1/DATOS_[[% anualiz]:[% anualiz]]),1)*IF(DATOS!AN$4="Sí",1/DATOS_[[% normaliz]:[% normaliz]],1)*(DATOS_[Conc.Sal.10])))))))),
0)</f>
        <v>0</v>
      </c>
      <c r="T59" s="111">
        <f t="array" ref="T59">IFERROR(
(MEDIAN((IF(DATOS_[[Sexo]:[Sexo]]=$B59,IF(DATOS_[[AGRUP. CLAS. PROF.]:[AGRUP. CLAS. PROF.]]=$B57,IF(DATOS_[[Check Periodo Ref.]:[Check Periodo Ref.]]="Dentro",IF(DATOS_[[Check Equiparado]:[Check Equiparado]]="Sí",IF(DATOS!AO$5="Sí",(1/DATOS_[[% anualiz]:[% anualiz]]),1)*IF(DATOS!AO$4="Sí",1/DATOS_[[% normaliz]:[% normaliz]],1)*(DATOS_[Conc.Sal.11])))))))),
0)</f>
        <v>0</v>
      </c>
      <c r="U59" s="111">
        <f t="array" ref="U59">IFERROR(
(MEDIAN((IF(DATOS_[[Sexo]:[Sexo]]=$B59,IF(DATOS_[[AGRUP. CLAS. PROF.]:[AGRUP. CLAS. PROF.]]=$B57,IF(DATOS_[[Check Periodo Ref.]:[Check Periodo Ref.]]="Dentro",IF(DATOS_[[Check Equiparado]:[Check Equiparado]]="Sí",IF(DATOS!AP$5="Sí",(1/DATOS_[[% anualiz]:[% anualiz]]),1)*IF(DATOS!AP$4="Sí",1/DATOS_[[% normaliz]:[% normaliz]],1)*(DATOS_[Conc.Sal.12])))))))),
0)</f>
        <v>0</v>
      </c>
      <c r="V59" s="111">
        <f t="array" ref="V59">IFERROR(
(MEDIAN((IF(DATOS_[[Sexo]:[Sexo]]=$B59,IF(DATOS_[[AGRUP. CLAS. PROF.]:[AGRUP. CLAS. PROF.]]=$B57,IF(DATOS_[[Check Periodo Ref.]:[Check Periodo Ref.]]="Dentro",IF(DATOS_[[Check Equiparado]:[Check Equiparado]]="Sí",IF(DATOS!AQ$5="Sí",(1/DATOS_[[% anualiz]:[% anualiz]]),1)*IF(DATOS!AQ$4="Sí",1/DATOS_[[% normaliz]:[% normaliz]],1)*(DATOS_[Conc.Sal.13])))))))),
0)</f>
        <v>0</v>
      </c>
      <c r="W59" s="111">
        <f t="array" ref="W59">IFERROR(
(MEDIAN((IF(DATOS_[[Sexo]:[Sexo]]=$B59,IF(DATOS_[[AGRUP. CLAS. PROF.]:[AGRUP. CLAS. PROF.]]=$B57,IF(DATOS_[[Check Periodo Ref.]:[Check Periodo Ref.]]="Dentro",IF(DATOS_[[Check Equiparado]:[Check Equiparado]]="Sí",IF(DATOS!AR$5="Sí",(1/DATOS_[[% anualiz]:[% anualiz]]),1)*IF(DATOS!AR$4="Sí",1/DATOS_[[% normaliz]:[% normaliz]],1)*(DATOS_[Conc.Sal.14])))))))),
0)</f>
        <v>0</v>
      </c>
      <c r="X59" s="111">
        <f t="array" ref="X59">IFERROR(
(MEDIAN((IF(DATOS_[[Sexo]:[Sexo]]=$B59,IF(DATOS_[[AGRUP. CLAS. PROF.]:[AGRUP. CLAS. PROF.]]=$B57,IF(DATOS_[[Check Periodo Ref.]:[Check Periodo Ref.]]="Dentro",IF(DATOS_[[Check Equiparado]:[Check Equiparado]]="Sí",IF(DATOS!AS$5="Sí",(1/DATOS_[[% anualiz]:[% anualiz]]),1)*IF(DATOS!AS$4="Sí",1/DATOS_[[% normaliz]:[% normaliz]],1)*(DATOS_[Conc.Sal.15])))))))),
0)</f>
        <v>0</v>
      </c>
      <c r="Y59" s="111">
        <f t="array" ref="Y59">IFERROR(
(MEDIAN((IF(DATOS_[[Sexo]:[Sexo]]=$B59,IF(DATOS_[[AGRUP. CLAS. PROF.]:[AGRUP. CLAS. PROF.]]=$B57,IF(DATOS_[[Check Periodo Ref.]:[Check Periodo Ref.]]="Dentro",IF(DATOS_[[Check Equiparado]:[Check Equiparado]]="Sí",IF(DATOS!AT$5="Sí",(1/DATOS_[[% anualiz]:[% anualiz]]),1)*IF(DATOS!AT$4="Sí",1/DATOS_[[% normaliz]:[% normaliz]],1)*(DATOS_[Conc.Sal.16])))))))),
0)</f>
        <v>0</v>
      </c>
      <c r="Z59" s="111">
        <f t="array" ref="Z59">IFERROR(
(MEDIAN((IF(DATOS_[[Sexo]:[Sexo]]=$B59,IF(DATOS_[[AGRUP. CLAS. PROF.]:[AGRUP. CLAS. PROF.]]=$B57,IF(DATOS_[[Check Periodo Ref.]:[Check Periodo Ref.]]="Dentro",IF(DATOS_[[Check Equiparado]:[Check Equiparado]]="Sí",IF(DATOS!AU$5="Sí",(1/DATOS_[[% anualiz]:[% anualiz]]),1)*IF(DATOS!AU$4="Sí",1/DATOS_[[% normaliz]:[% normaliz]],1)*(DATOS_[Conc.Sal.17])))))))),
0)</f>
        <v>0</v>
      </c>
      <c r="AA59" s="111">
        <f t="array" ref="AA59">IFERROR(
(MEDIAN((IF(DATOS_[[Sexo]:[Sexo]]=$B59,IF(DATOS_[[AGRUP. CLAS. PROF.]:[AGRUP. CLAS. PROF.]]=$B57,IF(DATOS_[[Check Periodo Ref.]:[Check Periodo Ref.]]="Dentro",IF(DATOS_[[Check Equiparado]:[Check Equiparado]]="Sí",IF(DATOS!AV$5="Sí",(1/DATOS_[[% anualiz]:[% anualiz]]),1)*IF(DATOS!AV$4="Sí",1/DATOS_[[% normaliz]:[% normaliz]],1)*(DATOS_[Conc.Sal.18])))))))),
0)</f>
        <v>0</v>
      </c>
      <c r="AB59" s="111">
        <f t="array" ref="AB59">IFERROR(
(MEDIAN((IF(DATOS_[[Sexo]:[Sexo]]=$B59,IF(DATOS_[[AGRUP. CLAS. PROF.]:[AGRUP. CLAS. PROF.]]=$B57,IF(DATOS_[[Check Periodo Ref.]:[Check Periodo Ref.]]="Dentro",IF(DATOS_[[Check Equiparado]:[Check Equiparado]]="Sí",IF(DATOS!AW$5="Sí",(1/DATOS_[[% anualiz]:[% anualiz]]),1)*IF(DATOS!AW$4="Sí",1/DATOS_[[% normaliz]:[% normaliz]],1)*(DATOS_[Conc.Sal.19])))))))),
0)</f>
        <v>0</v>
      </c>
      <c r="AC59" s="111">
        <f t="array" ref="AC59">IFERROR(
(MEDIAN((IF(DATOS_[[Sexo]:[Sexo]]=$B59,IF(DATOS_[[AGRUP. CLAS. PROF.]:[AGRUP. CLAS. PROF.]]=$B57,IF(DATOS_[[Check Periodo Ref.]:[Check Periodo Ref.]]="Dentro",IF(DATOS_[[Check Equiparado]:[Check Equiparado]]="Sí",IF(DATOS!AX$5="Sí",(1/DATOS_[[% anualiz]:[% anualiz]]),1)*IF(DATOS!AX$4="Sí",1/DATOS_[[% normaliz]:[% normaliz]],1)*(DATOS_[Conc.Sal.20])))))))),
0)</f>
        <v>0</v>
      </c>
      <c r="AD59" s="111">
        <f t="array" ref="AD59">IFERROR(
(MEDIAN((IF(DATOS_[[Sexo]:[Sexo]]=$B59,IF(DATOS_[[AGRUP. CLAS. PROF.]:[AGRUP. CLAS. PROF.]]=$B57,IF(DATOS_[[Check Periodo Ref.]:[Check Periodo Ref.]]="Dentro",IF(DATOS_[[Check Equiparado]:[Check Equiparado]]="Sí",IF(DATOS!AY$5="Sí",(1/DATOS_[[% anualiz]:[% anualiz]]),1)*IF(DATOS!AY$4="Sí",1/DATOS_[[% normaliz]:[% normaliz]],1)*(DATOS_[Conc.Sal.21])))))))),
0)</f>
        <v>0</v>
      </c>
      <c r="AE59" s="111">
        <f t="array" ref="AE59">IFERROR(
(MEDIAN((IF(DATOS_[[Sexo]:[Sexo]]=$B59,IF(DATOS_[[AGRUP. CLAS. PROF.]:[AGRUP. CLAS. PROF.]]=$B57,IF(DATOS_[[Check Periodo Ref.]:[Check Periodo Ref.]]="Dentro",IF(DATOS_[[Check Equiparado]:[Check Equiparado]]="Sí",IF(DATOS!AZ$5="Sí",(1/DATOS_[[% anualiz]:[% anualiz]]),1)*IF(DATOS!AZ$4="Sí",1/DATOS_[[% normaliz]:[% normaliz]],1)*(DATOS_[Conc.Sal.22])))))))),
0)</f>
        <v>0</v>
      </c>
      <c r="AF59" s="111">
        <f t="array" ref="AF59">IFERROR(
(MEDIAN((IF(DATOS_[[Sexo]:[Sexo]]=$B59,IF(DATOS_[[AGRUP. CLAS. PROF.]:[AGRUP. CLAS. PROF.]]=$B57,IF(DATOS_[[Check Periodo Ref.]:[Check Periodo Ref.]]="Dentro",IF(DATOS_[[Check Equiparado]:[Check Equiparado]]="Sí",IF(DATOS!BA$5="Sí",(1/DATOS_[[% anualiz]:[% anualiz]]),1)*IF(DATOS!BA$4="Sí",1/DATOS_[[% normaliz]:[% normaliz]],1)*(DATOS_[Conc.Sal.23])))))))),
0)</f>
        <v>0</v>
      </c>
      <c r="AG59" s="111">
        <f t="array" ref="AG59">IFERROR(
(MEDIAN((IF(DATOS_[[Sexo]:[Sexo]]=$B59,IF(DATOS_[[AGRUP. CLAS. PROF.]:[AGRUP. CLAS. PROF.]]=$B57,IF(DATOS_[[Check Periodo Ref.]:[Check Periodo Ref.]]="Dentro",IF(DATOS_[[Check Equiparado]:[Check Equiparado]]="Sí",IF(DATOS!BB$5="Sí",(1/DATOS_[[% anualiz]:[% anualiz]]),1)*IF(DATOS!BB$4="Sí",1/DATOS_[[% normaliz]:[% normaliz]],1)*(DATOS_[Conc.Sal.24])))))))),
0)</f>
        <v>0</v>
      </c>
      <c r="AH59" s="111">
        <f t="array" ref="AH59">IFERROR(
(MEDIAN((IF(DATOS_[[Sexo]:[Sexo]]=$B59,IF(DATOS_[[AGRUP. CLAS. PROF.]:[AGRUP. CLAS. PROF.]]=$B57,IF(DATOS_[[Check Periodo Ref.]:[Check Periodo Ref.]]="Dentro",IF(DATOS_[[Check Equiparado]:[Check Equiparado]]="Sí",IF(DATOS!BC$5="Sí",(1/DATOS_[[% anualiz]:[% anualiz]]),1)*IF(DATOS!BC$4="Sí",1/DATOS_[[% normaliz]:[% normaliz]],1)*(DATOS_[Conc.Sal.25])))))))),
0)</f>
        <v>0</v>
      </c>
      <c r="AI59" s="111">
        <f t="array" ref="AI59">IFERROR(
(MEDIAN((IF(DATOS_[[Sexo]:[Sexo]]=$B59,IF(DATOS_[[AGRUP. CLAS. PROF.]:[AGRUP. CLAS. PROF.]]=$B57,IF(DATOS_[[Check Periodo Ref.]:[Check Periodo Ref.]]="Dentro",IF(DATOS_[[Check Equiparado]:[Check Equiparado]]="Sí",IF(DATOS!BD$5="Sí",(1/DATOS_[[% anualiz]:[% anualiz]]),1)*IF(DATOS!BD$4="Sí",1/DATOS_[[% normaliz]:[% normaliz]],1)*(DATOS_[Conc.Sal.26])))))))),
0)</f>
        <v>0</v>
      </c>
      <c r="AJ59" s="111">
        <f t="array" ref="AJ59">IFERROR(
(MEDIAN((IF(DATOS_[[Sexo]:[Sexo]]=$B59,IF(DATOS_[[AGRUP. CLAS. PROF.]:[AGRUP. CLAS. PROF.]]=$B57,IF(DATOS_[[Check Periodo Ref.]:[Check Periodo Ref.]]="Dentro",IF(DATOS_[[Check Equiparado]:[Check Equiparado]]="Sí",IF(DATOS!BE$5="Sí",(1/DATOS_[[% anualiz]:[% anualiz]]),1)*IF(DATOS!BE$4="Sí",1/DATOS_[[% normaliz]:[% normaliz]],1)*(DATOS_[Conc.Sal.27])))))))),
0)</f>
        <v>0</v>
      </c>
      <c r="AK59" s="111">
        <f t="array" ref="AK59">IFERROR(
(MEDIAN((IF(DATOS_[[Sexo]:[Sexo]]=$B59,IF(DATOS_[[AGRUP. CLAS. PROF.]:[AGRUP. CLAS. PROF.]]=$B57,IF(DATOS_[[Check Periodo Ref.]:[Check Periodo Ref.]]="Dentro",IF(DATOS_[[Check Equiparado]:[Check Equiparado]]="Sí",IF(DATOS!BF$5="Sí",(1/DATOS_[[% anualiz]:[% anualiz]]),1)*IF(DATOS!BF$4="Sí",1/DATOS_[[% normaliz]:[% normaliz]],1)*(DATOS_[Conc.Sal.28])))))))),
0)</f>
        <v>0</v>
      </c>
      <c r="AL59" s="111">
        <f t="array" ref="AL59">IFERROR(
(MEDIAN((IF(DATOS_[[Sexo]:[Sexo]]=$B59,IF(DATOS_[[AGRUP. CLAS. PROF.]:[AGRUP. CLAS. PROF.]]=$B57,IF(DATOS_[[Check Periodo Ref.]:[Check Periodo Ref.]]="Dentro",IF(DATOS_[[Check Equiparado]:[Check Equiparado]]="Sí",IF(DATOS!BG$5="Sí",(1/DATOS_[[% anualiz]:[% anualiz]]),1)*IF(DATOS!BG$4="Sí",1/DATOS_[[% normaliz]:[% normaliz]],1)*(DATOS_[Conc.Sal.29])))))))),
0)</f>
        <v>0</v>
      </c>
      <c r="AM59" s="111">
        <f t="array" ref="AM59">IFERROR(
(MEDIAN((IF(DATOS_[[Sexo]:[Sexo]]=$B59,IF(DATOS_[[AGRUP. CLAS. PROF.]:[AGRUP. CLAS. PROF.]]=$B57,IF(DATOS_[[Check Periodo Ref.]:[Check Periodo Ref.]]="Dentro",IF(DATOS_[[Check Equiparado]:[Check Equiparado]]="Sí",IF(DATOS!BH$5="Sí",(1/DATOS_[[% anualiz]:[% anualiz]]),1)*IF(DATOS!BH$4="Sí",1/DATOS_[[% normaliz]:[% normaliz]],1)*(DATOS_[Conc.Sal.30])))))))),
0)</f>
        <v>0</v>
      </c>
      <c r="AN59" s="112">
        <f t="array" ref="AN59">IFERROR(
MEDIAN(IF(DATOS_[Sexo]=$B59,IF(DATOS_[[AGRUP. CLAS. PROF.]:[AGRUP. CLAS. PROF.]]=$B57,IF(DATOS_[Check Equiparado]="Sí",IF(DATOS_[Check Periodo Ref.]="Dentro",DATOS_[Tot COMPL.SAL Eq],FALSE))))),
0)</f>
        <v>0</v>
      </c>
      <c r="AO59" s="113">
        <f t="array" ref="AO59">IFERROR(
MEDIAN(IF(DATOS_[Sexo]=$B59,IF(DATOS_[[AGRUP. CLAS. PROF.]:[AGRUP. CLAS. PROF.]]=$B57,IF(DATOS_[Check Equiparado]="Sí",IF(DATOS_[Check Periodo Ref.]="Dentro",DATOS_[TOTAL SALARIO Eq],FALSE))))),
0)</f>
        <v>0</v>
      </c>
      <c r="AP59" s="114">
        <f t="array" ref="AP59">IFERROR(
(MEDIAN((IF(DATOS_[[Sexo]:[Sexo]]=$B59,IF(DATOS_[[AGRUP. CLAS. PROF.]:[AGRUP. CLAS. PROF.]]=$B57,IF(DATOS_[[Check Periodo Ref.]:[Check Periodo Ref.]]="Dentro",IF(DATOS_[[Check Equiparado]:[Check Equiparado]]="Sí",IF(DATOS!BI$5="Sí",(1/DATOS_[[% anualiz]:[% anualiz]]),1)*IF(DATOS!BI$4="Sí",1/DATOS_[[% normaliz]:[% normaliz]],1)*(DATOS_[C.Extra.01])))))))),
0)</f>
        <v>0</v>
      </c>
      <c r="AQ59" s="114">
        <f t="array" ref="AQ59">IFERROR(
(MEDIAN((IF(DATOS_[[Sexo]:[Sexo]]=$B59,IF(DATOS_[[AGRUP. CLAS. PROF.]:[AGRUP. CLAS. PROF.]]=$B57,IF(DATOS_[[Check Periodo Ref.]:[Check Periodo Ref.]]="Dentro",IF(DATOS_[[Check Equiparado]:[Check Equiparado]]="Sí",IF(DATOS!BJ$5="Sí",(1/DATOS_[[% anualiz]:[% anualiz]]),1)*IF(DATOS!BJ$4="Sí",1/DATOS_[[% normaliz]:[% normaliz]],1)*(DATOS_[C.Extra.02])))))))),
0)</f>
        <v>0</v>
      </c>
      <c r="AR59" s="114">
        <f t="array" ref="AR59">IFERROR(
(MEDIAN((IF(DATOS_[[Sexo]:[Sexo]]=$B59,IF(DATOS_[[AGRUP. CLAS. PROF.]:[AGRUP. CLAS. PROF.]]=$B57,IF(DATOS_[[Check Periodo Ref.]:[Check Periodo Ref.]]="Dentro",IF(DATOS_[[Check Equiparado]:[Check Equiparado]]="Sí",IF(DATOS!BK$5="Sí",(1/DATOS_[[% anualiz]:[% anualiz]]),1)*IF(DATOS!BK$4="Sí",1/DATOS_[[% normaliz]:[% normaliz]],1)*(DATOS_[C.Extra.03])))))))),
0)</f>
        <v>0</v>
      </c>
      <c r="AS59" s="114">
        <f t="array" ref="AS59">IFERROR(
(MEDIAN((IF(DATOS_[[Sexo]:[Sexo]]=$B59,IF(DATOS_[[AGRUP. CLAS. PROF.]:[AGRUP. CLAS. PROF.]]=$B57,IF(DATOS_[[Check Periodo Ref.]:[Check Periodo Ref.]]="Dentro",IF(DATOS_[[Check Equiparado]:[Check Equiparado]]="Sí",IF(DATOS!BL$5="Sí",(1/DATOS_[[% anualiz]:[% anualiz]]),1)*IF(DATOS!BL$4="Sí",1/DATOS_[[% normaliz]:[% normaliz]],1)*(DATOS_[C.Extra.04])))))))),
0)</f>
        <v>0</v>
      </c>
      <c r="AT59" s="114">
        <f t="array" ref="AT59">IFERROR(
(MEDIAN((IF(DATOS_[[Sexo]:[Sexo]]=$B59,IF(DATOS_[[AGRUP. CLAS. PROF.]:[AGRUP. CLAS. PROF.]]=$B57,IF(DATOS_[[Check Periodo Ref.]:[Check Periodo Ref.]]="Dentro",IF(DATOS_[[Check Equiparado]:[Check Equiparado]]="Sí",IF(DATOS!BM$5="Sí",(1/DATOS_[[% anualiz]:[% anualiz]]),1)*IF(DATOS!BM$4="Sí",1/DATOS_[[% normaliz]:[% normaliz]],1)*(DATOS_[C.Extra.05])))))))),
0)</f>
        <v>0</v>
      </c>
      <c r="AU59" s="115">
        <f t="array" ref="AU59">IFERROR(
MEDIAN(IF(DATOS_[Sexo]=$B59,IF(DATOS_[[AGRUP. CLAS. PROF.]:[AGRUP. CLAS. PROF.]]=$B57,IF(DATOS_[Check Equiparado]="Sí",IF(DATOS_[Check Periodo Ref.]="Dentro",DATOS_[Tot Extrasalarial Eq],FALSE))))),
0)</f>
        <v>0</v>
      </c>
      <c r="AV59" s="116">
        <f t="array" ref="AV59">IFERROR(
MEDIAN(IF(DATOS_[Sexo]=$B59,IF(DATOS_[[AGRUP. CLAS. PROF.]:[AGRUP. CLAS. PROF.]]=$B57,IF(DATOS_[Check Equiparado]="Sí",IF(DATOS_[Check Periodo Ref.]="Dentro",DATOS_[TOTAL Retrib Eq],FALSE))))),
0)</f>
        <v>0</v>
      </c>
    </row>
    <row r="60" spans="1:48" ht="17.25" hidden="1" thickBot="1" x14ac:dyDescent="0.35">
      <c r="A60" s="42" t="str">
        <f t="shared" ref="A60" si="63">+A61</f>
        <v>[ocultar]</v>
      </c>
      <c r="B60" s="90" t="s">
        <v>232</v>
      </c>
      <c r="C60" s="109"/>
      <c r="D60" s="41"/>
      <c r="E60" s="41"/>
      <c r="F60" s="41"/>
      <c r="G60" s="41"/>
      <c r="H60" s="41"/>
      <c r="I60" s="119" t="str">
        <f t="shared" ref="I60:AV60" si="64">IFERROR((I61-I62)/I61,"")</f>
        <v/>
      </c>
      <c r="J60" s="123" t="str">
        <f t="shared" si="64"/>
        <v/>
      </c>
      <c r="K60" s="123" t="str">
        <f t="shared" si="64"/>
        <v/>
      </c>
      <c r="L60" s="123" t="str">
        <f t="shared" si="64"/>
        <v/>
      </c>
      <c r="M60" s="123" t="str">
        <f t="shared" si="64"/>
        <v/>
      </c>
      <c r="N60" s="123" t="str">
        <f t="shared" si="64"/>
        <v/>
      </c>
      <c r="O60" s="123" t="str">
        <f t="shared" si="64"/>
        <v/>
      </c>
      <c r="P60" s="123" t="str">
        <f t="shared" si="64"/>
        <v/>
      </c>
      <c r="Q60" s="123" t="str">
        <f t="shared" si="64"/>
        <v/>
      </c>
      <c r="R60" s="123" t="str">
        <f t="shared" si="64"/>
        <v/>
      </c>
      <c r="S60" s="123" t="str">
        <f t="shared" si="64"/>
        <v/>
      </c>
      <c r="T60" s="123" t="str">
        <f t="shared" si="64"/>
        <v/>
      </c>
      <c r="U60" s="123" t="str">
        <f t="shared" si="64"/>
        <v/>
      </c>
      <c r="V60" s="123" t="str">
        <f t="shared" si="64"/>
        <v/>
      </c>
      <c r="W60" s="123" t="str">
        <f t="shared" si="64"/>
        <v/>
      </c>
      <c r="X60" s="123" t="str">
        <f t="shared" si="64"/>
        <v/>
      </c>
      <c r="Y60" s="123" t="str">
        <f t="shared" si="64"/>
        <v/>
      </c>
      <c r="Z60" s="122" t="str">
        <f t="shared" si="64"/>
        <v/>
      </c>
      <c r="AA60" s="122" t="str">
        <f t="shared" si="64"/>
        <v/>
      </c>
      <c r="AB60" s="122" t="str">
        <f t="shared" si="64"/>
        <v/>
      </c>
      <c r="AC60" s="122" t="str">
        <f t="shared" si="64"/>
        <v/>
      </c>
      <c r="AD60" s="122" t="str">
        <f t="shared" si="64"/>
        <v/>
      </c>
      <c r="AE60" s="122" t="str">
        <f t="shared" si="64"/>
        <v/>
      </c>
      <c r="AF60" s="122" t="str">
        <f t="shared" si="64"/>
        <v/>
      </c>
      <c r="AG60" s="122" t="str">
        <f t="shared" si="64"/>
        <v/>
      </c>
      <c r="AH60" s="122" t="str">
        <f t="shared" si="64"/>
        <v/>
      </c>
      <c r="AI60" s="122" t="str">
        <f t="shared" si="64"/>
        <v/>
      </c>
      <c r="AJ60" s="122" t="str">
        <f t="shared" si="64"/>
        <v/>
      </c>
      <c r="AK60" s="122" t="str">
        <f t="shared" si="64"/>
        <v/>
      </c>
      <c r="AL60" s="122" t="str">
        <f t="shared" si="64"/>
        <v/>
      </c>
      <c r="AM60" s="122" t="str">
        <f t="shared" si="64"/>
        <v/>
      </c>
      <c r="AN60" s="124" t="str">
        <f t="shared" si="64"/>
        <v/>
      </c>
      <c r="AO60" s="128" t="str">
        <f t="shared" si="64"/>
        <v/>
      </c>
      <c r="AP60" s="125" t="str">
        <f t="shared" si="64"/>
        <v/>
      </c>
      <c r="AQ60" s="125" t="str">
        <f t="shared" si="64"/>
        <v/>
      </c>
      <c r="AR60" s="125" t="str">
        <f t="shared" si="64"/>
        <v/>
      </c>
      <c r="AS60" s="125" t="str">
        <f t="shared" si="64"/>
        <v/>
      </c>
      <c r="AT60" s="125" t="str">
        <f t="shared" si="64"/>
        <v/>
      </c>
      <c r="AU60" s="126" t="str">
        <f t="shared" si="64"/>
        <v/>
      </c>
      <c r="AV60" s="127" t="str">
        <f t="shared" si="64"/>
        <v/>
      </c>
    </row>
    <row r="61" spans="1:48" hidden="1" x14ac:dyDescent="0.3">
      <c r="A61" s="42" t="str">
        <f t="shared" ref="A61" si="65">+IF(C61+C62=0,"[ocultar]","")</f>
        <v>[ocultar]</v>
      </c>
      <c r="B61" s="86" t="s">
        <v>162</v>
      </c>
      <c r="C61" s="33">
        <f t="array" ref="C61">SUM(IF($B61=DATOS_[Sexo],
IF($B60=DATOS_[AGRUP. CLAS. PROF.],
IF("Dentro"=DATOS_[Check Periodo Ref.],
1/(COUNTIFS(DATOS_[Sexo],$B61,DATOS_[AGRUP. CLAS. PROF.],$B60,DATOS_[Check Periodo Ref.],"Dentro",DATOS_[id],DATOS_[id]))))))</f>
        <v>0</v>
      </c>
      <c r="D61" s="35">
        <f>COUNTIFS(DATOS_[AGRUP. CLAS. PROF.],$B60,DATOS_[Sexo],$B61,DATOS_[Check Periodo Ref.],"Dentro")</f>
        <v>0</v>
      </c>
      <c r="E61" s="35">
        <f>COUNTIFS(DATOS_[AGRUP. CLAS. PROF.],$B60,DATOS_[Sexo],$B61,DATOS_[Check Periodo Ref.],"Dentro",DATOS_[Check Nº SC Norm],"Sí")</f>
        <v>0</v>
      </c>
      <c r="F61" s="35">
        <f>COUNTIFS(DATOS_[AGRUP. CLAS. PROF.],$B60,DATOS_[Sexo],$B61,DATOS_[Check Periodo Ref.],"Dentro",DATOS_[Check Nº SC Anualiz],"Sí")</f>
        <v>0</v>
      </c>
      <c r="G61" s="35">
        <f>COUNTIFS(DATOS_[AGRUP. CLAS. PROF.],$B60,DATOS_[Sexo],$B61,DATOS_[Check Periodo Ref.],"Dentro",DATOS_[Check Nº SC Norm y Anualiz],"Sí")</f>
        <v>0</v>
      </c>
      <c r="H61" s="35">
        <f>COUNTIFS(DATOS_[AGRUP. CLAS. PROF.],$B60,DATOS_[Sexo],$B61,DATOS_[Check Periodo Ref.],"Dentro",DATOS_[Check Equiparación],"Sí")</f>
        <v>0</v>
      </c>
      <c r="I61" s="110">
        <f t="array" ref="I61">IFERROR(
MEDIAN(IF(DATOS_[Sexo]=$B61,IF(DATOS_[[AGRUP. CLAS. PROF.]:[AGRUP. CLAS. PROF.]]=$B60,IF(DATOS_[Check Equiparado]="Sí",IF(DATOS_[Check Periodo Ref.]="Dentro",DATOS_[SALARIO BASE Eq],FALSE))))),
0)</f>
        <v>0</v>
      </c>
      <c r="J61" s="111">
        <f t="array" ref="J61">IFERROR(
(MEDIAN((IF(DATOS_[[Sexo]:[Sexo]]=$B61,IF(DATOS_[[AGRUP. CLAS. PROF.]:[AGRUP. CLAS. PROF.]]=$B60,IF(DATOS_[[Check Periodo Ref.]:[Check Periodo Ref.]]="Dentro",IF(DATOS_[[Check Equiparado]:[Check Equiparado]]="Sí",IF(DATOS!AE$5="Sí",(1/DATOS_[[% anualiz]:[% anualiz]]),1)*IF(DATOS!AE$4="Sí",1/DATOS_[[% normaliz]:[% normaliz]],1)*(DATOS_[Conc.Sal.01])))))))),
0)</f>
        <v>0</v>
      </c>
      <c r="K61" s="111">
        <f t="array" ref="K61">IFERROR(
(MEDIAN((IF(DATOS_[[Sexo]:[Sexo]]=$B61,IF(DATOS_[[AGRUP. CLAS. PROF.]:[AGRUP. CLAS. PROF.]]=$B60,IF(DATOS_[[Check Periodo Ref.]:[Check Periodo Ref.]]="Dentro",IF(DATOS_[[Check Equiparado]:[Check Equiparado]]="Sí",IF(DATOS!AF$5="Sí",(1/DATOS_[[% anualiz]:[% anualiz]]),1)*IF(DATOS!AF$4="Sí",1/DATOS_[[% normaliz]:[% normaliz]],1)*(DATOS_[Conc.Sal.02])))))))),
0)</f>
        <v>0</v>
      </c>
      <c r="L61" s="111">
        <f t="array" ref="L61">IFERROR(
(MEDIAN((IF(DATOS_[[Sexo]:[Sexo]]=$B61,IF(DATOS_[[AGRUP. CLAS. PROF.]:[AGRUP. CLAS. PROF.]]=$B60,IF(DATOS_[[Check Periodo Ref.]:[Check Periodo Ref.]]="Dentro",IF(DATOS_[[Check Equiparado]:[Check Equiparado]]="Sí",IF(DATOS!AG$5="Sí",(1/DATOS_[[% anualiz]:[% anualiz]]),1)*IF(DATOS!AG$4="Sí",1/DATOS_[[% normaliz]:[% normaliz]],1)*(DATOS_[Conc.Sal.03])))))))),
0)</f>
        <v>0</v>
      </c>
      <c r="M61" s="111">
        <f t="array" ref="M61">IFERROR(
(MEDIAN((IF(DATOS_[[Sexo]:[Sexo]]=$B61,IF(DATOS_[[AGRUP. CLAS. PROF.]:[AGRUP. CLAS. PROF.]]=$B60,IF(DATOS_[[Check Periodo Ref.]:[Check Periodo Ref.]]="Dentro",IF(DATOS_[[Check Equiparado]:[Check Equiparado]]="Sí",IF(DATOS!AH$5="Sí",(1/DATOS_[[% anualiz]:[% anualiz]]),1)*IF(DATOS!AH$4="Sí",1/DATOS_[[% normaliz]:[% normaliz]],1)*(DATOS_[Conc.Sal.04])))))))),
0)</f>
        <v>0</v>
      </c>
      <c r="N61" s="111">
        <f t="array" ref="N61">IFERROR(
(MEDIAN((IF(DATOS_[[Sexo]:[Sexo]]=$B61,IF(DATOS_[[AGRUP. CLAS. PROF.]:[AGRUP. CLAS. PROF.]]=$B60,IF(DATOS_[[Check Periodo Ref.]:[Check Periodo Ref.]]="Dentro",IF(DATOS_[[Check Equiparado]:[Check Equiparado]]="Sí",IF(DATOS!AI$5="Sí",(1/DATOS_[[% anualiz]:[% anualiz]]),1)*IF(DATOS!AI$4="Sí",1/DATOS_[[% normaliz]:[% normaliz]],1)*(DATOS_[Conc.Sal.05])))))))),
0)</f>
        <v>0</v>
      </c>
      <c r="O61" s="111">
        <f t="array" ref="O61">IFERROR(
(MEDIAN((IF(DATOS_[[Sexo]:[Sexo]]=$B61,IF(DATOS_[[AGRUP. CLAS. PROF.]:[AGRUP. CLAS. PROF.]]=$B60,IF(DATOS_[[Check Periodo Ref.]:[Check Periodo Ref.]]="Dentro",IF(DATOS_[[Check Equiparado]:[Check Equiparado]]="Sí",IF(DATOS!AJ$5="Sí",(1/DATOS_[[% anualiz]:[% anualiz]]),1)*IF(DATOS!AJ$4="Sí",1/DATOS_[[% normaliz]:[% normaliz]],1)*(DATOS_[Conc.Sal.06])))))))),
0)</f>
        <v>0</v>
      </c>
      <c r="P61" s="111">
        <f t="array" ref="P61">IFERROR(
(MEDIAN((IF(DATOS_[[Sexo]:[Sexo]]=$B61,IF(DATOS_[[AGRUP. CLAS. PROF.]:[AGRUP. CLAS. PROF.]]=$B60,IF(DATOS_[[Check Periodo Ref.]:[Check Periodo Ref.]]="Dentro",IF(DATOS_[[Check Equiparado]:[Check Equiparado]]="Sí",IF(DATOS!AK$5="Sí",(1/DATOS_[[% anualiz]:[% anualiz]]),1)*IF(DATOS!AK$4="Sí",1/DATOS_[[% normaliz]:[% normaliz]],1)*(DATOS_[Conc.Sal.07])))))))),
0)</f>
        <v>0</v>
      </c>
      <c r="Q61" s="111">
        <f t="array" ref="Q61">IFERROR(
(MEDIAN((IF(DATOS_[[Sexo]:[Sexo]]=$B61,IF(DATOS_[[AGRUP. CLAS. PROF.]:[AGRUP. CLAS. PROF.]]=$B60,IF(DATOS_[[Check Periodo Ref.]:[Check Periodo Ref.]]="Dentro",IF(DATOS_[[Check Equiparado]:[Check Equiparado]]="Sí",IF(DATOS!AL$5="Sí",(1/DATOS_[[% anualiz]:[% anualiz]]),1)*IF(DATOS!AL$4="Sí",1/DATOS_[[% normaliz]:[% normaliz]],1)*(DATOS_[Conc.Sal.08])))))))),
0)</f>
        <v>0</v>
      </c>
      <c r="R61" s="111">
        <f t="array" ref="R61">IFERROR(
(MEDIAN((IF(DATOS_[[Sexo]:[Sexo]]=$B61,IF(DATOS_[[AGRUP. CLAS. PROF.]:[AGRUP. CLAS. PROF.]]=$B60,IF(DATOS_[[Check Periodo Ref.]:[Check Periodo Ref.]]="Dentro",IF(DATOS_[[Check Equiparado]:[Check Equiparado]]="Sí",IF(DATOS!AM$5="Sí",(1/DATOS_[[% anualiz]:[% anualiz]]),1)*IF(DATOS!AM$4="Sí",1/DATOS_[[% normaliz]:[% normaliz]],1)*(DATOS_[Conc.Sal.09])))))))),
0)</f>
        <v>0</v>
      </c>
      <c r="S61" s="111">
        <f t="array" ref="S61">IFERROR(
(MEDIAN((IF(DATOS_[[Sexo]:[Sexo]]=$B61,IF(DATOS_[[AGRUP. CLAS. PROF.]:[AGRUP. CLAS. PROF.]]=$B60,IF(DATOS_[[Check Periodo Ref.]:[Check Periodo Ref.]]="Dentro",IF(DATOS_[[Check Equiparado]:[Check Equiparado]]="Sí",IF(DATOS!AN$5="Sí",(1/DATOS_[[% anualiz]:[% anualiz]]),1)*IF(DATOS!AN$4="Sí",1/DATOS_[[% normaliz]:[% normaliz]],1)*(DATOS_[Conc.Sal.10])))))))),
0)</f>
        <v>0</v>
      </c>
      <c r="T61" s="111">
        <f t="array" ref="T61">IFERROR(
(MEDIAN((IF(DATOS_[[Sexo]:[Sexo]]=$B61,IF(DATOS_[[AGRUP. CLAS. PROF.]:[AGRUP. CLAS. PROF.]]=$B60,IF(DATOS_[[Check Periodo Ref.]:[Check Periodo Ref.]]="Dentro",IF(DATOS_[[Check Equiparado]:[Check Equiparado]]="Sí",IF(DATOS!AO$5="Sí",(1/DATOS_[[% anualiz]:[% anualiz]]),1)*IF(DATOS!AO$4="Sí",1/DATOS_[[% normaliz]:[% normaliz]],1)*(DATOS_[Conc.Sal.11])))))))),
0)</f>
        <v>0</v>
      </c>
      <c r="U61" s="111">
        <f t="array" ref="U61">IFERROR(
(MEDIAN((IF(DATOS_[[Sexo]:[Sexo]]=$B61,IF(DATOS_[[AGRUP. CLAS. PROF.]:[AGRUP. CLAS. PROF.]]=$B60,IF(DATOS_[[Check Periodo Ref.]:[Check Periodo Ref.]]="Dentro",IF(DATOS_[[Check Equiparado]:[Check Equiparado]]="Sí",IF(DATOS!AP$5="Sí",(1/DATOS_[[% anualiz]:[% anualiz]]),1)*IF(DATOS!AP$4="Sí",1/DATOS_[[% normaliz]:[% normaliz]],1)*(DATOS_[Conc.Sal.12])))))))),
0)</f>
        <v>0</v>
      </c>
      <c r="V61" s="111">
        <f t="array" ref="V61">IFERROR(
(MEDIAN((IF(DATOS_[[Sexo]:[Sexo]]=$B61,IF(DATOS_[[AGRUP. CLAS. PROF.]:[AGRUP. CLAS. PROF.]]=$B60,IF(DATOS_[[Check Periodo Ref.]:[Check Periodo Ref.]]="Dentro",IF(DATOS_[[Check Equiparado]:[Check Equiparado]]="Sí",IF(DATOS!AQ$5="Sí",(1/DATOS_[[% anualiz]:[% anualiz]]),1)*IF(DATOS!AQ$4="Sí",1/DATOS_[[% normaliz]:[% normaliz]],1)*(DATOS_[Conc.Sal.13])))))))),
0)</f>
        <v>0</v>
      </c>
      <c r="W61" s="111">
        <f t="array" ref="W61">IFERROR(
(MEDIAN((IF(DATOS_[[Sexo]:[Sexo]]=$B61,IF(DATOS_[[AGRUP. CLAS. PROF.]:[AGRUP. CLAS. PROF.]]=$B60,IF(DATOS_[[Check Periodo Ref.]:[Check Periodo Ref.]]="Dentro",IF(DATOS_[[Check Equiparado]:[Check Equiparado]]="Sí",IF(DATOS!AR$5="Sí",(1/DATOS_[[% anualiz]:[% anualiz]]),1)*IF(DATOS!AR$4="Sí",1/DATOS_[[% normaliz]:[% normaliz]],1)*(DATOS_[Conc.Sal.14])))))))),
0)</f>
        <v>0</v>
      </c>
      <c r="X61" s="111">
        <f t="array" ref="X61">IFERROR(
(MEDIAN((IF(DATOS_[[Sexo]:[Sexo]]=$B61,IF(DATOS_[[AGRUP. CLAS. PROF.]:[AGRUP. CLAS. PROF.]]=$B60,IF(DATOS_[[Check Periodo Ref.]:[Check Periodo Ref.]]="Dentro",IF(DATOS_[[Check Equiparado]:[Check Equiparado]]="Sí",IF(DATOS!AS$5="Sí",(1/DATOS_[[% anualiz]:[% anualiz]]),1)*IF(DATOS!AS$4="Sí",1/DATOS_[[% normaliz]:[% normaliz]],1)*(DATOS_[Conc.Sal.15])))))))),
0)</f>
        <v>0</v>
      </c>
      <c r="Y61" s="111">
        <f t="array" ref="Y61">IFERROR(
(MEDIAN((IF(DATOS_[[Sexo]:[Sexo]]=$B61,IF(DATOS_[[AGRUP. CLAS. PROF.]:[AGRUP. CLAS. PROF.]]=$B60,IF(DATOS_[[Check Periodo Ref.]:[Check Periodo Ref.]]="Dentro",IF(DATOS_[[Check Equiparado]:[Check Equiparado]]="Sí",IF(DATOS!AT$5="Sí",(1/DATOS_[[% anualiz]:[% anualiz]]),1)*IF(DATOS!AT$4="Sí",1/DATOS_[[% normaliz]:[% normaliz]],1)*(DATOS_[Conc.Sal.16])))))))),
0)</f>
        <v>0</v>
      </c>
      <c r="Z61" s="111">
        <f t="array" ref="Z61">IFERROR(
(MEDIAN((IF(DATOS_[[Sexo]:[Sexo]]=$B61,IF(DATOS_[[AGRUP. CLAS. PROF.]:[AGRUP. CLAS. PROF.]]=$B60,IF(DATOS_[[Check Periodo Ref.]:[Check Periodo Ref.]]="Dentro",IF(DATOS_[[Check Equiparado]:[Check Equiparado]]="Sí",IF(DATOS!AU$5="Sí",(1/DATOS_[[% anualiz]:[% anualiz]]),1)*IF(DATOS!AU$4="Sí",1/DATOS_[[% normaliz]:[% normaliz]],1)*(DATOS_[Conc.Sal.17])))))))),
0)</f>
        <v>0</v>
      </c>
      <c r="AA61" s="111">
        <f t="array" ref="AA61">IFERROR(
(MEDIAN((IF(DATOS_[[Sexo]:[Sexo]]=$B61,IF(DATOS_[[AGRUP. CLAS. PROF.]:[AGRUP. CLAS. PROF.]]=$B60,IF(DATOS_[[Check Periodo Ref.]:[Check Periodo Ref.]]="Dentro",IF(DATOS_[[Check Equiparado]:[Check Equiparado]]="Sí",IF(DATOS!AV$5="Sí",(1/DATOS_[[% anualiz]:[% anualiz]]),1)*IF(DATOS!AV$4="Sí",1/DATOS_[[% normaliz]:[% normaliz]],1)*(DATOS_[Conc.Sal.18])))))))),
0)</f>
        <v>0</v>
      </c>
      <c r="AB61" s="111">
        <f t="array" ref="AB61">IFERROR(
(MEDIAN((IF(DATOS_[[Sexo]:[Sexo]]=$B61,IF(DATOS_[[AGRUP. CLAS. PROF.]:[AGRUP. CLAS. PROF.]]=$B60,IF(DATOS_[[Check Periodo Ref.]:[Check Periodo Ref.]]="Dentro",IF(DATOS_[[Check Equiparado]:[Check Equiparado]]="Sí",IF(DATOS!AW$5="Sí",(1/DATOS_[[% anualiz]:[% anualiz]]),1)*IF(DATOS!AW$4="Sí",1/DATOS_[[% normaliz]:[% normaliz]],1)*(DATOS_[Conc.Sal.19])))))))),
0)</f>
        <v>0</v>
      </c>
      <c r="AC61" s="111">
        <f t="array" ref="AC61">IFERROR(
(MEDIAN((IF(DATOS_[[Sexo]:[Sexo]]=$B61,IF(DATOS_[[AGRUP. CLAS. PROF.]:[AGRUP. CLAS. PROF.]]=$B60,IF(DATOS_[[Check Periodo Ref.]:[Check Periodo Ref.]]="Dentro",IF(DATOS_[[Check Equiparado]:[Check Equiparado]]="Sí",IF(DATOS!AX$5="Sí",(1/DATOS_[[% anualiz]:[% anualiz]]),1)*IF(DATOS!AX$4="Sí",1/DATOS_[[% normaliz]:[% normaliz]],1)*(DATOS_[Conc.Sal.20])))))))),
0)</f>
        <v>0</v>
      </c>
      <c r="AD61" s="111">
        <f t="array" ref="AD61">IFERROR(
(MEDIAN((IF(DATOS_[[Sexo]:[Sexo]]=$B61,IF(DATOS_[[AGRUP. CLAS. PROF.]:[AGRUP. CLAS. PROF.]]=$B60,IF(DATOS_[[Check Periodo Ref.]:[Check Periodo Ref.]]="Dentro",IF(DATOS_[[Check Equiparado]:[Check Equiparado]]="Sí",IF(DATOS!AY$5="Sí",(1/DATOS_[[% anualiz]:[% anualiz]]),1)*IF(DATOS!AY$4="Sí",1/DATOS_[[% normaliz]:[% normaliz]],1)*(DATOS_[Conc.Sal.21])))))))),
0)</f>
        <v>0</v>
      </c>
      <c r="AE61" s="111">
        <f t="array" ref="AE61">IFERROR(
(MEDIAN((IF(DATOS_[[Sexo]:[Sexo]]=$B61,IF(DATOS_[[AGRUP. CLAS. PROF.]:[AGRUP. CLAS. PROF.]]=$B60,IF(DATOS_[[Check Periodo Ref.]:[Check Periodo Ref.]]="Dentro",IF(DATOS_[[Check Equiparado]:[Check Equiparado]]="Sí",IF(DATOS!AZ$5="Sí",(1/DATOS_[[% anualiz]:[% anualiz]]),1)*IF(DATOS!AZ$4="Sí",1/DATOS_[[% normaliz]:[% normaliz]],1)*(DATOS_[Conc.Sal.22])))))))),
0)</f>
        <v>0</v>
      </c>
      <c r="AF61" s="111">
        <f t="array" ref="AF61">IFERROR(
(MEDIAN((IF(DATOS_[[Sexo]:[Sexo]]=$B61,IF(DATOS_[[AGRUP. CLAS. PROF.]:[AGRUP. CLAS. PROF.]]=$B60,IF(DATOS_[[Check Periodo Ref.]:[Check Periodo Ref.]]="Dentro",IF(DATOS_[[Check Equiparado]:[Check Equiparado]]="Sí",IF(DATOS!BA$5="Sí",(1/DATOS_[[% anualiz]:[% anualiz]]),1)*IF(DATOS!BA$4="Sí",1/DATOS_[[% normaliz]:[% normaliz]],1)*(DATOS_[Conc.Sal.23])))))))),
0)</f>
        <v>0</v>
      </c>
      <c r="AG61" s="111">
        <f t="array" ref="AG61">IFERROR(
(MEDIAN((IF(DATOS_[[Sexo]:[Sexo]]=$B61,IF(DATOS_[[AGRUP. CLAS. PROF.]:[AGRUP. CLAS. PROF.]]=$B60,IF(DATOS_[[Check Periodo Ref.]:[Check Periodo Ref.]]="Dentro",IF(DATOS_[[Check Equiparado]:[Check Equiparado]]="Sí",IF(DATOS!BB$5="Sí",(1/DATOS_[[% anualiz]:[% anualiz]]),1)*IF(DATOS!BB$4="Sí",1/DATOS_[[% normaliz]:[% normaliz]],1)*(DATOS_[Conc.Sal.24])))))))),
0)</f>
        <v>0</v>
      </c>
      <c r="AH61" s="111">
        <f t="array" ref="AH61">IFERROR(
(MEDIAN((IF(DATOS_[[Sexo]:[Sexo]]=$B61,IF(DATOS_[[AGRUP. CLAS. PROF.]:[AGRUP. CLAS. PROF.]]=$B60,IF(DATOS_[[Check Periodo Ref.]:[Check Periodo Ref.]]="Dentro",IF(DATOS_[[Check Equiparado]:[Check Equiparado]]="Sí",IF(DATOS!BC$5="Sí",(1/DATOS_[[% anualiz]:[% anualiz]]),1)*IF(DATOS!BC$4="Sí",1/DATOS_[[% normaliz]:[% normaliz]],1)*(DATOS_[Conc.Sal.25])))))))),
0)</f>
        <v>0</v>
      </c>
      <c r="AI61" s="111">
        <f t="array" ref="AI61">IFERROR(
(MEDIAN((IF(DATOS_[[Sexo]:[Sexo]]=$B61,IF(DATOS_[[AGRUP. CLAS. PROF.]:[AGRUP. CLAS. PROF.]]=$B60,IF(DATOS_[[Check Periodo Ref.]:[Check Periodo Ref.]]="Dentro",IF(DATOS_[[Check Equiparado]:[Check Equiparado]]="Sí",IF(DATOS!BD$5="Sí",(1/DATOS_[[% anualiz]:[% anualiz]]),1)*IF(DATOS!BD$4="Sí",1/DATOS_[[% normaliz]:[% normaliz]],1)*(DATOS_[Conc.Sal.26])))))))),
0)</f>
        <v>0</v>
      </c>
      <c r="AJ61" s="111">
        <f t="array" ref="AJ61">IFERROR(
(MEDIAN((IF(DATOS_[[Sexo]:[Sexo]]=$B61,IF(DATOS_[[AGRUP. CLAS. PROF.]:[AGRUP. CLAS. PROF.]]=$B60,IF(DATOS_[[Check Periodo Ref.]:[Check Periodo Ref.]]="Dentro",IF(DATOS_[[Check Equiparado]:[Check Equiparado]]="Sí",IF(DATOS!BE$5="Sí",(1/DATOS_[[% anualiz]:[% anualiz]]),1)*IF(DATOS!BE$4="Sí",1/DATOS_[[% normaliz]:[% normaliz]],1)*(DATOS_[Conc.Sal.27])))))))),
0)</f>
        <v>0</v>
      </c>
      <c r="AK61" s="111">
        <f t="array" ref="AK61">IFERROR(
(MEDIAN((IF(DATOS_[[Sexo]:[Sexo]]=$B61,IF(DATOS_[[AGRUP. CLAS. PROF.]:[AGRUP. CLAS. PROF.]]=$B60,IF(DATOS_[[Check Periodo Ref.]:[Check Periodo Ref.]]="Dentro",IF(DATOS_[[Check Equiparado]:[Check Equiparado]]="Sí",IF(DATOS!BF$5="Sí",(1/DATOS_[[% anualiz]:[% anualiz]]),1)*IF(DATOS!BF$4="Sí",1/DATOS_[[% normaliz]:[% normaliz]],1)*(DATOS_[Conc.Sal.28])))))))),
0)</f>
        <v>0</v>
      </c>
      <c r="AL61" s="111">
        <f t="array" ref="AL61">IFERROR(
(MEDIAN((IF(DATOS_[[Sexo]:[Sexo]]=$B61,IF(DATOS_[[AGRUP. CLAS. PROF.]:[AGRUP. CLAS. PROF.]]=$B60,IF(DATOS_[[Check Periodo Ref.]:[Check Periodo Ref.]]="Dentro",IF(DATOS_[[Check Equiparado]:[Check Equiparado]]="Sí",IF(DATOS!BG$5="Sí",(1/DATOS_[[% anualiz]:[% anualiz]]),1)*IF(DATOS!BG$4="Sí",1/DATOS_[[% normaliz]:[% normaliz]],1)*(DATOS_[Conc.Sal.29])))))))),
0)</f>
        <v>0</v>
      </c>
      <c r="AM61" s="111">
        <f t="array" ref="AM61">IFERROR(
(MEDIAN((IF(DATOS_[[Sexo]:[Sexo]]=$B61,IF(DATOS_[[AGRUP. CLAS. PROF.]:[AGRUP. CLAS. PROF.]]=$B60,IF(DATOS_[[Check Periodo Ref.]:[Check Periodo Ref.]]="Dentro",IF(DATOS_[[Check Equiparado]:[Check Equiparado]]="Sí",IF(DATOS!BH$5="Sí",(1/DATOS_[[% anualiz]:[% anualiz]]),1)*IF(DATOS!BH$4="Sí",1/DATOS_[[% normaliz]:[% normaliz]],1)*(DATOS_[Conc.Sal.30])))))))),
0)</f>
        <v>0</v>
      </c>
      <c r="AN61" s="112">
        <f t="array" ref="AN61">IFERROR(
MEDIAN(IF(DATOS_[Sexo]=$B61,IF(DATOS_[[AGRUP. CLAS. PROF.]:[AGRUP. CLAS. PROF.]]=$B60,IF(DATOS_[Check Equiparado]="Sí",IF(DATOS_[Check Periodo Ref.]="Dentro",DATOS_[Tot COMPL.SAL Eq],FALSE))))),
0)</f>
        <v>0</v>
      </c>
      <c r="AO61" s="113">
        <f t="array" ref="AO61">IFERROR(
MEDIAN(IF(DATOS_[Sexo]=$B61,IF(DATOS_[[AGRUP. CLAS. PROF.]:[AGRUP. CLAS. PROF.]]=$B60,IF(DATOS_[Check Equiparado]="Sí",IF(DATOS_[Check Periodo Ref.]="Dentro",DATOS_[TOTAL SALARIO Eq],FALSE))))),
0)</f>
        <v>0</v>
      </c>
      <c r="AP61" s="114">
        <f t="array" ref="AP61">IFERROR(
(MEDIAN((IF(DATOS_[[Sexo]:[Sexo]]=$B61,IF(DATOS_[[AGRUP. CLAS. PROF.]:[AGRUP. CLAS. PROF.]]=$B60,IF(DATOS_[[Check Periodo Ref.]:[Check Periodo Ref.]]="Dentro",IF(DATOS_[[Check Equiparado]:[Check Equiparado]]="Sí",IF(DATOS!BI$5="Sí",(1/DATOS_[[% anualiz]:[% anualiz]]),1)*IF(DATOS!BI$4="Sí",1/DATOS_[[% normaliz]:[% normaliz]],1)*(DATOS_[C.Extra.01])))))))),
0)</f>
        <v>0</v>
      </c>
      <c r="AQ61" s="114">
        <f t="array" ref="AQ61">IFERROR(
(MEDIAN((IF(DATOS_[[Sexo]:[Sexo]]=$B61,IF(DATOS_[[AGRUP. CLAS. PROF.]:[AGRUP. CLAS. PROF.]]=$B60,IF(DATOS_[[Check Periodo Ref.]:[Check Periodo Ref.]]="Dentro",IF(DATOS_[[Check Equiparado]:[Check Equiparado]]="Sí",IF(DATOS!BJ$5="Sí",(1/DATOS_[[% anualiz]:[% anualiz]]),1)*IF(DATOS!BJ$4="Sí",1/DATOS_[[% normaliz]:[% normaliz]],1)*(DATOS_[C.Extra.02])))))))),
0)</f>
        <v>0</v>
      </c>
      <c r="AR61" s="114">
        <f t="array" ref="AR61">IFERROR(
(MEDIAN((IF(DATOS_[[Sexo]:[Sexo]]=$B61,IF(DATOS_[[AGRUP. CLAS. PROF.]:[AGRUP. CLAS. PROF.]]=$B60,IF(DATOS_[[Check Periodo Ref.]:[Check Periodo Ref.]]="Dentro",IF(DATOS_[[Check Equiparado]:[Check Equiparado]]="Sí",IF(DATOS!BK$5="Sí",(1/DATOS_[[% anualiz]:[% anualiz]]),1)*IF(DATOS!BK$4="Sí",1/DATOS_[[% normaliz]:[% normaliz]],1)*(DATOS_[C.Extra.03])))))))),
0)</f>
        <v>0</v>
      </c>
      <c r="AS61" s="114">
        <f t="array" ref="AS61">IFERROR(
(MEDIAN((IF(DATOS_[[Sexo]:[Sexo]]=$B61,IF(DATOS_[[AGRUP. CLAS. PROF.]:[AGRUP. CLAS. PROF.]]=$B60,IF(DATOS_[[Check Periodo Ref.]:[Check Periodo Ref.]]="Dentro",IF(DATOS_[[Check Equiparado]:[Check Equiparado]]="Sí",IF(DATOS!BL$5="Sí",(1/DATOS_[[% anualiz]:[% anualiz]]),1)*IF(DATOS!BL$4="Sí",1/DATOS_[[% normaliz]:[% normaliz]],1)*(DATOS_[C.Extra.04])))))))),
0)</f>
        <v>0</v>
      </c>
      <c r="AT61" s="114">
        <f t="array" ref="AT61">IFERROR(
(MEDIAN((IF(DATOS_[[Sexo]:[Sexo]]=$B61,IF(DATOS_[[AGRUP. CLAS. PROF.]:[AGRUP. CLAS. PROF.]]=$B60,IF(DATOS_[[Check Periodo Ref.]:[Check Periodo Ref.]]="Dentro",IF(DATOS_[[Check Equiparado]:[Check Equiparado]]="Sí",IF(DATOS!BM$5="Sí",(1/DATOS_[[% anualiz]:[% anualiz]]),1)*IF(DATOS!BM$4="Sí",1/DATOS_[[% normaliz]:[% normaliz]],1)*(DATOS_[C.Extra.05])))))))),
0)</f>
        <v>0</v>
      </c>
      <c r="AU61" s="115">
        <f t="array" ref="AU61">IFERROR(
MEDIAN(IF(DATOS_[Sexo]=$B61,IF(DATOS_[[AGRUP. CLAS. PROF.]:[AGRUP. CLAS. PROF.]]=$B60,IF(DATOS_[Check Equiparado]="Sí",IF(DATOS_[Check Periodo Ref.]="Dentro",DATOS_[Tot Extrasalarial Eq],FALSE))))),
0)</f>
        <v>0</v>
      </c>
      <c r="AV61" s="116">
        <f t="array" ref="AV61">IFERROR(
MEDIAN(IF(DATOS_[Sexo]=$B61,IF(DATOS_[[AGRUP. CLAS. PROF.]:[AGRUP. CLAS. PROF.]]=$B60,IF(DATOS_[Check Equiparado]="Sí",IF(DATOS_[Check Periodo Ref.]="Dentro",DATOS_[TOTAL Retrib Eq],FALSE))))),
0)</f>
        <v>0</v>
      </c>
    </row>
    <row r="62" spans="1:48" hidden="1" x14ac:dyDescent="0.3">
      <c r="A62" s="42" t="str">
        <f t="shared" ref="A62" si="66">+A61</f>
        <v>[ocultar]</v>
      </c>
      <c r="B62" s="86" t="s">
        <v>163</v>
      </c>
      <c r="C62" s="33">
        <f t="array" ref="C62">SUM(IF($B62=DATOS_[Sexo],
IF($B60=DATOS_[AGRUP. CLAS. PROF.],
IF("Dentro"=DATOS_[Check Periodo Ref.],
1/(COUNTIFS(DATOS_[Sexo],$B62,DATOS_[AGRUP. CLAS. PROF.],$B60,DATOS_[Check Periodo Ref.],"Dentro",DATOS_[id],DATOS_[id]))))))</f>
        <v>0</v>
      </c>
      <c r="D62" s="35">
        <f>COUNTIFS(DATOS_[AGRUP. CLAS. PROF.],$B60,DATOS_[Sexo],$B62,DATOS_[Check Periodo Ref.],"Dentro")</f>
        <v>0</v>
      </c>
      <c r="E62" s="35">
        <f>COUNTIFS(DATOS_[AGRUP. CLAS. PROF.],$B60,DATOS_[Sexo],$B62,DATOS_[Check Periodo Ref.],"Dentro",DATOS_[Check Nº SC Norm],"Sí")</f>
        <v>0</v>
      </c>
      <c r="F62" s="35">
        <f>COUNTIFS(DATOS_[AGRUP. CLAS. PROF.],$B60,DATOS_[Sexo],$B62,DATOS_[Check Periodo Ref.],"Dentro",DATOS_[Check Nº SC Anualiz],"Sí")</f>
        <v>0</v>
      </c>
      <c r="G62" s="35">
        <f>COUNTIFS(DATOS_[AGRUP. CLAS. PROF.],$B60,DATOS_[Sexo],$B62,DATOS_[Check Periodo Ref.],"Dentro",DATOS_[Check Nº SC Norm y Anualiz],"Sí")</f>
        <v>0</v>
      </c>
      <c r="H62" s="35">
        <f>COUNTIFS(DATOS_[AGRUP. CLAS. PROF.],$B60,DATOS_[Sexo],$B62,DATOS_[Check Periodo Ref.],"Dentro",DATOS_[Check Equiparación],"Sí")</f>
        <v>0</v>
      </c>
      <c r="I62" s="110" cm="1">
        <f t="array" ref="I62">IFERROR(
MEDIAN(IF(DATOS_[Sexo]=$B62,IF(DATOS_[[AGRUP. CLAS. PROF.]:[AGRUP. CLAS. PROF.]]=$B60,IF(DATOS_[Check Equiparado]="Sí",IF(DATOS_[Check Periodo Ref.]="Dentro",DATOS_[SALARIO BASE Eq],FALSE))))),
0)</f>
        <v>0</v>
      </c>
      <c r="J62" s="111">
        <f t="array" ref="J62">IFERROR(
(MEDIAN((IF(DATOS_[[Sexo]:[Sexo]]=$B62,IF(DATOS_[[AGRUP. CLAS. PROF.]:[AGRUP. CLAS. PROF.]]=$B60,IF(DATOS_[[Check Periodo Ref.]:[Check Periodo Ref.]]="Dentro",IF(DATOS_[[Check Equiparado]:[Check Equiparado]]="Sí",IF(DATOS!AE$5="Sí",(1/DATOS_[[% anualiz]:[% anualiz]]),1)*IF(DATOS!AE$4="Sí",1/DATOS_[[% normaliz]:[% normaliz]],1)*(DATOS_[Conc.Sal.01])))))))),
0)</f>
        <v>0</v>
      </c>
      <c r="K62" s="111">
        <f t="array" ref="K62">IFERROR(
(MEDIAN((IF(DATOS_[[Sexo]:[Sexo]]=$B62,IF(DATOS_[[AGRUP. CLAS. PROF.]:[AGRUP. CLAS. PROF.]]=$B60,IF(DATOS_[[Check Periodo Ref.]:[Check Periodo Ref.]]="Dentro",IF(DATOS_[[Check Equiparado]:[Check Equiparado]]="Sí",IF(DATOS!AF$5="Sí",(1/DATOS_[[% anualiz]:[% anualiz]]),1)*IF(DATOS!AF$4="Sí",1/DATOS_[[% normaliz]:[% normaliz]],1)*(DATOS_[Conc.Sal.02])))))))),
0)</f>
        <v>0</v>
      </c>
      <c r="L62" s="111">
        <f t="array" ref="L62">IFERROR(
(MEDIAN((IF(DATOS_[[Sexo]:[Sexo]]=$B62,IF(DATOS_[[AGRUP. CLAS. PROF.]:[AGRUP. CLAS. PROF.]]=$B60,IF(DATOS_[[Check Periodo Ref.]:[Check Periodo Ref.]]="Dentro",IF(DATOS_[[Check Equiparado]:[Check Equiparado]]="Sí",IF(DATOS!AG$5="Sí",(1/DATOS_[[% anualiz]:[% anualiz]]),1)*IF(DATOS!AG$4="Sí",1/DATOS_[[% normaliz]:[% normaliz]],1)*(DATOS_[Conc.Sal.03])))))))),
0)</f>
        <v>0</v>
      </c>
      <c r="M62" s="111">
        <f t="array" ref="M62">IFERROR(
(MEDIAN((IF(DATOS_[[Sexo]:[Sexo]]=$B62,IF(DATOS_[[AGRUP. CLAS. PROF.]:[AGRUP. CLAS. PROF.]]=$B60,IF(DATOS_[[Check Periodo Ref.]:[Check Periodo Ref.]]="Dentro",IF(DATOS_[[Check Equiparado]:[Check Equiparado]]="Sí",IF(DATOS!AH$5="Sí",(1/DATOS_[[% anualiz]:[% anualiz]]),1)*IF(DATOS!AH$4="Sí",1/DATOS_[[% normaliz]:[% normaliz]],1)*(DATOS_[Conc.Sal.04])))))))),
0)</f>
        <v>0</v>
      </c>
      <c r="N62" s="111">
        <f t="array" ref="N62">IFERROR(
(MEDIAN((IF(DATOS_[[Sexo]:[Sexo]]=$B62,IF(DATOS_[[AGRUP. CLAS. PROF.]:[AGRUP. CLAS. PROF.]]=$B60,IF(DATOS_[[Check Periodo Ref.]:[Check Periodo Ref.]]="Dentro",IF(DATOS_[[Check Equiparado]:[Check Equiparado]]="Sí",IF(DATOS!AI$5="Sí",(1/DATOS_[[% anualiz]:[% anualiz]]),1)*IF(DATOS!AI$4="Sí",1/DATOS_[[% normaliz]:[% normaliz]],1)*(DATOS_[Conc.Sal.05])))))))),
0)</f>
        <v>0</v>
      </c>
      <c r="O62" s="111">
        <f t="array" ref="O62">IFERROR(
(MEDIAN((IF(DATOS_[[Sexo]:[Sexo]]=$B62,IF(DATOS_[[AGRUP. CLAS. PROF.]:[AGRUP. CLAS. PROF.]]=$B60,IF(DATOS_[[Check Periodo Ref.]:[Check Periodo Ref.]]="Dentro",IF(DATOS_[[Check Equiparado]:[Check Equiparado]]="Sí",IF(DATOS!AJ$5="Sí",(1/DATOS_[[% anualiz]:[% anualiz]]),1)*IF(DATOS!AJ$4="Sí",1/DATOS_[[% normaliz]:[% normaliz]],1)*(DATOS_[Conc.Sal.06])))))))),
0)</f>
        <v>0</v>
      </c>
      <c r="P62" s="111">
        <f t="array" ref="P62">IFERROR(
(MEDIAN((IF(DATOS_[[Sexo]:[Sexo]]=$B62,IF(DATOS_[[AGRUP. CLAS. PROF.]:[AGRUP. CLAS. PROF.]]=$B60,IF(DATOS_[[Check Periodo Ref.]:[Check Periodo Ref.]]="Dentro",IF(DATOS_[[Check Equiparado]:[Check Equiparado]]="Sí",IF(DATOS!AK$5="Sí",(1/DATOS_[[% anualiz]:[% anualiz]]),1)*IF(DATOS!AK$4="Sí",1/DATOS_[[% normaliz]:[% normaliz]],1)*(DATOS_[Conc.Sal.07])))))))),
0)</f>
        <v>0</v>
      </c>
      <c r="Q62" s="111">
        <f t="array" ref="Q62">IFERROR(
(MEDIAN((IF(DATOS_[[Sexo]:[Sexo]]=$B62,IF(DATOS_[[AGRUP. CLAS. PROF.]:[AGRUP. CLAS. PROF.]]=$B60,IF(DATOS_[[Check Periodo Ref.]:[Check Periodo Ref.]]="Dentro",IF(DATOS_[[Check Equiparado]:[Check Equiparado]]="Sí",IF(DATOS!AL$5="Sí",(1/DATOS_[[% anualiz]:[% anualiz]]),1)*IF(DATOS!AL$4="Sí",1/DATOS_[[% normaliz]:[% normaliz]],1)*(DATOS_[Conc.Sal.08])))))))),
0)</f>
        <v>0</v>
      </c>
      <c r="R62" s="111">
        <f t="array" ref="R62">IFERROR(
(MEDIAN((IF(DATOS_[[Sexo]:[Sexo]]=$B62,IF(DATOS_[[AGRUP. CLAS. PROF.]:[AGRUP. CLAS. PROF.]]=$B60,IF(DATOS_[[Check Periodo Ref.]:[Check Periodo Ref.]]="Dentro",IF(DATOS_[[Check Equiparado]:[Check Equiparado]]="Sí",IF(DATOS!AM$5="Sí",(1/DATOS_[[% anualiz]:[% anualiz]]),1)*IF(DATOS!AM$4="Sí",1/DATOS_[[% normaliz]:[% normaliz]],1)*(DATOS_[Conc.Sal.09])))))))),
0)</f>
        <v>0</v>
      </c>
      <c r="S62" s="111">
        <f t="array" ref="S62">IFERROR(
(MEDIAN((IF(DATOS_[[Sexo]:[Sexo]]=$B62,IF(DATOS_[[AGRUP. CLAS. PROF.]:[AGRUP. CLAS. PROF.]]=$B60,IF(DATOS_[[Check Periodo Ref.]:[Check Periodo Ref.]]="Dentro",IF(DATOS_[[Check Equiparado]:[Check Equiparado]]="Sí",IF(DATOS!AN$5="Sí",(1/DATOS_[[% anualiz]:[% anualiz]]),1)*IF(DATOS!AN$4="Sí",1/DATOS_[[% normaliz]:[% normaliz]],1)*(DATOS_[Conc.Sal.10])))))))),
0)</f>
        <v>0</v>
      </c>
      <c r="T62" s="111">
        <f t="array" ref="T62">IFERROR(
(MEDIAN((IF(DATOS_[[Sexo]:[Sexo]]=$B62,IF(DATOS_[[AGRUP. CLAS. PROF.]:[AGRUP. CLAS. PROF.]]=$B60,IF(DATOS_[[Check Periodo Ref.]:[Check Periodo Ref.]]="Dentro",IF(DATOS_[[Check Equiparado]:[Check Equiparado]]="Sí",IF(DATOS!AO$5="Sí",(1/DATOS_[[% anualiz]:[% anualiz]]),1)*IF(DATOS!AO$4="Sí",1/DATOS_[[% normaliz]:[% normaliz]],1)*(DATOS_[Conc.Sal.11])))))))),
0)</f>
        <v>0</v>
      </c>
      <c r="U62" s="111">
        <f t="array" ref="U62">IFERROR(
(MEDIAN((IF(DATOS_[[Sexo]:[Sexo]]=$B62,IF(DATOS_[[AGRUP. CLAS. PROF.]:[AGRUP. CLAS. PROF.]]=$B60,IF(DATOS_[[Check Periodo Ref.]:[Check Periodo Ref.]]="Dentro",IF(DATOS_[[Check Equiparado]:[Check Equiparado]]="Sí",IF(DATOS!AP$5="Sí",(1/DATOS_[[% anualiz]:[% anualiz]]),1)*IF(DATOS!AP$4="Sí",1/DATOS_[[% normaliz]:[% normaliz]],1)*(DATOS_[Conc.Sal.12])))))))),
0)</f>
        <v>0</v>
      </c>
      <c r="V62" s="111">
        <f t="array" ref="V62">IFERROR(
(MEDIAN((IF(DATOS_[[Sexo]:[Sexo]]=$B62,IF(DATOS_[[AGRUP. CLAS. PROF.]:[AGRUP. CLAS. PROF.]]=$B60,IF(DATOS_[[Check Periodo Ref.]:[Check Periodo Ref.]]="Dentro",IF(DATOS_[[Check Equiparado]:[Check Equiparado]]="Sí",IF(DATOS!AQ$5="Sí",(1/DATOS_[[% anualiz]:[% anualiz]]),1)*IF(DATOS!AQ$4="Sí",1/DATOS_[[% normaliz]:[% normaliz]],1)*(DATOS_[Conc.Sal.13])))))))),
0)</f>
        <v>0</v>
      </c>
      <c r="W62" s="111">
        <f t="array" ref="W62">IFERROR(
(MEDIAN((IF(DATOS_[[Sexo]:[Sexo]]=$B62,IF(DATOS_[[AGRUP. CLAS. PROF.]:[AGRUP. CLAS. PROF.]]=$B60,IF(DATOS_[[Check Periodo Ref.]:[Check Periodo Ref.]]="Dentro",IF(DATOS_[[Check Equiparado]:[Check Equiparado]]="Sí",IF(DATOS!AR$5="Sí",(1/DATOS_[[% anualiz]:[% anualiz]]),1)*IF(DATOS!AR$4="Sí",1/DATOS_[[% normaliz]:[% normaliz]],1)*(DATOS_[Conc.Sal.14])))))))),
0)</f>
        <v>0</v>
      </c>
      <c r="X62" s="111">
        <f t="array" ref="X62">IFERROR(
(MEDIAN((IF(DATOS_[[Sexo]:[Sexo]]=$B62,IF(DATOS_[[AGRUP. CLAS. PROF.]:[AGRUP. CLAS. PROF.]]=$B60,IF(DATOS_[[Check Periodo Ref.]:[Check Periodo Ref.]]="Dentro",IF(DATOS_[[Check Equiparado]:[Check Equiparado]]="Sí",IF(DATOS!AS$5="Sí",(1/DATOS_[[% anualiz]:[% anualiz]]),1)*IF(DATOS!AS$4="Sí",1/DATOS_[[% normaliz]:[% normaliz]],1)*(DATOS_[Conc.Sal.15])))))))),
0)</f>
        <v>0</v>
      </c>
      <c r="Y62" s="111">
        <f t="array" ref="Y62">IFERROR(
(MEDIAN((IF(DATOS_[[Sexo]:[Sexo]]=$B62,IF(DATOS_[[AGRUP. CLAS. PROF.]:[AGRUP. CLAS. PROF.]]=$B60,IF(DATOS_[[Check Periodo Ref.]:[Check Periodo Ref.]]="Dentro",IF(DATOS_[[Check Equiparado]:[Check Equiparado]]="Sí",IF(DATOS!AT$5="Sí",(1/DATOS_[[% anualiz]:[% anualiz]]),1)*IF(DATOS!AT$4="Sí",1/DATOS_[[% normaliz]:[% normaliz]],1)*(DATOS_[Conc.Sal.16])))))))),
0)</f>
        <v>0</v>
      </c>
      <c r="Z62" s="111">
        <f t="array" ref="Z62">IFERROR(
(MEDIAN((IF(DATOS_[[Sexo]:[Sexo]]=$B62,IF(DATOS_[[AGRUP. CLAS. PROF.]:[AGRUP. CLAS. PROF.]]=$B60,IF(DATOS_[[Check Periodo Ref.]:[Check Periodo Ref.]]="Dentro",IF(DATOS_[[Check Equiparado]:[Check Equiparado]]="Sí",IF(DATOS!AU$5="Sí",(1/DATOS_[[% anualiz]:[% anualiz]]),1)*IF(DATOS!AU$4="Sí",1/DATOS_[[% normaliz]:[% normaliz]],1)*(DATOS_[Conc.Sal.17])))))))),
0)</f>
        <v>0</v>
      </c>
      <c r="AA62" s="111">
        <f t="array" ref="AA62">IFERROR(
(MEDIAN((IF(DATOS_[[Sexo]:[Sexo]]=$B62,IF(DATOS_[[AGRUP. CLAS. PROF.]:[AGRUP. CLAS. PROF.]]=$B60,IF(DATOS_[[Check Periodo Ref.]:[Check Periodo Ref.]]="Dentro",IF(DATOS_[[Check Equiparado]:[Check Equiparado]]="Sí",IF(DATOS!AV$5="Sí",(1/DATOS_[[% anualiz]:[% anualiz]]),1)*IF(DATOS!AV$4="Sí",1/DATOS_[[% normaliz]:[% normaliz]],1)*(DATOS_[Conc.Sal.18])))))))),
0)</f>
        <v>0</v>
      </c>
      <c r="AB62" s="111">
        <f t="array" ref="AB62">IFERROR(
(MEDIAN((IF(DATOS_[[Sexo]:[Sexo]]=$B62,IF(DATOS_[[AGRUP. CLAS. PROF.]:[AGRUP. CLAS. PROF.]]=$B60,IF(DATOS_[[Check Periodo Ref.]:[Check Periodo Ref.]]="Dentro",IF(DATOS_[[Check Equiparado]:[Check Equiparado]]="Sí",IF(DATOS!AW$5="Sí",(1/DATOS_[[% anualiz]:[% anualiz]]),1)*IF(DATOS!AW$4="Sí",1/DATOS_[[% normaliz]:[% normaliz]],1)*(DATOS_[Conc.Sal.19])))))))),
0)</f>
        <v>0</v>
      </c>
      <c r="AC62" s="111">
        <f t="array" ref="AC62">IFERROR(
(MEDIAN((IF(DATOS_[[Sexo]:[Sexo]]=$B62,IF(DATOS_[[AGRUP. CLAS. PROF.]:[AGRUP. CLAS. PROF.]]=$B60,IF(DATOS_[[Check Periodo Ref.]:[Check Periodo Ref.]]="Dentro",IF(DATOS_[[Check Equiparado]:[Check Equiparado]]="Sí",IF(DATOS!AX$5="Sí",(1/DATOS_[[% anualiz]:[% anualiz]]),1)*IF(DATOS!AX$4="Sí",1/DATOS_[[% normaliz]:[% normaliz]],1)*(DATOS_[Conc.Sal.20])))))))),
0)</f>
        <v>0</v>
      </c>
      <c r="AD62" s="111">
        <f t="array" ref="AD62">IFERROR(
(MEDIAN((IF(DATOS_[[Sexo]:[Sexo]]=$B62,IF(DATOS_[[AGRUP. CLAS. PROF.]:[AGRUP. CLAS. PROF.]]=$B60,IF(DATOS_[[Check Periodo Ref.]:[Check Periodo Ref.]]="Dentro",IF(DATOS_[[Check Equiparado]:[Check Equiparado]]="Sí",IF(DATOS!AY$5="Sí",(1/DATOS_[[% anualiz]:[% anualiz]]),1)*IF(DATOS!AY$4="Sí",1/DATOS_[[% normaliz]:[% normaliz]],1)*(DATOS_[Conc.Sal.21])))))))),
0)</f>
        <v>0</v>
      </c>
      <c r="AE62" s="111">
        <f t="array" ref="AE62">IFERROR(
(MEDIAN((IF(DATOS_[[Sexo]:[Sexo]]=$B62,IF(DATOS_[[AGRUP. CLAS. PROF.]:[AGRUP. CLAS. PROF.]]=$B60,IF(DATOS_[[Check Periodo Ref.]:[Check Periodo Ref.]]="Dentro",IF(DATOS_[[Check Equiparado]:[Check Equiparado]]="Sí",IF(DATOS!AZ$5="Sí",(1/DATOS_[[% anualiz]:[% anualiz]]),1)*IF(DATOS!AZ$4="Sí",1/DATOS_[[% normaliz]:[% normaliz]],1)*(DATOS_[Conc.Sal.22])))))))),
0)</f>
        <v>0</v>
      </c>
      <c r="AF62" s="111">
        <f t="array" ref="AF62">IFERROR(
(MEDIAN((IF(DATOS_[[Sexo]:[Sexo]]=$B62,IF(DATOS_[[AGRUP. CLAS. PROF.]:[AGRUP. CLAS. PROF.]]=$B60,IF(DATOS_[[Check Periodo Ref.]:[Check Periodo Ref.]]="Dentro",IF(DATOS_[[Check Equiparado]:[Check Equiparado]]="Sí",IF(DATOS!BA$5="Sí",(1/DATOS_[[% anualiz]:[% anualiz]]),1)*IF(DATOS!BA$4="Sí",1/DATOS_[[% normaliz]:[% normaliz]],1)*(DATOS_[Conc.Sal.23])))))))),
0)</f>
        <v>0</v>
      </c>
      <c r="AG62" s="111">
        <f t="array" ref="AG62">IFERROR(
(MEDIAN((IF(DATOS_[[Sexo]:[Sexo]]=$B62,IF(DATOS_[[AGRUP. CLAS. PROF.]:[AGRUP. CLAS. PROF.]]=$B60,IF(DATOS_[[Check Periodo Ref.]:[Check Periodo Ref.]]="Dentro",IF(DATOS_[[Check Equiparado]:[Check Equiparado]]="Sí",IF(DATOS!BB$5="Sí",(1/DATOS_[[% anualiz]:[% anualiz]]),1)*IF(DATOS!BB$4="Sí",1/DATOS_[[% normaliz]:[% normaliz]],1)*(DATOS_[Conc.Sal.24])))))))),
0)</f>
        <v>0</v>
      </c>
      <c r="AH62" s="111">
        <f t="array" ref="AH62">IFERROR(
(MEDIAN((IF(DATOS_[[Sexo]:[Sexo]]=$B62,IF(DATOS_[[AGRUP. CLAS. PROF.]:[AGRUP. CLAS. PROF.]]=$B60,IF(DATOS_[[Check Periodo Ref.]:[Check Periodo Ref.]]="Dentro",IF(DATOS_[[Check Equiparado]:[Check Equiparado]]="Sí",IF(DATOS!BC$5="Sí",(1/DATOS_[[% anualiz]:[% anualiz]]),1)*IF(DATOS!BC$4="Sí",1/DATOS_[[% normaliz]:[% normaliz]],1)*(DATOS_[Conc.Sal.25])))))))),
0)</f>
        <v>0</v>
      </c>
      <c r="AI62" s="111">
        <f t="array" ref="AI62">IFERROR(
(MEDIAN((IF(DATOS_[[Sexo]:[Sexo]]=$B62,IF(DATOS_[[AGRUP. CLAS. PROF.]:[AGRUP. CLAS. PROF.]]=$B60,IF(DATOS_[[Check Periodo Ref.]:[Check Periodo Ref.]]="Dentro",IF(DATOS_[[Check Equiparado]:[Check Equiparado]]="Sí",IF(DATOS!BD$5="Sí",(1/DATOS_[[% anualiz]:[% anualiz]]),1)*IF(DATOS!BD$4="Sí",1/DATOS_[[% normaliz]:[% normaliz]],1)*(DATOS_[Conc.Sal.26])))))))),
0)</f>
        <v>0</v>
      </c>
      <c r="AJ62" s="111">
        <f t="array" ref="AJ62">IFERROR(
(MEDIAN((IF(DATOS_[[Sexo]:[Sexo]]=$B62,IF(DATOS_[[AGRUP. CLAS. PROF.]:[AGRUP. CLAS. PROF.]]=$B60,IF(DATOS_[[Check Periodo Ref.]:[Check Periodo Ref.]]="Dentro",IF(DATOS_[[Check Equiparado]:[Check Equiparado]]="Sí",IF(DATOS!BE$5="Sí",(1/DATOS_[[% anualiz]:[% anualiz]]),1)*IF(DATOS!BE$4="Sí",1/DATOS_[[% normaliz]:[% normaliz]],1)*(DATOS_[Conc.Sal.27])))))))),
0)</f>
        <v>0</v>
      </c>
      <c r="AK62" s="111">
        <f t="array" ref="AK62">IFERROR(
(MEDIAN((IF(DATOS_[[Sexo]:[Sexo]]=$B62,IF(DATOS_[[AGRUP. CLAS. PROF.]:[AGRUP. CLAS. PROF.]]=$B60,IF(DATOS_[[Check Periodo Ref.]:[Check Periodo Ref.]]="Dentro",IF(DATOS_[[Check Equiparado]:[Check Equiparado]]="Sí",IF(DATOS!BF$5="Sí",(1/DATOS_[[% anualiz]:[% anualiz]]),1)*IF(DATOS!BF$4="Sí",1/DATOS_[[% normaliz]:[% normaliz]],1)*(DATOS_[Conc.Sal.28])))))))),
0)</f>
        <v>0</v>
      </c>
      <c r="AL62" s="111">
        <f t="array" ref="AL62">IFERROR(
(MEDIAN((IF(DATOS_[[Sexo]:[Sexo]]=$B62,IF(DATOS_[[AGRUP. CLAS. PROF.]:[AGRUP. CLAS. PROF.]]=$B60,IF(DATOS_[[Check Periodo Ref.]:[Check Periodo Ref.]]="Dentro",IF(DATOS_[[Check Equiparado]:[Check Equiparado]]="Sí",IF(DATOS!BG$5="Sí",(1/DATOS_[[% anualiz]:[% anualiz]]),1)*IF(DATOS!BG$4="Sí",1/DATOS_[[% normaliz]:[% normaliz]],1)*(DATOS_[Conc.Sal.29])))))))),
0)</f>
        <v>0</v>
      </c>
      <c r="AM62" s="111">
        <f t="array" ref="AM62">IFERROR(
(MEDIAN((IF(DATOS_[[Sexo]:[Sexo]]=$B62,IF(DATOS_[[AGRUP. CLAS. PROF.]:[AGRUP. CLAS. PROF.]]=$B60,IF(DATOS_[[Check Periodo Ref.]:[Check Periodo Ref.]]="Dentro",IF(DATOS_[[Check Equiparado]:[Check Equiparado]]="Sí",IF(DATOS!BH$5="Sí",(1/DATOS_[[% anualiz]:[% anualiz]]),1)*IF(DATOS!BH$4="Sí",1/DATOS_[[% normaliz]:[% normaliz]],1)*(DATOS_[Conc.Sal.30])))))))),
0)</f>
        <v>0</v>
      </c>
      <c r="AN62" s="112">
        <f t="array" ref="AN62">IFERROR(
MEDIAN(IF(DATOS_[Sexo]=$B62,IF(DATOS_[[AGRUP. CLAS. PROF.]:[AGRUP. CLAS. PROF.]]=$B60,IF(DATOS_[Check Equiparado]="Sí",IF(DATOS_[Check Periodo Ref.]="Dentro",DATOS_[Tot COMPL.SAL Eq],FALSE))))),
0)</f>
        <v>0</v>
      </c>
      <c r="AO62" s="113">
        <f t="array" ref="AO62">IFERROR(
MEDIAN(IF(DATOS_[Sexo]=$B62,IF(DATOS_[[AGRUP. CLAS. PROF.]:[AGRUP. CLAS. PROF.]]=$B60,IF(DATOS_[Check Equiparado]="Sí",IF(DATOS_[Check Periodo Ref.]="Dentro",DATOS_[TOTAL SALARIO Eq],FALSE))))),
0)</f>
        <v>0</v>
      </c>
      <c r="AP62" s="114">
        <f t="array" ref="AP62">IFERROR(
(MEDIAN((IF(DATOS_[[Sexo]:[Sexo]]=$B62,IF(DATOS_[[AGRUP. CLAS. PROF.]:[AGRUP. CLAS. PROF.]]=$B60,IF(DATOS_[[Check Periodo Ref.]:[Check Periodo Ref.]]="Dentro",IF(DATOS_[[Check Equiparado]:[Check Equiparado]]="Sí",IF(DATOS!BI$5="Sí",(1/DATOS_[[% anualiz]:[% anualiz]]),1)*IF(DATOS!BI$4="Sí",1/DATOS_[[% normaliz]:[% normaliz]],1)*(DATOS_[C.Extra.01])))))))),
0)</f>
        <v>0</v>
      </c>
      <c r="AQ62" s="114">
        <f t="array" ref="AQ62">IFERROR(
(MEDIAN((IF(DATOS_[[Sexo]:[Sexo]]=$B62,IF(DATOS_[[AGRUP. CLAS. PROF.]:[AGRUP. CLAS. PROF.]]=$B60,IF(DATOS_[[Check Periodo Ref.]:[Check Periodo Ref.]]="Dentro",IF(DATOS_[[Check Equiparado]:[Check Equiparado]]="Sí",IF(DATOS!BJ$5="Sí",(1/DATOS_[[% anualiz]:[% anualiz]]),1)*IF(DATOS!BJ$4="Sí",1/DATOS_[[% normaliz]:[% normaliz]],1)*(DATOS_[C.Extra.02])))))))),
0)</f>
        <v>0</v>
      </c>
      <c r="AR62" s="114">
        <f t="array" ref="AR62">IFERROR(
(MEDIAN((IF(DATOS_[[Sexo]:[Sexo]]=$B62,IF(DATOS_[[AGRUP. CLAS. PROF.]:[AGRUP. CLAS. PROF.]]=$B60,IF(DATOS_[[Check Periodo Ref.]:[Check Periodo Ref.]]="Dentro",IF(DATOS_[[Check Equiparado]:[Check Equiparado]]="Sí",IF(DATOS!BK$5="Sí",(1/DATOS_[[% anualiz]:[% anualiz]]),1)*IF(DATOS!BK$4="Sí",1/DATOS_[[% normaliz]:[% normaliz]],1)*(DATOS_[C.Extra.03])))))))),
0)</f>
        <v>0</v>
      </c>
      <c r="AS62" s="114">
        <f t="array" ref="AS62">IFERROR(
(MEDIAN((IF(DATOS_[[Sexo]:[Sexo]]=$B62,IF(DATOS_[[AGRUP. CLAS. PROF.]:[AGRUP. CLAS. PROF.]]=$B60,IF(DATOS_[[Check Periodo Ref.]:[Check Periodo Ref.]]="Dentro",IF(DATOS_[[Check Equiparado]:[Check Equiparado]]="Sí",IF(DATOS!BL$5="Sí",(1/DATOS_[[% anualiz]:[% anualiz]]),1)*IF(DATOS!BL$4="Sí",1/DATOS_[[% normaliz]:[% normaliz]],1)*(DATOS_[C.Extra.04])))))))),
0)</f>
        <v>0</v>
      </c>
      <c r="AT62" s="114">
        <f t="array" ref="AT62">IFERROR(
(MEDIAN((IF(DATOS_[[Sexo]:[Sexo]]=$B62,IF(DATOS_[[AGRUP. CLAS. PROF.]:[AGRUP. CLAS. PROF.]]=$B60,IF(DATOS_[[Check Periodo Ref.]:[Check Periodo Ref.]]="Dentro",IF(DATOS_[[Check Equiparado]:[Check Equiparado]]="Sí",IF(DATOS!BM$5="Sí",(1/DATOS_[[% anualiz]:[% anualiz]]),1)*IF(DATOS!BM$4="Sí",1/DATOS_[[% normaliz]:[% normaliz]],1)*(DATOS_[C.Extra.05])))))))),
0)</f>
        <v>0</v>
      </c>
      <c r="AU62" s="115">
        <f t="array" ref="AU62">IFERROR(
MEDIAN(IF(DATOS_[Sexo]=$B62,IF(DATOS_[[AGRUP. CLAS. PROF.]:[AGRUP. CLAS. PROF.]]=$B60,IF(DATOS_[Check Equiparado]="Sí",IF(DATOS_[Check Periodo Ref.]="Dentro",DATOS_[Tot Extrasalarial Eq],FALSE))))),
0)</f>
        <v>0</v>
      </c>
      <c r="AV62" s="116">
        <f t="array" ref="AV62">IFERROR(
MEDIAN(IF(DATOS_[Sexo]=$B62,IF(DATOS_[[AGRUP. CLAS. PROF.]:[AGRUP. CLAS. PROF.]]=$B60,IF(DATOS_[Check Equiparado]="Sí",IF(DATOS_[Check Periodo Ref.]="Dentro",DATOS_[TOTAL Retrib Eq],FALSE))))),
0)</f>
        <v>0</v>
      </c>
    </row>
    <row r="63" spans="1:48" ht="17.25" hidden="1" thickBot="1" x14ac:dyDescent="0.35">
      <c r="A63" s="42" t="str">
        <f t="shared" ref="A63" si="67">+A64</f>
        <v>[ocultar]</v>
      </c>
      <c r="B63" s="90" t="s">
        <v>233</v>
      </c>
      <c r="C63" s="109"/>
      <c r="D63" s="41"/>
      <c r="E63" s="41"/>
      <c r="F63" s="41"/>
      <c r="G63" s="41"/>
      <c r="H63" s="41"/>
      <c r="I63" s="119" t="str">
        <f t="shared" ref="I63:AV63" si="68">IFERROR((I64-I65)/I64,"")</f>
        <v/>
      </c>
      <c r="J63" s="123" t="str">
        <f t="shared" si="68"/>
        <v/>
      </c>
      <c r="K63" s="123" t="str">
        <f t="shared" si="68"/>
        <v/>
      </c>
      <c r="L63" s="123" t="str">
        <f t="shared" si="68"/>
        <v/>
      </c>
      <c r="M63" s="123" t="str">
        <f t="shared" si="68"/>
        <v/>
      </c>
      <c r="N63" s="123" t="str">
        <f t="shared" si="68"/>
        <v/>
      </c>
      <c r="O63" s="123" t="str">
        <f t="shared" si="68"/>
        <v/>
      </c>
      <c r="P63" s="123" t="str">
        <f t="shared" si="68"/>
        <v/>
      </c>
      <c r="Q63" s="123" t="str">
        <f t="shared" si="68"/>
        <v/>
      </c>
      <c r="R63" s="123" t="str">
        <f t="shared" si="68"/>
        <v/>
      </c>
      <c r="S63" s="123" t="str">
        <f t="shared" si="68"/>
        <v/>
      </c>
      <c r="T63" s="123" t="str">
        <f t="shared" si="68"/>
        <v/>
      </c>
      <c r="U63" s="123" t="str">
        <f t="shared" si="68"/>
        <v/>
      </c>
      <c r="V63" s="123" t="str">
        <f t="shared" si="68"/>
        <v/>
      </c>
      <c r="W63" s="123" t="str">
        <f t="shared" si="68"/>
        <v/>
      </c>
      <c r="X63" s="123" t="str">
        <f t="shared" si="68"/>
        <v/>
      </c>
      <c r="Y63" s="123" t="str">
        <f t="shared" si="68"/>
        <v/>
      </c>
      <c r="Z63" s="122" t="str">
        <f t="shared" si="68"/>
        <v/>
      </c>
      <c r="AA63" s="122" t="str">
        <f t="shared" si="68"/>
        <v/>
      </c>
      <c r="AB63" s="122" t="str">
        <f t="shared" si="68"/>
        <v/>
      </c>
      <c r="AC63" s="122" t="str">
        <f t="shared" si="68"/>
        <v/>
      </c>
      <c r="AD63" s="122" t="str">
        <f t="shared" si="68"/>
        <v/>
      </c>
      <c r="AE63" s="122" t="str">
        <f t="shared" si="68"/>
        <v/>
      </c>
      <c r="AF63" s="122" t="str">
        <f t="shared" si="68"/>
        <v/>
      </c>
      <c r="AG63" s="122" t="str">
        <f t="shared" si="68"/>
        <v/>
      </c>
      <c r="AH63" s="122" t="str">
        <f t="shared" si="68"/>
        <v/>
      </c>
      <c r="AI63" s="122" t="str">
        <f t="shared" si="68"/>
        <v/>
      </c>
      <c r="AJ63" s="122" t="str">
        <f t="shared" si="68"/>
        <v/>
      </c>
      <c r="AK63" s="122" t="str">
        <f t="shared" si="68"/>
        <v/>
      </c>
      <c r="AL63" s="122" t="str">
        <f t="shared" si="68"/>
        <v/>
      </c>
      <c r="AM63" s="122" t="str">
        <f t="shared" si="68"/>
        <v/>
      </c>
      <c r="AN63" s="124" t="str">
        <f t="shared" si="68"/>
        <v/>
      </c>
      <c r="AO63" s="128" t="str">
        <f t="shared" si="68"/>
        <v/>
      </c>
      <c r="AP63" s="125" t="str">
        <f t="shared" si="68"/>
        <v/>
      </c>
      <c r="AQ63" s="125" t="str">
        <f t="shared" si="68"/>
        <v/>
      </c>
      <c r="AR63" s="125" t="str">
        <f t="shared" si="68"/>
        <v/>
      </c>
      <c r="AS63" s="125" t="str">
        <f t="shared" si="68"/>
        <v/>
      </c>
      <c r="AT63" s="125" t="str">
        <f t="shared" si="68"/>
        <v/>
      </c>
      <c r="AU63" s="126" t="str">
        <f t="shared" si="68"/>
        <v/>
      </c>
      <c r="AV63" s="127" t="str">
        <f t="shared" si="68"/>
        <v/>
      </c>
    </row>
    <row r="64" spans="1:48" hidden="1" x14ac:dyDescent="0.3">
      <c r="A64" s="42" t="str">
        <f t="shared" ref="A64" si="69">+IF(C64+C65=0,"[ocultar]","")</f>
        <v>[ocultar]</v>
      </c>
      <c r="B64" s="86" t="s">
        <v>162</v>
      </c>
      <c r="C64" s="33">
        <f t="array" ref="C64">SUM(IF($B64=DATOS_[Sexo],
IF($B63=DATOS_[AGRUP. CLAS. PROF.],
IF("Dentro"=DATOS_[Check Periodo Ref.],
1/(COUNTIFS(DATOS_[Sexo],$B64,DATOS_[AGRUP. CLAS. PROF.],$B63,DATOS_[Check Periodo Ref.],"Dentro",DATOS_[id],DATOS_[id]))))))</f>
        <v>0</v>
      </c>
      <c r="D64" s="35">
        <f>COUNTIFS(DATOS_[AGRUP. CLAS. PROF.],$B63,DATOS_[Sexo],$B64,DATOS_[Check Periodo Ref.],"Dentro")</f>
        <v>0</v>
      </c>
      <c r="E64" s="35">
        <f>COUNTIFS(DATOS_[AGRUP. CLAS. PROF.],$B63,DATOS_[Sexo],$B64,DATOS_[Check Periodo Ref.],"Dentro",DATOS_[Check Nº SC Norm],"Sí")</f>
        <v>0</v>
      </c>
      <c r="F64" s="35">
        <f>COUNTIFS(DATOS_[AGRUP. CLAS. PROF.],$B63,DATOS_[Sexo],$B64,DATOS_[Check Periodo Ref.],"Dentro",DATOS_[Check Nº SC Anualiz],"Sí")</f>
        <v>0</v>
      </c>
      <c r="G64" s="35">
        <f>COUNTIFS(DATOS_[AGRUP. CLAS. PROF.],$B63,DATOS_[Sexo],$B64,DATOS_[Check Periodo Ref.],"Dentro",DATOS_[Check Nº SC Norm y Anualiz],"Sí")</f>
        <v>0</v>
      </c>
      <c r="H64" s="35">
        <f>COUNTIFS(DATOS_[AGRUP. CLAS. PROF.],$B63,DATOS_[Sexo],$B64,DATOS_[Check Periodo Ref.],"Dentro",DATOS_[Check Equiparación],"Sí")</f>
        <v>0</v>
      </c>
      <c r="I64" s="110">
        <f t="array" ref="I64">IFERROR(
MEDIAN(IF(DATOS_[Sexo]=$B64,IF(DATOS_[[AGRUP. CLAS. PROF.]:[AGRUP. CLAS. PROF.]]=$B63,IF(DATOS_[Check Equiparado]="Sí",IF(DATOS_[Check Periodo Ref.]="Dentro",DATOS_[SALARIO BASE Eq],FALSE))))),
0)</f>
        <v>0</v>
      </c>
      <c r="J64" s="111">
        <f t="array" ref="J64">IFERROR(
(MEDIAN((IF(DATOS_[[Sexo]:[Sexo]]=$B64,IF(DATOS_[[AGRUP. CLAS. PROF.]:[AGRUP. CLAS. PROF.]]=$B63,IF(DATOS_[[Check Periodo Ref.]:[Check Periodo Ref.]]="Dentro",IF(DATOS_[[Check Equiparado]:[Check Equiparado]]="Sí",IF(DATOS!AE$5="Sí",(1/DATOS_[[% anualiz]:[% anualiz]]),1)*IF(DATOS!AE$4="Sí",1/DATOS_[[% normaliz]:[% normaliz]],1)*(DATOS_[Conc.Sal.01])))))))),
0)</f>
        <v>0</v>
      </c>
      <c r="K64" s="111">
        <f t="array" ref="K64">IFERROR(
(MEDIAN((IF(DATOS_[[Sexo]:[Sexo]]=$B64,IF(DATOS_[[AGRUP. CLAS. PROF.]:[AGRUP. CLAS. PROF.]]=$B63,IF(DATOS_[[Check Periodo Ref.]:[Check Periodo Ref.]]="Dentro",IF(DATOS_[[Check Equiparado]:[Check Equiparado]]="Sí",IF(DATOS!AF$5="Sí",(1/DATOS_[[% anualiz]:[% anualiz]]),1)*IF(DATOS!AF$4="Sí",1/DATOS_[[% normaliz]:[% normaliz]],1)*(DATOS_[Conc.Sal.02])))))))),
0)</f>
        <v>0</v>
      </c>
      <c r="L64" s="111">
        <f t="array" ref="L64">IFERROR(
(MEDIAN((IF(DATOS_[[Sexo]:[Sexo]]=$B64,IF(DATOS_[[AGRUP. CLAS. PROF.]:[AGRUP. CLAS. PROF.]]=$B63,IF(DATOS_[[Check Periodo Ref.]:[Check Periodo Ref.]]="Dentro",IF(DATOS_[[Check Equiparado]:[Check Equiparado]]="Sí",IF(DATOS!AG$5="Sí",(1/DATOS_[[% anualiz]:[% anualiz]]),1)*IF(DATOS!AG$4="Sí",1/DATOS_[[% normaliz]:[% normaliz]],1)*(DATOS_[Conc.Sal.03])))))))),
0)</f>
        <v>0</v>
      </c>
      <c r="M64" s="111">
        <f t="array" ref="M64">IFERROR(
(MEDIAN((IF(DATOS_[[Sexo]:[Sexo]]=$B64,IF(DATOS_[[AGRUP. CLAS. PROF.]:[AGRUP. CLAS. PROF.]]=$B63,IF(DATOS_[[Check Periodo Ref.]:[Check Periodo Ref.]]="Dentro",IF(DATOS_[[Check Equiparado]:[Check Equiparado]]="Sí",IF(DATOS!AH$5="Sí",(1/DATOS_[[% anualiz]:[% anualiz]]),1)*IF(DATOS!AH$4="Sí",1/DATOS_[[% normaliz]:[% normaliz]],1)*(DATOS_[Conc.Sal.04])))))))),
0)</f>
        <v>0</v>
      </c>
      <c r="N64" s="111">
        <f t="array" ref="N64">IFERROR(
(MEDIAN((IF(DATOS_[[Sexo]:[Sexo]]=$B64,IF(DATOS_[[AGRUP. CLAS. PROF.]:[AGRUP. CLAS. PROF.]]=$B63,IF(DATOS_[[Check Periodo Ref.]:[Check Periodo Ref.]]="Dentro",IF(DATOS_[[Check Equiparado]:[Check Equiparado]]="Sí",IF(DATOS!AI$5="Sí",(1/DATOS_[[% anualiz]:[% anualiz]]),1)*IF(DATOS!AI$4="Sí",1/DATOS_[[% normaliz]:[% normaliz]],1)*(DATOS_[Conc.Sal.05])))))))),
0)</f>
        <v>0</v>
      </c>
      <c r="O64" s="111">
        <f t="array" ref="O64">IFERROR(
(MEDIAN((IF(DATOS_[[Sexo]:[Sexo]]=$B64,IF(DATOS_[[AGRUP. CLAS. PROF.]:[AGRUP. CLAS. PROF.]]=$B63,IF(DATOS_[[Check Periodo Ref.]:[Check Periodo Ref.]]="Dentro",IF(DATOS_[[Check Equiparado]:[Check Equiparado]]="Sí",IF(DATOS!AJ$5="Sí",(1/DATOS_[[% anualiz]:[% anualiz]]),1)*IF(DATOS!AJ$4="Sí",1/DATOS_[[% normaliz]:[% normaliz]],1)*(DATOS_[Conc.Sal.06])))))))),
0)</f>
        <v>0</v>
      </c>
      <c r="P64" s="111">
        <f t="array" ref="P64">IFERROR(
(MEDIAN((IF(DATOS_[[Sexo]:[Sexo]]=$B64,IF(DATOS_[[AGRUP. CLAS. PROF.]:[AGRUP. CLAS. PROF.]]=$B63,IF(DATOS_[[Check Periodo Ref.]:[Check Periodo Ref.]]="Dentro",IF(DATOS_[[Check Equiparado]:[Check Equiparado]]="Sí",IF(DATOS!AK$5="Sí",(1/DATOS_[[% anualiz]:[% anualiz]]),1)*IF(DATOS!AK$4="Sí",1/DATOS_[[% normaliz]:[% normaliz]],1)*(DATOS_[Conc.Sal.07])))))))),
0)</f>
        <v>0</v>
      </c>
      <c r="Q64" s="111">
        <f t="array" ref="Q64">IFERROR(
(MEDIAN((IF(DATOS_[[Sexo]:[Sexo]]=$B64,IF(DATOS_[[AGRUP. CLAS. PROF.]:[AGRUP. CLAS. PROF.]]=$B63,IF(DATOS_[[Check Periodo Ref.]:[Check Periodo Ref.]]="Dentro",IF(DATOS_[[Check Equiparado]:[Check Equiparado]]="Sí",IF(DATOS!AL$5="Sí",(1/DATOS_[[% anualiz]:[% anualiz]]),1)*IF(DATOS!AL$4="Sí",1/DATOS_[[% normaliz]:[% normaliz]],1)*(DATOS_[Conc.Sal.08])))))))),
0)</f>
        <v>0</v>
      </c>
      <c r="R64" s="111">
        <f t="array" ref="R64">IFERROR(
(MEDIAN((IF(DATOS_[[Sexo]:[Sexo]]=$B64,IF(DATOS_[[AGRUP. CLAS. PROF.]:[AGRUP. CLAS. PROF.]]=$B63,IF(DATOS_[[Check Periodo Ref.]:[Check Periodo Ref.]]="Dentro",IF(DATOS_[[Check Equiparado]:[Check Equiparado]]="Sí",IF(DATOS!AM$5="Sí",(1/DATOS_[[% anualiz]:[% anualiz]]),1)*IF(DATOS!AM$4="Sí",1/DATOS_[[% normaliz]:[% normaliz]],1)*(DATOS_[Conc.Sal.09])))))))),
0)</f>
        <v>0</v>
      </c>
      <c r="S64" s="111">
        <f t="array" ref="S64">IFERROR(
(MEDIAN((IF(DATOS_[[Sexo]:[Sexo]]=$B64,IF(DATOS_[[AGRUP. CLAS. PROF.]:[AGRUP. CLAS. PROF.]]=$B63,IF(DATOS_[[Check Periodo Ref.]:[Check Periodo Ref.]]="Dentro",IF(DATOS_[[Check Equiparado]:[Check Equiparado]]="Sí",IF(DATOS!AN$5="Sí",(1/DATOS_[[% anualiz]:[% anualiz]]),1)*IF(DATOS!AN$4="Sí",1/DATOS_[[% normaliz]:[% normaliz]],1)*(DATOS_[Conc.Sal.10])))))))),
0)</f>
        <v>0</v>
      </c>
      <c r="T64" s="111">
        <f t="array" ref="T64">IFERROR(
(MEDIAN((IF(DATOS_[[Sexo]:[Sexo]]=$B64,IF(DATOS_[[AGRUP. CLAS. PROF.]:[AGRUP. CLAS. PROF.]]=$B63,IF(DATOS_[[Check Periodo Ref.]:[Check Periodo Ref.]]="Dentro",IF(DATOS_[[Check Equiparado]:[Check Equiparado]]="Sí",IF(DATOS!AO$5="Sí",(1/DATOS_[[% anualiz]:[% anualiz]]),1)*IF(DATOS!AO$4="Sí",1/DATOS_[[% normaliz]:[% normaliz]],1)*(DATOS_[Conc.Sal.11])))))))),
0)</f>
        <v>0</v>
      </c>
      <c r="U64" s="111">
        <f t="array" ref="U64">IFERROR(
(MEDIAN((IF(DATOS_[[Sexo]:[Sexo]]=$B64,IF(DATOS_[[AGRUP. CLAS. PROF.]:[AGRUP. CLAS. PROF.]]=$B63,IF(DATOS_[[Check Periodo Ref.]:[Check Periodo Ref.]]="Dentro",IF(DATOS_[[Check Equiparado]:[Check Equiparado]]="Sí",IF(DATOS!AP$5="Sí",(1/DATOS_[[% anualiz]:[% anualiz]]),1)*IF(DATOS!AP$4="Sí",1/DATOS_[[% normaliz]:[% normaliz]],1)*(DATOS_[Conc.Sal.12])))))))),
0)</f>
        <v>0</v>
      </c>
      <c r="V64" s="111">
        <f t="array" ref="V64">IFERROR(
(MEDIAN((IF(DATOS_[[Sexo]:[Sexo]]=$B64,IF(DATOS_[[AGRUP. CLAS. PROF.]:[AGRUP. CLAS. PROF.]]=$B63,IF(DATOS_[[Check Periodo Ref.]:[Check Periodo Ref.]]="Dentro",IF(DATOS_[[Check Equiparado]:[Check Equiparado]]="Sí",IF(DATOS!AQ$5="Sí",(1/DATOS_[[% anualiz]:[% anualiz]]),1)*IF(DATOS!AQ$4="Sí",1/DATOS_[[% normaliz]:[% normaliz]],1)*(DATOS_[Conc.Sal.13])))))))),
0)</f>
        <v>0</v>
      </c>
      <c r="W64" s="111">
        <f t="array" ref="W64">IFERROR(
(MEDIAN((IF(DATOS_[[Sexo]:[Sexo]]=$B64,IF(DATOS_[[AGRUP. CLAS. PROF.]:[AGRUP. CLAS. PROF.]]=$B63,IF(DATOS_[[Check Periodo Ref.]:[Check Periodo Ref.]]="Dentro",IF(DATOS_[[Check Equiparado]:[Check Equiparado]]="Sí",IF(DATOS!AR$5="Sí",(1/DATOS_[[% anualiz]:[% anualiz]]),1)*IF(DATOS!AR$4="Sí",1/DATOS_[[% normaliz]:[% normaliz]],1)*(DATOS_[Conc.Sal.14])))))))),
0)</f>
        <v>0</v>
      </c>
      <c r="X64" s="111">
        <f t="array" ref="X64">IFERROR(
(MEDIAN((IF(DATOS_[[Sexo]:[Sexo]]=$B64,IF(DATOS_[[AGRUP. CLAS. PROF.]:[AGRUP. CLAS. PROF.]]=$B63,IF(DATOS_[[Check Periodo Ref.]:[Check Periodo Ref.]]="Dentro",IF(DATOS_[[Check Equiparado]:[Check Equiparado]]="Sí",IF(DATOS!AS$5="Sí",(1/DATOS_[[% anualiz]:[% anualiz]]),1)*IF(DATOS!AS$4="Sí",1/DATOS_[[% normaliz]:[% normaliz]],1)*(DATOS_[Conc.Sal.15])))))))),
0)</f>
        <v>0</v>
      </c>
      <c r="Y64" s="111">
        <f t="array" ref="Y64">IFERROR(
(MEDIAN((IF(DATOS_[[Sexo]:[Sexo]]=$B64,IF(DATOS_[[AGRUP. CLAS. PROF.]:[AGRUP. CLAS. PROF.]]=$B63,IF(DATOS_[[Check Periodo Ref.]:[Check Periodo Ref.]]="Dentro",IF(DATOS_[[Check Equiparado]:[Check Equiparado]]="Sí",IF(DATOS!AT$5="Sí",(1/DATOS_[[% anualiz]:[% anualiz]]),1)*IF(DATOS!AT$4="Sí",1/DATOS_[[% normaliz]:[% normaliz]],1)*(DATOS_[Conc.Sal.16])))))))),
0)</f>
        <v>0</v>
      </c>
      <c r="Z64" s="111">
        <f t="array" ref="Z64">IFERROR(
(MEDIAN((IF(DATOS_[[Sexo]:[Sexo]]=$B64,IF(DATOS_[[AGRUP. CLAS. PROF.]:[AGRUP. CLAS. PROF.]]=$B63,IF(DATOS_[[Check Periodo Ref.]:[Check Periodo Ref.]]="Dentro",IF(DATOS_[[Check Equiparado]:[Check Equiparado]]="Sí",IF(DATOS!AU$5="Sí",(1/DATOS_[[% anualiz]:[% anualiz]]),1)*IF(DATOS!AU$4="Sí",1/DATOS_[[% normaliz]:[% normaliz]],1)*(DATOS_[Conc.Sal.17])))))))),
0)</f>
        <v>0</v>
      </c>
      <c r="AA64" s="111">
        <f t="array" ref="AA64">IFERROR(
(MEDIAN((IF(DATOS_[[Sexo]:[Sexo]]=$B64,IF(DATOS_[[AGRUP. CLAS. PROF.]:[AGRUP. CLAS. PROF.]]=$B63,IF(DATOS_[[Check Periodo Ref.]:[Check Periodo Ref.]]="Dentro",IF(DATOS_[[Check Equiparado]:[Check Equiparado]]="Sí",IF(DATOS!AV$5="Sí",(1/DATOS_[[% anualiz]:[% anualiz]]),1)*IF(DATOS!AV$4="Sí",1/DATOS_[[% normaliz]:[% normaliz]],1)*(DATOS_[Conc.Sal.18])))))))),
0)</f>
        <v>0</v>
      </c>
      <c r="AB64" s="111">
        <f t="array" ref="AB64">IFERROR(
(MEDIAN((IF(DATOS_[[Sexo]:[Sexo]]=$B64,IF(DATOS_[[AGRUP. CLAS. PROF.]:[AGRUP. CLAS. PROF.]]=$B63,IF(DATOS_[[Check Periodo Ref.]:[Check Periodo Ref.]]="Dentro",IF(DATOS_[[Check Equiparado]:[Check Equiparado]]="Sí",IF(DATOS!AW$5="Sí",(1/DATOS_[[% anualiz]:[% anualiz]]),1)*IF(DATOS!AW$4="Sí",1/DATOS_[[% normaliz]:[% normaliz]],1)*(DATOS_[Conc.Sal.19])))))))),
0)</f>
        <v>0</v>
      </c>
      <c r="AC64" s="111">
        <f t="array" ref="AC64">IFERROR(
(MEDIAN((IF(DATOS_[[Sexo]:[Sexo]]=$B64,IF(DATOS_[[AGRUP. CLAS. PROF.]:[AGRUP. CLAS. PROF.]]=$B63,IF(DATOS_[[Check Periodo Ref.]:[Check Periodo Ref.]]="Dentro",IF(DATOS_[[Check Equiparado]:[Check Equiparado]]="Sí",IF(DATOS!AX$5="Sí",(1/DATOS_[[% anualiz]:[% anualiz]]),1)*IF(DATOS!AX$4="Sí",1/DATOS_[[% normaliz]:[% normaliz]],1)*(DATOS_[Conc.Sal.20])))))))),
0)</f>
        <v>0</v>
      </c>
      <c r="AD64" s="111">
        <f t="array" ref="AD64">IFERROR(
(MEDIAN((IF(DATOS_[[Sexo]:[Sexo]]=$B64,IF(DATOS_[[AGRUP. CLAS. PROF.]:[AGRUP. CLAS. PROF.]]=$B63,IF(DATOS_[[Check Periodo Ref.]:[Check Periodo Ref.]]="Dentro",IF(DATOS_[[Check Equiparado]:[Check Equiparado]]="Sí",IF(DATOS!AY$5="Sí",(1/DATOS_[[% anualiz]:[% anualiz]]),1)*IF(DATOS!AY$4="Sí",1/DATOS_[[% normaliz]:[% normaliz]],1)*(DATOS_[Conc.Sal.21])))))))),
0)</f>
        <v>0</v>
      </c>
      <c r="AE64" s="111">
        <f t="array" ref="AE64">IFERROR(
(MEDIAN((IF(DATOS_[[Sexo]:[Sexo]]=$B64,IF(DATOS_[[AGRUP. CLAS. PROF.]:[AGRUP. CLAS. PROF.]]=$B63,IF(DATOS_[[Check Periodo Ref.]:[Check Periodo Ref.]]="Dentro",IF(DATOS_[[Check Equiparado]:[Check Equiparado]]="Sí",IF(DATOS!AZ$5="Sí",(1/DATOS_[[% anualiz]:[% anualiz]]),1)*IF(DATOS!AZ$4="Sí",1/DATOS_[[% normaliz]:[% normaliz]],1)*(DATOS_[Conc.Sal.22])))))))),
0)</f>
        <v>0</v>
      </c>
      <c r="AF64" s="111">
        <f t="array" ref="AF64">IFERROR(
(MEDIAN((IF(DATOS_[[Sexo]:[Sexo]]=$B64,IF(DATOS_[[AGRUP. CLAS. PROF.]:[AGRUP. CLAS. PROF.]]=$B63,IF(DATOS_[[Check Periodo Ref.]:[Check Periodo Ref.]]="Dentro",IF(DATOS_[[Check Equiparado]:[Check Equiparado]]="Sí",IF(DATOS!BA$5="Sí",(1/DATOS_[[% anualiz]:[% anualiz]]),1)*IF(DATOS!BA$4="Sí",1/DATOS_[[% normaliz]:[% normaliz]],1)*(DATOS_[Conc.Sal.23])))))))),
0)</f>
        <v>0</v>
      </c>
      <c r="AG64" s="111">
        <f t="array" ref="AG64">IFERROR(
(MEDIAN((IF(DATOS_[[Sexo]:[Sexo]]=$B64,IF(DATOS_[[AGRUP. CLAS. PROF.]:[AGRUP. CLAS. PROF.]]=$B63,IF(DATOS_[[Check Periodo Ref.]:[Check Periodo Ref.]]="Dentro",IF(DATOS_[[Check Equiparado]:[Check Equiparado]]="Sí",IF(DATOS!BB$5="Sí",(1/DATOS_[[% anualiz]:[% anualiz]]),1)*IF(DATOS!BB$4="Sí",1/DATOS_[[% normaliz]:[% normaliz]],1)*(DATOS_[Conc.Sal.24])))))))),
0)</f>
        <v>0</v>
      </c>
      <c r="AH64" s="111">
        <f t="array" ref="AH64">IFERROR(
(MEDIAN((IF(DATOS_[[Sexo]:[Sexo]]=$B64,IF(DATOS_[[AGRUP. CLAS. PROF.]:[AGRUP. CLAS. PROF.]]=$B63,IF(DATOS_[[Check Periodo Ref.]:[Check Periodo Ref.]]="Dentro",IF(DATOS_[[Check Equiparado]:[Check Equiparado]]="Sí",IF(DATOS!BC$5="Sí",(1/DATOS_[[% anualiz]:[% anualiz]]),1)*IF(DATOS!BC$4="Sí",1/DATOS_[[% normaliz]:[% normaliz]],1)*(DATOS_[Conc.Sal.25])))))))),
0)</f>
        <v>0</v>
      </c>
      <c r="AI64" s="111">
        <f t="array" ref="AI64">IFERROR(
(MEDIAN((IF(DATOS_[[Sexo]:[Sexo]]=$B64,IF(DATOS_[[AGRUP. CLAS. PROF.]:[AGRUP. CLAS. PROF.]]=$B63,IF(DATOS_[[Check Periodo Ref.]:[Check Periodo Ref.]]="Dentro",IF(DATOS_[[Check Equiparado]:[Check Equiparado]]="Sí",IF(DATOS!BD$5="Sí",(1/DATOS_[[% anualiz]:[% anualiz]]),1)*IF(DATOS!BD$4="Sí",1/DATOS_[[% normaliz]:[% normaliz]],1)*(DATOS_[Conc.Sal.26])))))))),
0)</f>
        <v>0</v>
      </c>
      <c r="AJ64" s="111">
        <f t="array" ref="AJ64">IFERROR(
(MEDIAN((IF(DATOS_[[Sexo]:[Sexo]]=$B64,IF(DATOS_[[AGRUP. CLAS. PROF.]:[AGRUP. CLAS. PROF.]]=$B63,IF(DATOS_[[Check Periodo Ref.]:[Check Periodo Ref.]]="Dentro",IF(DATOS_[[Check Equiparado]:[Check Equiparado]]="Sí",IF(DATOS!BE$5="Sí",(1/DATOS_[[% anualiz]:[% anualiz]]),1)*IF(DATOS!BE$4="Sí",1/DATOS_[[% normaliz]:[% normaliz]],1)*(DATOS_[Conc.Sal.27])))))))),
0)</f>
        <v>0</v>
      </c>
      <c r="AK64" s="111">
        <f t="array" ref="AK64">IFERROR(
(MEDIAN((IF(DATOS_[[Sexo]:[Sexo]]=$B64,IF(DATOS_[[AGRUP. CLAS. PROF.]:[AGRUP. CLAS. PROF.]]=$B63,IF(DATOS_[[Check Periodo Ref.]:[Check Periodo Ref.]]="Dentro",IF(DATOS_[[Check Equiparado]:[Check Equiparado]]="Sí",IF(DATOS!BF$5="Sí",(1/DATOS_[[% anualiz]:[% anualiz]]),1)*IF(DATOS!BF$4="Sí",1/DATOS_[[% normaliz]:[% normaliz]],1)*(DATOS_[Conc.Sal.28])))))))),
0)</f>
        <v>0</v>
      </c>
      <c r="AL64" s="111">
        <f t="array" ref="AL64">IFERROR(
(MEDIAN((IF(DATOS_[[Sexo]:[Sexo]]=$B64,IF(DATOS_[[AGRUP. CLAS. PROF.]:[AGRUP. CLAS. PROF.]]=$B63,IF(DATOS_[[Check Periodo Ref.]:[Check Periodo Ref.]]="Dentro",IF(DATOS_[[Check Equiparado]:[Check Equiparado]]="Sí",IF(DATOS!BG$5="Sí",(1/DATOS_[[% anualiz]:[% anualiz]]),1)*IF(DATOS!BG$4="Sí",1/DATOS_[[% normaliz]:[% normaliz]],1)*(DATOS_[Conc.Sal.29])))))))),
0)</f>
        <v>0</v>
      </c>
      <c r="AM64" s="111">
        <f t="array" ref="AM64">IFERROR(
(MEDIAN((IF(DATOS_[[Sexo]:[Sexo]]=$B64,IF(DATOS_[[AGRUP. CLAS. PROF.]:[AGRUP. CLAS. PROF.]]=$B63,IF(DATOS_[[Check Periodo Ref.]:[Check Periodo Ref.]]="Dentro",IF(DATOS_[[Check Equiparado]:[Check Equiparado]]="Sí",IF(DATOS!BH$5="Sí",(1/DATOS_[[% anualiz]:[% anualiz]]),1)*IF(DATOS!BH$4="Sí",1/DATOS_[[% normaliz]:[% normaliz]],1)*(DATOS_[Conc.Sal.30])))))))),
0)</f>
        <v>0</v>
      </c>
      <c r="AN64" s="112">
        <f t="array" ref="AN64">IFERROR(
MEDIAN(IF(DATOS_[Sexo]=$B64,IF(DATOS_[[AGRUP. CLAS. PROF.]:[AGRUP. CLAS. PROF.]]=$B63,IF(DATOS_[Check Equiparado]="Sí",IF(DATOS_[Check Periodo Ref.]="Dentro",DATOS_[Tot COMPL.SAL Eq],FALSE))))),
0)</f>
        <v>0</v>
      </c>
      <c r="AO64" s="113">
        <f t="array" ref="AO64">IFERROR(
MEDIAN(IF(DATOS_[Sexo]=$B64,IF(DATOS_[[AGRUP. CLAS. PROF.]:[AGRUP. CLAS. PROF.]]=$B63,IF(DATOS_[Check Equiparado]="Sí",IF(DATOS_[Check Periodo Ref.]="Dentro",DATOS_[TOTAL SALARIO Eq],FALSE))))),
0)</f>
        <v>0</v>
      </c>
      <c r="AP64" s="114">
        <f t="array" ref="AP64">IFERROR(
(MEDIAN((IF(DATOS_[[Sexo]:[Sexo]]=$B64,IF(DATOS_[[AGRUP. CLAS. PROF.]:[AGRUP. CLAS. PROF.]]=$B63,IF(DATOS_[[Check Periodo Ref.]:[Check Periodo Ref.]]="Dentro",IF(DATOS_[[Check Equiparado]:[Check Equiparado]]="Sí",IF(DATOS!BI$5="Sí",(1/DATOS_[[% anualiz]:[% anualiz]]),1)*IF(DATOS!BI$4="Sí",1/DATOS_[[% normaliz]:[% normaliz]],1)*(DATOS_[C.Extra.01])))))))),
0)</f>
        <v>0</v>
      </c>
      <c r="AQ64" s="114">
        <f t="array" ref="AQ64">IFERROR(
(MEDIAN((IF(DATOS_[[Sexo]:[Sexo]]=$B64,IF(DATOS_[[AGRUP. CLAS. PROF.]:[AGRUP. CLAS. PROF.]]=$B63,IF(DATOS_[[Check Periodo Ref.]:[Check Periodo Ref.]]="Dentro",IF(DATOS_[[Check Equiparado]:[Check Equiparado]]="Sí",IF(DATOS!BJ$5="Sí",(1/DATOS_[[% anualiz]:[% anualiz]]),1)*IF(DATOS!BJ$4="Sí",1/DATOS_[[% normaliz]:[% normaliz]],1)*(DATOS_[C.Extra.02])))))))),
0)</f>
        <v>0</v>
      </c>
      <c r="AR64" s="114">
        <f t="array" ref="AR64">IFERROR(
(MEDIAN((IF(DATOS_[[Sexo]:[Sexo]]=$B64,IF(DATOS_[[AGRUP. CLAS. PROF.]:[AGRUP. CLAS. PROF.]]=$B63,IF(DATOS_[[Check Periodo Ref.]:[Check Periodo Ref.]]="Dentro",IF(DATOS_[[Check Equiparado]:[Check Equiparado]]="Sí",IF(DATOS!BK$5="Sí",(1/DATOS_[[% anualiz]:[% anualiz]]),1)*IF(DATOS!BK$4="Sí",1/DATOS_[[% normaliz]:[% normaliz]],1)*(DATOS_[C.Extra.03])))))))),
0)</f>
        <v>0</v>
      </c>
      <c r="AS64" s="114">
        <f t="array" ref="AS64">IFERROR(
(MEDIAN((IF(DATOS_[[Sexo]:[Sexo]]=$B64,IF(DATOS_[[AGRUP. CLAS. PROF.]:[AGRUP. CLAS. PROF.]]=$B63,IF(DATOS_[[Check Periodo Ref.]:[Check Periodo Ref.]]="Dentro",IF(DATOS_[[Check Equiparado]:[Check Equiparado]]="Sí",IF(DATOS!BL$5="Sí",(1/DATOS_[[% anualiz]:[% anualiz]]),1)*IF(DATOS!BL$4="Sí",1/DATOS_[[% normaliz]:[% normaliz]],1)*(DATOS_[C.Extra.04])))))))),
0)</f>
        <v>0</v>
      </c>
      <c r="AT64" s="114">
        <f t="array" ref="AT64">IFERROR(
(MEDIAN((IF(DATOS_[[Sexo]:[Sexo]]=$B64,IF(DATOS_[[AGRUP. CLAS. PROF.]:[AGRUP. CLAS. PROF.]]=$B63,IF(DATOS_[[Check Periodo Ref.]:[Check Periodo Ref.]]="Dentro",IF(DATOS_[[Check Equiparado]:[Check Equiparado]]="Sí",IF(DATOS!BM$5="Sí",(1/DATOS_[[% anualiz]:[% anualiz]]),1)*IF(DATOS!BM$4="Sí",1/DATOS_[[% normaliz]:[% normaliz]],1)*(DATOS_[C.Extra.05])))))))),
0)</f>
        <v>0</v>
      </c>
      <c r="AU64" s="115">
        <f t="array" ref="AU64">IFERROR(
MEDIAN(IF(DATOS_[Sexo]=$B64,IF(DATOS_[[AGRUP. CLAS. PROF.]:[AGRUP. CLAS. PROF.]]=$B63,IF(DATOS_[Check Equiparado]="Sí",IF(DATOS_[Check Periodo Ref.]="Dentro",DATOS_[Tot Extrasalarial Eq],FALSE))))),
0)</f>
        <v>0</v>
      </c>
      <c r="AV64" s="116">
        <f t="array" ref="AV64">IFERROR(
MEDIAN(IF(DATOS_[Sexo]=$B64,IF(DATOS_[[AGRUP. CLAS. PROF.]:[AGRUP. CLAS. PROF.]]=$B63,IF(DATOS_[Check Equiparado]="Sí",IF(DATOS_[Check Periodo Ref.]="Dentro",DATOS_[TOTAL Retrib Eq],FALSE))))),
0)</f>
        <v>0</v>
      </c>
    </row>
    <row r="65" spans="1:48" hidden="1" x14ac:dyDescent="0.3">
      <c r="A65" s="42" t="str">
        <f t="shared" ref="A65" si="70">+A64</f>
        <v>[ocultar]</v>
      </c>
      <c r="B65" s="86" t="s">
        <v>163</v>
      </c>
      <c r="C65" s="33">
        <f t="array" ref="C65">SUM(IF($B65=DATOS_[Sexo],
IF($B63=DATOS_[AGRUP. CLAS. PROF.],
IF("Dentro"=DATOS_[Check Periodo Ref.],
1/(COUNTIFS(DATOS_[Sexo],$B65,DATOS_[AGRUP. CLAS. PROF.],$B63,DATOS_[Check Periodo Ref.],"Dentro",DATOS_[id],DATOS_[id]))))))</f>
        <v>0</v>
      </c>
      <c r="D65" s="35">
        <f>COUNTIFS(DATOS_[AGRUP. CLAS. PROF.],$B63,DATOS_[Sexo],$B65,DATOS_[Check Periodo Ref.],"Dentro")</f>
        <v>0</v>
      </c>
      <c r="E65" s="35">
        <f>COUNTIFS(DATOS_[AGRUP. CLAS. PROF.],$B63,DATOS_[Sexo],$B65,DATOS_[Check Periodo Ref.],"Dentro",DATOS_[Check Nº SC Norm],"Sí")</f>
        <v>0</v>
      </c>
      <c r="F65" s="35">
        <f>COUNTIFS(DATOS_[AGRUP. CLAS. PROF.],$B63,DATOS_[Sexo],$B65,DATOS_[Check Periodo Ref.],"Dentro",DATOS_[Check Nº SC Anualiz],"Sí")</f>
        <v>0</v>
      </c>
      <c r="G65" s="35">
        <f>COUNTIFS(DATOS_[AGRUP. CLAS. PROF.],$B63,DATOS_[Sexo],$B65,DATOS_[Check Periodo Ref.],"Dentro",DATOS_[Check Nº SC Norm y Anualiz],"Sí")</f>
        <v>0</v>
      </c>
      <c r="H65" s="35">
        <f>COUNTIFS(DATOS_[AGRUP. CLAS. PROF.],$B63,DATOS_[Sexo],$B65,DATOS_[Check Periodo Ref.],"Dentro",DATOS_[Check Equiparación],"Sí")</f>
        <v>0</v>
      </c>
      <c r="I65" s="110" cm="1">
        <f t="array" ref="I65">IFERROR(
MEDIAN(IF(DATOS_[Sexo]=$B65,IF(DATOS_[[AGRUP. CLAS. PROF.]:[AGRUP. CLAS. PROF.]]=$B63,IF(DATOS_[Check Equiparado]="Sí",IF(DATOS_[Check Periodo Ref.]="Dentro",DATOS_[SALARIO BASE Eq],FALSE))))),
0)</f>
        <v>0</v>
      </c>
      <c r="J65" s="111">
        <f t="array" ref="J65">IFERROR(
(MEDIAN((IF(DATOS_[[Sexo]:[Sexo]]=$B65,IF(DATOS_[[AGRUP. CLAS. PROF.]:[AGRUP. CLAS. PROF.]]=$B63,IF(DATOS_[[Check Periodo Ref.]:[Check Periodo Ref.]]="Dentro",IF(DATOS_[[Check Equiparado]:[Check Equiparado]]="Sí",IF(DATOS!AE$5="Sí",(1/DATOS_[[% anualiz]:[% anualiz]]),1)*IF(DATOS!AE$4="Sí",1/DATOS_[[% normaliz]:[% normaliz]],1)*(DATOS_[Conc.Sal.01])))))))),
0)</f>
        <v>0</v>
      </c>
      <c r="K65" s="111">
        <f t="array" ref="K65">IFERROR(
(MEDIAN((IF(DATOS_[[Sexo]:[Sexo]]=$B65,IF(DATOS_[[AGRUP. CLAS. PROF.]:[AGRUP. CLAS. PROF.]]=$B63,IF(DATOS_[[Check Periodo Ref.]:[Check Periodo Ref.]]="Dentro",IF(DATOS_[[Check Equiparado]:[Check Equiparado]]="Sí",IF(DATOS!AF$5="Sí",(1/DATOS_[[% anualiz]:[% anualiz]]),1)*IF(DATOS!AF$4="Sí",1/DATOS_[[% normaliz]:[% normaliz]],1)*(DATOS_[Conc.Sal.02])))))))),
0)</f>
        <v>0</v>
      </c>
      <c r="L65" s="111">
        <f t="array" ref="L65">IFERROR(
(MEDIAN((IF(DATOS_[[Sexo]:[Sexo]]=$B65,IF(DATOS_[[AGRUP. CLAS. PROF.]:[AGRUP. CLAS. PROF.]]=$B63,IF(DATOS_[[Check Periodo Ref.]:[Check Periodo Ref.]]="Dentro",IF(DATOS_[[Check Equiparado]:[Check Equiparado]]="Sí",IF(DATOS!AG$5="Sí",(1/DATOS_[[% anualiz]:[% anualiz]]),1)*IF(DATOS!AG$4="Sí",1/DATOS_[[% normaliz]:[% normaliz]],1)*(DATOS_[Conc.Sal.03])))))))),
0)</f>
        <v>0</v>
      </c>
      <c r="M65" s="111">
        <f t="array" ref="M65">IFERROR(
(MEDIAN((IF(DATOS_[[Sexo]:[Sexo]]=$B65,IF(DATOS_[[AGRUP. CLAS. PROF.]:[AGRUP. CLAS. PROF.]]=$B63,IF(DATOS_[[Check Periodo Ref.]:[Check Periodo Ref.]]="Dentro",IF(DATOS_[[Check Equiparado]:[Check Equiparado]]="Sí",IF(DATOS!AH$5="Sí",(1/DATOS_[[% anualiz]:[% anualiz]]),1)*IF(DATOS!AH$4="Sí",1/DATOS_[[% normaliz]:[% normaliz]],1)*(DATOS_[Conc.Sal.04])))))))),
0)</f>
        <v>0</v>
      </c>
      <c r="N65" s="111">
        <f t="array" ref="N65">IFERROR(
(MEDIAN((IF(DATOS_[[Sexo]:[Sexo]]=$B65,IF(DATOS_[[AGRUP. CLAS. PROF.]:[AGRUP. CLAS. PROF.]]=$B63,IF(DATOS_[[Check Periodo Ref.]:[Check Periodo Ref.]]="Dentro",IF(DATOS_[[Check Equiparado]:[Check Equiparado]]="Sí",IF(DATOS!AI$5="Sí",(1/DATOS_[[% anualiz]:[% anualiz]]),1)*IF(DATOS!AI$4="Sí",1/DATOS_[[% normaliz]:[% normaliz]],1)*(DATOS_[Conc.Sal.05])))))))),
0)</f>
        <v>0</v>
      </c>
      <c r="O65" s="111">
        <f t="array" ref="O65">IFERROR(
(MEDIAN((IF(DATOS_[[Sexo]:[Sexo]]=$B65,IF(DATOS_[[AGRUP. CLAS. PROF.]:[AGRUP. CLAS. PROF.]]=$B63,IF(DATOS_[[Check Periodo Ref.]:[Check Periodo Ref.]]="Dentro",IF(DATOS_[[Check Equiparado]:[Check Equiparado]]="Sí",IF(DATOS!AJ$5="Sí",(1/DATOS_[[% anualiz]:[% anualiz]]),1)*IF(DATOS!AJ$4="Sí",1/DATOS_[[% normaliz]:[% normaliz]],1)*(DATOS_[Conc.Sal.06])))))))),
0)</f>
        <v>0</v>
      </c>
      <c r="P65" s="111">
        <f t="array" ref="P65">IFERROR(
(MEDIAN((IF(DATOS_[[Sexo]:[Sexo]]=$B65,IF(DATOS_[[AGRUP. CLAS. PROF.]:[AGRUP. CLAS. PROF.]]=$B63,IF(DATOS_[[Check Periodo Ref.]:[Check Periodo Ref.]]="Dentro",IF(DATOS_[[Check Equiparado]:[Check Equiparado]]="Sí",IF(DATOS!AK$5="Sí",(1/DATOS_[[% anualiz]:[% anualiz]]),1)*IF(DATOS!AK$4="Sí",1/DATOS_[[% normaliz]:[% normaliz]],1)*(DATOS_[Conc.Sal.07])))))))),
0)</f>
        <v>0</v>
      </c>
      <c r="Q65" s="111">
        <f t="array" ref="Q65">IFERROR(
(MEDIAN((IF(DATOS_[[Sexo]:[Sexo]]=$B65,IF(DATOS_[[AGRUP. CLAS. PROF.]:[AGRUP. CLAS. PROF.]]=$B63,IF(DATOS_[[Check Periodo Ref.]:[Check Periodo Ref.]]="Dentro",IF(DATOS_[[Check Equiparado]:[Check Equiparado]]="Sí",IF(DATOS!AL$5="Sí",(1/DATOS_[[% anualiz]:[% anualiz]]),1)*IF(DATOS!AL$4="Sí",1/DATOS_[[% normaliz]:[% normaliz]],1)*(DATOS_[Conc.Sal.08])))))))),
0)</f>
        <v>0</v>
      </c>
      <c r="R65" s="111">
        <f t="array" ref="R65">IFERROR(
(MEDIAN((IF(DATOS_[[Sexo]:[Sexo]]=$B65,IF(DATOS_[[AGRUP. CLAS. PROF.]:[AGRUP. CLAS. PROF.]]=$B63,IF(DATOS_[[Check Periodo Ref.]:[Check Periodo Ref.]]="Dentro",IF(DATOS_[[Check Equiparado]:[Check Equiparado]]="Sí",IF(DATOS!AM$5="Sí",(1/DATOS_[[% anualiz]:[% anualiz]]),1)*IF(DATOS!AM$4="Sí",1/DATOS_[[% normaliz]:[% normaliz]],1)*(DATOS_[Conc.Sal.09])))))))),
0)</f>
        <v>0</v>
      </c>
      <c r="S65" s="111">
        <f t="array" ref="S65">IFERROR(
(MEDIAN((IF(DATOS_[[Sexo]:[Sexo]]=$B65,IF(DATOS_[[AGRUP. CLAS. PROF.]:[AGRUP. CLAS. PROF.]]=$B63,IF(DATOS_[[Check Periodo Ref.]:[Check Periodo Ref.]]="Dentro",IF(DATOS_[[Check Equiparado]:[Check Equiparado]]="Sí",IF(DATOS!AN$5="Sí",(1/DATOS_[[% anualiz]:[% anualiz]]),1)*IF(DATOS!AN$4="Sí",1/DATOS_[[% normaliz]:[% normaliz]],1)*(DATOS_[Conc.Sal.10])))))))),
0)</f>
        <v>0</v>
      </c>
      <c r="T65" s="111">
        <f t="array" ref="T65">IFERROR(
(MEDIAN((IF(DATOS_[[Sexo]:[Sexo]]=$B65,IF(DATOS_[[AGRUP. CLAS. PROF.]:[AGRUP. CLAS. PROF.]]=$B63,IF(DATOS_[[Check Periodo Ref.]:[Check Periodo Ref.]]="Dentro",IF(DATOS_[[Check Equiparado]:[Check Equiparado]]="Sí",IF(DATOS!AO$5="Sí",(1/DATOS_[[% anualiz]:[% anualiz]]),1)*IF(DATOS!AO$4="Sí",1/DATOS_[[% normaliz]:[% normaliz]],1)*(DATOS_[Conc.Sal.11])))))))),
0)</f>
        <v>0</v>
      </c>
      <c r="U65" s="111">
        <f t="array" ref="U65">IFERROR(
(MEDIAN((IF(DATOS_[[Sexo]:[Sexo]]=$B65,IF(DATOS_[[AGRUP. CLAS. PROF.]:[AGRUP. CLAS. PROF.]]=$B63,IF(DATOS_[[Check Periodo Ref.]:[Check Periodo Ref.]]="Dentro",IF(DATOS_[[Check Equiparado]:[Check Equiparado]]="Sí",IF(DATOS!AP$5="Sí",(1/DATOS_[[% anualiz]:[% anualiz]]),1)*IF(DATOS!AP$4="Sí",1/DATOS_[[% normaliz]:[% normaliz]],1)*(DATOS_[Conc.Sal.12])))))))),
0)</f>
        <v>0</v>
      </c>
      <c r="V65" s="111">
        <f t="array" ref="V65">IFERROR(
(MEDIAN((IF(DATOS_[[Sexo]:[Sexo]]=$B65,IF(DATOS_[[AGRUP. CLAS. PROF.]:[AGRUP. CLAS. PROF.]]=$B63,IF(DATOS_[[Check Periodo Ref.]:[Check Periodo Ref.]]="Dentro",IF(DATOS_[[Check Equiparado]:[Check Equiparado]]="Sí",IF(DATOS!AQ$5="Sí",(1/DATOS_[[% anualiz]:[% anualiz]]),1)*IF(DATOS!AQ$4="Sí",1/DATOS_[[% normaliz]:[% normaliz]],1)*(DATOS_[Conc.Sal.13])))))))),
0)</f>
        <v>0</v>
      </c>
      <c r="W65" s="111">
        <f t="array" ref="W65">IFERROR(
(MEDIAN((IF(DATOS_[[Sexo]:[Sexo]]=$B65,IF(DATOS_[[AGRUP. CLAS. PROF.]:[AGRUP. CLAS. PROF.]]=$B63,IF(DATOS_[[Check Periodo Ref.]:[Check Periodo Ref.]]="Dentro",IF(DATOS_[[Check Equiparado]:[Check Equiparado]]="Sí",IF(DATOS!AR$5="Sí",(1/DATOS_[[% anualiz]:[% anualiz]]),1)*IF(DATOS!AR$4="Sí",1/DATOS_[[% normaliz]:[% normaliz]],1)*(DATOS_[Conc.Sal.14])))))))),
0)</f>
        <v>0</v>
      </c>
      <c r="X65" s="111">
        <f t="array" ref="X65">IFERROR(
(MEDIAN((IF(DATOS_[[Sexo]:[Sexo]]=$B65,IF(DATOS_[[AGRUP. CLAS. PROF.]:[AGRUP. CLAS. PROF.]]=$B63,IF(DATOS_[[Check Periodo Ref.]:[Check Periodo Ref.]]="Dentro",IF(DATOS_[[Check Equiparado]:[Check Equiparado]]="Sí",IF(DATOS!AS$5="Sí",(1/DATOS_[[% anualiz]:[% anualiz]]),1)*IF(DATOS!AS$4="Sí",1/DATOS_[[% normaliz]:[% normaliz]],1)*(DATOS_[Conc.Sal.15])))))))),
0)</f>
        <v>0</v>
      </c>
      <c r="Y65" s="111">
        <f t="array" ref="Y65">IFERROR(
(MEDIAN((IF(DATOS_[[Sexo]:[Sexo]]=$B65,IF(DATOS_[[AGRUP. CLAS. PROF.]:[AGRUP. CLAS. PROF.]]=$B63,IF(DATOS_[[Check Periodo Ref.]:[Check Periodo Ref.]]="Dentro",IF(DATOS_[[Check Equiparado]:[Check Equiparado]]="Sí",IF(DATOS!AT$5="Sí",(1/DATOS_[[% anualiz]:[% anualiz]]),1)*IF(DATOS!AT$4="Sí",1/DATOS_[[% normaliz]:[% normaliz]],1)*(DATOS_[Conc.Sal.16])))))))),
0)</f>
        <v>0</v>
      </c>
      <c r="Z65" s="111">
        <f t="array" ref="Z65">IFERROR(
(MEDIAN((IF(DATOS_[[Sexo]:[Sexo]]=$B65,IF(DATOS_[[AGRUP. CLAS. PROF.]:[AGRUP. CLAS. PROF.]]=$B63,IF(DATOS_[[Check Periodo Ref.]:[Check Periodo Ref.]]="Dentro",IF(DATOS_[[Check Equiparado]:[Check Equiparado]]="Sí",IF(DATOS!AU$5="Sí",(1/DATOS_[[% anualiz]:[% anualiz]]),1)*IF(DATOS!AU$4="Sí",1/DATOS_[[% normaliz]:[% normaliz]],1)*(DATOS_[Conc.Sal.17])))))))),
0)</f>
        <v>0</v>
      </c>
      <c r="AA65" s="111">
        <f t="array" ref="AA65">IFERROR(
(MEDIAN((IF(DATOS_[[Sexo]:[Sexo]]=$B65,IF(DATOS_[[AGRUP. CLAS. PROF.]:[AGRUP. CLAS. PROF.]]=$B63,IF(DATOS_[[Check Periodo Ref.]:[Check Periodo Ref.]]="Dentro",IF(DATOS_[[Check Equiparado]:[Check Equiparado]]="Sí",IF(DATOS!AV$5="Sí",(1/DATOS_[[% anualiz]:[% anualiz]]),1)*IF(DATOS!AV$4="Sí",1/DATOS_[[% normaliz]:[% normaliz]],1)*(DATOS_[Conc.Sal.18])))))))),
0)</f>
        <v>0</v>
      </c>
      <c r="AB65" s="111">
        <f t="array" ref="AB65">IFERROR(
(MEDIAN((IF(DATOS_[[Sexo]:[Sexo]]=$B65,IF(DATOS_[[AGRUP. CLAS. PROF.]:[AGRUP. CLAS. PROF.]]=$B63,IF(DATOS_[[Check Periodo Ref.]:[Check Periodo Ref.]]="Dentro",IF(DATOS_[[Check Equiparado]:[Check Equiparado]]="Sí",IF(DATOS!AW$5="Sí",(1/DATOS_[[% anualiz]:[% anualiz]]),1)*IF(DATOS!AW$4="Sí",1/DATOS_[[% normaliz]:[% normaliz]],1)*(DATOS_[Conc.Sal.19])))))))),
0)</f>
        <v>0</v>
      </c>
      <c r="AC65" s="111">
        <f t="array" ref="AC65">IFERROR(
(MEDIAN((IF(DATOS_[[Sexo]:[Sexo]]=$B65,IF(DATOS_[[AGRUP. CLAS. PROF.]:[AGRUP. CLAS. PROF.]]=$B63,IF(DATOS_[[Check Periodo Ref.]:[Check Periodo Ref.]]="Dentro",IF(DATOS_[[Check Equiparado]:[Check Equiparado]]="Sí",IF(DATOS!AX$5="Sí",(1/DATOS_[[% anualiz]:[% anualiz]]),1)*IF(DATOS!AX$4="Sí",1/DATOS_[[% normaliz]:[% normaliz]],1)*(DATOS_[Conc.Sal.20])))))))),
0)</f>
        <v>0</v>
      </c>
      <c r="AD65" s="111">
        <f t="array" ref="AD65">IFERROR(
(MEDIAN((IF(DATOS_[[Sexo]:[Sexo]]=$B65,IF(DATOS_[[AGRUP. CLAS. PROF.]:[AGRUP. CLAS. PROF.]]=$B63,IF(DATOS_[[Check Periodo Ref.]:[Check Periodo Ref.]]="Dentro",IF(DATOS_[[Check Equiparado]:[Check Equiparado]]="Sí",IF(DATOS!AY$5="Sí",(1/DATOS_[[% anualiz]:[% anualiz]]),1)*IF(DATOS!AY$4="Sí",1/DATOS_[[% normaliz]:[% normaliz]],1)*(DATOS_[Conc.Sal.21])))))))),
0)</f>
        <v>0</v>
      </c>
      <c r="AE65" s="111">
        <f t="array" ref="AE65">IFERROR(
(MEDIAN((IF(DATOS_[[Sexo]:[Sexo]]=$B65,IF(DATOS_[[AGRUP. CLAS. PROF.]:[AGRUP. CLAS. PROF.]]=$B63,IF(DATOS_[[Check Periodo Ref.]:[Check Periodo Ref.]]="Dentro",IF(DATOS_[[Check Equiparado]:[Check Equiparado]]="Sí",IF(DATOS!AZ$5="Sí",(1/DATOS_[[% anualiz]:[% anualiz]]),1)*IF(DATOS!AZ$4="Sí",1/DATOS_[[% normaliz]:[% normaliz]],1)*(DATOS_[Conc.Sal.22])))))))),
0)</f>
        <v>0</v>
      </c>
      <c r="AF65" s="111">
        <f t="array" ref="AF65">IFERROR(
(MEDIAN((IF(DATOS_[[Sexo]:[Sexo]]=$B65,IF(DATOS_[[AGRUP. CLAS. PROF.]:[AGRUP. CLAS. PROF.]]=$B63,IF(DATOS_[[Check Periodo Ref.]:[Check Periodo Ref.]]="Dentro",IF(DATOS_[[Check Equiparado]:[Check Equiparado]]="Sí",IF(DATOS!BA$5="Sí",(1/DATOS_[[% anualiz]:[% anualiz]]),1)*IF(DATOS!BA$4="Sí",1/DATOS_[[% normaliz]:[% normaliz]],1)*(DATOS_[Conc.Sal.23])))))))),
0)</f>
        <v>0</v>
      </c>
      <c r="AG65" s="111">
        <f t="array" ref="AG65">IFERROR(
(MEDIAN((IF(DATOS_[[Sexo]:[Sexo]]=$B65,IF(DATOS_[[AGRUP. CLAS. PROF.]:[AGRUP. CLAS. PROF.]]=$B63,IF(DATOS_[[Check Periodo Ref.]:[Check Periodo Ref.]]="Dentro",IF(DATOS_[[Check Equiparado]:[Check Equiparado]]="Sí",IF(DATOS!BB$5="Sí",(1/DATOS_[[% anualiz]:[% anualiz]]),1)*IF(DATOS!BB$4="Sí",1/DATOS_[[% normaliz]:[% normaliz]],1)*(DATOS_[Conc.Sal.24])))))))),
0)</f>
        <v>0</v>
      </c>
      <c r="AH65" s="111">
        <f t="array" ref="AH65">IFERROR(
(MEDIAN((IF(DATOS_[[Sexo]:[Sexo]]=$B65,IF(DATOS_[[AGRUP. CLAS. PROF.]:[AGRUP. CLAS. PROF.]]=$B63,IF(DATOS_[[Check Periodo Ref.]:[Check Periodo Ref.]]="Dentro",IF(DATOS_[[Check Equiparado]:[Check Equiparado]]="Sí",IF(DATOS!BC$5="Sí",(1/DATOS_[[% anualiz]:[% anualiz]]),1)*IF(DATOS!BC$4="Sí",1/DATOS_[[% normaliz]:[% normaliz]],1)*(DATOS_[Conc.Sal.25])))))))),
0)</f>
        <v>0</v>
      </c>
      <c r="AI65" s="111">
        <f t="array" ref="AI65">IFERROR(
(MEDIAN((IF(DATOS_[[Sexo]:[Sexo]]=$B65,IF(DATOS_[[AGRUP. CLAS. PROF.]:[AGRUP. CLAS. PROF.]]=$B63,IF(DATOS_[[Check Periodo Ref.]:[Check Periodo Ref.]]="Dentro",IF(DATOS_[[Check Equiparado]:[Check Equiparado]]="Sí",IF(DATOS!BD$5="Sí",(1/DATOS_[[% anualiz]:[% anualiz]]),1)*IF(DATOS!BD$4="Sí",1/DATOS_[[% normaliz]:[% normaliz]],1)*(DATOS_[Conc.Sal.26])))))))),
0)</f>
        <v>0</v>
      </c>
      <c r="AJ65" s="111">
        <f t="array" ref="AJ65">IFERROR(
(MEDIAN((IF(DATOS_[[Sexo]:[Sexo]]=$B65,IF(DATOS_[[AGRUP. CLAS. PROF.]:[AGRUP. CLAS. PROF.]]=$B63,IF(DATOS_[[Check Periodo Ref.]:[Check Periodo Ref.]]="Dentro",IF(DATOS_[[Check Equiparado]:[Check Equiparado]]="Sí",IF(DATOS!BE$5="Sí",(1/DATOS_[[% anualiz]:[% anualiz]]),1)*IF(DATOS!BE$4="Sí",1/DATOS_[[% normaliz]:[% normaliz]],1)*(DATOS_[Conc.Sal.27])))))))),
0)</f>
        <v>0</v>
      </c>
      <c r="AK65" s="111">
        <f t="array" ref="AK65">IFERROR(
(MEDIAN((IF(DATOS_[[Sexo]:[Sexo]]=$B65,IF(DATOS_[[AGRUP. CLAS. PROF.]:[AGRUP. CLAS. PROF.]]=$B63,IF(DATOS_[[Check Periodo Ref.]:[Check Periodo Ref.]]="Dentro",IF(DATOS_[[Check Equiparado]:[Check Equiparado]]="Sí",IF(DATOS!BF$5="Sí",(1/DATOS_[[% anualiz]:[% anualiz]]),1)*IF(DATOS!BF$4="Sí",1/DATOS_[[% normaliz]:[% normaliz]],1)*(DATOS_[Conc.Sal.28])))))))),
0)</f>
        <v>0</v>
      </c>
      <c r="AL65" s="111">
        <f t="array" ref="AL65">IFERROR(
(MEDIAN((IF(DATOS_[[Sexo]:[Sexo]]=$B65,IF(DATOS_[[AGRUP. CLAS. PROF.]:[AGRUP. CLAS. PROF.]]=$B63,IF(DATOS_[[Check Periodo Ref.]:[Check Periodo Ref.]]="Dentro",IF(DATOS_[[Check Equiparado]:[Check Equiparado]]="Sí",IF(DATOS!BG$5="Sí",(1/DATOS_[[% anualiz]:[% anualiz]]),1)*IF(DATOS!BG$4="Sí",1/DATOS_[[% normaliz]:[% normaliz]],1)*(DATOS_[Conc.Sal.29])))))))),
0)</f>
        <v>0</v>
      </c>
      <c r="AM65" s="111">
        <f t="array" ref="AM65">IFERROR(
(MEDIAN((IF(DATOS_[[Sexo]:[Sexo]]=$B65,IF(DATOS_[[AGRUP. CLAS. PROF.]:[AGRUP. CLAS. PROF.]]=$B63,IF(DATOS_[[Check Periodo Ref.]:[Check Periodo Ref.]]="Dentro",IF(DATOS_[[Check Equiparado]:[Check Equiparado]]="Sí",IF(DATOS!BH$5="Sí",(1/DATOS_[[% anualiz]:[% anualiz]]),1)*IF(DATOS!BH$4="Sí",1/DATOS_[[% normaliz]:[% normaliz]],1)*(DATOS_[Conc.Sal.30])))))))),
0)</f>
        <v>0</v>
      </c>
      <c r="AN65" s="112">
        <f t="array" ref="AN65">IFERROR(
MEDIAN(IF(DATOS_[Sexo]=$B65,IF(DATOS_[[AGRUP. CLAS. PROF.]:[AGRUP. CLAS. PROF.]]=$B63,IF(DATOS_[Check Equiparado]="Sí",IF(DATOS_[Check Periodo Ref.]="Dentro",DATOS_[Tot COMPL.SAL Eq],FALSE))))),
0)</f>
        <v>0</v>
      </c>
      <c r="AO65" s="113">
        <f t="array" ref="AO65">IFERROR(
MEDIAN(IF(DATOS_[Sexo]=$B65,IF(DATOS_[[AGRUP. CLAS. PROF.]:[AGRUP. CLAS. PROF.]]=$B63,IF(DATOS_[Check Equiparado]="Sí",IF(DATOS_[Check Periodo Ref.]="Dentro",DATOS_[TOTAL SALARIO Eq],FALSE))))),
0)</f>
        <v>0</v>
      </c>
      <c r="AP65" s="114">
        <f t="array" ref="AP65">IFERROR(
(MEDIAN((IF(DATOS_[[Sexo]:[Sexo]]=$B65,IF(DATOS_[[AGRUP. CLAS. PROF.]:[AGRUP. CLAS. PROF.]]=$B63,IF(DATOS_[[Check Periodo Ref.]:[Check Periodo Ref.]]="Dentro",IF(DATOS_[[Check Equiparado]:[Check Equiparado]]="Sí",IF(DATOS!BI$5="Sí",(1/DATOS_[[% anualiz]:[% anualiz]]),1)*IF(DATOS!BI$4="Sí",1/DATOS_[[% normaliz]:[% normaliz]],1)*(DATOS_[C.Extra.01])))))))),
0)</f>
        <v>0</v>
      </c>
      <c r="AQ65" s="114">
        <f t="array" ref="AQ65">IFERROR(
(MEDIAN((IF(DATOS_[[Sexo]:[Sexo]]=$B65,IF(DATOS_[[AGRUP. CLAS. PROF.]:[AGRUP. CLAS. PROF.]]=$B63,IF(DATOS_[[Check Periodo Ref.]:[Check Periodo Ref.]]="Dentro",IF(DATOS_[[Check Equiparado]:[Check Equiparado]]="Sí",IF(DATOS!BJ$5="Sí",(1/DATOS_[[% anualiz]:[% anualiz]]),1)*IF(DATOS!BJ$4="Sí",1/DATOS_[[% normaliz]:[% normaliz]],1)*(DATOS_[C.Extra.02])))))))),
0)</f>
        <v>0</v>
      </c>
      <c r="AR65" s="114">
        <f t="array" ref="AR65">IFERROR(
(MEDIAN((IF(DATOS_[[Sexo]:[Sexo]]=$B65,IF(DATOS_[[AGRUP. CLAS. PROF.]:[AGRUP. CLAS. PROF.]]=$B63,IF(DATOS_[[Check Periodo Ref.]:[Check Periodo Ref.]]="Dentro",IF(DATOS_[[Check Equiparado]:[Check Equiparado]]="Sí",IF(DATOS!BK$5="Sí",(1/DATOS_[[% anualiz]:[% anualiz]]),1)*IF(DATOS!BK$4="Sí",1/DATOS_[[% normaliz]:[% normaliz]],1)*(DATOS_[C.Extra.03])))))))),
0)</f>
        <v>0</v>
      </c>
      <c r="AS65" s="114">
        <f t="array" ref="AS65">IFERROR(
(MEDIAN((IF(DATOS_[[Sexo]:[Sexo]]=$B65,IF(DATOS_[[AGRUP. CLAS. PROF.]:[AGRUP. CLAS. PROF.]]=$B63,IF(DATOS_[[Check Periodo Ref.]:[Check Periodo Ref.]]="Dentro",IF(DATOS_[[Check Equiparado]:[Check Equiparado]]="Sí",IF(DATOS!BL$5="Sí",(1/DATOS_[[% anualiz]:[% anualiz]]),1)*IF(DATOS!BL$4="Sí",1/DATOS_[[% normaliz]:[% normaliz]],1)*(DATOS_[C.Extra.04])))))))),
0)</f>
        <v>0</v>
      </c>
      <c r="AT65" s="114">
        <f t="array" ref="AT65">IFERROR(
(MEDIAN((IF(DATOS_[[Sexo]:[Sexo]]=$B65,IF(DATOS_[[AGRUP. CLAS. PROF.]:[AGRUP. CLAS. PROF.]]=$B63,IF(DATOS_[[Check Periodo Ref.]:[Check Periodo Ref.]]="Dentro",IF(DATOS_[[Check Equiparado]:[Check Equiparado]]="Sí",IF(DATOS!BM$5="Sí",(1/DATOS_[[% anualiz]:[% anualiz]]),1)*IF(DATOS!BM$4="Sí",1/DATOS_[[% normaliz]:[% normaliz]],1)*(DATOS_[C.Extra.05])))))))),
0)</f>
        <v>0</v>
      </c>
      <c r="AU65" s="115">
        <f t="array" ref="AU65">IFERROR(
MEDIAN(IF(DATOS_[Sexo]=$B65,IF(DATOS_[[AGRUP. CLAS. PROF.]:[AGRUP. CLAS. PROF.]]=$B63,IF(DATOS_[Check Equiparado]="Sí",IF(DATOS_[Check Periodo Ref.]="Dentro",DATOS_[Tot Extrasalarial Eq],FALSE))))),
0)</f>
        <v>0</v>
      </c>
      <c r="AV65" s="116">
        <f t="array" ref="AV65">IFERROR(
MEDIAN(IF(DATOS_[Sexo]=$B65,IF(DATOS_[[AGRUP. CLAS. PROF.]:[AGRUP. CLAS. PROF.]]=$B63,IF(DATOS_[Check Equiparado]="Sí",IF(DATOS_[Check Periodo Ref.]="Dentro",DATOS_[TOTAL Retrib Eq],FALSE))))),
0)</f>
        <v>0</v>
      </c>
    </row>
    <row r="66" spans="1:48" ht="17.25" hidden="1" thickBot="1" x14ac:dyDescent="0.35">
      <c r="A66" s="42" t="str">
        <f t="shared" ref="A66" si="71">+A67</f>
        <v>[ocultar]</v>
      </c>
      <c r="B66" s="90" t="s">
        <v>234</v>
      </c>
      <c r="C66" s="109"/>
      <c r="D66" s="41"/>
      <c r="E66" s="41"/>
      <c r="F66" s="41"/>
      <c r="G66" s="41"/>
      <c r="H66" s="41"/>
      <c r="I66" s="119" t="str">
        <f t="shared" ref="I66:AV66" si="72">IFERROR((I67-I68)/I67,"")</f>
        <v/>
      </c>
      <c r="J66" s="123" t="str">
        <f t="shared" si="72"/>
        <v/>
      </c>
      <c r="K66" s="123" t="str">
        <f t="shared" si="72"/>
        <v/>
      </c>
      <c r="L66" s="123" t="str">
        <f t="shared" si="72"/>
        <v/>
      </c>
      <c r="M66" s="123" t="str">
        <f t="shared" si="72"/>
        <v/>
      </c>
      <c r="N66" s="123" t="str">
        <f t="shared" si="72"/>
        <v/>
      </c>
      <c r="O66" s="123" t="str">
        <f t="shared" si="72"/>
        <v/>
      </c>
      <c r="P66" s="123" t="str">
        <f t="shared" si="72"/>
        <v/>
      </c>
      <c r="Q66" s="123" t="str">
        <f t="shared" si="72"/>
        <v/>
      </c>
      <c r="R66" s="123" t="str">
        <f t="shared" si="72"/>
        <v/>
      </c>
      <c r="S66" s="123" t="str">
        <f t="shared" si="72"/>
        <v/>
      </c>
      <c r="T66" s="123" t="str">
        <f t="shared" si="72"/>
        <v/>
      </c>
      <c r="U66" s="123" t="str">
        <f t="shared" si="72"/>
        <v/>
      </c>
      <c r="V66" s="123" t="str">
        <f t="shared" si="72"/>
        <v/>
      </c>
      <c r="W66" s="123" t="str">
        <f t="shared" si="72"/>
        <v/>
      </c>
      <c r="X66" s="123" t="str">
        <f t="shared" si="72"/>
        <v/>
      </c>
      <c r="Y66" s="123" t="str">
        <f t="shared" si="72"/>
        <v/>
      </c>
      <c r="Z66" s="122" t="str">
        <f t="shared" si="72"/>
        <v/>
      </c>
      <c r="AA66" s="122" t="str">
        <f t="shared" si="72"/>
        <v/>
      </c>
      <c r="AB66" s="122" t="str">
        <f t="shared" si="72"/>
        <v/>
      </c>
      <c r="AC66" s="122" t="str">
        <f t="shared" si="72"/>
        <v/>
      </c>
      <c r="AD66" s="122" t="str">
        <f t="shared" si="72"/>
        <v/>
      </c>
      <c r="AE66" s="122" t="str">
        <f t="shared" si="72"/>
        <v/>
      </c>
      <c r="AF66" s="122" t="str">
        <f t="shared" si="72"/>
        <v/>
      </c>
      <c r="AG66" s="122" t="str">
        <f t="shared" si="72"/>
        <v/>
      </c>
      <c r="AH66" s="122" t="str">
        <f t="shared" si="72"/>
        <v/>
      </c>
      <c r="AI66" s="122" t="str">
        <f t="shared" si="72"/>
        <v/>
      </c>
      <c r="AJ66" s="122" t="str">
        <f t="shared" si="72"/>
        <v/>
      </c>
      <c r="AK66" s="122" t="str">
        <f t="shared" si="72"/>
        <v/>
      </c>
      <c r="AL66" s="122" t="str">
        <f t="shared" si="72"/>
        <v/>
      </c>
      <c r="AM66" s="122" t="str">
        <f t="shared" si="72"/>
        <v/>
      </c>
      <c r="AN66" s="124" t="str">
        <f t="shared" si="72"/>
        <v/>
      </c>
      <c r="AO66" s="128" t="str">
        <f t="shared" si="72"/>
        <v/>
      </c>
      <c r="AP66" s="125" t="str">
        <f t="shared" si="72"/>
        <v/>
      </c>
      <c r="AQ66" s="125" t="str">
        <f t="shared" si="72"/>
        <v/>
      </c>
      <c r="AR66" s="125" t="str">
        <f t="shared" si="72"/>
        <v/>
      </c>
      <c r="AS66" s="125" t="str">
        <f t="shared" si="72"/>
        <v/>
      </c>
      <c r="AT66" s="125" t="str">
        <f t="shared" si="72"/>
        <v/>
      </c>
      <c r="AU66" s="126" t="str">
        <f t="shared" si="72"/>
        <v/>
      </c>
      <c r="AV66" s="127" t="str">
        <f t="shared" si="72"/>
        <v/>
      </c>
    </row>
    <row r="67" spans="1:48" hidden="1" x14ac:dyDescent="0.3">
      <c r="A67" s="42" t="str">
        <f t="shared" ref="A67" si="73">+IF(C67+C68=0,"[ocultar]","")</f>
        <v>[ocultar]</v>
      </c>
      <c r="B67" s="86" t="s">
        <v>162</v>
      </c>
      <c r="C67" s="33">
        <f t="array" ref="C67">SUM(IF($B67=DATOS_[Sexo],
IF($B66=DATOS_[AGRUP. CLAS. PROF.],
IF("Dentro"=DATOS_[Check Periodo Ref.],
1/(COUNTIFS(DATOS_[Sexo],$B67,DATOS_[AGRUP. CLAS. PROF.],$B66,DATOS_[Check Periodo Ref.],"Dentro",DATOS_[id],DATOS_[id]))))))</f>
        <v>0</v>
      </c>
      <c r="D67" s="35">
        <f>COUNTIFS(DATOS_[AGRUP. CLAS. PROF.],$B66,DATOS_[Sexo],$B67,DATOS_[Check Periodo Ref.],"Dentro")</f>
        <v>0</v>
      </c>
      <c r="E67" s="35">
        <f>COUNTIFS(DATOS_[AGRUP. CLAS. PROF.],$B66,DATOS_[Sexo],$B67,DATOS_[Check Periodo Ref.],"Dentro",DATOS_[Check Nº SC Norm],"Sí")</f>
        <v>0</v>
      </c>
      <c r="F67" s="35">
        <f>COUNTIFS(DATOS_[AGRUP. CLAS. PROF.],$B66,DATOS_[Sexo],$B67,DATOS_[Check Periodo Ref.],"Dentro",DATOS_[Check Nº SC Anualiz],"Sí")</f>
        <v>0</v>
      </c>
      <c r="G67" s="35">
        <f>COUNTIFS(DATOS_[AGRUP. CLAS. PROF.],$B66,DATOS_[Sexo],$B67,DATOS_[Check Periodo Ref.],"Dentro",DATOS_[Check Nº SC Norm y Anualiz],"Sí")</f>
        <v>0</v>
      </c>
      <c r="H67" s="35">
        <f>COUNTIFS(DATOS_[AGRUP. CLAS. PROF.],$B66,DATOS_[Sexo],$B67,DATOS_[Check Periodo Ref.],"Dentro",DATOS_[Check Equiparación],"Sí")</f>
        <v>0</v>
      </c>
      <c r="I67" s="110">
        <f t="array" ref="I67">IFERROR(
MEDIAN(IF(DATOS_[Sexo]=$B67,IF(DATOS_[[AGRUP. CLAS. PROF.]:[AGRUP. CLAS. PROF.]]=$B66,IF(DATOS_[Check Equiparado]="Sí",IF(DATOS_[Check Periodo Ref.]="Dentro",DATOS_[SALARIO BASE Eq],FALSE))))),
0)</f>
        <v>0</v>
      </c>
      <c r="J67" s="111">
        <f t="array" ref="J67">IFERROR(
(MEDIAN((IF(DATOS_[[Sexo]:[Sexo]]=$B67,IF(DATOS_[[AGRUP. CLAS. PROF.]:[AGRUP. CLAS. PROF.]]=$B66,IF(DATOS_[[Check Periodo Ref.]:[Check Periodo Ref.]]="Dentro",IF(DATOS_[[Check Equiparado]:[Check Equiparado]]="Sí",IF(DATOS!AE$5="Sí",(1/DATOS_[[% anualiz]:[% anualiz]]),1)*IF(DATOS!AE$4="Sí",1/DATOS_[[% normaliz]:[% normaliz]],1)*(DATOS_[Conc.Sal.01])))))))),
0)</f>
        <v>0</v>
      </c>
      <c r="K67" s="111">
        <f t="array" ref="K67">IFERROR(
(MEDIAN((IF(DATOS_[[Sexo]:[Sexo]]=$B67,IF(DATOS_[[AGRUP. CLAS. PROF.]:[AGRUP. CLAS. PROF.]]=$B66,IF(DATOS_[[Check Periodo Ref.]:[Check Periodo Ref.]]="Dentro",IF(DATOS_[[Check Equiparado]:[Check Equiparado]]="Sí",IF(DATOS!AF$5="Sí",(1/DATOS_[[% anualiz]:[% anualiz]]),1)*IF(DATOS!AF$4="Sí",1/DATOS_[[% normaliz]:[% normaliz]],1)*(DATOS_[Conc.Sal.02])))))))),
0)</f>
        <v>0</v>
      </c>
      <c r="L67" s="111">
        <f t="array" ref="L67">IFERROR(
(MEDIAN((IF(DATOS_[[Sexo]:[Sexo]]=$B67,IF(DATOS_[[AGRUP. CLAS. PROF.]:[AGRUP. CLAS. PROF.]]=$B66,IF(DATOS_[[Check Periodo Ref.]:[Check Periodo Ref.]]="Dentro",IF(DATOS_[[Check Equiparado]:[Check Equiparado]]="Sí",IF(DATOS!AG$5="Sí",(1/DATOS_[[% anualiz]:[% anualiz]]),1)*IF(DATOS!AG$4="Sí",1/DATOS_[[% normaliz]:[% normaliz]],1)*(DATOS_[Conc.Sal.03])))))))),
0)</f>
        <v>0</v>
      </c>
      <c r="M67" s="111">
        <f t="array" ref="M67">IFERROR(
(MEDIAN((IF(DATOS_[[Sexo]:[Sexo]]=$B67,IF(DATOS_[[AGRUP. CLAS. PROF.]:[AGRUP. CLAS. PROF.]]=$B66,IF(DATOS_[[Check Periodo Ref.]:[Check Periodo Ref.]]="Dentro",IF(DATOS_[[Check Equiparado]:[Check Equiparado]]="Sí",IF(DATOS!AH$5="Sí",(1/DATOS_[[% anualiz]:[% anualiz]]),1)*IF(DATOS!AH$4="Sí",1/DATOS_[[% normaliz]:[% normaliz]],1)*(DATOS_[Conc.Sal.04])))))))),
0)</f>
        <v>0</v>
      </c>
      <c r="N67" s="111">
        <f t="array" ref="N67">IFERROR(
(MEDIAN((IF(DATOS_[[Sexo]:[Sexo]]=$B67,IF(DATOS_[[AGRUP. CLAS. PROF.]:[AGRUP. CLAS. PROF.]]=$B66,IF(DATOS_[[Check Periodo Ref.]:[Check Periodo Ref.]]="Dentro",IF(DATOS_[[Check Equiparado]:[Check Equiparado]]="Sí",IF(DATOS!AI$5="Sí",(1/DATOS_[[% anualiz]:[% anualiz]]),1)*IF(DATOS!AI$4="Sí",1/DATOS_[[% normaliz]:[% normaliz]],1)*(DATOS_[Conc.Sal.05])))))))),
0)</f>
        <v>0</v>
      </c>
      <c r="O67" s="111">
        <f t="array" ref="O67">IFERROR(
(MEDIAN((IF(DATOS_[[Sexo]:[Sexo]]=$B67,IF(DATOS_[[AGRUP. CLAS. PROF.]:[AGRUP. CLAS. PROF.]]=$B66,IF(DATOS_[[Check Periodo Ref.]:[Check Periodo Ref.]]="Dentro",IF(DATOS_[[Check Equiparado]:[Check Equiparado]]="Sí",IF(DATOS!AJ$5="Sí",(1/DATOS_[[% anualiz]:[% anualiz]]),1)*IF(DATOS!AJ$4="Sí",1/DATOS_[[% normaliz]:[% normaliz]],1)*(DATOS_[Conc.Sal.06])))))))),
0)</f>
        <v>0</v>
      </c>
      <c r="P67" s="111">
        <f t="array" ref="P67">IFERROR(
(MEDIAN((IF(DATOS_[[Sexo]:[Sexo]]=$B67,IF(DATOS_[[AGRUP. CLAS. PROF.]:[AGRUP. CLAS. PROF.]]=$B66,IF(DATOS_[[Check Periodo Ref.]:[Check Periodo Ref.]]="Dentro",IF(DATOS_[[Check Equiparado]:[Check Equiparado]]="Sí",IF(DATOS!AK$5="Sí",(1/DATOS_[[% anualiz]:[% anualiz]]),1)*IF(DATOS!AK$4="Sí",1/DATOS_[[% normaliz]:[% normaliz]],1)*(DATOS_[Conc.Sal.07])))))))),
0)</f>
        <v>0</v>
      </c>
      <c r="Q67" s="111">
        <f t="array" ref="Q67">IFERROR(
(MEDIAN((IF(DATOS_[[Sexo]:[Sexo]]=$B67,IF(DATOS_[[AGRUP. CLAS. PROF.]:[AGRUP. CLAS. PROF.]]=$B66,IF(DATOS_[[Check Periodo Ref.]:[Check Periodo Ref.]]="Dentro",IF(DATOS_[[Check Equiparado]:[Check Equiparado]]="Sí",IF(DATOS!AL$5="Sí",(1/DATOS_[[% anualiz]:[% anualiz]]),1)*IF(DATOS!AL$4="Sí",1/DATOS_[[% normaliz]:[% normaliz]],1)*(DATOS_[Conc.Sal.08])))))))),
0)</f>
        <v>0</v>
      </c>
      <c r="R67" s="111">
        <f t="array" ref="R67">IFERROR(
(MEDIAN((IF(DATOS_[[Sexo]:[Sexo]]=$B67,IF(DATOS_[[AGRUP. CLAS. PROF.]:[AGRUP. CLAS. PROF.]]=$B66,IF(DATOS_[[Check Periodo Ref.]:[Check Periodo Ref.]]="Dentro",IF(DATOS_[[Check Equiparado]:[Check Equiparado]]="Sí",IF(DATOS!AM$5="Sí",(1/DATOS_[[% anualiz]:[% anualiz]]),1)*IF(DATOS!AM$4="Sí",1/DATOS_[[% normaliz]:[% normaliz]],1)*(DATOS_[Conc.Sal.09])))))))),
0)</f>
        <v>0</v>
      </c>
      <c r="S67" s="111">
        <f t="array" ref="S67">IFERROR(
(MEDIAN((IF(DATOS_[[Sexo]:[Sexo]]=$B67,IF(DATOS_[[AGRUP. CLAS. PROF.]:[AGRUP. CLAS. PROF.]]=$B66,IF(DATOS_[[Check Periodo Ref.]:[Check Periodo Ref.]]="Dentro",IF(DATOS_[[Check Equiparado]:[Check Equiparado]]="Sí",IF(DATOS!AN$5="Sí",(1/DATOS_[[% anualiz]:[% anualiz]]),1)*IF(DATOS!AN$4="Sí",1/DATOS_[[% normaliz]:[% normaliz]],1)*(DATOS_[Conc.Sal.10])))))))),
0)</f>
        <v>0</v>
      </c>
      <c r="T67" s="111">
        <f t="array" ref="T67">IFERROR(
(MEDIAN((IF(DATOS_[[Sexo]:[Sexo]]=$B67,IF(DATOS_[[AGRUP. CLAS. PROF.]:[AGRUP. CLAS. PROF.]]=$B66,IF(DATOS_[[Check Periodo Ref.]:[Check Periodo Ref.]]="Dentro",IF(DATOS_[[Check Equiparado]:[Check Equiparado]]="Sí",IF(DATOS!AO$5="Sí",(1/DATOS_[[% anualiz]:[% anualiz]]),1)*IF(DATOS!AO$4="Sí",1/DATOS_[[% normaliz]:[% normaliz]],1)*(DATOS_[Conc.Sal.11])))))))),
0)</f>
        <v>0</v>
      </c>
      <c r="U67" s="111">
        <f t="array" ref="U67">IFERROR(
(MEDIAN((IF(DATOS_[[Sexo]:[Sexo]]=$B67,IF(DATOS_[[AGRUP. CLAS. PROF.]:[AGRUP. CLAS. PROF.]]=$B66,IF(DATOS_[[Check Periodo Ref.]:[Check Periodo Ref.]]="Dentro",IF(DATOS_[[Check Equiparado]:[Check Equiparado]]="Sí",IF(DATOS!AP$5="Sí",(1/DATOS_[[% anualiz]:[% anualiz]]),1)*IF(DATOS!AP$4="Sí",1/DATOS_[[% normaliz]:[% normaliz]],1)*(DATOS_[Conc.Sal.12])))))))),
0)</f>
        <v>0</v>
      </c>
      <c r="V67" s="111">
        <f t="array" ref="V67">IFERROR(
(MEDIAN((IF(DATOS_[[Sexo]:[Sexo]]=$B67,IF(DATOS_[[AGRUP. CLAS. PROF.]:[AGRUP. CLAS. PROF.]]=$B66,IF(DATOS_[[Check Periodo Ref.]:[Check Periodo Ref.]]="Dentro",IF(DATOS_[[Check Equiparado]:[Check Equiparado]]="Sí",IF(DATOS!AQ$5="Sí",(1/DATOS_[[% anualiz]:[% anualiz]]),1)*IF(DATOS!AQ$4="Sí",1/DATOS_[[% normaliz]:[% normaliz]],1)*(DATOS_[Conc.Sal.13])))))))),
0)</f>
        <v>0</v>
      </c>
      <c r="W67" s="111">
        <f t="array" ref="W67">IFERROR(
(MEDIAN((IF(DATOS_[[Sexo]:[Sexo]]=$B67,IF(DATOS_[[AGRUP. CLAS. PROF.]:[AGRUP. CLAS. PROF.]]=$B66,IF(DATOS_[[Check Periodo Ref.]:[Check Periodo Ref.]]="Dentro",IF(DATOS_[[Check Equiparado]:[Check Equiparado]]="Sí",IF(DATOS!AR$5="Sí",(1/DATOS_[[% anualiz]:[% anualiz]]),1)*IF(DATOS!AR$4="Sí",1/DATOS_[[% normaliz]:[% normaliz]],1)*(DATOS_[Conc.Sal.14])))))))),
0)</f>
        <v>0</v>
      </c>
      <c r="X67" s="111">
        <f t="array" ref="X67">IFERROR(
(MEDIAN((IF(DATOS_[[Sexo]:[Sexo]]=$B67,IF(DATOS_[[AGRUP. CLAS. PROF.]:[AGRUP. CLAS. PROF.]]=$B66,IF(DATOS_[[Check Periodo Ref.]:[Check Periodo Ref.]]="Dentro",IF(DATOS_[[Check Equiparado]:[Check Equiparado]]="Sí",IF(DATOS!AS$5="Sí",(1/DATOS_[[% anualiz]:[% anualiz]]),1)*IF(DATOS!AS$4="Sí",1/DATOS_[[% normaliz]:[% normaliz]],1)*(DATOS_[Conc.Sal.15])))))))),
0)</f>
        <v>0</v>
      </c>
      <c r="Y67" s="111">
        <f t="array" ref="Y67">IFERROR(
(MEDIAN((IF(DATOS_[[Sexo]:[Sexo]]=$B67,IF(DATOS_[[AGRUP. CLAS. PROF.]:[AGRUP. CLAS. PROF.]]=$B66,IF(DATOS_[[Check Periodo Ref.]:[Check Periodo Ref.]]="Dentro",IF(DATOS_[[Check Equiparado]:[Check Equiparado]]="Sí",IF(DATOS!AT$5="Sí",(1/DATOS_[[% anualiz]:[% anualiz]]),1)*IF(DATOS!AT$4="Sí",1/DATOS_[[% normaliz]:[% normaliz]],1)*(DATOS_[Conc.Sal.16])))))))),
0)</f>
        <v>0</v>
      </c>
      <c r="Z67" s="111">
        <f t="array" ref="Z67">IFERROR(
(MEDIAN((IF(DATOS_[[Sexo]:[Sexo]]=$B67,IF(DATOS_[[AGRUP. CLAS. PROF.]:[AGRUP. CLAS. PROF.]]=$B66,IF(DATOS_[[Check Periodo Ref.]:[Check Periodo Ref.]]="Dentro",IF(DATOS_[[Check Equiparado]:[Check Equiparado]]="Sí",IF(DATOS!AU$5="Sí",(1/DATOS_[[% anualiz]:[% anualiz]]),1)*IF(DATOS!AU$4="Sí",1/DATOS_[[% normaliz]:[% normaliz]],1)*(DATOS_[Conc.Sal.17])))))))),
0)</f>
        <v>0</v>
      </c>
      <c r="AA67" s="111">
        <f t="array" ref="AA67">IFERROR(
(MEDIAN((IF(DATOS_[[Sexo]:[Sexo]]=$B67,IF(DATOS_[[AGRUP. CLAS. PROF.]:[AGRUP. CLAS. PROF.]]=$B66,IF(DATOS_[[Check Periodo Ref.]:[Check Periodo Ref.]]="Dentro",IF(DATOS_[[Check Equiparado]:[Check Equiparado]]="Sí",IF(DATOS!AV$5="Sí",(1/DATOS_[[% anualiz]:[% anualiz]]),1)*IF(DATOS!AV$4="Sí",1/DATOS_[[% normaliz]:[% normaliz]],1)*(DATOS_[Conc.Sal.18])))))))),
0)</f>
        <v>0</v>
      </c>
      <c r="AB67" s="111">
        <f t="array" ref="AB67">IFERROR(
(MEDIAN((IF(DATOS_[[Sexo]:[Sexo]]=$B67,IF(DATOS_[[AGRUP. CLAS. PROF.]:[AGRUP. CLAS. PROF.]]=$B66,IF(DATOS_[[Check Periodo Ref.]:[Check Periodo Ref.]]="Dentro",IF(DATOS_[[Check Equiparado]:[Check Equiparado]]="Sí",IF(DATOS!AW$5="Sí",(1/DATOS_[[% anualiz]:[% anualiz]]),1)*IF(DATOS!AW$4="Sí",1/DATOS_[[% normaliz]:[% normaliz]],1)*(DATOS_[Conc.Sal.19])))))))),
0)</f>
        <v>0</v>
      </c>
      <c r="AC67" s="111">
        <f t="array" ref="AC67">IFERROR(
(MEDIAN((IF(DATOS_[[Sexo]:[Sexo]]=$B67,IF(DATOS_[[AGRUP. CLAS. PROF.]:[AGRUP. CLAS. PROF.]]=$B66,IF(DATOS_[[Check Periodo Ref.]:[Check Periodo Ref.]]="Dentro",IF(DATOS_[[Check Equiparado]:[Check Equiparado]]="Sí",IF(DATOS!AX$5="Sí",(1/DATOS_[[% anualiz]:[% anualiz]]),1)*IF(DATOS!AX$4="Sí",1/DATOS_[[% normaliz]:[% normaliz]],1)*(DATOS_[Conc.Sal.20])))))))),
0)</f>
        <v>0</v>
      </c>
      <c r="AD67" s="111">
        <f t="array" ref="AD67">IFERROR(
(MEDIAN((IF(DATOS_[[Sexo]:[Sexo]]=$B67,IF(DATOS_[[AGRUP. CLAS. PROF.]:[AGRUP. CLAS. PROF.]]=$B66,IF(DATOS_[[Check Periodo Ref.]:[Check Periodo Ref.]]="Dentro",IF(DATOS_[[Check Equiparado]:[Check Equiparado]]="Sí",IF(DATOS!AY$5="Sí",(1/DATOS_[[% anualiz]:[% anualiz]]),1)*IF(DATOS!AY$4="Sí",1/DATOS_[[% normaliz]:[% normaliz]],1)*(DATOS_[Conc.Sal.21])))))))),
0)</f>
        <v>0</v>
      </c>
      <c r="AE67" s="111">
        <f t="array" ref="AE67">IFERROR(
(MEDIAN((IF(DATOS_[[Sexo]:[Sexo]]=$B67,IF(DATOS_[[AGRUP. CLAS. PROF.]:[AGRUP. CLAS. PROF.]]=$B66,IF(DATOS_[[Check Periodo Ref.]:[Check Periodo Ref.]]="Dentro",IF(DATOS_[[Check Equiparado]:[Check Equiparado]]="Sí",IF(DATOS!AZ$5="Sí",(1/DATOS_[[% anualiz]:[% anualiz]]),1)*IF(DATOS!AZ$4="Sí",1/DATOS_[[% normaliz]:[% normaliz]],1)*(DATOS_[Conc.Sal.22])))))))),
0)</f>
        <v>0</v>
      </c>
      <c r="AF67" s="111">
        <f t="array" ref="AF67">IFERROR(
(MEDIAN((IF(DATOS_[[Sexo]:[Sexo]]=$B67,IF(DATOS_[[AGRUP. CLAS. PROF.]:[AGRUP. CLAS. PROF.]]=$B66,IF(DATOS_[[Check Periodo Ref.]:[Check Periodo Ref.]]="Dentro",IF(DATOS_[[Check Equiparado]:[Check Equiparado]]="Sí",IF(DATOS!BA$5="Sí",(1/DATOS_[[% anualiz]:[% anualiz]]),1)*IF(DATOS!BA$4="Sí",1/DATOS_[[% normaliz]:[% normaliz]],1)*(DATOS_[Conc.Sal.23])))))))),
0)</f>
        <v>0</v>
      </c>
      <c r="AG67" s="111">
        <f t="array" ref="AG67">IFERROR(
(MEDIAN((IF(DATOS_[[Sexo]:[Sexo]]=$B67,IF(DATOS_[[AGRUP. CLAS. PROF.]:[AGRUP. CLAS. PROF.]]=$B66,IF(DATOS_[[Check Periodo Ref.]:[Check Periodo Ref.]]="Dentro",IF(DATOS_[[Check Equiparado]:[Check Equiparado]]="Sí",IF(DATOS!BB$5="Sí",(1/DATOS_[[% anualiz]:[% anualiz]]),1)*IF(DATOS!BB$4="Sí",1/DATOS_[[% normaliz]:[% normaliz]],1)*(DATOS_[Conc.Sal.24])))))))),
0)</f>
        <v>0</v>
      </c>
      <c r="AH67" s="111">
        <f t="array" ref="AH67">IFERROR(
(MEDIAN((IF(DATOS_[[Sexo]:[Sexo]]=$B67,IF(DATOS_[[AGRUP. CLAS. PROF.]:[AGRUP. CLAS. PROF.]]=$B66,IF(DATOS_[[Check Periodo Ref.]:[Check Periodo Ref.]]="Dentro",IF(DATOS_[[Check Equiparado]:[Check Equiparado]]="Sí",IF(DATOS!BC$5="Sí",(1/DATOS_[[% anualiz]:[% anualiz]]),1)*IF(DATOS!BC$4="Sí",1/DATOS_[[% normaliz]:[% normaliz]],1)*(DATOS_[Conc.Sal.25])))))))),
0)</f>
        <v>0</v>
      </c>
      <c r="AI67" s="111">
        <f t="array" ref="AI67">IFERROR(
(MEDIAN((IF(DATOS_[[Sexo]:[Sexo]]=$B67,IF(DATOS_[[AGRUP. CLAS. PROF.]:[AGRUP. CLAS. PROF.]]=$B66,IF(DATOS_[[Check Periodo Ref.]:[Check Periodo Ref.]]="Dentro",IF(DATOS_[[Check Equiparado]:[Check Equiparado]]="Sí",IF(DATOS!BD$5="Sí",(1/DATOS_[[% anualiz]:[% anualiz]]),1)*IF(DATOS!BD$4="Sí",1/DATOS_[[% normaliz]:[% normaliz]],1)*(DATOS_[Conc.Sal.26])))))))),
0)</f>
        <v>0</v>
      </c>
      <c r="AJ67" s="111">
        <f t="array" ref="AJ67">IFERROR(
(MEDIAN((IF(DATOS_[[Sexo]:[Sexo]]=$B67,IF(DATOS_[[AGRUP. CLAS. PROF.]:[AGRUP. CLAS. PROF.]]=$B66,IF(DATOS_[[Check Periodo Ref.]:[Check Periodo Ref.]]="Dentro",IF(DATOS_[[Check Equiparado]:[Check Equiparado]]="Sí",IF(DATOS!BE$5="Sí",(1/DATOS_[[% anualiz]:[% anualiz]]),1)*IF(DATOS!BE$4="Sí",1/DATOS_[[% normaliz]:[% normaliz]],1)*(DATOS_[Conc.Sal.27])))))))),
0)</f>
        <v>0</v>
      </c>
      <c r="AK67" s="111">
        <f t="array" ref="AK67">IFERROR(
(MEDIAN((IF(DATOS_[[Sexo]:[Sexo]]=$B67,IF(DATOS_[[AGRUP. CLAS. PROF.]:[AGRUP. CLAS. PROF.]]=$B66,IF(DATOS_[[Check Periodo Ref.]:[Check Periodo Ref.]]="Dentro",IF(DATOS_[[Check Equiparado]:[Check Equiparado]]="Sí",IF(DATOS!BF$5="Sí",(1/DATOS_[[% anualiz]:[% anualiz]]),1)*IF(DATOS!BF$4="Sí",1/DATOS_[[% normaliz]:[% normaliz]],1)*(DATOS_[Conc.Sal.28])))))))),
0)</f>
        <v>0</v>
      </c>
      <c r="AL67" s="111">
        <f t="array" ref="AL67">IFERROR(
(MEDIAN((IF(DATOS_[[Sexo]:[Sexo]]=$B67,IF(DATOS_[[AGRUP. CLAS. PROF.]:[AGRUP. CLAS. PROF.]]=$B66,IF(DATOS_[[Check Periodo Ref.]:[Check Periodo Ref.]]="Dentro",IF(DATOS_[[Check Equiparado]:[Check Equiparado]]="Sí",IF(DATOS!BG$5="Sí",(1/DATOS_[[% anualiz]:[% anualiz]]),1)*IF(DATOS!BG$4="Sí",1/DATOS_[[% normaliz]:[% normaliz]],1)*(DATOS_[Conc.Sal.29])))))))),
0)</f>
        <v>0</v>
      </c>
      <c r="AM67" s="111">
        <f t="array" ref="AM67">IFERROR(
(MEDIAN((IF(DATOS_[[Sexo]:[Sexo]]=$B67,IF(DATOS_[[AGRUP. CLAS. PROF.]:[AGRUP. CLAS. PROF.]]=$B66,IF(DATOS_[[Check Periodo Ref.]:[Check Periodo Ref.]]="Dentro",IF(DATOS_[[Check Equiparado]:[Check Equiparado]]="Sí",IF(DATOS!BH$5="Sí",(1/DATOS_[[% anualiz]:[% anualiz]]),1)*IF(DATOS!BH$4="Sí",1/DATOS_[[% normaliz]:[% normaliz]],1)*(DATOS_[Conc.Sal.30])))))))),
0)</f>
        <v>0</v>
      </c>
      <c r="AN67" s="112">
        <f t="array" ref="AN67">IFERROR(
MEDIAN(IF(DATOS_[Sexo]=$B67,IF(DATOS_[[AGRUP. CLAS. PROF.]:[AGRUP. CLAS. PROF.]]=$B66,IF(DATOS_[Check Equiparado]="Sí",IF(DATOS_[Check Periodo Ref.]="Dentro",DATOS_[Tot COMPL.SAL Eq],FALSE))))),
0)</f>
        <v>0</v>
      </c>
      <c r="AO67" s="113">
        <f t="array" ref="AO67">IFERROR(
MEDIAN(IF(DATOS_[Sexo]=$B67,IF(DATOS_[[AGRUP. CLAS. PROF.]:[AGRUP. CLAS. PROF.]]=$B66,IF(DATOS_[Check Equiparado]="Sí",IF(DATOS_[Check Periodo Ref.]="Dentro",DATOS_[TOTAL SALARIO Eq],FALSE))))),
0)</f>
        <v>0</v>
      </c>
      <c r="AP67" s="114">
        <f t="array" ref="AP67">IFERROR(
(MEDIAN((IF(DATOS_[[Sexo]:[Sexo]]=$B67,IF(DATOS_[[AGRUP. CLAS. PROF.]:[AGRUP. CLAS. PROF.]]=$B66,IF(DATOS_[[Check Periodo Ref.]:[Check Periodo Ref.]]="Dentro",IF(DATOS_[[Check Equiparado]:[Check Equiparado]]="Sí",IF(DATOS!BI$5="Sí",(1/DATOS_[[% anualiz]:[% anualiz]]),1)*IF(DATOS!BI$4="Sí",1/DATOS_[[% normaliz]:[% normaliz]],1)*(DATOS_[C.Extra.01])))))))),
0)</f>
        <v>0</v>
      </c>
      <c r="AQ67" s="114">
        <f t="array" ref="AQ67">IFERROR(
(MEDIAN((IF(DATOS_[[Sexo]:[Sexo]]=$B67,IF(DATOS_[[AGRUP. CLAS. PROF.]:[AGRUP. CLAS. PROF.]]=$B66,IF(DATOS_[[Check Periodo Ref.]:[Check Periodo Ref.]]="Dentro",IF(DATOS_[[Check Equiparado]:[Check Equiparado]]="Sí",IF(DATOS!BJ$5="Sí",(1/DATOS_[[% anualiz]:[% anualiz]]),1)*IF(DATOS!BJ$4="Sí",1/DATOS_[[% normaliz]:[% normaliz]],1)*(DATOS_[C.Extra.02])))))))),
0)</f>
        <v>0</v>
      </c>
      <c r="AR67" s="114">
        <f t="array" ref="AR67">IFERROR(
(MEDIAN((IF(DATOS_[[Sexo]:[Sexo]]=$B67,IF(DATOS_[[AGRUP. CLAS. PROF.]:[AGRUP. CLAS. PROF.]]=$B66,IF(DATOS_[[Check Periodo Ref.]:[Check Periodo Ref.]]="Dentro",IF(DATOS_[[Check Equiparado]:[Check Equiparado]]="Sí",IF(DATOS!BK$5="Sí",(1/DATOS_[[% anualiz]:[% anualiz]]),1)*IF(DATOS!BK$4="Sí",1/DATOS_[[% normaliz]:[% normaliz]],1)*(DATOS_[C.Extra.03])))))))),
0)</f>
        <v>0</v>
      </c>
      <c r="AS67" s="114">
        <f t="array" ref="AS67">IFERROR(
(MEDIAN((IF(DATOS_[[Sexo]:[Sexo]]=$B67,IF(DATOS_[[AGRUP. CLAS. PROF.]:[AGRUP. CLAS. PROF.]]=$B66,IF(DATOS_[[Check Periodo Ref.]:[Check Periodo Ref.]]="Dentro",IF(DATOS_[[Check Equiparado]:[Check Equiparado]]="Sí",IF(DATOS!BL$5="Sí",(1/DATOS_[[% anualiz]:[% anualiz]]),1)*IF(DATOS!BL$4="Sí",1/DATOS_[[% normaliz]:[% normaliz]],1)*(DATOS_[C.Extra.04])))))))),
0)</f>
        <v>0</v>
      </c>
      <c r="AT67" s="114">
        <f t="array" ref="AT67">IFERROR(
(MEDIAN((IF(DATOS_[[Sexo]:[Sexo]]=$B67,IF(DATOS_[[AGRUP. CLAS. PROF.]:[AGRUP. CLAS. PROF.]]=$B66,IF(DATOS_[[Check Periodo Ref.]:[Check Periodo Ref.]]="Dentro",IF(DATOS_[[Check Equiparado]:[Check Equiparado]]="Sí",IF(DATOS!BM$5="Sí",(1/DATOS_[[% anualiz]:[% anualiz]]),1)*IF(DATOS!BM$4="Sí",1/DATOS_[[% normaliz]:[% normaliz]],1)*(DATOS_[C.Extra.05])))))))),
0)</f>
        <v>0</v>
      </c>
      <c r="AU67" s="115">
        <f t="array" ref="AU67">IFERROR(
MEDIAN(IF(DATOS_[Sexo]=$B67,IF(DATOS_[[AGRUP. CLAS. PROF.]:[AGRUP. CLAS. PROF.]]=$B66,IF(DATOS_[Check Equiparado]="Sí",IF(DATOS_[Check Periodo Ref.]="Dentro",DATOS_[Tot Extrasalarial Eq],FALSE))))),
0)</f>
        <v>0</v>
      </c>
      <c r="AV67" s="116">
        <f t="array" ref="AV67">IFERROR(
MEDIAN(IF(DATOS_[Sexo]=$B67,IF(DATOS_[[AGRUP. CLAS. PROF.]:[AGRUP. CLAS. PROF.]]=$B66,IF(DATOS_[Check Equiparado]="Sí",IF(DATOS_[Check Periodo Ref.]="Dentro",DATOS_[TOTAL Retrib Eq],FALSE))))),
0)</f>
        <v>0</v>
      </c>
    </row>
    <row r="68" spans="1:48" hidden="1" x14ac:dyDescent="0.3">
      <c r="A68" s="42" t="str">
        <f t="shared" ref="A68" si="74">+A67</f>
        <v>[ocultar]</v>
      </c>
      <c r="B68" s="86" t="s">
        <v>163</v>
      </c>
      <c r="C68" s="33">
        <f t="array" ref="C68">SUM(IF($B68=DATOS_[Sexo],
IF($B66=DATOS_[AGRUP. CLAS. PROF.],
IF("Dentro"=DATOS_[Check Periodo Ref.],
1/(COUNTIFS(DATOS_[Sexo],$B68,DATOS_[AGRUP. CLAS. PROF.],$B66,DATOS_[Check Periodo Ref.],"Dentro",DATOS_[id],DATOS_[id]))))))</f>
        <v>0</v>
      </c>
      <c r="D68" s="35">
        <f>COUNTIFS(DATOS_[AGRUP. CLAS. PROF.],$B66,DATOS_[Sexo],$B68,DATOS_[Check Periodo Ref.],"Dentro")</f>
        <v>0</v>
      </c>
      <c r="E68" s="35">
        <f>COUNTIFS(DATOS_[AGRUP. CLAS. PROF.],$B66,DATOS_[Sexo],$B68,DATOS_[Check Periodo Ref.],"Dentro",DATOS_[Check Nº SC Norm],"Sí")</f>
        <v>0</v>
      </c>
      <c r="F68" s="35">
        <f>COUNTIFS(DATOS_[AGRUP. CLAS. PROF.],$B66,DATOS_[Sexo],$B68,DATOS_[Check Periodo Ref.],"Dentro",DATOS_[Check Nº SC Anualiz],"Sí")</f>
        <v>0</v>
      </c>
      <c r="G68" s="35">
        <f>COUNTIFS(DATOS_[AGRUP. CLAS. PROF.],$B66,DATOS_[Sexo],$B68,DATOS_[Check Periodo Ref.],"Dentro",DATOS_[Check Nº SC Norm y Anualiz],"Sí")</f>
        <v>0</v>
      </c>
      <c r="H68" s="35">
        <f>COUNTIFS(DATOS_[AGRUP. CLAS. PROF.],$B66,DATOS_[Sexo],$B68,DATOS_[Check Periodo Ref.],"Dentro",DATOS_[Check Equiparación],"Sí")</f>
        <v>0</v>
      </c>
      <c r="I68" s="110" cm="1">
        <f t="array" ref="I68">IFERROR(
MEDIAN(IF(DATOS_[Sexo]=$B68,IF(DATOS_[[AGRUP. CLAS. PROF.]:[AGRUP. CLAS. PROF.]]=$B66,IF(DATOS_[Check Equiparado]="Sí",IF(DATOS_[Check Periodo Ref.]="Dentro",DATOS_[SALARIO BASE Eq],FALSE))))),
0)</f>
        <v>0</v>
      </c>
      <c r="J68" s="111">
        <f t="array" ref="J68">IFERROR(
(MEDIAN((IF(DATOS_[[Sexo]:[Sexo]]=$B68,IF(DATOS_[[AGRUP. CLAS. PROF.]:[AGRUP. CLAS. PROF.]]=$B66,IF(DATOS_[[Check Periodo Ref.]:[Check Periodo Ref.]]="Dentro",IF(DATOS_[[Check Equiparado]:[Check Equiparado]]="Sí",IF(DATOS!AE$5="Sí",(1/DATOS_[[% anualiz]:[% anualiz]]),1)*IF(DATOS!AE$4="Sí",1/DATOS_[[% normaliz]:[% normaliz]],1)*(DATOS_[Conc.Sal.01])))))))),
0)</f>
        <v>0</v>
      </c>
      <c r="K68" s="111">
        <f t="array" ref="K68">IFERROR(
(MEDIAN((IF(DATOS_[[Sexo]:[Sexo]]=$B68,IF(DATOS_[[AGRUP. CLAS. PROF.]:[AGRUP. CLAS. PROF.]]=$B66,IF(DATOS_[[Check Periodo Ref.]:[Check Periodo Ref.]]="Dentro",IF(DATOS_[[Check Equiparado]:[Check Equiparado]]="Sí",IF(DATOS!AF$5="Sí",(1/DATOS_[[% anualiz]:[% anualiz]]),1)*IF(DATOS!AF$4="Sí",1/DATOS_[[% normaliz]:[% normaliz]],1)*(DATOS_[Conc.Sal.02])))))))),
0)</f>
        <v>0</v>
      </c>
      <c r="L68" s="111">
        <f t="array" ref="L68">IFERROR(
(MEDIAN((IF(DATOS_[[Sexo]:[Sexo]]=$B68,IF(DATOS_[[AGRUP. CLAS. PROF.]:[AGRUP. CLAS. PROF.]]=$B66,IF(DATOS_[[Check Periodo Ref.]:[Check Periodo Ref.]]="Dentro",IF(DATOS_[[Check Equiparado]:[Check Equiparado]]="Sí",IF(DATOS!AG$5="Sí",(1/DATOS_[[% anualiz]:[% anualiz]]),1)*IF(DATOS!AG$4="Sí",1/DATOS_[[% normaliz]:[% normaliz]],1)*(DATOS_[Conc.Sal.03])))))))),
0)</f>
        <v>0</v>
      </c>
      <c r="M68" s="111">
        <f t="array" ref="M68">IFERROR(
(MEDIAN((IF(DATOS_[[Sexo]:[Sexo]]=$B68,IF(DATOS_[[AGRUP. CLAS. PROF.]:[AGRUP. CLAS. PROF.]]=$B66,IF(DATOS_[[Check Periodo Ref.]:[Check Periodo Ref.]]="Dentro",IF(DATOS_[[Check Equiparado]:[Check Equiparado]]="Sí",IF(DATOS!AH$5="Sí",(1/DATOS_[[% anualiz]:[% anualiz]]),1)*IF(DATOS!AH$4="Sí",1/DATOS_[[% normaliz]:[% normaliz]],1)*(DATOS_[Conc.Sal.04])))))))),
0)</f>
        <v>0</v>
      </c>
      <c r="N68" s="111">
        <f t="array" ref="N68">IFERROR(
(MEDIAN((IF(DATOS_[[Sexo]:[Sexo]]=$B68,IF(DATOS_[[AGRUP. CLAS. PROF.]:[AGRUP. CLAS. PROF.]]=$B66,IF(DATOS_[[Check Periodo Ref.]:[Check Periodo Ref.]]="Dentro",IF(DATOS_[[Check Equiparado]:[Check Equiparado]]="Sí",IF(DATOS!AI$5="Sí",(1/DATOS_[[% anualiz]:[% anualiz]]),1)*IF(DATOS!AI$4="Sí",1/DATOS_[[% normaliz]:[% normaliz]],1)*(DATOS_[Conc.Sal.05])))))))),
0)</f>
        <v>0</v>
      </c>
      <c r="O68" s="111">
        <f t="array" ref="O68">IFERROR(
(MEDIAN((IF(DATOS_[[Sexo]:[Sexo]]=$B68,IF(DATOS_[[AGRUP. CLAS. PROF.]:[AGRUP. CLAS. PROF.]]=$B66,IF(DATOS_[[Check Periodo Ref.]:[Check Periodo Ref.]]="Dentro",IF(DATOS_[[Check Equiparado]:[Check Equiparado]]="Sí",IF(DATOS!AJ$5="Sí",(1/DATOS_[[% anualiz]:[% anualiz]]),1)*IF(DATOS!AJ$4="Sí",1/DATOS_[[% normaliz]:[% normaliz]],1)*(DATOS_[Conc.Sal.06])))))))),
0)</f>
        <v>0</v>
      </c>
      <c r="P68" s="111">
        <f t="array" ref="P68">IFERROR(
(MEDIAN((IF(DATOS_[[Sexo]:[Sexo]]=$B68,IF(DATOS_[[AGRUP. CLAS. PROF.]:[AGRUP. CLAS. PROF.]]=$B66,IF(DATOS_[[Check Periodo Ref.]:[Check Periodo Ref.]]="Dentro",IF(DATOS_[[Check Equiparado]:[Check Equiparado]]="Sí",IF(DATOS!AK$5="Sí",(1/DATOS_[[% anualiz]:[% anualiz]]),1)*IF(DATOS!AK$4="Sí",1/DATOS_[[% normaliz]:[% normaliz]],1)*(DATOS_[Conc.Sal.07])))))))),
0)</f>
        <v>0</v>
      </c>
      <c r="Q68" s="111">
        <f t="array" ref="Q68">IFERROR(
(MEDIAN((IF(DATOS_[[Sexo]:[Sexo]]=$B68,IF(DATOS_[[AGRUP. CLAS. PROF.]:[AGRUP. CLAS. PROF.]]=$B66,IF(DATOS_[[Check Periodo Ref.]:[Check Periodo Ref.]]="Dentro",IF(DATOS_[[Check Equiparado]:[Check Equiparado]]="Sí",IF(DATOS!AL$5="Sí",(1/DATOS_[[% anualiz]:[% anualiz]]),1)*IF(DATOS!AL$4="Sí",1/DATOS_[[% normaliz]:[% normaliz]],1)*(DATOS_[Conc.Sal.08])))))))),
0)</f>
        <v>0</v>
      </c>
      <c r="R68" s="111">
        <f t="array" ref="R68">IFERROR(
(MEDIAN((IF(DATOS_[[Sexo]:[Sexo]]=$B68,IF(DATOS_[[AGRUP. CLAS. PROF.]:[AGRUP. CLAS. PROF.]]=$B66,IF(DATOS_[[Check Periodo Ref.]:[Check Periodo Ref.]]="Dentro",IF(DATOS_[[Check Equiparado]:[Check Equiparado]]="Sí",IF(DATOS!AM$5="Sí",(1/DATOS_[[% anualiz]:[% anualiz]]),1)*IF(DATOS!AM$4="Sí",1/DATOS_[[% normaliz]:[% normaliz]],1)*(DATOS_[Conc.Sal.09])))))))),
0)</f>
        <v>0</v>
      </c>
      <c r="S68" s="111">
        <f t="array" ref="S68">IFERROR(
(MEDIAN((IF(DATOS_[[Sexo]:[Sexo]]=$B68,IF(DATOS_[[AGRUP. CLAS. PROF.]:[AGRUP. CLAS. PROF.]]=$B66,IF(DATOS_[[Check Periodo Ref.]:[Check Periodo Ref.]]="Dentro",IF(DATOS_[[Check Equiparado]:[Check Equiparado]]="Sí",IF(DATOS!AN$5="Sí",(1/DATOS_[[% anualiz]:[% anualiz]]),1)*IF(DATOS!AN$4="Sí",1/DATOS_[[% normaliz]:[% normaliz]],1)*(DATOS_[Conc.Sal.10])))))))),
0)</f>
        <v>0</v>
      </c>
      <c r="T68" s="111">
        <f t="array" ref="T68">IFERROR(
(MEDIAN((IF(DATOS_[[Sexo]:[Sexo]]=$B68,IF(DATOS_[[AGRUP. CLAS. PROF.]:[AGRUP. CLAS. PROF.]]=$B66,IF(DATOS_[[Check Periodo Ref.]:[Check Periodo Ref.]]="Dentro",IF(DATOS_[[Check Equiparado]:[Check Equiparado]]="Sí",IF(DATOS!AO$5="Sí",(1/DATOS_[[% anualiz]:[% anualiz]]),1)*IF(DATOS!AO$4="Sí",1/DATOS_[[% normaliz]:[% normaliz]],1)*(DATOS_[Conc.Sal.11])))))))),
0)</f>
        <v>0</v>
      </c>
      <c r="U68" s="111">
        <f t="array" ref="U68">IFERROR(
(MEDIAN((IF(DATOS_[[Sexo]:[Sexo]]=$B68,IF(DATOS_[[AGRUP. CLAS. PROF.]:[AGRUP. CLAS. PROF.]]=$B66,IF(DATOS_[[Check Periodo Ref.]:[Check Periodo Ref.]]="Dentro",IF(DATOS_[[Check Equiparado]:[Check Equiparado]]="Sí",IF(DATOS!AP$5="Sí",(1/DATOS_[[% anualiz]:[% anualiz]]),1)*IF(DATOS!AP$4="Sí",1/DATOS_[[% normaliz]:[% normaliz]],1)*(DATOS_[Conc.Sal.12])))))))),
0)</f>
        <v>0</v>
      </c>
      <c r="V68" s="111">
        <f t="array" ref="V68">IFERROR(
(MEDIAN((IF(DATOS_[[Sexo]:[Sexo]]=$B68,IF(DATOS_[[AGRUP. CLAS. PROF.]:[AGRUP. CLAS. PROF.]]=$B66,IF(DATOS_[[Check Periodo Ref.]:[Check Periodo Ref.]]="Dentro",IF(DATOS_[[Check Equiparado]:[Check Equiparado]]="Sí",IF(DATOS!AQ$5="Sí",(1/DATOS_[[% anualiz]:[% anualiz]]),1)*IF(DATOS!AQ$4="Sí",1/DATOS_[[% normaliz]:[% normaliz]],1)*(DATOS_[Conc.Sal.13])))))))),
0)</f>
        <v>0</v>
      </c>
      <c r="W68" s="111">
        <f t="array" ref="W68">IFERROR(
(MEDIAN((IF(DATOS_[[Sexo]:[Sexo]]=$B68,IF(DATOS_[[AGRUP. CLAS. PROF.]:[AGRUP. CLAS. PROF.]]=$B66,IF(DATOS_[[Check Periodo Ref.]:[Check Periodo Ref.]]="Dentro",IF(DATOS_[[Check Equiparado]:[Check Equiparado]]="Sí",IF(DATOS!AR$5="Sí",(1/DATOS_[[% anualiz]:[% anualiz]]),1)*IF(DATOS!AR$4="Sí",1/DATOS_[[% normaliz]:[% normaliz]],1)*(DATOS_[Conc.Sal.14])))))))),
0)</f>
        <v>0</v>
      </c>
      <c r="X68" s="111">
        <f t="array" ref="X68">IFERROR(
(MEDIAN((IF(DATOS_[[Sexo]:[Sexo]]=$B68,IF(DATOS_[[AGRUP. CLAS. PROF.]:[AGRUP. CLAS. PROF.]]=$B66,IF(DATOS_[[Check Periodo Ref.]:[Check Periodo Ref.]]="Dentro",IF(DATOS_[[Check Equiparado]:[Check Equiparado]]="Sí",IF(DATOS!AS$5="Sí",(1/DATOS_[[% anualiz]:[% anualiz]]),1)*IF(DATOS!AS$4="Sí",1/DATOS_[[% normaliz]:[% normaliz]],1)*(DATOS_[Conc.Sal.15])))))))),
0)</f>
        <v>0</v>
      </c>
      <c r="Y68" s="111">
        <f t="array" ref="Y68">IFERROR(
(MEDIAN((IF(DATOS_[[Sexo]:[Sexo]]=$B68,IF(DATOS_[[AGRUP. CLAS. PROF.]:[AGRUP. CLAS. PROF.]]=$B66,IF(DATOS_[[Check Periodo Ref.]:[Check Periodo Ref.]]="Dentro",IF(DATOS_[[Check Equiparado]:[Check Equiparado]]="Sí",IF(DATOS!AT$5="Sí",(1/DATOS_[[% anualiz]:[% anualiz]]),1)*IF(DATOS!AT$4="Sí",1/DATOS_[[% normaliz]:[% normaliz]],1)*(DATOS_[Conc.Sal.16])))))))),
0)</f>
        <v>0</v>
      </c>
      <c r="Z68" s="111">
        <f t="array" ref="Z68">IFERROR(
(MEDIAN((IF(DATOS_[[Sexo]:[Sexo]]=$B68,IF(DATOS_[[AGRUP. CLAS. PROF.]:[AGRUP. CLAS. PROF.]]=$B66,IF(DATOS_[[Check Periodo Ref.]:[Check Periodo Ref.]]="Dentro",IF(DATOS_[[Check Equiparado]:[Check Equiparado]]="Sí",IF(DATOS!AU$5="Sí",(1/DATOS_[[% anualiz]:[% anualiz]]),1)*IF(DATOS!AU$4="Sí",1/DATOS_[[% normaliz]:[% normaliz]],1)*(DATOS_[Conc.Sal.17])))))))),
0)</f>
        <v>0</v>
      </c>
      <c r="AA68" s="111">
        <f t="array" ref="AA68">IFERROR(
(MEDIAN((IF(DATOS_[[Sexo]:[Sexo]]=$B68,IF(DATOS_[[AGRUP. CLAS. PROF.]:[AGRUP. CLAS. PROF.]]=$B66,IF(DATOS_[[Check Periodo Ref.]:[Check Periodo Ref.]]="Dentro",IF(DATOS_[[Check Equiparado]:[Check Equiparado]]="Sí",IF(DATOS!AV$5="Sí",(1/DATOS_[[% anualiz]:[% anualiz]]),1)*IF(DATOS!AV$4="Sí",1/DATOS_[[% normaliz]:[% normaliz]],1)*(DATOS_[Conc.Sal.18])))))))),
0)</f>
        <v>0</v>
      </c>
      <c r="AB68" s="111">
        <f t="array" ref="AB68">IFERROR(
(MEDIAN((IF(DATOS_[[Sexo]:[Sexo]]=$B68,IF(DATOS_[[AGRUP. CLAS. PROF.]:[AGRUP. CLAS. PROF.]]=$B66,IF(DATOS_[[Check Periodo Ref.]:[Check Periodo Ref.]]="Dentro",IF(DATOS_[[Check Equiparado]:[Check Equiparado]]="Sí",IF(DATOS!AW$5="Sí",(1/DATOS_[[% anualiz]:[% anualiz]]),1)*IF(DATOS!AW$4="Sí",1/DATOS_[[% normaliz]:[% normaliz]],1)*(DATOS_[Conc.Sal.19])))))))),
0)</f>
        <v>0</v>
      </c>
      <c r="AC68" s="111">
        <f t="array" ref="AC68">IFERROR(
(MEDIAN((IF(DATOS_[[Sexo]:[Sexo]]=$B68,IF(DATOS_[[AGRUP. CLAS. PROF.]:[AGRUP. CLAS. PROF.]]=$B66,IF(DATOS_[[Check Periodo Ref.]:[Check Periodo Ref.]]="Dentro",IF(DATOS_[[Check Equiparado]:[Check Equiparado]]="Sí",IF(DATOS!AX$5="Sí",(1/DATOS_[[% anualiz]:[% anualiz]]),1)*IF(DATOS!AX$4="Sí",1/DATOS_[[% normaliz]:[% normaliz]],1)*(DATOS_[Conc.Sal.20])))))))),
0)</f>
        <v>0</v>
      </c>
      <c r="AD68" s="111">
        <f t="array" ref="AD68">IFERROR(
(MEDIAN((IF(DATOS_[[Sexo]:[Sexo]]=$B68,IF(DATOS_[[AGRUP. CLAS. PROF.]:[AGRUP. CLAS. PROF.]]=$B66,IF(DATOS_[[Check Periodo Ref.]:[Check Periodo Ref.]]="Dentro",IF(DATOS_[[Check Equiparado]:[Check Equiparado]]="Sí",IF(DATOS!AY$5="Sí",(1/DATOS_[[% anualiz]:[% anualiz]]),1)*IF(DATOS!AY$4="Sí",1/DATOS_[[% normaliz]:[% normaliz]],1)*(DATOS_[Conc.Sal.21])))))))),
0)</f>
        <v>0</v>
      </c>
      <c r="AE68" s="111">
        <f t="array" ref="AE68">IFERROR(
(MEDIAN((IF(DATOS_[[Sexo]:[Sexo]]=$B68,IF(DATOS_[[AGRUP. CLAS. PROF.]:[AGRUP. CLAS. PROF.]]=$B66,IF(DATOS_[[Check Periodo Ref.]:[Check Periodo Ref.]]="Dentro",IF(DATOS_[[Check Equiparado]:[Check Equiparado]]="Sí",IF(DATOS!AZ$5="Sí",(1/DATOS_[[% anualiz]:[% anualiz]]),1)*IF(DATOS!AZ$4="Sí",1/DATOS_[[% normaliz]:[% normaliz]],1)*(DATOS_[Conc.Sal.22])))))))),
0)</f>
        <v>0</v>
      </c>
      <c r="AF68" s="111">
        <f t="array" ref="AF68">IFERROR(
(MEDIAN((IF(DATOS_[[Sexo]:[Sexo]]=$B68,IF(DATOS_[[AGRUP. CLAS. PROF.]:[AGRUP. CLAS. PROF.]]=$B66,IF(DATOS_[[Check Periodo Ref.]:[Check Periodo Ref.]]="Dentro",IF(DATOS_[[Check Equiparado]:[Check Equiparado]]="Sí",IF(DATOS!BA$5="Sí",(1/DATOS_[[% anualiz]:[% anualiz]]),1)*IF(DATOS!BA$4="Sí",1/DATOS_[[% normaliz]:[% normaliz]],1)*(DATOS_[Conc.Sal.23])))))))),
0)</f>
        <v>0</v>
      </c>
      <c r="AG68" s="111">
        <f t="array" ref="AG68">IFERROR(
(MEDIAN((IF(DATOS_[[Sexo]:[Sexo]]=$B68,IF(DATOS_[[AGRUP. CLAS. PROF.]:[AGRUP. CLAS. PROF.]]=$B66,IF(DATOS_[[Check Periodo Ref.]:[Check Periodo Ref.]]="Dentro",IF(DATOS_[[Check Equiparado]:[Check Equiparado]]="Sí",IF(DATOS!BB$5="Sí",(1/DATOS_[[% anualiz]:[% anualiz]]),1)*IF(DATOS!BB$4="Sí",1/DATOS_[[% normaliz]:[% normaliz]],1)*(DATOS_[Conc.Sal.24])))))))),
0)</f>
        <v>0</v>
      </c>
      <c r="AH68" s="111">
        <f t="array" ref="AH68">IFERROR(
(MEDIAN((IF(DATOS_[[Sexo]:[Sexo]]=$B68,IF(DATOS_[[AGRUP. CLAS. PROF.]:[AGRUP. CLAS. PROF.]]=$B66,IF(DATOS_[[Check Periodo Ref.]:[Check Periodo Ref.]]="Dentro",IF(DATOS_[[Check Equiparado]:[Check Equiparado]]="Sí",IF(DATOS!BC$5="Sí",(1/DATOS_[[% anualiz]:[% anualiz]]),1)*IF(DATOS!BC$4="Sí",1/DATOS_[[% normaliz]:[% normaliz]],1)*(DATOS_[Conc.Sal.25])))))))),
0)</f>
        <v>0</v>
      </c>
      <c r="AI68" s="111">
        <f t="array" ref="AI68">IFERROR(
(MEDIAN((IF(DATOS_[[Sexo]:[Sexo]]=$B68,IF(DATOS_[[AGRUP. CLAS. PROF.]:[AGRUP. CLAS. PROF.]]=$B66,IF(DATOS_[[Check Periodo Ref.]:[Check Periodo Ref.]]="Dentro",IF(DATOS_[[Check Equiparado]:[Check Equiparado]]="Sí",IF(DATOS!BD$5="Sí",(1/DATOS_[[% anualiz]:[% anualiz]]),1)*IF(DATOS!BD$4="Sí",1/DATOS_[[% normaliz]:[% normaliz]],1)*(DATOS_[Conc.Sal.26])))))))),
0)</f>
        <v>0</v>
      </c>
      <c r="AJ68" s="111">
        <f t="array" ref="AJ68">IFERROR(
(MEDIAN((IF(DATOS_[[Sexo]:[Sexo]]=$B68,IF(DATOS_[[AGRUP. CLAS. PROF.]:[AGRUP. CLAS. PROF.]]=$B66,IF(DATOS_[[Check Periodo Ref.]:[Check Periodo Ref.]]="Dentro",IF(DATOS_[[Check Equiparado]:[Check Equiparado]]="Sí",IF(DATOS!BE$5="Sí",(1/DATOS_[[% anualiz]:[% anualiz]]),1)*IF(DATOS!BE$4="Sí",1/DATOS_[[% normaliz]:[% normaliz]],1)*(DATOS_[Conc.Sal.27])))))))),
0)</f>
        <v>0</v>
      </c>
      <c r="AK68" s="111">
        <f t="array" ref="AK68">IFERROR(
(MEDIAN((IF(DATOS_[[Sexo]:[Sexo]]=$B68,IF(DATOS_[[AGRUP. CLAS. PROF.]:[AGRUP. CLAS. PROF.]]=$B66,IF(DATOS_[[Check Periodo Ref.]:[Check Periodo Ref.]]="Dentro",IF(DATOS_[[Check Equiparado]:[Check Equiparado]]="Sí",IF(DATOS!BF$5="Sí",(1/DATOS_[[% anualiz]:[% anualiz]]),1)*IF(DATOS!BF$4="Sí",1/DATOS_[[% normaliz]:[% normaliz]],1)*(DATOS_[Conc.Sal.28])))))))),
0)</f>
        <v>0</v>
      </c>
      <c r="AL68" s="111">
        <f t="array" ref="AL68">IFERROR(
(MEDIAN((IF(DATOS_[[Sexo]:[Sexo]]=$B68,IF(DATOS_[[AGRUP. CLAS. PROF.]:[AGRUP. CLAS. PROF.]]=$B66,IF(DATOS_[[Check Periodo Ref.]:[Check Periodo Ref.]]="Dentro",IF(DATOS_[[Check Equiparado]:[Check Equiparado]]="Sí",IF(DATOS!BG$5="Sí",(1/DATOS_[[% anualiz]:[% anualiz]]),1)*IF(DATOS!BG$4="Sí",1/DATOS_[[% normaliz]:[% normaliz]],1)*(DATOS_[Conc.Sal.29])))))))),
0)</f>
        <v>0</v>
      </c>
      <c r="AM68" s="111">
        <f t="array" ref="AM68">IFERROR(
(MEDIAN((IF(DATOS_[[Sexo]:[Sexo]]=$B68,IF(DATOS_[[AGRUP. CLAS. PROF.]:[AGRUP. CLAS. PROF.]]=$B66,IF(DATOS_[[Check Periodo Ref.]:[Check Periodo Ref.]]="Dentro",IF(DATOS_[[Check Equiparado]:[Check Equiparado]]="Sí",IF(DATOS!BH$5="Sí",(1/DATOS_[[% anualiz]:[% anualiz]]),1)*IF(DATOS!BH$4="Sí",1/DATOS_[[% normaliz]:[% normaliz]],1)*(DATOS_[Conc.Sal.30])))))))),
0)</f>
        <v>0</v>
      </c>
      <c r="AN68" s="112">
        <f t="array" ref="AN68">IFERROR(
MEDIAN(IF(DATOS_[Sexo]=$B68,IF(DATOS_[[AGRUP. CLAS. PROF.]:[AGRUP. CLAS. PROF.]]=$B66,IF(DATOS_[Check Equiparado]="Sí",IF(DATOS_[Check Periodo Ref.]="Dentro",DATOS_[Tot COMPL.SAL Eq],FALSE))))),
0)</f>
        <v>0</v>
      </c>
      <c r="AO68" s="113">
        <f t="array" ref="AO68">IFERROR(
MEDIAN(IF(DATOS_[Sexo]=$B68,IF(DATOS_[[AGRUP. CLAS. PROF.]:[AGRUP. CLAS. PROF.]]=$B66,IF(DATOS_[Check Equiparado]="Sí",IF(DATOS_[Check Periodo Ref.]="Dentro",DATOS_[TOTAL SALARIO Eq],FALSE))))),
0)</f>
        <v>0</v>
      </c>
      <c r="AP68" s="114">
        <f t="array" ref="AP68">IFERROR(
(MEDIAN((IF(DATOS_[[Sexo]:[Sexo]]=$B68,IF(DATOS_[[AGRUP. CLAS. PROF.]:[AGRUP. CLAS. PROF.]]=$B66,IF(DATOS_[[Check Periodo Ref.]:[Check Periodo Ref.]]="Dentro",IF(DATOS_[[Check Equiparado]:[Check Equiparado]]="Sí",IF(DATOS!BI$5="Sí",(1/DATOS_[[% anualiz]:[% anualiz]]),1)*IF(DATOS!BI$4="Sí",1/DATOS_[[% normaliz]:[% normaliz]],1)*(DATOS_[C.Extra.01])))))))),
0)</f>
        <v>0</v>
      </c>
      <c r="AQ68" s="114">
        <f t="array" ref="AQ68">IFERROR(
(MEDIAN((IF(DATOS_[[Sexo]:[Sexo]]=$B68,IF(DATOS_[[AGRUP. CLAS. PROF.]:[AGRUP. CLAS. PROF.]]=$B66,IF(DATOS_[[Check Periodo Ref.]:[Check Periodo Ref.]]="Dentro",IF(DATOS_[[Check Equiparado]:[Check Equiparado]]="Sí",IF(DATOS!BJ$5="Sí",(1/DATOS_[[% anualiz]:[% anualiz]]),1)*IF(DATOS!BJ$4="Sí",1/DATOS_[[% normaliz]:[% normaliz]],1)*(DATOS_[C.Extra.02])))))))),
0)</f>
        <v>0</v>
      </c>
      <c r="AR68" s="114">
        <f t="array" ref="AR68">IFERROR(
(MEDIAN((IF(DATOS_[[Sexo]:[Sexo]]=$B68,IF(DATOS_[[AGRUP. CLAS. PROF.]:[AGRUP. CLAS. PROF.]]=$B66,IF(DATOS_[[Check Periodo Ref.]:[Check Periodo Ref.]]="Dentro",IF(DATOS_[[Check Equiparado]:[Check Equiparado]]="Sí",IF(DATOS!BK$5="Sí",(1/DATOS_[[% anualiz]:[% anualiz]]),1)*IF(DATOS!BK$4="Sí",1/DATOS_[[% normaliz]:[% normaliz]],1)*(DATOS_[C.Extra.03])))))))),
0)</f>
        <v>0</v>
      </c>
      <c r="AS68" s="114">
        <f t="array" ref="AS68">IFERROR(
(MEDIAN((IF(DATOS_[[Sexo]:[Sexo]]=$B68,IF(DATOS_[[AGRUP. CLAS. PROF.]:[AGRUP. CLAS. PROF.]]=$B66,IF(DATOS_[[Check Periodo Ref.]:[Check Periodo Ref.]]="Dentro",IF(DATOS_[[Check Equiparado]:[Check Equiparado]]="Sí",IF(DATOS!BL$5="Sí",(1/DATOS_[[% anualiz]:[% anualiz]]),1)*IF(DATOS!BL$4="Sí",1/DATOS_[[% normaliz]:[% normaliz]],1)*(DATOS_[C.Extra.04])))))))),
0)</f>
        <v>0</v>
      </c>
      <c r="AT68" s="114">
        <f t="array" ref="AT68">IFERROR(
(MEDIAN((IF(DATOS_[[Sexo]:[Sexo]]=$B68,IF(DATOS_[[AGRUP. CLAS. PROF.]:[AGRUP. CLAS. PROF.]]=$B66,IF(DATOS_[[Check Periodo Ref.]:[Check Periodo Ref.]]="Dentro",IF(DATOS_[[Check Equiparado]:[Check Equiparado]]="Sí",IF(DATOS!BM$5="Sí",(1/DATOS_[[% anualiz]:[% anualiz]]),1)*IF(DATOS!BM$4="Sí",1/DATOS_[[% normaliz]:[% normaliz]],1)*(DATOS_[C.Extra.05])))))))),
0)</f>
        <v>0</v>
      </c>
      <c r="AU68" s="115">
        <f t="array" ref="AU68">IFERROR(
MEDIAN(IF(DATOS_[Sexo]=$B68,IF(DATOS_[[AGRUP. CLAS. PROF.]:[AGRUP. CLAS. PROF.]]=$B66,IF(DATOS_[Check Equiparado]="Sí",IF(DATOS_[Check Periodo Ref.]="Dentro",DATOS_[Tot Extrasalarial Eq],FALSE))))),
0)</f>
        <v>0</v>
      </c>
      <c r="AV68" s="116">
        <f t="array" ref="AV68">IFERROR(
MEDIAN(IF(DATOS_[Sexo]=$B68,IF(DATOS_[[AGRUP. CLAS. PROF.]:[AGRUP. CLAS. PROF.]]=$B66,IF(DATOS_[Check Equiparado]="Sí",IF(DATOS_[Check Periodo Ref.]="Dentro",DATOS_[TOTAL Retrib Eq],FALSE))))),
0)</f>
        <v>0</v>
      </c>
    </row>
    <row r="69" spans="1:48" ht="17.25" hidden="1" thickBot="1" x14ac:dyDescent="0.35">
      <c r="A69" s="42" t="str">
        <f t="shared" ref="A69" si="75">+A70</f>
        <v>[ocultar]</v>
      </c>
      <c r="B69" s="90" t="s">
        <v>235</v>
      </c>
      <c r="C69" s="109"/>
      <c r="D69" s="41"/>
      <c r="E69" s="41"/>
      <c r="F69" s="41"/>
      <c r="G69" s="41"/>
      <c r="H69" s="41"/>
      <c r="I69" s="119" t="str">
        <f t="shared" ref="I69:AV69" si="76">IFERROR((I70-I71)/I70,"")</f>
        <v/>
      </c>
      <c r="J69" s="123" t="str">
        <f t="shared" si="76"/>
        <v/>
      </c>
      <c r="K69" s="123" t="str">
        <f t="shared" si="76"/>
        <v/>
      </c>
      <c r="L69" s="123" t="str">
        <f t="shared" si="76"/>
        <v/>
      </c>
      <c r="M69" s="123" t="str">
        <f t="shared" si="76"/>
        <v/>
      </c>
      <c r="N69" s="123" t="str">
        <f t="shared" si="76"/>
        <v/>
      </c>
      <c r="O69" s="123" t="str">
        <f t="shared" si="76"/>
        <v/>
      </c>
      <c r="P69" s="123" t="str">
        <f t="shared" si="76"/>
        <v/>
      </c>
      <c r="Q69" s="123" t="str">
        <f t="shared" si="76"/>
        <v/>
      </c>
      <c r="R69" s="123" t="str">
        <f t="shared" si="76"/>
        <v/>
      </c>
      <c r="S69" s="123" t="str">
        <f t="shared" si="76"/>
        <v/>
      </c>
      <c r="T69" s="123" t="str">
        <f t="shared" si="76"/>
        <v/>
      </c>
      <c r="U69" s="123" t="str">
        <f t="shared" si="76"/>
        <v/>
      </c>
      <c r="V69" s="123" t="str">
        <f t="shared" si="76"/>
        <v/>
      </c>
      <c r="W69" s="123" t="str">
        <f t="shared" si="76"/>
        <v/>
      </c>
      <c r="X69" s="123" t="str">
        <f t="shared" si="76"/>
        <v/>
      </c>
      <c r="Y69" s="123" t="str">
        <f t="shared" si="76"/>
        <v/>
      </c>
      <c r="Z69" s="122" t="str">
        <f t="shared" si="76"/>
        <v/>
      </c>
      <c r="AA69" s="122" t="str">
        <f t="shared" si="76"/>
        <v/>
      </c>
      <c r="AB69" s="122" t="str">
        <f t="shared" si="76"/>
        <v/>
      </c>
      <c r="AC69" s="122" t="str">
        <f t="shared" si="76"/>
        <v/>
      </c>
      <c r="AD69" s="122" t="str">
        <f t="shared" si="76"/>
        <v/>
      </c>
      <c r="AE69" s="122" t="str">
        <f t="shared" si="76"/>
        <v/>
      </c>
      <c r="AF69" s="122" t="str">
        <f t="shared" si="76"/>
        <v/>
      </c>
      <c r="AG69" s="122" t="str">
        <f t="shared" si="76"/>
        <v/>
      </c>
      <c r="AH69" s="122" t="str">
        <f t="shared" si="76"/>
        <v/>
      </c>
      <c r="AI69" s="122" t="str">
        <f t="shared" si="76"/>
        <v/>
      </c>
      <c r="AJ69" s="122" t="str">
        <f t="shared" si="76"/>
        <v/>
      </c>
      <c r="AK69" s="122" t="str">
        <f t="shared" si="76"/>
        <v/>
      </c>
      <c r="AL69" s="122" t="str">
        <f t="shared" si="76"/>
        <v/>
      </c>
      <c r="AM69" s="122" t="str">
        <f t="shared" si="76"/>
        <v/>
      </c>
      <c r="AN69" s="124" t="str">
        <f t="shared" si="76"/>
        <v/>
      </c>
      <c r="AO69" s="128" t="str">
        <f t="shared" si="76"/>
        <v/>
      </c>
      <c r="AP69" s="125" t="str">
        <f t="shared" si="76"/>
        <v/>
      </c>
      <c r="AQ69" s="125" t="str">
        <f t="shared" si="76"/>
        <v/>
      </c>
      <c r="AR69" s="125" t="str">
        <f t="shared" si="76"/>
        <v/>
      </c>
      <c r="AS69" s="125" t="str">
        <f t="shared" si="76"/>
        <v/>
      </c>
      <c r="AT69" s="125" t="str">
        <f t="shared" si="76"/>
        <v/>
      </c>
      <c r="AU69" s="126" t="str">
        <f t="shared" si="76"/>
        <v/>
      </c>
      <c r="AV69" s="127" t="str">
        <f t="shared" si="76"/>
        <v/>
      </c>
    </row>
    <row r="70" spans="1:48" hidden="1" x14ac:dyDescent="0.3">
      <c r="A70" s="42" t="str">
        <f t="shared" ref="A70" si="77">+IF(C70+C71=0,"[ocultar]","")</f>
        <v>[ocultar]</v>
      </c>
      <c r="B70" s="86" t="s">
        <v>162</v>
      </c>
      <c r="C70" s="33">
        <f t="array" ref="C70">SUM(IF($B70=DATOS_[Sexo],
IF($B69=DATOS_[AGRUP. CLAS. PROF.],
IF("Dentro"=DATOS_[Check Periodo Ref.],
1/(COUNTIFS(DATOS_[Sexo],$B70,DATOS_[AGRUP. CLAS. PROF.],$B69,DATOS_[Check Periodo Ref.],"Dentro",DATOS_[id],DATOS_[id]))))))</f>
        <v>0</v>
      </c>
      <c r="D70" s="35">
        <f>COUNTIFS(DATOS_[AGRUP. CLAS. PROF.],$B69,DATOS_[Sexo],$B70,DATOS_[Check Periodo Ref.],"Dentro")</f>
        <v>0</v>
      </c>
      <c r="E70" s="35">
        <f>COUNTIFS(DATOS_[AGRUP. CLAS. PROF.],$B69,DATOS_[Sexo],$B70,DATOS_[Check Periodo Ref.],"Dentro",DATOS_[Check Nº SC Norm],"Sí")</f>
        <v>0</v>
      </c>
      <c r="F70" s="35">
        <f>COUNTIFS(DATOS_[AGRUP. CLAS. PROF.],$B69,DATOS_[Sexo],$B70,DATOS_[Check Periodo Ref.],"Dentro",DATOS_[Check Nº SC Anualiz],"Sí")</f>
        <v>0</v>
      </c>
      <c r="G70" s="35">
        <f>COUNTIFS(DATOS_[AGRUP. CLAS. PROF.],$B69,DATOS_[Sexo],$B70,DATOS_[Check Periodo Ref.],"Dentro",DATOS_[Check Nº SC Norm y Anualiz],"Sí")</f>
        <v>0</v>
      </c>
      <c r="H70" s="35">
        <f>COUNTIFS(DATOS_[AGRUP. CLAS. PROF.],$B69,DATOS_[Sexo],$B70,DATOS_[Check Periodo Ref.],"Dentro",DATOS_[Check Equiparación],"Sí")</f>
        <v>0</v>
      </c>
      <c r="I70" s="110">
        <f t="array" ref="I70">IFERROR(
MEDIAN(IF(DATOS_[Sexo]=$B70,IF(DATOS_[[AGRUP. CLAS. PROF.]:[AGRUP. CLAS. PROF.]]=$B69,IF(DATOS_[Check Equiparado]="Sí",IF(DATOS_[Check Periodo Ref.]="Dentro",DATOS_[SALARIO BASE Eq],FALSE))))),
0)</f>
        <v>0</v>
      </c>
      <c r="J70" s="111">
        <f t="array" ref="J70">IFERROR(
(MEDIAN((IF(DATOS_[[Sexo]:[Sexo]]=$B70,IF(DATOS_[[AGRUP. CLAS. PROF.]:[AGRUP. CLAS. PROF.]]=$B69,IF(DATOS_[[Check Periodo Ref.]:[Check Periodo Ref.]]="Dentro",IF(DATOS_[[Check Equiparado]:[Check Equiparado]]="Sí",IF(DATOS!AE$5="Sí",(1/DATOS_[[% anualiz]:[% anualiz]]),1)*IF(DATOS!AE$4="Sí",1/DATOS_[[% normaliz]:[% normaliz]],1)*(DATOS_[Conc.Sal.01])))))))),
0)</f>
        <v>0</v>
      </c>
      <c r="K70" s="111">
        <f t="array" ref="K70">IFERROR(
(MEDIAN((IF(DATOS_[[Sexo]:[Sexo]]=$B70,IF(DATOS_[[AGRUP. CLAS. PROF.]:[AGRUP. CLAS. PROF.]]=$B69,IF(DATOS_[[Check Periodo Ref.]:[Check Periodo Ref.]]="Dentro",IF(DATOS_[[Check Equiparado]:[Check Equiparado]]="Sí",IF(DATOS!AF$5="Sí",(1/DATOS_[[% anualiz]:[% anualiz]]),1)*IF(DATOS!AF$4="Sí",1/DATOS_[[% normaliz]:[% normaliz]],1)*(DATOS_[Conc.Sal.02])))))))),
0)</f>
        <v>0</v>
      </c>
      <c r="L70" s="111">
        <f t="array" ref="L70">IFERROR(
(MEDIAN((IF(DATOS_[[Sexo]:[Sexo]]=$B70,IF(DATOS_[[AGRUP. CLAS. PROF.]:[AGRUP. CLAS. PROF.]]=$B69,IF(DATOS_[[Check Periodo Ref.]:[Check Periodo Ref.]]="Dentro",IF(DATOS_[[Check Equiparado]:[Check Equiparado]]="Sí",IF(DATOS!AG$5="Sí",(1/DATOS_[[% anualiz]:[% anualiz]]),1)*IF(DATOS!AG$4="Sí",1/DATOS_[[% normaliz]:[% normaliz]],1)*(DATOS_[Conc.Sal.03])))))))),
0)</f>
        <v>0</v>
      </c>
      <c r="M70" s="111">
        <f t="array" ref="M70">IFERROR(
(MEDIAN((IF(DATOS_[[Sexo]:[Sexo]]=$B70,IF(DATOS_[[AGRUP. CLAS. PROF.]:[AGRUP. CLAS. PROF.]]=$B69,IF(DATOS_[[Check Periodo Ref.]:[Check Periodo Ref.]]="Dentro",IF(DATOS_[[Check Equiparado]:[Check Equiparado]]="Sí",IF(DATOS!AH$5="Sí",(1/DATOS_[[% anualiz]:[% anualiz]]),1)*IF(DATOS!AH$4="Sí",1/DATOS_[[% normaliz]:[% normaliz]],1)*(DATOS_[Conc.Sal.04])))))))),
0)</f>
        <v>0</v>
      </c>
      <c r="N70" s="111">
        <f t="array" ref="N70">IFERROR(
(MEDIAN((IF(DATOS_[[Sexo]:[Sexo]]=$B70,IF(DATOS_[[AGRUP. CLAS. PROF.]:[AGRUP. CLAS. PROF.]]=$B69,IF(DATOS_[[Check Periodo Ref.]:[Check Periodo Ref.]]="Dentro",IF(DATOS_[[Check Equiparado]:[Check Equiparado]]="Sí",IF(DATOS!AI$5="Sí",(1/DATOS_[[% anualiz]:[% anualiz]]),1)*IF(DATOS!AI$4="Sí",1/DATOS_[[% normaliz]:[% normaliz]],1)*(DATOS_[Conc.Sal.05])))))))),
0)</f>
        <v>0</v>
      </c>
      <c r="O70" s="111">
        <f t="array" ref="O70">IFERROR(
(MEDIAN((IF(DATOS_[[Sexo]:[Sexo]]=$B70,IF(DATOS_[[AGRUP. CLAS. PROF.]:[AGRUP. CLAS. PROF.]]=$B69,IF(DATOS_[[Check Periodo Ref.]:[Check Periodo Ref.]]="Dentro",IF(DATOS_[[Check Equiparado]:[Check Equiparado]]="Sí",IF(DATOS!AJ$5="Sí",(1/DATOS_[[% anualiz]:[% anualiz]]),1)*IF(DATOS!AJ$4="Sí",1/DATOS_[[% normaliz]:[% normaliz]],1)*(DATOS_[Conc.Sal.06])))))))),
0)</f>
        <v>0</v>
      </c>
      <c r="P70" s="111">
        <f t="array" ref="P70">IFERROR(
(MEDIAN((IF(DATOS_[[Sexo]:[Sexo]]=$B70,IF(DATOS_[[AGRUP. CLAS. PROF.]:[AGRUP. CLAS. PROF.]]=$B69,IF(DATOS_[[Check Periodo Ref.]:[Check Periodo Ref.]]="Dentro",IF(DATOS_[[Check Equiparado]:[Check Equiparado]]="Sí",IF(DATOS!AK$5="Sí",(1/DATOS_[[% anualiz]:[% anualiz]]),1)*IF(DATOS!AK$4="Sí",1/DATOS_[[% normaliz]:[% normaliz]],1)*(DATOS_[Conc.Sal.07])))))))),
0)</f>
        <v>0</v>
      </c>
      <c r="Q70" s="111">
        <f t="array" ref="Q70">IFERROR(
(MEDIAN((IF(DATOS_[[Sexo]:[Sexo]]=$B70,IF(DATOS_[[AGRUP. CLAS. PROF.]:[AGRUP. CLAS. PROF.]]=$B69,IF(DATOS_[[Check Periodo Ref.]:[Check Periodo Ref.]]="Dentro",IF(DATOS_[[Check Equiparado]:[Check Equiparado]]="Sí",IF(DATOS!AL$5="Sí",(1/DATOS_[[% anualiz]:[% anualiz]]),1)*IF(DATOS!AL$4="Sí",1/DATOS_[[% normaliz]:[% normaliz]],1)*(DATOS_[Conc.Sal.08])))))))),
0)</f>
        <v>0</v>
      </c>
      <c r="R70" s="111">
        <f t="array" ref="R70">IFERROR(
(MEDIAN((IF(DATOS_[[Sexo]:[Sexo]]=$B70,IF(DATOS_[[AGRUP. CLAS. PROF.]:[AGRUP. CLAS. PROF.]]=$B69,IF(DATOS_[[Check Periodo Ref.]:[Check Periodo Ref.]]="Dentro",IF(DATOS_[[Check Equiparado]:[Check Equiparado]]="Sí",IF(DATOS!AM$5="Sí",(1/DATOS_[[% anualiz]:[% anualiz]]),1)*IF(DATOS!AM$4="Sí",1/DATOS_[[% normaliz]:[% normaliz]],1)*(DATOS_[Conc.Sal.09])))))))),
0)</f>
        <v>0</v>
      </c>
      <c r="S70" s="111">
        <f t="array" ref="S70">IFERROR(
(MEDIAN((IF(DATOS_[[Sexo]:[Sexo]]=$B70,IF(DATOS_[[AGRUP. CLAS. PROF.]:[AGRUP. CLAS. PROF.]]=$B69,IF(DATOS_[[Check Periodo Ref.]:[Check Periodo Ref.]]="Dentro",IF(DATOS_[[Check Equiparado]:[Check Equiparado]]="Sí",IF(DATOS!AN$5="Sí",(1/DATOS_[[% anualiz]:[% anualiz]]),1)*IF(DATOS!AN$4="Sí",1/DATOS_[[% normaliz]:[% normaliz]],1)*(DATOS_[Conc.Sal.10])))))))),
0)</f>
        <v>0</v>
      </c>
      <c r="T70" s="111">
        <f t="array" ref="T70">IFERROR(
(MEDIAN((IF(DATOS_[[Sexo]:[Sexo]]=$B70,IF(DATOS_[[AGRUP. CLAS. PROF.]:[AGRUP. CLAS. PROF.]]=$B69,IF(DATOS_[[Check Periodo Ref.]:[Check Periodo Ref.]]="Dentro",IF(DATOS_[[Check Equiparado]:[Check Equiparado]]="Sí",IF(DATOS!AO$5="Sí",(1/DATOS_[[% anualiz]:[% anualiz]]),1)*IF(DATOS!AO$4="Sí",1/DATOS_[[% normaliz]:[% normaliz]],1)*(DATOS_[Conc.Sal.11])))))))),
0)</f>
        <v>0</v>
      </c>
      <c r="U70" s="111">
        <f t="array" ref="U70">IFERROR(
(MEDIAN((IF(DATOS_[[Sexo]:[Sexo]]=$B70,IF(DATOS_[[AGRUP. CLAS. PROF.]:[AGRUP. CLAS. PROF.]]=$B69,IF(DATOS_[[Check Periodo Ref.]:[Check Periodo Ref.]]="Dentro",IF(DATOS_[[Check Equiparado]:[Check Equiparado]]="Sí",IF(DATOS!AP$5="Sí",(1/DATOS_[[% anualiz]:[% anualiz]]),1)*IF(DATOS!AP$4="Sí",1/DATOS_[[% normaliz]:[% normaliz]],1)*(DATOS_[Conc.Sal.12])))))))),
0)</f>
        <v>0</v>
      </c>
      <c r="V70" s="111">
        <f t="array" ref="V70">IFERROR(
(MEDIAN((IF(DATOS_[[Sexo]:[Sexo]]=$B70,IF(DATOS_[[AGRUP. CLAS. PROF.]:[AGRUP. CLAS. PROF.]]=$B69,IF(DATOS_[[Check Periodo Ref.]:[Check Periodo Ref.]]="Dentro",IF(DATOS_[[Check Equiparado]:[Check Equiparado]]="Sí",IF(DATOS!AQ$5="Sí",(1/DATOS_[[% anualiz]:[% anualiz]]),1)*IF(DATOS!AQ$4="Sí",1/DATOS_[[% normaliz]:[% normaliz]],1)*(DATOS_[Conc.Sal.13])))))))),
0)</f>
        <v>0</v>
      </c>
      <c r="W70" s="111">
        <f t="array" ref="W70">IFERROR(
(MEDIAN((IF(DATOS_[[Sexo]:[Sexo]]=$B70,IF(DATOS_[[AGRUP. CLAS. PROF.]:[AGRUP. CLAS. PROF.]]=$B69,IF(DATOS_[[Check Periodo Ref.]:[Check Periodo Ref.]]="Dentro",IF(DATOS_[[Check Equiparado]:[Check Equiparado]]="Sí",IF(DATOS!AR$5="Sí",(1/DATOS_[[% anualiz]:[% anualiz]]),1)*IF(DATOS!AR$4="Sí",1/DATOS_[[% normaliz]:[% normaliz]],1)*(DATOS_[Conc.Sal.14])))))))),
0)</f>
        <v>0</v>
      </c>
      <c r="X70" s="111">
        <f t="array" ref="X70">IFERROR(
(MEDIAN((IF(DATOS_[[Sexo]:[Sexo]]=$B70,IF(DATOS_[[AGRUP. CLAS. PROF.]:[AGRUP. CLAS. PROF.]]=$B69,IF(DATOS_[[Check Periodo Ref.]:[Check Periodo Ref.]]="Dentro",IF(DATOS_[[Check Equiparado]:[Check Equiparado]]="Sí",IF(DATOS!AS$5="Sí",(1/DATOS_[[% anualiz]:[% anualiz]]),1)*IF(DATOS!AS$4="Sí",1/DATOS_[[% normaliz]:[% normaliz]],1)*(DATOS_[Conc.Sal.15])))))))),
0)</f>
        <v>0</v>
      </c>
      <c r="Y70" s="111">
        <f t="array" ref="Y70">IFERROR(
(MEDIAN((IF(DATOS_[[Sexo]:[Sexo]]=$B70,IF(DATOS_[[AGRUP. CLAS. PROF.]:[AGRUP. CLAS. PROF.]]=$B69,IF(DATOS_[[Check Periodo Ref.]:[Check Periodo Ref.]]="Dentro",IF(DATOS_[[Check Equiparado]:[Check Equiparado]]="Sí",IF(DATOS!AT$5="Sí",(1/DATOS_[[% anualiz]:[% anualiz]]),1)*IF(DATOS!AT$4="Sí",1/DATOS_[[% normaliz]:[% normaliz]],1)*(DATOS_[Conc.Sal.16])))))))),
0)</f>
        <v>0</v>
      </c>
      <c r="Z70" s="111">
        <f t="array" ref="Z70">IFERROR(
(MEDIAN((IF(DATOS_[[Sexo]:[Sexo]]=$B70,IF(DATOS_[[AGRUP. CLAS. PROF.]:[AGRUP. CLAS. PROF.]]=$B69,IF(DATOS_[[Check Periodo Ref.]:[Check Periodo Ref.]]="Dentro",IF(DATOS_[[Check Equiparado]:[Check Equiparado]]="Sí",IF(DATOS!AU$5="Sí",(1/DATOS_[[% anualiz]:[% anualiz]]),1)*IF(DATOS!AU$4="Sí",1/DATOS_[[% normaliz]:[% normaliz]],1)*(DATOS_[Conc.Sal.17])))))))),
0)</f>
        <v>0</v>
      </c>
      <c r="AA70" s="111">
        <f t="array" ref="AA70">IFERROR(
(MEDIAN((IF(DATOS_[[Sexo]:[Sexo]]=$B70,IF(DATOS_[[AGRUP. CLAS. PROF.]:[AGRUP. CLAS. PROF.]]=$B69,IF(DATOS_[[Check Periodo Ref.]:[Check Periodo Ref.]]="Dentro",IF(DATOS_[[Check Equiparado]:[Check Equiparado]]="Sí",IF(DATOS!AV$5="Sí",(1/DATOS_[[% anualiz]:[% anualiz]]),1)*IF(DATOS!AV$4="Sí",1/DATOS_[[% normaliz]:[% normaliz]],1)*(DATOS_[Conc.Sal.18])))))))),
0)</f>
        <v>0</v>
      </c>
      <c r="AB70" s="111">
        <f t="array" ref="AB70">IFERROR(
(MEDIAN((IF(DATOS_[[Sexo]:[Sexo]]=$B70,IF(DATOS_[[AGRUP. CLAS. PROF.]:[AGRUP. CLAS. PROF.]]=$B69,IF(DATOS_[[Check Periodo Ref.]:[Check Periodo Ref.]]="Dentro",IF(DATOS_[[Check Equiparado]:[Check Equiparado]]="Sí",IF(DATOS!AW$5="Sí",(1/DATOS_[[% anualiz]:[% anualiz]]),1)*IF(DATOS!AW$4="Sí",1/DATOS_[[% normaliz]:[% normaliz]],1)*(DATOS_[Conc.Sal.19])))))))),
0)</f>
        <v>0</v>
      </c>
      <c r="AC70" s="111">
        <f t="array" ref="AC70">IFERROR(
(MEDIAN((IF(DATOS_[[Sexo]:[Sexo]]=$B70,IF(DATOS_[[AGRUP. CLAS. PROF.]:[AGRUP. CLAS. PROF.]]=$B69,IF(DATOS_[[Check Periodo Ref.]:[Check Periodo Ref.]]="Dentro",IF(DATOS_[[Check Equiparado]:[Check Equiparado]]="Sí",IF(DATOS!AX$5="Sí",(1/DATOS_[[% anualiz]:[% anualiz]]),1)*IF(DATOS!AX$4="Sí",1/DATOS_[[% normaliz]:[% normaliz]],1)*(DATOS_[Conc.Sal.20])))))))),
0)</f>
        <v>0</v>
      </c>
      <c r="AD70" s="111">
        <f t="array" ref="AD70">IFERROR(
(MEDIAN((IF(DATOS_[[Sexo]:[Sexo]]=$B70,IF(DATOS_[[AGRUP. CLAS. PROF.]:[AGRUP. CLAS. PROF.]]=$B69,IF(DATOS_[[Check Periodo Ref.]:[Check Periodo Ref.]]="Dentro",IF(DATOS_[[Check Equiparado]:[Check Equiparado]]="Sí",IF(DATOS!AY$5="Sí",(1/DATOS_[[% anualiz]:[% anualiz]]),1)*IF(DATOS!AY$4="Sí",1/DATOS_[[% normaliz]:[% normaliz]],1)*(DATOS_[Conc.Sal.21])))))))),
0)</f>
        <v>0</v>
      </c>
      <c r="AE70" s="111">
        <f t="array" ref="AE70">IFERROR(
(MEDIAN((IF(DATOS_[[Sexo]:[Sexo]]=$B70,IF(DATOS_[[AGRUP. CLAS. PROF.]:[AGRUP. CLAS. PROF.]]=$B69,IF(DATOS_[[Check Periodo Ref.]:[Check Periodo Ref.]]="Dentro",IF(DATOS_[[Check Equiparado]:[Check Equiparado]]="Sí",IF(DATOS!AZ$5="Sí",(1/DATOS_[[% anualiz]:[% anualiz]]),1)*IF(DATOS!AZ$4="Sí",1/DATOS_[[% normaliz]:[% normaliz]],1)*(DATOS_[Conc.Sal.22])))))))),
0)</f>
        <v>0</v>
      </c>
      <c r="AF70" s="111">
        <f t="array" ref="AF70">IFERROR(
(MEDIAN((IF(DATOS_[[Sexo]:[Sexo]]=$B70,IF(DATOS_[[AGRUP. CLAS. PROF.]:[AGRUP. CLAS. PROF.]]=$B69,IF(DATOS_[[Check Periodo Ref.]:[Check Periodo Ref.]]="Dentro",IF(DATOS_[[Check Equiparado]:[Check Equiparado]]="Sí",IF(DATOS!BA$5="Sí",(1/DATOS_[[% anualiz]:[% anualiz]]),1)*IF(DATOS!BA$4="Sí",1/DATOS_[[% normaliz]:[% normaliz]],1)*(DATOS_[Conc.Sal.23])))))))),
0)</f>
        <v>0</v>
      </c>
      <c r="AG70" s="111">
        <f t="array" ref="AG70">IFERROR(
(MEDIAN((IF(DATOS_[[Sexo]:[Sexo]]=$B70,IF(DATOS_[[AGRUP. CLAS. PROF.]:[AGRUP. CLAS. PROF.]]=$B69,IF(DATOS_[[Check Periodo Ref.]:[Check Periodo Ref.]]="Dentro",IF(DATOS_[[Check Equiparado]:[Check Equiparado]]="Sí",IF(DATOS!BB$5="Sí",(1/DATOS_[[% anualiz]:[% anualiz]]),1)*IF(DATOS!BB$4="Sí",1/DATOS_[[% normaliz]:[% normaliz]],1)*(DATOS_[Conc.Sal.24])))))))),
0)</f>
        <v>0</v>
      </c>
      <c r="AH70" s="111">
        <f t="array" ref="AH70">IFERROR(
(MEDIAN((IF(DATOS_[[Sexo]:[Sexo]]=$B70,IF(DATOS_[[AGRUP. CLAS. PROF.]:[AGRUP. CLAS. PROF.]]=$B69,IF(DATOS_[[Check Periodo Ref.]:[Check Periodo Ref.]]="Dentro",IF(DATOS_[[Check Equiparado]:[Check Equiparado]]="Sí",IF(DATOS!BC$5="Sí",(1/DATOS_[[% anualiz]:[% anualiz]]),1)*IF(DATOS!BC$4="Sí",1/DATOS_[[% normaliz]:[% normaliz]],1)*(DATOS_[Conc.Sal.25])))))))),
0)</f>
        <v>0</v>
      </c>
      <c r="AI70" s="111">
        <f t="array" ref="AI70">IFERROR(
(MEDIAN((IF(DATOS_[[Sexo]:[Sexo]]=$B70,IF(DATOS_[[AGRUP. CLAS. PROF.]:[AGRUP. CLAS. PROF.]]=$B69,IF(DATOS_[[Check Periodo Ref.]:[Check Periodo Ref.]]="Dentro",IF(DATOS_[[Check Equiparado]:[Check Equiparado]]="Sí",IF(DATOS!BD$5="Sí",(1/DATOS_[[% anualiz]:[% anualiz]]),1)*IF(DATOS!BD$4="Sí",1/DATOS_[[% normaliz]:[% normaliz]],1)*(DATOS_[Conc.Sal.26])))))))),
0)</f>
        <v>0</v>
      </c>
      <c r="AJ70" s="111">
        <f t="array" ref="AJ70">IFERROR(
(MEDIAN((IF(DATOS_[[Sexo]:[Sexo]]=$B70,IF(DATOS_[[AGRUP. CLAS. PROF.]:[AGRUP. CLAS. PROF.]]=$B69,IF(DATOS_[[Check Periodo Ref.]:[Check Periodo Ref.]]="Dentro",IF(DATOS_[[Check Equiparado]:[Check Equiparado]]="Sí",IF(DATOS!BE$5="Sí",(1/DATOS_[[% anualiz]:[% anualiz]]),1)*IF(DATOS!BE$4="Sí",1/DATOS_[[% normaliz]:[% normaliz]],1)*(DATOS_[Conc.Sal.27])))))))),
0)</f>
        <v>0</v>
      </c>
      <c r="AK70" s="111">
        <f t="array" ref="AK70">IFERROR(
(MEDIAN((IF(DATOS_[[Sexo]:[Sexo]]=$B70,IF(DATOS_[[AGRUP. CLAS. PROF.]:[AGRUP. CLAS. PROF.]]=$B69,IF(DATOS_[[Check Periodo Ref.]:[Check Periodo Ref.]]="Dentro",IF(DATOS_[[Check Equiparado]:[Check Equiparado]]="Sí",IF(DATOS!BF$5="Sí",(1/DATOS_[[% anualiz]:[% anualiz]]),1)*IF(DATOS!BF$4="Sí",1/DATOS_[[% normaliz]:[% normaliz]],1)*(DATOS_[Conc.Sal.28])))))))),
0)</f>
        <v>0</v>
      </c>
      <c r="AL70" s="111">
        <f t="array" ref="AL70">IFERROR(
(MEDIAN((IF(DATOS_[[Sexo]:[Sexo]]=$B70,IF(DATOS_[[AGRUP. CLAS. PROF.]:[AGRUP. CLAS. PROF.]]=$B69,IF(DATOS_[[Check Periodo Ref.]:[Check Periodo Ref.]]="Dentro",IF(DATOS_[[Check Equiparado]:[Check Equiparado]]="Sí",IF(DATOS!BG$5="Sí",(1/DATOS_[[% anualiz]:[% anualiz]]),1)*IF(DATOS!BG$4="Sí",1/DATOS_[[% normaliz]:[% normaliz]],1)*(DATOS_[Conc.Sal.29])))))))),
0)</f>
        <v>0</v>
      </c>
      <c r="AM70" s="111">
        <f t="array" ref="AM70">IFERROR(
(MEDIAN((IF(DATOS_[[Sexo]:[Sexo]]=$B70,IF(DATOS_[[AGRUP. CLAS. PROF.]:[AGRUP. CLAS. PROF.]]=$B69,IF(DATOS_[[Check Periodo Ref.]:[Check Periodo Ref.]]="Dentro",IF(DATOS_[[Check Equiparado]:[Check Equiparado]]="Sí",IF(DATOS!BH$5="Sí",(1/DATOS_[[% anualiz]:[% anualiz]]),1)*IF(DATOS!BH$4="Sí",1/DATOS_[[% normaliz]:[% normaliz]],1)*(DATOS_[Conc.Sal.30])))))))),
0)</f>
        <v>0</v>
      </c>
      <c r="AN70" s="112">
        <f t="array" ref="AN70">IFERROR(
MEDIAN(IF(DATOS_[Sexo]=$B70,IF(DATOS_[[AGRUP. CLAS. PROF.]:[AGRUP. CLAS. PROF.]]=$B69,IF(DATOS_[Check Equiparado]="Sí",IF(DATOS_[Check Periodo Ref.]="Dentro",DATOS_[Tot COMPL.SAL Eq],FALSE))))),
0)</f>
        <v>0</v>
      </c>
      <c r="AO70" s="113">
        <f t="array" ref="AO70">IFERROR(
MEDIAN(IF(DATOS_[Sexo]=$B70,IF(DATOS_[[AGRUP. CLAS. PROF.]:[AGRUP. CLAS. PROF.]]=$B69,IF(DATOS_[Check Equiparado]="Sí",IF(DATOS_[Check Periodo Ref.]="Dentro",DATOS_[TOTAL SALARIO Eq],FALSE))))),
0)</f>
        <v>0</v>
      </c>
      <c r="AP70" s="114">
        <f t="array" ref="AP70">IFERROR(
(MEDIAN((IF(DATOS_[[Sexo]:[Sexo]]=$B70,IF(DATOS_[[AGRUP. CLAS. PROF.]:[AGRUP. CLAS. PROF.]]=$B69,IF(DATOS_[[Check Periodo Ref.]:[Check Periodo Ref.]]="Dentro",IF(DATOS_[[Check Equiparado]:[Check Equiparado]]="Sí",IF(DATOS!BI$5="Sí",(1/DATOS_[[% anualiz]:[% anualiz]]),1)*IF(DATOS!BI$4="Sí",1/DATOS_[[% normaliz]:[% normaliz]],1)*(DATOS_[C.Extra.01])))))))),
0)</f>
        <v>0</v>
      </c>
      <c r="AQ70" s="114">
        <f t="array" ref="AQ70">IFERROR(
(MEDIAN((IF(DATOS_[[Sexo]:[Sexo]]=$B70,IF(DATOS_[[AGRUP. CLAS. PROF.]:[AGRUP. CLAS. PROF.]]=$B69,IF(DATOS_[[Check Periodo Ref.]:[Check Periodo Ref.]]="Dentro",IF(DATOS_[[Check Equiparado]:[Check Equiparado]]="Sí",IF(DATOS!BJ$5="Sí",(1/DATOS_[[% anualiz]:[% anualiz]]),1)*IF(DATOS!BJ$4="Sí",1/DATOS_[[% normaliz]:[% normaliz]],1)*(DATOS_[C.Extra.02])))))))),
0)</f>
        <v>0</v>
      </c>
      <c r="AR70" s="114">
        <f t="array" ref="AR70">IFERROR(
(MEDIAN((IF(DATOS_[[Sexo]:[Sexo]]=$B70,IF(DATOS_[[AGRUP. CLAS. PROF.]:[AGRUP. CLAS. PROF.]]=$B69,IF(DATOS_[[Check Periodo Ref.]:[Check Periodo Ref.]]="Dentro",IF(DATOS_[[Check Equiparado]:[Check Equiparado]]="Sí",IF(DATOS!BK$5="Sí",(1/DATOS_[[% anualiz]:[% anualiz]]),1)*IF(DATOS!BK$4="Sí",1/DATOS_[[% normaliz]:[% normaliz]],1)*(DATOS_[C.Extra.03])))))))),
0)</f>
        <v>0</v>
      </c>
      <c r="AS70" s="114">
        <f t="array" ref="AS70">IFERROR(
(MEDIAN((IF(DATOS_[[Sexo]:[Sexo]]=$B70,IF(DATOS_[[AGRUP. CLAS. PROF.]:[AGRUP. CLAS. PROF.]]=$B69,IF(DATOS_[[Check Periodo Ref.]:[Check Periodo Ref.]]="Dentro",IF(DATOS_[[Check Equiparado]:[Check Equiparado]]="Sí",IF(DATOS!BL$5="Sí",(1/DATOS_[[% anualiz]:[% anualiz]]),1)*IF(DATOS!BL$4="Sí",1/DATOS_[[% normaliz]:[% normaliz]],1)*(DATOS_[C.Extra.04])))))))),
0)</f>
        <v>0</v>
      </c>
      <c r="AT70" s="114">
        <f t="array" ref="AT70">IFERROR(
(MEDIAN((IF(DATOS_[[Sexo]:[Sexo]]=$B70,IF(DATOS_[[AGRUP. CLAS. PROF.]:[AGRUP. CLAS. PROF.]]=$B69,IF(DATOS_[[Check Periodo Ref.]:[Check Periodo Ref.]]="Dentro",IF(DATOS_[[Check Equiparado]:[Check Equiparado]]="Sí",IF(DATOS!BM$5="Sí",(1/DATOS_[[% anualiz]:[% anualiz]]),1)*IF(DATOS!BM$4="Sí",1/DATOS_[[% normaliz]:[% normaliz]],1)*(DATOS_[C.Extra.05])))))))),
0)</f>
        <v>0</v>
      </c>
      <c r="AU70" s="115">
        <f t="array" ref="AU70">IFERROR(
MEDIAN(IF(DATOS_[Sexo]=$B70,IF(DATOS_[[AGRUP. CLAS. PROF.]:[AGRUP. CLAS. PROF.]]=$B69,IF(DATOS_[Check Equiparado]="Sí",IF(DATOS_[Check Periodo Ref.]="Dentro",DATOS_[Tot Extrasalarial Eq],FALSE))))),
0)</f>
        <v>0</v>
      </c>
      <c r="AV70" s="116">
        <f t="array" ref="AV70">IFERROR(
MEDIAN(IF(DATOS_[Sexo]=$B70,IF(DATOS_[[AGRUP. CLAS. PROF.]:[AGRUP. CLAS. PROF.]]=$B69,IF(DATOS_[Check Equiparado]="Sí",IF(DATOS_[Check Periodo Ref.]="Dentro",DATOS_[TOTAL Retrib Eq],FALSE))))),
0)</f>
        <v>0</v>
      </c>
    </row>
    <row r="71" spans="1:48" hidden="1" x14ac:dyDescent="0.3">
      <c r="A71" s="42" t="str">
        <f t="shared" ref="A71" si="78">+A70</f>
        <v>[ocultar]</v>
      </c>
      <c r="B71" s="86" t="s">
        <v>163</v>
      </c>
      <c r="C71" s="33">
        <f t="array" ref="C71">SUM(IF($B71=DATOS_[Sexo],
IF($B69=DATOS_[AGRUP. CLAS. PROF.],
IF("Dentro"=DATOS_[Check Periodo Ref.],
1/(COUNTIFS(DATOS_[Sexo],$B71,DATOS_[AGRUP. CLAS. PROF.],$B69,DATOS_[Check Periodo Ref.],"Dentro",DATOS_[id],DATOS_[id]))))))</f>
        <v>0</v>
      </c>
      <c r="D71" s="35">
        <f>COUNTIFS(DATOS_[AGRUP. CLAS. PROF.],$B69,DATOS_[Sexo],$B71,DATOS_[Check Periodo Ref.],"Dentro")</f>
        <v>0</v>
      </c>
      <c r="E71" s="35">
        <f>COUNTIFS(DATOS_[AGRUP. CLAS. PROF.],$B69,DATOS_[Sexo],$B71,DATOS_[Check Periodo Ref.],"Dentro",DATOS_[Check Nº SC Norm],"Sí")</f>
        <v>0</v>
      </c>
      <c r="F71" s="35">
        <f>COUNTIFS(DATOS_[AGRUP. CLAS. PROF.],$B69,DATOS_[Sexo],$B71,DATOS_[Check Periodo Ref.],"Dentro",DATOS_[Check Nº SC Anualiz],"Sí")</f>
        <v>0</v>
      </c>
      <c r="G71" s="35">
        <f>COUNTIFS(DATOS_[AGRUP. CLAS. PROF.],$B69,DATOS_[Sexo],$B71,DATOS_[Check Periodo Ref.],"Dentro",DATOS_[Check Nº SC Norm y Anualiz],"Sí")</f>
        <v>0</v>
      </c>
      <c r="H71" s="35">
        <f>COUNTIFS(DATOS_[AGRUP. CLAS. PROF.],$B69,DATOS_[Sexo],$B71,DATOS_[Check Periodo Ref.],"Dentro",DATOS_[Check Equiparación],"Sí")</f>
        <v>0</v>
      </c>
      <c r="I71" s="110" cm="1">
        <f t="array" ref="I71">IFERROR(
MEDIAN(IF(DATOS_[Sexo]=$B71,IF(DATOS_[[AGRUP. CLAS. PROF.]:[AGRUP. CLAS. PROF.]]=$B69,IF(DATOS_[Check Equiparado]="Sí",IF(DATOS_[Check Periodo Ref.]="Dentro",DATOS_[SALARIO BASE Eq],FALSE))))),
0)</f>
        <v>0</v>
      </c>
      <c r="J71" s="111">
        <f t="array" ref="J71">IFERROR(
(MEDIAN((IF(DATOS_[[Sexo]:[Sexo]]=$B71,IF(DATOS_[[AGRUP. CLAS. PROF.]:[AGRUP. CLAS. PROF.]]=$B69,IF(DATOS_[[Check Periodo Ref.]:[Check Periodo Ref.]]="Dentro",IF(DATOS_[[Check Equiparado]:[Check Equiparado]]="Sí",IF(DATOS!AE$5="Sí",(1/DATOS_[[% anualiz]:[% anualiz]]),1)*IF(DATOS!AE$4="Sí",1/DATOS_[[% normaliz]:[% normaliz]],1)*(DATOS_[Conc.Sal.01])))))))),
0)</f>
        <v>0</v>
      </c>
      <c r="K71" s="111">
        <f t="array" ref="K71">IFERROR(
(MEDIAN((IF(DATOS_[[Sexo]:[Sexo]]=$B71,IF(DATOS_[[AGRUP. CLAS. PROF.]:[AGRUP. CLAS. PROF.]]=$B69,IF(DATOS_[[Check Periodo Ref.]:[Check Periodo Ref.]]="Dentro",IF(DATOS_[[Check Equiparado]:[Check Equiparado]]="Sí",IF(DATOS!AF$5="Sí",(1/DATOS_[[% anualiz]:[% anualiz]]),1)*IF(DATOS!AF$4="Sí",1/DATOS_[[% normaliz]:[% normaliz]],1)*(DATOS_[Conc.Sal.02])))))))),
0)</f>
        <v>0</v>
      </c>
      <c r="L71" s="111">
        <f t="array" ref="L71">IFERROR(
(MEDIAN((IF(DATOS_[[Sexo]:[Sexo]]=$B71,IF(DATOS_[[AGRUP. CLAS. PROF.]:[AGRUP. CLAS. PROF.]]=$B69,IF(DATOS_[[Check Periodo Ref.]:[Check Periodo Ref.]]="Dentro",IF(DATOS_[[Check Equiparado]:[Check Equiparado]]="Sí",IF(DATOS!AG$5="Sí",(1/DATOS_[[% anualiz]:[% anualiz]]),1)*IF(DATOS!AG$4="Sí",1/DATOS_[[% normaliz]:[% normaliz]],1)*(DATOS_[Conc.Sal.03])))))))),
0)</f>
        <v>0</v>
      </c>
      <c r="M71" s="111">
        <f t="array" ref="M71">IFERROR(
(MEDIAN((IF(DATOS_[[Sexo]:[Sexo]]=$B71,IF(DATOS_[[AGRUP. CLAS. PROF.]:[AGRUP. CLAS. PROF.]]=$B69,IF(DATOS_[[Check Periodo Ref.]:[Check Periodo Ref.]]="Dentro",IF(DATOS_[[Check Equiparado]:[Check Equiparado]]="Sí",IF(DATOS!AH$5="Sí",(1/DATOS_[[% anualiz]:[% anualiz]]),1)*IF(DATOS!AH$4="Sí",1/DATOS_[[% normaliz]:[% normaliz]],1)*(DATOS_[Conc.Sal.04])))))))),
0)</f>
        <v>0</v>
      </c>
      <c r="N71" s="111">
        <f t="array" ref="N71">IFERROR(
(MEDIAN((IF(DATOS_[[Sexo]:[Sexo]]=$B71,IF(DATOS_[[AGRUP. CLAS. PROF.]:[AGRUP. CLAS. PROF.]]=$B69,IF(DATOS_[[Check Periodo Ref.]:[Check Periodo Ref.]]="Dentro",IF(DATOS_[[Check Equiparado]:[Check Equiparado]]="Sí",IF(DATOS!AI$5="Sí",(1/DATOS_[[% anualiz]:[% anualiz]]),1)*IF(DATOS!AI$4="Sí",1/DATOS_[[% normaliz]:[% normaliz]],1)*(DATOS_[Conc.Sal.05])))))))),
0)</f>
        <v>0</v>
      </c>
      <c r="O71" s="111">
        <f t="array" ref="O71">IFERROR(
(MEDIAN((IF(DATOS_[[Sexo]:[Sexo]]=$B71,IF(DATOS_[[AGRUP. CLAS. PROF.]:[AGRUP. CLAS. PROF.]]=$B69,IF(DATOS_[[Check Periodo Ref.]:[Check Periodo Ref.]]="Dentro",IF(DATOS_[[Check Equiparado]:[Check Equiparado]]="Sí",IF(DATOS!AJ$5="Sí",(1/DATOS_[[% anualiz]:[% anualiz]]),1)*IF(DATOS!AJ$4="Sí",1/DATOS_[[% normaliz]:[% normaliz]],1)*(DATOS_[Conc.Sal.06])))))))),
0)</f>
        <v>0</v>
      </c>
      <c r="P71" s="111">
        <f t="array" ref="P71">IFERROR(
(MEDIAN((IF(DATOS_[[Sexo]:[Sexo]]=$B71,IF(DATOS_[[AGRUP. CLAS. PROF.]:[AGRUP. CLAS. PROF.]]=$B69,IF(DATOS_[[Check Periodo Ref.]:[Check Periodo Ref.]]="Dentro",IF(DATOS_[[Check Equiparado]:[Check Equiparado]]="Sí",IF(DATOS!AK$5="Sí",(1/DATOS_[[% anualiz]:[% anualiz]]),1)*IF(DATOS!AK$4="Sí",1/DATOS_[[% normaliz]:[% normaliz]],1)*(DATOS_[Conc.Sal.07])))))))),
0)</f>
        <v>0</v>
      </c>
      <c r="Q71" s="111">
        <f t="array" ref="Q71">IFERROR(
(MEDIAN((IF(DATOS_[[Sexo]:[Sexo]]=$B71,IF(DATOS_[[AGRUP. CLAS. PROF.]:[AGRUP. CLAS. PROF.]]=$B69,IF(DATOS_[[Check Periodo Ref.]:[Check Periodo Ref.]]="Dentro",IF(DATOS_[[Check Equiparado]:[Check Equiparado]]="Sí",IF(DATOS!AL$5="Sí",(1/DATOS_[[% anualiz]:[% anualiz]]),1)*IF(DATOS!AL$4="Sí",1/DATOS_[[% normaliz]:[% normaliz]],1)*(DATOS_[Conc.Sal.08])))))))),
0)</f>
        <v>0</v>
      </c>
      <c r="R71" s="111">
        <f t="array" ref="R71">IFERROR(
(MEDIAN((IF(DATOS_[[Sexo]:[Sexo]]=$B71,IF(DATOS_[[AGRUP. CLAS. PROF.]:[AGRUP. CLAS. PROF.]]=$B69,IF(DATOS_[[Check Periodo Ref.]:[Check Periodo Ref.]]="Dentro",IF(DATOS_[[Check Equiparado]:[Check Equiparado]]="Sí",IF(DATOS!AM$5="Sí",(1/DATOS_[[% anualiz]:[% anualiz]]),1)*IF(DATOS!AM$4="Sí",1/DATOS_[[% normaliz]:[% normaliz]],1)*(DATOS_[Conc.Sal.09])))))))),
0)</f>
        <v>0</v>
      </c>
      <c r="S71" s="111">
        <f t="array" ref="S71">IFERROR(
(MEDIAN((IF(DATOS_[[Sexo]:[Sexo]]=$B71,IF(DATOS_[[AGRUP. CLAS. PROF.]:[AGRUP. CLAS. PROF.]]=$B69,IF(DATOS_[[Check Periodo Ref.]:[Check Periodo Ref.]]="Dentro",IF(DATOS_[[Check Equiparado]:[Check Equiparado]]="Sí",IF(DATOS!AN$5="Sí",(1/DATOS_[[% anualiz]:[% anualiz]]),1)*IF(DATOS!AN$4="Sí",1/DATOS_[[% normaliz]:[% normaliz]],1)*(DATOS_[Conc.Sal.10])))))))),
0)</f>
        <v>0</v>
      </c>
      <c r="T71" s="111">
        <f t="array" ref="T71">IFERROR(
(MEDIAN((IF(DATOS_[[Sexo]:[Sexo]]=$B71,IF(DATOS_[[AGRUP. CLAS. PROF.]:[AGRUP. CLAS. PROF.]]=$B69,IF(DATOS_[[Check Periodo Ref.]:[Check Periodo Ref.]]="Dentro",IF(DATOS_[[Check Equiparado]:[Check Equiparado]]="Sí",IF(DATOS!AO$5="Sí",(1/DATOS_[[% anualiz]:[% anualiz]]),1)*IF(DATOS!AO$4="Sí",1/DATOS_[[% normaliz]:[% normaliz]],1)*(DATOS_[Conc.Sal.11])))))))),
0)</f>
        <v>0</v>
      </c>
      <c r="U71" s="111">
        <f t="array" ref="U71">IFERROR(
(MEDIAN((IF(DATOS_[[Sexo]:[Sexo]]=$B71,IF(DATOS_[[AGRUP. CLAS. PROF.]:[AGRUP. CLAS. PROF.]]=$B69,IF(DATOS_[[Check Periodo Ref.]:[Check Periodo Ref.]]="Dentro",IF(DATOS_[[Check Equiparado]:[Check Equiparado]]="Sí",IF(DATOS!AP$5="Sí",(1/DATOS_[[% anualiz]:[% anualiz]]),1)*IF(DATOS!AP$4="Sí",1/DATOS_[[% normaliz]:[% normaliz]],1)*(DATOS_[Conc.Sal.12])))))))),
0)</f>
        <v>0</v>
      </c>
      <c r="V71" s="111">
        <f t="array" ref="V71">IFERROR(
(MEDIAN((IF(DATOS_[[Sexo]:[Sexo]]=$B71,IF(DATOS_[[AGRUP. CLAS. PROF.]:[AGRUP. CLAS. PROF.]]=$B69,IF(DATOS_[[Check Periodo Ref.]:[Check Periodo Ref.]]="Dentro",IF(DATOS_[[Check Equiparado]:[Check Equiparado]]="Sí",IF(DATOS!AQ$5="Sí",(1/DATOS_[[% anualiz]:[% anualiz]]),1)*IF(DATOS!AQ$4="Sí",1/DATOS_[[% normaliz]:[% normaliz]],1)*(DATOS_[Conc.Sal.13])))))))),
0)</f>
        <v>0</v>
      </c>
      <c r="W71" s="111">
        <f t="array" ref="W71">IFERROR(
(MEDIAN((IF(DATOS_[[Sexo]:[Sexo]]=$B71,IF(DATOS_[[AGRUP. CLAS. PROF.]:[AGRUP. CLAS. PROF.]]=$B69,IF(DATOS_[[Check Periodo Ref.]:[Check Periodo Ref.]]="Dentro",IF(DATOS_[[Check Equiparado]:[Check Equiparado]]="Sí",IF(DATOS!AR$5="Sí",(1/DATOS_[[% anualiz]:[% anualiz]]),1)*IF(DATOS!AR$4="Sí",1/DATOS_[[% normaliz]:[% normaliz]],1)*(DATOS_[Conc.Sal.14])))))))),
0)</f>
        <v>0</v>
      </c>
      <c r="X71" s="111">
        <f t="array" ref="X71">IFERROR(
(MEDIAN((IF(DATOS_[[Sexo]:[Sexo]]=$B71,IF(DATOS_[[AGRUP. CLAS. PROF.]:[AGRUP. CLAS. PROF.]]=$B69,IF(DATOS_[[Check Periodo Ref.]:[Check Periodo Ref.]]="Dentro",IF(DATOS_[[Check Equiparado]:[Check Equiparado]]="Sí",IF(DATOS!AS$5="Sí",(1/DATOS_[[% anualiz]:[% anualiz]]),1)*IF(DATOS!AS$4="Sí",1/DATOS_[[% normaliz]:[% normaliz]],1)*(DATOS_[Conc.Sal.15])))))))),
0)</f>
        <v>0</v>
      </c>
      <c r="Y71" s="111">
        <f t="array" ref="Y71">IFERROR(
(MEDIAN((IF(DATOS_[[Sexo]:[Sexo]]=$B71,IF(DATOS_[[AGRUP. CLAS. PROF.]:[AGRUP. CLAS. PROF.]]=$B69,IF(DATOS_[[Check Periodo Ref.]:[Check Periodo Ref.]]="Dentro",IF(DATOS_[[Check Equiparado]:[Check Equiparado]]="Sí",IF(DATOS!AT$5="Sí",(1/DATOS_[[% anualiz]:[% anualiz]]),1)*IF(DATOS!AT$4="Sí",1/DATOS_[[% normaliz]:[% normaliz]],1)*(DATOS_[Conc.Sal.16])))))))),
0)</f>
        <v>0</v>
      </c>
      <c r="Z71" s="111">
        <f t="array" ref="Z71">IFERROR(
(MEDIAN((IF(DATOS_[[Sexo]:[Sexo]]=$B71,IF(DATOS_[[AGRUP. CLAS. PROF.]:[AGRUP. CLAS. PROF.]]=$B69,IF(DATOS_[[Check Periodo Ref.]:[Check Periodo Ref.]]="Dentro",IF(DATOS_[[Check Equiparado]:[Check Equiparado]]="Sí",IF(DATOS!AU$5="Sí",(1/DATOS_[[% anualiz]:[% anualiz]]),1)*IF(DATOS!AU$4="Sí",1/DATOS_[[% normaliz]:[% normaliz]],1)*(DATOS_[Conc.Sal.17])))))))),
0)</f>
        <v>0</v>
      </c>
      <c r="AA71" s="111">
        <f t="array" ref="AA71">IFERROR(
(MEDIAN((IF(DATOS_[[Sexo]:[Sexo]]=$B71,IF(DATOS_[[AGRUP. CLAS. PROF.]:[AGRUP. CLAS. PROF.]]=$B69,IF(DATOS_[[Check Periodo Ref.]:[Check Periodo Ref.]]="Dentro",IF(DATOS_[[Check Equiparado]:[Check Equiparado]]="Sí",IF(DATOS!AV$5="Sí",(1/DATOS_[[% anualiz]:[% anualiz]]),1)*IF(DATOS!AV$4="Sí",1/DATOS_[[% normaliz]:[% normaliz]],1)*(DATOS_[Conc.Sal.18])))))))),
0)</f>
        <v>0</v>
      </c>
      <c r="AB71" s="111">
        <f t="array" ref="AB71">IFERROR(
(MEDIAN((IF(DATOS_[[Sexo]:[Sexo]]=$B71,IF(DATOS_[[AGRUP. CLAS. PROF.]:[AGRUP. CLAS. PROF.]]=$B69,IF(DATOS_[[Check Periodo Ref.]:[Check Periodo Ref.]]="Dentro",IF(DATOS_[[Check Equiparado]:[Check Equiparado]]="Sí",IF(DATOS!AW$5="Sí",(1/DATOS_[[% anualiz]:[% anualiz]]),1)*IF(DATOS!AW$4="Sí",1/DATOS_[[% normaliz]:[% normaliz]],1)*(DATOS_[Conc.Sal.19])))))))),
0)</f>
        <v>0</v>
      </c>
      <c r="AC71" s="111">
        <f t="array" ref="AC71">IFERROR(
(MEDIAN((IF(DATOS_[[Sexo]:[Sexo]]=$B71,IF(DATOS_[[AGRUP. CLAS. PROF.]:[AGRUP. CLAS. PROF.]]=$B69,IF(DATOS_[[Check Periodo Ref.]:[Check Periodo Ref.]]="Dentro",IF(DATOS_[[Check Equiparado]:[Check Equiparado]]="Sí",IF(DATOS!AX$5="Sí",(1/DATOS_[[% anualiz]:[% anualiz]]),1)*IF(DATOS!AX$4="Sí",1/DATOS_[[% normaliz]:[% normaliz]],1)*(DATOS_[Conc.Sal.20])))))))),
0)</f>
        <v>0</v>
      </c>
      <c r="AD71" s="111">
        <f t="array" ref="AD71">IFERROR(
(MEDIAN((IF(DATOS_[[Sexo]:[Sexo]]=$B71,IF(DATOS_[[AGRUP. CLAS. PROF.]:[AGRUP. CLAS. PROF.]]=$B69,IF(DATOS_[[Check Periodo Ref.]:[Check Periodo Ref.]]="Dentro",IF(DATOS_[[Check Equiparado]:[Check Equiparado]]="Sí",IF(DATOS!AY$5="Sí",(1/DATOS_[[% anualiz]:[% anualiz]]),1)*IF(DATOS!AY$4="Sí",1/DATOS_[[% normaliz]:[% normaliz]],1)*(DATOS_[Conc.Sal.21])))))))),
0)</f>
        <v>0</v>
      </c>
      <c r="AE71" s="111">
        <f t="array" ref="AE71">IFERROR(
(MEDIAN((IF(DATOS_[[Sexo]:[Sexo]]=$B71,IF(DATOS_[[AGRUP. CLAS. PROF.]:[AGRUP. CLAS. PROF.]]=$B69,IF(DATOS_[[Check Periodo Ref.]:[Check Periodo Ref.]]="Dentro",IF(DATOS_[[Check Equiparado]:[Check Equiparado]]="Sí",IF(DATOS!AZ$5="Sí",(1/DATOS_[[% anualiz]:[% anualiz]]),1)*IF(DATOS!AZ$4="Sí",1/DATOS_[[% normaliz]:[% normaliz]],1)*(DATOS_[Conc.Sal.22])))))))),
0)</f>
        <v>0</v>
      </c>
      <c r="AF71" s="111">
        <f t="array" ref="AF71">IFERROR(
(MEDIAN((IF(DATOS_[[Sexo]:[Sexo]]=$B71,IF(DATOS_[[AGRUP. CLAS. PROF.]:[AGRUP. CLAS. PROF.]]=$B69,IF(DATOS_[[Check Periodo Ref.]:[Check Periodo Ref.]]="Dentro",IF(DATOS_[[Check Equiparado]:[Check Equiparado]]="Sí",IF(DATOS!BA$5="Sí",(1/DATOS_[[% anualiz]:[% anualiz]]),1)*IF(DATOS!BA$4="Sí",1/DATOS_[[% normaliz]:[% normaliz]],1)*(DATOS_[Conc.Sal.23])))))))),
0)</f>
        <v>0</v>
      </c>
      <c r="AG71" s="111">
        <f t="array" ref="AG71">IFERROR(
(MEDIAN((IF(DATOS_[[Sexo]:[Sexo]]=$B71,IF(DATOS_[[AGRUP. CLAS. PROF.]:[AGRUP. CLAS. PROF.]]=$B69,IF(DATOS_[[Check Periodo Ref.]:[Check Periodo Ref.]]="Dentro",IF(DATOS_[[Check Equiparado]:[Check Equiparado]]="Sí",IF(DATOS!BB$5="Sí",(1/DATOS_[[% anualiz]:[% anualiz]]),1)*IF(DATOS!BB$4="Sí",1/DATOS_[[% normaliz]:[% normaliz]],1)*(DATOS_[Conc.Sal.24])))))))),
0)</f>
        <v>0</v>
      </c>
      <c r="AH71" s="111">
        <f t="array" ref="AH71">IFERROR(
(MEDIAN((IF(DATOS_[[Sexo]:[Sexo]]=$B71,IF(DATOS_[[AGRUP. CLAS. PROF.]:[AGRUP. CLAS. PROF.]]=$B69,IF(DATOS_[[Check Periodo Ref.]:[Check Periodo Ref.]]="Dentro",IF(DATOS_[[Check Equiparado]:[Check Equiparado]]="Sí",IF(DATOS!BC$5="Sí",(1/DATOS_[[% anualiz]:[% anualiz]]),1)*IF(DATOS!BC$4="Sí",1/DATOS_[[% normaliz]:[% normaliz]],1)*(DATOS_[Conc.Sal.25])))))))),
0)</f>
        <v>0</v>
      </c>
      <c r="AI71" s="111">
        <f t="array" ref="AI71">IFERROR(
(MEDIAN((IF(DATOS_[[Sexo]:[Sexo]]=$B71,IF(DATOS_[[AGRUP. CLAS. PROF.]:[AGRUP. CLAS. PROF.]]=$B69,IF(DATOS_[[Check Periodo Ref.]:[Check Periodo Ref.]]="Dentro",IF(DATOS_[[Check Equiparado]:[Check Equiparado]]="Sí",IF(DATOS!BD$5="Sí",(1/DATOS_[[% anualiz]:[% anualiz]]),1)*IF(DATOS!BD$4="Sí",1/DATOS_[[% normaliz]:[% normaliz]],1)*(DATOS_[Conc.Sal.26])))))))),
0)</f>
        <v>0</v>
      </c>
      <c r="AJ71" s="111">
        <f t="array" ref="AJ71">IFERROR(
(MEDIAN((IF(DATOS_[[Sexo]:[Sexo]]=$B71,IF(DATOS_[[AGRUP. CLAS. PROF.]:[AGRUP. CLAS. PROF.]]=$B69,IF(DATOS_[[Check Periodo Ref.]:[Check Periodo Ref.]]="Dentro",IF(DATOS_[[Check Equiparado]:[Check Equiparado]]="Sí",IF(DATOS!BE$5="Sí",(1/DATOS_[[% anualiz]:[% anualiz]]),1)*IF(DATOS!BE$4="Sí",1/DATOS_[[% normaliz]:[% normaliz]],1)*(DATOS_[Conc.Sal.27])))))))),
0)</f>
        <v>0</v>
      </c>
      <c r="AK71" s="111">
        <f t="array" ref="AK71">IFERROR(
(MEDIAN((IF(DATOS_[[Sexo]:[Sexo]]=$B71,IF(DATOS_[[AGRUP. CLAS. PROF.]:[AGRUP. CLAS. PROF.]]=$B69,IF(DATOS_[[Check Periodo Ref.]:[Check Periodo Ref.]]="Dentro",IF(DATOS_[[Check Equiparado]:[Check Equiparado]]="Sí",IF(DATOS!BF$5="Sí",(1/DATOS_[[% anualiz]:[% anualiz]]),1)*IF(DATOS!BF$4="Sí",1/DATOS_[[% normaliz]:[% normaliz]],1)*(DATOS_[Conc.Sal.28])))))))),
0)</f>
        <v>0</v>
      </c>
      <c r="AL71" s="111">
        <f t="array" ref="AL71">IFERROR(
(MEDIAN((IF(DATOS_[[Sexo]:[Sexo]]=$B71,IF(DATOS_[[AGRUP. CLAS. PROF.]:[AGRUP. CLAS. PROF.]]=$B69,IF(DATOS_[[Check Periodo Ref.]:[Check Periodo Ref.]]="Dentro",IF(DATOS_[[Check Equiparado]:[Check Equiparado]]="Sí",IF(DATOS!BG$5="Sí",(1/DATOS_[[% anualiz]:[% anualiz]]),1)*IF(DATOS!BG$4="Sí",1/DATOS_[[% normaliz]:[% normaliz]],1)*(DATOS_[Conc.Sal.29])))))))),
0)</f>
        <v>0</v>
      </c>
      <c r="AM71" s="111">
        <f t="array" ref="AM71">IFERROR(
(MEDIAN((IF(DATOS_[[Sexo]:[Sexo]]=$B71,IF(DATOS_[[AGRUP. CLAS. PROF.]:[AGRUP. CLAS. PROF.]]=$B69,IF(DATOS_[[Check Periodo Ref.]:[Check Periodo Ref.]]="Dentro",IF(DATOS_[[Check Equiparado]:[Check Equiparado]]="Sí",IF(DATOS!BH$5="Sí",(1/DATOS_[[% anualiz]:[% anualiz]]),1)*IF(DATOS!BH$4="Sí",1/DATOS_[[% normaliz]:[% normaliz]],1)*(DATOS_[Conc.Sal.30])))))))),
0)</f>
        <v>0</v>
      </c>
      <c r="AN71" s="112">
        <f t="array" ref="AN71">IFERROR(
MEDIAN(IF(DATOS_[Sexo]=$B71,IF(DATOS_[[AGRUP. CLAS. PROF.]:[AGRUP. CLAS. PROF.]]=$B69,IF(DATOS_[Check Equiparado]="Sí",IF(DATOS_[Check Periodo Ref.]="Dentro",DATOS_[Tot COMPL.SAL Eq],FALSE))))),
0)</f>
        <v>0</v>
      </c>
      <c r="AO71" s="113">
        <f t="array" ref="AO71">IFERROR(
MEDIAN(IF(DATOS_[Sexo]=$B71,IF(DATOS_[[AGRUP. CLAS. PROF.]:[AGRUP. CLAS. PROF.]]=$B69,IF(DATOS_[Check Equiparado]="Sí",IF(DATOS_[Check Periodo Ref.]="Dentro",DATOS_[TOTAL SALARIO Eq],FALSE))))),
0)</f>
        <v>0</v>
      </c>
      <c r="AP71" s="114">
        <f t="array" ref="AP71">IFERROR(
(MEDIAN((IF(DATOS_[[Sexo]:[Sexo]]=$B71,IF(DATOS_[[AGRUP. CLAS. PROF.]:[AGRUP. CLAS. PROF.]]=$B69,IF(DATOS_[[Check Periodo Ref.]:[Check Periodo Ref.]]="Dentro",IF(DATOS_[[Check Equiparado]:[Check Equiparado]]="Sí",IF(DATOS!BI$5="Sí",(1/DATOS_[[% anualiz]:[% anualiz]]),1)*IF(DATOS!BI$4="Sí",1/DATOS_[[% normaliz]:[% normaliz]],1)*(DATOS_[C.Extra.01])))))))),
0)</f>
        <v>0</v>
      </c>
      <c r="AQ71" s="114">
        <f t="array" ref="AQ71">IFERROR(
(MEDIAN((IF(DATOS_[[Sexo]:[Sexo]]=$B71,IF(DATOS_[[AGRUP. CLAS. PROF.]:[AGRUP. CLAS. PROF.]]=$B69,IF(DATOS_[[Check Periodo Ref.]:[Check Periodo Ref.]]="Dentro",IF(DATOS_[[Check Equiparado]:[Check Equiparado]]="Sí",IF(DATOS!BJ$5="Sí",(1/DATOS_[[% anualiz]:[% anualiz]]),1)*IF(DATOS!BJ$4="Sí",1/DATOS_[[% normaliz]:[% normaliz]],1)*(DATOS_[C.Extra.02])))))))),
0)</f>
        <v>0</v>
      </c>
      <c r="AR71" s="114">
        <f t="array" ref="AR71">IFERROR(
(MEDIAN((IF(DATOS_[[Sexo]:[Sexo]]=$B71,IF(DATOS_[[AGRUP. CLAS. PROF.]:[AGRUP. CLAS. PROF.]]=$B69,IF(DATOS_[[Check Periodo Ref.]:[Check Periodo Ref.]]="Dentro",IF(DATOS_[[Check Equiparado]:[Check Equiparado]]="Sí",IF(DATOS!BK$5="Sí",(1/DATOS_[[% anualiz]:[% anualiz]]),1)*IF(DATOS!BK$4="Sí",1/DATOS_[[% normaliz]:[% normaliz]],1)*(DATOS_[C.Extra.03])))))))),
0)</f>
        <v>0</v>
      </c>
      <c r="AS71" s="114">
        <f t="array" ref="AS71">IFERROR(
(MEDIAN((IF(DATOS_[[Sexo]:[Sexo]]=$B71,IF(DATOS_[[AGRUP. CLAS. PROF.]:[AGRUP. CLAS. PROF.]]=$B69,IF(DATOS_[[Check Periodo Ref.]:[Check Periodo Ref.]]="Dentro",IF(DATOS_[[Check Equiparado]:[Check Equiparado]]="Sí",IF(DATOS!BL$5="Sí",(1/DATOS_[[% anualiz]:[% anualiz]]),1)*IF(DATOS!BL$4="Sí",1/DATOS_[[% normaliz]:[% normaliz]],1)*(DATOS_[C.Extra.04])))))))),
0)</f>
        <v>0</v>
      </c>
      <c r="AT71" s="114">
        <f t="array" ref="AT71">IFERROR(
(MEDIAN((IF(DATOS_[[Sexo]:[Sexo]]=$B71,IF(DATOS_[[AGRUP. CLAS. PROF.]:[AGRUP. CLAS. PROF.]]=$B69,IF(DATOS_[[Check Periodo Ref.]:[Check Periodo Ref.]]="Dentro",IF(DATOS_[[Check Equiparado]:[Check Equiparado]]="Sí",IF(DATOS!BM$5="Sí",(1/DATOS_[[% anualiz]:[% anualiz]]),1)*IF(DATOS!BM$4="Sí",1/DATOS_[[% normaliz]:[% normaliz]],1)*(DATOS_[C.Extra.05])))))))),
0)</f>
        <v>0</v>
      </c>
      <c r="AU71" s="115">
        <f t="array" ref="AU71">IFERROR(
MEDIAN(IF(DATOS_[Sexo]=$B71,IF(DATOS_[[AGRUP. CLAS. PROF.]:[AGRUP. CLAS. PROF.]]=$B69,IF(DATOS_[Check Equiparado]="Sí",IF(DATOS_[Check Periodo Ref.]="Dentro",DATOS_[Tot Extrasalarial Eq],FALSE))))),
0)</f>
        <v>0</v>
      </c>
      <c r="AV71" s="116">
        <f t="array" ref="AV71">IFERROR(
MEDIAN(IF(DATOS_[Sexo]=$B71,IF(DATOS_[[AGRUP. CLAS. PROF.]:[AGRUP. CLAS. PROF.]]=$B69,IF(DATOS_[Check Equiparado]="Sí",IF(DATOS_[Check Periodo Ref.]="Dentro",DATOS_[TOTAL Retrib Eq],FALSE))))),
0)</f>
        <v>0</v>
      </c>
    </row>
    <row r="72" spans="1:48" ht="17.25" hidden="1" thickBot="1" x14ac:dyDescent="0.35">
      <c r="A72" s="42" t="str">
        <f t="shared" ref="A72" si="79">+A73</f>
        <v>[ocultar]</v>
      </c>
      <c r="B72" s="90" t="s">
        <v>236</v>
      </c>
      <c r="C72" s="109"/>
      <c r="D72" s="41"/>
      <c r="E72" s="41"/>
      <c r="F72" s="41"/>
      <c r="G72" s="41"/>
      <c r="H72" s="41"/>
      <c r="I72" s="119" t="str">
        <f t="shared" ref="I72:AV72" si="80">IFERROR((I73-I74)/I73,"")</f>
        <v/>
      </c>
      <c r="J72" s="123" t="str">
        <f t="shared" si="80"/>
        <v/>
      </c>
      <c r="K72" s="123" t="str">
        <f t="shared" si="80"/>
        <v/>
      </c>
      <c r="L72" s="123" t="str">
        <f t="shared" si="80"/>
        <v/>
      </c>
      <c r="M72" s="123" t="str">
        <f t="shared" si="80"/>
        <v/>
      </c>
      <c r="N72" s="123" t="str">
        <f t="shared" si="80"/>
        <v/>
      </c>
      <c r="O72" s="123" t="str">
        <f t="shared" si="80"/>
        <v/>
      </c>
      <c r="P72" s="123" t="str">
        <f t="shared" si="80"/>
        <v/>
      </c>
      <c r="Q72" s="123" t="str">
        <f t="shared" si="80"/>
        <v/>
      </c>
      <c r="R72" s="123" t="str">
        <f t="shared" si="80"/>
        <v/>
      </c>
      <c r="S72" s="123" t="str">
        <f t="shared" si="80"/>
        <v/>
      </c>
      <c r="T72" s="123" t="str">
        <f t="shared" si="80"/>
        <v/>
      </c>
      <c r="U72" s="123" t="str">
        <f t="shared" si="80"/>
        <v/>
      </c>
      <c r="V72" s="123" t="str">
        <f t="shared" si="80"/>
        <v/>
      </c>
      <c r="W72" s="123" t="str">
        <f t="shared" si="80"/>
        <v/>
      </c>
      <c r="X72" s="123" t="str">
        <f t="shared" si="80"/>
        <v/>
      </c>
      <c r="Y72" s="123" t="str">
        <f t="shared" si="80"/>
        <v/>
      </c>
      <c r="Z72" s="122" t="str">
        <f t="shared" si="80"/>
        <v/>
      </c>
      <c r="AA72" s="122" t="str">
        <f t="shared" si="80"/>
        <v/>
      </c>
      <c r="AB72" s="122" t="str">
        <f t="shared" si="80"/>
        <v/>
      </c>
      <c r="AC72" s="122" t="str">
        <f t="shared" si="80"/>
        <v/>
      </c>
      <c r="AD72" s="122" t="str">
        <f t="shared" si="80"/>
        <v/>
      </c>
      <c r="AE72" s="122" t="str">
        <f t="shared" si="80"/>
        <v/>
      </c>
      <c r="AF72" s="122" t="str">
        <f t="shared" si="80"/>
        <v/>
      </c>
      <c r="AG72" s="122" t="str">
        <f t="shared" si="80"/>
        <v/>
      </c>
      <c r="AH72" s="122" t="str">
        <f t="shared" si="80"/>
        <v/>
      </c>
      <c r="AI72" s="122" t="str">
        <f t="shared" si="80"/>
        <v/>
      </c>
      <c r="AJ72" s="122" t="str">
        <f t="shared" si="80"/>
        <v/>
      </c>
      <c r="AK72" s="122" t="str">
        <f t="shared" si="80"/>
        <v/>
      </c>
      <c r="AL72" s="122" t="str">
        <f t="shared" si="80"/>
        <v/>
      </c>
      <c r="AM72" s="122" t="str">
        <f t="shared" si="80"/>
        <v/>
      </c>
      <c r="AN72" s="124" t="str">
        <f t="shared" si="80"/>
        <v/>
      </c>
      <c r="AO72" s="128" t="str">
        <f t="shared" si="80"/>
        <v/>
      </c>
      <c r="AP72" s="125" t="str">
        <f t="shared" si="80"/>
        <v/>
      </c>
      <c r="AQ72" s="125" t="str">
        <f t="shared" si="80"/>
        <v/>
      </c>
      <c r="AR72" s="125" t="str">
        <f t="shared" si="80"/>
        <v/>
      </c>
      <c r="AS72" s="125" t="str">
        <f t="shared" si="80"/>
        <v/>
      </c>
      <c r="AT72" s="125" t="str">
        <f t="shared" si="80"/>
        <v/>
      </c>
      <c r="AU72" s="126" t="str">
        <f t="shared" si="80"/>
        <v/>
      </c>
      <c r="AV72" s="127" t="str">
        <f t="shared" si="80"/>
        <v/>
      </c>
    </row>
    <row r="73" spans="1:48" hidden="1" x14ac:dyDescent="0.3">
      <c r="A73" s="42" t="str">
        <f t="shared" ref="A73" si="81">+IF(C73+C74=0,"[ocultar]","")</f>
        <v>[ocultar]</v>
      </c>
      <c r="B73" s="86" t="s">
        <v>162</v>
      </c>
      <c r="C73" s="33">
        <f t="array" ref="C73">SUM(IF($B73=DATOS_[Sexo],
IF($B72=DATOS_[AGRUP. CLAS. PROF.],
IF("Dentro"=DATOS_[Check Periodo Ref.],
1/(COUNTIFS(DATOS_[Sexo],$B73,DATOS_[AGRUP. CLAS. PROF.],$B72,DATOS_[Check Periodo Ref.],"Dentro",DATOS_[id],DATOS_[id]))))))</f>
        <v>0</v>
      </c>
      <c r="D73" s="35">
        <f>COUNTIFS(DATOS_[AGRUP. CLAS. PROF.],$B72,DATOS_[Sexo],$B73,DATOS_[Check Periodo Ref.],"Dentro")</f>
        <v>0</v>
      </c>
      <c r="E73" s="35">
        <f>COUNTIFS(DATOS_[AGRUP. CLAS. PROF.],$B72,DATOS_[Sexo],$B73,DATOS_[Check Periodo Ref.],"Dentro",DATOS_[Check Nº SC Norm],"Sí")</f>
        <v>0</v>
      </c>
      <c r="F73" s="35">
        <f>COUNTIFS(DATOS_[AGRUP. CLAS. PROF.],$B72,DATOS_[Sexo],$B73,DATOS_[Check Periodo Ref.],"Dentro",DATOS_[Check Nº SC Anualiz],"Sí")</f>
        <v>0</v>
      </c>
      <c r="G73" s="35">
        <f>COUNTIFS(DATOS_[AGRUP. CLAS. PROF.],$B72,DATOS_[Sexo],$B73,DATOS_[Check Periodo Ref.],"Dentro",DATOS_[Check Nº SC Norm y Anualiz],"Sí")</f>
        <v>0</v>
      </c>
      <c r="H73" s="35">
        <f>COUNTIFS(DATOS_[AGRUP. CLAS. PROF.],$B72,DATOS_[Sexo],$B73,DATOS_[Check Periodo Ref.],"Dentro",DATOS_[Check Equiparación],"Sí")</f>
        <v>0</v>
      </c>
      <c r="I73" s="110">
        <f t="array" ref="I73">IFERROR(
MEDIAN(IF(DATOS_[Sexo]=$B73,IF(DATOS_[[AGRUP. CLAS. PROF.]:[AGRUP. CLAS. PROF.]]=$B72,IF(DATOS_[Check Equiparado]="Sí",IF(DATOS_[Check Periodo Ref.]="Dentro",DATOS_[SALARIO BASE Eq],FALSE))))),
0)</f>
        <v>0</v>
      </c>
      <c r="J73" s="111">
        <f t="array" ref="J73">IFERROR(
(MEDIAN((IF(DATOS_[[Sexo]:[Sexo]]=$B73,IF(DATOS_[[AGRUP. CLAS. PROF.]:[AGRUP. CLAS. PROF.]]=$B72,IF(DATOS_[[Check Periodo Ref.]:[Check Periodo Ref.]]="Dentro",IF(DATOS_[[Check Equiparado]:[Check Equiparado]]="Sí",IF(DATOS!AE$5="Sí",(1/DATOS_[[% anualiz]:[% anualiz]]),1)*IF(DATOS!AE$4="Sí",1/DATOS_[[% normaliz]:[% normaliz]],1)*(DATOS_[Conc.Sal.01])))))))),
0)</f>
        <v>0</v>
      </c>
      <c r="K73" s="111">
        <f t="array" ref="K73">IFERROR(
(MEDIAN((IF(DATOS_[[Sexo]:[Sexo]]=$B73,IF(DATOS_[[AGRUP. CLAS. PROF.]:[AGRUP. CLAS. PROF.]]=$B72,IF(DATOS_[[Check Periodo Ref.]:[Check Periodo Ref.]]="Dentro",IF(DATOS_[[Check Equiparado]:[Check Equiparado]]="Sí",IF(DATOS!AF$5="Sí",(1/DATOS_[[% anualiz]:[% anualiz]]),1)*IF(DATOS!AF$4="Sí",1/DATOS_[[% normaliz]:[% normaliz]],1)*(DATOS_[Conc.Sal.02])))))))),
0)</f>
        <v>0</v>
      </c>
      <c r="L73" s="111">
        <f t="array" ref="L73">IFERROR(
(MEDIAN((IF(DATOS_[[Sexo]:[Sexo]]=$B73,IF(DATOS_[[AGRUP. CLAS. PROF.]:[AGRUP. CLAS. PROF.]]=$B72,IF(DATOS_[[Check Periodo Ref.]:[Check Periodo Ref.]]="Dentro",IF(DATOS_[[Check Equiparado]:[Check Equiparado]]="Sí",IF(DATOS!AG$5="Sí",(1/DATOS_[[% anualiz]:[% anualiz]]),1)*IF(DATOS!AG$4="Sí",1/DATOS_[[% normaliz]:[% normaliz]],1)*(DATOS_[Conc.Sal.03])))))))),
0)</f>
        <v>0</v>
      </c>
      <c r="M73" s="111">
        <f t="array" ref="M73">IFERROR(
(MEDIAN((IF(DATOS_[[Sexo]:[Sexo]]=$B73,IF(DATOS_[[AGRUP. CLAS. PROF.]:[AGRUP. CLAS. PROF.]]=$B72,IF(DATOS_[[Check Periodo Ref.]:[Check Periodo Ref.]]="Dentro",IF(DATOS_[[Check Equiparado]:[Check Equiparado]]="Sí",IF(DATOS!AH$5="Sí",(1/DATOS_[[% anualiz]:[% anualiz]]),1)*IF(DATOS!AH$4="Sí",1/DATOS_[[% normaliz]:[% normaliz]],1)*(DATOS_[Conc.Sal.04])))))))),
0)</f>
        <v>0</v>
      </c>
      <c r="N73" s="111">
        <f t="array" ref="N73">IFERROR(
(MEDIAN((IF(DATOS_[[Sexo]:[Sexo]]=$B73,IF(DATOS_[[AGRUP. CLAS. PROF.]:[AGRUP. CLAS. PROF.]]=$B72,IF(DATOS_[[Check Periodo Ref.]:[Check Periodo Ref.]]="Dentro",IF(DATOS_[[Check Equiparado]:[Check Equiparado]]="Sí",IF(DATOS!AI$5="Sí",(1/DATOS_[[% anualiz]:[% anualiz]]),1)*IF(DATOS!AI$4="Sí",1/DATOS_[[% normaliz]:[% normaliz]],1)*(DATOS_[Conc.Sal.05])))))))),
0)</f>
        <v>0</v>
      </c>
      <c r="O73" s="111">
        <f t="array" ref="O73">IFERROR(
(MEDIAN((IF(DATOS_[[Sexo]:[Sexo]]=$B73,IF(DATOS_[[AGRUP. CLAS. PROF.]:[AGRUP. CLAS. PROF.]]=$B72,IF(DATOS_[[Check Periodo Ref.]:[Check Periodo Ref.]]="Dentro",IF(DATOS_[[Check Equiparado]:[Check Equiparado]]="Sí",IF(DATOS!AJ$5="Sí",(1/DATOS_[[% anualiz]:[% anualiz]]),1)*IF(DATOS!AJ$4="Sí",1/DATOS_[[% normaliz]:[% normaliz]],1)*(DATOS_[Conc.Sal.06])))))))),
0)</f>
        <v>0</v>
      </c>
      <c r="P73" s="111">
        <f t="array" ref="P73">IFERROR(
(MEDIAN((IF(DATOS_[[Sexo]:[Sexo]]=$B73,IF(DATOS_[[AGRUP. CLAS. PROF.]:[AGRUP. CLAS. PROF.]]=$B72,IF(DATOS_[[Check Periodo Ref.]:[Check Periodo Ref.]]="Dentro",IF(DATOS_[[Check Equiparado]:[Check Equiparado]]="Sí",IF(DATOS!AK$5="Sí",(1/DATOS_[[% anualiz]:[% anualiz]]),1)*IF(DATOS!AK$4="Sí",1/DATOS_[[% normaliz]:[% normaliz]],1)*(DATOS_[Conc.Sal.07])))))))),
0)</f>
        <v>0</v>
      </c>
      <c r="Q73" s="111">
        <f t="array" ref="Q73">IFERROR(
(MEDIAN((IF(DATOS_[[Sexo]:[Sexo]]=$B73,IF(DATOS_[[AGRUP. CLAS. PROF.]:[AGRUP. CLAS. PROF.]]=$B72,IF(DATOS_[[Check Periodo Ref.]:[Check Periodo Ref.]]="Dentro",IF(DATOS_[[Check Equiparado]:[Check Equiparado]]="Sí",IF(DATOS!AL$5="Sí",(1/DATOS_[[% anualiz]:[% anualiz]]),1)*IF(DATOS!AL$4="Sí",1/DATOS_[[% normaliz]:[% normaliz]],1)*(DATOS_[Conc.Sal.08])))))))),
0)</f>
        <v>0</v>
      </c>
      <c r="R73" s="111">
        <f t="array" ref="R73">IFERROR(
(MEDIAN((IF(DATOS_[[Sexo]:[Sexo]]=$B73,IF(DATOS_[[AGRUP. CLAS. PROF.]:[AGRUP. CLAS. PROF.]]=$B72,IF(DATOS_[[Check Periodo Ref.]:[Check Periodo Ref.]]="Dentro",IF(DATOS_[[Check Equiparado]:[Check Equiparado]]="Sí",IF(DATOS!AM$5="Sí",(1/DATOS_[[% anualiz]:[% anualiz]]),1)*IF(DATOS!AM$4="Sí",1/DATOS_[[% normaliz]:[% normaliz]],1)*(DATOS_[Conc.Sal.09])))))))),
0)</f>
        <v>0</v>
      </c>
      <c r="S73" s="111">
        <f t="array" ref="S73">IFERROR(
(MEDIAN((IF(DATOS_[[Sexo]:[Sexo]]=$B73,IF(DATOS_[[AGRUP. CLAS. PROF.]:[AGRUP. CLAS. PROF.]]=$B72,IF(DATOS_[[Check Periodo Ref.]:[Check Periodo Ref.]]="Dentro",IF(DATOS_[[Check Equiparado]:[Check Equiparado]]="Sí",IF(DATOS!AN$5="Sí",(1/DATOS_[[% anualiz]:[% anualiz]]),1)*IF(DATOS!AN$4="Sí",1/DATOS_[[% normaliz]:[% normaliz]],1)*(DATOS_[Conc.Sal.10])))))))),
0)</f>
        <v>0</v>
      </c>
      <c r="T73" s="111">
        <f t="array" ref="T73">IFERROR(
(MEDIAN((IF(DATOS_[[Sexo]:[Sexo]]=$B73,IF(DATOS_[[AGRUP. CLAS. PROF.]:[AGRUP. CLAS. PROF.]]=$B72,IF(DATOS_[[Check Periodo Ref.]:[Check Periodo Ref.]]="Dentro",IF(DATOS_[[Check Equiparado]:[Check Equiparado]]="Sí",IF(DATOS!AO$5="Sí",(1/DATOS_[[% anualiz]:[% anualiz]]),1)*IF(DATOS!AO$4="Sí",1/DATOS_[[% normaliz]:[% normaliz]],1)*(DATOS_[Conc.Sal.11])))))))),
0)</f>
        <v>0</v>
      </c>
      <c r="U73" s="111">
        <f t="array" ref="U73">IFERROR(
(MEDIAN((IF(DATOS_[[Sexo]:[Sexo]]=$B73,IF(DATOS_[[AGRUP. CLAS. PROF.]:[AGRUP. CLAS. PROF.]]=$B72,IF(DATOS_[[Check Periodo Ref.]:[Check Periodo Ref.]]="Dentro",IF(DATOS_[[Check Equiparado]:[Check Equiparado]]="Sí",IF(DATOS!AP$5="Sí",(1/DATOS_[[% anualiz]:[% anualiz]]),1)*IF(DATOS!AP$4="Sí",1/DATOS_[[% normaliz]:[% normaliz]],1)*(DATOS_[Conc.Sal.12])))))))),
0)</f>
        <v>0</v>
      </c>
      <c r="V73" s="111">
        <f t="array" ref="V73">IFERROR(
(MEDIAN((IF(DATOS_[[Sexo]:[Sexo]]=$B73,IF(DATOS_[[AGRUP. CLAS. PROF.]:[AGRUP. CLAS. PROF.]]=$B72,IF(DATOS_[[Check Periodo Ref.]:[Check Periodo Ref.]]="Dentro",IF(DATOS_[[Check Equiparado]:[Check Equiparado]]="Sí",IF(DATOS!AQ$5="Sí",(1/DATOS_[[% anualiz]:[% anualiz]]),1)*IF(DATOS!AQ$4="Sí",1/DATOS_[[% normaliz]:[% normaliz]],1)*(DATOS_[Conc.Sal.13])))))))),
0)</f>
        <v>0</v>
      </c>
      <c r="W73" s="111">
        <f t="array" ref="W73">IFERROR(
(MEDIAN((IF(DATOS_[[Sexo]:[Sexo]]=$B73,IF(DATOS_[[AGRUP. CLAS. PROF.]:[AGRUP. CLAS. PROF.]]=$B72,IF(DATOS_[[Check Periodo Ref.]:[Check Periodo Ref.]]="Dentro",IF(DATOS_[[Check Equiparado]:[Check Equiparado]]="Sí",IF(DATOS!AR$5="Sí",(1/DATOS_[[% anualiz]:[% anualiz]]),1)*IF(DATOS!AR$4="Sí",1/DATOS_[[% normaliz]:[% normaliz]],1)*(DATOS_[Conc.Sal.14])))))))),
0)</f>
        <v>0</v>
      </c>
      <c r="X73" s="111">
        <f t="array" ref="X73">IFERROR(
(MEDIAN((IF(DATOS_[[Sexo]:[Sexo]]=$B73,IF(DATOS_[[AGRUP. CLAS. PROF.]:[AGRUP. CLAS. PROF.]]=$B72,IF(DATOS_[[Check Periodo Ref.]:[Check Periodo Ref.]]="Dentro",IF(DATOS_[[Check Equiparado]:[Check Equiparado]]="Sí",IF(DATOS!AS$5="Sí",(1/DATOS_[[% anualiz]:[% anualiz]]),1)*IF(DATOS!AS$4="Sí",1/DATOS_[[% normaliz]:[% normaliz]],1)*(DATOS_[Conc.Sal.15])))))))),
0)</f>
        <v>0</v>
      </c>
      <c r="Y73" s="111">
        <f t="array" ref="Y73">IFERROR(
(MEDIAN((IF(DATOS_[[Sexo]:[Sexo]]=$B73,IF(DATOS_[[AGRUP. CLAS. PROF.]:[AGRUP. CLAS. PROF.]]=$B72,IF(DATOS_[[Check Periodo Ref.]:[Check Periodo Ref.]]="Dentro",IF(DATOS_[[Check Equiparado]:[Check Equiparado]]="Sí",IF(DATOS!AT$5="Sí",(1/DATOS_[[% anualiz]:[% anualiz]]),1)*IF(DATOS!AT$4="Sí",1/DATOS_[[% normaliz]:[% normaliz]],1)*(DATOS_[Conc.Sal.16])))))))),
0)</f>
        <v>0</v>
      </c>
      <c r="Z73" s="111">
        <f t="array" ref="Z73">IFERROR(
(MEDIAN((IF(DATOS_[[Sexo]:[Sexo]]=$B73,IF(DATOS_[[AGRUP. CLAS. PROF.]:[AGRUP. CLAS. PROF.]]=$B72,IF(DATOS_[[Check Periodo Ref.]:[Check Periodo Ref.]]="Dentro",IF(DATOS_[[Check Equiparado]:[Check Equiparado]]="Sí",IF(DATOS!AU$5="Sí",(1/DATOS_[[% anualiz]:[% anualiz]]),1)*IF(DATOS!AU$4="Sí",1/DATOS_[[% normaliz]:[% normaliz]],1)*(DATOS_[Conc.Sal.17])))))))),
0)</f>
        <v>0</v>
      </c>
      <c r="AA73" s="111">
        <f t="array" ref="AA73">IFERROR(
(MEDIAN((IF(DATOS_[[Sexo]:[Sexo]]=$B73,IF(DATOS_[[AGRUP. CLAS. PROF.]:[AGRUP. CLAS. PROF.]]=$B72,IF(DATOS_[[Check Periodo Ref.]:[Check Periodo Ref.]]="Dentro",IF(DATOS_[[Check Equiparado]:[Check Equiparado]]="Sí",IF(DATOS!AV$5="Sí",(1/DATOS_[[% anualiz]:[% anualiz]]),1)*IF(DATOS!AV$4="Sí",1/DATOS_[[% normaliz]:[% normaliz]],1)*(DATOS_[Conc.Sal.18])))))))),
0)</f>
        <v>0</v>
      </c>
      <c r="AB73" s="111">
        <f t="array" ref="AB73">IFERROR(
(MEDIAN((IF(DATOS_[[Sexo]:[Sexo]]=$B73,IF(DATOS_[[AGRUP. CLAS. PROF.]:[AGRUP. CLAS. PROF.]]=$B72,IF(DATOS_[[Check Periodo Ref.]:[Check Periodo Ref.]]="Dentro",IF(DATOS_[[Check Equiparado]:[Check Equiparado]]="Sí",IF(DATOS!AW$5="Sí",(1/DATOS_[[% anualiz]:[% anualiz]]),1)*IF(DATOS!AW$4="Sí",1/DATOS_[[% normaliz]:[% normaliz]],1)*(DATOS_[Conc.Sal.19])))))))),
0)</f>
        <v>0</v>
      </c>
      <c r="AC73" s="111">
        <f t="array" ref="AC73">IFERROR(
(MEDIAN((IF(DATOS_[[Sexo]:[Sexo]]=$B73,IF(DATOS_[[AGRUP. CLAS. PROF.]:[AGRUP. CLAS. PROF.]]=$B72,IF(DATOS_[[Check Periodo Ref.]:[Check Periodo Ref.]]="Dentro",IF(DATOS_[[Check Equiparado]:[Check Equiparado]]="Sí",IF(DATOS!AX$5="Sí",(1/DATOS_[[% anualiz]:[% anualiz]]),1)*IF(DATOS!AX$4="Sí",1/DATOS_[[% normaliz]:[% normaliz]],1)*(DATOS_[Conc.Sal.20])))))))),
0)</f>
        <v>0</v>
      </c>
      <c r="AD73" s="111">
        <f t="array" ref="AD73">IFERROR(
(MEDIAN((IF(DATOS_[[Sexo]:[Sexo]]=$B73,IF(DATOS_[[AGRUP. CLAS. PROF.]:[AGRUP. CLAS. PROF.]]=$B72,IF(DATOS_[[Check Periodo Ref.]:[Check Periodo Ref.]]="Dentro",IF(DATOS_[[Check Equiparado]:[Check Equiparado]]="Sí",IF(DATOS!AY$5="Sí",(1/DATOS_[[% anualiz]:[% anualiz]]),1)*IF(DATOS!AY$4="Sí",1/DATOS_[[% normaliz]:[% normaliz]],1)*(DATOS_[Conc.Sal.21])))))))),
0)</f>
        <v>0</v>
      </c>
      <c r="AE73" s="111">
        <f t="array" ref="AE73">IFERROR(
(MEDIAN((IF(DATOS_[[Sexo]:[Sexo]]=$B73,IF(DATOS_[[AGRUP. CLAS. PROF.]:[AGRUP. CLAS. PROF.]]=$B72,IF(DATOS_[[Check Periodo Ref.]:[Check Periodo Ref.]]="Dentro",IF(DATOS_[[Check Equiparado]:[Check Equiparado]]="Sí",IF(DATOS!AZ$5="Sí",(1/DATOS_[[% anualiz]:[% anualiz]]),1)*IF(DATOS!AZ$4="Sí",1/DATOS_[[% normaliz]:[% normaliz]],1)*(DATOS_[Conc.Sal.22])))))))),
0)</f>
        <v>0</v>
      </c>
      <c r="AF73" s="111">
        <f t="array" ref="AF73">IFERROR(
(MEDIAN((IF(DATOS_[[Sexo]:[Sexo]]=$B73,IF(DATOS_[[AGRUP. CLAS. PROF.]:[AGRUP. CLAS. PROF.]]=$B72,IF(DATOS_[[Check Periodo Ref.]:[Check Periodo Ref.]]="Dentro",IF(DATOS_[[Check Equiparado]:[Check Equiparado]]="Sí",IF(DATOS!BA$5="Sí",(1/DATOS_[[% anualiz]:[% anualiz]]),1)*IF(DATOS!BA$4="Sí",1/DATOS_[[% normaliz]:[% normaliz]],1)*(DATOS_[Conc.Sal.23])))))))),
0)</f>
        <v>0</v>
      </c>
      <c r="AG73" s="111">
        <f t="array" ref="AG73">IFERROR(
(MEDIAN((IF(DATOS_[[Sexo]:[Sexo]]=$B73,IF(DATOS_[[AGRUP. CLAS. PROF.]:[AGRUP. CLAS. PROF.]]=$B72,IF(DATOS_[[Check Periodo Ref.]:[Check Periodo Ref.]]="Dentro",IF(DATOS_[[Check Equiparado]:[Check Equiparado]]="Sí",IF(DATOS!BB$5="Sí",(1/DATOS_[[% anualiz]:[% anualiz]]),1)*IF(DATOS!BB$4="Sí",1/DATOS_[[% normaliz]:[% normaliz]],1)*(DATOS_[Conc.Sal.24])))))))),
0)</f>
        <v>0</v>
      </c>
      <c r="AH73" s="111">
        <f t="array" ref="AH73">IFERROR(
(MEDIAN((IF(DATOS_[[Sexo]:[Sexo]]=$B73,IF(DATOS_[[AGRUP. CLAS. PROF.]:[AGRUP. CLAS. PROF.]]=$B72,IF(DATOS_[[Check Periodo Ref.]:[Check Periodo Ref.]]="Dentro",IF(DATOS_[[Check Equiparado]:[Check Equiparado]]="Sí",IF(DATOS!BC$5="Sí",(1/DATOS_[[% anualiz]:[% anualiz]]),1)*IF(DATOS!BC$4="Sí",1/DATOS_[[% normaliz]:[% normaliz]],1)*(DATOS_[Conc.Sal.25])))))))),
0)</f>
        <v>0</v>
      </c>
      <c r="AI73" s="111">
        <f t="array" ref="AI73">IFERROR(
(MEDIAN((IF(DATOS_[[Sexo]:[Sexo]]=$B73,IF(DATOS_[[AGRUP. CLAS. PROF.]:[AGRUP. CLAS. PROF.]]=$B72,IF(DATOS_[[Check Periodo Ref.]:[Check Periodo Ref.]]="Dentro",IF(DATOS_[[Check Equiparado]:[Check Equiparado]]="Sí",IF(DATOS!BD$5="Sí",(1/DATOS_[[% anualiz]:[% anualiz]]),1)*IF(DATOS!BD$4="Sí",1/DATOS_[[% normaliz]:[% normaliz]],1)*(DATOS_[Conc.Sal.26])))))))),
0)</f>
        <v>0</v>
      </c>
      <c r="AJ73" s="111">
        <f t="array" ref="AJ73">IFERROR(
(MEDIAN((IF(DATOS_[[Sexo]:[Sexo]]=$B73,IF(DATOS_[[AGRUP. CLAS. PROF.]:[AGRUP. CLAS. PROF.]]=$B72,IF(DATOS_[[Check Periodo Ref.]:[Check Periodo Ref.]]="Dentro",IF(DATOS_[[Check Equiparado]:[Check Equiparado]]="Sí",IF(DATOS!BE$5="Sí",(1/DATOS_[[% anualiz]:[% anualiz]]),1)*IF(DATOS!BE$4="Sí",1/DATOS_[[% normaliz]:[% normaliz]],1)*(DATOS_[Conc.Sal.27])))))))),
0)</f>
        <v>0</v>
      </c>
      <c r="AK73" s="111">
        <f t="array" ref="AK73">IFERROR(
(MEDIAN((IF(DATOS_[[Sexo]:[Sexo]]=$B73,IF(DATOS_[[AGRUP. CLAS. PROF.]:[AGRUP. CLAS. PROF.]]=$B72,IF(DATOS_[[Check Periodo Ref.]:[Check Periodo Ref.]]="Dentro",IF(DATOS_[[Check Equiparado]:[Check Equiparado]]="Sí",IF(DATOS!BF$5="Sí",(1/DATOS_[[% anualiz]:[% anualiz]]),1)*IF(DATOS!BF$4="Sí",1/DATOS_[[% normaliz]:[% normaliz]],1)*(DATOS_[Conc.Sal.28])))))))),
0)</f>
        <v>0</v>
      </c>
      <c r="AL73" s="111">
        <f t="array" ref="AL73">IFERROR(
(MEDIAN((IF(DATOS_[[Sexo]:[Sexo]]=$B73,IF(DATOS_[[AGRUP. CLAS. PROF.]:[AGRUP. CLAS. PROF.]]=$B72,IF(DATOS_[[Check Periodo Ref.]:[Check Periodo Ref.]]="Dentro",IF(DATOS_[[Check Equiparado]:[Check Equiparado]]="Sí",IF(DATOS!BG$5="Sí",(1/DATOS_[[% anualiz]:[% anualiz]]),1)*IF(DATOS!BG$4="Sí",1/DATOS_[[% normaliz]:[% normaliz]],1)*(DATOS_[Conc.Sal.29])))))))),
0)</f>
        <v>0</v>
      </c>
      <c r="AM73" s="111">
        <f t="array" ref="AM73">IFERROR(
(MEDIAN((IF(DATOS_[[Sexo]:[Sexo]]=$B73,IF(DATOS_[[AGRUP. CLAS. PROF.]:[AGRUP. CLAS. PROF.]]=$B72,IF(DATOS_[[Check Periodo Ref.]:[Check Periodo Ref.]]="Dentro",IF(DATOS_[[Check Equiparado]:[Check Equiparado]]="Sí",IF(DATOS!BH$5="Sí",(1/DATOS_[[% anualiz]:[% anualiz]]),1)*IF(DATOS!BH$4="Sí",1/DATOS_[[% normaliz]:[% normaliz]],1)*(DATOS_[Conc.Sal.30])))))))),
0)</f>
        <v>0</v>
      </c>
      <c r="AN73" s="112">
        <f t="array" ref="AN73">IFERROR(
MEDIAN(IF(DATOS_[Sexo]=$B73,IF(DATOS_[[AGRUP. CLAS. PROF.]:[AGRUP. CLAS. PROF.]]=$B72,IF(DATOS_[Check Equiparado]="Sí",IF(DATOS_[Check Periodo Ref.]="Dentro",DATOS_[Tot COMPL.SAL Eq],FALSE))))),
0)</f>
        <v>0</v>
      </c>
      <c r="AO73" s="113">
        <f t="array" ref="AO73">IFERROR(
MEDIAN(IF(DATOS_[Sexo]=$B73,IF(DATOS_[[AGRUP. CLAS. PROF.]:[AGRUP. CLAS. PROF.]]=$B72,IF(DATOS_[Check Equiparado]="Sí",IF(DATOS_[Check Periodo Ref.]="Dentro",DATOS_[TOTAL SALARIO Eq],FALSE))))),
0)</f>
        <v>0</v>
      </c>
      <c r="AP73" s="114">
        <f t="array" ref="AP73">IFERROR(
(MEDIAN((IF(DATOS_[[Sexo]:[Sexo]]=$B73,IF(DATOS_[[AGRUP. CLAS. PROF.]:[AGRUP. CLAS. PROF.]]=$B72,IF(DATOS_[[Check Periodo Ref.]:[Check Periodo Ref.]]="Dentro",IF(DATOS_[[Check Equiparado]:[Check Equiparado]]="Sí",IF(DATOS!BI$5="Sí",(1/DATOS_[[% anualiz]:[% anualiz]]),1)*IF(DATOS!BI$4="Sí",1/DATOS_[[% normaliz]:[% normaliz]],1)*(DATOS_[C.Extra.01])))))))),
0)</f>
        <v>0</v>
      </c>
      <c r="AQ73" s="114">
        <f t="array" ref="AQ73">IFERROR(
(MEDIAN((IF(DATOS_[[Sexo]:[Sexo]]=$B73,IF(DATOS_[[AGRUP. CLAS. PROF.]:[AGRUP. CLAS. PROF.]]=$B72,IF(DATOS_[[Check Periodo Ref.]:[Check Periodo Ref.]]="Dentro",IF(DATOS_[[Check Equiparado]:[Check Equiparado]]="Sí",IF(DATOS!BJ$5="Sí",(1/DATOS_[[% anualiz]:[% anualiz]]),1)*IF(DATOS!BJ$4="Sí",1/DATOS_[[% normaliz]:[% normaliz]],1)*(DATOS_[C.Extra.02])))))))),
0)</f>
        <v>0</v>
      </c>
      <c r="AR73" s="114">
        <f t="array" ref="AR73">IFERROR(
(MEDIAN((IF(DATOS_[[Sexo]:[Sexo]]=$B73,IF(DATOS_[[AGRUP. CLAS. PROF.]:[AGRUP. CLAS. PROF.]]=$B72,IF(DATOS_[[Check Periodo Ref.]:[Check Periodo Ref.]]="Dentro",IF(DATOS_[[Check Equiparado]:[Check Equiparado]]="Sí",IF(DATOS!BK$5="Sí",(1/DATOS_[[% anualiz]:[% anualiz]]),1)*IF(DATOS!BK$4="Sí",1/DATOS_[[% normaliz]:[% normaliz]],1)*(DATOS_[C.Extra.03])))))))),
0)</f>
        <v>0</v>
      </c>
      <c r="AS73" s="114">
        <f t="array" ref="AS73">IFERROR(
(MEDIAN((IF(DATOS_[[Sexo]:[Sexo]]=$B73,IF(DATOS_[[AGRUP. CLAS. PROF.]:[AGRUP. CLAS. PROF.]]=$B72,IF(DATOS_[[Check Periodo Ref.]:[Check Periodo Ref.]]="Dentro",IF(DATOS_[[Check Equiparado]:[Check Equiparado]]="Sí",IF(DATOS!BL$5="Sí",(1/DATOS_[[% anualiz]:[% anualiz]]),1)*IF(DATOS!BL$4="Sí",1/DATOS_[[% normaliz]:[% normaliz]],1)*(DATOS_[C.Extra.04])))))))),
0)</f>
        <v>0</v>
      </c>
      <c r="AT73" s="114">
        <f t="array" ref="AT73">IFERROR(
(MEDIAN((IF(DATOS_[[Sexo]:[Sexo]]=$B73,IF(DATOS_[[AGRUP. CLAS. PROF.]:[AGRUP. CLAS. PROF.]]=$B72,IF(DATOS_[[Check Periodo Ref.]:[Check Periodo Ref.]]="Dentro",IF(DATOS_[[Check Equiparado]:[Check Equiparado]]="Sí",IF(DATOS!BM$5="Sí",(1/DATOS_[[% anualiz]:[% anualiz]]),1)*IF(DATOS!BM$4="Sí",1/DATOS_[[% normaliz]:[% normaliz]],1)*(DATOS_[C.Extra.05])))))))),
0)</f>
        <v>0</v>
      </c>
      <c r="AU73" s="115">
        <f t="array" ref="AU73">IFERROR(
MEDIAN(IF(DATOS_[Sexo]=$B73,IF(DATOS_[[AGRUP. CLAS. PROF.]:[AGRUP. CLAS. PROF.]]=$B72,IF(DATOS_[Check Equiparado]="Sí",IF(DATOS_[Check Periodo Ref.]="Dentro",DATOS_[Tot Extrasalarial Eq],FALSE))))),
0)</f>
        <v>0</v>
      </c>
      <c r="AV73" s="116">
        <f t="array" ref="AV73">IFERROR(
MEDIAN(IF(DATOS_[Sexo]=$B73,IF(DATOS_[[AGRUP. CLAS. PROF.]:[AGRUP. CLAS. PROF.]]=$B72,IF(DATOS_[Check Equiparado]="Sí",IF(DATOS_[Check Periodo Ref.]="Dentro",DATOS_[TOTAL Retrib Eq],FALSE))))),
0)</f>
        <v>0</v>
      </c>
    </row>
    <row r="74" spans="1:48" hidden="1" x14ac:dyDescent="0.3">
      <c r="A74" s="42" t="str">
        <f t="shared" ref="A74" si="82">+A73</f>
        <v>[ocultar]</v>
      </c>
      <c r="B74" s="86" t="s">
        <v>163</v>
      </c>
      <c r="C74" s="33">
        <f t="array" ref="C74">SUM(IF($B74=DATOS_[Sexo],
IF($B72=DATOS_[AGRUP. CLAS. PROF.],
IF("Dentro"=DATOS_[Check Periodo Ref.],
1/(COUNTIFS(DATOS_[Sexo],$B74,DATOS_[AGRUP. CLAS. PROF.],$B72,DATOS_[Check Periodo Ref.],"Dentro",DATOS_[id],DATOS_[id]))))))</f>
        <v>0</v>
      </c>
      <c r="D74" s="35">
        <f>COUNTIFS(DATOS_[AGRUP. CLAS. PROF.],$B72,DATOS_[Sexo],$B74,DATOS_[Check Periodo Ref.],"Dentro")</f>
        <v>0</v>
      </c>
      <c r="E74" s="35">
        <f>COUNTIFS(DATOS_[AGRUP. CLAS. PROF.],$B72,DATOS_[Sexo],$B74,DATOS_[Check Periodo Ref.],"Dentro",DATOS_[Check Nº SC Norm],"Sí")</f>
        <v>0</v>
      </c>
      <c r="F74" s="35">
        <f>COUNTIFS(DATOS_[AGRUP. CLAS. PROF.],$B72,DATOS_[Sexo],$B74,DATOS_[Check Periodo Ref.],"Dentro",DATOS_[Check Nº SC Anualiz],"Sí")</f>
        <v>0</v>
      </c>
      <c r="G74" s="35">
        <f>COUNTIFS(DATOS_[AGRUP. CLAS. PROF.],$B72,DATOS_[Sexo],$B74,DATOS_[Check Periodo Ref.],"Dentro",DATOS_[Check Nº SC Norm y Anualiz],"Sí")</f>
        <v>0</v>
      </c>
      <c r="H74" s="35">
        <f>COUNTIFS(DATOS_[AGRUP. CLAS. PROF.],$B72,DATOS_[Sexo],$B74,DATOS_[Check Periodo Ref.],"Dentro",DATOS_[Check Equiparación],"Sí")</f>
        <v>0</v>
      </c>
      <c r="I74" s="110" cm="1">
        <f t="array" ref="I74">IFERROR(
MEDIAN(IF(DATOS_[Sexo]=$B74,IF(DATOS_[[AGRUP. CLAS. PROF.]:[AGRUP. CLAS. PROF.]]=$B72,IF(DATOS_[Check Equiparado]="Sí",IF(DATOS_[Check Periodo Ref.]="Dentro",DATOS_[SALARIO BASE Eq],FALSE))))),
0)</f>
        <v>0</v>
      </c>
      <c r="J74" s="111">
        <f t="array" ref="J74">IFERROR(
(MEDIAN((IF(DATOS_[[Sexo]:[Sexo]]=$B74,IF(DATOS_[[AGRUP. CLAS. PROF.]:[AGRUP. CLAS. PROF.]]=$B72,IF(DATOS_[[Check Periodo Ref.]:[Check Periodo Ref.]]="Dentro",IF(DATOS_[[Check Equiparado]:[Check Equiparado]]="Sí",IF(DATOS!AE$5="Sí",(1/DATOS_[[% anualiz]:[% anualiz]]),1)*IF(DATOS!AE$4="Sí",1/DATOS_[[% normaliz]:[% normaliz]],1)*(DATOS_[Conc.Sal.01])))))))),
0)</f>
        <v>0</v>
      </c>
      <c r="K74" s="111">
        <f t="array" ref="K74">IFERROR(
(MEDIAN((IF(DATOS_[[Sexo]:[Sexo]]=$B74,IF(DATOS_[[AGRUP. CLAS. PROF.]:[AGRUP. CLAS. PROF.]]=$B72,IF(DATOS_[[Check Periodo Ref.]:[Check Periodo Ref.]]="Dentro",IF(DATOS_[[Check Equiparado]:[Check Equiparado]]="Sí",IF(DATOS!AF$5="Sí",(1/DATOS_[[% anualiz]:[% anualiz]]),1)*IF(DATOS!AF$4="Sí",1/DATOS_[[% normaliz]:[% normaliz]],1)*(DATOS_[Conc.Sal.02])))))))),
0)</f>
        <v>0</v>
      </c>
      <c r="L74" s="111">
        <f t="array" ref="L74">IFERROR(
(MEDIAN((IF(DATOS_[[Sexo]:[Sexo]]=$B74,IF(DATOS_[[AGRUP. CLAS. PROF.]:[AGRUP. CLAS. PROF.]]=$B72,IF(DATOS_[[Check Periodo Ref.]:[Check Periodo Ref.]]="Dentro",IF(DATOS_[[Check Equiparado]:[Check Equiparado]]="Sí",IF(DATOS!AG$5="Sí",(1/DATOS_[[% anualiz]:[% anualiz]]),1)*IF(DATOS!AG$4="Sí",1/DATOS_[[% normaliz]:[% normaliz]],1)*(DATOS_[Conc.Sal.03])))))))),
0)</f>
        <v>0</v>
      </c>
      <c r="M74" s="111">
        <f t="array" ref="M74">IFERROR(
(MEDIAN((IF(DATOS_[[Sexo]:[Sexo]]=$B74,IF(DATOS_[[AGRUP. CLAS. PROF.]:[AGRUP. CLAS. PROF.]]=$B72,IF(DATOS_[[Check Periodo Ref.]:[Check Periodo Ref.]]="Dentro",IF(DATOS_[[Check Equiparado]:[Check Equiparado]]="Sí",IF(DATOS!AH$5="Sí",(1/DATOS_[[% anualiz]:[% anualiz]]),1)*IF(DATOS!AH$4="Sí",1/DATOS_[[% normaliz]:[% normaliz]],1)*(DATOS_[Conc.Sal.04])))))))),
0)</f>
        <v>0</v>
      </c>
      <c r="N74" s="111">
        <f t="array" ref="N74">IFERROR(
(MEDIAN((IF(DATOS_[[Sexo]:[Sexo]]=$B74,IF(DATOS_[[AGRUP. CLAS. PROF.]:[AGRUP. CLAS. PROF.]]=$B72,IF(DATOS_[[Check Periodo Ref.]:[Check Periodo Ref.]]="Dentro",IF(DATOS_[[Check Equiparado]:[Check Equiparado]]="Sí",IF(DATOS!AI$5="Sí",(1/DATOS_[[% anualiz]:[% anualiz]]),1)*IF(DATOS!AI$4="Sí",1/DATOS_[[% normaliz]:[% normaliz]],1)*(DATOS_[Conc.Sal.05])))))))),
0)</f>
        <v>0</v>
      </c>
      <c r="O74" s="111">
        <f t="array" ref="O74">IFERROR(
(MEDIAN((IF(DATOS_[[Sexo]:[Sexo]]=$B74,IF(DATOS_[[AGRUP. CLAS. PROF.]:[AGRUP. CLAS. PROF.]]=$B72,IF(DATOS_[[Check Periodo Ref.]:[Check Periodo Ref.]]="Dentro",IF(DATOS_[[Check Equiparado]:[Check Equiparado]]="Sí",IF(DATOS!AJ$5="Sí",(1/DATOS_[[% anualiz]:[% anualiz]]),1)*IF(DATOS!AJ$4="Sí",1/DATOS_[[% normaliz]:[% normaliz]],1)*(DATOS_[Conc.Sal.06])))))))),
0)</f>
        <v>0</v>
      </c>
      <c r="P74" s="111">
        <f t="array" ref="P74">IFERROR(
(MEDIAN((IF(DATOS_[[Sexo]:[Sexo]]=$B74,IF(DATOS_[[AGRUP. CLAS. PROF.]:[AGRUP. CLAS. PROF.]]=$B72,IF(DATOS_[[Check Periodo Ref.]:[Check Periodo Ref.]]="Dentro",IF(DATOS_[[Check Equiparado]:[Check Equiparado]]="Sí",IF(DATOS!AK$5="Sí",(1/DATOS_[[% anualiz]:[% anualiz]]),1)*IF(DATOS!AK$4="Sí",1/DATOS_[[% normaliz]:[% normaliz]],1)*(DATOS_[Conc.Sal.07])))))))),
0)</f>
        <v>0</v>
      </c>
      <c r="Q74" s="111">
        <f t="array" ref="Q74">IFERROR(
(MEDIAN((IF(DATOS_[[Sexo]:[Sexo]]=$B74,IF(DATOS_[[AGRUP. CLAS. PROF.]:[AGRUP. CLAS. PROF.]]=$B72,IF(DATOS_[[Check Periodo Ref.]:[Check Periodo Ref.]]="Dentro",IF(DATOS_[[Check Equiparado]:[Check Equiparado]]="Sí",IF(DATOS!AL$5="Sí",(1/DATOS_[[% anualiz]:[% anualiz]]),1)*IF(DATOS!AL$4="Sí",1/DATOS_[[% normaliz]:[% normaliz]],1)*(DATOS_[Conc.Sal.08])))))))),
0)</f>
        <v>0</v>
      </c>
      <c r="R74" s="111">
        <f t="array" ref="R74">IFERROR(
(MEDIAN((IF(DATOS_[[Sexo]:[Sexo]]=$B74,IF(DATOS_[[AGRUP. CLAS. PROF.]:[AGRUP. CLAS. PROF.]]=$B72,IF(DATOS_[[Check Periodo Ref.]:[Check Periodo Ref.]]="Dentro",IF(DATOS_[[Check Equiparado]:[Check Equiparado]]="Sí",IF(DATOS!AM$5="Sí",(1/DATOS_[[% anualiz]:[% anualiz]]),1)*IF(DATOS!AM$4="Sí",1/DATOS_[[% normaliz]:[% normaliz]],1)*(DATOS_[Conc.Sal.09])))))))),
0)</f>
        <v>0</v>
      </c>
      <c r="S74" s="111">
        <f t="array" ref="S74">IFERROR(
(MEDIAN((IF(DATOS_[[Sexo]:[Sexo]]=$B74,IF(DATOS_[[AGRUP. CLAS. PROF.]:[AGRUP. CLAS. PROF.]]=$B72,IF(DATOS_[[Check Periodo Ref.]:[Check Periodo Ref.]]="Dentro",IF(DATOS_[[Check Equiparado]:[Check Equiparado]]="Sí",IF(DATOS!AN$5="Sí",(1/DATOS_[[% anualiz]:[% anualiz]]),1)*IF(DATOS!AN$4="Sí",1/DATOS_[[% normaliz]:[% normaliz]],1)*(DATOS_[Conc.Sal.10])))))))),
0)</f>
        <v>0</v>
      </c>
      <c r="T74" s="111">
        <f t="array" ref="T74">IFERROR(
(MEDIAN((IF(DATOS_[[Sexo]:[Sexo]]=$B74,IF(DATOS_[[AGRUP. CLAS. PROF.]:[AGRUP. CLAS. PROF.]]=$B72,IF(DATOS_[[Check Periodo Ref.]:[Check Periodo Ref.]]="Dentro",IF(DATOS_[[Check Equiparado]:[Check Equiparado]]="Sí",IF(DATOS!AO$5="Sí",(1/DATOS_[[% anualiz]:[% anualiz]]),1)*IF(DATOS!AO$4="Sí",1/DATOS_[[% normaliz]:[% normaliz]],1)*(DATOS_[Conc.Sal.11])))))))),
0)</f>
        <v>0</v>
      </c>
      <c r="U74" s="111">
        <f t="array" ref="U74">IFERROR(
(MEDIAN((IF(DATOS_[[Sexo]:[Sexo]]=$B74,IF(DATOS_[[AGRUP. CLAS. PROF.]:[AGRUP. CLAS. PROF.]]=$B72,IF(DATOS_[[Check Periodo Ref.]:[Check Periodo Ref.]]="Dentro",IF(DATOS_[[Check Equiparado]:[Check Equiparado]]="Sí",IF(DATOS!AP$5="Sí",(1/DATOS_[[% anualiz]:[% anualiz]]),1)*IF(DATOS!AP$4="Sí",1/DATOS_[[% normaliz]:[% normaliz]],1)*(DATOS_[Conc.Sal.12])))))))),
0)</f>
        <v>0</v>
      </c>
      <c r="V74" s="111">
        <f t="array" ref="V74">IFERROR(
(MEDIAN((IF(DATOS_[[Sexo]:[Sexo]]=$B74,IF(DATOS_[[AGRUP. CLAS. PROF.]:[AGRUP. CLAS. PROF.]]=$B72,IF(DATOS_[[Check Periodo Ref.]:[Check Periodo Ref.]]="Dentro",IF(DATOS_[[Check Equiparado]:[Check Equiparado]]="Sí",IF(DATOS!AQ$5="Sí",(1/DATOS_[[% anualiz]:[% anualiz]]),1)*IF(DATOS!AQ$4="Sí",1/DATOS_[[% normaliz]:[% normaliz]],1)*(DATOS_[Conc.Sal.13])))))))),
0)</f>
        <v>0</v>
      </c>
      <c r="W74" s="111">
        <f t="array" ref="W74">IFERROR(
(MEDIAN((IF(DATOS_[[Sexo]:[Sexo]]=$B74,IF(DATOS_[[AGRUP. CLAS. PROF.]:[AGRUP. CLAS. PROF.]]=$B72,IF(DATOS_[[Check Periodo Ref.]:[Check Periodo Ref.]]="Dentro",IF(DATOS_[[Check Equiparado]:[Check Equiparado]]="Sí",IF(DATOS!AR$5="Sí",(1/DATOS_[[% anualiz]:[% anualiz]]),1)*IF(DATOS!AR$4="Sí",1/DATOS_[[% normaliz]:[% normaliz]],1)*(DATOS_[Conc.Sal.14])))))))),
0)</f>
        <v>0</v>
      </c>
      <c r="X74" s="111">
        <f t="array" ref="X74">IFERROR(
(MEDIAN((IF(DATOS_[[Sexo]:[Sexo]]=$B74,IF(DATOS_[[AGRUP. CLAS. PROF.]:[AGRUP. CLAS. PROF.]]=$B72,IF(DATOS_[[Check Periodo Ref.]:[Check Periodo Ref.]]="Dentro",IF(DATOS_[[Check Equiparado]:[Check Equiparado]]="Sí",IF(DATOS!AS$5="Sí",(1/DATOS_[[% anualiz]:[% anualiz]]),1)*IF(DATOS!AS$4="Sí",1/DATOS_[[% normaliz]:[% normaliz]],1)*(DATOS_[Conc.Sal.15])))))))),
0)</f>
        <v>0</v>
      </c>
      <c r="Y74" s="111">
        <f t="array" ref="Y74">IFERROR(
(MEDIAN((IF(DATOS_[[Sexo]:[Sexo]]=$B74,IF(DATOS_[[AGRUP. CLAS. PROF.]:[AGRUP. CLAS. PROF.]]=$B72,IF(DATOS_[[Check Periodo Ref.]:[Check Periodo Ref.]]="Dentro",IF(DATOS_[[Check Equiparado]:[Check Equiparado]]="Sí",IF(DATOS!AT$5="Sí",(1/DATOS_[[% anualiz]:[% anualiz]]),1)*IF(DATOS!AT$4="Sí",1/DATOS_[[% normaliz]:[% normaliz]],1)*(DATOS_[Conc.Sal.16])))))))),
0)</f>
        <v>0</v>
      </c>
      <c r="Z74" s="111">
        <f t="array" ref="Z74">IFERROR(
(MEDIAN((IF(DATOS_[[Sexo]:[Sexo]]=$B74,IF(DATOS_[[AGRUP. CLAS. PROF.]:[AGRUP. CLAS. PROF.]]=$B72,IF(DATOS_[[Check Periodo Ref.]:[Check Periodo Ref.]]="Dentro",IF(DATOS_[[Check Equiparado]:[Check Equiparado]]="Sí",IF(DATOS!AU$5="Sí",(1/DATOS_[[% anualiz]:[% anualiz]]),1)*IF(DATOS!AU$4="Sí",1/DATOS_[[% normaliz]:[% normaliz]],1)*(DATOS_[Conc.Sal.17])))))))),
0)</f>
        <v>0</v>
      </c>
      <c r="AA74" s="111">
        <f t="array" ref="AA74">IFERROR(
(MEDIAN((IF(DATOS_[[Sexo]:[Sexo]]=$B74,IF(DATOS_[[AGRUP. CLAS. PROF.]:[AGRUP. CLAS. PROF.]]=$B72,IF(DATOS_[[Check Periodo Ref.]:[Check Periodo Ref.]]="Dentro",IF(DATOS_[[Check Equiparado]:[Check Equiparado]]="Sí",IF(DATOS!AV$5="Sí",(1/DATOS_[[% anualiz]:[% anualiz]]),1)*IF(DATOS!AV$4="Sí",1/DATOS_[[% normaliz]:[% normaliz]],1)*(DATOS_[Conc.Sal.18])))))))),
0)</f>
        <v>0</v>
      </c>
      <c r="AB74" s="111">
        <f t="array" ref="AB74">IFERROR(
(MEDIAN((IF(DATOS_[[Sexo]:[Sexo]]=$B74,IF(DATOS_[[AGRUP. CLAS. PROF.]:[AGRUP. CLAS. PROF.]]=$B72,IF(DATOS_[[Check Periodo Ref.]:[Check Periodo Ref.]]="Dentro",IF(DATOS_[[Check Equiparado]:[Check Equiparado]]="Sí",IF(DATOS!AW$5="Sí",(1/DATOS_[[% anualiz]:[% anualiz]]),1)*IF(DATOS!AW$4="Sí",1/DATOS_[[% normaliz]:[% normaliz]],1)*(DATOS_[Conc.Sal.19])))))))),
0)</f>
        <v>0</v>
      </c>
      <c r="AC74" s="111">
        <f t="array" ref="AC74">IFERROR(
(MEDIAN((IF(DATOS_[[Sexo]:[Sexo]]=$B74,IF(DATOS_[[AGRUP. CLAS. PROF.]:[AGRUP. CLAS. PROF.]]=$B72,IF(DATOS_[[Check Periodo Ref.]:[Check Periodo Ref.]]="Dentro",IF(DATOS_[[Check Equiparado]:[Check Equiparado]]="Sí",IF(DATOS!AX$5="Sí",(1/DATOS_[[% anualiz]:[% anualiz]]),1)*IF(DATOS!AX$4="Sí",1/DATOS_[[% normaliz]:[% normaliz]],1)*(DATOS_[Conc.Sal.20])))))))),
0)</f>
        <v>0</v>
      </c>
      <c r="AD74" s="111">
        <f t="array" ref="AD74">IFERROR(
(MEDIAN((IF(DATOS_[[Sexo]:[Sexo]]=$B74,IF(DATOS_[[AGRUP. CLAS. PROF.]:[AGRUP. CLAS. PROF.]]=$B72,IF(DATOS_[[Check Periodo Ref.]:[Check Periodo Ref.]]="Dentro",IF(DATOS_[[Check Equiparado]:[Check Equiparado]]="Sí",IF(DATOS!AY$5="Sí",(1/DATOS_[[% anualiz]:[% anualiz]]),1)*IF(DATOS!AY$4="Sí",1/DATOS_[[% normaliz]:[% normaliz]],1)*(DATOS_[Conc.Sal.21])))))))),
0)</f>
        <v>0</v>
      </c>
      <c r="AE74" s="111">
        <f t="array" ref="AE74">IFERROR(
(MEDIAN((IF(DATOS_[[Sexo]:[Sexo]]=$B74,IF(DATOS_[[AGRUP. CLAS. PROF.]:[AGRUP. CLAS. PROF.]]=$B72,IF(DATOS_[[Check Periodo Ref.]:[Check Periodo Ref.]]="Dentro",IF(DATOS_[[Check Equiparado]:[Check Equiparado]]="Sí",IF(DATOS!AZ$5="Sí",(1/DATOS_[[% anualiz]:[% anualiz]]),1)*IF(DATOS!AZ$4="Sí",1/DATOS_[[% normaliz]:[% normaliz]],1)*(DATOS_[Conc.Sal.22])))))))),
0)</f>
        <v>0</v>
      </c>
      <c r="AF74" s="111">
        <f t="array" ref="AF74">IFERROR(
(MEDIAN((IF(DATOS_[[Sexo]:[Sexo]]=$B74,IF(DATOS_[[AGRUP. CLAS. PROF.]:[AGRUP. CLAS. PROF.]]=$B72,IF(DATOS_[[Check Periodo Ref.]:[Check Periodo Ref.]]="Dentro",IF(DATOS_[[Check Equiparado]:[Check Equiparado]]="Sí",IF(DATOS!BA$5="Sí",(1/DATOS_[[% anualiz]:[% anualiz]]),1)*IF(DATOS!BA$4="Sí",1/DATOS_[[% normaliz]:[% normaliz]],1)*(DATOS_[Conc.Sal.23])))))))),
0)</f>
        <v>0</v>
      </c>
      <c r="AG74" s="111">
        <f t="array" ref="AG74">IFERROR(
(MEDIAN((IF(DATOS_[[Sexo]:[Sexo]]=$B74,IF(DATOS_[[AGRUP. CLAS. PROF.]:[AGRUP. CLAS. PROF.]]=$B72,IF(DATOS_[[Check Periodo Ref.]:[Check Periodo Ref.]]="Dentro",IF(DATOS_[[Check Equiparado]:[Check Equiparado]]="Sí",IF(DATOS!BB$5="Sí",(1/DATOS_[[% anualiz]:[% anualiz]]),1)*IF(DATOS!BB$4="Sí",1/DATOS_[[% normaliz]:[% normaliz]],1)*(DATOS_[Conc.Sal.24])))))))),
0)</f>
        <v>0</v>
      </c>
      <c r="AH74" s="111">
        <f t="array" ref="AH74">IFERROR(
(MEDIAN((IF(DATOS_[[Sexo]:[Sexo]]=$B74,IF(DATOS_[[AGRUP. CLAS. PROF.]:[AGRUP. CLAS. PROF.]]=$B72,IF(DATOS_[[Check Periodo Ref.]:[Check Periodo Ref.]]="Dentro",IF(DATOS_[[Check Equiparado]:[Check Equiparado]]="Sí",IF(DATOS!BC$5="Sí",(1/DATOS_[[% anualiz]:[% anualiz]]),1)*IF(DATOS!BC$4="Sí",1/DATOS_[[% normaliz]:[% normaliz]],1)*(DATOS_[Conc.Sal.25])))))))),
0)</f>
        <v>0</v>
      </c>
      <c r="AI74" s="111">
        <f t="array" ref="AI74">IFERROR(
(MEDIAN((IF(DATOS_[[Sexo]:[Sexo]]=$B74,IF(DATOS_[[AGRUP. CLAS. PROF.]:[AGRUP. CLAS. PROF.]]=$B72,IF(DATOS_[[Check Periodo Ref.]:[Check Periodo Ref.]]="Dentro",IF(DATOS_[[Check Equiparado]:[Check Equiparado]]="Sí",IF(DATOS!BD$5="Sí",(1/DATOS_[[% anualiz]:[% anualiz]]),1)*IF(DATOS!BD$4="Sí",1/DATOS_[[% normaliz]:[% normaliz]],1)*(DATOS_[Conc.Sal.26])))))))),
0)</f>
        <v>0</v>
      </c>
      <c r="AJ74" s="111">
        <f t="array" ref="AJ74">IFERROR(
(MEDIAN((IF(DATOS_[[Sexo]:[Sexo]]=$B74,IF(DATOS_[[AGRUP. CLAS. PROF.]:[AGRUP. CLAS. PROF.]]=$B72,IF(DATOS_[[Check Periodo Ref.]:[Check Periodo Ref.]]="Dentro",IF(DATOS_[[Check Equiparado]:[Check Equiparado]]="Sí",IF(DATOS!BE$5="Sí",(1/DATOS_[[% anualiz]:[% anualiz]]),1)*IF(DATOS!BE$4="Sí",1/DATOS_[[% normaliz]:[% normaliz]],1)*(DATOS_[Conc.Sal.27])))))))),
0)</f>
        <v>0</v>
      </c>
      <c r="AK74" s="111">
        <f t="array" ref="AK74">IFERROR(
(MEDIAN((IF(DATOS_[[Sexo]:[Sexo]]=$B74,IF(DATOS_[[AGRUP. CLAS. PROF.]:[AGRUP. CLAS. PROF.]]=$B72,IF(DATOS_[[Check Periodo Ref.]:[Check Periodo Ref.]]="Dentro",IF(DATOS_[[Check Equiparado]:[Check Equiparado]]="Sí",IF(DATOS!BF$5="Sí",(1/DATOS_[[% anualiz]:[% anualiz]]),1)*IF(DATOS!BF$4="Sí",1/DATOS_[[% normaliz]:[% normaliz]],1)*(DATOS_[Conc.Sal.28])))))))),
0)</f>
        <v>0</v>
      </c>
      <c r="AL74" s="111">
        <f t="array" ref="AL74">IFERROR(
(MEDIAN((IF(DATOS_[[Sexo]:[Sexo]]=$B74,IF(DATOS_[[AGRUP. CLAS. PROF.]:[AGRUP. CLAS. PROF.]]=$B72,IF(DATOS_[[Check Periodo Ref.]:[Check Periodo Ref.]]="Dentro",IF(DATOS_[[Check Equiparado]:[Check Equiparado]]="Sí",IF(DATOS!BG$5="Sí",(1/DATOS_[[% anualiz]:[% anualiz]]),1)*IF(DATOS!BG$4="Sí",1/DATOS_[[% normaliz]:[% normaliz]],1)*(DATOS_[Conc.Sal.29])))))))),
0)</f>
        <v>0</v>
      </c>
      <c r="AM74" s="111">
        <f t="array" ref="AM74">IFERROR(
(MEDIAN((IF(DATOS_[[Sexo]:[Sexo]]=$B74,IF(DATOS_[[AGRUP. CLAS. PROF.]:[AGRUP. CLAS. PROF.]]=$B72,IF(DATOS_[[Check Periodo Ref.]:[Check Periodo Ref.]]="Dentro",IF(DATOS_[[Check Equiparado]:[Check Equiparado]]="Sí",IF(DATOS!BH$5="Sí",(1/DATOS_[[% anualiz]:[% anualiz]]),1)*IF(DATOS!BH$4="Sí",1/DATOS_[[% normaliz]:[% normaliz]],1)*(DATOS_[Conc.Sal.30])))))))),
0)</f>
        <v>0</v>
      </c>
      <c r="AN74" s="112">
        <f t="array" ref="AN74">IFERROR(
MEDIAN(IF(DATOS_[Sexo]=$B74,IF(DATOS_[[AGRUP. CLAS. PROF.]:[AGRUP. CLAS. PROF.]]=$B72,IF(DATOS_[Check Equiparado]="Sí",IF(DATOS_[Check Periodo Ref.]="Dentro",DATOS_[Tot COMPL.SAL Eq],FALSE))))),
0)</f>
        <v>0</v>
      </c>
      <c r="AO74" s="113">
        <f t="array" ref="AO74">IFERROR(
MEDIAN(IF(DATOS_[Sexo]=$B74,IF(DATOS_[[AGRUP. CLAS. PROF.]:[AGRUP. CLAS. PROF.]]=$B72,IF(DATOS_[Check Equiparado]="Sí",IF(DATOS_[Check Periodo Ref.]="Dentro",DATOS_[TOTAL SALARIO Eq],FALSE))))),
0)</f>
        <v>0</v>
      </c>
      <c r="AP74" s="114">
        <f t="array" ref="AP74">IFERROR(
(MEDIAN((IF(DATOS_[[Sexo]:[Sexo]]=$B74,IF(DATOS_[[AGRUP. CLAS. PROF.]:[AGRUP. CLAS. PROF.]]=$B72,IF(DATOS_[[Check Periodo Ref.]:[Check Periodo Ref.]]="Dentro",IF(DATOS_[[Check Equiparado]:[Check Equiparado]]="Sí",IF(DATOS!BI$5="Sí",(1/DATOS_[[% anualiz]:[% anualiz]]),1)*IF(DATOS!BI$4="Sí",1/DATOS_[[% normaliz]:[% normaliz]],1)*(DATOS_[C.Extra.01])))))))),
0)</f>
        <v>0</v>
      </c>
      <c r="AQ74" s="114">
        <f t="array" ref="AQ74">IFERROR(
(MEDIAN((IF(DATOS_[[Sexo]:[Sexo]]=$B74,IF(DATOS_[[AGRUP. CLAS. PROF.]:[AGRUP. CLAS. PROF.]]=$B72,IF(DATOS_[[Check Periodo Ref.]:[Check Periodo Ref.]]="Dentro",IF(DATOS_[[Check Equiparado]:[Check Equiparado]]="Sí",IF(DATOS!BJ$5="Sí",(1/DATOS_[[% anualiz]:[% anualiz]]),1)*IF(DATOS!BJ$4="Sí",1/DATOS_[[% normaliz]:[% normaliz]],1)*(DATOS_[C.Extra.02])))))))),
0)</f>
        <v>0</v>
      </c>
      <c r="AR74" s="114">
        <f t="array" ref="AR74">IFERROR(
(MEDIAN((IF(DATOS_[[Sexo]:[Sexo]]=$B74,IF(DATOS_[[AGRUP. CLAS. PROF.]:[AGRUP. CLAS. PROF.]]=$B72,IF(DATOS_[[Check Periodo Ref.]:[Check Periodo Ref.]]="Dentro",IF(DATOS_[[Check Equiparado]:[Check Equiparado]]="Sí",IF(DATOS!BK$5="Sí",(1/DATOS_[[% anualiz]:[% anualiz]]),1)*IF(DATOS!BK$4="Sí",1/DATOS_[[% normaliz]:[% normaliz]],1)*(DATOS_[C.Extra.03])))))))),
0)</f>
        <v>0</v>
      </c>
      <c r="AS74" s="114">
        <f t="array" ref="AS74">IFERROR(
(MEDIAN((IF(DATOS_[[Sexo]:[Sexo]]=$B74,IF(DATOS_[[AGRUP. CLAS. PROF.]:[AGRUP. CLAS. PROF.]]=$B72,IF(DATOS_[[Check Periodo Ref.]:[Check Periodo Ref.]]="Dentro",IF(DATOS_[[Check Equiparado]:[Check Equiparado]]="Sí",IF(DATOS!BL$5="Sí",(1/DATOS_[[% anualiz]:[% anualiz]]),1)*IF(DATOS!BL$4="Sí",1/DATOS_[[% normaliz]:[% normaliz]],1)*(DATOS_[C.Extra.04])))))))),
0)</f>
        <v>0</v>
      </c>
      <c r="AT74" s="114">
        <f t="array" ref="AT74">IFERROR(
(MEDIAN((IF(DATOS_[[Sexo]:[Sexo]]=$B74,IF(DATOS_[[AGRUP. CLAS. PROF.]:[AGRUP. CLAS. PROF.]]=$B72,IF(DATOS_[[Check Periodo Ref.]:[Check Periodo Ref.]]="Dentro",IF(DATOS_[[Check Equiparado]:[Check Equiparado]]="Sí",IF(DATOS!BM$5="Sí",(1/DATOS_[[% anualiz]:[% anualiz]]),1)*IF(DATOS!BM$4="Sí",1/DATOS_[[% normaliz]:[% normaliz]],1)*(DATOS_[C.Extra.05])))))))),
0)</f>
        <v>0</v>
      </c>
      <c r="AU74" s="115">
        <f t="array" ref="AU74">IFERROR(
MEDIAN(IF(DATOS_[Sexo]=$B74,IF(DATOS_[[AGRUP. CLAS. PROF.]:[AGRUP. CLAS. PROF.]]=$B72,IF(DATOS_[Check Equiparado]="Sí",IF(DATOS_[Check Periodo Ref.]="Dentro",DATOS_[Tot Extrasalarial Eq],FALSE))))),
0)</f>
        <v>0</v>
      </c>
      <c r="AV74" s="116">
        <f t="array" ref="AV74">IFERROR(
MEDIAN(IF(DATOS_[Sexo]=$B74,IF(DATOS_[[AGRUP. CLAS. PROF.]:[AGRUP. CLAS. PROF.]]=$B72,IF(DATOS_[Check Equiparado]="Sí",IF(DATOS_[Check Periodo Ref.]="Dentro",DATOS_[TOTAL Retrib Eq],FALSE))))),
0)</f>
        <v>0</v>
      </c>
    </row>
    <row r="75" spans="1:48" ht="17.25" hidden="1" thickBot="1" x14ac:dyDescent="0.35">
      <c r="A75" s="42" t="str">
        <f t="shared" ref="A75" si="83">+A76</f>
        <v>[ocultar]</v>
      </c>
      <c r="B75" s="90" t="s">
        <v>237</v>
      </c>
      <c r="C75" s="109"/>
      <c r="D75" s="41"/>
      <c r="E75" s="41"/>
      <c r="F75" s="41"/>
      <c r="G75" s="41"/>
      <c r="H75" s="41"/>
      <c r="I75" s="119" t="str">
        <f t="shared" ref="I75:AV75" si="84">IFERROR((I76-I77)/I76,"")</f>
        <v/>
      </c>
      <c r="J75" s="123" t="str">
        <f t="shared" si="84"/>
        <v/>
      </c>
      <c r="K75" s="123" t="str">
        <f t="shared" si="84"/>
        <v/>
      </c>
      <c r="L75" s="123" t="str">
        <f t="shared" si="84"/>
        <v/>
      </c>
      <c r="M75" s="123" t="str">
        <f t="shared" si="84"/>
        <v/>
      </c>
      <c r="N75" s="123" t="str">
        <f t="shared" si="84"/>
        <v/>
      </c>
      <c r="O75" s="123" t="str">
        <f t="shared" si="84"/>
        <v/>
      </c>
      <c r="P75" s="123" t="str">
        <f t="shared" si="84"/>
        <v/>
      </c>
      <c r="Q75" s="123" t="str">
        <f t="shared" si="84"/>
        <v/>
      </c>
      <c r="R75" s="123" t="str">
        <f t="shared" si="84"/>
        <v/>
      </c>
      <c r="S75" s="123" t="str">
        <f t="shared" si="84"/>
        <v/>
      </c>
      <c r="T75" s="123" t="str">
        <f t="shared" si="84"/>
        <v/>
      </c>
      <c r="U75" s="123" t="str">
        <f t="shared" si="84"/>
        <v/>
      </c>
      <c r="V75" s="123" t="str">
        <f t="shared" si="84"/>
        <v/>
      </c>
      <c r="W75" s="123" t="str">
        <f t="shared" si="84"/>
        <v/>
      </c>
      <c r="X75" s="123" t="str">
        <f t="shared" si="84"/>
        <v/>
      </c>
      <c r="Y75" s="123" t="str">
        <f t="shared" si="84"/>
        <v/>
      </c>
      <c r="Z75" s="122" t="str">
        <f t="shared" si="84"/>
        <v/>
      </c>
      <c r="AA75" s="122" t="str">
        <f t="shared" si="84"/>
        <v/>
      </c>
      <c r="AB75" s="122" t="str">
        <f t="shared" si="84"/>
        <v/>
      </c>
      <c r="AC75" s="122" t="str">
        <f t="shared" si="84"/>
        <v/>
      </c>
      <c r="AD75" s="122" t="str">
        <f t="shared" si="84"/>
        <v/>
      </c>
      <c r="AE75" s="122" t="str">
        <f t="shared" si="84"/>
        <v/>
      </c>
      <c r="AF75" s="122" t="str">
        <f t="shared" si="84"/>
        <v/>
      </c>
      <c r="AG75" s="122" t="str">
        <f t="shared" si="84"/>
        <v/>
      </c>
      <c r="AH75" s="122" t="str">
        <f t="shared" si="84"/>
        <v/>
      </c>
      <c r="AI75" s="122" t="str">
        <f t="shared" si="84"/>
        <v/>
      </c>
      <c r="AJ75" s="122" t="str">
        <f t="shared" si="84"/>
        <v/>
      </c>
      <c r="AK75" s="122" t="str">
        <f t="shared" si="84"/>
        <v/>
      </c>
      <c r="AL75" s="122" t="str">
        <f t="shared" si="84"/>
        <v/>
      </c>
      <c r="AM75" s="122" t="str">
        <f t="shared" si="84"/>
        <v/>
      </c>
      <c r="AN75" s="124" t="str">
        <f t="shared" si="84"/>
        <v/>
      </c>
      <c r="AO75" s="128" t="str">
        <f t="shared" si="84"/>
        <v/>
      </c>
      <c r="AP75" s="125" t="str">
        <f t="shared" si="84"/>
        <v/>
      </c>
      <c r="AQ75" s="125" t="str">
        <f t="shared" si="84"/>
        <v/>
      </c>
      <c r="AR75" s="125" t="str">
        <f t="shared" si="84"/>
        <v/>
      </c>
      <c r="AS75" s="125" t="str">
        <f t="shared" si="84"/>
        <v/>
      </c>
      <c r="AT75" s="125" t="str">
        <f t="shared" si="84"/>
        <v/>
      </c>
      <c r="AU75" s="126" t="str">
        <f t="shared" si="84"/>
        <v/>
      </c>
      <c r="AV75" s="127" t="str">
        <f t="shared" si="84"/>
        <v/>
      </c>
    </row>
    <row r="76" spans="1:48" hidden="1" x14ac:dyDescent="0.3">
      <c r="A76" s="42" t="str">
        <f t="shared" ref="A76" si="85">+IF(C76+C77=0,"[ocultar]","")</f>
        <v>[ocultar]</v>
      </c>
      <c r="B76" s="86" t="s">
        <v>162</v>
      </c>
      <c r="C76" s="33">
        <f t="array" ref="C76">SUM(IF($B76=DATOS_[Sexo],
IF($B75=DATOS_[AGRUP. CLAS. PROF.],
IF("Dentro"=DATOS_[Check Periodo Ref.],
1/(COUNTIFS(DATOS_[Sexo],$B76,DATOS_[AGRUP. CLAS. PROF.],$B75,DATOS_[Check Periodo Ref.],"Dentro",DATOS_[id],DATOS_[id]))))))</f>
        <v>0</v>
      </c>
      <c r="D76" s="35">
        <f>COUNTIFS(DATOS_[AGRUP. CLAS. PROF.],$B75,DATOS_[Sexo],$B76,DATOS_[Check Periodo Ref.],"Dentro")</f>
        <v>0</v>
      </c>
      <c r="E76" s="35">
        <f>COUNTIFS(DATOS_[AGRUP. CLAS. PROF.],$B75,DATOS_[Sexo],$B76,DATOS_[Check Periodo Ref.],"Dentro",DATOS_[Check Nº SC Norm],"Sí")</f>
        <v>0</v>
      </c>
      <c r="F76" s="35">
        <f>COUNTIFS(DATOS_[AGRUP. CLAS. PROF.],$B75,DATOS_[Sexo],$B76,DATOS_[Check Periodo Ref.],"Dentro",DATOS_[Check Nº SC Anualiz],"Sí")</f>
        <v>0</v>
      </c>
      <c r="G76" s="35">
        <f>COUNTIFS(DATOS_[AGRUP. CLAS. PROF.],$B75,DATOS_[Sexo],$B76,DATOS_[Check Periodo Ref.],"Dentro",DATOS_[Check Nº SC Norm y Anualiz],"Sí")</f>
        <v>0</v>
      </c>
      <c r="H76" s="35">
        <f>COUNTIFS(DATOS_[AGRUP. CLAS. PROF.],$B75,DATOS_[Sexo],$B76,DATOS_[Check Periodo Ref.],"Dentro",DATOS_[Check Equiparación],"Sí")</f>
        <v>0</v>
      </c>
      <c r="I76" s="110">
        <f t="array" ref="I76">IFERROR(
MEDIAN(IF(DATOS_[Sexo]=$B76,IF(DATOS_[[AGRUP. CLAS. PROF.]:[AGRUP. CLAS. PROF.]]=$B75,IF(DATOS_[Check Equiparado]="Sí",IF(DATOS_[Check Periodo Ref.]="Dentro",DATOS_[SALARIO BASE Eq],FALSE))))),
0)</f>
        <v>0</v>
      </c>
      <c r="J76" s="111">
        <f t="array" ref="J76">IFERROR(
(MEDIAN((IF(DATOS_[[Sexo]:[Sexo]]=$B76,IF(DATOS_[[AGRUP. CLAS. PROF.]:[AGRUP. CLAS. PROF.]]=$B75,IF(DATOS_[[Check Periodo Ref.]:[Check Periodo Ref.]]="Dentro",IF(DATOS_[[Check Equiparado]:[Check Equiparado]]="Sí",IF(DATOS!AE$5="Sí",(1/DATOS_[[% anualiz]:[% anualiz]]),1)*IF(DATOS!AE$4="Sí",1/DATOS_[[% normaliz]:[% normaliz]],1)*(DATOS_[Conc.Sal.01])))))))),
0)</f>
        <v>0</v>
      </c>
      <c r="K76" s="111">
        <f t="array" ref="K76">IFERROR(
(MEDIAN((IF(DATOS_[[Sexo]:[Sexo]]=$B76,IF(DATOS_[[AGRUP. CLAS. PROF.]:[AGRUP. CLAS. PROF.]]=$B75,IF(DATOS_[[Check Periodo Ref.]:[Check Periodo Ref.]]="Dentro",IF(DATOS_[[Check Equiparado]:[Check Equiparado]]="Sí",IF(DATOS!AF$5="Sí",(1/DATOS_[[% anualiz]:[% anualiz]]),1)*IF(DATOS!AF$4="Sí",1/DATOS_[[% normaliz]:[% normaliz]],1)*(DATOS_[Conc.Sal.02])))))))),
0)</f>
        <v>0</v>
      </c>
      <c r="L76" s="111">
        <f t="array" ref="L76">IFERROR(
(MEDIAN((IF(DATOS_[[Sexo]:[Sexo]]=$B76,IF(DATOS_[[AGRUP. CLAS. PROF.]:[AGRUP. CLAS. PROF.]]=$B75,IF(DATOS_[[Check Periodo Ref.]:[Check Periodo Ref.]]="Dentro",IF(DATOS_[[Check Equiparado]:[Check Equiparado]]="Sí",IF(DATOS!AG$5="Sí",(1/DATOS_[[% anualiz]:[% anualiz]]),1)*IF(DATOS!AG$4="Sí",1/DATOS_[[% normaliz]:[% normaliz]],1)*(DATOS_[Conc.Sal.03])))))))),
0)</f>
        <v>0</v>
      </c>
      <c r="M76" s="111">
        <f t="array" ref="M76">IFERROR(
(MEDIAN((IF(DATOS_[[Sexo]:[Sexo]]=$B76,IF(DATOS_[[AGRUP. CLAS. PROF.]:[AGRUP. CLAS. PROF.]]=$B75,IF(DATOS_[[Check Periodo Ref.]:[Check Periodo Ref.]]="Dentro",IF(DATOS_[[Check Equiparado]:[Check Equiparado]]="Sí",IF(DATOS!AH$5="Sí",(1/DATOS_[[% anualiz]:[% anualiz]]),1)*IF(DATOS!AH$4="Sí",1/DATOS_[[% normaliz]:[% normaliz]],1)*(DATOS_[Conc.Sal.04])))))))),
0)</f>
        <v>0</v>
      </c>
      <c r="N76" s="111">
        <f t="array" ref="N76">IFERROR(
(MEDIAN((IF(DATOS_[[Sexo]:[Sexo]]=$B76,IF(DATOS_[[AGRUP. CLAS. PROF.]:[AGRUP. CLAS. PROF.]]=$B75,IF(DATOS_[[Check Periodo Ref.]:[Check Periodo Ref.]]="Dentro",IF(DATOS_[[Check Equiparado]:[Check Equiparado]]="Sí",IF(DATOS!AI$5="Sí",(1/DATOS_[[% anualiz]:[% anualiz]]),1)*IF(DATOS!AI$4="Sí",1/DATOS_[[% normaliz]:[% normaliz]],1)*(DATOS_[Conc.Sal.05])))))))),
0)</f>
        <v>0</v>
      </c>
      <c r="O76" s="111">
        <f t="array" ref="O76">IFERROR(
(MEDIAN((IF(DATOS_[[Sexo]:[Sexo]]=$B76,IF(DATOS_[[AGRUP. CLAS. PROF.]:[AGRUP. CLAS. PROF.]]=$B75,IF(DATOS_[[Check Periodo Ref.]:[Check Periodo Ref.]]="Dentro",IF(DATOS_[[Check Equiparado]:[Check Equiparado]]="Sí",IF(DATOS!AJ$5="Sí",(1/DATOS_[[% anualiz]:[% anualiz]]),1)*IF(DATOS!AJ$4="Sí",1/DATOS_[[% normaliz]:[% normaliz]],1)*(DATOS_[Conc.Sal.06])))))))),
0)</f>
        <v>0</v>
      </c>
      <c r="P76" s="111">
        <f t="array" ref="P76">IFERROR(
(MEDIAN((IF(DATOS_[[Sexo]:[Sexo]]=$B76,IF(DATOS_[[AGRUP. CLAS. PROF.]:[AGRUP. CLAS. PROF.]]=$B75,IF(DATOS_[[Check Periodo Ref.]:[Check Periodo Ref.]]="Dentro",IF(DATOS_[[Check Equiparado]:[Check Equiparado]]="Sí",IF(DATOS!AK$5="Sí",(1/DATOS_[[% anualiz]:[% anualiz]]),1)*IF(DATOS!AK$4="Sí",1/DATOS_[[% normaliz]:[% normaliz]],1)*(DATOS_[Conc.Sal.07])))))))),
0)</f>
        <v>0</v>
      </c>
      <c r="Q76" s="111">
        <f t="array" ref="Q76">IFERROR(
(MEDIAN((IF(DATOS_[[Sexo]:[Sexo]]=$B76,IF(DATOS_[[AGRUP. CLAS. PROF.]:[AGRUP. CLAS. PROF.]]=$B75,IF(DATOS_[[Check Periodo Ref.]:[Check Periodo Ref.]]="Dentro",IF(DATOS_[[Check Equiparado]:[Check Equiparado]]="Sí",IF(DATOS!AL$5="Sí",(1/DATOS_[[% anualiz]:[% anualiz]]),1)*IF(DATOS!AL$4="Sí",1/DATOS_[[% normaliz]:[% normaliz]],1)*(DATOS_[Conc.Sal.08])))))))),
0)</f>
        <v>0</v>
      </c>
      <c r="R76" s="111">
        <f t="array" ref="R76">IFERROR(
(MEDIAN((IF(DATOS_[[Sexo]:[Sexo]]=$B76,IF(DATOS_[[AGRUP. CLAS. PROF.]:[AGRUP. CLAS. PROF.]]=$B75,IF(DATOS_[[Check Periodo Ref.]:[Check Periodo Ref.]]="Dentro",IF(DATOS_[[Check Equiparado]:[Check Equiparado]]="Sí",IF(DATOS!AM$5="Sí",(1/DATOS_[[% anualiz]:[% anualiz]]),1)*IF(DATOS!AM$4="Sí",1/DATOS_[[% normaliz]:[% normaliz]],1)*(DATOS_[Conc.Sal.09])))))))),
0)</f>
        <v>0</v>
      </c>
      <c r="S76" s="111">
        <f t="array" ref="S76">IFERROR(
(MEDIAN((IF(DATOS_[[Sexo]:[Sexo]]=$B76,IF(DATOS_[[AGRUP. CLAS. PROF.]:[AGRUP. CLAS. PROF.]]=$B75,IF(DATOS_[[Check Periodo Ref.]:[Check Periodo Ref.]]="Dentro",IF(DATOS_[[Check Equiparado]:[Check Equiparado]]="Sí",IF(DATOS!AN$5="Sí",(1/DATOS_[[% anualiz]:[% anualiz]]),1)*IF(DATOS!AN$4="Sí",1/DATOS_[[% normaliz]:[% normaliz]],1)*(DATOS_[Conc.Sal.10])))))))),
0)</f>
        <v>0</v>
      </c>
      <c r="T76" s="111">
        <f t="array" ref="T76">IFERROR(
(MEDIAN((IF(DATOS_[[Sexo]:[Sexo]]=$B76,IF(DATOS_[[AGRUP. CLAS. PROF.]:[AGRUP. CLAS. PROF.]]=$B75,IF(DATOS_[[Check Periodo Ref.]:[Check Periodo Ref.]]="Dentro",IF(DATOS_[[Check Equiparado]:[Check Equiparado]]="Sí",IF(DATOS!AO$5="Sí",(1/DATOS_[[% anualiz]:[% anualiz]]),1)*IF(DATOS!AO$4="Sí",1/DATOS_[[% normaliz]:[% normaliz]],1)*(DATOS_[Conc.Sal.11])))))))),
0)</f>
        <v>0</v>
      </c>
      <c r="U76" s="111">
        <f t="array" ref="U76">IFERROR(
(MEDIAN((IF(DATOS_[[Sexo]:[Sexo]]=$B76,IF(DATOS_[[AGRUP. CLAS. PROF.]:[AGRUP. CLAS. PROF.]]=$B75,IF(DATOS_[[Check Periodo Ref.]:[Check Periodo Ref.]]="Dentro",IF(DATOS_[[Check Equiparado]:[Check Equiparado]]="Sí",IF(DATOS!AP$5="Sí",(1/DATOS_[[% anualiz]:[% anualiz]]),1)*IF(DATOS!AP$4="Sí",1/DATOS_[[% normaliz]:[% normaliz]],1)*(DATOS_[Conc.Sal.12])))))))),
0)</f>
        <v>0</v>
      </c>
      <c r="V76" s="111">
        <f t="array" ref="V76">IFERROR(
(MEDIAN((IF(DATOS_[[Sexo]:[Sexo]]=$B76,IF(DATOS_[[AGRUP. CLAS. PROF.]:[AGRUP. CLAS. PROF.]]=$B75,IF(DATOS_[[Check Periodo Ref.]:[Check Periodo Ref.]]="Dentro",IF(DATOS_[[Check Equiparado]:[Check Equiparado]]="Sí",IF(DATOS!AQ$5="Sí",(1/DATOS_[[% anualiz]:[% anualiz]]),1)*IF(DATOS!AQ$4="Sí",1/DATOS_[[% normaliz]:[% normaliz]],1)*(DATOS_[Conc.Sal.13])))))))),
0)</f>
        <v>0</v>
      </c>
      <c r="W76" s="111">
        <f t="array" ref="W76">IFERROR(
(MEDIAN((IF(DATOS_[[Sexo]:[Sexo]]=$B76,IF(DATOS_[[AGRUP. CLAS. PROF.]:[AGRUP. CLAS. PROF.]]=$B75,IF(DATOS_[[Check Periodo Ref.]:[Check Periodo Ref.]]="Dentro",IF(DATOS_[[Check Equiparado]:[Check Equiparado]]="Sí",IF(DATOS!AR$5="Sí",(1/DATOS_[[% anualiz]:[% anualiz]]),1)*IF(DATOS!AR$4="Sí",1/DATOS_[[% normaliz]:[% normaliz]],1)*(DATOS_[Conc.Sal.14])))))))),
0)</f>
        <v>0</v>
      </c>
      <c r="X76" s="111">
        <f t="array" ref="X76">IFERROR(
(MEDIAN((IF(DATOS_[[Sexo]:[Sexo]]=$B76,IF(DATOS_[[AGRUP. CLAS. PROF.]:[AGRUP. CLAS. PROF.]]=$B75,IF(DATOS_[[Check Periodo Ref.]:[Check Periodo Ref.]]="Dentro",IF(DATOS_[[Check Equiparado]:[Check Equiparado]]="Sí",IF(DATOS!AS$5="Sí",(1/DATOS_[[% anualiz]:[% anualiz]]),1)*IF(DATOS!AS$4="Sí",1/DATOS_[[% normaliz]:[% normaliz]],1)*(DATOS_[Conc.Sal.15])))))))),
0)</f>
        <v>0</v>
      </c>
      <c r="Y76" s="111">
        <f t="array" ref="Y76">IFERROR(
(MEDIAN((IF(DATOS_[[Sexo]:[Sexo]]=$B76,IF(DATOS_[[AGRUP. CLAS. PROF.]:[AGRUP. CLAS. PROF.]]=$B75,IF(DATOS_[[Check Periodo Ref.]:[Check Periodo Ref.]]="Dentro",IF(DATOS_[[Check Equiparado]:[Check Equiparado]]="Sí",IF(DATOS!AT$5="Sí",(1/DATOS_[[% anualiz]:[% anualiz]]),1)*IF(DATOS!AT$4="Sí",1/DATOS_[[% normaliz]:[% normaliz]],1)*(DATOS_[Conc.Sal.16])))))))),
0)</f>
        <v>0</v>
      </c>
      <c r="Z76" s="111">
        <f t="array" ref="Z76">IFERROR(
(MEDIAN((IF(DATOS_[[Sexo]:[Sexo]]=$B76,IF(DATOS_[[AGRUP. CLAS. PROF.]:[AGRUP. CLAS. PROF.]]=$B75,IF(DATOS_[[Check Periodo Ref.]:[Check Periodo Ref.]]="Dentro",IF(DATOS_[[Check Equiparado]:[Check Equiparado]]="Sí",IF(DATOS!AU$5="Sí",(1/DATOS_[[% anualiz]:[% anualiz]]),1)*IF(DATOS!AU$4="Sí",1/DATOS_[[% normaliz]:[% normaliz]],1)*(DATOS_[Conc.Sal.17])))))))),
0)</f>
        <v>0</v>
      </c>
      <c r="AA76" s="111">
        <f t="array" ref="AA76">IFERROR(
(MEDIAN((IF(DATOS_[[Sexo]:[Sexo]]=$B76,IF(DATOS_[[AGRUP. CLAS. PROF.]:[AGRUP. CLAS. PROF.]]=$B75,IF(DATOS_[[Check Periodo Ref.]:[Check Periodo Ref.]]="Dentro",IF(DATOS_[[Check Equiparado]:[Check Equiparado]]="Sí",IF(DATOS!AV$5="Sí",(1/DATOS_[[% anualiz]:[% anualiz]]),1)*IF(DATOS!AV$4="Sí",1/DATOS_[[% normaliz]:[% normaliz]],1)*(DATOS_[Conc.Sal.18])))))))),
0)</f>
        <v>0</v>
      </c>
      <c r="AB76" s="111">
        <f t="array" ref="AB76">IFERROR(
(MEDIAN((IF(DATOS_[[Sexo]:[Sexo]]=$B76,IF(DATOS_[[AGRUP. CLAS. PROF.]:[AGRUP. CLAS. PROF.]]=$B75,IF(DATOS_[[Check Periodo Ref.]:[Check Periodo Ref.]]="Dentro",IF(DATOS_[[Check Equiparado]:[Check Equiparado]]="Sí",IF(DATOS!AW$5="Sí",(1/DATOS_[[% anualiz]:[% anualiz]]),1)*IF(DATOS!AW$4="Sí",1/DATOS_[[% normaliz]:[% normaliz]],1)*(DATOS_[Conc.Sal.19])))))))),
0)</f>
        <v>0</v>
      </c>
      <c r="AC76" s="111">
        <f t="array" ref="AC76">IFERROR(
(MEDIAN((IF(DATOS_[[Sexo]:[Sexo]]=$B76,IF(DATOS_[[AGRUP. CLAS. PROF.]:[AGRUP. CLAS. PROF.]]=$B75,IF(DATOS_[[Check Periodo Ref.]:[Check Periodo Ref.]]="Dentro",IF(DATOS_[[Check Equiparado]:[Check Equiparado]]="Sí",IF(DATOS!AX$5="Sí",(1/DATOS_[[% anualiz]:[% anualiz]]),1)*IF(DATOS!AX$4="Sí",1/DATOS_[[% normaliz]:[% normaliz]],1)*(DATOS_[Conc.Sal.20])))))))),
0)</f>
        <v>0</v>
      </c>
      <c r="AD76" s="111">
        <f t="array" ref="AD76">IFERROR(
(MEDIAN((IF(DATOS_[[Sexo]:[Sexo]]=$B76,IF(DATOS_[[AGRUP. CLAS. PROF.]:[AGRUP. CLAS. PROF.]]=$B75,IF(DATOS_[[Check Periodo Ref.]:[Check Periodo Ref.]]="Dentro",IF(DATOS_[[Check Equiparado]:[Check Equiparado]]="Sí",IF(DATOS!AY$5="Sí",(1/DATOS_[[% anualiz]:[% anualiz]]),1)*IF(DATOS!AY$4="Sí",1/DATOS_[[% normaliz]:[% normaliz]],1)*(DATOS_[Conc.Sal.21])))))))),
0)</f>
        <v>0</v>
      </c>
      <c r="AE76" s="111">
        <f t="array" ref="AE76">IFERROR(
(MEDIAN((IF(DATOS_[[Sexo]:[Sexo]]=$B76,IF(DATOS_[[AGRUP. CLAS. PROF.]:[AGRUP. CLAS. PROF.]]=$B75,IF(DATOS_[[Check Periodo Ref.]:[Check Periodo Ref.]]="Dentro",IF(DATOS_[[Check Equiparado]:[Check Equiparado]]="Sí",IF(DATOS!AZ$5="Sí",(1/DATOS_[[% anualiz]:[% anualiz]]),1)*IF(DATOS!AZ$4="Sí",1/DATOS_[[% normaliz]:[% normaliz]],1)*(DATOS_[Conc.Sal.22])))))))),
0)</f>
        <v>0</v>
      </c>
      <c r="AF76" s="111">
        <f t="array" ref="AF76">IFERROR(
(MEDIAN((IF(DATOS_[[Sexo]:[Sexo]]=$B76,IF(DATOS_[[AGRUP. CLAS. PROF.]:[AGRUP. CLAS. PROF.]]=$B75,IF(DATOS_[[Check Periodo Ref.]:[Check Periodo Ref.]]="Dentro",IF(DATOS_[[Check Equiparado]:[Check Equiparado]]="Sí",IF(DATOS!BA$5="Sí",(1/DATOS_[[% anualiz]:[% anualiz]]),1)*IF(DATOS!BA$4="Sí",1/DATOS_[[% normaliz]:[% normaliz]],1)*(DATOS_[Conc.Sal.23])))))))),
0)</f>
        <v>0</v>
      </c>
      <c r="AG76" s="111">
        <f t="array" ref="AG76">IFERROR(
(MEDIAN((IF(DATOS_[[Sexo]:[Sexo]]=$B76,IF(DATOS_[[AGRUP. CLAS. PROF.]:[AGRUP. CLAS. PROF.]]=$B75,IF(DATOS_[[Check Periodo Ref.]:[Check Periodo Ref.]]="Dentro",IF(DATOS_[[Check Equiparado]:[Check Equiparado]]="Sí",IF(DATOS!BB$5="Sí",(1/DATOS_[[% anualiz]:[% anualiz]]),1)*IF(DATOS!BB$4="Sí",1/DATOS_[[% normaliz]:[% normaliz]],1)*(DATOS_[Conc.Sal.24])))))))),
0)</f>
        <v>0</v>
      </c>
      <c r="AH76" s="111">
        <f t="array" ref="AH76">IFERROR(
(MEDIAN((IF(DATOS_[[Sexo]:[Sexo]]=$B76,IF(DATOS_[[AGRUP. CLAS. PROF.]:[AGRUP. CLAS. PROF.]]=$B75,IF(DATOS_[[Check Periodo Ref.]:[Check Periodo Ref.]]="Dentro",IF(DATOS_[[Check Equiparado]:[Check Equiparado]]="Sí",IF(DATOS!BC$5="Sí",(1/DATOS_[[% anualiz]:[% anualiz]]),1)*IF(DATOS!BC$4="Sí",1/DATOS_[[% normaliz]:[% normaliz]],1)*(DATOS_[Conc.Sal.25])))))))),
0)</f>
        <v>0</v>
      </c>
      <c r="AI76" s="111">
        <f t="array" ref="AI76">IFERROR(
(MEDIAN((IF(DATOS_[[Sexo]:[Sexo]]=$B76,IF(DATOS_[[AGRUP. CLAS. PROF.]:[AGRUP. CLAS. PROF.]]=$B75,IF(DATOS_[[Check Periodo Ref.]:[Check Periodo Ref.]]="Dentro",IF(DATOS_[[Check Equiparado]:[Check Equiparado]]="Sí",IF(DATOS!BD$5="Sí",(1/DATOS_[[% anualiz]:[% anualiz]]),1)*IF(DATOS!BD$4="Sí",1/DATOS_[[% normaliz]:[% normaliz]],1)*(DATOS_[Conc.Sal.26])))))))),
0)</f>
        <v>0</v>
      </c>
      <c r="AJ76" s="111">
        <f t="array" ref="AJ76">IFERROR(
(MEDIAN((IF(DATOS_[[Sexo]:[Sexo]]=$B76,IF(DATOS_[[AGRUP. CLAS. PROF.]:[AGRUP. CLAS. PROF.]]=$B75,IF(DATOS_[[Check Periodo Ref.]:[Check Periodo Ref.]]="Dentro",IF(DATOS_[[Check Equiparado]:[Check Equiparado]]="Sí",IF(DATOS!BE$5="Sí",(1/DATOS_[[% anualiz]:[% anualiz]]),1)*IF(DATOS!BE$4="Sí",1/DATOS_[[% normaliz]:[% normaliz]],1)*(DATOS_[Conc.Sal.27])))))))),
0)</f>
        <v>0</v>
      </c>
      <c r="AK76" s="111">
        <f t="array" ref="AK76">IFERROR(
(MEDIAN((IF(DATOS_[[Sexo]:[Sexo]]=$B76,IF(DATOS_[[AGRUP. CLAS. PROF.]:[AGRUP. CLAS. PROF.]]=$B75,IF(DATOS_[[Check Periodo Ref.]:[Check Periodo Ref.]]="Dentro",IF(DATOS_[[Check Equiparado]:[Check Equiparado]]="Sí",IF(DATOS!BF$5="Sí",(1/DATOS_[[% anualiz]:[% anualiz]]),1)*IF(DATOS!BF$4="Sí",1/DATOS_[[% normaliz]:[% normaliz]],1)*(DATOS_[Conc.Sal.28])))))))),
0)</f>
        <v>0</v>
      </c>
      <c r="AL76" s="111">
        <f t="array" ref="AL76">IFERROR(
(MEDIAN((IF(DATOS_[[Sexo]:[Sexo]]=$B76,IF(DATOS_[[AGRUP. CLAS. PROF.]:[AGRUP. CLAS. PROF.]]=$B75,IF(DATOS_[[Check Periodo Ref.]:[Check Periodo Ref.]]="Dentro",IF(DATOS_[[Check Equiparado]:[Check Equiparado]]="Sí",IF(DATOS!BG$5="Sí",(1/DATOS_[[% anualiz]:[% anualiz]]),1)*IF(DATOS!BG$4="Sí",1/DATOS_[[% normaliz]:[% normaliz]],1)*(DATOS_[Conc.Sal.29])))))))),
0)</f>
        <v>0</v>
      </c>
      <c r="AM76" s="111">
        <f t="array" ref="AM76">IFERROR(
(MEDIAN((IF(DATOS_[[Sexo]:[Sexo]]=$B76,IF(DATOS_[[AGRUP. CLAS. PROF.]:[AGRUP. CLAS. PROF.]]=$B75,IF(DATOS_[[Check Periodo Ref.]:[Check Periodo Ref.]]="Dentro",IF(DATOS_[[Check Equiparado]:[Check Equiparado]]="Sí",IF(DATOS!BH$5="Sí",(1/DATOS_[[% anualiz]:[% anualiz]]),1)*IF(DATOS!BH$4="Sí",1/DATOS_[[% normaliz]:[% normaliz]],1)*(DATOS_[Conc.Sal.30])))))))),
0)</f>
        <v>0</v>
      </c>
      <c r="AN76" s="112">
        <f t="array" ref="AN76">IFERROR(
MEDIAN(IF(DATOS_[Sexo]=$B76,IF(DATOS_[[AGRUP. CLAS. PROF.]:[AGRUP. CLAS. PROF.]]=$B75,IF(DATOS_[Check Equiparado]="Sí",IF(DATOS_[Check Periodo Ref.]="Dentro",DATOS_[Tot COMPL.SAL Eq],FALSE))))),
0)</f>
        <v>0</v>
      </c>
      <c r="AO76" s="113">
        <f t="array" ref="AO76">IFERROR(
MEDIAN(IF(DATOS_[Sexo]=$B76,IF(DATOS_[[AGRUP. CLAS. PROF.]:[AGRUP. CLAS. PROF.]]=$B75,IF(DATOS_[Check Equiparado]="Sí",IF(DATOS_[Check Periodo Ref.]="Dentro",DATOS_[TOTAL SALARIO Eq],FALSE))))),
0)</f>
        <v>0</v>
      </c>
      <c r="AP76" s="114">
        <f t="array" ref="AP76">IFERROR(
(MEDIAN((IF(DATOS_[[Sexo]:[Sexo]]=$B76,IF(DATOS_[[AGRUP. CLAS. PROF.]:[AGRUP. CLAS. PROF.]]=$B75,IF(DATOS_[[Check Periodo Ref.]:[Check Periodo Ref.]]="Dentro",IF(DATOS_[[Check Equiparado]:[Check Equiparado]]="Sí",IF(DATOS!BI$5="Sí",(1/DATOS_[[% anualiz]:[% anualiz]]),1)*IF(DATOS!BI$4="Sí",1/DATOS_[[% normaliz]:[% normaliz]],1)*(DATOS_[C.Extra.01])))))))),
0)</f>
        <v>0</v>
      </c>
      <c r="AQ76" s="114">
        <f t="array" ref="AQ76">IFERROR(
(MEDIAN((IF(DATOS_[[Sexo]:[Sexo]]=$B76,IF(DATOS_[[AGRUP. CLAS. PROF.]:[AGRUP. CLAS. PROF.]]=$B75,IF(DATOS_[[Check Periodo Ref.]:[Check Periodo Ref.]]="Dentro",IF(DATOS_[[Check Equiparado]:[Check Equiparado]]="Sí",IF(DATOS!BJ$5="Sí",(1/DATOS_[[% anualiz]:[% anualiz]]),1)*IF(DATOS!BJ$4="Sí",1/DATOS_[[% normaliz]:[% normaliz]],1)*(DATOS_[C.Extra.02])))))))),
0)</f>
        <v>0</v>
      </c>
      <c r="AR76" s="114">
        <f t="array" ref="AR76">IFERROR(
(MEDIAN((IF(DATOS_[[Sexo]:[Sexo]]=$B76,IF(DATOS_[[AGRUP. CLAS. PROF.]:[AGRUP. CLAS. PROF.]]=$B75,IF(DATOS_[[Check Periodo Ref.]:[Check Periodo Ref.]]="Dentro",IF(DATOS_[[Check Equiparado]:[Check Equiparado]]="Sí",IF(DATOS!BK$5="Sí",(1/DATOS_[[% anualiz]:[% anualiz]]),1)*IF(DATOS!BK$4="Sí",1/DATOS_[[% normaliz]:[% normaliz]],1)*(DATOS_[C.Extra.03])))))))),
0)</f>
        <v>0</v>
      </c>
      <c r="AS76" s="114">
        <f t="array" ref="AS76">IFERROR(
(MEDIAN((IF(DATOS_[[Sexo]:[Sexo]]=$B76,IF(DATOS_[[AGRUP. CLAS. PROF.]:[AGRUP. CLAS. PROF.]]=$B75,IF(DATOS_[[Check Periodo Ref.]:[Check Periodo Ref.]]="Dentro",IF(DATOS_[[Check Equiparado]:[Check Equiparado]]="Sí",IF(DATOS!BL$5="Sí",(1/DATOS_[[% anualiz]:[% anualiz]]),1)*IF(DATOS!BL$4="Sí",1/DATOS_[[% normaliz]:[% normaliz]],1)*(DATOS_[C.Extra.04])))))))),
0)</f>
        <v>0</v>
      </c>
      <c r="AT76" s="114">
        <f t="array" ref="AT76">IFERROR(
(MEDIAN((IF(DATOS_[[Sexo]:[Sexo]]=$B76,IF(DATOS_[[AGRUP. CLAS. PROF.]:[AGRUP. CLAS. PROF.]]=$B75,IF(DATOS_[[Check Periodo Ref.]:[Check Periodo Ref.]]="Dentro",IF(DATOS_[[Check Equiparado]:[Check Equiparado]]="Sí",IF(DATOS!BM$5="Sí",(1/DATOS_[[% anualiz]:[% anualiz]]),1)*IF(DATOS!BM$4="Sí",1/DATOS_[[% normaliz]:[% normaliz]],1)*(DATOS_[C.Extra.05])))))))),
0)</f>
        <v>0</v>
      </c>
      <c r="AU76" s="115">
        <f t="array" ref="AU76">IFERROR(
MEDIAN(IF(DATOS_[Sexo]=$B76,IF(DATOS_[[AGRUP. CLAS. PROF.]:[AGRUP. CLAS. PROF.]]=$B75,IF(DATOS_[Check Equiparado]="Sí",IF(DATOS_[Check Periodo Ref.]="Dentro",DATOS_[Tot Extrasalarial Eq],FALSE))))),
0)</f>
        <v>0</v>
      </c>
      <c r="AV76" s="116">
        <f t="array" ref="AV76">IFERROR(
MEDIAN(IF(DATOS_[Sexo]=$B76,IF(DATOS_[[AGRUP. CLAS. PROF.]:[AGRUP. CLAS. PROF.]]=$B75,IF(DATOS_[Check Equiparado]="Sí",IF(DATOS_[Check Periodo Ref.]="Dentro",DATOS_[TOTAL Retrib Eq],FALSE))))),
0)</f>
        <v>0</v>
      </c>
    </row>
    <row r="77" spans="1:48" hidden="1" x14ac:dyDescent="0.3">
      <c r="A77" s="42" t="str">
        <f t="shared" ref="A77" si="86">+A76</f>
        <v>[ocultar]</v>
      </c>
      <c r="B77" s="86" t="s">
        <v>163</v>
      </c>
      <c r="C77" s="33">
        <f t="array" ref="C77">SUM(IF($B77=DATOS_[Sexo],
IF($B75=DATOS_[AGRUP. CLAS. PROF.],
IF("Dentro"=DATOS_[Check Periodo Ref.],
1/(COUNTIFS(DATOS_[Sexo],$B77,DATOS_[AGRUP. CLAS. PROF.],$B75,DATOS_[Check Periodo Ref.],"Dentro",DATOS_[id],DATOS_[id]))))))</f>
        <v>0</v>
      </c>
      <c r="D77" s="35">
        <f>COUNTIFS(DATOS_[AGRUP. CLAS. PROF.],$B75,DATOS_[Sexo],$B77,DATOS_[Check Periodo Ref.],"Dentro")</f>
        <v>0</v>
      </c>
      <c r="E77" s="35">
        <f>COUNTIFS(DATOS_[AGRUP. CLAS. PROF.],$B75,DATOS_[Sexo],$B77,DATOS_[Check Periodo Ref.],"Dentro",DATOS_[Check Nº SC Norm],"Sí")</f>
        <v>0</v>
      </c>
      <c r="F77" s="35">
        <f>COUNTIFS(DATOS_[AGRUP. CLAS. PROF.],$B75,DATOS_[Sexo],$B77,DATOS_[Check Periodo Ref.],"Dentro",DATOS_[Check Nº SC Anualiz],"Sí")</f>
        <v>0</v>
      </c>
      <c r="G77" s="35">
        <f>COUNTIFS(DATOS_[AGRUP. CLAS. PROF.],$B75,DATOS_[Sexo],$B77,DATOS_[Check Periodo Ref.],"Dentro",DATOS_[Check Nº SC Norm y Anualiz],"Sí")</f>
        <v>0</v>
      </c>
      <c r="H77" s="35">
        <f>COUNTIFS(DATOS_[AGRUP. CLAS. PROF.],$B75,DATOS_[Sexo],$B77,DATOS_[Check Periodo Ref.],"Dentro",DATOS_[Check Equiparación],"Sí")</f>
        <v>0</v>
      </c>
      <c r="I77" s="110" cm="1">
        <f t="array" ref="I77">IFERROR(
MEDIAN(IF(DATOS_[Sexo]=$B77,IF(DATOS_[[AGRUP. CLAS. PROF.]:[AGRUP. CLAS. PROF.]]=$B75,IF(DATOS_[Check Equiparado]="Sí",IF(DATOS_[Check Periodo Ref.]="Dentro",DATOS_[SALARIO BASE Eq],FALSE))))),
0)</f>
        <v>0</v>
      </c>
      <c r="J77" s="111">
        <f t="array" ref="J77">IFERROR(
(MEDIAN((IF(DATOS_[[Sexo]:[Sexo]]=$B77,IF(DATOS_[[AGRUP. CLAS. PROF.]:[AGRUP. CLAS. PROF.]]=$B75,IF(DATOS_[[Check Periodo Ref.]:[Check Periodo Ref.]]="Dentro",IF(DATOS_[[Check Equiparado]:[Check Equiparado]]="Sí",IF(DATOS!AE$5="Sí",(1/DATOS_[[% anualiz]:[% anualiz]]),1)*IF(DATOS!AE$4="Sí",1/DATOS_[[% normaliz]:[% normaliz]],1)*(DATOS_[Conc.Sal.01])))))))),
0)</f>
        <v>0</v>
      </c>
      <c r="K77" s="111">
        <f t="array" ref="K77">IFERROR(
(MEDIAN((IF(DATOS_[[Sexo]:[Sexo]]=$B77,IF(DATOS_[[AGRUP. CLAS. PROF.]:[AGRUP. CLAS. PROF.]]=$B75,IF(DATOS_[[Check Periodo Ref.]:[Check Periodo Ref.]]="Dentro",IF(DATOS_[[Check Equiparado]:[Check Equiparado]]="Sí",IF(DATOS!AF$5="Sí",(1/DATOS_[[% anualiz]:[% anualiz]]),1)*IF(DATOS!AF$4="Sí",1/DATOS_[[% normaliz]:[% normaliz]],1)*(DATOS_[Conc.Sal.02])))))))),
0)</f>
        <v>0</v>
      </c>
      <c r="L77" s="111">
        <f t="array" ref="L77">IFERROR(
(MEDIAN((IF(DATOS_[[Sexo]:[Sexo]]=$B77,IF(DATOS_[[AGRUP. CLAS. PROF.]:[AGRUP. CLAS. PROF.]]=$B75,IF(DATOS_[[Check Periodo Ref.]:[Check Periodo Ref.]]="Dentro",IF(DATOS_[[Check Equiparado]:[Check Equiparado]]="Sí",IF(DATOS!AG$5="Sí",(1/DATOS_[[% anualiz]:[% anualiz]]),1)*IF(DATOS!AG$4="Sí",1/DATOS_[[% normaliz]:[% normaliz]],1)*(DATOS_[Conc.Sal.03])))))))),
0)</f>
        <v>0</v>
      </c>
      <c r="M77" s="111">
        <f t="array" ref="M77">IFERROR(
(MEDIAN((IF(DATOS_[[Sexo]:[Sexo]]=$B77,IF(DATOS_[[AGRUP. CLAS. PROF.]:[AGRUP. CLAS. PROF.]]=$B75,IF(DATOS_[[Check Periodo Ref.]:[Check Periodo Ref.]]="Dentro",IF(DATOS_[[Check Equiparado]:[Check Equiparado]]="Sí",IF(DATOS!AH$5="Sí",(1/DATOS_[[% anualiz]:[% anualiz]]),1)*IF(DATOS!AH$4="Sí",1/DATOS_[[% normaliz]:[% normaliz]],1)*(DATOS_[Conc.Sal.04])))))))),
0)</f>
        <v>0</v>
      </c>
      <c r="N77" s="111">
        <f t="array" ref="N77">IFERROR(
(MEDIAN((IF(DATOS_[[Sexo]:[Sexo]]=$B77,IF(DATOS_[[AGRUP. CLAS. PROF.]:[AGRUP. CLAS. PROF.]]=$B75,IF(DATOS_[[Check Periodo Ref.]:[Check Periodo Ref.]]="Dentro",IF(DATOS_[[Check Equiparado]:[Check Equiparado]]="Sí",IF(DATOS!AI$5="Sí",(1/DATOS_[[% anualiz]:[% anualiz]]),1)*IF(DATOS!AI$4="Sí",1/DATOS_[[% normaliz]:[% normaliz]],1)*(DATOS_[Conc.Sal.05])))))))),
0)</f>
        <v>0</v>
      </c>
      <c r="O77" s="111">
        <f t="array" ref="O77">IFERROR(
(MEDIAN((IF(DATOS_[[Sexo]:[Sexo]]=$B77,IF(DATOS_[[AGRUP. CLAS. PROF.]:[AGRUP. CLAS. PROF.]]=$B75,IF(DATOS_[[Check Periodo Ref.]:[Check Periodo Ref.]]="Dentro",IF(DATOS_[[Check Equiparado]:[Check Equiparado]]="Sí",IF(DATOS!AJ$5="Sí",(1/DATOS_[[% anualiz]:[% anualiz]]),1)*IF(DATOS!AJ$4="Sí",1/DATOS_[[% normaliz]:[% normaliz]],1)*(DATOS_[Conc.Sal.06])))))))),
0)</f>
        <v>0</v>
      </c>
      <c r="P77" s="111">
        <f t="array" ref="P77">IFERROR(
(MEDIAN((IF(DATOS_[[Sexo]:[Sexo]]=$B77,IF(DATOS_[[AGRUP. CLAS. PROF.]:[AGRUP. CLAS. PROF.]]=$B75,IF(DATOS_[[Check Periodo Ref.]:[Check Periodo Ref.]]="Dentro",IF(DATOS_[[Check Equiparado]:[Check Equiparado]]="Sí",IF(DATOS!AK$5="Sí",(1/DATOS_[[% anualiz]:[% anualiz]]),1)*IF(DATOS!AK$4="Sí",1/DATOS_[[% normaliz]:[% normaliz]],1)*(DATOS_[Conc.Sal.07])))))))),
0)</f>
        <v>0</v>
      </c>
      <c r="Q77" s="111">
        <f t="array" ref="Q77">IFERROR(
(MEDIAN((IF(DATOS_[[Sexo]:[Sexo]]=$B77,IF(DATOS_[[AGRUP. CLAS. PROF.]:[AGRUP. CLAS. PROF.]]=$B75,IF(DATOS_[[Check Periodo Ref.]:[Check Periodo Ref.]]="Dentro",IF(DATOS_[[Check Equiparado]:[Check Equiparado]]="Sí",IF(DATOS!AL$5="Sí",(1/DATOS_[[% anualiz]:[% anualiz]]),1)*IF(DATOS!AL$4="Sí",1/DATOS_[[% normaliz]:[% normaliz]],1)*(DATOS_[Conc.Sal.08])))))))),
0)</f>
        <v>0</v>
      </c>
      <c r="R77" s="111">
        <f t="array" ref="R77">IFERROR(
(MEDIAN((IF(DATOS_[[Sexo]:[Sexo]]=$B77,IF(DATOS_[[AGRUP. CLAS. PROF.]:[AGRUP. CLAS. PROF.]]=$B75,IF(DATOS_[[Check Periodo Ref.]:[Check Periodo Ref.]]="Dentro",IF(DATOS_[[Check Equiparado]:[Check Equiparado]]="Sí",IF(DATOS!AM$5="Sí",(1/DATOS_[[% anualiz]:[% anualiz]]),1)*IF(DATOS!AM$4="Sí",1/DATOS_[[% normaliz]:[% normaliz]],1)*(DATOS_[Conc.Sal.09])))))))),
0)</f>
        <v>0</v>
      </c>
      <c r="S77" s="111">
        <f t="array" ref="S77">IFERROR(
(MEDIAN((IF(DATOS_[[Sexo]:[Sexo]]=$B77,IF(DATOS_[[AGRUP. CLAS. PROF.]:[AGRUP. CLAS. PROF.]]=$B75,IF(DATOS_[[Check Periodo Ref.]:[Check Periodo Ref.]]="Dentro",IF(DATOS_[[Check Equiparado]:[Check Equiparado]]="Sí",IF(DATOS!AN$5="Sí",(1/DATOS_[[% anualiz]:[% anualiz]]),1)*IF(DATOS!AN$4="Sí",1/DATOS_[[% normaliz]:[% normaliz]],1)*(DATOS_[Conc.Sal.10])))))))),
0)</f>
        <v>0</v>
      </c>
      <c r="T77" s="111">
        <f t="array" ref="T77">IFERROR(
(MEDIAN((IF(DATOS_[[Sexo]:[Sexo]]=$B77,IF(DATOS_[[AGRUP. CLAS. PROF.]:[AGRUP. CLAS. PROF.]]=$B75,IF(DATOS_[[Check Periodo Ref.]:[Check Periodo Ref.]]="Dentro",IF(DATOS_[[Check Equiparado]:[Check Equiparado]]="Sí",IF(DATOS!AO$5="Sí",(1/DATOS_[[% anualiz]:[% anualiz]]),1)*IF(DATOS!AO$4="Sí",1/DATOS_[[% normaliz]:[% normaliz]],1)*(DATOS_[Conc.Sal.11])))))))),
0)</f>
        <v>0</v>
      </c>
      <c r="U77" s="111">
        <f t="array" ref="U77">IFERROR(
(MEDIAN((IF(DATOS_[[Sexo]:[Sexo]]=$B77,IF(DATOS_[[AGRUP. CLAS. PROF.]:[AGRUP. CLAS. PROF.]]=$B75,IF(DATOS_[[Check Periodo Ref.]:[Check Periodo Ref.]]="Dentro",IF(DATOS_[[Check Equiparado]:[Check Equiparado]]="Sí",IF(DATOS!AP$5="Sí",(1/DATOS_[[% anualiz]:[% anualiz]]),1)*IF(DATOS!AP$4="Sí",1/DATOS_[[% normaliz]:[% normaliz]],1)*(DATOS_[Conc.Sal.12])))))))),
0)</f>
        <v>0</v>
      </c>
      <c r="V77" s="111">
        <f t="array" ref="V77">IFERROR(
(MEDIAN((IF(DATOS_[[Sexo]:[Sexo]]=$B77,IF(DATOS_[[AGRUP. CLAS. PROF.]:[AGRUP. CLAS. PROF.]]=$B75,IF(DATOS_[[Check Periodo Ref.]:[Check Periodo Ref.]]="Dentro",IF(DATOS_[[Check Equiparado]:[Check Equiparado]]="Sí",IF(DATOS!AQ$5="Sí",(1/DATOS_[[% anualiz]:[% anualiz]]),1)*IF(DATOS!AQ$4="Sí",1/DATOS_[[% normaliz]:[% normaliz]],1)*(DATOS_[Conc.Sal.13])))))))),
0)</f>
        <v>0</v>
      </c>
      <c r="W77" s="111">
        <f t="array" ref="W77">IFERROR(
(MEDIAN((IF(DATOS_[[Sexo]:[Sexo]]=$B77,IF(DATOS_[[AGRUP. CLAS. PROF.]:[AGRUP. CLAS. PROF.]]=$B75,IF(DATOS_[[Check Periodo Ref.]:[Check Periodo Ref.]]="Dentro",IF(DATOS_[[Check Equiparado]:[Check Equiparado]]="Sí",IF(DATOS!AR$5="Sí",(1/DATOS_[[% anualiz]:[% anualiz]]),1)*IF(DATOS!AR$4="Sí",1/DATOS_[[% normaliz]:[% normaliz]],1)*(DATOS_[Conc.Sal.14])))))))),
0)</f>
        <v>0</v>
      </c>
      <c r="X77" s="111">
        <f t="array" ref="X77">IFERROR(
(MEDIAN((IF(DATOS_[[Sexo]:[Sexo]]=$B77,IF(DATOS_[[AGRUP. CLAS. PROF.]:[AGRUP. CLAS. PROF.]]=$B75,IF(DATOS_[[Check Periodo Ref.]:[Check Periodo Ref.]]="Dentro",IF(DATOS_[[Check Equiparado]:[Check Equiparado]]="Sí",IF(DATOS!AS$5="Sí",(1/DATOS_[[% anualiz]:[% anualiz]]),1)*IF(DATOS!AS$4="Sí",1/DATOS_[[% normaliz]:[% normaliz]],1)*(DATOS_[Conc.Sal.15])))))))),
0)</f>
        <v>0</v>
      </c>
      <c r="Y77" s="111">
        <f t="array" ref="Y77">IFERROR(
(MEDIAN((IF(DATOS_[[Sexo]:[Sexo]]=$B77,IF(DATOS_[[AGRUP. CLAS. PROF.]:[AGRUP. CLAS. PROF.]]=$B75,IF(DATOS_[[Check Periodo Ref.]:[Check Periodo Ref.]]="Dentro",IF(DATOS_[[Check Equiparado]:[Check Equiparado]]="Sí",IF(DATOS!AT$5="Sí",(1/DATOS_[[% anualiz]:[% anualiz]]),1)*IF(DATOS!AT$4="Sí",1/DATOS_[[% normaliz]:[% normaliz]],1)*(DATOS_[Conc.Sal.16])))))))),
0)</f>
        <v>0</v>
      </c>
      <c r="Z77" s="111">
        <f t="array" ref="Z77">IFERROR(
(MEDIAN((IF(DATOS_[[Sexo]:[Sexo]]=$B77,IF(DATOS_[[AGRUP. CLAS. PROF.]:[AGRUP. CLAS. PROF.]]=$B75,IF(DATOS_[[Check Periodo Ref.]:[Check Periodo Ref.]]="Dentro",IF(DATOS_[[Check Equiparado]:[Check Equiparado]]="Sí",IF(DATOS!AU$5="Sí",(1/DATOS_[[% anualiz]:[% anualiz]]),1)*IF(DATOS!AU$4="Sí",1/DATOS_[[% normaliz]:[% normaliz]],1)*(DATOS_[Conc.Sal.17])))))))),
0)</f>
        <v>0</v>
      </c>
      <c r="AA77" s="111">
        <f t="array" ref="AA77">IFERROR(
(MEDIAN((IF(DATOS_[[Sexo]:[Sexo]]=$B77,IF(DATOS_[[AGRUP. CLAS. PROF.]:[AGRUP. CLAS. PROF.]]=$B75,IF(DATOS_[[Check Periodo Ref.]:[Check Periodo Ref.]]="Dentro",IF(DATOS_[[Check Equiparado]:[Check Equiparado]]="Sí",IF(DATOS!AV$5="Sí",(1/DATOS_[[% anualiz]:[% anualiz]]),1)*IF(DATOS!AV$4="Sí",1/DATOS_[[% normaliz]:[% normaliz]],1)*(DATOS_[Conc.Sal.18])))))))),
0)</f>
        <v>0</v>
      </c>
      <c r="AB77" s="111">
        <f t="array" ref="AB77">IFERROR(
(MEDIAN((IF(DATOS_[[Sexo]:[Sexo]]=$B77,IF(DATOS_[[AGRUP. CLAS. PROF.]:[AGRUP. CLAS. PROF.]]=$B75,IF(DATOS_[[Check Periodo Ref.]:[Check Periodo Ref.]]="Dentro",IF(DATOS_[[Check Equiparado]:[Check Equiparado]]="Sí",IF(DATOS!AW$5="Sí",(1/DATOS_[[% anualiz]:[% anualiz]]),1)*IF(DATOS!AW$4="Sí",1/DATOS_[[% normaliz]:[% normaliz]],1)*(DATOS_[Conc.Sal.19])))))))),
0)</f>
        <v>0</v>
      </c>
      <c r="AC77" s="111">
        <f t="array" ref="AC77">IFERROR(
(MEDIAN((IF(DATOS_[[Sexo]:[Sexo]]=$B77,IF(DATOS_[[AGRUP. CLAS. PROF.]:[AGRUP. CLAS. PROF.]]=$B75,IF(DATOS_[[Check Periodo Ref.]:[Check Periodo Ref.]]="Dentro",IF(DATOS_[[Check Equiparado]:[Check Equiparado]]="Sí",IF(DATOS!AX$5="Sí",(1/DATOS_[[% anualiz]:[% anualiz]]),1)*IF(DATOS!AX$4="Sí",1/DATOS_[[% normaliz]:[% normaliz]],1)*(DATOS_[Conc.Sal.20])))))))),
0)</f>
        <v>0</v>
      </c>
      <c r="AD77" s="111">
        <f t="array" ref="AD77">IFERROR(
(MEDIAN((IF(DATOS_[[Sexo]:[Sexo]]=$B77,IF(DATOS_[[AGRUP. CLAS. PROF.]:[AGRUP. CLAS. PROF.]]=$B75,IF(DATOS_[[Check Periodo Ref.]:[Check Periodo Ref.]]="Dentro",IF(DATOS_[[Check Equiparado]:[Check Equiparado]]="Sí",IF(DATOS!AY$5="Sí",(1/DATOS_[[% anualiz]:[% anualiz]]),1)*IF(DATOS!AY$4="Sí",1/DATOS_[[% normaliz]:[% normaliz]],1)*(DATOS_[Conc.Sal.21])))))))),
0)</f>
        <v>0</v>
      </c>
      <c r="AE77" s="111">
        <f t="array" ref="AE77">IFERROR(
(MEDIAN((IF(DATOS_[[Sexo]:[Sexo]]=$B77,IF(DATOS_[[AGRUP. CLAS. PROF.]:[AGRUP. CLAS. PROF.]]=$B75,IF(DATOS_[[Check Periodo Ref.]:[Check Periodo Ref.]]="Dentro",IF(DATOS_[[Check Equiparado]:[Check Equiparado]]="Sí",IF(DATOS!AZ$5="Sí",(1/DATOS_[[% anualiz]:[% anualiz]]),1)*IF(DATOS!AZ$4="Sí",1/DATOS_[[% normaliz]:[% normaliz]],1)*(DATOS_[Conc.Sal.22])))))))),
0)</f>
        <v>0</v>
      </c>
      <c r="AF77" s="111">
        <f t="array" ref="AF77">IFERROR(
(MEDIAN((IF(DATOS_[[Sexo]:[Sexo]]=$B77,IF(DATOS_[[AGRUP. CLAS. PROF.]:[AGRUP. CLAS. PROF.]]=$B75,IF(DATOS_[[Check Periodo Ref.]:[Check Periodo Ref.]]="Dentro",IF(DATOS_[[Check Equiparado]:[Check Equiparado]]="Sí",IF(DATOS!BA$5="Sí",(1/DATOS_[[% anualiz]:[% anualiz]]),1)*IF(DATOS!BA$4="Sí",1/DATOS_[[% normaliz]:[% normaliz]],1)*(DATOS_[Conc.Sal.23])))))))),
0)</f>
        <v>0</v>
      </c>
      <c r="AG77" s="111">
        <f t="array" ref="AG77">IFERROR(
(MEDIAN((IF(DATOS_[[Sexo]:[Sexo]]=$B77,IF(DATOS_[[AGRUP. CLAS. PROF.]:[AGRUP. CLAS. PROF.]]=$B75,IF(DATOS_[[Check Periodo Ref.]:[Check Periodo Ref.]]="Dentro",IF(DATOS_[[Check Equiparado]:[Check Equiparado]]="Sí",IF(DATOS!BB$5="Sí",(1/DATOS_[[% anualiz]:[% anualiz]]),1)*IF(DATOS!BB$4="Sí",1/DATOS_[[% normaliz]:[% normaliz]],1)*(DATOS_[Conc.Sal.24])))))))),
0)</f>
        <v>0</v>
      </c>
      <c r="AH77" s="111">
        <f t="array" ref="AH77">IFERROR(
(MEDIAN((IF(DATOS_[[Sexo]:[Sexo]]=$B77,IF(DATOS_[[AGRUP. CLAS. PROF.]:[AGRUP. CLAS. PROF.]]=$B75,IF(DATOS_[[Check Periodo Ref.]:[Check Periodo Ref.]]="Dentro",IF(DATOS_[[Check Equiparado]:[Check Equiparado]]="Sí",IF(DATOS!BC$5="Sí",(1/DATOS_[[% anualiz]:[% anualiz]]),1)*IF(DATOS!BC$4="Sí",1/DATOS_[[% normaliz]:[% normaliz]],1)*(DATOS_[Conc.Sal.25])))))))),
0)</f>
        <v>0</v>
      </c>
      <c r="AI77" s="111">
        <f t="array" ref="AI77">IFERROR(
(MEDIAN((IF(DATOS_[[Sexo]:[Sexo]]=$B77,IF(DATOS_[[AGRUP. CLAS. PROF.]:[AGRUP. CLAS. PROF.]]=$B75,IF(DATOS_[[Check Periodo Ref.]:[Check Periodo Ref.]]="Dentro",IF(DATOS_[[Check Equiparado]:[Check Equiparado]]="Sí",IF(DATOS!BD$5="Sí",(1/DATOS_[[% anualiz]:[% anualiz]]),1)*IF(DATOS!BD$4="Sí",1/DATOS_[[% normaliz]:[% normaliz]],1)*(DATOS_[Conc.Sal.26])))))))),
0)</f>
        <v>0</v>
      </c>
      <c r="AJ77" s="111">
        <f t="array" ref="AJ77">IFERROR(
(MEDIAN((IF(DATOS_[[Sexo]:[Sexo]]=$B77,IF(DATOS_[[AGRUP. CLAS. PROF.]:[AGRUP. CLAS. PROF.]]=$B75,IF(DATOS_[[Check Periodo Ref.]:[Check Periodo Ref.]]="Dentro",IF(DATOS_[[Check Equiparado]:[Check Equiparado]]="Sí",IF(DATOS!BE$5="Sí",(1/DATOS_[[% anualiz]:[% anualiz]]),1)*IF(DATOS!BE$4="Sí",1/DATOS_[[% normaliz]:[% normaliz]],1)*(DATOS_[Conc.Sal.27])))))))),
0)</f>
        <v>0</v>
      </c>
      <c r="AK77" s="111">
        <f t="array" ref="AK77">IFERROR(
(MEDIAN((IF(DATOS_[[Sexo]:[Sexo]]=$B77,IF(DATOS_[[AGRUP. CLAS. PROF.]:[AGRUP. CLAS. PROF.]]=$B75,IF(DATOS_[[Check Periodo Ref.]:[Check Periodo Ref.]]="Dentro",IF(DATOS_[[Check Equiparado]:[Check Equiparado]]="Sí",IF(DATOS!BF$5="Sí",(1/DATOS_[[% anualiz]:[% anualiz]]),1)*IF(DATOS!BF$4="Sí",1/DATOS_[[% normaliz]:[% normaliz]],1)*(DATOS_[Conc.Sal.28])))))))),
0)</f>
        <v>0</v>
      </c>
      <c r="AL77" s="111">
        <f t="array" ref="AL77">IFERROR(
(MEDIAN((IF(DATOS_[[Sexo]:[Sexo]]=$B77,IF(DATOS_[[AGRUP. CLAS. PROF.]:[AGRUP. CLAS. PROF.]]=$B75,IF(DATOS_[[Check Periodo Ref.]:[Check Periodo Ref.]]="Dentro",IF(DATOS_[[Check Equiparado]:[Check Equiparado]]="Sí",IF(DATOS!BG$5="Sí",(1/DATOS_[[% anualiz]:[% anualiz]]),1)*IF(DATOS!BG$4="Sí",1/DATOS_[[% normaliz]:[% normaliz]],1)*(DATOS_[Conc.Sal.29])))))))),
0)</f>
        <v>0</v>
      </c>
      <c r="AM77" s="111">
        <f t="array" ref="AM77">IFERROR(
(MEDIAN((IF(DATOS_[[Sexo]:[Sexo]]=$B77,IF(DATOS_[[AGRUP. CLAS. PROF.]:[AGRUP. CLAS. PROF.]]=$B75,IF(DATOS_[[Check Periodo Ref.]:[Check Periodo Ref.]]="Dentro",IF(DATOS_[[Check Equiparado]:[Check Equiparado]]="Sí",IF(DATOS!BH$5="Sí",(1/DATOS_[[% anualiz]:[% anualiz]]),1)*IF(DATOS!BH$4="Sí",1/DATOS_[[% normaliz]:[% normaliz]],1)*(DATOS_[Conc.Sal.30])))))))),
0)</f>
        <v>0</v>
      </c>
      <c r="AN77" s="112">
        <f t="array" ref="AN77">IFERROR(
MEDIAN(IF(DATOS_[Sexo]=$B77,IF(DATOS_[[AGRUP. CLAS. PROF.]:[AGRUP. CLAS. PROF.]]=$B75,IF(DATOS_[Check Equiparado]="Sí",IF(DATOS_[Check Periodo Ref.]="Dentro",DATOS_[Tot COMPL.SAL Eq],FALSE))))),
0)</f>
        <v>0</v>
      </c>
      <c r="AO77" s="113">
        <f t="array" ref="AO77">IFERROR(
MEDIAN(IF(DATOS_[Sexo]=$B77,IF(DATOS_[[AGRUP. CLAS. PROF.]:[AGRUP. CLAS. PROF.]]=$B75,IF(DATOS_[Check Equiparado]="Sí",IF(DATOS_[Check Periodo Ref.]="Dentro",DATOS_[TOTAL SALARIO Eq],FALSE))))),
0)</f>
        <v>0</v>
      </c>
      <c r="AP77" s="114">
        <f t="array" ref="AP77">IFERROR(
(MEDIAN((IF(DATOS_[[Sexo]:[Sexo]]=$B77,IF(DATOS_[[AGRUP. CLAS. PROF.]:[AGRUP. CLAS. PROF.]]=$B75,IF(DATOS_[[Check Periodo Ref.]:[Check Periodo Ref.]]="Dentro",IF(DATOS_[[Check Equiparado]:[Check Equiparado]]="Sí",IF(DATOS!BI$5="Sí",(1/DATOS_[[% anualiz]:[% anualiz]]),1)*IF(DATOS!BI$4="Sí",1/DATOS_[[% normaliz]:[% normaliz]],1)*(DATOS_[C.Extra.01])))))))),
0)</f>
        <v>0</v>
      </c>
      <c r="AQ77" s="114">
        <f t="array" ref="AQ77">IFERROR(
(MEDIAN((IF(DATOS_[[Sexo]:[Sexo]]=$B77,IF(DATOS_[[AGRUP. CLAS. PROF.]:[AGRUP. CLAS. PROF.]]=$B75,IF(DATOS_[[Check Periodo Ref.]:[Check Periodo Ref.]]="Dentro",IF(DATOS_[[Check Equiparado]:[Check Equiparado]]="Sí",IF(DATOS!BJ$5="Sí",(1/DATOS_[[% anualiz]:[% anualiz]]),1)*IF(DATOS!BJ$4="Sí",1/DATOS_[[% normaliz]:[% normaliz]],1)*(DATOS_[C.Extra.02])))))))),
0)</f>
        <v>0</v>
      </c>
      <c r="AR77" s="114">
        <f t="array" ref="AR77">IFERROR(
(MEDIAN((IF(DATOS_[[Sexo]:[Sexo]]=$B77,IF(DATOS_[[AGRUP. CLAS. PROF.]:[AGRUP. CLAS. PROF.]]=$B75,IF(DATOS_[[Check Periodo Ref.]:[Check Periodo Ref.]]="Dentro",IF(DATOS_[[Check Equiparado]:[Check Equiparado]]="Sí",IF(DATOS!BK$5="Sí",(1/DATOS_[[% anualiz]:[% anualiz]]),1)*IF(DATOS!BK$4="Sí",1/DATOS_[[% normaliz]:[% normaliz]],1)*(DATOS_[C.Extra.03])))))))),
0)</f>
        <v>0</v>
      </c>
      <c r="AS77" s="114">
        <f t="array" ref="AS77">IFERROR(
(MEDIAN((IF(DATOS_[[Sexo]:[Sexo]]=$B77,IF(DATOS_[[AGRUP. CLAS. PROF.]:[AGRUP. CLAS. PROF.]]=$B75,IF(DATOS_[[Check Periodo Ref.]:[Check Periodo Ref.]]="Dentro",IF(DATOS_[[Check Equiparado]:[Check Equiparado]]="Sí",IF(DATOS!BL$5="Sí",(1/DATOS_[[% anualiz]:[% anualiz]]),1)*IF(DATOS!BL$4="Sí",1/DATOS_[[% normaliz]:[% normaliz]],1)*(DATOS_[C.Extra.04])))))))),
0)</f>
        <v>0</v>
      </c>
      <c r="AT77" s="114">
        <f t="array" ref="AT77">IFERROR(
(MEDIAN((IF(DATOS_[[Sexo]:[Sexo]]=$B77,IF(DATOS_[[AGRUP. CLAS. PROF.]:[AGRUP. CLAS. PROF.]]=$B75,IF(DATOS_[[Check Periodo Ref.]:[Check Periodo Ref.]]="Dentro",IF(DATOS_[[Check Equiparado]:[Check Equiparado]]="Sí",IF(DATOS!BM$5="Sí",(1/DATOS_[[% anualiz]:[% anualiz]]),1)*IF(DATOS!BM$4="Sí",1/DATOS_[[% normaliz]:[% normaliz]],1)*(DATOS_[C.Extra.05])))))))),
0)</f>
        <v>0</v>
      </c>
      <c r="AU77" s="115">
        <f t="array" ref="AU77">IFERROR(
MEDIAN(IF(DATOS_[Sexo]=$B77,IF(DATOS_[[AGRUP. CLAS. PROF.]:[AGRUP. CLAS. PROF.]]=$B75,IF(DATOS_[Check Equiparado]="Sí",IF(DATOS_[Check Periodo Ref.]="Dentro",DATOS_[Tot Extrasalarial Eq],FALSE))))),
0)</f>
        <v>0</v>
      </c>
      <c r="AV77" s="116">
        <f t="array" ref="AV77">IFERROR(
MEDIAN(IF(DATOS_[Sexo]=$B77,IF(DATOS_[[AGRUP. CLAS. PROF.]:[AGRUP. CLAS. PROF.]]=$B75,IF(DATOS_[Check Equiparado]="Sí",IF(DATOS_[Check Periodo Ref.]="Dentro",DATOS_[TOTAL Retrib Eq],FALSE))))),
0)</f>
        <v>0</v>
      </c>
    </row>
    <row r="78" spans="1:48" ht="17.25" hidden="1" thickBot="1" x14ac:dyDescent="0.35">
      <c r="A78" s="42" t="str">
        <f t="shared" ref="A78" si="87">+A79</f>
        <v>[ocultar]</v>
      </c>
      <c r="B78" s="90" t="s">
        <v>238</v>
      </c>
      <c r="C78" s="109"/>
      <c r="D78" s="41"/>
      <c r="E78" s="41"/>
      <c r="F78" s="41"/>
      <c r="G78" s="41"/>
      <c r="H78" s="41"/>
      <c r="I78" s="119" t="str">
        <f t="shared" ref="I78:AV78" si="88">IFERROR((I79-I80)/I79,"")</f>
        <v/>
      </c>
      <c r="J78" s="123" t="str">
        <f t="shared" si="88"/>
        <v/>
      </c>
      <c r="K78" s="123" t="str">
        <f t="shared" si="88"/>
        <v/>
      </c>
      <c r="L78" s="123" t="str">
        <f t="shared" si="88"/>
        <v/>
      </c>
      <c r="M78" s="123" t="str">
        <f t="shared" si="88"/>
        <v/>
      </c>
      <c r="N78" s="123" t="str">
        <f t="shared" si="88"/>
        <v/>
      </c>
      <c r="O78" s="123" t="str">
        <f t="shared" si="88"/>
        <v/>
      </c>
      <c r="P78" s="123" t="str">
        <f t="shared" si="88"/>
        <v/>
      </c>
      <c r="Q78" s="123" t="str">
        <f t="shared" si="88"/>
        <v/>
      </c>
      <c r="R78" s="123" t="str">
        <f t="shared" si="88"/>
        <v/>
      </c>
      <c r="S78" s="123" t="str">
        <f t="shared" si="88"/>
        <v/>
      </c>
      <c r="T78" s="123" t="str">
        <f t="shared" si="88"/>
        <v/>
      </c>
      <c r="U78" s="123" t="str">
        <f t="shared" si="88"/>
        <v/>
      </c>
      <c r="V78" s="123" t="str">
        <f t="shared" si="88"/>
        <v/>
      </c>
      <c r="W78" s="123" t="str">
        <f t="shared" si="88"/>
        <v/>
      </c>
      <c r="X78" s="123" t="str">
        <f t="shared" si="88"/>
        <v/>
      </c>
      <c r="Y78" s="123" t="str">
        <f t="shared" si="88"/>
        <v/>
      </c>
      <c r="Z78" s="122" t="str">
        <f t="shared" si="88"/>
        <v/>
      </c>
      <c r="AA78" s="122" t="str">
        <f t="shared" si="88"/>
        <v/>
      </c>
      <c r="AB78" s="122" t="str">
        <f t="shared" si="88"/>
        <v/>
      </c>
      <c r="AC78" s="122" t="str">
        <f t="shared" si="88"/>
        <v/>
      </c>
      <c r="AD78" s="122" t="str">
        <f t="shared" si="88"/>
        <v/>
      </c>
      <c r="AE78" s="122" t="str">
        <f t="shared" si="88"/>
        <v/>
      </c>
      <c r="AF78" s="122" t="str">
        <f t="shared" si="88"/>
        <v/>
      </c>
      <c r="AG78" s="122" t="str">
        <f t="shared" si="88"/>
        <v/>
      </c>
      <c r="AH78" s="122" t="str">
        <f t="shared" si="88"/>
        <v/>
      </c>
      <c r="AI78" s="122" t="str">
        <f t="shared" si="88"/>
        <v/>
      </c>
      <c r="AJ78" s="122" t="str">
        <f t="shared" si="88"/>
        <v/>
      </c>
      <c r="AK78" s="122" t="str">
        <f t="shared" si="88"/>
        <v/>
      </c>
      <c r="AL78" s="122" t="str">
        <f t="shared" si="88"/>
        <v/>
      </c>
      <c r="AM78" s="122" t="str">
        <f t="shared" si="88"/>
        <v/>
      </c>
      <c r="AN78" s="124" t="str">
        <f t="shared" si="88"/>
        <v/>
      </c>
      <c r="AO78" s="128" t="str">
        <f t="shared" si="88"/>
        <v/>
      </c>
      <c r="AP78" s="125" t="str">
        <f t="shared" si="88"/>
        <v/>
      </c>
      <c r="AQ78" s="125" t="str">
        <f t="shared" si="88"/>
        <v/>
      </c>
      <c r="AR78" s="125" t="str">
        <f t="shared" si="88"/>
        <v/>
      </c>
      <c r="AS78" s="125" t="str">
        <f t="shared" si="88"/>
        <v/>
      </c>
      <c r="AT78" s="125" t="str">
        <f t="shared" si="88"/>
        <v/>
      </c>
      <c r="AU78" s="126" t="str">
        <f t="shared" si="88"/>
        <v/>
      </c>
      <c r="AV78" s="127" t="str">
        <f t="shared" si="88"/>
        <v/>
      </c>
    </row>
    <row r="79" spans="1:48" hidden="1" x14ac:dyDescent="0.3">
      <c r="A79" s="42" t="str">
        <f t="shared" ref="A79" si="89">+IF(C79+C80=0,"[ocultar]","")</f>
        <v>[ocultar]</v>
      </c>
      <c r="B79" s="86" t="s">
        <v>162</v>
      </c>
      <c r="C79" s="33">
        <f t="array" ref="C79">SUM(IF($B79=DATOS_[Sexo],
IF($B78=DATOS_[AGRUP. CLAS. PROF.],
IF("Dentro"=DATOS_[Check Periodo Ref.],
1/(COUNTIFS(DATOS_[Sexo],$B79,DATOS_[AGRUP. CLAS. PROF.],$B78,DATOS_[Check Periodo Ref.],"Dentro",DATOS_[id],DATOS_[id]))))))</f>
        <v>0</v>
      </c>
      <c r="D79" s="35">
        <f>COUNTIFS(DATOS_[AGRUP. CLAS. PROF.],$B78,DATOS_[Sexo],$B79,DATOS_[Check Periodo Ref.],"Dentro")</f>
        <v>0</v>
      </c>
      <c r="E79" s="35">
        <f>COUNTIFS(DATOS_[AGRUP. CLAS. PROF.],$B78,DATOS_[Sexo],$B79,DATOS_[Check Periodo Ref.],"Dentro",DATOS_[Check Nº SC Norm],"Sí")</f>
        <v>0</v>
      </c>
      <c r="F79" s="35">
        <f>COUNTIFS(DATOS_[AGRUP. CLAS. PROF.],$B78,DATOS_[Sexo],$B79,DATOS_[Check Periodo Ref.],"Dentro",DATOS_[Check Nº SC Anualiz],"Sí")</f>
        <v>0</v>
      </c>
      <c r="G79" s="35">
        <f>COUNTIFS(DATOS_[AGRUP. CLAS. PROF.],$B78,DATOS_[Sexo],$B79,DATOS_[Check Periodo Ref.],"Dentro",DATOS_[Check Nº SC Norm y Anualiz],"Sí")</f>
        <v>0</v>
      </c>
      <c r="H79" s="35">
        <f>COUNTIFS(DATOS_[AGRUP. CLAS. PROF.],$B78,DATOS_[Sexo],$B79,DATOS_[Check Periodo Ref.],"Dentro",DATOS_[Check Equiparación],"Sí")</f>
        <v>0</v>
      </c>
      <c r="I79" s="110">
        <f t="array" ref="I79">IFERROR(
MEDIAN(IF(DATOS_[Sexo]=$B79,IF(DATOS_[[AGRUP. CLAS. PROF.]:[AGRUP. CLAS. PROF.]]=$B78,IF(DATOS_[Check Equiparado]="Sí",IF(DATOS_[Check Periodo Ref.]="Dentro",DATOS_[SALARIO BASE Eq],FALSE))))),
0)</f>
        <v>0</v>
      </c>
      <c r="J79" s="111">
        <f t="array" ref="J79">IFERROR(
(MEDIAN((IF(DATOS_[[Sexo]:[Sexo]]=$B79,IF(DATOS_[[AGRUP. CLAS. PROF.]:[AGRUP. CLAS. PROF.]]=$B78,IF(DATOS_[[Check Periodo Ref.]:[Check Periodo Ref.]]="Dentro",IF(DATOS_[[Check Equiparado]:[Check Equiparado]]="Sí",IF(DATOS!AE$5="Sí",(1/DATOS_[[% anualiz]:[% anualiz]]),1)*IF(DATOS!AE$4="Sí",1/DATOS_[[% normaliz]:[% normaliz]],1)*(DATOS_[Conc.Sal.01])))))))),
0)</f>
        <v>0</v>
      </c>
      <c r="K79" s="111">
        <f t="array" ref="K79">IFERROR(
(MEDIAN((IF(DATOS_[[Sexo]:[Sexo]]=$B79,IF(DATOS_[[AGRUP. CLAS. PROF.]:[AGRUP. CLAS. PROF.]]=$B78,IF(DATOS_[[Check Periodo Ref.]:[Check Periodo Ref.]]="Dentro",IF(DATOS_[[Check Equiparado]:[Check Equiparado]]="Sí",IF(DATOS!AF$5="Sí",(1/DATOS_[[% anualiz]:[% anualiz]]),1)*IF(DATOS!AF$4="Sí",1/DATOS_[[% normaliz]:[% normaliz]],1)*(DATOS_[Conc.Sal.02])))))))),
0)</f>
        <v>0</v>
      </c>
      <c r="L79" s="111">
        <f t="array" ref="L79">IFERROR(
(MEDIAN((IF(DATOS_[[Sexo]:[Sexo]]=$B79,IF(DATOS_[[AGRUP. CLAS. PROF.]:[AGRUP. CLAS. PROF.]]=$B78,IF(DATOS_[[Check Periodo Ref.]:[Check Periodo Ref.]]="Dentro",IF(DATOS_[[Check Equiparado]:[Check Equiparado]]="Sí",IF(DATOS!AG$5="Sí",(1/DATOS_[[% anualiz]:[% anualiz]]),1)*IF(DATOS!AG$4="Sí",1/DATOS_[[% normaliz]:[% normaliz]],1)*(DATOS_[Conc.Sal.03])))))))),
0)</f>
        <v>0</v>
      </c>
      <c r="M79" s="111">
        <f t="array" ref="M79">IFERROR(
(MEDIAN((IF(DATOS_[[Sexo]:[Sexo]]=$B79,IF(DATOS_[[AGRUP. CLAS. PROF.]:[AGRUP. CLAS. PROF.]]=$B78,IF(DATOS_[[Check Periodo Ref.]:[Check Periodo Ref.]]="Dentro",IF(DATOS_[[Check Equiparado]:[Check Equiparado]]="Sí",IF(DATOS!AH$5="Sí",(1/DATOS_[[% anualiz]:[% anualiz]]),1)*IF(DATOS!AH$4="Sí",1/DATOS_[[% normaliz]:[% normaliz]],1)*(DATOS_[Conc.Sal.04])))))))),
0)</f>
        <v>0</v>
      </c>
      <c r="N79" s="111">
        <f t="array" ref="N79">IFERROR(
(MEDIAN((IF(DATOS_[[Sexo]:[Sexo]]=$B79,IF(DATOS_[[AGRUP. CLAS. PROF.]:[AGRUP. CLAS. PROF.]]=$B78,IF(DATOS_[[Check Periodo Ref.]:[Check Periodo Ref.]]="Dentro",IF(DATOS_[[Check Equiparado]:[Check Equiparado]]="Sí",IF(DATOS!AI$5="Sí",(1/DATOS_[[% anualiz]:[% anualiz]]),1)*IF(DATOS!AI$4="Sí",1/DATOS_[[% normaliz]:[% normaliz]],1)*(DATOS_[Conc.Sal.05])))))))),
0)</f>
        <v>0</v>
      </c>
      <c r="O79" s="111">
        <f t="array" ref="O79">IFERROR(
(MEDIAN((IF(DATOS_[[Sexo]:[Sexo]]=$B79,IF(DATOS_[[AGRUP. CLAS. PROF.]:[AGRUP. CLAS. PROF.]]=$B78,IF(DATOS_[[Check Periodo Ref.]:[Check Periodo Ref.]]="Dentro",IF(DATOS_[[Check Equiparado]:[Check Equiparado]]="Sí",IF(DATOS!AJ$5="Sí",(1/DATOS_[[% anualiz]:[% anualiz]]),1)*IF(DATOS!AJ$4="Sí",1/DATOS_[[% normaliz]:[% normaliz]],1)*(DATOS_[Conc.Sal.06])))))))),
0)</f>
        <v>0</v>
      </c>
      <c r="P79" s="111">
        <f t="array" ref="P79">IFERROR(
(MEDIAN((IF(DATOS_[[Sexo]:[Sexo]]=$B79,IF(DATOS_[[AGRUP. CLAS. PROF.]:[AGRUP. CLAS. PROF.]]=$B78,IF(DATOS_[[Check Periodo Ref.]:[Check Periodo Ref.]]="Dentro",IF(DATOS_[[Check Equiparado]:[Check Equiparado]]="Sí",IF(DATOS!AK$5="Sí",(1/DATOS_[[% anualiz]:[% anualiz]]),1)*IF(DATOS!AK$4="Sí",1/DATOS_[[% normaliz]:[% normaliz]],1)*(DATOS_[Conc.Sal.07])))))))),
0)</f>
        <v>0</v>
      </c>
      <c r="Q79" s="111">
        <f t="array" ref="Q79">IFERROR(
(MEDIAN((IF(DATOS_[[Sexo]:[Sexo]]=$B79,IF(DATOS_[[AGRUP. CLAS. PROF.]:[AGRUP. CLAS. PROF.]]=$B78,IF(DATOS_[[Check Periodo Ref.]:[Check Periodo Ref.]]="Dentro",IF(DATOS_[[Check Equiparado]:[Check Equiparado]]="Sí",IF(DATOS!AL$5="Sí",(1/DATOS_[[% anualiz]:[% anualiz]]),1)*IF(DATOS!AL$4="Sí",1/DATOS_[[% normaliz]:[% normaliz]],1)*(DATOS_[Conc.Sal.08])))))))),
0)</f>
        <v>0</v>
      </c>
      <c r="R79" s="111">
        <f t="array" ref="R79">IFERROR(
(MEDIAN((IF(DATOS_[[Sexo]:[Sexo]]=$B79,IF(DATOS_[[AGRUP. CLAS. PROF.]:[AGRUP. CLAS. PROF.]]=$B78,IF(DATOS_[[Check Periodo Ref.]:[Check Periodo Ref.]]="Dentro",IF(DATOS_[[Check Equiparado]:[Check Equiparado]]="Sí",IF(DATOS!AM$5="Sí",(1/DATOS_[[% anualiz]:[% anualiz]]),1)*IF(DATOS!AM$4="Sí",1/DATOS_[[% normaliz]:[% normaliz]],1)*(DATOS_[Conc.Sal.09])))))))),
0)</f>
        <v>0</v>
      </c>
      <c r="S79" s="111">
        <f t="array" ref="S79">IFERROR(
(MEDIAN((IF(DATOS_[[Sexo]:[Sexo]]=$B79,IF(DATOS_[[AGRUP. CLAS. PROF.]:[AGRUP. CLAS. PROF.]]=$B78,IF(DATOS_[[Check Periodo Ref.]:[Check Periodo Ref.]]="Dentro",IF(DATOS_[[Check Equiparado]:[Check Equiparado]]="Sí",IF(DATOS!AN$5="Sí",(1/DATOS_[[% anualiz]:[% anualiz]]),1)*IF(DATOS!AN$4="Sí",1/DATOS_[[% normaliz]:[% normaliz]],1)*(DATOS_[Conc.Sal.10])))))))),
0)</f>
        <v>0</v>
      </c>
      <c r="T79" s="111">
        <f t="array" ref="T79">IFERROR(
(MEDIAN((IF(DATOS_[[Sexo]:[Sexo]]=$B79,IF(DATOS_[[AGRUP. CLAS. PROF.]:[AGRUP. CLAS. PROF.]]=$B78,IF(DATOS_[[Check Periodo Ref.]:[Check Periodo Ref.]]="Dentro",IF(DATOS_[[Check Equiparado]:[Check Equiparado]]="Sí",IF(DATOS!AO$5="Sí",(1/DATOS_[[% anualiz]:[% anualiz]]),1)*IF(DATOS!AO$4="Sí",1/DATOS_[[% normaliz]:[% normaliz]],1)*(DATOS_[Conc.Sal.11])))))))),
0)</f>
        <v>0</v>
      </c>
      <c r="U79" s="111">
        <f t="array" ref="U79">IFERROR(
(MEDIAN((IF(DATOS_[[Sexo]:[Sexo]]=$B79,IF(DATOS_[[AGRUP. CLAS. PROF.]:[AGRUP. CLAS. PROF.]]=$B78,IF(DATOS_[[Check Periodo Ref.]:[Check Periodo Ref.]]="Dentro",IF(DATOS_[[Check Equiparado]:[Check Equiparado]]="Sí",IF(DATOS!AP$5="Sí",(1/DATOS_[[% anualiz]:[% anualiz]]),1)*IF(DATOS!AP$4="Sí",1/DATOS_[[% normaliz]:[% normaliz]],1)*(DATOS_[Conc.Sal.12])))))))),
0)</f>
        <v>0</v>
      </c>
      <c r="V79" s="111">
        <f t="array" ref="V79">IFERROR(
(MEDIAN((IF(DATOS_[[Sexo]:[Sexo]]=$B79,IF(DATOS_[[AGRUP. CLAS. PROF.]:[AGRUP. CLAS. PROF.]]=$B78,IF(DATOS_[[Check Periodo Ref.]:[Check Periodo Ref.]]="Dentro",IF(DATOS_[[Check Equiparado]:[Check Equiparado]]="Sí",IF(DATOS!AQ$5="Sí",(1/DATOS_[[% anualiz]:[% anualiz]]),1)*IF(DATOS!AQ$4="Sí",1/DATOS_[[% normaliz]:[% normaliz]],1)*(DATOS_[Conc.Sal.13])))))))),
0)</f>
        <v>0</v>
      </c>
      <c r="W79" s="111">
        <f t="array" ref="W79">IFERROR(
(MEDIAN((IF(DATOS_[[Sexo]:[Sexo]]=$B79,IF(DATOS_[[AGRUP. CLAS. PROF.]:[AGRUP. CLAS. PROF.]]=$B78,IF(DATOS_[[Check Periodo Ref.]:[Check Periodo Ref.]]="Dentro",IF(DATOS_[[Check Equiparado]:[Check Equiparado]]="Sí",IF(DATOS!AR$5="Sí",(1/DATOS_[[% anualiz]:[% anualiz]]),1)*IF(DATOS!AR$4="Sí",1/DATOS_[[% normaliz]:[% normaliz]],1)*(DATOS_[Conc.Sal.14])))))))),
0)</f>
        <v>0</v>
      </c>
      <c r="X79" s="111">
        <f t="array" ref="X79">IFERROR(
(MEDIAN((IF(DATOS_[[Sexo]:[Sexo]]=$B79,IF(DATOS_[[AGRUP. CLAS. PROF.]:[AGRUP. CLAS. PROF.]]=$B78,IF(DATOS_[[Check Periodo Ref.]:[Check Periodo Ref.]]="Dentro",IF(DATOS_[[Check Equiparado]:[Check Equiparado]]="Sí",IF(DATOS!AS$5="Sí",(1/DATOS_[[% anualiz]:[% anualiz]]),1)*IF(DATOS!AS$4="Sí",1/DATOS_[[% normaliz]:[% normaliz]],1)*(DATOS_[Conc.Sal.15])))))))),
0)</f>
        <v>0</v>
      </c>
      <c r="Y79" s="111">
        <f t="array" ref="Y79">IFERROR(
(MEDIAN((IF(DATOS_[[Sexo]:[Sexo]]=$B79,IF(DATOS_[[AGRUP. CLAS. PROF.]:[AGRUP. CLAS. PROF.]]=$B78,IF(DATOS_[[Check Periodo Ref.]:[Check Periodo Ref.]]="Dentro",IF(DATOS_[[Check Equiparado]:[Check Equiparado]]="Sí",IF(DATOS!AT$5="Sí",(1/DATOS_[[% anualiz]:[% anualiz]]),1)*IF(DATOS!AT$4="Sí",1/DATOS_[[% normaliz]:[% normaliz]],1)*(DATOS_[Conc.Sal.16])))))))),
0)</f>
        <v>0</v>
      </c>
      <c r="Z79" s="111">
        <f t="array" ref="Z79">IFERROR(
(MEDIAN((IF(DATOS_[[Sexo]:[Sexo]]=$B79,IF(DATOS_[[AGRUP. CLAS. PROF.]:[AGRUP. CLAS. PROF.]]=$B78,IF(DATOS_[[Check Periodo Ref.]:[Check Periodo Ref.]]="Dentro",IF(DATOS_[[Check Equiparado]:[Check Equiparado]]="Sí",IF(DATOS!AU$5="Sí",(1/DATOS_[[% anualiz]:[% anualiz]]),1)*IF(DATOS!AU$4="Sí",1/DATOS_[[% normaliz]:[% normaliz]],1)*(DATOS_[Conc.Sal.17])))))))),
0)</f>
        <v>0</v>
      </c>
      <c r="AA79" s="111">
        <f t="array" ref="AA79">IFERROR(
(MEDIAN((IF(DATOS_[[Sexo]:[Sexo]]=$B79,IF(DATOS_[[AGRUP. CLAS. PROF.]:[AGRUP. CLAS. PROF.]]=$B78,IF(DATOS_[[Check Periodo Ref.]:[Check Periodo Ref.]]="Dentro",IF(DATOS_[[Check Equiparado]:[Check Equiparado]]="Sí",IF(DATOS!AV$5="Sí",(1/DATOS_[[% anualiz]:[% anualiz]]),1)*IF(DATOS!AV$4="Sí",1/DATOS_[[% normaliz]:[% normaliz]],1)*(DATOS_[Conc.Sal.18])))))))),
0)</f>
        <v>0</v>
      </c>
      <c r="AB79" s="111">
        <f t="array" ref="AB79">IFERROR(
(MEDIAN((IF(DATOS_[[Sexo]:[Sexo]]=$B79,IF(DATOS_[[AGRUP. CLAS. PROF.]:[AGRUP. CLAS. PROF.]]=$B78,IF(DATOS_[[Check Periodo Ref.]:[Check Periodo Ref.]]="Dentro",IF(DATOS_[[Check Equiparado]:[Check Equiparado]]="Sí",IF(DATOS!AW$5="Sí",(1/DATOS_[[% anualiz]:[% anualiz]]),1)*IF(DATOS!AW$4="Sí",1/DATOS_[[% normaliz]:[% normaliz]],1)*(DATOS_[Conc.Sal.19])))))))),
0)</f>
        <v>0</v>
      </c>
      <c r="AC79" s="111">
        <f t="array" ref="AC79">IFERROR(
(MEDIAN((IF(DATOS_[[Sexo]:[Sexo]]=$B79,IF(DATOS_[[AGRUP. CLAS. PROF.]:[AGRUP. CLAS. PROF.]]=$B78,IF(DATOS_[[Check Periodo Ref.]:[Check Periodo Ref.]]="Dentro",IF(DATOS_[[Check Equiparado]:[Check Equiparado]]="Sí",IF(DATOS!AX$5="Sí",(1/DATOS_[[% anualiz]:[% anualiz]]),1)*IF(DATOS!AX$4="Sí",1/DATOS_[[% normaliz]:[% normaliz]],1)*(DATOS_[Conc.Sal.20])))))))),
0)</f>
        <v>0</v>
      </c>
      <c r="AD79" s="111">
        <f t="array" ref="AD79">IFERROR(
(MEDIAN((IF(DATOS_[[Sexo]:[Sexo]]=$B79,IF(DATOS_[[AGRUP. CLAS. PROF.]:[AGRUP. CLAS. PROF.]]=$B78,IF(DATOS_[[Check Periodo Ref.]:[Check Periodo Ref.]]="Dentro",IF(DATOS_[[Check Equiparado]:[Check Equiparado]]="Sí",IF(DATOS!AY$5="Sí",(1/DATOS_[[% anualiz]:[% anualiz]]),1)*IF(DATOS!AY$4="Sí",1/DATOS_[[% normaliz]:[% normaliz]],1)*(DATOS_[Conc.Sal.21])))))))),
0)</f>
        <v>0</v>
      </c>
      <c r="AE79" s="111">
        <f t="array" ref="AE79">IFERROR(
(MEDIAN((IF(DATOS_[[Sexo]:[Sexo]]=$B79,IF(DATOS_[[AGRUP. CLAS. PROF.]:[AGRUP. CLAS. PROF.]]=$B78,IF(DATOS_[[Check Periodo Ref.]:[Check Periodo Ref.]]="Dentro",IF(DATOS_[[Check Equiparado]:[Check Equiparado]]="Sí",IF(DATOS!AZ$5="Sí",(1/DATOS_[[% anualiz]:[% anualiz]]),1)*IF(DATOS!AZ$4="Sí",1/DATOS_[[% normaliz]:[% normaliz]],1)*(DATOS_[Conc.Sal.22])))))))),
0)</f>
        <v>0</v>
      </c>
      <c r="AF79" s="111">
        <f t="array" ref="AF79">IFERROR(
(MEDIAN((IF(DATOS_[[Sexo]:[Sexo]]=$B79,IF(DATOS_[[AGRUP. CLAS. PROF.]:[AGRUP. CLAS. PROF.]]=$B78,IF(DATOS_[[Check Periodo Ref.]:[Check Periodo Ref.]]="Dentro",IF(DATOS_[[Check Equiparado]:[Check Equiparado]]="Sí",IF(DATOS!BA$5="Sí",(1/DATOS_[[% anualiz]:[% anualiz]]),1)*IF(DATOS!BA$4="Sí",1/DATOS_[[% normaliz]:[% normaliz]],1)*(DATOS_[Conc.Sal.23])))))))),
0)</f>
        <v>0</v>
      </c>
      <c r="AG79" s="111">
        <f t="array" ref="AG79">IFERROR(
(MEDIAN((IF(DATOS_[[Sexo]:[Sexo]]=$B79,IF(DATOS_[[AGRUP. CLAS. PROF.]:[AGRUP. CLAS. PROF.]]=$B78,IF(DATOS_[[Check Periodo Ref.]:[Check Periodo Ref.]]="Dentro",IF(DATOS_[[Check Equiparado]:[Check Equiparado]]="Sí",IF(DATOS!BB$5="Sí",(1/DATOS_[[% anualiz]:[% anualiz]]),1)*IF(DATOS!BB$4="Sí",1/DATOS_[[% normaliz]:[% normaliz]],1)*(DATOS_[Conc.Sal.24])))))))),
0)</f>
        <v>0</v>
      </c>
      <c r="AH79" s="111">
        <f t="array" ref="AH79">IFERROR(
(MEDIAN((IF(DATOS_[[Sexo]:[Sexo]]=$B79,IF(DATOS_[[AGRUP. CLAS. PROF.]:[AGRUP. CLAS. PROF.]]=$B78,IF(DATOS_[[Check Periodo Ref.]:[Check Periodo Ref.]]="Dentro",IF(DATOS_[[Check Equiparado]:[Check Equiparado]]="Sí",IF(DATOS!BC$5="Sí",(1/DATOS_[[% anualiz]:[% anualiz]]),1)*IF(DATOS!BC$4="Sí",1/DATOS_[[% normaliz]:[% normaliz]],1)*(DATOS_[Conc.Sal.25])))))))),
0)</f>
        <v>0</v>
      </c>
      <c r="AI79" s="111">
        <f t="array" ref="AI79">IFERROR(
(MEDIAN((IF(DATOS_[[Sexo]:[Sexo]]=$B79,IF(DATOS_[[AGRUP. CLAS. PROF.]:[AGRUP. CLAS. PROF.]]=$B78,IF(DATOS_[[Check Periodo Ref.]:[Check Periodo Ref.]]="Dentro",IF(DATOS_[[Check Equiparado]:[Check Equiparado]]="Sí",IF(DATOS!BD$5="Sí",(1/DATOS_[[% anualiz]:[% anualiz]]),1)*IF(DATOS!BD$4="Sí",1/DATOS_[[% normaliz]:[% normaliz]],1)*(DATOS_[Conc.Sal.26])))))))),
0)</f>
        <v>0</v>
      </c>
      <c r="AJ79" s="111">
        <f t="array" ref="AJ79">IFERROR(
(MEDIAN((IF(DATOS_[[Sexo]:[Sexo]]=$B79,IF(DATOS_[[AGRUP. CLAS. PROF.]:[AGRUP. CLAS. PROF.]]=$B78,IF(DATOS_[[Check Periodo Ref.]:[Check Periodo Ref.]]="Dentro",IF(DATOS_[[Check Equiparado]:[Check Equiparado]]="Sí",IF(DATOS!BE$5="Sí",(1/DATOS_[[% anualiz]:[% anualiz]]),1)*IF(DATOS!BE$4="Sí",1/DATOS_[[% normaliz]:[% normaliz]],1)*(DATOS_[Conc.Sal.27])))))))),
0)</f>
        <v>0</v>
      </c>
      <c r="AK79" s="111">
        <f t="array" ref="AK79">IFERROR(
(MEDIAN((IF(DATOS_[[Sexo]:[Sexo]]=$B79,IF(DATOS_[[AGRUP. CLAS. PROF.]:[AGRUP. CLAS. PROF.]]=$B78,IF(DATOS_[[Check Periodo Ref.]:[Check Periodo Ref.]]="Dentro",IF(DATOS_[[Check Equiparado]:[Check Equiparado]]="Sí",IF(DATOS!BF$5="Sí",(1/DATOS_[[% anualiz]:[% anualiz]]),1)*IF(DATOS!BF$4="Sí",1/DATOS_[[% normaliz]:[% normaliz]],1)*(DATOS_[Conc.Sal.28])))))))),
0)</f>
        <v>0</v>
      </c>
      <c r="AL79" s="111">
        <f t="array" ref="AL79">IFERROR(
(MEDIAN((IF(DATOS_[[Sexo]:[Sexo]]=$B79,IF(DATOS_[[AGRUP. CLAS. PROF.]:[AGRUP. CLAS. PROF.]]=$B78,IF(DATOS_[[Check Periodo Ref.]:[Check Periodo Ref.]]="Dentro",IF(DATOS_[[Check Equiparado]:[Check Equiparado]]="Sí",IF(DATOS!BG$5="Sí",(1/DATOS_[[% anualiz]:[% anualiz]]),1)*IF(DATOS!BG$4="Sí",1/DATOS_[[% normaliz]:[% normaliz]],1)*(DATOS_[Conc.Sal.29])))))))),
0)</f>
        <v>0</v>
      </c>
      <c r="AM79" s="111">
        <f t="array" ref="AM79">IFERROR(
(MEDIAN((IF(DATOS_[[Sexo]:[Sexo]]=$B79,IF(DATOS_[[AGRUP. CLAS. PROF.]:[AGRUP. CLAS. PROF.]]=$B78,IF(DATOS_[[Check Periodo Ref.]:[Check Periodo Ref.]]="Dentro",IF(DATOS_[[Check Equiparado]:[Check Equiparado]]="Sí",IF(DATOS!BH$5="Sí",(1/DATOS_[[% anualiz]:[% anualiz]]),1)*IF(DATOS!BH$4="Sí",1/DATOS_[[% normaliz]:[% normaliz]],1)*(DATOS_[Conc.Sal.30])))))))),
0)</f>
        <v>0</v>
      </c>
      <c r="AN79" s="112">
        <f t="array" ref="AN79">IFERROR(
MEDIAN(IF(DATOS_[Sexo]=$B79,IF(DATOS_[[AGRUP. CLAS. PROF.]:[AGRUP. CLAS. PROF.]]=$B78,IF(DATOS_[Check Equiparado]="Sí",IF(DATOS_[Check Periodo Ref.]="Dentro",DATOS_[Tot COMPL.SAL Eq],FALSE))))),
0)</f>
        <v>0</v>
      </c>
      <c r="AO79" s="113">
        <f t="array" ref="AO79">IFERROR(
MEDIAN(IF(DATOS_[Sexo]=$B79,IF(DATOS_[[AGRUP. CLAS. PROF.]:[AGRUP. CLAS. PROF.]]=$B78,IF(DATOS_[Check Equiparado]="Sí",IF(DATOS_[Check Periodo Ref.]="Dentro",DATOS_[TOTAL SALARIO Eq],FALSE))))),
0)</f>
        <v>0</v>
      </c>
      <c r="AP79" s="114">
        <f t="array" ref="AP79">IFERROR(
(MEDIAN((IF(DATOS_[[Sexo]:[Sexo]]=$B79,IF(DATOS_[[AGRUP. CLAS. PROF.]:[AGRUP. CLAS. PROF.]]=$B78,IF(DATOS_[[Check Periodo Ref.]:[Check Periodo Ref.]]="Dentro",IF(DATOS_[[Check Equiparado]:[Check Equiparado]]="Sí",IF(DATOS!BI$5="Sí",(1/DATOS_[[% anualiz]:[% anualiz]]),1)*IF(DATOS!BI$4="Sí",1/DATOS_[[% normaliz]:[% normaliz]],1)*(DATOS_[C.Extra.01])))))))),
0)</f>
        <v>0</v>
      </c>
      <c r="AQ79" s="114">
        <f t="array" ref="AQ79">IFERROR(
(MEDIAN((IF(DATOS_[[Sexo]:[Sexo]]=$B79,IF(DATOS_[[AGRUP. CLAS. PROF.]:[AGRUP. CLAS. PROF.]]=$B78,IF(DATOS_[[Check Periodo Ref.]:[Check Periodo Ref.]]="Dentro",IF(DATOS_[[Check Equiparado]:[Check Equiparado]]="Sí",IF(DATOS!BJ$5="Sí",(1/DATOS_[[% anualiz]:[% anualiz]]),1)*IF(DATOS!BJ$4="Sí",1/DATOS_[[% normaliz]:[% normaliz]],1)*(DATOS_[C.Extra.02])))))))),
0)</f>
        <v>0</v>
      </c>
      <c r="AR79" s="114">
        <f t="array" ref="AR79">IFERROR(
(MEDIAN((IF(DATOS_[[Sexo]:[Sexo]]=$B79,IF(DATOS_[[AGRUP. CLAS. PROF.]:[AGRUP. CLAS. PROF.]]=$B78,IF(DATOS_[[Check Periodo Ref.]:[Check Periodo Ref.]]="Dentro",IF(DATOS_[[Check Equiparado]:[Check Equiparado]]="Sí",IF(DATOS!BK$5="Sí",(1/DATOS_[[% anualiz]:[% anualiz]]),1)*IF(DATOS!BK$4="Sí",1/DATOS_[[% normaliz]:[% normaliz]],1)*(DATOS_[C.Extra.03])))))))),
0)</f>
        <v>0</v>
      </c>
      <c r="AS79" s="114">
        <f t="array" ref="AS79">IFERROR(
(MEDIAN((IF(DATOS_[[Sexo]:[Sexo]]=$B79,IF(DATOS_[[AGRUP. CLAS. PROF.]:[AGRUP. CLAS. PROF.]]=$B78,IF(DATOS_[[Check Periodo Ref.]:[Check Periodo Ref.]]="Dentro",IF(DATOS_[[Check Equiparado]:[Check Equiparado]]="Sí",IF(DATOS!BL$5="Sí",(1/DATOS_[[% anualiz]:[% anualiz]]),1)*IF(DATOS!BL$4="Sí",1/DATOS_[[% normaliz]:[% normaliz]],1)*(DATOS_[C.Extra.04])))))))),
0)</f>
        <v>0</v>
      </c>
      <c r="AT79" s="114">
        <f t="array" ref="AT79">IFERROR(
(MEDIAN((IF(DATOS_[[Sexo]:[Sexo]]=$B79,IF(DATOS_[[AGRUP. CLAS. PROF.]:[AGRUP. CLAS. PROF.]]=$B78,IF(DATOS_[[Check Periodo Ref.]:[Check Periodo Ref.]]="Dentro",IF(DATOS_[[Check Equiparado]:[Check Equiparado]]="Sí",IF(DATOS!BM$5="Sí",(1/DATOS_[[% anualiz]:[% anualiz]]),1)*IF(DATOS!BM$4="Sí",1/DATOS_[[% normaliz]:[% normaliz]],1)*(DATOS_[C.Extra.05])))))))),
0)</f>
        <v>0</v>
      </c>
      <c r="AU79" s="115">
        <f t="array" ref="AU79">IFERROR(
MEDIAN(IF(DATOS_[Sexo]=$B79,IF(DATOS_[[AGRUP. CLAS. PROF.]:[AGRUP. CLAS. PROF.]]=$B78,IF(DATOS_[Check Equiparado]="Sí",IF(DATOS_[Check Periodo Ref.]="Dentro",DATOS_[Tot Extrasalarial Eq],FALSE))))),
0)</f>
        <v>0</v>
      </c>
      <c r="AV79" s="116">
        <f t="array" ref="AV79">IFERROR(
MEDIAN(IF(DATOS_[Sexo]=$B79,IF(DATOS_[[AGRUP. CLAS. PROF.]:[AGRUP. CLAS. PROF.]]=$B78,IF(DATOS_[Check Equiparado]="Sí",IF(DATOS_[Check Periodo Ref.]="Dentro",DATOS_[TOTAL Retrib Eq],FALSE))))),
0)</f>
        <v>0</v>
      </c>
    </row>
    <row r="80" spans="1:48" hidden="1" x14ac:dyDescent="0.3">
      <c r="A80" s="42" t="str">
        <f t="shared" ref="A80" si="90">+A79</f>
        <v>[ocultar]</v>
      </c>
      <c r="B80" s="86" t="s">
        <v>163</v>
      </c>
      <c r="C80" s="33">
        <f t="array" ref="C80">SUM(IF($B80=DATOS_[Sexo],
IF($B78=DATOS_[AGRUP. CLAS. PROF.],
IF("Dentro"=DATOS_[Check Periodo Ref.],
1/(COUNTIFS(DATOS_[Sexo],$B80,DATOS_[AGRUP. CLAS. PROF.],$B78,DATOS_[Check Periodo Ref.],"Dentro",DATOS_[id],DATOS_[id]))))))</f>
        <v>0</v>
      </c>
      <c r="D80" s="35">
        <f>COUNTIFS(DATOS_[AGRUP. CLAS. PROF.],$B78,DATOS_[Sexo],$B80,DATOS_[Check Periodo Ref.],"Dentro")</f>
        <v>0</v>
      </c>
      <c r="E80" s="35">
        <f>COUNTIFS(DATOS_[AGRUP. CLAS. PROF.],$B78,DATOS_[Sexo],$B80,DATOS_[Check Periodo Ref.],"Dentro",DATOS_[Check Nº SC Norm],"Sí")</f>
        <v>0</v>
      </c>
      <c r="F80" s="35">
        <f>COUNTIFS(DATOS_[AGRUP. CLAS. PROF.],$B78,DATOS_[Sexo],$B80,DATOS_[Check Periodo Ref.],"Dentro",DATOS_[Check Nº SC Anualiz],"Sí")</f>
        <v>0</v>
      </c>
      <c r="G80" s="35">
        <f>COUNTIFS(DATOS_[AGRUP. CLAS. PROF.],$B78,DATOS_[Sexo],$B80,DATOS_[Check Periodo Ref.],"Dentro",DATOS_[Check Nº SC Norm y Anualiz],"Sí")</f>
        <v>0</v>
      </c>
      <c r="H80" s="35">
        <f>COUNTIFS(DATOS_[AGRUP. CLAS. PROF.],$B78,DATOS_[Sexo],$B80,DATOS_[Check Periodo Ref.],"Dentro",DATOS_[Check Equiparación],"Sí")</f>
        <v>0</v>
      </c>
      <c r="I80" s="110" cm="1">
        <f t="array" ref="I80">IFERROR(
MEDIAN(IF(DATOS_[Sexo]=$B80,IF(DATOS_[[AGRUP. CLAS. PROF.]:[AGRUP. CLAS. PROF.]]=$B78,IF(DATOS_[Check Equiparado]="Sí",IF(DATOS_[Check Periodo Ref.]="Dentro",DATOS_[SALARIO BASE Eq],FALSE))))),
0)</f>
        <v>0</v>
      </c>
      <c r="J80" s="111">
        <f t="array" ref="J80">IFERROR(
(MEDIAN((IF(DATOS_[[Sexo]:[Sexo]]=$B80,IF(DATOS_[[AGRUP. CLAS. PROF.]:[AGRUP. CLAS. PROF.]]=$B78,IF(DATOS_[[Check Periodo Ref.]:[Check Periodo Ref.]]="Dentro",IF(DATOS_[[Check Equiparado]:[Check Equiparado]]="Sí",IF(DATOS!AE$5="Sí",(1/DATOS_[[% anualiz]:[% anualiz]]),1)*IF(DATOS!AE$4="Sí",1/DATOS_[[% normaliz]:[% normaliz]],1)*(DATOS_[Conc.Sal.01])))))))),
0)</f>
        <v>0</v>
      </c>
      <c r="K80" s="111">
        <f t="array" ref="K80">IFERROR(
(MEDIAN((IF(DATOS_[[Sexo]:[Sexo]]=$B80,IF(DATOS_[[AGRUP. CLAS. PROF.]:[AGRUP. CLAS. PROF.]]=$B78,IF(DATOS_[[Check Periodo Ref.]:[Check Periodo Ref.]]="Dentro",IF(DATOS_[[Check Equiparado]:[Check Equiparado]]="Sí",IF(DATOS!AF$5="Sí",(1/DATOS_[[% anualiz]:[% anualiz]]),1)*IF(DATOS!AF$4="Sí",1/DATOS_[[% normaliz]:[% normaliz]],1)*(DATOS_[Conc.Sal.02])))))))),
0)</f>
        <v>0</v>
      </c>
      <c r="L80" s="111">
        <f t="array" ref="L80">IFERROR(
(MEDIAN((IF(DATOS_[[Sexo]:[Sexo]]=$B80,IF(DATOS_[[AGRUP. CLAS. PROF.]:[AGRUP. CLAS. PROF.]]=$B78,IF(DATOS_[[Check Periodo Ref.]:[Check Periodo Ref.]]="Dentro",IF(DATOS_[[Check Equiparado]:[Check Equiparado]]="Sí",IF(DATOS!AG$5="Sí",(1/DATOS_[[% anualiz]:[% anualiz]]),1)*IF(DATOS!AG$4="Sí",1/DATOS_[[% normaliz]:[% normaliz]],1)*(DATOS_[Conc.Sal.03])))))))),
0)</f>
        <v>0</v>
      </c>
      <c r="M80" s="111">
        <f t="array" ref="M80">IFERROR(
(MEDIAN((IF(DATOS_[[Sexo]:[Sexo]]=$B80,IF(DATOS_[[AGRUP. CLAS. PROF.]:[AGRUP. CLAS. PROF.]]=$B78,IF(DATOS_[[Check Periodo Ref.]:[Check Periodo Ref.]]="Dentro",IF(DATOS_[[Check Equiparado]:[Check Equiparado]]="Sí",IF(DATOS!AH$5="Sí",(1/DATOS_[[% anualiz]:[% anualiz]]),1)*IF(DATOS!AH$4="Sí",1/DATOS_[[% normaliz]:[% normaliz]],1)*(DATOS_[Conc.Sal.04])))))))),
0)</f>
        <v>0</v>
      </c>
      <c r="N80" s="111">
        <f t="array" ref="N80">IFERROR(
(MEDIAN((IF(DATOS_[[Sexo]:[Sexo]]=$B80,IF(DATOS_[[AGRUP. CLAS. PROF.]:[AGRUP. CLAS. PROF.]]=$B78,IF(DATOS_[[Check Periodo Ref.]:[Check Periodo Ref.]]="Dentro",IF(DATOS_[[Check Equiparado]:[Check Equiparado]]="Sí",IF(DATOS!AI$5="Sí",(1/DATOS_[[% anualiz]:[% anualiz]]),1)*IF(DATOS!AI$4="Sí",1/DATOS_[[% normaliz]:[% normaliz]],1)*(DATOS_[Conc.Sal.05])))))))),
0)</f>
        <v>0</v>
      </c>
      <c r="O80" s="111">
        <f t="array" ref="O80">IFERROR(
(MEDIAN((IF(DATOS_[[Sexo]:[Sexo]]=$B80,IF(DATOS_[[AGRUP. CLAS. PROF.]:[AGRUP. CLAS. PROF.]]=$B78,IF(DATOS_[[Check Periodo Ref.]:[Check Periodo Ref.]]="Dentro",IF(DATOS_[[Check Equiparado]:[Check Equiparado]]="Sí",IF(DATOS!AJ$5="Sí",(1/DATOS_[[% anualiz]:[% anualiz]]),1)*IF(DATOS!AJ$4="Sí",1/DATOS_[[% normaliz]:[% normaliz]],1)*(DATOS_[Conc.Sal.06])))))))),
0)</f>
        <v>0</v>
      </c>
      <c r="P80" s="111">
        <f t="array" ref="P80">IFERROR(
(MEDIAN((IF(DATOS_[[Sexo]:[Sexo]]=$B80,IF(DATOS_[[AGRUP. CLAS. PROF.]:[AGRUP. CLAS. PROF.]]=$B78,IF(DATOS_[[Check Periodo Ref.]:[Check Periodo Ref.]]="Dentro",IF(DATOS_[[Check Equiparado]:[Check Equiparado]]="Sí",IF(DATOS!AK$5="Sí",(1/DATOS_[[% anualiz]:[% anualiz]]),1)*IF(DATOS!AK$4="Sí",1/DATOS_[[% normaliz]:[% normaliz]],1)*(DATOS_[Conc.Sal.07])))))))),
0)</f>
        <v>0</v>
      </c>
      <c r="Q80" s="111">
        <f t="array" ref="Q80">IFERROR(
(MEDIAN((IF(DATOS_[[Sexo]:[Sexo]]=$B80,IF(DATOS_[[AGRUP. CLAS. PROF.]:[AGRUP. CLAS. PROF.]]=$B78,IF(DATOS_[[Check Periodo Ref.]:[Check Periodo Ref.]]="Dentro",IF(DATOS_[[Check Equiparado]:[Check Equiparado]]="Sí",IF(DATOS!AL$5="Sí",(1/DATOS_[[% anualiz]:[% anualiz]]),1)*IF(DATOS!AL$4="Sí",1/DATOS_[[% normaliz]:[% normaliz]],1)*(DATOS_[Conc.Sal.08])))))))),
0)</f>
        <v>0</v>
      </c>
      <c r="R80" s="111">
        <f t="array" ref="R80">IFERROR(
(MEDIAN((IF(DATOS_[[Sexo]:[Sexo]]=$B80,IF(DATOS_[[AGRUP. CLAS. PROF.]:[AGRUP. CLAS. PROF.]]=$B78,IF(DATOS_[[Check Periodo Ref.]:[Check Periodo Ref.]]="Dentro",IF(DATOS_[[Check Equiparado]:[Check Equiparado]]="Sí",IF(DATOS!AM$5="Sí",(1/DATOS_[[% anualiz]:[% anualiz]]),1)*IF(DATOS!AM$4="Sí",1/DATOS_[[% normaliz]:[% normaliz]],1)*(DATOS_[Conc.Sal.09])))))))),
0)</f>
        <v>0</v>
      </c>
      <c r="S80" s="111">
        <f t="array" ref="S80">IFERROR(
(MEDIAN((IF(DATOS_[[Sexo]:[Sexo]]=$B80,IF(DATOS_[[AGRUP. CLAS. PROF.]:[AGRUP. CLAS. PROF.]]=$B78,IF(DATOS_[[Check Periodo Ref.]:[Check Periodo Ref.]]="Dentro",IF(DATOS_[[Check Equiparado]:[Check Equiparado]]="Sí",IF(DATOS!AN$5="Sí",(1/DATOS_[[% anualiz]:[% anualiz]]),1)*IF(DATOS!AN$4="Sí",1/DATOS_[[% normaliz]:[% normaliz]],1)*(DATOS_[Conc.Sal.10])))))))),
0)</f>
        <v>0</v>
      </c>
      <c r="T80" s="111">
        <f t="array" ref="T80">IFERROR(
(MEDIAN((IF(DATOS_[[Sexo]:[Sexo]]=$B80,IF(DATOS_[[AGRUP. CLAS. PROF.]:[AGRUP. CLAS. PROF.]]=$B78,IF(DATOS_[[Check Periodo Ref.]:[Check Periodo Ref.]]="Dentro",IF(DATOS_[[Check Equiparado]:[Check Equiparado]]="Sí",IF(DATOS!AO$5="Sí",(1/DATOS_[[% anualiz]:[% anualiz]]),1)*IF(DATOS!AO$4="Sí",1/DATOS_[[% normaliz]:[% normaliz]],1)*(DATOS_[Conc.Sal.11])))))))),
0)</f>
        <v>0</v>
      </c>
      <c r="U80" s="111">
        <f t="array" ref="U80">IFERROR(
(MEDIAN((IF(DATOS_[[Sexo]:[Sexo]]=$B80,IF(DATOS_[[AGRUP. CLAS. PROF.]:[AGRUP. CLAS. PROF.]]=$B78,IF(DATOS_[[Check Periodo Ref.]:[Check Periodo Ref.]]="Dentro",IF(DATOS_[[Check Equiparado]:[Check Equiparado]]="Sí",IF(DATOS!AP$5="Sí",(1/DATOS_[[% anualiz]:[% anualiz]]),1)*IF(DATOS!AP$4="Sí",1/DATOS_[[% normaliz]:[% normaliz]],1)*(DATOS_[Conc.Sal.12])))))))),
0)</f>
        <v>0</v>
      </c>
      <c r="V80" s="111">
        <f t="array" ref="V80">IFERROR(
(MEDIAN((IF(DATOS_[[Sexo]:[Sexo]]=$B80,IF(DATOS_[[AGRUP. CLAS. PROF.]:[AGRUP. CLAS. PROF.]]=$B78,IF(DATOS_[[Check Periodo Ref.]:[Check Periodo Ref.]]="Dentro",IF(DATOS_[[Check Equiparado]:[Check Equiparado]]="Sí",IF(DATOS!AQ$5="Sí",(1/DATOS_[[% anualiz]:[% anualiz]]),1)*IF(DATOS!AQ$4="Sí",1/DATOS_[[% normaliz]:[% normaliz]],1)*(DATOS_[Conc.Sal.13])))))))),
0)</f>
        <v>0</v>
      </c>
      <c r="W80" s="111">
        <f t="array" ref="W80">IFERROR(
(MEDIAN((IF(DATOS_[[Sexo]:[Sexo]]=$B80,IF(DATOS_[[AGRUP. CLAS. PROF.]:[AGRUP. CLAS. PROF.]]=$B78,IF(DATOS_[[Check Periodo Ref.]:[Check Periodo Ref.]]="Dentro",IF(DATOS_[[Check Equiparado]:[Check Equiparado]]="Sí",IF(DATOS!AR$5="Sí",(1/DATOS_[[% anualiz]:[% anualiz]]),1)*IF(DATOS!AR$4="Sí",1/DATOS_[[% normaliz]:[% normaliz]],1)*(DATOS_[Conc.Sal.14])))))))),
0)</f>
        <v>0</v>
      </c>
      <c r="X80" s="111">
        <f t="array" ref="X80">IFERROR(
(MEDIAN((IF(DATOS_[[Sexo]:[Sexo]]=$B80,IF(DATOS_[[AGRUP. CLAS. PROF.]:[AGRUP. CLAS. PROF.]]=$B78,IF(DATOS_[[Check Periodo Ref.]:[Check Periodo Ref.]]="Dentro",IF(DATOS_[[Check Equiparado]:[Check Equiparado]]="Sí",IF(DATOS!AS$5="Sí",(1/DATOS_[[% anualiz]:[% anualiz]]),1)*IF(DATOS!AS$4="Sí",1/DATOS_[[% normaliz]:[% normaliz]],1)*(DATOS_[Conc.Sal.15])))))))),
0)</f>
        <v>0</v>
      </c>
      <c r="Y80" s="111">
        <f t="array" ref="Y80">IFERROR(
(MEDIAN((IF(DATOS_[[Sexo]:[Sexo]]=$B80,IF(DATOS_[[AGRUP. CLAS. PROF.]:[AGRUP. CLAS. PROF.]]=$B78,IF(DATOS_[[Check Periodo Ref.]:[Check Periodo Ref.]]="Dentro",IF(DATOS_[[Check Equiparado]:[Check Equiparado]]="Sí",IF(DATOS!AT$5="Sí",(1/DATOS_[[% anualiz]:[% anualiz]]),1)*IF(DATOS!AT$4="Sí",1/DATOS_[[% normaliz]:[% normaliz]],1)*(DATOS_[Conc.Sal.16])))))))),
0)</f>
        <v>0</v>
      </c>
      <c r="Z80" s="111">
        <f t="array" ref="Z80">IFERROR(
(MEDIAN((IF(DATOS_[[Sexo]:[Sexo]]=$B80,IF(DATOS_[[AGRUP. CLAS. PROF.]:[AGRUP. CLAS. PROF.]]=$B78,IF(DATOS_[[Check Periodo Ref.]:[Check Periodo Ref.]]="Dentro",IF(DATOS_[[Check Equiparado]:[Check Equiparado]]="Sí",IF(DATOS!AU$5="Sí",(1/DATOS_[[% anualiz]:[% anualiz]]),1)*IF(DATOS!AU$4="Sí",1/DATOS_[[% normaliz]:[% normaliz]],1)*(DATOS_[Conc.Sal.17])))))))),
0)</f>
        <v>0</v>
      </c>
      <c r="AA80" s="111">
        <f t="array" ref="AA80">IFERROR(
(MEDIAN((IF(DATOS_[[Sexo]:[Sexo]]=$B80,IF(DATOS_[[AGRUP. CLAS. PROF.]:[AGRUP. CLAS. PROF.]]=$B78,IF(DATOS_[[Check Periodo Ref.]:[Check Periodo Ref.]]="Dentro",IF(DATOS_[[Check Equiparado]:[Check Equiparado]]="Sí",IF(DATOS!AV$5="Sí",(1/DATOS_[[% anualiz]:[% anualiz]]),1)*IF(DATOS!AV$4="Sí",1/DATOS_[[% normaliz]:[% normaliz]],1)*(DATOS_[Conc.Sal.18])))))))),
0)</f>
        <v>0</v>
      </c>
      <c r="AB80" s="111">
        <f t="array" ref="AB80">IFERROR(
(MEDIAN((IF(DATOS_[[Sexo]:[Sexo]]=$B80,IF(DATOS_[[AGRUP. CLAS. PROF.]:[AGRUP. CLAS. PROF.]]=$B78,IF(DATOS_[[Check Periodo Ref.]:[Check Periodo Ref.]]="Dentro",IF(DATOS_[[Check Equiparado]:[Check Equiparado]]="Sí",IF(DATOS!AW$5="Sí",(1/DATOS_[[% anualiz]:[% anualiz]]),1)*IF(DATOS!AW$4="Sí",1/DATOS_[[% normaliz]:[% normaliz]],1)*(DATOS_[Conc.Sal.19])))))))),
0)</f>
        <v>0</v>
      </c>
      <c r="AC80" s="111">
        <f t="array" ref="AC80">IFERROR(
(MEDIAN((IF(DATOS_[[Sexo]:[Sexo]]=$B80,IF(DATOS_[[AGRUP. CLAS. PROF.]:[AGRUP. CLAS. PROF.]]=$B78,IF(DATOS_[[Check Periodo Ref.]:[Check Periodo Ref.]]="Dentro",IF(DATOS_[[Check Equiparado]:[Check Equiparado]]="Sí",IF(DATOS!AX$5="Sí",(1/DATOS_[[% anualiz]:[% anualiz]]),1)*IF(DATOS!AX$4="Sí",1/DATOS_[[% normaliz]:[% normaliz]],1)*(DATOS_[Conc.Sal.20])))))))),
0)</f>
        <v>0</v>
      </c>
      <c r="AD80" s="111">
        <f t="array" ref="AD80">IFERROR(
(MEDIAN((IF(DATOS_[[Sexo]:[Sexo]]=$B80,IF(DATOS_[[AGRUP. CLAS. PROF.]:[AGRUP. CLAS. PROF.]]=$B78,IF(DATOS_[[Check Periodo Ref.]:[Check Periodo Ref.]]="Dentro",IF(DATOS_[[Check Equiparado]:[Check Equiparado]]="Sí",IF(DATOS!AY$5="Sí",(1/DATOS_[[% anualiz]:[% anualiz]]),1)*IF(DATOS!AY$4="Sí",1/DATOS_[[% normaliz]:[% normaliz]],1)*(DATOS_[Conc.Sal.21])))))))),
0)</f>
        <v>0</v>
      </c>
      <c r="AE80" s="111">
        <f t="array" ref="AE80">IFERROR(
(MEDIAN((IF(DATOS_[[Sexo]:[Sexo]]=$B80,IF(DATOS_[[AGRUP. CLAS. PROF.]:[AGRUP. CLAS. PROF.]]=$B78,IF(DATOS_[[Check Periodo Ref.]:[Check Periodo Ref.]]="Dentro",IF(DATOS_[[Check Equiparado]:[Check Equiparado]]="Sí",IF(DATOS!AZ$5="Sí",(1/DATOS_[[% anualiz]:[% anualiz]]),1)*IF(DATOS!AZ$4="Sí",1/DATOS_[[% normaliz]:[% normaliz]],1)*(DATOS_[Conc.Sal.22])))))))),
0)</f>
        <v>0</v>
      </c>
      <c r="AF80" s="111">
        <f t="array" ref="AF80">IFERROR(
(MEDIAN((IF(DATOS_[[Sexo]:[Sexo]]=$B80,IF(DATOS_[[AGRUP. CLAS. PROF.]:[AGRUP. CLAS. PROF.]]=$B78,IF(DATOS_[[Check Periodo Ref.]:[Check Periodo Ref.]]="Dentro",IF(DATOS_[[Check Equiparado]:[Check Equiparado]]="Sí",IF(DATOS!BA$5="Sí",(1/DATOS_[[% anualiz]:[% anualiz]]),1)*IF(DATOS!BA$4="Sí",1/DATOS_[[% normaliz]:[% normaliz]],1)*(DATOS_[Conc.Sal.23])))))))),
0)</f>
        <v>0</v>
      </c>
      <c r="AG80" s="111">
        <f t="array" ref="AG80">IFERROR(
(MEDIAN((IF(DATOS_[[Sexo]:[Sexo]]=$B80,IF(DATOS_[[AGRUP. CLAS. PROF.]:[AGRUP. CLAS. PROF.]]=$B78,IF(DATOS_[[Check Periodo Ref.]:[Check Periodo Ref.]]="Dentro",IF(DATOS_[[Check Equiparado]:[Check Equiparado]]="Sí",IF(DATOS!BB$5="Sí",(1/DATOS_[[% anualiz]:[% anualiz]]),1)*IF(DATOS!BB$4="Sí",1/DATOS_[[% normaliz]:[% normaliz]],1)*(DATOS_[Conc.Sal.24])))))))),
0)</f>
        <v>0</v>
      </c>
      <c r="AH80" s="111">
        <f t="array" ref="AH80">IFERROR(
(MEDIAN((IF(DATOS_[[Sexo]:[Sexo]]=$B80,IF(DATOS_[[AGRUP. CLAS. PROF.]:[AGRUP. CLAS. PROF.]]=$B78,IF(DATOS_[[Check Periodo Ref.]:[Check Periodo Ref.]]="Dentro",IF(DATOS_[[Check Equiparado]:[Check Equiparado]]="Sí",IF(DATOS!BC$5="Sí",(1/DATOS_[[% anualiz]:[% anualiz]]),1)*IF(DATOS!BC$4="Sí",1/DATOS_[[% normaliz]:[% normaliz]],1)*(DATOS_[Conc.Sal.25])))))))),
0)</f>
        <v>0</v>
      </c>
      <c r="AI80" s="111">
        <f t="array" ref="AI80">IFERROR(
(MEDIAN((IF(DATOS_[[Sexo]:[Sexo]]=$B80,IF(DATOS_[[AGRUP. CLAS. PROF.]:[AGRUP. CLAS. PROF.]]=$B78,IF(DATOS_[[Check Periodo Ref.]:[Check Periodo Ref.]]="Dentro",IF(DATOS_[[Check Equiparado]:[Check Equiparado]]="Sí",IF(DATOS!BD$5="Sí",(1/DATOS_[[% anualiz]:[% anualiz]]),1)*IF(DATOS!BD$4="Sí",1/DATOS_[[% normaliz]:[% normaliz]],1)*(DATOS_[Conc.Sal.26])))))))),
0)</f>
        <v>0</v>
      </c>
      <c r="AJ80" s="111">
        <f t="array" ref="AJ80">IFERROR(
(MEDIAN((IF(DATOS_[[Sexo]:[Sexo]]=$B80,IF(DATOS_[[AGRUP. CLAS. PROF.]:[AGRUP. CLAS. PROF.]]=$B78,IF(DATOS_[[Check Periodo Ref.]:[Check Periodo Ref.]]="Dentro",IF(DATOS_[[Check Equiparado]:[Check Equiparado]]="Sí",IF(DATOS!BE$5="Sí",(1/DATOS_[[% anualiz]:[% anualiz]]),1)*IF(DATOS!BE$4="Sí",1/DATOS_[[% normaliz]:[% normaliz]],1)*(DATOS_[Conc.Sal.27])))))))),
0)</f>
        <v>0</v>
      </c>
      <c r="AK80" s="111">
        <f t="array" ref="AK80">IFERROR(
(MEDIAN((IF(DATOS_[[Sexo]:[Sexo]]=$B80,IF(DATOS_[[AGRUP. CLAS. PROF.]:[AGRUP. CLAS. PROF.]]=$B78,IF(DATOS_[[Check Periodo Ref.]:[Check Periodo Ref.]]="Dentro",IF(DATOS_[[Check Equiparado]:[Check Equiparado]]="Sí",IF(DATOS!BF$5="Sí",(1/DATOS_[[% anualiz]:[% anualiz]]),1)*IF(DATOS!BF$4="Sí",1/DATOS_[[% normaliz]:[% normaliz]],1)*(DATOS_[Conc.Sal.28])))))))),
0)</f>
        <v>0</v>
      </c>
      <c r="AL80" s="111">
        <f t="array" ref="AL80">IFERROR(
(MEDIAN((IF(DATOS_[[Sexo]:[Sexo]]=$B80,IF(DATOS_[[AGRUP. CLAS. PROF.]:[AGRUP. CLAS. PROF.]]=$B78,IF(DATOS_[[Check Periodo Ref.]:[Check Periodo Ref.]]="Dentro",IF(DATOS_[[Check Equiparado]:[Check Equiparado]]="Sí",IF(DATOS!BG$5="Sí",(1/DATOS_[[% anualiz]:[% anualiz]]),1)*IF(DATOS!BG$4="Sí",1/DATOS_[[% normaliz]:[% normaliz]],1)*(DATOS_[Conc.Sal.29])))))))),
0)</f>
        <v>0</v>
      </c>
      <c r="AM80" s="111">
        <f t="array" ref="AM80">IFERROR(
(MEDIAN((IF(DATOS_[[Sexo]:[Sexo]]=$B80,IF(DATOS_[[AGRUP. CLAS. PROF.]:[AGRUP. CLAS. PROF.]]=$B78,IF(DATOS_[[Check Periodo Ref.]:[Check Periodo Ref.]]="Dentro",IF(DATOS_[[Check Equiparado]:[Check Equiparado]]="Sí",IF(DATOS!BH$5="Sí",(1/DATOS_[[% anualiz]:[% anualiz]]),1)*IF(DATOS!BH$4="Sí",1/DATOS_[[% normaliz]:[% normaliz]],1)*(DATOS_[Conc.Sal.30])))))))),
0)</f>
        <v>0</v>
      </c>
      <c r="AN80" s="112">
        <f t="array" ref="AN80">IFERROR(
MEDIAN(IF(DATOS_[Sexo]=$B80,IF(DATOS_[[AGRUP. CLAS. PROF.]:[AGRUP. CLAS. PROF.]]=$B78,IF(DATOS_[Check Equiparado]="Sí",IF(DATOS_[Check Periodo Ref.]="Dentro",DATOS_[Tot COMPL.SAL Eq],FALSE))))),
0)</f>
        <v>0</v>
      </c>
      <c r="AO80" s="113">
        <f t="array" ref="AO80">IFERROR(
MEDIAN(IF(DATOS_[Sexo]=$B80,IF(DATOS_[[AGRUP. CLAS. PROF.]:[AGRUP. CLAS. PROF.]]=$B78,IF(DATOS_[Check Equiparado]="Sí",IF(DATOS_[Check Periodo Ref.]="Dentro",DATOS_[TOTAL SALARIO Eq],FALSE))))),
0)</f>
        <v>0</v>
      </c>
      <c r="AP80" s="114">
        <f t="array" ref="AP80">IFERROR(
(MEDIAN((IF(DATOS_[[Sexo]:[Sexo]]=$B80,IF(DATOS_[[AGRUP. CLAS. PROF.]:[AGRUP. CLAS. PROF.]]=$B78,IF(DATOS_[[Check Periodo Ref.]:[Check Periodo Ref.]]="Dentro",IF(DATOS_[[Check Equiparado]:[Check Equiparado]]="Sí",IF(DATOS!BI$5="Sí",(1/DATOS_[[% anualiz]:[% anualiz]]),1)*IF(DATOS!BI$4="Sí",1/DATOS_[[% normaliz]:[% normaliz]],1)*(DATOS_[C.Extra.01])))))))),
0)</f>
        <v>0</v>
      </c>
      <c r="AQ80" s="114">
        <f t="array" ref="AQ80">IFERROR(
(MEDIAN((IF(DATOS_[[Sexo]:[Sexo]]=$B80,IF(DATOS_[[AGRUP. CLAS. PROF.]:[AGRUP. CLAS. PROF.]]=$B78,IF(DATOS_[[Check Periodo Ref.]:[Check Periodo Ref.]]="Dentro",IF(DATOS_[[Check Equiparado]:[Check Equiparado]]="Sí",IF(DATOS!BJ$5="Sí",(1/DATOS_[[% anualiz]:[% anualiz]]),1)*IF(DATOS!BJ$4="Sí",1/DATOS_[[% normaliz]:[% normaliz]],1)*(DATOS_[C.Extra.02])))))))),
0)</f>
        <v>0</v>
      </c>
      <c r="AR80" s="114">
        <f t="array" ref="AR80">IFERROR(
(MEDIAN((IF(DATOS_[[Sexo]:[Sexo]]=$B80,IF(DATOS_[[AGRUP. CLAS. PROF.]:[AGRUP. CLAS. PROF.]]=$B78,IF(DATOS_[[Check Periodo Ref.]:[Check Periodo Ref.]]="Dentro",IF(DATOS_[[Check Equiparado]:[Check Equiparado]]="Sí",IF(DATOS!BK$5="Sí",(1/DATOS_[[% anualiz]:[% anualiz]]),1)*IF(DATOS!BK$4="Sí",1/DATOS_[[% normaliz]:[% normaliz]],1)*(DATOS_[C.Extra.03])))))))),
0)</f>
        <v>0</v>
      </c>
      <c r="AS80" s="114">
        <f t="array" ref="AS80">IFERROR(
(MEDIAN((IF(DATOS_[[Sexo]:[Sexo]]=$B80,IF(DATOS_[[AGRUP. CLAS. PROF.]:[AGRUP. CLAS. PROF.]]=$B78,IF(DATOS_[[Check Periodo Ref.]:[Check Periodo Ref.]]="Dentro",IF(DATOS_[[Check Equiparado]:[Check Equiparado]]="Sí",IF(DATOS!BL$5="Sí",(1/DATOS_[[% anualiz]:[% anualiz]]),1)*IF(DATOS!BL$4="Sí",1/DATOS_[[% normaliz]:[% normaliz]],1)*(DATOS_[C.Extra.04])))))))),
0)</f>
        <v>0</v>
      </c>
      <c r="AT80" s="114">
        <f t="array" ref="AT80">IFERROR(
(MEDIAN((IF(DATOS_[[Sexo]:[Sexo]]=$B80,IF(DATOS_[[AGRUP. CLAS. PROF.]:[AGRUP. CLAS. PROF.]]=$B78,IF(DATOS_[[Check Periodo Ref.]:[Check Periodo Ref.]]="Dentro",IF(DATOS_[[Check Equiparado]:[Check Equiparado]]="Sí",IF(DATOS!BM$5="Sí",(1/DATOS_[[% anualiz]:[% anualiz]]),1)*IF(DATOS!BM$4="Sí",1/DATOS_[[% normaliz]:[% normaliz]],1)*(DATOS_[C.Extra.05])))))))),
0)</f>
        <v>0</v>
      </c>
      <c r="AU80" s="115">
        <f t="array" ref="AU80">IFERROR(
MEDIAN(IF(DATOS_[Sexo]=$B80,IF(DATOS_[[AGRUP. CLAS. PROF.]:[AGRUP. CLAS. PROF.]]=$B78,IF(DATOS_[Check Equiparado]="Sí",IF(DATOS_[Check Periodo Ref.]="Dentro",DATOS_[Tot Extrasalarial Eq],FALSE))))),
0)</f>
        <v>0</v>
      </c>
      <c r="AV80" s="116">
        <f t="array" ref="AV80">IFERROR(
MEDIAN(IF(DATOS_[Sexo]=$B80,IF(DATOS_[[AGRUP. CLAS. PROF.]:[AGRUP. CLAS. PROF.]]=$B78,IF(DATOS_[Check Equiparado]="Sí",IF(DATOS_[Check Periodo Ref.]="Dentro",DATOS_[TOTAL Retrib Eq],FALSE))))),
0)</f>
        <v>0</v>
      </c>
    </row>
    <row r="81" spans="1:48" ht="17.25" hidden="1" thickBot="1" x14ac:dyDescent="0.35">
      <c r="A81" s="42" t="str">
        <f t="shared" ref="A81" si="91">+A82</f>
        <v>[ocultar]</v>
      </c>
      <c r="B81" s="90" t="s">
        <v>239</v>
      </c>
      <c r="C81" s="109"/>
      <c r="D81" s="41"/>
      <c r="E81" s="41"/>
      <c r="F81" s="41"/>
      <c r="G81" s="41"/>
      <c r="H81" s="41"/>
      <c r="I81" s="119" t="str">
        <f t="shared" ref="I81:AV81" si="92">IFERROR((I82-I83)/I82,"")</f>
        <v/>
      </c>
      <c r="J81" s="123" t="str">
        <f t="shared" si="92"/>
        <v/>
      </c>
      <c r="K81" s="123" t="str">
        <f t="shared" si="92"/>
        <v/>
      </c>
      <c r="L81" s="123" t="str">
        <f t="shared" si="92"/>
        <v/>
      </c>
      <c r="M81" s="123" t="str">
        <f t="shared" si="92"/>
        <v/>
      </c>
      <c r="N81" s="123" t="str">
        <f t="shared" si="92"/>
        <v/>
      </c>
      <c r="O81" s="123" t="str">
        <f t="shared" si="92"/>
        <v/>
      </c>
      <c r="P81" s="123" t="str">
        <f t="shared" si="92"/>
        <v/>
      </c>
      <c r="Q81" s="123" t="str">
        <f t="shared" si="92"/>
        <v/>
      </c>
      <c r="R81" s="123" t="str">
        <f t="shared" si="92"/>
        <v/>
      </c>
      <c r="S81" s="123" t="str">
        <f t="shared" si="92"/>
        <v/>
      </c>
      <c r="T81" s="123" t="str">
        <f t="shared" si="92"/>
        <v/>
      </c>
      <c r="U81" s="123" t="str">
        <f t="shared" si="92"/>
        <v/>
      </c>
      <c r="V81" s="123" t="str">
        <f t="shared" si="92"/>
        <v/>
      </c>
      <c r="W81" s="123" t="str">
        <f t="shared" si="92"/>
        <v/>
      </c>
      <c r="X81" s="123" t="str">
        <f t="shared" si="92"/>
        <v/>
      </c>
      <c r="Y81" s="123" t="str">
        <f t="shared" si="92"/>
        <v/>
      </c>
      <c r="Z81" s="122" t="str">
        <f t="shared" si="92"/>
        <v/>
      </c>
      <c r="AA81" s="122" t="str">
        <f t="shared" si="92"/>
        <v/>
      </c>
      <c r="AB81" s="122" t="str">
        <f t="shared" si="92"/>
        <v/>
      </c>
      <c r="AC81" s="122" t="str">
        <f t="shared" si="92"/>
        <v/>
      </c>
      <c r="AD81" s="122" t="str">
        <f t="shared" si="92"/>
        <v/>
      </c>
      <c r="AE81" s="122" t="str">
        <f t="shared" si="92"/>
        <v/>
      </c>
      <c r="AF81" s="122" t="str">
        <f t="shared" si="92"/>
        <v/>
      </c>
      <c r="AG81" s="122" t="str">
        <f t="shared" si="92"/>
        <v/>
      </c>
      <c r="AH81" s="122" t="str">
        <f t="shared" si="92"/>
        <v/>
      </c>
      <c r="AI81" s="122" t="str">
        <f t="shared" si="92"/>
        <v/>
      </c>
      <c r="AJ81" s="122" t="str">
        <f t="shared" si="92"/>
        <v/>
      </c>
      <c r="AK81" s="122" t="str">
        <f t="shared" si="92"/>
        <v/>
      </c>
      <c r="AL81" s="122" t="str">
        <f t="shared" si="92"/>
        <v/>
      </c>
      <c r="AM81" s="122" t="str">
        <f t="shared" si="92"/>
        <v/>
      </c>
      <c r="AN81" s="124" t="str">
        <f t="shared" si="92"/>
        <v/>
      </c>
      <c r="AO81" s="128" t="str">
        <f t="shared" si="92"/>
        <v/>
      </c>
      <c r="AP81" s="125" t="str">
        <f t="shared" si="92"/>
        <v/>
      </c>
      <c r="AQ81" s="125" t="str">
        <f t="shared" si="92"/>
        <v/>
      </c>
      <c r="AR81" s="125" t="str">
        <f t="shared" si="92"/>
        <v/>
      </c>
      <c r="AS81" s="125" t="str">
        <f t="shared" si="92"/>
        <v/>
      </c>
      <c r="AT81" s="125" t="str">
        <f t="shared" si="92"/>
        <v/>
      </c>
      <c r="AU81" s="126" t="str">
        <f t="shared" si="92"/>
        <v/>
      </c>
      <c r="AV81" s="127" t="str">
        <f t="shared" si="92"/>
        <v/>
      </c>
    </row>
    <row r="82" spans="1:48" hidden="1" x14ac:dyDescent="0.3">
      <c r="A82" s="42" t="str">
        <f t="shared" ref="A82" si="93">+IF(C82+C83=0,"[ocultar]","")</f>
        <v>[ocultar]</v>
      </c>
      <c r="B82" s="86" t="s">
        <v>162</v>
      </c>
      <c r="C82" s="33">
        <f t="array" ref="C82">SUM(IF($B82=DATOS_[Sexo],
IF($B81=DATOS_[AGRUP. CLAS. PROF.],
IF("Dentro"=DATOS_[Check Periodo Ref.],
1/(COUNTIFS(DATOS_[Sexo],$B82,DATOS_[AGRUP. CLAS. PROF.],$B81,DATOS_[Check Periodo Ref.],"Dentro",DATOS_[id],DATOS_[id]))))))</f>
        <v>0</v>
      </c>
      <c r="D82" s="35">
        <f>COUNTIFS(DATOS_[AGRUP. CLAS. PROF.],$B81,DATOS_[Sexo],$B82,DATOS_[Check Periodo Ref.],"Dentro")</f>
        <v>0</v>
      </c>
      <c r="E82" s="35">
        <f>COUNTIFS(DATOS_[AGRUP. CLAS. PROF.],$B81,DATOS_[Sexo],$B82,DATOS_[Check Periodo Ref.],"Dentro",DATOS_[Check Nº SC Norm],"Sí")</f>
        <v>0</v>
      </c>
      <c r="F82" s="35">
        <f>COUNTIFS(DATOS_[AGRUP. CLAS. PROF.],$B81,DATOS_[Sexo],$B82,DATOS_[Check Periodo Ref.],"Dentro",DATOS_[Check Nº SC Anualiz],"Sí")</f>
        <v>0</v>
      </c>
      <c r="G82" s="35">
        <f>COUNTIFS(DATOS_[AGRUP. CLAS. PROF.],$B81,DATOS_[Sexo],$B82,DATOS_[Check Periodo Ref.],"Dentro",DATOS_[Check Nº SC Norm y Anualiz],"Sí")</f>
        <v>0</v>
      </c>
      <c r="H82" s="35">
        <f>COUNTIFS(DATOS_[AGRUP. CLAS. PROF.],$B81,DATOS_[Sexo],$B82,DATOS_[Check Periodo Ref.],"Dentro",DATOS_[Check Equiparación],"Sí")</f>
        <v>0</v>
      </c>
      <c r="I82" s="110">
        <f t="array" ref="I82">IFERROR(
MEDIAN(IF(DATOS_[Sexo]=$B82,IF(DATOS_[[AGRUP. CLAS. PROF.]:[AGRUP. CLAS. PROF.]]=$B81,IF(DATOS_[Check Equiparado]="Sí",IF(DATOS_[Check Periodo Ref.]="Dentro",DATOS_[SALARIO BASE Eq],FALSE))))),
0)</f>
        <v>0</v>
      </c>
      <c r="J82" s="111">
        <f t="array" ref="J82">IFERROR(
(MEDIAN((IF(DATOS_[[Sexo]:[Sexo]]=$B82,IF(DATOS_[[AGRUP. CLAS. PROF.]:[AGRUP. CLAS. PROF.]]=$B81,IF(DATOS_[[Check Periodo Ref.]:[Check Periodo Ref.]]="Dentro",IF(DATOS_[[Check Equiparado]:[Check Equiparado]]="Sí",IF(DATOS!AE$5="Sí",(1/DATOS_[[% anualiz]:[% anualiz]]),1)*IF(DATOS!AE$4="Sí",1/DATOS_[[% normaliz]:[% normaliz]],1)*(DATOS_[Conc.Sal.01])))))))),
0)</f>
        <v>0</v>
      </c>
      <c r="K82" s="111">
        <f t="array" ref="K82">IFERROR(
(MEDIAN((IF(DATOS_[[Sexo]:[Sexo]]=$B82,IF(DATOS_[[AGRUP. CLAS. PROF.]:[AGRUP. CLAS. PROF.]]=$B81,IF(DATOS_[[Check Periodo Ref.]:[Check Periodo Ref.]]="Dentro",IF(DATOS_[[Check Equiparado]:[Check Equiparado]]="Sí",IF(DATOS!AF$5="Sí",(1/DATOS_[[% anualiz]:[% anualiz]]),1)*IF(DATOS!AF$4="Sí",1/DATOS_[[% normaliz]:[% normaliz]],1)*(DATOS_[Conc.Sal.02])))))))),
0)</f>
        <v>0</v>
      </c>
      <c r="L82" s="111">
        <f t="array" ref="L82">IFERROR(
(MEDIAN((IF(DATOS_[[Sexo]:[Sexo]]=$B82,IF(DATOS_[[AGRUP. CLAS. PROF.]:[AGRUP. CLAS. PROF.]]=$B81,IF(DATOS_[[Check Periodo Ref.]:[Check Periodo Ref.]]="Dentro",IF(DATOS_[[Check Equiparado]:[Check Equiparado]]="Sí",IF(DATOS!AG$5="Sí",(1/DATOS_[[% anualiz]:[% anualiz]]),1)*IF(DATOS!AG$4="Sí",1/DATOS_[[% normaliz]:[% normaliz]],1)*(DATOS_[Conc.Sal.03])))))))),
0)</f>
        <v>0</v>
      </c>
      <c r="M82" s="111">
        <f t="array" ref="M82">IFERROR(
(MEDIAN((IF(DATOS_[[Sexo]:[Sexo]]=$B82,IF(DATOS_[[AGRUP. CLAS. PROF.]:[AGRUP. CLAS. PROF.]]=$B81,IF(DATOS_[[Check Periodo Ref.]:[Check Periodo Ref.]]="Dentro",IF(DATOS_[[Check Equiparado]:[Check Equiparado]]="Sí",IF(DATOS!AH$5="Sí",(1/DATOS_[[% anualiz]:[% anualiz]]),1)*IF(DATOS!AH$4="Sí",1/DATOS_[[% normaliz]:[% normaliz]],1)*(DATOS_[Conc.Sal.04])))))))),
0)</f>
        <v>0</v>
      </c>
      <c r="N82" s="111">
        <f t="array" ref="N82">IFERROR(
(MEDIAN((IF(DATOS_[[Sexo]:[Sexo]]=$B82,IF(DATOS_[[AGRUP. CLAS. PROF.]:[AGRUP. CLAS. PROF.]]=$B81,IF(DATOS_[[Check Periodo Ref.]:[Check Periodo Ref.]]="Dentro",IF(DATOS_[[Check Equiparado]:[Check Equiparado]]="Sí",IF(DATOS!AI$5="Sí",(1/DATOS_[[% anualiz]:[% anualiz]]),1)*IF(DATOS!AI$4="Sí",1/DATOS_[[% normaliz]:[% normaliz]],1)*(DATOS_[Conc.Sal.05])))))))),
0)</f>
        <v>0</v>
      </c>
      <c r="O82" s="111">
        <f t="array" ref="O82">IFERROR(
(MEDIAN((IF(DATOS_[[Sexo]:[Sexo]]=$B82,IF(DATOS_[[AGRUP. CLAS. PROF.]:[AGRUP. CLAS. PROF.]]=$B81,IF(DATOS_[[Check Periodo Ref.]:[Check Periodo Ref.]]="Dentro",IF(DATOS_[[Check Equiparado]:[Check Equiparado]]="Sí",IF(DATOS!AJ$5="Sí",(1/DATOS_[[% anualiz]:[% anualiz]]),1)*IF(DATOS!AJ$4="Sí",1/DATOS_[[% normaliz]:[% normaliz]],1)*(DATOS_[Conc.Sal.06])))))))),
0)</f>
        <v>0</v>
      </c>
      <c r="P82" s="111">
        <f t="array" ref="P82">IFERROR(
(MEDIAN((IF(DATOS_[[Sexo]:[Sexo]]=$B82,IF(DATOS_[[AGRUP. CLAS. PROF.]:[AGRUP. CLAS. PROF.]]=$B81,IF(DATOS_[[Check Periodo Ref.]:[Check Periodo Ref.]]="Dentro",IF(DATOS_[[Check Equiparado]:[Check Equiparado]]="Sí",IF(DATOS!AK$5="Sí",(1/DATOS_[[% anualiz]:[% anualiz]]),1)*IF(DATOS!AK$4="Sí",1/DATOS_[[% normaliz]:[% normaliz]],1)*(DATOS_[Conc.Sal.07])))))))),
0)</f>
        <v>0</v>
      </c>
      <c r="Q82" s="111">
        <f t="array" ref="Q82">IFERROR(
(MEDIAN((IF(DATOS_[[Sexo]:[Sexo]]=$B82,IF(DATOS_[[AGRUP. CLAS. PROF.]:[AGRUP. CLAS. PROF.]]=$B81,IF(DATOS_[[Check Periodo Ref.]:[Check Periodo Ref.]]="Dentro",IF(DATOS_[[Check Equiparado]:[Check Equiparado]]="Sí",IF(DATOS!AL$5="Sí",(1/DATOS_[[% anualiz]:[% anualiz]]),1)*IF(DATOS!AL$4="Sí",1/DATOS_[[% normaliz]:[% normaliz]],1)*(DATOS_[Conc.Sal.08])))))))),
0)</f>
        <v>0</v>
      </c>
      <c r="R82" s="111">
        <f t="array" ref="R82">IFERROR(
(MEDIAN((IF(DATOS_[[Sexo]:[Sexo]]=$B82,IF(DATOS_[[AGRUP. CLAS. PROF.]:[AGRUP. CLAS. PROF.]]=$B81,IF(DATOS_[[Check Periodo Ref.]:[Check Periodo Ref.]]="Dentro",IF(DATOS_[[Check Equiparado]:[Check Equiparado]]="Sí",IF(DATOS!AM$5="Sí",(1/DATOS_[[% anualiz]:[% anualiz]]),1)*IF(DATOS!AM$4="Sí",1/DATOS_[[% normaliz]:[% normaliz]],1)*(DATOS_[Conc.Sal.09])))))))),
0)</f>
        <v>0</v>
      </c>
      <c r="S82" s="111">
        <f t="array" ref="S82">IFERROR(
(MEDIAN((IF(DATOS_[[Sexo]:[Sexo]]=$B82,IF(DATOS_[[AGRUP. CLAS. PROF.]:[AGRUP. CLAS. PROF.]]=$B81,IF(DATOS_[[Check Periodo Ref.]:[Check Periodo Ref.]]="Dentro",IF(DATOS_[[Check Equiparado]:[Check Equiparado]]="Sí",IF(DATOS!AN$5="Sí",(1/DATOS_[[% anualiz]:[% anualiz]]),1)*IF(DATOS!AN$4="Sí",1/DATOS_[[% normaliz]:[% normaliz]],1)*(DATOS_[Conc.Sal.10])))))))),
0)</f>
        <v>0</v>
      </c>
      <c r="T82" s="111">
        <f t="array" ref="T82">IFERROR(
(MEDIAN((IF(DATOS_[[Sexo]:[Sexo]]=$B82,IF(DATOS_[[AGRUP. CLAS. PROF.]:[AGRUP. CLAS. PROF.]]=$B81,IF(DATOS_[[Check Periodo Ref.]:[Check Periodo Ref.]]="Dentro",IF(DATOS_[[Check Equiparado]:[Check Equiparado]]="Sí",IF(DATOS!AO$5="Sí",(1/DATOS_[[% anualiz]:[% anualiz]]),1)*IF(DATOS!AO$4="Sí",1/DATOS_[[% normaliz]:[% normaliz]],1)*(DATOS_[Conc.Sal.11])))))))),
0)</f>
        <v>0</v>
      </c>
      <c r="U82" s="111">
        <f t="array" ref="U82">IFERROR(
(MEDIAN((IF(DATOS_[[Sexo]:[Sexo]]=$B82,IF(DATOS_[[AGRUP. CLAS. PROF.]:[AGRUP. CLAS. PROF.]]=$B81,IF(DATOS_[[Check Periodo Ref.]:[Check Periodo Ref.]]="Dentro",IF(DATOS_[[Check Equiparado]:[Check Equiparado]]="Sí",IF(DATOS!AP$5="Sí",(1/DATOS_[[% anualiz]:[% anualiz]]),1)*IF(DATOS!AP$4="Sí",1/DATOS_[[% normaliz]:[% normaliz]],1)*(DATOS_[Conc.Sal.12])))))))),
0)</f>
        <v>0</v>
      </c>
      <c r="V82" s="111">
        <f t="array" ref="V82">IFERROR(
(MEDIAN((IF(DATOS_[[Sexo]:[Sexo]]=$B82,IF(DATOS_[[AGRUP. CLAS. PROF.]:[AGRUP. CLAS. PROF.]]=$B81,IF(DATOS_[[Check Periodo Ref.]:[Check Periodo Ref.]]="Dentro",IF(DATOS_[[Check Equiparado]:[Check Equiparado]]="Sí",IF(DATOS!AQ$5="Sí",(1/DATOS_[[% anualiz]:[% anualiz]]),1)*IF(DATOS!AQ$4="Sí",1/DATOS_[[% normaliz]:[% normaliz]],1)*(DATOS_[Conc.Sal.13])))))))),
0)</f>
        <v>0</v>
      </c>
      <c r="W82" s="111">
        <f t="array" ref="W82">IFERROR(
(MEDIAN((IF(DATOS_[[Sexo]:[Sexo]]=$B82,IF(DATOS_[[AGRUP. CLAS. PROF.]:[AGRUP. CLAS. PROF.]]=$B81,IF(DATOS_[[Check Periodo Ref.]:[Check Periodo Ref.]]="Dentro",IF(DATOS_[[Check Equiparado]:[Check Equiparado]]="Sí",IF(DATOS!AR$5="Sí",(1/DATOS_[[% anualiz]:[% anualiz]]),1)*IF(DATOS!AR$4="Sí",1/DATOS_[[% normaliz]:[% normaliz]],1)*(DATOS_[Conc.Sal.14])))))))),
0)</f>
        <v>0</v>
      </c>
      <c r="X82" s="111">
        <f t="array" ref="X82">IFERROR(
(MEDIAN((IF(DATOS_[[Sexo]:[Sexo]]=$B82,IF(DATOS_[[AGRUP. CLAS. PROF.]:[AGRUP. CLAS. PROF.]]=$B81,IF(DATOS_[[Check Periodo Ref.]:[Check Periodo Ref.]]="Dentro",IF(DATOS_[[Check Equiparado]:[Check Equiparado]]="Sí",IF(DATOS!AS$5="Sí",(1/DATOS_[[% anualiz]:[% anualiz]]),1)*IF(DATOS!AS$4="Sí",1/DATOS_[[% normaliz]:[% normaliz]],1)*(DATOS_[Conc.Sal.15])))))))),
0)</f>
        <v>0</v>
      </c>
      <c r="Y82" s="111">
        <f t="array" ref="Y82">IFERROR(
(MEDIAN((IF(DATOS_[[Sexo]:[Sexo]]=$B82,IF(DATOS_[[AGRUP. CLAS. PROF.]:[AGRUP. CLAS. PROF.]]=$B81,IF(DATOS_[[Check Periodo Ref.]:[Check Periodo Ref.]]="Dentro",IF(DATOS_[[Check Equiparado]:[Check Equiparado]]="Sí",IF(DATOS!AT$5="Sí",(1/DATOS_[[% anualiz]:[% anualiz]]),1)*IF(DATOS!AT$4="Sí",1/DATOS_[[% normaliz]:[% normaliz]],1)*(DATOS_[Conc.Sal.16])))))))),
0)</f>
        <v>0</v>
      </c>
      <c r="Z82" s="111">
        <f t="array" ref="Z82">IFERROR(
(MEDIAN((IF(DATOS_[[Sexo]:[Sexo]]=$B82,IF(DATOS_[[AGRUP. CLAS. PROF.]:[AGRUP. CLAS. PROF.]]=$B81,IF(DATOS_[[Check Periodo Ref.]:[Check Periodo Ref.]]="Dentro",IF(DATOS_[[Check Equiparado]:[Check Equiparado]]="Sí",IF(DATOS!AU$5="Sí",(1/DATOS_[[% anualiz]:[% anualiz]]),1)*IF(DATOS!AU$4="Sí",1/DATOS_[[% normaliz]:[% normaliz]],1)*(DATOS_[Conc.Sal.17])))))))),
0)</f>
        <v>0</v>
      </c>
      <c r="AA82" s="111">
        <f t="array" ref="AA82">IFERROR(
(MEDIAN((IF(DATOS_[[Sexo]:[Sexo]]=$B82,IF(DATOS_[[AGRUP. CLAS. PROF.]:[AGRUP. CLAS. PROF.]]=$B81,IF(DATOS_[[Check Periodo Ref.]:[Check Periodo Ref.]]="Dentro",IF(DATOS_[[Check Equiparado]:[Check Equiparado]]="Sí",IF(DATOS!AV$5="Sí",(1/DATOS_[[% anualiz]:[% anualiz]]),1)*IF(DATOS!AV$4="Sí",1/DATOS_[[% normaliz]:[% normaliz]],1)*(DATOS_[Conc.Sal.18])))))))),
0)</f>
        <v>0</v>
      </c>
      <c r="AB82" s="111">
        <f t="array" ref="AB82">IFERROR(
(MEDIAN((IF(DATOS_[[Sexo]:[Sexo]]=$B82,IF(DATOS_[[AGRUP. CLAS. PROF.]:[AGRUP. CLAS. PROF.]]=$B81,IF(DATOS_[[Check Periodo Ref.]:[Check Periodo Ref.]]="Dentro",IF(DATOS_[[Check Equiparado]:[Check Equiparado]]="Sí",IF(DATOS!AW$5="Sí",(1/DATOS_[[% anualiz]:[% anualiz]]),1)*IF(DATOS!AW$4="Sí",1/DATOS_[[% normaliz]:[% normaliz]],1)*(DATOS_[Conc.Sal.19])))))))),
0)</f>
        <v>0</v>
      </c>
      <c r="AC82" s="111">
        <f t="array" ref="AC82">IFERROR(
(MEDIAN((IF(DATOS_[[Sexo]:[Sexo]]=$B82,IF(DATOS_[[AGRUP. CLAS. PROF.]:[AGRUP. CLAS. PROF.]]=$B81,IF(DATOS_[[Check Periodo Ref.]:[Check Periodo Ref.]]="Dentro",IF(DATOS_[[Check Equiparado]:[Check Equiparado]]="Sí",IF(DATOS!AX$5="Sí",(1/DATOS_[[% anualiz]:[% anualiz]]),1)*IF(DATOS!AX$4="Sí",1/DATOS_[[% normaliz]:[% normaliz]],1)*(DATOS_[Conc.Sal.20])))))))),
0)</f>
        <v>0</v>
      </c>
      <c r="AD82" s="111">
        <f t="array" ref="AD82">IFERROR(
(MEDIAN((IF(DATOS_[[Sexo]:[Sexo]]=$B82,IF(DATOS_[[AGRUP. CLAS. PROF.]:[AGRUP. CLAS. PROF.]]=$B81,IF(DATOS_[[Check Periodo Ref.]:[Check Periodo Ref.]]="Dentro",IF(DATOS_[[Check Equiparado]:[Check Equiparado]]="Sí",IF(DATOS!AY$5="Sí",(1/DATOS_[[% anualiz]:[% anualiz]]),1)*IF(DATOS!AY$4="Sí",1/DATOS_[[% normaliz]:[% normaliz]],1)*(DATOS_[Conc.Sal.21])))))))),
0)</f>
        <v>0</v>
      </c>
      <c r="AE82" s="111">
        <f t="array" ref="AE82">IFERROR(
(MEDIAN((IF(DATOS_[[Sexo]:[Sexo]]=$B82,IF(DATOS_[[AGRUP. CLAS. PROF.]:[AGRUP. CLAS. PROF.]]=$B81,IF(DATOS_[[Check Periodo Ref.]:[Check Periodo Ref.]]="Dentro",IF(DATOS_[[Check Equiparado]:[Check Equiparado]]="Sí",IF(DATOS!AZ$5="Sí",(1/DATOS_[[% anualiz]:[% anualiz]]),1)*IF(DATOS!AZ$4="Sí",1/DATOS_[[% normaliz]:[% normaliz]],1)*(DATOS_[Conc.Sal.22])))))))),
0)</f>
        <v>0</v>
      </c>
      <c r="AF82" s="111">
        <f t="array" ref="AF82">IFERROR(
(MEDIAN((IF(DATOS_[[Sexo]:[Sexo]]=$B82,IF(DATOS_[[AGRUP. CLAS. PROF.]:[AGRUP. CLAS. PROF.]]=$B81,IF(DATOS_[[Check Periodo Ref.]:[Check Periodo Ref.]]="Dentro",IF(DATOS_[[Check Equiparado]:[Check Equiparado]]="Sí",IF(DATOS!BA$5="Sí",(1/DATOS_[[% anualiz]:[% anualiz]]),1)*IF(DATOS!BA$4="Sí",1/DATOS_[[% normaliz]:[% normaliz]],1)*(DATOS_[Conc.Sal.23])))))))),
0)</f>
        <v>0</v>
      </c>
      <c r="AG82" s="111">
        <f t="array" ref="AG82">IFERROR(
(MEDIAN((IF(DATOS_[[Sexo]:[Sexo]]=$B82,IF(DATOS_[[AGRUP. CLAS. PROF.]:[AGRUP. CLAS. PROF.]]=$B81,IF(DATOS_[[Check Periodo Ref.]:[Check Periodo Ref.]]="Dentro",IF(DATOS_[[Check Equiparado]:[Check Equiparado]]="Sí",IF(DATOS!BB$5="Sí",(1/DATOS_[[% anualiz]:[% anualiz]]),1)*IF(DATOS!BB$4="Sí",1/DATOS_[[% normaliz]:[% normaliz]],1)*(DATOS_[Conc.Sal.24])))))))),
0)</f>
        <v>0</v>
      </c>
      <c r="AH82" s="111">
        <f t="array" ref="AH82">IFERROR(
(MEDIAN((IF(DATOS_[[Sexo]:[Sexo]]=$B82,IF(DATOS_[[AGRUP. CLAS. PROF.]:[AGRUP. CLAS. PROF.]]=$B81,IF(DATOS_[[Check Periodo Ref.]:[Check Periodo Ref.]]="Dentro",IF(DATOS_[[Check Equiparado]:[Check Equiparado]]="Sí",IF(DATOS!BC$5="Sí",(1/DATOS_[[% anualiz]:[% anualiz]]),1)*IF(DATOS!BC$4="Sí",1/DATOS_[[% normaliz]:[% normaliz]],1)*(DATOS_[Conc.Sal.25])))))))),
0)</f>
        <v>0</v>
      </c>
      <c r="AI82" s="111">
        <f t="array" ref="AI82">IFERROR(
(MEDIAN((IF(DATOS_[[Sexo]:[Sexo]]=$B82,IF(DATOS_[[AGRUP. CLAS. PROF.]:[AGRUP. CLAS. PROF.]]=$B81,IF(DATOS_[[Check Periodo Ref.]:[Check Periodo Ref.]]="Dentro",IF(DATOS_[[Check Equiparado]:[Check Equiparado]]="Sí",IF(DATOS!BD$5="Sí",(1/DATOS_[[% anualiz]:[% anualiz]]),1)*IF(DATOS!BD$4="Sí",1/DATOS_[[% normaliz]:[% normaliz]],1)*(DATOS_[Conc.Sal.26])))))))),
0)</f>
        <v>0</v>
      </c>
      <c r="AJ82" s="111">
        <f t="array" ref="AJ82">IFERROR(
(MEDIAN((IF(DATOS_[[Sexo]:[Sexo]]=$B82,IF(DATOS_[[AGRUP. CLAS. PROF.]:[AGRUP. CLAS. PROF.]]=$B81,IF(DATOS_[[Check Periodo Ref.]:[Check Periodo Ref.]]="Dentro",IF(DATOS_[[Check Equiparado]:[Check Equiparado]]="Sí",IF(DATOS!BE$5="Sí",(1/DATOS_[[% anualiz]:[% anualiz]]),1)*IF(DATOS!BE$4="Sí",1/DATOS_[[% normaliz]:[% normaliz]],1)*(DATOS_[Conc.Sal.27])))))))),
0)</f>
        <v>0</v>
      </c>
      <c r="AK82" s="111">
        <f t="array" ref="AK82">IFERROR(
(MEDIAN((IF(DATOS_[[Sexo]:[Sexo]]=$B82,IF(DATOS_[[AGRUP. CLAS. PROF.]:[AGRUP. CLAS. PROF.]]=$B81,IF(DATOS_[[Check Periodo Ref.]:[Check Periodo Ref.]]="Dentro",IF(DATOS_[[Check Equiparado]:[Check Equiparado]]="Sí",IF(DATOS!BF$5="Sí",(1/DATOS_[[% anualiz]:[% anualiz]]),1)*IF(DATOS!BF$4="Sí",1/DATOS_[[% normaliz]:[% normaliz]],1)*(DATOS_[Conc.Sal.28])))))))),
0)</f>
        <v>0</v>
      </c>
      <c r="AL82" s="111">
        <f t="array" ref="AL82">IFERROR(
(MEDIAN((IF(DATOS_[[Sexo]:[Sexo]]=$B82,IF(DATOS_[[AGRUP. CLAS. PROF.]:[AGRUP. CLAS. PROF.]]=$B81,IF(DATOS_[[Check Periodo Ref.]:[Check Periodo Ref.]]="Dentro",IF(DATOS_[[Check Equiparado]:[Check Equiparado]]="Sí",IF(DATOS!BG$5="Sí",(1/DATOS_[[% anualiz]:[% anualiz]]),1)*IF(DATOS!BG$4="Sí",1/DATOS_[[% normaliz]:[% normaliz]],1)*(DATOS_[Conc.Sal.29])))))))),
0)</f>
        <v>0</v>
      </c>
      <c r="AM82" s="111">
        <f t="array" ref="AM82">IFERROR(
(MEDIAN((IF(DATOS_[[Sexo]:[Sexo]]=$B82,IF(DATOS_[[AGRUP. CLAS. PROF.]:[AGRUP. CLAS. PROF.]]=$B81,IF(DATOS_[[Check Periodo Ref.]:[Check Periodo Ref.]]="Dentro",IF(DATOS_[[Check Equiparado]:[Check Equiparado]]="Sí",IF(DATOS!BH$5="Sí",(1/DATOS_[[% anualiz]:[% anualiz]]),1)*IF(DATOS!BH$4="Sí",1/DATOS_[[% normaliz]:[% normaliz]],1)*(DATOS_[Conc.Sal.30])))))))),
0)</f>
        <v>0</v>
      </c>
      <c r="AN82" s="112">
        <f t="array" ref="AN82">IFERROR(
MEDIAN(IF(DATOS_[Sexo]=$B82,IF(DATOS_[[AGRUP. CLAS. PROF.]:[AGRUP. CLAS. PROF.]]=$B81,IF(DATOS_[Check Equiparado]="Sí",IF(DATOS_[Check Periodo Ref.]="Dentro",DATOS_[Tot COMPL.SAL Eq],FALSE))))),
0)</f>
        <v>0</v>
      </c>
      <c r="AO82" s="113">
        <f t="array" ref="AO82">IFERROR(
MEDIAN(IF(DATOS_[Sexo]=$B82,IF(DATOS_[[AGRUP. CLAS. PROF.]:[AGRUP. CLAS. PROF.]]=$B81,IF(DATOS_[Check Equiparado]="Sí",IF(DATOS_[Check Periodo Ref.]="Dentro",DATOS_[TOTAL SALARIO Eq],FALSE))))),
0)</f>
        <v>0</v>
      </c>
      <c r="AP82" s="114">
        <f t="array" ref="AP82">IFERROR(
(MEDIAN((IF(DATOS_[[Sexo]:[Sexo]]=$B82,IF(DATOS_[[AGRUP. CLAS. PROF.]:[AGRUP. CLAS. PROF.]]=$B81,IF(DATOS_[[Check Periodo Ref.]:[Check Periodo Ref.]]="Dentro",IF(DATOS_[[Check Equiparado]:[Check Equiparado]]="Sí",IF(DATOS!BI$5="Sí",(1/DATOS_[[% anualiz]:[% anualiz]]),1)*IF(DATOS!BI$4="Sí",1/DATOS_[[% normaliz]:[% normaliz]],1)*(DATOS_[C.Extra.01])))))))),
0)</f>
        <v>0</v>
      </c>
      <c r="AQ82" s="114">
        <f t="array" ref="AQ82">IFERROR(
(MEDIAN((IF(DATOS_[[Sexo]:[Sexo]]=$B82,IF(DATOS_[[AGRUP. CLAS. PROF.]:[AGRUP. CLAS. PROF.]]=$B81,IF(DATOS_[[Check Periodo Ref.]:[Check Periodo Ref.]]="Dentro",IF(DATOS_[[Check Equiparado]:[Check Equiparado]]="Sí",IF(DATOS!BJ$5="Sí",(1/DATOS_[[% anualiz]:[% anualiz]]),1)*IF(DATOS!BJ$4="Sí",1/DATOS_[[% normaliz]:[% normaliz]],1)*(DATOS_[C.Extra.02])))))))),
0)</f>
        <v>0</v>
      </c>
      <c r="AR82" s="114">
        <f t="array" ref="AR82">IFERROR(
(MEDIAN((IF(DATOS_[[Sexo]:[Sexo]]=$B82,IF(DATOS_[[AGRUP. CLAS. PROF.]:[AGRUP. CLAS. PROF.]]=$B81,IF(DATOS_[[Check Periodo Ref.]:[Check Periodo Ref.]]="Dentro",IF(DATOS_[[Check Equiparado]:[Check Equiparado]]="Sí",IF(DATOS!BK$5="Sí",(1/DATOS_[[% anualiz]:[% anualiz]]),1)*IF(DATOS!BK$4="Sí",1/DATOS_[[% normaliz]:[% normaliz]],1)*(DATOS_[C.Extra.03])))))))),
0)</f>
        <v>0</v>
      </c>
      <c r="AS82" s="114">
        <f t="array" ref="AS82">IFERROR(
(MEDIAN((IF(DATOS_[[Sexo]:[Sexo]]=$B82,IF(DATOS_[[AGRUP. CLAS. PROF.]:[AGRUP. CLAS. PROF.]]=$B81,IF(DATOS_[[Check Periodo Ref.]:[Check Periodo Ref.]]="Dentro",IF(DATOS_[[Check Equiparado]:[Check Equiparado]]="Sí",IF(DATOS!BL$5="Sí",(1/DATOS_[[% anualiz]:[% anualiz]]),1)*IF(DATOS!BL$4="Sí",1/DATOS_[[% normaliz]:[% normaliz]],1)*(DATOS_[C.Extra.04])))))))),
0)</f>
        <v>0</v>
      </c>
      <c r="AT82" s="114">
        <f t="array" ref="AT82">IFERROR(
(MEDIAN((IF(DATOS_[[Sexo]:[Sexo]]=$B82,IF(DATOS_[[AGRUP. CLAS. PROF.]:[AGRUP. CLAS. PROF.]]=$B81,IF(DATOS_[[Check Periodo Ref.]:[Check Periodo Ref.]]="Dentro",IF(DATOS_[[Check Equiparado]:[Check Equiparado]]="Sí",IF(DATOS!BM$5="Sí",(1/DATOS_[[% anualiz]:[% anualiz]]),1)*IF(DATOS!BM$4="Sí",1/DATOS_[[% normaliz]:[% normaliz]],1)*(DATOS_[C.Extra.05])))))))),
0)</f>
        <v>0</v>
      </c>
      <c r="AU82" s="115">
        <f t="array" ref="AU82">IFERROR(
MEDIAN(IF(DATOS_[Sexo]=$B82,IF(DATOS_[[AGRUP. CLAS. PROF.]:[AGRUP. CLAS. PROF.]]=$B81,IF(DATOS_[Check Equiparado]="Sí",IF(DATOS_[Check Periodo Ref.]="Dentro",DATOS_[Tot Extrasalarial Eq],FALSE))))),
0)</f>
        <v>0</v>
      </c>
      <c r="AV82" s="116">
        <f t="array" ref="AV82">IFERROR(
MEDIAN(IF(DATOS_[Sexo]=$B82,IF(DATOS_[[AGRUP. CLAS. PROF.]:[AGRUP. CLAS. PROF.]]=$B81,IF(DATOS_[Check Equiparado]="Sí",IF(DATOS_[Check Periodo Ref.]="Dentro",DATOS_[TOTAL Retrib Eq],FALSE))))),
0)</f>
        <v>0</v>
      </c>
    </row>
    <row r="83" spans="1:48" hidden="1" x14ac:dyDescent="0.3">
      <c r="A83" s="42" t="str">
        <f t="shared" ref="A83" si="94">+A82</f>
        <v>[ocultar]</v>
      </c>
      <c r="B83" s="86" t="s">
        <v>163</v>
      </c>
      <c r="C83" s="33">
        <f t="array" ref="C83">SUM(IF($B83=DATOS_[Sexo],
IF($B81=DATOS_[AGRUP. CLAS. PROF.],
IF("Dentro"=DATOS_[Check Periodo Ref.],
1/(COUNTIFS(DATOS_[Sexo],$B83,DATOS_[AGRUP. CLAS. PROF.],$B81,DATOS_[Check Periodo Ref.],"Dentro",DATOS_[id],DATOS_[id]))))))</f>
        <v>0</v>
      </c>
      <c r="D83" s="35">
        <f>COUNTIFS(DATOS_[AGRUP. CLAS. PROF.],$B81,DATOS_[Sexo],$B83,DATOS_[Check Periodo Ref.],"Dentro")</f>
        <v>0</v>
      </c>
      <c r="E83" s="35">
        <f>COUNTIFS(DATOS_[AGRUP. CLAS. PROF.],$B81,DATOS_[Sexo],$B83,DATOS_[Check Periodo Ref.],"Dentro",DATOS_[Check Nº SC Norm],"Sí")</f>
        <v>0</v>
      </c>
      <c r="F83" s="35">
        <f>COUNTIFS(DATOS_[AGRUP. CLAS. PROF.],$B81,DATOS_[Sexo],$B83,DATOS_[Check Periodo Ref.],"Dentro",DATOS_[Check Nº SC Anualiz],"Sí")</f>
        <v>0</v>
      </c>
      <c r="G83" s="35">
        <f>COUNTIFS(DATOS_[AGRUP. CLAS. PROF.],$B81,DATOS_[Sexo],$B83,DATOS_[Check Periodo Ref.],"Dentro",DATOS_[Check Nº SC Norm y Anualiz],"Sí")</f>
        <v>0</v>
      </c>
      <c r="H83" s="35">
        <f>COUNTIFS(DATOS_[AGRUP. CLAS. PROF.],$B81,DATOS_[Sexo],$B83,DATOS_[Check Periodo Ref.],"Dentro",DATOS_[Check Equiparación],"Sí")</f>
        <v>0</v>
      </c>
      <c r="I83" s="110" cm="1">
        <f t="array" ref="I83">IFERROR(
MEDIAN(IF(DATOS_[Sexo]=$B83,IF(DATOS_[[AGRUP. CLAS. PROF.]:[AGRUP. CLAS. PROF.]]=$B81,IF(DATOS_[Check Equiparado]="Sí",IF(DATOS_[Check Periodo Ref.]="Dentro",DATOS_[SALARIO BASE Eq],FALSE))))),
0)</f>
        <v>0</v>
      </c>
      <c r="J83" s="111">
        <f t="array" ref="J83">IFERROR(
(MEDIAN((IF(DATOS_[[Sexo]:[Sexo]]=$B83,IF(DATOS_[[AGRUP. CLAS. PROF.]:[AGRUP. CLAS. PROF.]]=$B81,IF(DATOS_[[Check Periodo Ref.]:[Check Periodo Ref.]]="Dentro",IF(DATOS_[[Check Equiparado]:[Check Equiparado]]="Sí",IF(DATOS!AE$5="Sí",(1/DATOS_[[% anualiz]:[% anualiz]]),1)*IF(DATOS!AE$4="Sí",1/DATOS_[[% normaliz]:[% normaliz]],1)*(DATOS_[Conc.Sal.01])))))))),
0)</f>
        <v>0</v>
      </c>
      <c r="K83" s="111">
        <f t="array" ref="K83">IFERROR(
(MEDIAN((IF(DATOS_[[Sexo]:[Sexo]]=$B83,IF(DATOS_[[AGRUP. CLAS. PROF.]:[AGRUP. CLAS. PROF.]]=$B81,IF(DATOS_[[Check Periodo Ref.]:[Check Periodo Ref.]]="Dentro",IF(DATOS_[[Check Equiparado]:[Check Equiparado]]="Sí",IF(DATOS!AF$5="Sí",(1/DATOS_[[% anualiz]:[% anualiz]]),1)*IF(DATOS!AF$4="Sí",1/DATOS_[[% normaliz]:[% normaliz]],1)*(DATOS_[Conc.Sal.02])))))))),
0)</f>
        <v>0</v>
      </c>
      <c r="L83" s="111">
        <f t="array" ref="L83">IFERROR(
(MEDIAN((IF(DATOS_[[Sexo]:[Sexo]]=$B83,IF(DATOS_[[AGRUP. CLAS. PROF.]:[AGRUP. CLAS. PROF.]]=$B81,IF(DATOS_[[Check Periodo Ref.]:[Check Periodo Ref.]]="Dentro",IF(DATOS_[[Check Equiparado]:[Check Equiparado]]="Sí",IF(DATOS!AG$5="Sí",(1/DATOS_[[% anualiz]:[% anualiz]]),1)*IF(DATOS!AG$4="Sí",1/DATOS_[[% normaliz]:[% normaliz]],1)*(DATOS_[Conc.Sal.03])))))))),
0)</f>
        <v>0</v>
      </c>
      <c r="M83" s="111">
        <f t="array" ref="M83">IFERROR(
(MEDIAN((IF(DATOS_[[Sexo]:[Sexo]]=$B83,IF(DATOS_[[AGRUP. CLAS. PROF.]:[AGRUP. CLAS. PROF.]]=$B81,IF(DATOS_[[Check Periodo Ref.]:[Check Periodo Ref.]]="Dentro",IF(DATOS_[[Check Equiparado]:[Check Equiparado]]="Sí",IF(DATOS!AH$5="Sí",(1/DATOS_[[% anualiz]:[% anualiz]]),1)*IF(DATOS!AH$4="Sí",1/DATOS_[[% normaliz]:[% normaliz]],1)*(DATOS_[Conc.Sal.04])))))))),
0)</f>
        <v>0</v>
      </c>
      <c r="N83" s="111">
        <f t="array" ref="N83">IFERROR(
(MEDIAN((IF(DATOS_[[Sexo]:[Sexo]]=$B83,IF(DATOS_[[AGRUP. CLAS. PROF.]:[AGRUP. CLAS. PROF.]]=$B81,IF(DATOS_[[Check Periodo Ref.]:[Check Periodo Ref.]]="Dentro",IF(DATOS_[[Check Equiparado]:[Check Equiparado]]="Sí",IF(DATOS!AI$5="Sí",(1/DATOS_[[% anualiz]:[% anualiz]]),1)*IF(DATOS!AI$4="Sí",1/DATOS_[[% normaliz]:[% normaliz]],1)*(DATOS_[Conc.Sal.05])))))))),
0)</f>
        <v>0</v>
      </c>
      <c r="O83" s="111">
        <f t="array" ref="O83">IFERROR(
(MEDIAN((IF(DATOS_[[Sexo]:[Sexo]]=$B83,IF(DATOS_[[AGRUP. CLAS. PROF.]:[AGRUP. CLAS. PROF.]]=$B81,IF(DATOS_[[Check Periodo Ref.]:[Check Periodo Ref.]]="Dentro",IF(DATOS_[[Check Equiparado]:[Check Equiparado]]="Sí",IF(DATOS!AJ$5="Sí",(1/DATOS_[[% anualiz]:[% anualiz]]),1)*IF(DATOS!AJ$4="Sí",1/DATOS_[[% normaliz]:[% normaliz]],1)*(DATOS_[Conc.Sal.06])))))))),
0)</f>
        <v>0</v>
      </c>
      <c r="P83" s="111">
        <f t="array" ref="P83">IFERROR(
(MEDIAN((IF(DATOS_[[Sexo]:[Sexo]]=$B83,IF(DATOS_[[AGRUP. CLAS. PROF.]:[AGRUP. CLAS. PROF.]]=$B81,IF(DATOS_[[Check Periodo Ref.]:[Check Periodo Ref.]]="Dentro",IF(DATOS_[[Check Equiparado]:[Check Equiparado]]="Sí",IF(DATOS!AK$5="Sí",(1/DATOS_[[% anualiz]:[% anualiz]]),1)*IF(DATOS!AK$4="Sí",1/DATOS_[[% normaliz]:[% normaliz]],1)*(DATOS_[Conc.Sal.07])))))))),
0)</f>
        <v>0</v>
      </c>
      <c r="Q83" s="111">
        <f t="array" ref="Q83">IFERROR(
(MEDIAN((IF(DATOS_[[Sexo]:[Sexo]]=$B83,IF(DATOS_[[AGRUP. CLAS. PROF.]:[AGRUP. CLAS. PROF.]]=$B81,IF(DATOS_[[Check Periodo Ref.]:[Check Periodo Ref.]]="Dentro",IF(DATOS_[[Check Equiparado]:[Check Equiparado]]="Sí",IF(DATOS!AL$5="Sí",(1/DATOS_[[% anualiz]:[% anualiz]]),1)*IF(DATOS!AL$4="Sí",1/DATOS_[[% normaliz]:[% normaliz]],1)*(DATOS_[Conc.Sal.08])))))))),
0)</f>
        <v>0</v>
      </c>
      <c r="R83" s="111">
        <f t="array" ref="R83">IFERROR(
(MEDIAN((IF(DATOS_[[Sexo]:[Sexo]]=$B83,IF(DATOS_[[AGRUP. CLAS. PROF.]:[AGRUP. CLAS. PROF.]]=$B81,IF(DATOS_[[Check Periodo Ref.]:[Check Periodo Ref.]]="Dentro",IF(DATOS_[[Check Equiparado]:[Check Equiparado]]="Sí",IF(DATOS!AM$5="Sí",(1/DATOS_[[% anualiz]:[% anualiz]]),1)*IF(DATOS!AM$4="Sí",1/DATOS_[[% normaliz]:[% normaliz]],1)*(DATOS_[Conc.Sal.09])))))))),
0)</f>
        <v>0</v>
      </c>
      <c r="S83" s="111">
        <f t="array" ref="S83">IFERROR(
(MEDIAN((IF(DATOS_[[Sexo]:[Sexo]]=$B83,IF(DATOS_[[AGRUP. CLAS. PROF.]:[AGRUP. CLAS. PROF.]]=$B81,IF(DATOS_[[Check Periodo Ref.]:[Check Periodo Ref.]]="Dentro",IF(DATOS_[[Check Equiparado]:[Check Equiparado]]="Sí",IF(DATOS!AN$5="Sí",(1/DATOS_[[% anualiz]:[% anualiz]]),1)*IF(DATOS!AN$4="Sí",1/DATOS_[[% normaliz]:[% normaliz]],1)*(DATOS_[Conc.Sal.10])))))))),
0)</f>
        <v>0</v>
      </c>
      <c r="T83" s="111">
        <f t="array" ref="T83">IFERROR(
(MEDIAN((IF(DATOS_[[Sexo]:[Sexo]]=$B83,IF(DATOS_[[AGRUP. CLAS. PROF.]:[AGRUP. CLAS. PROF.]]=$B81,IF(DATOS_[[Check Periodo Ref.]:[Check Periodo Ref.]]="Dentro",IF(DATOS_[[Check Equiparado]:[Check Equiparado]]="Sí",IF(DATOS!AO$5="Sí",(1/DATOS_[[% anualiz]:[% anualiz]]),1)*IF(DATOS!AO$4="Sí",1/DATOS_[[% normaliz]:[% normaliz]],1)*(DATOS_[Conc.Sal.11])))))))),
0)</f>
        <v>0</v>
      </c>
      <c r="U83" s="111">
        <f t="array" ref="U83">IFERROR(
(MEDIAN((IF(DATOS_[[Sexo]:[Sexo]]=$B83,IF(DATOS_[[AGRUP. CLAS. PROF.]:[AGRUP. CLAS. PROF.]]=$B81,IF(DATOS_[[Check Periodo Ref.]:[Check Periodo Ref.]]="Dentro",IF(DATOS_[[Check Equiparado]:[Check Equiparado]]="Sí",IF(DATOS!AP$5="Sí",(1/DATOS_[[% anualiz]:[% anualiz]]),1)*IF(DATOS!AP$4="Sí",1/DATOS_[[% normaliz]:[% normaliz]],1)*(DATOS_[Conc.Sal.12])))))))),
0)</f>
        <v>0</v>
      </c>
      <c r="V83" s="111">
        <f t="array" ref="V83">IFERROR(
(MEDIAN((IF(DATOS_[[Sexo]:[Sexo]]=$B83,IF(DATOS_[[AGRUP. CLAS. PROF.]:[AGRUP. CLAS. PROF.]]=$B81,IF(DATOS_[[Check Periodo Ref.]:[Check Periodo Ref.]]="Dentro",IF(DATOS_[[Check Equiparado]:[Check Equiparado]]="Sí",IF(DATOS!AQ$5="Sí",(1/DATOS_[[% anualiz]:[% anualiz]]),1)*IF(DATOS!AQ$4="Sí",1/DATOS_[[% normaliz]:[% normaliz]],1)*(DATOS_[Conc.Sal.13])))))))),
0)</f>
        <v>0</v>
      </c>
      <c r="W83" s="111">
        <f t="array" ref="W83">IFERROR(
(MEDIAN((IF(DATOS_[[Sexo]:[Sexo]]=$B83,IF(DATOS_[[AGRUP. CLAS. PROF.]:[AGRUP. CLAS. PROF.]]=$B81,IF(DATOS_[[Check Periodo Ref.]:[Check Periodo Ref.]]="Dentro",IF(DATOS_[[Check Equiparado]:[Check Equiparado]]="Sí",IF(DATOS!AR$5="Sí",(1/DATOS_[[% anualiz]:[% anualiz]]),1)*IF(DATOS!AR$4="Sí",1/DATOS_[[% normaliz]:[% normaliz]],1)*(DATOS_[Conc.Sal.14])))))))),
0)</f>
        <v>0</v>
      </c>
      <c r="X83" s="111">
        <f t="array" ref="X83">IFERROR(
(MEDIAN((IF(DATOS_[[Sexo]:[Sexo]]=$B83,IF(DATOS_[[AGRUP. CLAS. PROF.]:[AGRUP. CLAS. PROF.]]=$B81,IF(DATOS_[[Check Periodo Ref.]:[Check Periodo Ref.]]="Dentro",IF(DATOS_[[Check Equiparado]:[Check Equiparado]]="Sí",IF(DATOS!AS$5="Sí",(1/DATOS_[[% anualiz]:[% anualiz]]),1)*IF(DATOS!AS$4="Sí",1/DATOS_[[% normaliz]:[% normaliz]],1)*(DATOS_[Conc.Sal.15])))))))),
0)</f>
        <v>0</v>
      </c>
      <c r="Y83" s="111">
        <f t="array" ref="Y83">IFERROR(
(MEDIAN((IF(DATOS_[[Sexo]:[Sexo]]=$B83,IF(DATOS_[[AGRUP. CLAS. PROF.]:[AGRUP. CLAS. PROF.]]=$B81,IF(DATOS_[[Check Periodo Ref.]:[Check Periodo Ref.]]="Dentro",IF(DATOS_[[Check Equiparado]:[Check Equiparado]]="Sí",IF(DATOS!AT$5="Sí",(1/DATOS_[[% anualiz]:[% anualiz]]),1)*IF(DATOS!AT$4="Sí",1/DATOS_[[% normaliz]:[% normaliz]],1)*(DATOS_[Conc.Sal.16])))))))),
0)</f>
        <v>0</v>
      </c>
      <c r="Z83" s="111">
        <f t="array" ref="Z83">IFERROR(
(MEDIAN((IF(DATOS_[[Sexo]:[Sexo]]=$B83,IF(DATOS_[[AGRUP. CLAS. PROF.]:[AGRUP. CLAS. PROF.]]=$B81,IF(DATOS_[[Check Periodo Ref.]:[Check Periodo Ref.]]="Dentro",IF(DATOS_[[Check Equiparado]:[Check Equiparado]]="Sí",IF(DATOS!AU$5="Sí",(1/DATOS_[[% anualiz]:[% anualiz]]),1)*IF(DATOS!AU$4="Sí",1/DATOS_[[% normaliz]:[% normaliz]],1)*(DATOS_[Conc.Sal.17])))))))),
0)</f>
        <v>0</v>
      </c>
      <c r="AA83" s="111">
        <f t="array" ref="AA83">IFERROR(
(MEDIAN((IF(DATOS_[[Sexo]:[Sexo]]=$B83,IF(DATOS_[[AGRUP. CLAS. PROF.]:[AGRUP. CLAS. PROF.]]=$B81,IF(DATOS_[[Check Periodo Ref.]:[Check Periodo Ref.]]="Dentro",IF(DATOS_[[Check Equiparado]:[Check Equiparado]]="Sí",IF(DATOS!AV$5="Sí",(1/DATOS_[[% anualiz]:[% anualiz]]),1)*IF(DATOS!AV$4="Sí",1/DATOS_[[% normaliz]:[% normaliz]],1)*(DATOS_[Conc.Sal.18])))))))),
0)</f>
        <v>0</v>
      </c>
      <c r="AB83" s="111">
        <f t="array" ref="AB83">IFERROR(
(MEDIAN((IF(DATOS_[[Sexo]:[Sexo]]=$B83,IF(DATOS_[[AGRUP. CLAS. PROF.]:[AGRUP. CLAS. PROF.]]=$B81,IF(DATOS_[[Check Periodo Ref.]:[Check Periodo Ref.]]="Dentro",IF(DATOS_[[Check Equiparado]:[Check Equiparado]]="Sí",IF(DATOS!AW$5="Sí",(1/DATOS_[[% anualiz]:[% anualiz]]),1)*IF(DATOS!AW$4="Sí",1/DATOS_[[% normaliz]:[% normaliz]],1)*(DATOS_[Conc.Sal.19])))))))),
0)</f>
        <v>0</v>
      </c>
      <c r="AC83" s="111">
        <f t="array" ref="AC83">IFERROR(
(MEDIAN((IF(DATOS_[[Sexo]:[Sexo]]=$B83,IF(DATOS_[[AGRUP. CLAS. PROF.]:[AGRUP. CLAS. PROF.]]=$B81,IF(DATOS_[[Check Periodo Ref.]:[Check Periodo Ref.]]="Dentro",IF(DATOS_[[Check Equiparado]:[Check Equiparado]]="Sí",IF(DATOS!AX$5="Sí",(1/DATOS_[[% anualiz]:[% anualiz]]),1)*IF(DATOS!AX$4="Sí",1/DATOS_[[% normaliz]:[% normaliz]],1)*(DATOS_[Conc.Sal.20])))))))),
0)</f>
        <v>0</v>
      </c>
      <c r="AD83" s="111">
        <f t="array" ref="AD83">IFERROR(
(MEDIAN((IF(DATOS_[[Sexo]:[Sexo]]=$B83,IF(DATOS_[[AGRUP. CLAS. PROF.]:[AGRUP. CLAS. PROF.]]=$B81,IF(DATOS_[[Check Periodo Ref.]:[Check Periodo Ref.]]="Dentro",IF(DATOS_[[Check Equiparado]:[Check Equiparado]]="Sí",IF(DATOS!AY$5="Sí",(1/DATOS_[[% anualiz]:[% anualiz]]),1)*IF(DATOS!AY$4="Sí",1/DATOS_[[% normaliz]:[% normaliz]],1)*(DATOS_[Conc.Sal.21])))))))),
0)</f>
        <v>0</v>
      </c>
      <c r="AE83" s="111">
        <f t="array" ref="AE83">IFERROR(
(MEDIAN((IF(DATOS_[[Sexo]:[Sexo]]=$B83,IF(DATOS_[[AGRUP. CLAS. PROF.]:[AGRUP. CLAS. PROF.]]=$B81,IF(DATOS_[[Check Periodo Ref.]:[Check Periodo Ref.]]="Dentro",IF(DATOS_[[Check Equiparado]:[Check Equiparado]]="Sí",IF(DATOS!AZ$5="Sí",(1/DATOS_[[% anualiz]:[% anualiz]]),1)*IF(DATOS!AZ$4="Sí",1/DATOS_[[% normaliz]:[% normaliz]],1)*(DATOS_[Conc.Sal.22])))))))),
0)</f>
        <v>0</v>
      </c>
      <c r="AF83" s="111">
        <f t="array" ref="AF83">IFERROR(
(MEDIAN((IF(DATOS_[[Sexo]:[Sexo]]=$B83,IF(DATOS_[[AGRUP. CLAS. PROF.]:[AGRUP. CLAS. PROF.]]=$B81,IF(DATOS_[[Check Periodo Ref.]:[Check Periodo Ref.]]="Dentro",IF(DATOS_[[Check Equiparado]:[Check Equiparado]]="Sí",IF(DATOS!BA$5="Sí",(1/DATOS_[[% anualiz]:[% anualiz]]),1)*IF(DATOS!BA$4="Sí",1/DATOS_[[% normaliz]:[% normaliz]],1)*(DATOS_[Conc.Sal.23])))))))),
0)</f>
        <v>0</v>
      </c>
      <c r="AG83" s="111">
        <f t="array" ref="AG83">IFERROR(
(MEDIAN((IF(DATOS_[[Sexo]:[Sexo]]=$B83,IF(DATOS_[[AGRUP. CLAS. PROF.]:[AGRUP. CLAS. PROF.]]=$B81,IF(DATOS_[[Check Periodo Ref.]:[Check Periodo Ref.]]="Dentro",IF(DATOS_[[Check Equiparado]:[Check Equiparado]]="Sí",IF(DATOS!BB$5="Sí",(1/DATOS_[[% anualiz]:[% anualiz]]),1)*IF(DATOS!BB$4="Sí",1/DATOS_[[% normaliz]:[% normaliz]],1)*(DATOS_[Conc.Sal.24])))))))),
0)</f>
        <v>0</v>
      </c>
      <c r="AH83" s="111">
        <f t="array" ref="AH83">IFERROR(
(MEDIAN((IF(DATOS_[[Sexo]:[Sexo]]=$B83,IF(DATOS_[[AGRUP. CLAS. PROF.]:[AGRUP. CLAS. PROF.]]=$B81,IF(DATOS_[[Check Periodo Ref.]:[Check Periodo Ref.]]="Dentro",IF(DATOS_[[Check Equiparado]:[Check Equiparado]]="Sí",IF(DATOS!BC$5="Sí",(1/DATOS_[[% anualiz]:[% anualiz]]),1)*IF(DATOS!BC$4="Sí",1/DATOS_[[% normaliz]:[% normaliz]],1)*(DATOS_[Conc.Sal.25])))))))),
0)</f>
        <v>0</v>
      </c>
      <c r="AI83" s="111">
        <f t="array" ref="AI83">IFERROR(
(MEDIAN((IF(DATOS_[[Sexo]:[Sexo]]=$B83,IF(DATOS_[[AGRUP. CLAS. PROF.]:[AGRUP. CLAS. PROF.]]=$B81,IF(DATOS_[[Check Periodo Ref.]:[Check Periodo Ref.]]="Dentro",IF(DATOS_[[Check Equiparado]:[Check Equiparado]]="Sí",IF(DATOS!BD$5="Sí",(1/DATOS_[[% anualiz]:[% anualiz]]),1)*IF(DATOS!BD$4="Sí",1/DATOS_[[% normaliz]:[% normaliz]],1)*(DATOS_[Conc.Sal.26])))))))),
0)</f>
        <v>0</v>
      </c>
      <c r="AJ83" s="111">
        <f t="array" ref="AJ83">IFERROR(
(MEDIAN((IF(DATOS_[[Sexo]:[Sexo]]=$B83,IF(DATOS_[[AGRUP. CLAS. PROF.]:[AGRUP. CLAS. PROF.]]=$B81,IF(DATOS_[[Check Periodo Ref.]:[Check Periodo Ref.]]="Dentro",IF(DATOS_[[Check Equiparado]:[Check Equiparado]]="Sí",IF(DATOS!BE$5="Sí",(1/DATOS_[[% anualiz]:[% anualiz]]),1)*IF(DATOS!BE$4="Sí",1/DATOS_[[% normaliz]:[% normaliz]],1)*(DATOS_[Conc.Sal.27])))))))),
0)</f>
        <v>0</v>
      </c>
      <c r="AK83" s="111">
        <f t="array" ref="AK83">IFERROR(
(MEDIAN((IF(DATOS_[[Sexo]:[Sexo]]=$B83,IF(DATOS_[[AGRUP. CLAS. PROF.]:[AGRUP. CLAS. PROF.]]=$B81,IF(DATOS_[[Check Periodo Ref.]:[Check Periodo Ref.]]="Dentro",IF(DATOS_[[Check Equiparado]:[Check Equiparado]]="Sí",IF(DATOS!BF$5="Sí",(1/DATOS_[[% anualiz]:[% anualiz]]),1)*IF(DATOS!BF$4="Sí",1/DATOS_[[% normaliz]:[% normaliz]],1)*(DATOS_[Conc.Sal.28])))))))),
0)</f>
        <v>0</v>
      </c>
      <c r="AL83" s="111">
        <f t="array" ref="AL83">IFERROR(
(MEDIAN((IF(DATOS_[[Sexo]:[Sexo]]=$B83,IF(DATOS_[[AGRUP. CLAS. PROF.]:[AGRUP. CLAS. PROF.]]=$B81,IF(DATOS_[[Check Periodo Ref.]:[Check Periodo Ref.]]="Dentro",IF(DATOS_[[Check Equiparado]:[Check Equiparado]]="Sí",IF(DATOS!BG$5="Sí",(1/DATOS_[[% anualiz]:[% anualiz]]),1)*IF(DATOS!BG$4="Sí",1/DATOS_[[% normaliz]:[% normaliz]],1)*(DATOS_[Conc.Sal.29])))))))),
0)</f>
        <v>0</v>
      </c>
      <c r="AM83" s="111">
        <f t="array" ref="AM83">IFERROR(
(MEDIAN((IF(DATOS_[[Sexo]:[Sexo]]=$B83,IF(DATOS_[[AGRUP. CLAS. PROF.]:[AGRUP. CLAS. PROF.]]=$B81,IF(DATOS_[[Check Periodo Ref.]:[Check Periodo Ref.]]="Dentro",IF(DATOS_[[Check Equiparado]:[Check Equiparado]]="Sí",IF(DATOS!BH$5="Sí",(1/DATOS_[[% anualiz]:[% anualiz]]),1)*IF(DATOS!BH$4="Sí",1/DATOS_[[% normaliz]:[% normaliz]],1)*(DATOS_[Conc.Sal.30])))))))),
0)</f>
        <v>0</v>
      </c>
      <c r="AN83" s="112">
        <f t="array" ref="AN83">IFERROR(
MEDIAN(IF(DATOS_[Sexo]=$B83,IF(DATOS_[[AGRUP. CLAS. PROF.]:[AGRUP. CLAS. PROF.]]=$B81,IF(DATOS_[Check Equiparado]="Sí",IF(DATOS_[Check Periodo Ref.]="Dentro",DATOS_[Tot COMPL.SAL Eq],FALSE))))),
0)</f>
        <v>0</v>
      </c>
      <c r="AO83" s="113">
        <f t="array" ref="AO83">IFERROR(
MEDIAN(IF(DATOS_[Sexo]=$B83,IF(DATOS_[[AGRUP. CLAS. PROF.]:[AGRUP. CLAS. PROF.]]=$B81,IF(DATOS_[Check Equiparado]="Sí",IF(DATOS_[Check Periodo Ref.]="Dentro",DATOS_[TOTAL SALARIO Eq],FALSE))))),
0)</f>
        <v>0</v>
      </c>
      <c r="AP83" s="114">
        <f t="array" ref="AP83">IFERROR(
(MEDIAN((IF(DATOS_[[Sexo]:[Sexo]]=$B83,IF(DATOS_[[AGRUP. CLAS. PROF.]:[AGRUP. CLAS. PROF.]]=$B81,IF(DATOS_[[Check Periodo Ref.]:[Check Periodo Ref.]]="Dentro",IF(DATOS_[[Check Equiparado]:[Check Equiparado]]="Sí",IF(DATOS!BI$5="Sí",(1/DATOS_[[% anualiz]:[% anualiz]]),1)*IF(DATOS!BI$4="Sí",1/DATOS_[[% normaliz]:[% normaliz]],1)*(DATOS_[C.Extra.01])))))))),
0)</f>
        <v>0</v>
      </c>
      <c r="AQ83" s="114">
        <f t="array" ref="AQ83">IFERROR(
(MEDIAN((IF(DATOS_[[Sexo]:[Sexo]]=$B83,IF(DATOS_[[AGRUP. CLAS. PROF.]:[AGRUP. CLAS. PROF.]]=$B81,IF(DATOS_[[Check Periodo Ref.]:[Check Periodo Ref.]]="Dentro",IF(DATOS_[[Check Equiparado]:[Check Equiparado]]="Sí",IF(DATOS!BJ$5="Sí",(1/DATOS_[[% anualiz]:[% anualiz]]),1)*IF(DATOS!BJ$4="Sí",1/DATOS_[[% normaliz]:[% normaliz]],1)*(DATOS_[C.Extra.02])))))))),
0)</f>
        <v>0</v>
      </c>
      <c r="AR83" s="114">
        <f t="array" ref="AR83">IFERROR(
(MEDIAN((IF(DATOS_[[Sexo]:[Sexo]]=$B83,IF(DATOS_[[AGRUP. CLAS. PROF.]:[AGRUP. CLAS. PROF.]]=$B81,IF(DATOS_[[Check Periodo Ref.]:[Check Periodo Ref.]]="Dentro",IF(DATOS_[[Check Equiparado]:[Check Equiparado]]="Sí",IF(DATOS!BK$5="Sí",(1/DATOS_[[% anualiz]:[% anualiz]]),1)*IF(DATOS!BK$4="Sí",1/DATOS_[[% normaliz]:[% normaliz]],1)*(DATOS_[C.Extra.03])))))))),
0)</f>
        <v>0</v>
      </c>
      <c r="AS83" s="114">
        <f t="array" ref="AS83">IFERROR(
(MEDIAN((IF(DATOS_[[Sexo]:[Sexo]]=$B83,IF(DATOS_[[AGRUP. CLAS. PROF.]:[AGRUP. CLAS. PROF.]]=$B81,IF(DATOS_[[Check Periodo Ref.]:[Check Periodo Ref.]]="Dentro",IF(DATOS_[[Check Equiparado]:[Check Equiparado]]="Sí",IF(DATOS!BL$5="Sí",(1/DATOS_[[% anualiz]:[% anualiz]]),1)*IF(DATOS!BL$4="Sí",1/DATOS_[[% normaliz]:[% normaliz]],1)*(DATOS_[C.Extra.04])))))))),
0)</f>
        <v>0</v>
      </c>
      <c r="AT83" s="114">
        <f t="array" ref="AT83">IFERROR(
(MEDIAN((IF(DATOS_[[Sexo]:[Sexo]]=$B83,IF(DATOS_[[AGRUP. CLAS. PROF.]:[AGRUP. CLAS. PROF.]]=$B81,IF(DATOS_[[Check Periodo Ref.]:[Check Periodo Ref.]]="Dentro",IF(DATOS_[[Check Equiparado]:[Check Equiparado]]="Sí",IF(DATOS!BM$5="Sí",(1/DATOS_[[% anualiz]:[% anualiz]]),1)*IF(DATOS!BM$4="Sí",1/DATOS_[[% normaliz]:[% normaliz]],1)*(DATOS_[C.Extra.05])))))))),
0)</f>
        <v>0</v>
      </c>
      <c r="AU83" s="115">
        <f t="array" ref="AU83">IFERROR(
MEDIAN(IF(DATOS_[Sexo]=$B83,IF(DATOS_[[AGRUP. CLAS. PROF.]:[AGRUP. CLAS. PROF.]]=$B81,IF(DATOS_[Check Equiparado]="Sí",IF(DATOS_[Check Periodo Ref.]="Dentro",DATOS_[Tot Extrasalarial Eq],FALSE))))),
0)</f>
        <v>0</v>
      </c>
      <c r="AV83" s="116">
        <f t="array" ref="AV83">IFERROR(
MEDIAN(IF(DATOS_[Sexo]=$B83,IF(DATOS_[[AGRUP. CLAS. PROF.]:[AGRUP. CLAS. PROF.]]=$B81,IF(DATOS_[Check Equiparado]="Sí",IF(DATOS_[Check Periodo Ref.]="Dentro",DATOS_[TOTAL Retrib Eq],FALSE))))),
0)</f>
        <v>0</v>
      </c>
    </row>
    <row r="84" spans="1:48" ht="17.25" hidden="1" thickBot="1" x14ac:dyDescent="0.35">
      <c r="A84" s="42" t="str">
        <f t="shared" ref="A84" si="95">+A85</f>
        <v>[ocultar]</v>
      </c>
      <c r="B84" s="90" t="s">
        <v>240</v>
      </c>
      <c r="C84" s="109"/>
      <c r="D84" s="41"/>
      <c r="E84" s="41"/>
      <c r="F84" s="41"/>
      <c r="G84" s="41"/>
      <c r="H84" s="41"/>
      <c r="I84" s="119" t="str">
        <f t="shared" ref="I84:AV84" si="96">IFERROR((I85-I86)/I85,"")</f>
        <v/>
      </c>
      <c r="J84" s="123" t="str">
        <f t="shared" si="96"/>
        <v/>
      </c>
      <c r="K84" s="123" t="str">
        <f t="shared" si="96"/>
        <v/>
      </c>
      <c r="L84" s="123" t="str">
        <f t="shared" si="96"/>
        <v/>
      </c>
      <c r="M84" s="123" t="str">
        <f t="shared" si="96"/>
        <v/>
      </c>
      <c r="N84" s="123" t="str">
        <f t="shared" si="96"/>
        <v/>
      </c>
      <c r="O84" s="123" t="str">
        <f t="shared" si="96"/>
        <v/>
      </c>
      <c r="P84" s="123" t="str">
        <f t="shared" si="96"/>
        <v/>
      </c>
      <c r="Q84" s="123" t="str">
        <f t="shared" si="96"/>
        <v/>
      </c>
      <c r="R84" s="123" t="str">
        <f t="shared" si="96"/>
        <v/>
      </c>
      <c r="S84" s="123" t="str">
        <f t="shared" si="96"/>
        <v/>
      </c>
      <c r="T84" s="123" t="str">
        <f t="shared" si="96"/>
        <v/>
      </c>
      <c r="U84" s="123" t="str">
        <f t="shared" si="96"/>
        <v/>
      </c>
      <c r="V84" s="123" t="str">
        <f t="shared" si="96"/>
        <v/>
      </c>
      <c r="W84" s="123" t="str">
        <f t="shared" si="96"/>
        <v/>
      </c>
      <c r="X84" s="123" t="str">
        <f t="shared" si="96"/>
        <v/>
      </c>
      <c r="Y84" s="123" t="str">
        <f t="shared" si="96"/>
        <v/>
      </c>
      <c r="Z84" s="122" t="str">
        <f t="shared" si="96"/>
        <v/>
      </c>
      <c r="AA84" s="122" t="str">
        <f t="shared" si="96"/>
        <v/>
      </c>
      <c r="AB84" s="122" t="str">
        <f t="shared" si="96"/>
        <v/>
      </c>
      <c r="AC84" s="122" t="str">
        <f t="shared" si="96"/>
        <v/>
      </c>
      <c r="AD84" s="122" t="str">
        <f t="shared" si="96"/>
        <v/>
      </c>
      <c r="AE84" s="122" t="str">
        <f t="shared" si="96"/>
        <v/>
      </c>
      <c r="AF84" s="122" t="str">
        <f t="shared" si="96"/>
        <v/>
      </c>
      <c r="AG84" s="122" t="str">
        <f t="shared" si="96"/>
        <v/>
      </c>
      <c r="AH84" s="122" t="str">
        <f t="shared" si="96"/>
        <v/>
      </c>
      <c r="AI84" s="122" t="str">
        <f t="shared" si="96"/>
        <v/>
      </c>
      <c r="AJ84" s="122" t="str">
        <f t="shared" si="96"/>
        <v/>
      </c>
      <c r="AK84" s="122" t="str">
        <f t="shared" si="96"/>
        <v/>
      </c>
      <c r="AL84" s="122" t="str">
        <f t="shared" si="96"/>
        <v/>
      </c>
      <c r="AM84" s="122" t="str">
        <f t="shared" si="96"/>
        <v/>
      </c>
      <c r="AN84" s="124" t="str">
        <f t="shared" si="96"/>
        <v/>
      </c>
      <c r="AO84" s="128" t="str">
        <f t="shared" si="96"/>
        <v/>
      </c>
      <c r="AP84" s="125" t="str">
        <f t="shared" si="96"/>
        <v/>
      </c>
      <c r="AQ84" s="125" t="str">
        <f t="shared" si="96"/>
        <v/>
      </c>
      <c r="AR84" s="125" t="str">
        <f t="shared" si="96"/>
        <v/>
      </c>
      <c r="AS84" s="125" t="str">
        <f t="shared" si="96"/>
        <v/>
      </c>
      <c r="AT84" s="125" t="str">
        <f t="shared" si="96"/>
        <v/>
      </c>
      <c r="AU84" s="126" t="str">
        <f t="shared" si="96"/>
        <v/>
      </c>
      <c r="AV84" s="127" t="str">
        <f t="shared" si="96"/>
        <v/>
      </c>
    </row>
    <row r="85" spans="1:48" hidden="1" x14ac:dyDescent="0.3">
      <c r="A85" s="42" t="str">
        <f t="shared" ref="A85" si="97">+IF(C85+C86=0,"[ocultar]","")</f>
        <v>[ocultar]</v>
      </c>
      <c r="B85" s="86" t="s">
        <v>162</v>
      </c>
      <c r="C85" s="33">
        <f t="array" ref="C85">SUM(IF($B85=DATOS_[Sexo],
IF($B84=DATOS_[AGRUP. CLAS. PROF.],
IF("Dentro"=DATOS_[Check Periodo Ref.],
1/(COUNTIFS(DATOS_[Sexo],$B85,DATOS_[AGRUP. CLAS. PROF.],$B84,DATOS_[Check Periodo Ref.],"Dentro",DATOS_[id],DATOS_[id]))))))</f>
        <v>0</v>
      </c>
      <c r="D85" s="35">
        <f>COUNTIFS(DATOS_[AGRUP. CLAS. PROF.],$B84,DATOS_[Sexo],$B85,DATOS_[Check Periodo Ref.],"Dentro")</f>
        <v>0</v>
      </c>
      <c r="E85" s="35">
        <f>COUNTIFS(DATOS_[AGRUP. CLAS. PROF.],$B84,DATOS_[Sexo],$B85,DATOS_[Check Periodo Ref.],"Dentro",DATOS_[Check Nº SC Norm],"Sí")</f>
        <v>0</v>
      </c>
      <c r="F85" s="35">
        <f>COUNTIFS(DATOS_[AGRUP. CLAS. PROF.],$B84,DATOS_[Sexo],$B85,DATOS_[Check Periodo Ref.],"Dentro",DATOS_[Check Nº SC Anualiz],"Sí")</f>
        <v>0</v>
      </c>
      <c r="G85" s="35">
        <f>COUNTIFS(DATOS_[AGRUP. CLAS. PROF.],$B84,DATOS_[Sexo],$B85,DATOS_[Check Periodo Ref.],"Dentro",DATOS_[Check Nº SC Norm y Anualiz],"Sí")</f>
        <v>0</v>
      </c>
      <c r="H85" s="35">
        <f>COUNTIFS(DATOS_[AGRUP. CLAS. PROF.],$B84,DATOS_[Sexo],$B85,DATOS_[Check Periodo Ref.],"Dentro",DATOS_[Check Equiparación],"Sí")</f>
        <v>0</v>
      </c>
      <c r="I85" s="110">
        <f t="array" ref="I85">IFERROR(
MEDIAN(IF(DATOS_[Sexo]=$B85,IF(DATOS_[[AGRUP. CLAS. PROF.]:[AGRUP. CLAS. PROF.]]=$B84,IF(DATOS_[Check Equiparado]="Sí",IF(DATOS_[Check Periodo Ref.]="Dentro",DATOS_[SALARIO BASE Eq],FALSE))))),
0)</f>
        <v>0</v>
      </c>
      <c r="J85" s="111">
        <f t="array" ref="J85">IFERROR(
(MEDIAN((IF(DATOS_[[Sexo]:[Sexo]]=$B85,IF(DATOS_[[AGRUP. CLAS. PROF.]:[AGRUP. CLAS. PROF.]]=$B84,IF(DATOS_[[Check Periodo Ref.]:[Check Periodo Ref.]]="Dentro",IF(DATOS_[[Check Equiparado]:[Check Equiparado]]="Sí",IF(DATOS!AE$5="Sí",(1/DATOS_[[% anualiz]:[% anualiz]]),1)*IF(DATOS!AE$4="Sí",1/DATOS_[[% normaliz]:[% normaliz]],1)*(DATOS_[Conc.Sal.01])))))))),
0)</f>
        <v>0</v>
      </c>
      <c r="K85" s="111">
        <f t="array" ref="K85">IFERROR(
(MEDIAN((IF(DATOS_[[Sexo]:[Sexo]]=$B85,IF(DATOS_[[AGRUP. CLAS. PROF.]:[AGRUP. CLAS. PROF.]]=$B84,IF(DATOS_[[Check Periodo Ref.]:[Check Periodo Ref.]]="Dentro",IF(DATOS_[[Check Equiparado]:[Check Equiparado]]="Sí",IF(DATOS!AF$5="Sí",(1/DATOS_[[% anualiz]:[% anualiz]]),1)*IF(DATOS!AF$4="Sí",1/DATOS_[[% normaliz]:[% normaliz]],1)*(DATOS_[Conc.Sal.02])))))))),
0)</f>
        <v>0</v>
      </c>
      <c r="L85" s="111">
        <f t="array" ref="L85">IFERROR(
(MEDIAN((IF(DATOS_[[Sexo]:[Sexo]]=$B85,IF(DATOS_[[AGRUP. CLAS. PROF.]:[AGRUP. CLAS. PROF.]]=$B84,IF(DATOS_[[Check Periodo Ref.]:[Check Periodo Ref.]]="Dentro",IF(DATOS_[[Check Equiparado]:[Check Equiparado]]="Sí",IF(DATOS!AG$5="Sí",(1/DATOS_[[% anualiz]:[% anualiz]]),1)*IF(DATOS!AG$4="Sí",1/DATOS_[[% normaliz]:[% normaliz]],1)*(DATOS_[Conc.Sal.03])))))))),
0)</f>
        <v>0</v>
      </c>
      <c r="M85" s="111">
        <f t="array" ref="M85">IFERROR(
(MEDIAN((IF(DATOS_[[Sexo]:[Sexo]]=$B85,IF(DATOS_[[AGRUP. CLAS. PROF.]:[AGRUP. CLAS. PROF.]]=$B84,IF(DATOS_[[Check Periodo Ref.]:[Check Periodo Ref.]]="Dentro",IF(DATOS_[[Check Equiparado]:[Check Equiparado]]="Sí",IF(DATOS!AH$5="Sí",(1/DATOS_[[% anualiz]:[% anualiz]]),1)*IF(DATOS!AH$4="Sí",1/DATOS_[[% normaliz]:[% normaliz]],1)*(DATOS_[Conc.Sal.04])))))))),
0)</f>
        <v>0</v>
      </c>
      <c r="N85" s="111">
        <f t="array" ref="N85">IFERROR(
(MEDIAN((IF(DATOS_[[Sexo]:[Sexo]]=$B85,IF(DATOS_[[AGRUP. CLAS. PROF.]:[AGRUP. CLAS. PROF.]]=$B84,IF(DATOS_[[Check Periodo Ref.]:[Check Periodo Ref.]]="Dentro",IF(DATOS_[[Check Equiparado]:[Check Equiparado]]="Sí",IF(DATOS!AI$5="Sí",(1/DATOS_[[% anualiz]:[% anualiz]]),1)*IF(DATOS!AI$4="Sí",1/DATOS_[[% normaliz]:[% normaliz]],1)*(DATOS_[Conc.Sal.05])))))))),
0)</f>
        <v>0</v>
      </c>
      <c r="O85" s="111">
        <f t="array" ref="O85">IFERROR(
(MEDIAN((IF(DATOS_[[Sexo]:[Sexo]]=$B85,IF(DATOS_[[AGRUP. CLAS. PROF.]:[AGRUP. CLAS. PROF.]]=$B84,IF(DATOS_[[Check Periodo Ref.]:[Check Periodo Ref.]]="Dentro",IF(DATOS_[[Check Equiparado]:[Check Equiparado]]="Sí",IF(DATOS!AJ$5="Sí",(1/DATOS_[[% anualiz]:[% anualiz]]),1)*IF(DATOS!AJ$4="Sí",1/DATOS_[[% normaliz]:[% normaliz]],1)*(DATOS_[Conc.Sal.06])))))))),
0)</f>
        <v>0</v>
      </c>
      <c r="P85" s="111">
        <f t="array" ref="P85">IFERROR(
(MEDIAN((IF(DATOS_[[Sexo]:[Sexo]]=$B85,IF(DATOS_[[AGRUP. CLAS. PROF.]:[AGRUP. CLAS. PROF.]]=$B84,IF(DATOS_[[Check Periodo Ref.]:[Check Periodo Ref.]]="Dentro",IF(DATOS_[[Check Equiparado]:[Check Equiparado]]="Sí",IF(DATOS!AK$5="Sí",(1/DATOS_[[% anualiz]:[% anualiz]]),1)*IF(DATOS!AK$4="Sí",1/DATOS_[[% normaliz]:[% normaliz]],1)*(DATOS_[Conc.Sal.07])))))))),
0)</f>
        <v>0</v>
      </c>
      <c r="Q85" s="111">
        <f t="array" ref="Q85">IFERROR(
(MEDIAN((IF(DATOS_[[Sexo]:[Sexo]]=$B85,IF(DATOS_[[AGRUP. CLAS. PROF.]:[AGRUP. CLAS. PROF.]]=$B84,IF(DATOS_[[Check Periodo Ref.]:[Check Periodo Ref.]]="Dentro",IF(DATOS_[[Check Equiparado]:[Check Equiparado]]="Sí",IF(DATOS!AL$5="Sí",(1/DATOS_[[% anualiz]:[% anualiz]]),1)*IF(DATOS!AL$4="Sí",1/DATOS_[[% normaliz]:[% normaliz]],1)*(DATOS_[Conc.Sal.08])))))))),
0)</f>
        <v>0</v>
      </c>
      <c r="R85" s="111">
        <f t="array" ref="R85">IFERROR(
(MEDIAN((IF(DATOS_[[Sexo]:[Sexo]]=$B85,IF(DATOS_[[AGRUP. CLAS. PROF.]:[AGRUP. CLAS. PROF.]]=$B84,IF(DATOS_[[Check Periodo Ref.]:[Check Periodo Ref.]]="Dentro",IF(DATOS_[[Check Equiparado]:[Check Equiparado]]="Sí",IF(DATOS!AM$5="Sí",(1/DATOS_[[% anualiz]:[% anualiz]]),1)*IF(DATOS!AM$4="Sí",1/DATOS_[[% normaliz]:[% normaliz]],1)*(DATOS_[Conc.Sal.09])))))))),
0)</f>
        <v>0</v>
      </c>
      <c r="S85" s="111">
        <f t="array" ref="S85">IFERROR(
(MEDIAN((IF(DATOS_[[Sexo]:[Sexo]]=$B85,IF(DATOS_[[AGRUP. CLAS. PROF.]:[AGRUP. CLAS. PROF.]]=$B84,IF(DATOS_[[Check Periodo Ref.]:[Check Periodo Ref.]]="Dentro",IF(DATOS_[[Check Equiparado]:[Check Equiparado]]="Sí",IF(DATOS!AN$5="Sí",(1/DATOS_[[% anualiz]:[% anualiz]]),1)*IF(DATOS!AN$4="Sí",1/DATOS_[[% normaliz]:[% normaliz]],1)*(DATOS_[Conc.Sal.10])))))))),
0)</f>
        <v>0</v>
      </c>
      <c r="T85" s="111">
        <f t="array" ref="T85">IFERROR(
(MEDIAN((IF(DATOS_[[Sexo]:[Sexo]]=$B85,IF(DATOS_[[AGRUP. CLAS. PROF.]:[AGRUP. CLAS. PROF.]]=$B84,IF(DATOS_[[Check Periodo Ref.]:[Check Periodo Ref.]]="Dentro",IF(DATOS_[[Check Equiparado]:[Check Equiparado]]="Sí",IF(DATOS!AO$5="Sí",(1/DATOS_[[% anualiz]:[% anualiz]]),1)*IF(DATOS!AO$4="Sí",1/DATOS_[[% normaliz]:[% normaliz]],1)*(DATOS_[Conc.Sal.11])))))))),
0)</f>
        <v>0</v>
      </c>
      <c r="U85" s="111">
        <f t="array" ref="U85">IFERROR(
(MEDIAN((IF(DATOS_[[Sexo]:[Sexo]]=$B85,IF(DATOS_[[AGRUP. CLAS. PROF.]:[AGRUP. CLAS. PROF.]]=$B84,IF(DATOS_[[Check Periodo Ref.]:[Check Periodo Ref.]]="Dentro",IF(DATOS_[[Check Equiparado]:[Check Equiparado]]="Sí",IF(DATOS!AP$5="Sí",(1/DATOS_[[% anualiz]:[% anualiz]]),1)*IF(DATOS!AP$4="Sí",1/DATOS_[[% normaliz]:[% normaliz]],1)*(DATOS_[Conc.Sal.12])))))))),
0)</f>
        <v>0</v>
      </c>
      <c r="V85" s="111">
        <f t="array" ref="V85">IFERROR(
(MEDIAN((IF(DATOS_[[Sexo]:[Sexo]]=$B85,IF(DATOS_[[AGRUP. CLAS. PROF.]:[AGRUP. CLAS. PROF.]]=$B84,IF(DATOS_[[Check Periodo Ref.]:[Check Periodo Ref.]]="Dentro",IF(DATOS_[[Check Equiparado]:[Check Equiparado]]="Sí",IF(DATOS!AQ$5="Sí",(1/DATOS_[[% anualiz]:[% anualiz]]),1)*IF(DATOS!AQ$4="Sí",1/DATOS_[[% normaliz]:[% normaliz]],1)*(DATOS_[Conc.Sal.13])))))))),
0)</f>
        <v>0</v>
      </c>
      <c r="W85" s="111">
        <f t="array" ref="W85">IFERROR(
(MEDIAN((IF(DATOS_[[Sexo]:[Sexo]]=$B85,IF(DATOS_[[AGRUP. CLAS. PROF.]:[AGRUP. CLAS. PROF.]]=$B84,IF(DATOS_[[Check Periodo Ref.]:[Check Periodo Ref.]]="Dentro",IF(DATOS_[[Check Equiparado]:[Check Equiparado]]="Sí",IF(DATOS!AR$5="Sí",(1/DATOS_[[% anualiz]:[% anualiz]]),1)*IF(DATOS!AR$4="Sí",1/DATOS_[[% normaliz]:[% normaliz]],1)*(DATOS_[Conc.Sal.14])))))))),
0)</f>
        <v>0</v>
      </c>
      <c r="X85" s="111">
        <f t="array" ref="X85">IFERROR(
(MEDIAN((IF(DATOS_[[Sexo]:[Sexo]]=$B85,IF(DATOS_[[AGRUP. CLAS. PROF.]:[AGRUP. CLAS. PROF.]]=$B84,IF(DATOS_[[Check Periodo Ref.]:[Check Periodo Ref.]]="Dentro",IF(DATOS_[[Check Equiparado]:[Check Equiparado]]="Sí",IF(DATOS!AS$5="Sí",(1/DATOS_[[% anualiz]:[% anualiz]]),1)*IF(DATOS!AS$4="Sí",1/DATOS_[[% normaliz]:[% normaliz]],1)*(DATOS_[Conc.Sal.15])))))))),
0)</f>
        <v>0</v>
      </c>
      <c r="Y85" s="111">
        <f t="array" ref="Y85">IFERROR(
(MEDIAN((IF(DATOS_[[Sexo]:[Sexo]]=$B85,IF(DATOS_[[AGRUP. CLAS. PROF.]:[AGRUP. CLAS. PROF.]]=$B84,IF(DATOS_[[Check Periodo Ref.]:[Check Periodo Ref.]]="Dentro",IF(DATOS_[[Check Equiparado]:[Check Equiparado]]="Sí",IF(DATOS!AT$5="Sí",(1/DATOS_[[% anualiz]:[% anualiz]]),1)*IF(DATOS!AT$4="Sí",1/DATOS_[[% normaliz]:[% normaliz]],1)*(DATOS_[Conc.Sal.16])))))))),
0)</f>
        <v>0</v>
      </c>
      <c r="Z85" s="111">
        <f t="array" ref="Z85">IFERROR(
(MEDIAN((IF(DATOS_[[Sexo]:[Sexo]]=$B85,IF(DATOS_[[AGRUP. CLAS. PROF.]:[AGRUP. CLAS. PROF.]]=$B84,IF(DATOS_[[Check Periodo Ref.]:[Check Periodo Ref.]]="Dentro",IF(DATOS_[[Check Equiparado]:[Check Equiparado]]="Sí",IF(DATOS!AU$5="Sí",(1/DATOS_[[% anualiz]:[% anualiz]]),1)*IF(DATOS!AU$4="Sí",1/DATOS_[[% normaliz]:[% normaliz]],1)*(DATOS_[Conc.Sal.17])))))))),
0)</f>
        <v>0</v>
      </c>
      <c r="AA85" s="111">
        <f t="array" ref="AA85">IFERROR(
(MEDIAN((IF(DATOS_[[Sexo]:[Sexo]]=$B85,IF(DATOS_[[AGRUP. CLAS. PROF.]:[AGRUP. CLAS. PROF.]]=$B84,IF(DATOS_[[Check Periodo Ref.]:[Check Periodo Ref.]]="Dentro",IF(DATOS_[[Check Equiparado]:[Check Equiparado]]="Sí",IF(DATOS!AV$5="Sí",(1/DATOS_[[% anualiz]:[% anualiz]]),1)*IF(DATOS!AV$4="Sí",1/DATOS_[[% normaliz]:[% normaliz]],1)*(DATOS_[Conc.Sal.18])))))))),
0)</f>
        <v>0</v>
      </c>
      <c r="AB85" s="111">
        <f t="array" ref="AB85">IFERROR(
(MEDIAN((IF(DATOS_[[Sexo]:[Sexo]]=$B85,IF(DATOS_[[AGRUP. CLAS. PROF.]:[AGRUP. CLAS. PROF.]]=$B84,IF(DATOS_[[Check Periodo Ref.]:[Check Periodo Ref.]]="Dentro",IF(DATOS_[[Check Equiparado]:[Check Equiparado]]="Sí",IF(DATOS!AW$5="Sí",(1/DATOS_[[% anualiz]:[% anualiz]]),1)*IF(DATOS!AW$4="Sí",1/DATOS_[[% normaliz]:[% normaliz]],1)*(DATOS_[Conc.Sal.19])))))))),
0)</f>
        <v>0</v>
      </c>
      <c r="AC85" s="111">
        <f t="array" ref="AC85">IFERROR(
(MEDIAN((IF(DATOS_[[Sexo]:[Sexo]]=$B85,IF(DATOS_[[AGRUP. CLAS. PROF.]:[AGRUP. CLAS. PROF.]]=$B84,IF(DATOS_[[Check Periodo Ref.]:[Check Periodo Ref.]]="Dentro",IF(DATOS_[[Check Equiparado]:[Check Equiparado]]="Sí",IF(DATOS!AX$5="Sí",(1/DATOS_[[% anualiz]:[% anualiz]]),1)*IF(DATOS!AX$4="Sí",1/DATOS_[[% normaliz]:[% normaliz]],1)*(DATOS_[Conc.Sal.20])))))))),
0)</f>
        <v>0</v>
      </c>
      <c r="AD85" s="111">
        <f t="array" ref="AD85">IFERROR(
(MEDIAN((IF(DATOS_[[Sexo]:[Sexo]]=$B85,IF(DATOS_[[AGRUP. CLAS. PROF.]:[AGRUP. CLAS. PROF.]]=$B84,IF(DATOS_[[Check Periodo Ref.]:[Check Periodo Ref.]]="Dentro",IF(DATOS_[[Check Equiparado]:[Check Equiparado]]="Sí",IF(DATOS!AY$5="Sí",(1/DATOS_[[% anualiz]:[% anualiz]]),1)*IF(DATOS!AY$4="Sí",1/DATOS_[[% normaliz]:[% normaliz]],1)*(DATOS_[Conc.Sal.21])))))))),
0)</f>
        <v>0</v>
      </c>
      <c r="AE85" s="111">
        <f t="array" ref="AE85">IFERROR(
(MEDIAN((IF(DATOS_[[Sexo]:[Sexo]]=$B85,IF(DATOS_[[AGRUP. CLAS. PROF.]:[AGRUP. CLAS. PROF.]]=$B84,IF(DATOS_[[Check Periodo Ref.]:[Check Periodo Ref.]]="Dentro",IF(DATOS_[[Check Equiparado]:[Check Equiparado]]="Sí",IF(DATOS!AZ$5="Sí",(1/DATOS_[[% anualiz]:[% anualiz]]),1)*IF(DATOS!AZ$4="Sí",1/DATOS_[[% normaliz]:[% normaliz]],1)*(DATOS_[Conc.Sal.22])))))))),
0)</f>
        <v>0</v>
      </c>
      <c r="AF85" s="111">
        <f t="array" ref="AF85">IFERROR(
(MEDIAN((IF(DATOS_[[Sexo]:[Sexo]]=$B85,IF(DATOS_[[AGRUP. CLAS. PROF.]:[AGRUP. CLAS. PROF.]]=$B84,IF(DATOS_[[Check Periodo Ref.]:[Check Periodo Ref.]]="Dentro",IF(DATOS_[[Check Equiparado]:[Check Equiparado]]="Sí",IF(DATOS!BA$5="Sí",(1/DATOS_[[% anualiz]:[% anualiz]]),1)*IF(DATOS!BA$4="Sí",1/DATOS_[[% normaliz]:[% normaliz]],1)*(DATOS_[Conc.Sal.23])))))))),
0)</f>
        <v>0</v>
      </c>
      <c r="AG85" s="111">
        <f t="array" ref="AG85">IFERROR(
(MEDIAN((IF(DATOS_[[Sexo]:[Sexo]]=$B85,IF(DATOS_[[AGRUP. CLAS. PROF.]:[AGRUP. CLAS. PROF.]]=$B84,IF(DATOS_[[Check Periodo Ref.]:[Check Periodo Ref.]]="Dentro",IF(DATOS_[[Check Equiparado]:[Check Equiparado]]="Sí",IF(DATOS!BB$5="Sí",(1/DATOS_[[% anualiz]:[% anualiz]]),1)*IF(DATOS!BB$4="Sí",1/DATOS_[[% normaliz]:[% normaliz]],1)*(DATOS_[Conc.Sal.24])))))))),
0)</f>
        <v>0</v>
      </c>
      <c r="AH85" s="111">
        <f t="array" ref="AH85">IFERROR(
(MEDIAN((IF(DATOS_[[Sexo]:[Sexo]]=$B85,IF(DATOS_[[AGRUP. CLAS. PROF.]:[AGRUP. CLAS. PROF.]]=$B84,IF(DATOS_[[Check Periodo Ref.]:[Check Periodo Ref.]]="Dentro",IF(DATOS_[[Check Equiparado]:[Check Equiparado]]="Sí",IF(DATOS!BC$5="Sí",(1/DATOS_[[% anualiz]:[% anualiz]]),1)*IF(DATOS!BC$4="Sí",1/DATOS_[[% normaliz]:[% normaliz]],1)*(DATOS_[Conc.Sal.25])))))))),
0)</f>
        <v>0</v>
      </c>
      <c r="AI85" s="111">
        <f t="array" ref="AI85">IFERROR(
(MEDIAN((IF(DATOS_[[Sexo]:[Sexo]]=$B85,IF(DATOS_[[AGRUP. CLAS. PROF.]:[AGRUP. CLAS. PROF.]]=$B84,IF(DATOS_[[Check Periodo Ref.]:[Check Periodo Ref.]]="Dentro",IF(DATOS_[[Check Equiparado]:[Check Equiparado]]="Sí",IF(DATOS!BD$5="Sí",(1/DATOS_[[% anualiz]:[% anualiz]]),1)*IF(DATOS!BD$4="Sí",1/DATOS_[[% normaliz]:[% normaliz]],1)*(DATOS_[Conc.Sal.26])))))))),
0)</f>
        <v>0</v>
      </c>
      <c r="AJ85" s="111">
        <f t="array" ref="AJ85">IFERROR(
(MEDIAN((IF(DATOS_[[Sexo]:[Sexo]]=$B85,IF(DATOS_[[AGRUP. CLAS. PROF.]:[AGRUP. CLAS. PROF.]]=$B84,IF(DATOS_[[Check Periodo Ref.]:[Check Periodo Ref.]]="Dentro",IF(DATOS_[[Check Equiparado]:[Check Equiparado]]="Sí",IF(DATOS!BE$5="Sí",(1/DATOS_[[% anualiz]:[% anualiz]]),1)*IF(DATOS!BE$4="Sí",1/DATOS_[[% normaliz]:[% normaliz]],1)*(DATOS_[Conc.Sal.27])))))))),
0)</f>
        <v>0</v>
      </c>
      <c r="AK85" s="111">
        <f t="array" ref="AK85">IFERROR(
(MEDIAN((IF(DATOS_[[Sexo]:[Sexo]]=$B85,IF(DATOS_[[AGRUP. CLAS. PROF.]:[AGRUP. CLAS. PROF.]]=$B84,IF(DATOS_[[Check Periodo Ref.]:[Check Periodo Ref.]]="Dentro",IF(DATOS_[[Check Equiparado]:[Check Equiparado]]="Sí",IF(DATOS!BF$5="Sí",(1/DATOS_[[% anualiz]:[% anualiz]]),1)*IF(DATOS!BF$4="Sí",1/DATOS_[[% normaliz]:[% normaliz]],1)*(DATOS_[Conc.Sal.28])))))))),
0)</f>
        <v>0</v>
      </c>
      <c r="AL85" s="111">
        <f t="array" ref="AL85">IFERROR(
(MEDIAN((IF(DATOS_[[Sexo]:[Sexo]]=$B85,IF(DATOS_[[AGRUP. CLAS. PROF.]:[AGRUP. CLAS. PROF.]]=$B84,IF(DATOS_[[Check Periodo Ref.]:[Check Periodo Ref.]]="Dentro",IF(DATOS_[[Check Equiparado]:[Check Equiparado]]="Sí",IF(DATOS!BG$5="Sí",(1/DATOS_[[% anualiz]:[% anualiz]]),1)*IF(DATOS!BG$4="Sí",1/DATOS_[[% normaliz]:[% normaliz]],1)*(DATOS_[Conc.Sal.29])))))))),
0)</f>
        <v>0</v>
      </c>
      <c r="AM85" s="111">
        <f t="array" ref="AM85">IFERROR(
(MEDIAN((IF(DATOS_[[Sexo]:[Sexo]]=$B85,IF(DATOS_[[AGRUP. CLAS. PROF.]:[AGRUP. CLAS. PROF.]]=$B84,IF(DATOS_[[Check Periodo Ref.]:[Check Periodo Ref.]]="Dentro",IF(DATOS_[[Check Equiparado]:[Check Equiparado]]="Sí",IF(DATOS!BH$5="Sí",(1/DATOS_[[% anualiz]:[% anualiz]]),1)*IF(DATOS!BH$4="Sí",1/DATOS_[[% normaliz]:[% normaliz]],1)*(DATOS_[Conc.Sal.30])))))))),
0)</f>
        <v>0</v>
      </c>
      <c r="AN85" s="112">
        <f t="array" ref="AN85">IFERROR(
MEDIAN(IF(DATOS_[Sexo]=$B85,IF(DATOS_[[AGRUP. CLAS. PROF.]:[AGRUP. CLAS. PROF.]]=$B84,IF(DATOS_[Check Equiparado]="Sí",IF(DATOS_[Check Periodo Ref.]="Dentro",DATOS_[Tot COMPL.SAL Eq],FALSE))))),
0)</f>
        <v>0</v>
      </c>
      <c r="AO85" s="113">
        <f t="array" ref="AO85">IFERROR(
MEDIAN(IF(DATOS_[Sexo]=$B85,IF(DATOS_[[AGRUP. CLAS. PROF.]:[AGRUP. CLAS. PROF.]]=$B84,IF(DATOS_[Check Equiparado]="Sí",IF(DATOS_[Check Periodo Ref.]="Dentro",DATOS_[TOTAL SALARIO Eq],FALSE))))),
0)</f>
        <v>0</v>
      </c>
      <c r="AP85" s="114">
        <f t="array" ref="AP85">IFERROR(
(MEDIAN((IF(DATOS_[[Sexo]:[Sexo]]=$B85,IF(DATOS_[[AGRUP. CLAS. PROF.]:[AGRUP. CLAS. PROF.]]=$B84,IF(DATOS_[[Check Periodo Ref.]:[Check Periodo Ref.]]="Dentro",IF(DATOS_[[Check Equiparado]:[Check Equiparado]]="Sí",IF(DATOS!BI$5="Sí",(1/DATOS_[[% anualiz]:[% anualiz]]),1)*IF(DATOS!BI$4="Sí",1/DATOS_[[% normaliz]:[% normaliz]],1)*(DATOS_[C.Extra.01])))))))),
0)</f>
        <v>0</v>
      </c>
      <c r="AQ85" s="114">
        <f t="array" ref="AQ85">IFERROR(
(MEDIAN((IF(DATOS_[[Sexo]:[Sexo]]=$B85,IF(DATOS_[[AGRUP. CLAS. PROF.]:[AGRUP. CLAS. PROF.]]=$B84,IF(DATOS_[[Check Periodo Ref.]:[Check Periodo Ref.]]="Dentro",IF(DATOS_[[Check Equiparado]:[Check Equiparado]]="Sí",IF(DATOS!BJ$5="Sí",(1/DATOS_[[% anualiz]:[% anualiz]]),1)*IF(DATOS!BJ$4="Sí",1/DATOS_[[% normaliz]:[% normaliz]],1)*(DATOS_[C.Extra.02])))))))),
0)</f>
        <v>0</v>
      </c>
      <c r="AR85" s="114">
        <f t="array" ref="AR85">IFERROR(
(MEDIAN((IF(DATOS_[[Sexo]:[Sexo]]=$B85,IF(DATOS_[[AGRUP. CLAS. PROF.]:[AGRUP. CLAS. PROF.]]=$B84,IF(DATOS_[[Check Periodo Ref.]:[Check Periodo Ref.]]="Dentro",IF(DATOS_[[Check Equiparado]:[Check Equiparado]]="Sí",IF(DATOS!BK$5="Sí",(1/DATOS_[[% anualiz]:[% anualiz]]),1)*IF(DATOS!BK$4="Sí",1/DATOS_[[% normaliz]:[% normaliz]],1)*(DATOS_[C.Extra.03])))))))),
0)</f>
        <v>0</v>
      </c>
      <c r="AS85" s="114">
        <f t="array" ref="AS85">IFERROR(
(MEDIAN((IF(DATOS_[[Sexo]:[Sexo]]=$B85,IF(DATOS_[[AGRUP. CLAS. PROF.]:[AGRUP. CLAS. PROF.]]=$B84,IF(DATOS_[[Check Periodo Ref.]:[Check Periodo Ref.]]="Dentro",IF(DATOS_[[Check Equiparado]:[Check Equiparado]]="Sí",IF(DATOS!BL$5="Sí",(1/DATOS_[[% anualiz]:[% anualiz]]),1)*IF(DATOS!BL$4="Sí",1/DATOS_[[% normaliz]:[% normaliz]],1)*(DATOS_[C.Extra.04])))))))),
0)</f>
        <v>0</v>
      </c>
      <c r="AT85" s="114">
        <f t="array" ref="AT85">IFERROR(
(MEDIAN((IF(DATOS_[[Sexo]:[Sexo]]=$B85,IF(DATOS_[[AGRUP. CLAS. PROF.]:[AGRUP. CLAS. PROF.]]=$B84,IF(DATOS_[[Check Periodo Ref.]:[Check Periodo Ref.]]="Dentro",IF(DATOS_[[Check Equiparado]:[Check Equiparado]]="Sí",IF(DATOS!BM$5="Sí",(1/DATOS_[[% anualiz]:[% anualiz]]),1)*IF(DATOS!BM$4="Sí",1/DATOS_[[% normaliz]:[% normaliz]],1)*(DATOS_[C.Extra.05])))))))),
0)</f>
        <v>0</v>
      </c>
      <c r="AU85" s="115">
        <f t="array" ref="AU85">IFERROR(
MEDIAN(IF(DATOS_[Sexo]=$B85,IF(DATOS_[[AGRUP. CLAS. PROF.]:[AGRUP. CLAS. PROF.]]=$B84,IF(DATOS_[Check Equiparado]="Sí",IF(DATOS_[Check Periodo Ref.]="Dentro",DATOS_[Tot Extrasalarial Eq],FALSE))))),
0)</f>
        <v>0</v>
      </c>
      <c r="AV85" s="116">
        <f t="array" ref="AV85">IFERROR(
MEDIAN(IF(DATOS_[Sexo]=$B85,IF(DATOS_[[AGRUP. CLAS. PROF.]:[AGRUP. CLAS. PROF.]]=$B84,IF(DATOS_[Check Equiparado]="Sí",IF(DATOS_[Check Periodo Ref.]="Dentro",DATOS_[TOTAL Retrib Eq],FALSE))))),
0)</f>
        <v>0</v>
      </c>
    </row>
    <row r="86" spans="1:48" hidden="1" x14ac:dyDescent="0.3">
      <c r="A86" s="42" t="str">
        <f t="shared" ref="A86" si="98">+A85</f>
        <v>[ocultar]</v>
      </c>
      <c r="B86" s="86" t="s">
        <v>163</v>
      </c>
      <c r="C86" s="33">
        <f t="array" ref="C86">SUM(IF($B86=DATOS_[Sexo],
IF($B84=DATOS_[AGRUP. CLAS. PROF.],
IF("Dentro"=DATOS_[Check Periodo Ref.],
1/(COUNTIFS(DATOS_[Sexo],$B86,DATOS_[AGRUP. CLAS. PROF.],$B84,DATOS_[Check Periodo Ref.],"Dentro",DATOS_[id],DATOS_[id]))))))</f>
        <v>0</v>
      </c>
      <c r="D86" s="35">
        <f>COUNTIFS(DATOS_[AGRUP. CLAS. PROF.],$B84,DATOS_[Sexo],$B86,DATOS_[Check Periodo Ref.],"Dentro")</f>
        <v>0</v>
      </c>
      <c r="E86" s="35">
        <f>COUNTIFS(DATOS_[AGRUP. CLAS. PROF.],$B84,DATOS_[Sexo],$B86,DATOS_[Check Periodo Ref.],"Dentro",DATOS_[Check Nº SC Norm],"Sí")</f>
        <v>0</v>
      </c>
      <c r="F86" s="35">
        <f>COUNTIFS(DATOS_[AGRUP. CLAS. PROF.],$B84,DATOS_[Sexo],$B86,DATOS_[Check Periodo Ref.],"Dentro",DATOS_[Check Nº SC Anualiz],"Sí")</f>
        <v>0</v>
      </c>
      <c r="G86" s="35">
        <f>COUNTIFS(DATOS_[AGRUP. CLAS. PROF.],$B84,DATOS_[Sexo],$B86,DATOS_[Check Periodo Ref.],"Dentro",DATOS_[Check Nº SC Norm y Anualiz],"Sí")</f>
        <v>0</v>
      </c>
      <c r="H86" s="35">
        <f>COUNTIFS(DATOS_[AGRUP. CLAS. PROF.],$B84,DATOS_[Sexo],$B86,DATOS_[Check Periodo Ref.],"Dentro",DATOS_[Check Equiparación],"Sí")</f>
        <v>0</v>
      </c>
      <c r="I86" s="110" cm="1">
        <f t="array" ref="I86">IFERROR(
MEDIAN(IF(DATOS_[Sexo]=$B86,IF(DATOS_[[AGRUP. CLAS. PROF.]:[AGRUP. CLAS. PROF.]]=$B84,IF(DATOS_[Check Equiparado]="Sí",IF(DATOS_[Check Periodo Ref.]="Dentro",DATOS_[SALARIO BASE Eq],FALSE))))),
0)</f>
        <v>0</v>
      </c>
      <c r="J86" s="111">
        <f t="array" ref="J86">IFERROR(
(MEDIAN((IF(DATOS_[[Sexo]:[Sexo]]=$B86,IF(DATOS_[[AGRUP. CLAS. PROF.]:[AGRUP. CLAS. PROF.]]=$B84,IF(DATOS_[[Check Periodo Ref.]:[Check Periodo Ref.]]="Dentro",IF(DATOS_[[Check Equiparado]:[Check Equiparado]]="Sí",IF(DATOS!AE$5="Sí",(1/DATOS_[[% anualiz]:[% anualiz]]),1)*IF(DATOS!AE$4="Sí",1/DATOS_[[% normaliz]:[% normaliz]],1)*(DATOS_[Conc.Sal.01])))))))),
0)</f>
        <v>0</v>
      </c>
      <c r="K86" s="111">
        <f t="array" ref="K86">IFERROR(
(MEDIAN((IF(DATOS_[[Sexo]:[Sexo]]=$B86,IF(DATOS_[[AGRUP. CLAS. PROF.]:[AGRUP. CLAS. PROF.]]=$B84,IF(DATOS_[[Check Periodo Ref.]:[Check Periodo Ref.]]="Dentro",IF(DATOS_[[Check Equiparado]:[Check Equiparado]]="Sí",IF(DATOS!AF$5="Sí",(1/DATOS_[[% anualiz]:[% anualiz]]),1)*IF(DATOS!AF$4="Sí",1/DATOS_[[% normaliz]:[% normaliz]],1)*(DATOS_[Conc.Sal.02])))))))),
0)</f>
        <v>0</v>
      </c>
      <c r="L86" s="111">
        <f t="array" ref="L86">IFERROR(
(MEDIAN((IF(DATOS_[[Sexo]:[Sexo]]=$B86,IF(DATOS_[[AGRUP. CLAS. PROF.]:[AGRUP. CLAS. PROF.]]=$B84,IF(DATOS_[[Check Periodo Ref.]:[Check Periodo Ref.]]="Dentro",IF(DATOS_[[Check Equiparado]:[Check Equiparado]]="Sí",IF(DATOS!AG$5="Sí",(1/DATOS_[[% anualiz]:[% anualiz]]),1)*IF(DATOS!AG$4="Sí",1/DATOS_[[% normaliz]:[% normaliz]],1)*(DATOS_[Conc.Sal.03])))))))),
0)</f>
        <v>0</v>
      </c>
      <c r="M86" s="111">
        <f t="array" ref="M86">IFERROR(
(MEDIAN((IF(DATOS_[[Sexo]:[Sexo]]=$B86,IF(DATOS_[[AGRUP. CLAS. PROF.]:[AGRUP. CLAS. PROF.]]=$B84,IF(DATOS_[[Check Periodo Ref.]:[Check Periodo Ref.]]="Dentro",IF(DATOS_[[Check Equiparado]:[Check Equiparado]]="Sí",IF(DATOS!AH$5="Sí",(1/DATOS_[[% anualiz]:[% anualiz]]),1)*IF(DATOS!AH$4="Sí",1/DATOS_[[% normaliz]:[% normaliz]],1)*(DATOS_[Conc.Sal.04])))))))),
0)</f>
        <v>0</v>
      </c>
      <c r="N86" s="111">
        <f t="array" ref="N86">IFERROR(
(MEDIAN((IF(DATOS_[[Sexo]:[Sexo]]=$B86,IF(DATOS_[[AGRUP. CLAS. PROF.]:[AGRUP. CLAS. PROF.]]=$B84,IF(DATOS_[[Check Periodo Ref.]:[Check Periodo Ref.]]="Dentro",IF(DATOS_[[Check Equiparado]:[Check Equiparado]]="Sí",IF(DATOS!AI$5="Sí",(1/DATOS_[[% anualiz]:[% anualiz]]),1)*IF(DATOS!AI$4="Sí",1/DATOS_[[% normaliz]:[% normaliz]],1)*(DATOS_[Conc.Sal.05])))))))),
0)</f>
        <v>0</v>
      </c>
      <c r="O86" s="111">
        <f t="array" ref="O86">IFERROR(
(MEDIAN((IF(DATOS_[[Sexo]:[Sexo]]=$B86,IF(DATOS_[[AGRUP. CLAS. PROF.]:[AGRUP. CLAS. PROF.]]=$B84,IF(DATOS_[[Check Periodo Ref.]:[Check Periodo Ref.]]="Dentro",IF(DATOS_[[Check Equiparado]:[Check Equiparado]]="Sí",IF(DATOS!AJ$5="Sí",(1/DATOS_[[% anualiz]:[% anualiz]]),1)*IF(DATOS!AJ$4="Sí",1/DATOS_[[% normaliz]:[% normaliz]],1)*(DATOS_[Conc.Sal.06])))))))),
0)</f>
        <v>0</v>
      </c>
      <c r="P86" s="111">
        <f t="array" ref="P86">IFERROR(
(MEDIAN((IF(DATOS_[[Sexo]:[Sexo]]=$B86,IF(DATOS_[[AGRUP. CLAS. PROF.]:[AGRUP. CLAS. PROF.]]=$B84,IF(DATOS_[[Check Periodo Ref.]:[Check Periodo Ref.]]="Dentro",IF(DATOS_[[Check Equiparado]:[Check Equiparado]]="Sí",IF(DATOS!AK$5="Sí",(1/DATOS_[[% anualiz]:[% anualiz]]),1)*IF(DATOS!AK$4="Sí",1/DATOS_[[% normaliz]:[% normaliz]],1)*(DATOS_[Conc.Sal.07])))))))),
0)</f>
        <v>0</v>
      </c>
      <c r="Q86" s="111">
        <f t="array" ref="Q86">IFERROR(
(MEDIAN((IF(DATOS_[[Sexo]:[Sexo]]=$B86,IF(DATOS_[[AGRUP. CLAS. PROF.]:[AGRUP. CLAS. PROF.]]=$B84,IF(DATOS_[[Check Periodo Ref.]:[Check Periodo Ref.]]="Dentro",IF(DATOS_[[Check Equiparado]:[Check Equiparado]]="Sí",IF(DATOS!AL$5="Sí",(1/DATOS_[[% anualiz]:[% anualiz]]),1)*IF(DATOS!AL$4="Sí",1/DATOS_[[% normaliz]:[% normaliz]],1)*(DATOS_[Conc.Sal.08])))))))),
0)</f>
        <v>0</v>
      </c>
      <c r="R86" s="111">
        <f t="array" ref="R86">IFERROR(
(MEDIAN((IF(DATOS_[[Sexo]:[Sexo]]=$B86,IF(DATOS_[[AGRUP. CLAS. PROF.]:[AGRUP. CLAS. PROF.]]=$B84,IF(DATOS_[[Check Periodo Ref.]:[Check Periodo Ref.]]="Dentro",IF(DATOS_[[Check Equiparado]:[Check Equiparado]]="Sí",IF(DATOS!AM$5="Sí",(1/DATOS_[[% anualiz]:[% anualiz]]),1)*IF(DATOS!AM$4="Sí",1/DATOS_[[% normaliz]:[% normaliz]],1)*(DATOS_[Conc.Sal.09])))))))),
0)</f>
        <v>0</v>
      </c>
      <c r="S86" s="111">
        <f t="array" ref="S86">IFERROR(
(MEDIAN((IF(DATOS_[[Sexo]:[Sexo]]=$B86,IF(DATOS_[[AGRUP. CLAS. PROF.]:[AGRUP. CLAS. PROF.]]=$B84,IF(DATOS_[[Check Periodo Ref.]:[Check Periodo Ref.]]="Dentro",IF(DATOS_[[Check Equiparado]:[Check Equiparado]]="Sí",IF(DATOS!AN$5="Sí",(1/DATOS_[[% anualiz]:[% anualiz]]),1)*IF(DATOS!AN$4="Sí",1/DATOS_[[% normaliz]:[% normaliz]],1)*(DATOS_[Conc.Sal.10])))))))),
0)</f>
        <v>0</v>
      </c>
      <c r="T86" s="111">
        <f t="array" ref="T86">IFERROR(
(MEDIAN((IF(DATOS_[[Sexo]:[Sexo]]=$B86,IF(DATOS_[[AGRUP. CLAS. PROF.]:[AGRUP. CLAS. PROF.]]=$B84,IF(DATOS_[[Check Periodo Ref.]:[Check Periodo Ref.]]="Dentro",IF(DATOS_[[Check Equiparado]:[Check Equiparado]]="Sí",IF(DATOS!AO$5="Sí",(1/DATOS_[[% anualiz]:[% anualiz]]),1)*IF(DATOS!AO$4="Sí",1/DATOS_[[% normaliz]:[% normaliz]],1)*(DATOS_[Conc.Sal.11])))))))),
0)</f>
        <v>0</v>
      </c>
      <c r="U86" s="111">
        <f t="array" ref="U86">IFERROR(
(MEDIAN((IF(DATOS_[[Sexo]:[Sexo]]=$B86,IF(DATOS_[[AGRUP. CLAS. PROF.]:[AGRUP. CLAS. PROF.]]=$B84,IF(DATOS_[[Check Periodo Ref.]:[Check Periodo Ref.]]="Dentro",IF(DATOS_[[Check Equiparado]:[Check Equiparado]]="Sí",IF(DATOS!AP$5="Sí",(1/DATOS_[[% anualiz]:[% anualiz]]),1)*IF(DATOS!AP$4="Sí",1/DATOS_[[% normaliz]:[% normaliz]],1)*(DATOS_[Conc.Sal.12])))))))),
0)</f>
        <v>0</v>
      </c>
      <c r="V86" s="111">
        <f t="array" ref="V86">IFERROR(
(MEDIAN((IF(DATOS_[[Sexo]:[Sexo]]=$B86,IF(DATOS_[[AGRUP. CLAS. PROF.]:[AGRUP. CLAS. PROF.]]=$B84,IF(DATOS_[[Check Periodo Ref.]:[Check Periodo Ref.]]="Dentro",IF(DATOS_[[Check Equiparado]:[Check Equiparado]]="Sí",IF(DATOS!AQ$5="Sí",(1/DATOS_[[% anualiz]:[% anualiz]]),1)*IF(DATOS!AQ$4="Sí",1/DATOS_[[% normaliz]:[% normaliz]],1)*(DATOS_[Conc.Sal.13])))))))),
0)</f>
        <v>0</v>
      </c>
      <c r="W86" s="111">
        <f t="array" ref="W86">IFERROR(
(MEDIAN((IF(DATOS_[[Sexo]:[Sexo]]=$B86,IF(DATOS_[[AGRUP. CLAS. PROF.]:[AGRUP. CLAS. PROF.]]=$B84,IF(DATOS_[[Check Periodo Ref.]:[Check Periodo Ref.]]="Dentro",IF(DATOS_[[Check Equiparado]:[Check Equiparado]]="Sí",IF(DATOS!AR$5="Sí",(1/DATOS_[[% anualiz]:[% anualiz]]),1)*IF(DATOS!AR$4="Sí",1/DATOS_[[% normaliz]:[% normaliz]],1)*(DATOS_[Conc.Sal.14])))))))),
0)</f>
        <v>0</v>
      </c>
      <c r="X86" s="111">
        <f t="array" ref="X86">IFERROR(
(MEDIAN((IF(DATOS_[[Sexo]:[Sexo]]=$B86,IF(DATOS_[[AGRUP. CLAS. PROF.]:[AGRUP. CLAS. PROF.]]=$B84,IF(DATOS_[[Check Periodo Ref.]:[Check Periodo Ref.]]="Dentro",IF(DATOS_[[Check Equiparado]:[Check Equiparado]]="Sí",IF(DATOS!AS$5="Sí",(1/DATOS_[[% anualiz]:[% anualiz]]),1)*IF(DATOS!AS$4="Sí",1/DATOS_[[% normaliz]:[% normaliz]],1)*(DATOS_[Conc.Sal.15])))))))),
0)</f>
        <v>0</v>
      </c>
      <c r="Y86" s="111">
        <f t="array" ref="Y86">IFERROR(
(MEDIAN((IF(DATOS_[[Sexo]:[Sexo]]=$B86,IF(DATOS_[[AGRUP. CLAS. PROF.]:[AGRUP. CLAS. PROF.]]=$B84,IF(DATOS_[[Check Periodo Ref.]:[Check Periodo Ref.]]="Dentro",IF(DATOS_[[Check Equiparado]:[Check Equiparado]]="Sí",IF(DATOS!AT$5="Sí",(1/DATOS_[[% anualiz]:[% anualiz]]),1)*IF(DATOS!AT$4="Sí",1/DATOS_[[% normaliz]:[% normaliz]],1)*(DATOS_[Conc.Sal.16])))))))),
0)</f>
        <v>0</v>
      </c>
      <c r="Z86" s="111">
        <f t="array" ref="Z86">IFERROR(
(MEDIAN((IF(DATOS_[[Sexo]:[Sexo]]=$B86,IF(DATOS_[[AGRUP. CLAS. PROF.]:[AGRUP. CLAS. PROF.]]=$B84,IF(DATOS_[[Check Periodo Ref.]:[Check Periodo Ref.]]="Dentro",IF(DATOS_[[Check Equiparado]:[Check Equiparado]]="Sí",IF(DATOS!AU$5="Sí",(1/DATOS_[[% anualiz]:[% anualiz]]),1)*IF(DATOS!AU$4="Sí",1/DATOS_[[% normaliz]:[% normaliz]],1)*(DATOS_[Conc.Sal.17])))))))),
0)</f>
        <v>0</v>
      </c>
      <c r="AA86" s="111">
        <f t="array" ref="AA86">IFERROR(
(MEDIAN((IF(DATOS_[[Sexo]:[Sexo]]=$B86,IF(DATOS_[[AGRUP. CLAS. PROF.]:[AGRUP. CLAS. PROF.]]=$B84,IF(DATOS_[[Check Periodo Ref.]:[Check Periodo Ref.]]="Dentro",IF(DATOS_[[Check Equiparado]:[Check Equiparado]]="Sí",IF(DATOS!AV$5="Sí",(1/DATOS_[[% anualiz]:[% anualiz]]),1)*IF(DATOS!AV$4="Sí",1/DATOS_[[% normaliz]:[% normaliz]],1)*(DATOS_[Conc.Sal.18])))))))),
0)</f>
        <v>0</v>
      </c>
      <c r="AB86" s="111">
        <f t="array" ref="AB86">IFERROR(
(MEDIAN((IF(DATOS_[[Sexo]:[Sexo]]=$B86,IF(DATOS_[[AGRUP. CLAS. PROF.]:[AGRUP. CLAS. PROF.]]=$B84,IF(DATOS_[[Check Periodo Ref.]:[Check Periodo Ref.]]="Dentro",IF(DATOS_[[Check Equiparado]:[Check Equiparado]]="Sí",IF(DATOS!AW$5="Sí",(1/DATOS_[[% anualiz]:[% anualiz]]),1)*IF(DATOS!AW$4="Sí",1/DATOS_[[% normaliz]:[% normaliz]],1)*(DATOS_[Conc.Sal.19])))))))),
0)</f>
        <v>0</v>
      </c>
      <c r="AC86" s="111">
        <f t="array" ref="AC86">IFERROR(
(MEDIAN((IF(DATOS_[[Sexo]:[Sexo]]=$B86,IF(DATOS_[[AGRUP. CLAS. PROF.]:[AGRUP. CLAS. PROF.]]=$B84,IF(DATOS_[[Check Periodo Ref.]:[Check Periodo Ref.]]="Dentro",IF(DATOS_[[Check Equiparado]:[Check Equiparado]]="Sí",IF(DATOS!AX$5="Sí",(1/DATOS_[[% anualiz]:[% anualiz]]),1)*IF(DATOS!AX$4="Sí",1/DATOS_[[% normaliz]:[% normaliz]],1)*(DATOS_[Conc.Sal.20])))))))),
0)</f>
        <v>0</v>
      </c>
      <c r="AD86" s="111">
        <f t="array" ref="AD86">IFERROR(
(MEDIAN((IF(DATOS_[[Sexo]:[Sexo]]=$B86,IF(DATOS_[[AGRUP. CLAS. PROF.]:[AGRUP. CLAS. PROF.]]=$B84,IF(DATOS_[[Check Periodo Ref.]:[Check Periodo Ref.]]="Dentro",IF(DATOS_[[Check Equiparado]:[Check Equiparado]]="Sí",IF(DATOS!AY$5="Sí",(1/DATOS_[[% anualiz]:[% anualiz]]),1)*IF(DATOS!AY$4="Sí",1/DATOS_[[% normaliz]:[% normaliz]],1)*(DATOS_[Conc.Sal.21])))))))),
0)</f>
        <v>0</v>
      </c>
      <c r="AE86" s="111">
        <f t="array" ref="AE86">IFERROR(
(MEDIAN((IF(DATOS_[[Sexo]:[Sexo]]=$B86,IF(DATOS_[[AGRUP. CLAS. PROF.]:[AGRUP. CLAS. PROF.]]=$B84,IF(DATOS_[[Check Periodo Ref.]:[Check Periodo Ref.]]="Dentro",IF(DATOS_[[Check Equiparado]:[Check Equiparado]]="Sí",IF(DATOS!AZ$5="Sí",(1/DATOS_[[% anualiz]:[% anualiz]]),1)*IF(DATOS!AZ$4="Sí",1/DATOS_[[% normaliz]:[% normaliz]],1)*(DATOS_[Conc.Sal.22])))))))),
0)</f>
        <v>0</v>
      </c>
      <c r="AF86" s="111">
        <f t="array" ref="AF86">IFERROR(
(MEDIAN((IF(DATOS_[[Sexo]:[Sexo]]=$B86,IF(DATOS_[[AGRUP. CLAS. PROF.]:[AGRUP. CLAS. PROF.]]=$B84,IF(DATOS_[[Check Periodo Ref.]:[Check Periodo Ref.]]="Dentro",IF(DATOS_[[Check Equiparado]:[Check Equiparado]]="Sí",IF(DATOS!BA$5="Sí",(1/DATOS_[[% anualiz]:[% anualiz]]),1)*IF(DATOS!BA$4="Sí",1/DATOS_[[% normaliz]:[% normaliz]],1)*(DATOS_[Conc.Sal.23])))))))),
0)</f>
        <v>0</v>
      </c>
      <c r="AG86" s="111">
        <f t="array" ref="AG86">IFERROR(
(MEDIAN((IF(DATOS_[[Sexo]:[Sexo]]=$B86,IF(DATOS_[[AGRUP. CLAS. PROF.]:[AGRUP. CLAS. PROF.]]=$B84,IF(DATOS_[[Check Periodo Ref.]:[Check Periodo Ref.]]="Dentro",IF(DATOS_[[Check Equiparado]:[Check Equiparado]]="Sí",IF(DATOS!BB$5="Sí",(1/DATOS_[[% anualiz]:[% anualiz]]),1)*IF(DATOS!BB$4="Sí",1/DATOS_[[% normaliz]:[% normaliz]],1)*(DATOS_[Conc.Sal.24])))))))),
0)</f>
        <v>0</v>
      </c>
      <c r="AH86" s="111">
        <f t="array" ref="AH86">IFERROR(
(MEDIAN((IF(DATOS_[[Sexo]:[Sexo]]=$B86,IF(DATOS_[[AGRUP. CLAS. PROF.]:[AGRUP. CLAS. PROF.]]=$B84,IF(DATOS_[[Check Periodo Ref.]:[Check Periodo Ref.]]="Dentro",IF(DATOS_[[Check Equiparado]:[Check Equiparado]]="Sí",IF(DATOS!BC$5="Sí",(1/DATOS_[[% anualiz]:[% anualiz]]),1)*IF(DATOS!BC$4="Sí",1/DATOS_[[% normaliz]:[% normaliz]],1)*(DATOS_[Conc.Sal.25])))))))),
0)</f>
        <v>0</v>
      </c>
      <c r="AI86" s="111">
        <f t="array" ref="AI86">IFERROR(
(MEDIAN((IF(DATOS_[[Sexo]:[Sexo]]=$B86,IF(DATOS_[[AGRUP. CLAS. PROF.]:[AGRUP. CLAS. PROF.]]=$B84,IF(DATOS_[[Check Periodo Ref.]:[Check Periodo Ref.]]="Dentro",IF(DATOS_[[Check Equiparado]:[Check Equiparado]]="Sí",IF(DATOS!BD$5="Sí",(1/DATOS_[[% anualiz]:[% anualiz]]),1)*IF(DATOS!BD$4="Sí",1/DATOS_[[% normaliz]:[% normaliz]],1)*(DATOS_[Conc.Sal.26])))))))),
0)</f>
        <v>0</v>
      </c>
      <c r="AJ86" s="111">
        <f t="array" ref="AJ86">IFERROR(
(MEDIAN((IF(DATOS_[[Sexo]:[Sexo]]=$B86,IF(DATOS_[[AGRUP. CLAS. PROF.]:[AGRUP. CLAS. PROF.]]=$B84,IF(DATOS_[[Check Periodo Ref.]:[Check Periodo Ref.]]="Dentro",IF(DATOS_[[Check Equiparado]:[Check Equiparado]]="Sí",IF(DATOS!BE$5="Sí",(1/DATOS_[[% anualiz]:[% anualiz]]),1)*IF(DATOS!BE$4="Sí",1/DATOS_[[% normaliz]:[% normaliz]],1)*(DATOS_[Conc.Sal.27])))))))),
0)</f>
        <v>0</v>
      </c>
      <c r="AK86" s="111">
        <f t="array" ref="AK86">IFERROR(
(MEDIAN((IF(DATOS_[[Sexo]:[Sexo]]=$B86,IF(DATOS_[[AGRUP. CLAS. PROF.]:[AGRUP. CLAS. PROF.]]=$B84,IF(DATOS_[[Check Periodo Ref.]:[Check Periodo Ref.]]="Dentro",IF(DATOS_[[Check Equiparado]:[Check Equiparado]]="Sí",IF(DATOS!BF$5="Sí",(1/DATOS_[[% anualiz]:[% anualiz]]),1)*IF(DATOS!BF$4="Sí",1/DATOS_[[% normaliz]:[% normaliz]],1)*(DATOS_[Conc.Sal.28])))))))),
0)</f>
        <v>0</v>
      </c>
      <c r="AL86" s="111">
        <f t="array" ref="AL86">IFERROR(
(MEDIAN((IF(DATOS_[[Sexo]:[Sexo]]=$B86,IF(DATOS_[[AGRUP. CLAS. PROF.]:[AGRUP. CLAS. PROF.]]=$B84,IF(DATOS_[[Check Periodo Ref.]:[Check Periodo Ref.]]="Dentro",IF(DATOS_[[Check Equiparado]:[Check Equiparado]]="Sí",IF(DATOS!BG$5="Sí",(1/DATOS_[[% anualiz]:[% anualiz]]),1)*IF(DATOS!BG$4="Sí",1/DATOS_[[% normaliz]:[% normaliz]],1)*(DATOS_[Conc.Sal.29])))))))),
0)</f>
        <v>0</v>
      </c>
      <c r="AM86" s="111">
        <f t="array" ref="AM86">IFERROR(
(MEDIAN((IF(DATOS_[[Sexo]:[Sexo]]=$B86,IF(DATOS_[[AGRUP. CLAS. PROF.]:[AGRUP. CLAS. PROF.]]=$B84,IF(DATOS_[[Check Periodo Ref.]:[Check Periodo Ref.]]="Dentro",IF(DATOS_[[Check Equiparado]:[Check Equiparado]]="Sí",IF(DATOS!BH$5="Sí",(1/DATOS_[[% anualiz]:[% anualiz]]),1)*IF(DATOS!BH$4="Sí",1/DATOS_[[% normaliz]:[% normaliz]],1)*(DATOS_[Conc.Sal.30])))))))),
0)</f>
        <v>0</v>
      </c>
      <c r="AN86" s="112">
        <f t="array" ref="AN86">IFERROR(
MEDIAN(IF(DATOS_[Sexo]=$B86,IF(DATOS_[[AGRUP. CLAS. PROF.]:[AGRUP. CLAS. PROF.]]=$B84,IF(DATOS_[Check Equiparado]="Sí",IF(DATOS_[Check Periodo Ref.]="Dentro",DATOS_[Tot COMPL.SAL Eq],FALSE))))),
0)</f>
        <v>0</v>
      </c>
      <c r="AO86" s="113">
        <f t="array" ref="AO86">IFERROR(
MEDIAN(IF(DATOS_[Sexo]=$B86,IF(DATOS_[[AGRUP. CLAS. PROF.]:[AGRUP. CLAS. PROF.]]=$B84,IF(DATOS_[Check Equiparado]="Sí",IF(DATOS_[Check Periodo Ref.]="Dentro",DATOS_[TOTAL SALARIO Eq],FALSE))))),
0)</f>
        <v>0</v>
      </c>
      <c r="AP86" s="114">
        <f t="array" ref="AP86">IFERROR(
(MEDIAN((IF(DATOS_[[Sexo]:[Sexo]]=$B86,IF(DATOS_[[AGRUP. CLAS. PROF.]:[AGRUP. CLAS. PROF.]]=$B84,IF(DATOS_[[Check Periodo Ref.]:[Check Periodo Ref.]]="Dentro",IF(DATOS_[[Check Equiparado]:[Check Equiparado]]="Sí",IF(DATOS!BI$5="Sí",(1/DATOS_[[% anualiz]:[% anualiz]]),1)*IF(DATOS!BI$4="Sí",1/DATOS_[[% normaliz]:[% normaliz]],1)*(DATOS_[C.Extra.01])))))))),
0)</f>
        <v>0</v>
      </c>
      <c r="AQ86" s="114">
        <f t="array" ref="AQ86">IFERROR(
(MEDIAN((IF(DATOS_[[Sexo]:[Sexo]]=$B86,IF(DATOS_[[AGRUP. CLAS. PROF.]:[AGRUP. CLAS. PROF.]]=$B84,IF(DATOS_[[Check Periodo Ref.]:[Check Periodo Ref.]]="Dentro",IF(DATOS_[[Check Equiparado]:[Check Equiparado]]="Sí",IF(DATOS!BJ$5="Sí",(1/DATOS_[[% anualiz]:[% anualiz]]),1)*IF(DATOS!BJ$4="Sí",1/DATOS_[[% normaliz]:[% normaliz]],1)*(DATOS_[C.Extra.02])))))))),
0)</f>
        <v>0</v>
      </c>
      <c r="AR86" s="114">
        <f t="array" ref="AR86">IFERROR(
(MEDIAN((IF(DATOS_[[Sexo]:[Sexo]]=$B86,IF(DATOS_[[AGRUP. CLAS. PROF.]:[AGRUP. CLAS. PROF.]]=$B84,IF(DATOS_[[Check Periodo Ref.]:[Check Periodo Ref.]]="Dentro",IF(DATOS_[[Check Equiparado]:[Check Equiparado]]="Sí",IF(DATOS!BK$5="Sí",(1/DATOS_[[% anualiz]:[% anualiz]]),1)*IF(DATOS!BK$4="Sí",1/DATOS_[[% normaliz]:[% normaliz]],1)*(DATOS_[C.Extra.03])))))))),
0)</f>
        <v>0</v>
      </c>
      <c r="AS86" s="114">
        <f t="array" ref="AS86">IFERROR(
(MEDIAN((IF(DATOS_[[Sexo]:[Sexo]]=$B86,IF(DATOS_[[AGRUP. CLAS. PROF.]:[AGRUP. CLAS. PROF.]]=$B84,IF(DATOS_[[Check Periodo Ref.]:[Check Periodo Ref.]]="Dentro",IF(DATOS_[[Check Equiparado]:[Check Equiparado]]="Sí",IF(DATOS!BL$5="Sí",(1/DATOS_[[% anualiz]:[% anualiz]]),1)*IF(DATOS!BL$4="Sí",1/DATOS_[[% normaliz]:[% normaliz]],1)*(DATOS_[C.Extra.04])))))))),
0)</f>
        <v>0</v>
      </c>
      <c r="AT86" s="114">
        <f t="array" ref="AT86">IFERROR(
(MEDIAN((IF(DATOS_[[Sexo]:[Sexo]]=$B86,IF(DATOS_[[AGRUP. CLAS. PROF.]:[AGRUP. CLAS. PROF.]]=$B84,IF(DATOS_[[Check Periodo Ref.]:[Check Periodo Ref.]]="Dentro",IF(DATOS_[[Check Equiparado]:[Check Equiparado]]="Sí",IF(DATOS!BM$5="Sí",(1/DATOS_[[% anualiz]:[% anualiz]]),1)*IF(DATOS!BM$4="Sí",1/DATOS_[[% normaliz]:[% normaliz]],1)*(DATOS_[C.Extra.05])))))))),
0)</f>
        <v>0</v>
      </c>
      <c r="AU86" s="115">
        <f t="array" ref="AU86">IFERROR(
MEDIAN(IF(DATOS_[Sexo]=$B86,IF(DATOS_[[AGRUP. CLAS. PROF.]:[AGRUP. CLAS. PROF.]]=$B84,IF(DATOS_[Check Equiparado]="Sí",IF(DATOS_[Check Periodo Ref.]="Dentro",DATOS_[Tot Extrasalarial Eq],FALSE))))),
0)</f>
        <v>0</v>
      </c>
      <c r="AV86" s="116">
        <f t="array" ref="AV86">IFERROR(
MEDIAN(IF(DATOS_[Sexo]=$B86,IF(DATOS_[[AGRUP. CLAS. PROF.]:[AGRUP. CLAS. PROF.]]=$B84,IF(DATOS_[Check Equiparado]="Sí",IF(DATOS_[Check Periodo Ref.]="Dentro",DATOS_[TOTAL Retrib Eq],FALSE))))),
0)</f>
        <v>0</v>
      </c>
    </row>
    <row r="87" spans="1:48" ht="17.25" hidden="1" thickBot="1" x14ac:dyDescent="0.35">
      <c r="A87" s="42" t="str">
        <f t="shared" ref="A87" si="99">+A88</f>
        <v>[ocultar]</v>
      </c>
      <c r="B87" s="90" t="s">
        <v>241</v>
      </c>
      <c r="C87" s="109"/>
      <c r="D87" s="41"/>
      <c r="E87" s="41"/>
      <c r="F87" s="41"/>
      <c r="G87" s="41"/>
      <c r="H87" s="41"/>
      <c r="I87" s="119" t="str">
        <f t="shared" ref="I87:AV87" si="100">IFERROR((I88-I89)/I88,"")</f>
        <v/>
      </c>
      <c r="J87" s="123" t="str">
        <f t="shared" si="100"/>
        <v/>
      </c>
      <c r="K87" s="123" t="str">
        <f t="shared" si="100"/>
        <v/>
      </c>
      <c r="L87" s="123" t="str">
        <f t="shared" si="100"/>
        <v/>
      </c>
      <c r="M87" s="123" t="str">
        <f t="shared" si="100"/>
        <v/>
      </c>
      <c r="N87" s="123" t="str">
        <f t="shared" si="100"/>
        <v/>
      </c>
      <c r="O87" s="123" t="str">
        <f t="shared" si="100"/>
        <v/>
      </c>
      <c r="P87" s="123" t="str">
        <f t="shared" si="100"/>
        <v/>
      </c>
      <c r="Q87" s="123" t="str">
        <f t="shared" si="100"/>
        <v/>
      </c>
      <c r="R87" s="123" t="str">
        <f t="shared" si="100"/>
        <v/>
      </c>
      <c r="S87" s="123" t="str">
        <f t="shared" si="100"/>
        <v/>
      </c>
      <c r="T87" s="123" t="str">
        <f t="shared" si="100"/>
        <v/>
      </c>
      <c r="U87" s="123" t="str">
        <f t="shared" si="100"/>
        <v/>
      </c>
      <c r="V87" s="123" t="str">
        <f t="shared" si="100"/>
        <v/>
      </c>
      <c r="W87" s="123" t="str">
        <f t="shared" si="100"/>
        <v/>
      </c>
      <c r="X87" s="123" t="str">
        <f t="shared" si="100"/>
        <v/>
      </c>
      <c r="Y87" s="123" t="str">
        <f t="shared" si="100"/>
        <v/>
      </c>
      <c r="Z87" s="122" t="str">
        <f t="shared" si="100"/>
        <v/>
      </c>
      <c r="AA87" s="122" t="str">
        <f t="shared" si="100"/>
        <v/>
      </c>
      <c r="AB87" s="122" t="str">
        <f t="shared" si="100"/>
        <v/>
      </c>
      <c r="AC87" s="122" t="str">
        <f t="shared" si="100"/>
        <v/>
      </c>
      <c r="AD87" s="122" t="str">
        <f t="shared" si="100"/>
        <v/>
      </c>
      <c r="AE87" s="122" t="str">
        <f t="shared" si="100"/>
        <v/>
      </c>
      <c r="AF87" s="122" t="str">
        <f t="shared" si="100"/>
        <v/>
      </c>
      <c r="AG87" s="122" t="str">
        <f t="shared" si="100"/>
        <v/>
      </c>
      <c r="AH87" s="122" t="str">
        <f t="shared" si="100"/>
        <v/>
      </c>
      <c r="AI87" s="122" t="str">
        <f t="shared" si="100"/>
        <v/>
      </c>
      <c r="AJ87" s="122" t="str">
        <f t="shared" si="100"/>
        <v/>
      </c>
      <c r="AK87" s="122" t="str">
        <f t="shared" si="100"/>
        <v/>
      </c>
      <c r="AL87" s="122" t="str">
        <f t="shared" si="100"/>
        <v/>
      </c>
      <c r="AM87" s="122" t="str">
        <f t="shared" si="100"/>
        <v/>
      </c>
      <c r="AN87" s="124" t="str">
        <f t="shared" si="100"/>
        <v/>
      </c>
      <c r="AO87" s="128" t="str">
        <f t="shared" si="100"/>
        <v/>
      </c>
      <c r="AP87" s="125" t="str">
        <f t="shared" si="100"/>
        <v/>
      </c>
      <c r="AQ87" s="125" t="str">
        <f t="shared" si="100"/>
        <v/>
      </c>
      <c r="AR87" s="125" t="str">
        <f t="shared" si="100"/>
        <v/>
      </c>
      <c r="AS87" s="125" t="str">
        <f t="shared" si="100"/>
        <v/>
      </c>
      <c r="AT87" s="125" t="str">
        <f t="shared" si="100"/>
        <v/>
      </c>
      <c r="AU87" s="126" t="str">
        <f t="shared" si="100"/>
        <v/>
      </c>
      <c r="AV87" s="127" t="str">
        <f t="shared" si="100"/>
        <v/>
      </c>
    </row>
    <row r="88" spans="1:48" hidden="1" x14ac:dyDescent="0.3">
      <c r="A88" s="42" t="str">
        <f t="shared" ref="A88" si="101">+IF(C88+C89=0,"[ocultar]","")</f>
        <v>[ocultar]</v>
      </c>
      <c r="B88" s="86" t="s">
        <v>162</v>
      </c>
      <c r="C88" s="33">
        <f t="array" ref="C88">SUM(IF($B88=DATOS_[Sexo],
IF($B87=DATOS_[AGRUP. CLAS. PROF.],
IF("Dentro"=DATOS_[Check Periodo Ref.],
1/(COUNTIFS(DATOS_[Sexo],$B88,DATOS_[AGRUP. CLAS. PROF.],$B87,DATOS_[Check Periodo Ref.],"Dentro",DATOS_[id],DATOS_[id]))))))</f>
        <v>0</v>
      </c>
      <c r="D88" s="35">
        <f>COUNTIFS(DATOS_[AGRUP. CLAS. PROF.],$B87,DATOS_[Sexo],$B88,DATOS_[Check Periodo Ref.],"Dentro")</f>
        <v>0</v>
      </c>
      <c r="E88" s="35">
        <f>COUNTIFS(DATOS_[AGRUP. CLAS. PROF.],$B87,DATOS_[Sexo],$B88,DATOS_[Check Periodo Ref.],"Dentro",DATOS_[Check Nº SC Norm],"Sí")</f>
        <v>0</v>
      </c>
      <c r="F88" s="35">
        <f>COUNTIFS(DATOS_[AGRUP. CLAS. PROF.],$B87,DATOS_[Sexo],$B88,DATOS_[Check Periodo Ref.],"Dentro",DATOS_[Check Nº SC Anualiz],"Sí")</f>
        <v>0</v>
      </c>
      <c r="G88" s="35">
        <f>COUNTIFS(DATOS_[AGRUP. CLAS. PROF.],$B87,DATOS_[Sexo],$B88,DATOS_[Check Periodo Ref.],"Dentro",DATOS_[Check Nº SC Norm y Anualiz],"Sí")</f>
        <v>0</v>
      </c>
      <c r="H88" s="35">
        <f>COUNTIFS(DATOS_[AGRUP. CLAS. PROF.],$B87,DATOS_[Sexo],$B88,DATOS_[Check Periodo Ref.],"Dentro",DATOS_[Check Equiparación],"Sí")</f>
        <v>0</v>
      </c>
      <c r="I88" s="110">
        <f t="array" ref="I88">IFERROR(
MEDIAN(IF(DATOS_[Sexo]=$B88,IF(DATOS_[[AGRUP. CLAS. PROF.]:[AGRUP. CLAS. PROF.]]=$B87,IF(DATOS_[Check Equiparado]="Sí",IF(DATOS_[Check Periodo Ref.]="Dentro",DATOS_[SALARIO BASE Eq],FALSE))))),
0)</f>
        <v>0</v>
      </c>
      <c r="J88" s="111">
        <f t="array" ref="J88">IFERROR(
(MEDIAN((IF(DATOS_[[Sexo]:[Sexo]]=$B88,IF(DATOS_[[AGRUP. CLAS. PROF.]:[AGRUP. CLAS. PROF.]]=$B87,IF(DATOS_[[Check Periodo Ref.]:[Check Periodo Ref.]]="Dentro",IF(DATOS_[[Check Equiparado]:[Check Equiparado]]="Sí",IF(DATOS!AE$5="Sí",(1/DATOS_[[% anualiz]:[% anualiz]]),1)*IF(DATOS!AE$4="Sí",1/DATOS_[[% normaliz]:[% normaliz]],1)*(DATOS_[Conc.Sal.01])))))))),
0)</f>
        <v>0</v>
      </c>
      <c r="K88" s="111">
        <f t="array" ref="K88">IFERROR(
(MEDIAN((IF(DATOS_[[Sexo]:[Sexo]]=$B88,IF(DATOS_[[AGRUP. CLAS. PROF.]:[AGRUP. CLAS. PROF.]]=$B87,IF(DATOS_[[Check Periodo Ref.]:[Check Periodo Ref.]]="Dentro",IF(DATOS_[[Check Equiparado]:[Check Equiparado]]="Sí",IF(DATOS!AF$5="Sí",(1/DATOS_[[% anualiz]:[% anualiz]]),1)*IF(DATOS!AF$4="Sí",1/DATOS_[[% normaliz]:[% normaliz]],1)*(DATOS_[Conc.Sal.02])))))))),
0)</f>
        <v>0</v>
      </c>
      <c r="L88" s="111">
        <f t="array" ref="L88">IFERROR(
(MEDIAN((IF(DATOS_[[Sexo]:[Sexo]]=$B88,IF(DATOS_[[AGRUP. CLAS. PROF.]:[AGRUP. CLAS. PROF.]]=$B87,IF(DATOS_[[Check Periodo Ref.]:[Check Periodo Ref.]]="Dentro",IF(DATOS_[[Check Equiparado]:[Check Equiparado]]="Sí",IF(DATOS!AG$5="Sí",(1/DATOS_[[% anualiz]:[% anualiz]]),1)*IF(DATOS!AG$4="Sí",1/DATOS_[[% normaliz]:[% normaliz]],1)*(DATOS_[Conc.Sal.03])))))))),
0)</f>
        <v>0</v>
      </c>
      <c r="M88" s="111">
        <f t="array" ref="M88">IFERROR(
(MEDIAN((IF(DATOS_[[Sexo]:[Sexo]]=$B88,IF(DATOS_[[AGRUP. CLAS. PROF.]:[AGRUP. CLAS. PROF.]]=$B87,IF(DATOS_[[Check Periodo Ref.]:[Check Periodo Ref.]]="Dentro",IF(DATOS_[[Check Equiparado]:[Check Equiparado]]="Sí",IF(DATOS!AH$5="Sí",(1/DATOS_[[% anualiz]:[% anualiz]]),1)*IF(DATOS!AH$4="Sí",1/DATOS_[[% normaliz]:[% normaliz]],1)*(DATOS_[Conc.Sal.04])))))))),
0)</f>
        <v>0</v>
      </c>
      <c r="N88" s="111">
        <f t="array" ref="N88">IFERROR(
(MEDIAN((IF(DATOS_[[Sexo]:[Sexo]]=$B88,IF(DATOS_[[AGRUP. CLAS. PROF.]:[AGRUP. CLAS. PROF.]]=$B87,IF(DATOS_[[Check Periodo Ref.]:[Check Periodo Ref.]]="Dentro",IF(DATOS_[[Check Equiparado]:[Check Equiparado]]="Sí",IF(DATOS!AI$5="Sí",(1/DATOS_[[% anualiz]:[% anualiz]]),1)*IF(DATOS!AI$4="Sí",1/DATOS_[[% normaliz]:[% normaliz]],1)*(DATOS_[Conc.Sal.05])))))))),
0)</f>
        <v>0</v>
      </c>
      <c r="O88" s="111">
        <f t="array" ref="O88">IFERROR(
(MEDIAN((IF(DATOS_[[Sexo]:[Sexo]]=$B88,IF(DATOS_[[AGRUP. CLAS. PROF.]:[AGRUP. CLAS. PROF.]]=$B87,IF(DATOS_[[Check Periodo Ref.]:[Check Periodo Ref.]]="Dentro",IF(DATOS_[[Check Equiparado]:[Check Equiparado]]="Sí",IF(DATOS!AJ$5="Sí",(1/DATOS_[[% anualiz]:[% anualiz]]),1)*IF(DATOS!AJ$4="Sí",1/DATOS_[[% normaliz]:[% normaliz]],1)*(DATOS_[Conc.Sal.06])))))))),
0)</f>
        <v>0</v>
      </c>
      <c r="P88" s="111">
        <f t="array" ref="P88">IFERROR(
(MEDIAN((IF(DATOS_[[Sexo]:[Sexo]]=$B88,IF(DATOS_[[AGRUP. CLAS. PROF.]:[AGRUP. CLAS. PROF.]]=$B87,IF(DATOS_[[Check Periodo Ref.]:[Check Periodo Ref.]]="Dentro",IF(DATOS_[[Check Equiparado]:[Check Equiparado]]="Sí",IF(DATOS!AK$5="Sí",(1/DATOS_[[% anualiz]:[% anualiz]]),1)*IF(DATOS!AK$4="Sí",1/DATOS_[[% normaliz]:[% normaliz]],1)*(DATOS_[Conc.Sal.07])))))))),
0)</f>
        <v>0</v>
      </c>
      <c r="Q88" s="111">
        <f t="array" ref="Q88">IFERROR(
(MEDIAN((IF(DATOS_[[Sexo]:[Sexo]]=$B88,IF(DATOS_[[AGRUP. CLAS. PROF.]:[AGRUP. CLAS. PROF.]]=$B87,IF(DATOS_[[Check Periodo Ref.]:[Check Periodo Ref.]]="Dentro",IF(DATOS_[[Check Equiparado]:[Check Equiparado]]="Sí",IF(DATOS!AL$5="Sí",(1/DATOS_[[% anualiz]:[% anualiz]]),1)*IF(DATOS!AL$4="Sí",1/DATOS_[[% normaliz]:[% normaliz]],1)*(DATOS_[Conc.Sal.08])))))))),
0)</f>
        <v>0</v>
      </c>
      <c r="R88" s="111">
        <f t="array" ref="R88">IFERROR(
(MEDIAN((IF(DATOS_[[Sexo]:[Sexo]]=$B88,IF(DATOS_[[AGRUP. CLAS. PROF.]:[AGRUP. CLAS. PROF.]]=$B87,IF(DATOS_[[Check Periodo Ref.]:[Check Periodo Ref.]]="Dentro",IF(DATOS_[[Check Equiparado]:[Check Equiparado]]="Sí",IF(DATOS!AM$5="Sí",(1/DATOS_[[% anualiz]:[% anualiz]]),1)*IF(DATOS!AM$4="Sí",1/DATOS_[[% normaliz]:[% normaliz]],1)*(DATOS_[Conc.Sal.09])))))))),
0)</f>
        <v>0</v>
      </c>
      <c r="S88" s="111">
        <f t="array" ref="S88">IFERROR(
(MEDIAN((IF(DATOS_[[Sexo]:[Sexo]]=$B88,IF(DATOS_[[AGRUP. CLAS. PROF.]:[AGRUP. CLAS. PROF.]]=$B87,IF(DATOS_[[Check Periodo Ref.]:[Check Periodo Ref.]]="Dentro",IF(DATOS_[[Check Equiparado]:[Check Equiparado]]="Sí",IF(DATOS!AN$5="Sí",(1/DATOS_[[% anualiz]:[% anualiz]]),1)*IF(DATOS!AN$4="Sí",1/DATOS_[[% normaliz]:[% normaliz]],1)*(DATOS_[Conc.Sal.10])))))))),
0)</f>
        <v>0</v>
      </c>
      <c r="T88" s="111">
        <f t="array" ref="T88">IFERROR(
(MEDIAN((IF(DATOS_[[Sexo]:[Sexo]]=$B88,IF(DATOS_[[AGRUP. CLAS. PROF.]:[AGRUP. CLAS. PROF.]]=$B87,IF(DATOS_[[Check Periodo Ref.]:[Check Periodo Ref.]]="Dentro",IF(DATOS_[[Check Equiparado]:[Check Equiparado]]="Sí",IF(DATOS!AO$5="Sí",(1/DATOS_[[% anualiz]:[% anualiz]]),1)*IF(DATOS!AO$4="Sí",1/DATOS_[[% normaliz]:[% normaliz]],1)*(DATOS_[Conc.Sal.11])))))))),
0)</f>
        <v>0</v>
      </c>
      <c r="U88" s="111">
        <f t="array" ref="U88">IFERROR(
(MEDIAN((IF(DATOS_[[Sexo]:[Sexo]]=$B88,IF(DATOS_[[AGRUP. CLAS. PROF.]:[AGRUP. CLAS. PROF.]]=$B87,IF(DATOS_[[Check Periodo Ref.]:[Check Periodo Ref.]]="Dentro",IF(DATOS_[[Check Equiparado]:[Check Equiparado]]="Sí",IF(DATOS!AP$5="Sí",(1/DATOS_[[% anualiz]:[% anualiz]]),1)*IF(DATOS!AP$4="Sí",1/DATOS_[[% normaliz]:[% normaliz]],1)*(DATOS_[Conc.Sal.12])))))))),
0)</f>
        <v>0</v>
      </c>
      <c r="V88" s="111">
        <f t="array" ref="V88">IFERROR(
(MEDIAN((IF(DATOS_[[Sexo]:[Sexo]]=$B88,IF(DATOS_[[AGRUP. CLAS. PROF.]:[AGRUP. CLAS. PROF.]]=$B87,IF(DATOS_[[Check Periodo Ref.]:[Check Periodo Ref.]]="Dentro",IF(DATOS_[[Check Equiparado]:[Check Equiparado]]="Sí",IF(DATOS!AQ$5="Sí",(1/DATOS_[[% anualiz]:[% anualiz]]),1)*IF(DATOS!AQ$4="Sí",1/DATOS_[[% normaliz]:[% normaliz]],1)*(DATOS_[Conc.Sal.13])))))))),
0)</f>
        <v>0</v>
      </c>
      <c r="W88" s="111">
        <f t="array" ref="W88">IFERROR(
(MEDIAN((IF(DATOS_[[Sexo]:[Sexo]]=$B88,IF(DATOS_[[AGRUP. CLAS. PROF.]:[AGRUP. CLAS. PROF.]]=$B87,IF(DATOS_[[Check Periodo Ref.]:[Check Periodo Ref.]]="Dentro",IF(DATOS_[[Check Equiparado]:[Check Equiparado]]="Sí",IF(DATOS!AR$5="Sí",(1/DATOS_[[% anualiz]:[% anualiz]]),1)*IF(DATOS!AR$4="Sí",1/DATOS_[[% normaliz]:[% normaliz]],1)*(DATOS_[Conc.Sal.14])))))))),
0)</f>
        <v>0</v>
      </c>
      <c r="X88" s="111">
        <f t="array" ref="X88">IFERROR(
(MEDIAN((IF(DATOS_[[Sexo]:[Sexo]]=$B88,IF(DATOS_[[AGRUP. CLAS. PROF.]:[AGRUP. CLAS. PROF.]]=$B87,IF(DATOS_[[Check Periodo Ref.]:[Check Periodo Ref.]]="Dentro",IF(DATOS_[[Check Equiparado]:[Check Equiparado]]="Sí",IF(DATOS!AS$5="Sí",(1/DATOS_[[% anualiz]:[% anualiz]]),1)*IF(DATOS!AS$4="Sí",1/DATOS_[[% normaliz]:[% normaliz]],1)*(DATOS_[Conc.Sal.15])))))))),
0)</f>
        <v>0</v>
      </c>
      <c r="Y88" s="111">
        <f t="array" ref="Y88">IFERROR(
(MEDIAN((IF(DATOS_[[Sexo]:[Sexo]]=$B88,IF(DATOS_[[AGRUP. CLAS. PROF.]:[AGRUP. CLAS. PROF.]]=$B87,IF(DATOS_[[Check Periodo Ref.]:[Check Periodo Ref.]]="Dentro",IF(DATOS_[[Check Equiparado]:[Check Equiparado]]="Sí",IF(DATOS!AT$5="Sí",(1/DATOS_[[% anualiz]:[% anualiz]]),1)*IF(DATOS!AT$4="Sí",1/DATOS_[[% normaliz]:[% normaliz]],1)*(DATOS_[Conc.Sal.16])))))))),
0)</f>
        <v>0</v>
      </c>
      <c r="Z88" s="111">
        <f t="array" ref="Z88">IFERROR(
(MEDIAN((IF(DATOS_[[Sexo]:[Sexo]]=$B88,IF(DATOS_[[AGRUP. CLAS. PROF.]:[AGRUP. CLAS. PROF.]]=$B87,IF(DATOS_[[Check Periodo Ref.]:[Check Periodo Ref.]]="Dentro",IF(DATOS_[[Check Equiparado]:[Check Equiparado]]="Sí",IF(DATOS!AU$5="Sí",(1/DATOS_[[% anualiz]:[% anualiz]]),1)*IF(DATOS!AU$4="Sí",1/DATOS_[[% normaliz]:[% normaliz]],1)*(DATOS_[Conc.Sal.17])))))))),
0)</f>
        <v>0</v>
      </c>
      <c r="AA88" s="111">
        <f t="array" ref="AA88">IFERROR(
(MEDIAN((IF(DATOS_[[Sexo]:[Sexo]]=$B88,IF(DATOS_[[AGRUP. CLAS. PROF.]:[AGRUP. CLAS. PROF.]]=$B87,IF(DATOS_[[Check Periodo Ref.]:[Check Periodo Ref.]]="Dentro",IF(DATOS_[[Check Equiparado]:[Check Equiparado]]="Sí",IF(DATOS!AV$5="Sí",(1/DATOS_[[% anualiz]:[% anualiz]]),1)*IF(DATOS!AV$4="Sí",1/DATOS_[[% normaliz]:[% normaliz]],1)*(DATOS_[Conc.Sal.18])))))))),
0)</f>
        <v>0</v>
      </c>
      <c r="AB88" s="111">
        <f t="array" ref="AB88">IFERROR(
(MEDIAN((IF(DATOS_[[Sexo]:[Sexo]]=$B88,IF(DATOS_[[AGRUP. CLAS. PROF.]:[AGRUP. CLAS. PROF.]]=$B87,IF(DATOS_[[Check Periodo Ref.]:[Check Periodo Ref.]]="Dentro",IF(DATOS_[[Check Equiparado]:[Check Equiparado]]="Sí",IF(DATOS!AW$5="Sí",(1/DATOS_[[% anualiz]:[% anualiz]]),1)*IF(DATOS!AW$4="Sí",1/DATOS_[[% normaliz]:[% normaliz]],1)*(DATOS_[Conc.Sal.19])))))))),
0)</f>
        <v>0</v>
      </c>
      <c r="AC88" s="111">
        <f t="array" ref="AC88">IFERROR(
(MEDIAN((IF(DATOS_[[Sexo]:[Sexo]]=$B88,IF(DATOS_[[AGRUP. CLAS. PROF.]:[AGRUP. CLAS. PROF.]]=$B87,IF(DATOS_[[Check Periodo Ref.]:[Check Periodo Ref.]]="Dentro",IF(DATOS_[[Check Equiparado]:[Check Equiparado]]="Sí",IF(DATOS!AX$5="Sí",(1/DATOS_[[% anualiz]:[% anualiz]]),1)*IF(DATOS!AX$4="Sí",1/DATOS_[[% normaliz]:[% normaliz]],1)*(DATOS_[Conc.Sal.20])))))))),
0)</f>
        <v>0</v>
      </c>
      <c r="AD88" s="111">
        <f t="array" ref="AD88">IFERROR(
(MEDIAN((IF(DATOS_[[Sexo]:[Sexo]]=$B88,IF(DATOS_[[AGRUP. CLAS. PROF.]:[AGRUP. CLAS. PROF.]]=$B87,IF(DATOS_[[Check Periodo Ref.]:[Check Periodo Ref.]]="Dentro",IF(DATOS_[[Check Equiparado]:[Check Equiparado]]="Sí",IF(DATOS!AY$5="Sí",(1/DATOS_[[% anualiz]:[% anualiz]]),1)*IF(DATOS!AY$4="Sí",1/DATOS_[[% normaliz]:[% normaliz]],1)*(DATOS_[Conc.Sal.21])))))))),
0)</f>
        <v>0</v>
      </c>
      <c r="AE88" s="111">
        <f t="array" ref="AE88">IFERROR(
(MEDIAN((IF(DATOS_[[Sexo]:[Sexo]]=$B88,IF(DATOS_[[AGRUP. CLAS. PROF.]:[AGRUP. CLAS. PROF.]]=$B87,IF(DATOS_[[Check Periodo Ref.]:[Check Periodo Ref.]]="Dentro",IF(DATOS_[[Check Equiparado]:[Check Equiparado]]="Sí",IF(DATOS!AZ$5="Sí",(1/DATOS_[[% anualiz]:[% anualiz]]),1)*IF(DATOS!AZ$4="Sí",1/DATOS_[[% normaliz]:[% normaliz]],1)*(DATOS_[Conc.Sal.22])))))))),
0)</f>
        <v>0</v>
      </c>
      <c r="AF88" s="111">
        <f t="array" ref="AF88">IFERROR(
(MEDIAN((IF(DATOS_[[Sexo]:[Sexo]]=$B88,IF(DATOS_[[AGRUP. CLAS. PROF.]:[AGRUP. CLAS. PROF.]]=$B87,IF(DATOS_[[Check Periodo Ref.]:[Check Periodo Ref.]]="Dentro",IF(DATOS_[[Check Equiparado]:[Check Equiparado]]="Sí",IF(DATOS!BA$5="Sí",(1/DATOS_[[% anualiz]:[% anualiz]]),1)*IF(DATOS!BA$4="Sí",1/DATOS_[[% normaliz]:[% normaliz]],1)*(DATOS_[Conc.Sal.23])))))))),
0)</f>
        <v>0</v>
      </c>
      <c r="AG88" s="111">
        <f t="array" ref="AG88">IFERROR(
(MEDIAN((IF(DATOS_[[Sexo]:[Sexo]]=$B88,IF(DATOS_[[AGRUP. CLAS. PROF.]:[AGRUP. CLAS. PROF.]]=$B87,IF(DATOS_[[Check Periodo Ref.]:[Check Periodo Ref.]]="Dentro",IF(DATOS_[[Check Equiparado]:[Check Equiparado]]="Sí",IF(DATOS!BB$5="Sí",(1/DATOS_[[% anualiz]:[% anualiz]]),1)*IF(DATOS!BB$4="Sí",1/DATOS_[[% normaliz]:[% normaliz]],1)*(DATOS_[Conc.Sal.24])))))))),
0)</f>
        <v>0</v>
      </c>
      <c r="AH88" s="111">
        <f t="array" ref="AH88">IFERROR(
(MEDIAN((IF(DATOS_[[Sexo]:[Sexo]]=$B88,IF(DATOS_[[AGRUP. CLAS. PROF.]:[AGRUP. CLAS. PROF.]]=$B87,IF(DATOS_[[Check Periodo Ref.]:[Check Periodo Ref.]]="Dentro",IF(DATOS_[[Check Equiparado]:[Check Equiparado]]="Sí",IF(DATOS!BC$5="Sí",(1/DATOS_[[% anualiz]:[% anualiz]]),1)*IF(DATOS!BC$4="Sí",1/DATOS_[[% normaliz]:[% normaliz]],1)*(DATOS_[Conc.Sal.25])))))))),
0)</f>
        <v>0</v>
      </c>
      <c r="AI88" s="111">
        <f t="array" ref="AI88">IFERROR(
(MEDIAN((IF(DATOS_[[Sexo]:[Sexo]]=$B88,IF(DATOS_[[AGRUP. CLAS. PROF.]:[AGRUP. CLAS. PROF.]]=$B87,IF(DATOS_[[Check Periodo Ref.]:[Check Periodo Ref.]]="Dentro",IF(DATOS_[[Check Equiparado]:[Check Equiparado]]="Sí",IF(DATOS!BD$5="Sí",(1/DATOS_[[% anualiz]:[% anualiz]]),1)*IF(DATOS!BD$4="Sí",1/DATOS_[[% normaliz]:[% normaliz]],1)*(DATOS_[Conc.Sal.26])))))))),
0)</f>
        <v>0</v>
      </c>
      <c r="AJ88" s="111">
        <f t="array" ref="AJ88">IFERROR(
(MEDIAN((IF(DATOS_[[Sexo]:[Sexo]]=$B88,IF(DATOS_[[AGRUP. CLAS. PROF.]:[AGRUP. CLAS. PROF.]]=$B87,IF(DATOS_[[Check Periodo Ref.]:[Check Periodo Ref.]]="Dentro",IF(DATOS_[[Check Equiparado]:[Check Equiparado]]="Sí",IF(DATOS!BE$5="Sí",(1/DATOS_[[% anualiz]:[% anualiz]]),1)*IF(DATOS!BE$4="Sí",1/DATOS_[[% normaliz]:[% normaliz]],1)*(DATOS_[Conc.Sal.27])))))))),
0)</f>
        <v>0</v>
      </c>
      <c r="AK88" s="111">
        <f t="array" ref="AK88">IFERROR(
(MEDIAN((IF(DATOS_[[Sexo]:[Sexo]]=$B88,IF(DATOS_[[AGRUP. CLAS. PROF.]:[AGRUP. CLAS. PROF.]]=$B87,IF(DATOS_[[Check Periodo Ref.]:[Check Periodo Ref.]]="Dentro",IF(DATOS_[[Check Equiparado]:[Check Equiparado]]="Sí",IF(DATOS!BF$5="Sí",(1/DATOS_[[% anualiz]:[% anualiz]]),1)*IF(DATOS!BF$4="Sí",1/DATOS_[[% normaliz]:[% normaliz]],1)*(DATOS_[Conc.Sal.28])))))))),
0)</f>
        <v>0</v>
      </c>
      <c r="AL88" s="111">
        <f t="array" ref="AL88">IFERROR(
(MEDIAN((IF(DATOS_[[Sexo]:[Sexo]]=$B88,IF(DATOS_[[AGRUP. CLAS. PROF.]:[AGRUP. CLAS. PROF.]]=$B87,IF(DATOS_[[Check Periodo Ref.]:[Check Periodo Ref.]]="Dentro",IF(DATOS_[[Check Equiparado]:[Check Equiparado]]="Sí",IF(DATOS!BG$5="Sí",(1/DATOS_[[% anualiz]:[% anualiz]]),1)*IF(DATOS!BG$4="Sí",1/DATOS_[[% normaliz]:[% normaliz]],1)*(DATOS_[Conc.Sal.29])))))))),
0)</f>
        <v>0</v>
      </c>
      <c r="AM88" s="111">
        <f t="array" ref="AM88">IFERROR(
(MEDIAN((IF(DATOS_[[Sexo]:[Sexo]]=$B88,IF(DATOS_[[AGRUP. CLAS. PROF.]:[AGRUP. CLAS. PROF.]]=$B87,IF(DATOS_[[Check Periodo Ref.]:[Check Periodo Ref.]]="Dentro",IF(DATOS_[[Check Equiparado]:[Check Equiparado]]="Sí",IF(DATOS!BH$5="Sí",(1/DATOS_[[% anualiz]:[% anualiz]]),1)*IF(DATOS!BH$4="Sí",1/DATOS_[[% normaliz]:[% normaliz]],1)*(DATOS_[Conc.Sal.30])))))))),
0)</f>
        <v>0</v>
      </c>
      <c r="AN88" s="112">
        <f t="array" ref="AN88">IFERROR(
MEDIAN(IF(DATOS_[Sexo]=$B88,IF(DATOS_[[AGRUP. CLAS. PROF.]:[AGRUP. CLAS. PROF.]]=$B87,IF(DATOS_[Check Equiparado]="Sí",IF(DATOS_[Check Periodo Ref.]="Dentro",DATOS_[Tot COMPL.SAL Eq],FALSE))))),
0)</f>
        <v>0</v>
      </c>
      <c r="AO88" s="113">
        <f t="array" ref="AO88">IFERROR(
MEDIAN(IF(DATOS_[Sexo]=$B88,IF(DATOS_[[AGRUP. CLAS. PROF.]:[AGRUP. CLAS. PROF.]]=$B87,IF(DATOS_[Check Equiparado]="Sí",IF(DATOS_[Check Periodo Ref.]="Dentro",DATOS_[TOTAL SALARIO Eq],FALSE))))),
0)</f>
        <v>0</v>
      </c>
      <c r="AP88" s="114">
        <f t="array" ref="AP88">IFERROR(
(MEDIAN((IF(DATOS_[[Sexo]:[Sexo]]=$B88,IF(DATOS_[[AGRUP. CLAS. PROF.]:[AGRUP. CLAS. PROF.]]=$B87,IF(DATOS_[[Check Periodo Ref.]:[Check Periodo Ref.]]="Dentro",IF(DATOS_[[Check Equiparado]:[Check Equiparado]]="Sí",IF(DATOS!BI$5="Sí",(1/DATOS_[[% anualiz]:[% anualiz]]),1)*IF(DATOS!BI$4="Sí",1/DATOS_[[% normaliz]:[% normaliz]],1)*(DATOS_[C.Extra.01])))))))),
0)</f>
        <v>0</v>
      </c>
      <c r="AQ88" s="114">
        <f t="array" ref="AQ88">IFERROR(
(MEDIAN((IF(DATOS_[[Sexo]:[Sexo]]=$B88,IF(DATOS_[[AGRUP. CLAS. PROF.]:[AGRUP. CLAS. PROF.]]=$B87,IF(DATOS_[[Check Periodo Ref.]:[Check Periodo Ref.]]="Dentro",IF(DATOS_[[Check Equiparado]:[Check Equiparado]]="Sí",IF(DATOS!BJ$5="Sí",(1/DATOS_[[% anualiz]:[% anualiz]]),1)*IF(DATOS!BJ$4="Sí",1/DATOS_[[% normaliz]:[% normaliz]],1)*(DATOS_[C.Extra.02])))))))),
0)</f>
        <v>0</v>
      </c>
      <c r="AR88" s="114">
        <f t="array" ref="AR88">IFERROR(
(MEDIAN((IF(DATOS_[[Sexo]:[Sexo]]=$B88,IF(DATOS_[[AGRUP. CLAS. PROF.]:[AGRUP. CLAS. PROF.]]=$B87,IF(DATOS_[[Check Periodo Ref.]:[Check Periodo Ref.]]="Dentro",IF(DATOS_[[Check Equiparado]:[Check Equiparado]]="Sí",IF(DATOS!BK$5="Sí",(1/DATOS_[[% anualiz]:[% anualiz]]),1)*IF(DATOS!BK$4="Sí",1/DATOS_[[% normaliz]:[% normaliz]],1)*(DATOS_[C.Extra.03])))))))),
0)</f>
        <v>0</v>
      </c>
      <c r="AS88" s="114">
        <f t="array" ref="AS88">IFERROR(
(MEDIAN((IF(DATOS_[[Sexo]:[Sexo]]=$B88,IF(DATOS_[[AGRUP. CLAS. PROF.]:[AGRUP. CLAS. PROF.]]=$B87,IF(DATOS_[[Check Periodo Ref.]:[Check Periodo Ref.]]="Dentro",IF(DATOS_[[Check Equiparado]:[Check Equiparado]]="Sí",IF(DATOS!BL$5="Sí",(1/DATOS_[[% anualiz]:[% anualiz]]),1)*IF(DATOS!BL$4="Sí",1/DATOS_[[% normaliz]:[% normaliz]],1)*(DATOS_[C.Extra.04])))))))),
0)</f>
        <v>0</v>
      </c>
      <c r="AT88" s="114">
        <f t="array" ref="AT88">IFERROR(
(MEDIAN((IF(DATOS_[[Sexo]:[Sexo]]=$B88,IF(DATOS_[[AGRUP. CLAS. PROF.]:[AGRUP. CLAS. PROF.]]=$B87,IF(DATOS_[[Check Periodo Ref.]:[Check Periodo Ref.]]="Dentro",IF(DATOS_[[Check Equiparado]:[Check Equiparado]]="Sí",IF(DATOS!BM$5="Sí",(1/DATOS_[[% anualiz]:[% anualiz]]),1)*IF(DATOS!BM$4="Sí",1/DATOS_[[% normaliz]:[% normaliz]],1)*(DATOS_[C.Extra.05])))))))),
0)</f>
        <v>0</v>
      </c>
      <c r="AU88" s="115">
        <f t="array" ref="AU88">IFERROR(
MEDIAN(IF(DATOS_[Sexo]=$B88,IF(DATOS_[[AGRUP. CLAS. PROF.]:[AGRUP. CLAS. PROF.]]=$B87,IF(DATOS_[Check Equiparado]="Sí",IF(DATOS_[Check Periodo Ref.]="Dentro",DATOS_[Tot Extrasalarial Eq],FALSE))))),
0)</f>
        <v>0</v>
      </c>
      <c r="AV88" s="116">
        <f t="array" ref="AV88">IFERROR(
MEDIAN(IF(DATOS_[Sexo]=$B88,IF(DATOS_[[AGRUP. CLAS. PROF.]:[AGRUP. CLAS. PROF.]]=$B87,IF(DATOS_[Check Equiparado]="Sí",IF(DATOS_[Check Periodo Ref.]="Dentro",DATOS_[TOTAL Retrib Eq],FALSE))))),
0)</f>
        <v>0</v>
      </c>
    </row>
    <row r="89" spans="1:48" hidden="1" x14ac:dyDescent="0.3">
      <c r="A89" s="42" t="str">
        <f t="shared" ref="A89" si="102">+A88</f>
        <v>[ocultar]</v>
      </c>
      <c r="B89" s="86" t="s">
        <v>163</v>
      </c>
      <c r="C89" s="33">
        <f t="array" ref="C89">SUM(IF($B89=DATOS_[Sexo],
IF($B87=DATOS_[AGRUP. CLAS. PROF.],
IF("Dentro"=DATOS_[Check Periodo Ref.],
1/(COUNTIFS(DATOS_[Sexo],$B89,DATOS_[AGRUP. CLAS. PROF.],$B87,DATOS_[Check Periodo Ref.],"Dentro",DATOS_[id],DATOS_[id]))))))</f>
        <v>0</v>
      </c>
      <c r="D89" s="35">
        <f>COUNTIFS(DATOS_[AGRUP. CLAS. PROF.],$B87,DATOS_[Sexo],$B89,DATOS_[Check Periodo Ref.],"Dentro")</f>
        <v>0</v>
      </c>
      <c r="E89" s="35">
        <f>COUNTIFS(DATOS_[AGRUP. CLAS. PROF.],$B87,DATOS_[Sexo],$B89,DATOS_[Check Periodo Ref.],"Dentro",DATOS_[Check Nº SC Norm],"Sí")</f>
        <v>0</v>
      </c>
      <c r="F89" s="35">
        <f>COUNTIFS(DATOS_[AGRUP. CLAS. PROF.],$B87,DATOS_[Sexo],$B89,DATOS_[Check Periodo Ref.],"Dentro",DATOS_[Check Nº SC Anualiz],"Sí")</f>
        <v>0</v>
      </c>
      <c r="G89" s="35">
        <f>COUNTIFS(DATOS_[AGRUP. CLAS. PROF.],$B87,DATOS_[Sexo],$B89,DATOS_[Check Periodo Ref.],"Dentro",DATOS_[Check Nº SC Norm y Anualiz],"Sí")</f>
        <v>0</v>
      </c>
      <c r="H89" s="35">
        <f>COUNTIFS(DATOS_[AGRUP. CLAS. PROF.],$B87,DATOS_[Sexo],$B89,DATOS_[Check Periodo Ref.],"Dentro",DATOS_[Check Equiparación],"Sí")</f>
        <v>0</v>
      </c>
      <c r="I89" s="110" cm="1">
        <f t="array" ref="I89">IFERROR(
MEDIAN(IF(DATOS_[Sexo]=$B89,IF(DATOS_[[AGRUP. CLAS. PROF.]:[AGRUP. CLAS. PROF.]]=$B87,IF(DATOS_[Check Equiparado]="Sí",IF(DATOS_[Check Periodo Ref.]="Dentro",DATOS_[SALARIO BASE Eq],FALSE))))),
0)</f>
        <v>0</v>
      </c>
      <c r="J89" s="111">
        <f t="array" ref="J89">IFERROR(
(MEDIAN((IF(DATOS_[[Sexo]:[Sexo]]=$B89,IF(DATOS_[[AGRUP. CLAS. PROF.]:[AGRUP. CLAS. PROF.]]=$B87,IF(DATOS_[[Check Periodo Ref.]:[Check Periodo Ref.]]="Dentro",IF(DATOS_[[Check Equiparado]:[Check Equiparado]]="Sí",IF(DATOS!AE$5="Sí",(1/DATOS_[[% anualiz]:[% anualiz]]),1)*IF(DATOS!AE$4="Sí",1/DATOS_[[% normaliz]:[% normaliz]],1)*(DATOS_[Conc.Sal.01])))))))),
0)</f>
        <v>0</v>
      </c>
      <c r="K89" s="111">
        <f t="array" ref="K89">IFERROR(
(MEDIAN((IF(DATOS_[[Sexo]:[Sexo]]=$B89,IF(DATOS_[[AGRUP. CLAS. PROF.]:[AGRUP. CLAS. PROF.]]=$B87,IF(DATOS_[[Check Periodo Ref.]:[Check Periodo Ref.]]="Dentro",IF(DATOS_[[Check Equiparado]:[Check Equiparado]]="Sí",IF(DATOS!AF$5="Sí",(1/DATOS_[[% anualiz]:[% anualiz]]),1)*IF(DATOS!AF$4="Sí",1/DATOS_[[% normaliz]:[% normaliz]],1)*(DATOS_[Conc.Sal.02])))))))),
0)</f>
        <v>0</v>
      </c>
      <c r="L89" s="111">
        <f t="array" ref="L89">IFERROR(
(MEDIAN((IF(DATOS_[[Sexo]:[Sexo]]=$B89,IF(DATOS_[[AGRUP. CLAS. PROF.]:[AGRUP. CLAS. PROF.]]=$B87,IF(DATOS_[[Check Periodo Ref.]:[Check Periodo Ref.]]="Dentro",IF(DATOS_[[Check Equiparado]:[Check Equiparado]]="Sí",IF(DATOS!AG$5="Sí",(1/DATOS_[[% anualiz]:[% anualiz]]),1)*IF(DATOS!AG$4="Sí",1/DATOS_[[% normaliz]:[% normaliz]],1)*(DATOS_[Conc.Sal.03])))))))),
0)</f>
        <v>0</v>
      </c>
      <c r="M89" s="111">
        <f t="array" ref="M89">IFERROR(
(MEDIAN((IF(DATOS_[[Sexo]:[Sexo]]=$B89,IF(DATOS_[[AGRUP. CLAS. PROF.]:[AGRUP. CLAS. PROF.]]=$B87,IF(DATOS_[[Check Periodo Ref.]:[Check Periodo Ref.]]="Dentro",IF(DATOS_[[Check Equiparado]:[Check Equiparado]]="Sí",IF(DATOS!AH$5="Sí",(1/DATOS_[[% anualiz]:[% anualiz]]),1)*IF(DATOS!AH$4="Sí",1/DATOS_[[% normaliz]:[% normaliz]],1)*(DATOS_[Conc.Sal.04])))))))),
0)</f>
        <v>0</v>
      </c>
      <c r="N89" s="111">
        <f t="array" ref="N89">IFERROR(
(MEDIAN((IF(DATOS_[[Sexo]:[Sexo]]=$B89,IF(DATOS_[[AGRUP. CLAS. PROF.]:[AGRUP. CLAS. PROF.]]=$B87,IF(DATOS_[[Check Periodo Ref.]:[Check Periodo Ref.]]="Dentro",IF(DATOS_[[Check Equiparado]:[Check Equiparado]]="Sí",IF(DATOS!AI$5="Sí",(1/DATOS_[[% anualiz]:[% anualiz]]),1)*IF(DATOS!AI$4="Sí",1/DATOS_[[% normaliz]:[% normaliz]],1)*(DATOS_[Conc.Sal.05])))))))),
0)</f>
        <v>0</v>
      </c>
      <c r="O89" s="111">
        <f t="array" ref="O89">IFERROR(
(MEDIAN((IF(DATOS_[[Sexo]:[Sexo]]=$B89,IF(DATOS_[[AGRUP. CLAS. PROF.]:[AGRUP. CLAS. PROF.]]=$B87,IF(DATOS_[[Check Periodo Ref.]:[Check Periodo Ref.]]="Dentro",IF(DATOS_[[Check Equiparado]:[Check Equiparado]]="Sí",IF(DATOS!AJ$5="Sí",(1/DATOS_[[% anualiz]:[% anualiz]]),1)*IF(DATOS!AJ$4="Sí",1/DATOS_[[% normaliz]:[% normaliz]],1)*(DATOS_[Conc.Sal.06])))))))),
0)</f>
        <v>0</v>
      </c>
      <c r="P89" s="111">
        <f t="array" ref="P89">IFERROR(
(MEDIAN((IF(DATOS_[[Sexo]:[Sexo]]=$B89,IF(DATOS_[[AGRUP. CLAS. PROF.]:[AGRUP. CLAS. PROF.]]=$B87,IF(DATOS_[[Check Periodo Ref.]:[Check Periodo Ref.]]="Dentro",IF(DATOS_[[Check Equiparado]:[Check Equiparado]]="Sí",IF(DATOS!AK$5="Sí",(1/DATOS_[[% anualiz]:[% anualiz]]),1)*IF(DATOS!AK$4="Sí",1/DATOS_[[% normaliz]:[% normaliz]],1)*(DATOS_[Conc.Sal.07])))))))),
0)</f>
        <v>0</v>
      </c>
      <c r="Q89" s="111">
        <f t="array" ref="Q89">IFERROR(
(MEDIAN((IF(DATOS_[[Sexo]:[Sexo]]=$B89,IF(DATOS_[[AGRUP. CLAS. PROF.]:[AGRUP. CLAS. PROF.]]=$B87,IF(DATOS_[[Check Periodo Ref.]:[Check Periodo Ref.]]="Dentro",IF(DATOS_[[Check Equiparado]:[Check Equiparado]]="Sí",IF(DATOS!AL$5="Sí",(1/DATOS_[[% anualiz]:[% anualiz]]),1)*IF(DATOS!AL$4="Sí",1/DATOS_[[% normaliz]:[% normaliz]],1)*(DATOS_[Conc.Sal.08])))))))),
0)</f>
        <v>0</v>
      </c>
      <c r="R89" s="111">
        <f t="array" ref="R89">IFERROR(
(MEDIAN((IF(DATOS_[[Sexo]:[Sexo]]=$B89,IF(DATOS_[[AGRUP. CLAS. PROF.]:[AGRUP. CLAS. PROF.]]=$B87,IF(DATOS_[[Check Periodo Ref.]:[Check Periodo Ref.]]="Dentro",IF(DATOS_[[Check Equiparado]:[Check Equiparado]]="Sí",IF(DATOS!AM$5="Sí",(1/DATOS_[[% anualiz]:[% anualiz]]),1)*IF(DATOS!AM$4="Sí",1/DATOS_[[% normaliz]:[% normaliz]],1)*(DATOS_[Conc.Sal.09])))))))),
0)</f>
        <v>0</v>
      </c>
      <c r="S89" s="111">
        <f t="array" ref="S89">IFERROR(
(MEDIAN((IF(DATOS_[[Sexo]:[Sexo]]=$B89,IF(DATOS_[[AGRUP. CLAS. PROF.]:[AGRUP. CLAS. PROF.]]=$B87,IF(DATOS_[[Check Periodo Ref.]:[Check Periodo Ref.]]="Dentro",IF(DATOS_[[Check Equiparado]:[Check Equiparado]]="Sí",IF(DATOS!AN$5="Sí",(1/DATOS_[[% anualiz]:[% anualiz]]),1)*IF(DATOS!AN$4="Sí",1/DATOS_[[% normaliz]:[% normaliz]],1)*(DATOS_[Conc.Sal.10])))))))),
0)</f>
        <v>0</v>
      </c>
      <c r="T89" s="111">
        <f t="array" ref="T89">IFERROR(
(MEDIAN((IF(DATOS_[[Sexo]:[Sexo]]=$B89,IF(DATOS_[[AGRUP. CLAS. PROF.]:[AGRUP. CLAS. PROF.]]=$B87,IF(DATOS_[[Check Periodo Ref.]:[Check Periodo Ref.]]="Dentro",IF(DATOS_[[Check Equiparado]:[Check Equiparado]]="Sí",IF(DATOS!AO$5="Sí",(1/DATOS_[[% anualiz]:[% anualiz]]),1)*IF(DATOS!AO$4="Sí",1/DATOS_[[% normaliz]:[% normaliz]],1)*(DATOS_[Conc.Sal.11])))))))),
0)</f>
        <v>0</v>
      </c>
      <c r="U89" s="111">
        <f t="array" ref="U89">IFERROR(
(MEDIAN((IF(DATOS_[[Sexo]:[Sexo]]=$B89,IF(DATOS_[[AGRUP. CLAS. PROF.]:[AGRUP. CLAS. PROF.]]=$B87,IF(DATOS_[[Check Periodo Ref.]:[Check Periodo Ref.]]="Dentro",IF(DATOS_[[Check Equiparado]:[Check Equiparado]]="Sí",IF(DATOS!AP$5="Sí",(1/DATOS_[[% anualiz]:[% anualiz]]),1)*IF(DATOS!AP$4="Sí",1/DATOS_[[% normaliz]:[% normaliz]],1)*(DATOS_[Conc.Sal.12])))))))),
0)</f>
        <v>0</v>
      </c>
      <c r="V89" s="111">
        <f t="array" ref="V89">IFERROR(
(MEDIAN((IF(DATOS_[[Sexo]:[Sexo]]=$B89,IF(DATOS_[[AGRUP. CLAS. PROF.]:[AGRUP. CLAS. PROF.]]=$B87,IF(DATOS_[[Check Periodo Ref.]:[Check Periodo Ref.]]="Dentro",IF(DATOS_[[Check Equiparado]:[Check Equiparado]]="Sí",IF(DATOS!AQ$5="Sí",(1/DATOS_[[% anualiz]:[% anualiz]]),1)*IF(DATOS!AQ$4="Sí",1/DATOS_[[% normaliz]:[% normaliz]],1)*(DATOS_[Conc.Sal.13])))))))),
0)</f>
        <v>0</v>
      </c>
      <c r="W89" s="111">
        <f t="array" ref="W89">IFERROR(
(MEDIAN((IF(DATOS_[[Sexo]:[Sexo]]=$B89,IF(DATOS_[[AGRUP. CLAS. PROF.]:[AGRUP. CLAS. PROF.]]=$B87,IF(DATOS_[[Check Periodo Ref.]:[Check Periodo Ref.]]="Dentro",IF(DATOS_[[Check Equiparado]:[Check Equiparado]]="Sí",IF(DATOS!AR$5="Sí",(1/DATOS_[[% anualiz]:[% anualiz]]),1)*IF(DATOS!AR$4="Sí",1/DATOS_[[% normaliz]:[% normaliz]],1)*(DATOS_[Conc.Sal.14])))))))),
0)</f>
        <v>0</v>
      </c>
      <c r="X89" s="111">
        <f t="array" ref="X89">IFERROR(
(MEDIAN((IF(DATOS_[[Sexo]:[Sexo]]=$B89,IF(DATOS_[[AGRUP. CLAS. PROF.]:[AGRUP. CLAS. PROF.]]=$B87,IF(DATOS_[[Check Periodo Ref.]:[Check Periodo Ref.]]="Dentro",IF(DATOS_[[Check Equiparado]:[Check Equiparado]]="Sí",IF(DATOS!AS$5="Sí",(1/DATOS_[[% anualiz]:[% anualiz]]),1)*IF(DATOS!AS$4="Sí",1/DATOS_[[% normaliz]:[% normaliz]],1)*(DATOS_[Conc.Sal.15])))))))),
0)</f>
        <v>0</v>
      </c>
      <c r="Y89" s="111">
        <f t="array" ref="Y89">IFERROR(
(MEDIAN((IF(DATOS_[[Sexo]:[Sexo]]=$B89,IF(DATOS_[[AGRUP. CLAS. PROF.]:[AGRUP. CLAS. PROF.]]=$B87,IF(DATOS_[[Check Periodo Ref.]:[Check Periodo Ref.]]="Dentro",IF(DATOS_[[Check Equiparado]:[Check Equiparado]]="Sí",IF(DATOS!AT$5="Sí",(1/DATOS_[[% anualiz]:[% anualiz]]),1)*IF(DATOS!AT$4="Sí",1/DATOS_[[% normaliz]:[% normaliz]],1)*(DATOS_[Conc.Sal.16])))))))),
0)</f>
        <v>0</v>
      </c>
      <c r="Z89" s="111">
        <f t="array" ref="Z89">IFERROR(
(MEDIAN((IF(DATOS_[[Sexo]:[Sexo]]=$B89,IF(DATOS_[[AGRUP. CLAS. PROF.]:[AGRUP. CLAS. PROF.]]=$B87,IF(DATOS_[[Check Periodo Ref.]:[Check Periodo Ref.]]="Dentro",IF(DATOS_[[Check Equiparado]:[Check Equiparado]]="Sí",IF(DATOS!AU$5="Sí",(1/DATOS_[[% anualiz]:[% anualiz]]),1)*IF(DATOS!AU$4="Sí",1/DATOS_[[% normaliz]:[% normaliz]],1)*(DATOS_[Conc.Sal.17])))))))),
0)</f>
        <v>0</v>
      </c>
      <c r="AA89" s="111">
        <f t="array" ref="AA89">IFERROR(
(MEDIAN((IF(DATOS_[[Sexo]:[Sexo]]=$B89,IF(DATOS_[[AGRUP. CLAS. PROF.]:[AGRUP. CLAS. PROF.]]=$B87,IF(DATOS_[[Check Periodo Ref.]:[Check Periodo Ref.]]="Dentro",IF(DATOS_[[Check Equiparado]:[Check Equiparado]]="Sí",IF(DATOS!AV$5="Sí",(1/DATOS_[[% anualiz]:[% anualiz]]),1)*IF(DATOS!AV$4="Sí",1/DATOS_[[% normaliz]:[% normaliz]],1)*(DATOS_[Conc.Sal.18])))))))),
0)</f>
        <v>0</v>
      </c>
      <c r="AB89" s="111">
        <f t="array" ref="AB89">IFERROR(
(MEDIAN((IF(DATOS_[[Sexo]:[Sexo]]=$B89,IF(DATOS_[[AGRUP. CLAS. PROF.]:[AGRUP. CLAS. PROF.]]=$B87,IF(DATOS_[[Check Periodo Ref.]:[Check Periodo Ref.]]="Dentro",IF(DATOS_[[Check Equiparado]:[Check Equiparado]]="Sí",IF(DATOS!AW$5="Sí",(1/DATOS_[[% anualiz]:[% anualiz]]),1)*IF(DATOS!AW$4="Sí",1/DATOS_[[% normaliz]:[% normaliz]],1)*(DATOS_[Conc.Sal.19])))))))),
0)</f>
        <v>0</v>
      </c>
      <c r="AC89" s="111">
        <f t="array" ref="AC89">IFERROR(
(MEDIAN((IF(DATOS_[[Sexo]:[Sexo]]=$B89,IF(DATOS_[[AGRUP. CLAS. PROF.]:[AGRUP. CLAS. PROF.]]=$B87,IF(DATOS_[[Check Periodo Ref.]:[Check Periodo Ref.]]="Dentro",IF(DATOS_[[Check Equiparado]:[Check Equiparado]]="Sí",IF(DATOS!AX$5="Sí",(1/DATOS_[[% anualiz]:[% anualiz]]),1)*IF(DATOS!AX$4="Sí",1/DATOS_[[% normaliz]:[% normaliz]],1)*(DATOS_[Conc.Sal.20])))))))),
0)</f>
        <v>0</v>
      </c>
      <c r="AD89" s="111">
        <f t="array" ref="AD89">IFERROR(
(MEDIAN((IF(DATOS_[[Sexo]:[Sexo]]=$B89,IF(DATOS_[[AGRUP. CLAS. PROF.]:[AGRUP. CLAS. PROF.]]=$B87,IF(DATOS_[[Check Periodo Ref.]:[Check Periodo Ref.]]="Dentro",IF(DATOS_[[Check Equiparado]:[Check Equiparado]]="Sí",IF(DATOS!AY$5="Sí",(1/DATOS_[[% anualiz]:[% anualiz]]),1)*IF(DATOS!AY$4="Sí",1/DATOS_[[% normaliz]:[% normaliz]],1)*(DATOS_[Conc.Sal.21])))))))),
0)</f>
        <v>0</v>
      </c>
      <c r="AE89" s="111">
        <f t="array" ref="AE89">IFERROR(
(MEDIAN((IF(DATOS_[[Sexo]:[Sexo]]=$B89,IF(DATOS_[[AGRUP. CLAS. PROF.]:[AGRUP. CLAS. PROF.]]=$B87,IF(DATOS_[[Check Periodo Ref.]:[Check Periodo Ref.]]="Dentro",IF(DATOS_[[Check Equiparado]:[Check Equiparado]]="Sí",IF(DATOS!AZ$5="Sí",(1/DATOS_[[% anualiz]:[% anualiz]]),1)*IF(DATOS!AZ$4="Sí",1/DATOS_[[% normaliz]:[% normaliz]],1)*(DATOS_[Conc.Sal.22])))))))),
0)</f>
        <v>0</v>
      </c>
      <c r="AF89" s="111">
        <f t="array" ref="AF89">IFERROR(
(MEDIAN((IF(DATOS_[[Sexo]:[Sexo]]=$B89,IF(DATOS_[[AGRUP. CLAS. PROF.]:[AGRUP. CLAS. PROF.]]=$B87,IF(DATOS_[[Check Periodo Ref.]:[Check Periodo Ref.]]="Dentro",IF(DATOS_[[Check Equiparado]:[Check Equiparado]]="Sí",IF(DATOS!BA$5="Sí",(1/DATOS_[[% anualiz]:[% anualiz]]),1)*IF(DATOS!BA$4="Sí",1/DATOS_[[% normaliz]:[% normaliz]],1)*(DATOS_[Conc.Sal.23])))))))),
0)</f>
        <v>0</v>
      </c>
      <c r="AG89" s="111">
        <f t="array" ref="AG89">IFERROR(
(MEDIAN((IF(DATOS_[[Sexo]:[Sexo]]=$B89,IF(DATOS_[[AGRUP. CLAS. PROF.]:[AGRUP. CLAS. PROF.]]=$B87,IF(DATOS_[[Check Periodo Ref.]:[Check Periodo Ref.]]="Dentro",IF(DATOS_[[Check Equiparado]:[Check Equiparado]]="Sí",IF(DATOS!BB$5="Sí",(1/DATOS_[[% anualiz]:[% anualiz]]),1)*IF(DATOS!BB$4="Sí",1/DATOS_[[% normaliz]:[% normaliz]],1)*(DATOS_[Conc.Sal.24])))))))),
0)</f>
        <v>0</v>
      </c>
      <c r="AH89" s="111">
        <f t="array" ref="AH89">IFERROR(
(MEDIAN((IF(DATOS_[[Sexo]:[Sexo]]=$B89,IF(DATOS_[[AGRUP. CLAS. PROF.]:[AGRUP. CLAS. PROF.]]=$B87,IF(DATOS_[[Check Periodo Ref.]:[Check Periodo Ref.]]="Dentro",IF(DATOS_[[Check Equiparado]:[Check Equiparado]]="Sí",IF(DATOS!BC$5="Sí",(1/DATOS_[[% anualiz]:[% anualiz]]),1)*IF(DATOS!BC$4="Sí",1/DATOS_[[% normaliz]:[% normaliz]],1)*(DATOS_[Conc.Sal.25])))))))),
0)</f>
        <v>0</v>
      </c>
      <c r="AI89" s="111">
        <f t="array" ref="AI89">IFERROR(
(MEDIAN((IF(DATOS_[[Sexo]:[Sexo]]=$B89,IF(DATOS_[[AGRUP. CLAS. PROF.]:[AGRUP. CLAS. PROF.]]=$B87,IF(DATOS_[[Check Periodo Ref.]:[Check Periodo Ref.]]="Dentro",IF(DATOS_[[Check Equiparado]:[Check Equiparado]]="Sí",IF(DATOS!BD$5="Sí",(1/DATOS_[[% anualiz]:[% anualiz]]),1)*IF(DATOS!BD$4="Sí",1/DATOS_[[% normaliz]:[% normaliz]],1)*(DATOS_[Conc.Sal.26])))))))),
0)</f>
        <v>0</v>
      </c>
      <c r="AJ89" s="111">
        <f t="array" ref="AJ89">IFERROR(
(MEDIAN((IF(DATOS_[[Sexo]:[Sexo]]=$B89,IF(DATOS_[[AGRUP. CLAS. PROF.]:[AGRUP. CLAS. PROF.]]=$B87,IF(DATOS_[[Check Periodo Ref.]:[Check Periodo Ref.]]="Dentro",IF(DATOS_[[Check Equiparado]:[Check Equiparado]]="Sí",IF(DATOS!BE$5="Sí",(1/DATOS_[[% anualiz]:[% anualiz]]),1)*IF(DATOS!BE$4="Sí",1/DATOS_[[% normaliz]:[% normaliz]],1)*(DATOS_[Conc.Sal.27])))))))),
0)</f>
        <v>0</v>
      </c>
      <c r="AK89" s="111">
        <f t="array" ref="AK89">IFERROR(
(MEDIAN((IF(DATOS_[[Sexo]:[Sexo]]=$B89,IF(DATOS_[[AGRUP. CLAS. PROF.]:[AGRUP. CLAS. PROF.]]=$B87,IF(DATOS_[[Check Periodo Ref.]:[Check Periodo Ref.]]="Dentro",IF(DATOS_[[Check Equiparado]:[Check Equiparado]]="Sí",IF(DATOS!BF$5="Sí",(1/DATOS_[[% anualiz]:[% anualiz]]),1)*IF(DATOS!BF$4="Sí",1/DATOS_[[% normaliz]:[% normaliz]],1)*(DATOS_[Conc.Sal.28])))))))),
0)</f>
        <v>0</v>
      </c>
      <c r="AL89" s="111">
        <f t="array" ref="AL89">IFERROR(
(MEDIAN((IF(DATOS_[[Sexo]:[Sexo]]=$B89,IF(DATOS_[[AGRUP. CLAS. PROF.]:[AGRUP. CLAS. PROF.]]=$B87,IF(DATOS_[[Check Periodo Ref.]:[Check Periodo Ref.]]="Dentro",IF(DATOS_[[Check Equiparado]:[Check Equiparado]]="Sí",IF(DATOS!BG$5="Sí",(1/DATOS_[[% anualiz]:[% anualiz]]),1)*IF(DATOS!BG$4="Sí",1/DATOS_[[% normaliz]:[% normaliz]],1)*(DATOS_[Conc.Sal.29])))))))),
0)</f>
        <v>0</v>
      </c>
      <c r="AM89" s="111">
        <f t="array" ref="AM89">IFERROR(
(MEDIAN((IF(DATOS_[[Sexo]:[Sexo]]=$B89,IF(DATOS_[[AGRUP. CLAS. PROF.]:[AGRUP. CLAS. PROF.]]=$B87,IF(DATOS_[[Check Periodo Ref.]:[Check Periodo Ref.]]="Dentro",IF(DATOS_[[Check Equiparado]:[Check Equiparado]]="Sí",IF(DATOS!BH$5="Sí",(1/DATOS_[[% anualiz]:[% anualiz]]),1)*IF(DATOS!BH$4="Sí",1/DATOS_[[% normaliz]:[% normaliz]],1)*(DATOS_[Conc.Sal.30])))))))),
0)</f>
        <v>0</v>
      </c>
      <c r="AN89" s="112">
        <f t="array" ref="AN89">IFERROR(
MEDIAN(IF(DATOS_[Sexo]=$B89,IF(DATOS_[[AGRUP. CLAS. PROF.]:[AGRUP. CLAS. PROF.]]=$B87,IF(DATOS_[Check Equiparado]="Sí",IF(DATOS_[Check Periodo Ref.]="Dentro",DATOS_[Tot COMPL.SAL Eq],FALSE))))),
0)</f>
        <v>0</v>
      </c>
      <c r="AO89" s="113">
        <f t="array" ref="AO89">IFERROR(
MEDIAN(IF(DATOS_[Sexo]=$B89,IF(DATOS_[[AGRUP. CLAS. PROF.]:[AGRUP. CLAS. PROF.]]=$B87,IF(DATOS_[Check Equiparado]="Sí",IF(DATOS_[Check Periodo Ref.]="Dentro",DATOS_[TOTAL SALARIO Eq],FALSE))))),
0)</f>
        <v>0</v>
      </c>
      <c r="AP89" s="114">
        <f t="array" ref="AP89">IFERROR(
(MEDIAN((IF(DATOS_[[Sexo]:[Sexo]]=$B89,IF(DATOS_[[AGRUP. CLAS. PROF.]:[AGRUP. CLAS. PROF.]]=$B87,IF(DATOS_[[Check Periodo Ref.]:[Check Periodo Ref.]]="Dentro",IF(DATOS_[[Check Equiparado]:[Check Equiparado]]="Sí",IF(DATOS!BI$5="Sí",(1/DATOS_[[% anualiz]:[% anualiz]]),1)*IF(DATOS!BI$4="Sí",1/DATOS_[[% normaliz]:[% normaliz]],1)*(DATOS_[C.Extra.01])))))))),
0)</f>
        <v>0</v>
      </c>
      <c r="AQ89" s="114">
        <f t="array" ref="AQ89">IFERROR(
(MEDIAN((IF(DATOS_[[Sexo]:[Sexo]]=$B89,IF(DATOS_[[AGRUP. CLAS. PROF.]:[AGRUP. CLAS. PROF.]]=$B87,IF(DATOS_[[Check Periodo Ref.]:[Check Periodo Ref.]]="Dentro",IF(DATOS_[[Check Equiparado]:[Check Equiparado]]="Sí",IF(DATOS!BJ$5="Sí",(1/DATOS_[[% anualiz]:[% anualiz]]),1)*IF(DATOS!BJ$4="Sí",1/DATOS_[[% normaliz]:[% normaliz]],1)*(DATOS_[C.Extra.02])))))))),
0)</f>
        <v>0</v>
      </c>
      <c r="AR89" s="114">
        <f t="array" ref="AR89">IFERROR(
(MEDIAN((IF(DATOS_[[Sexo]:[Sexo]]=$B89,IF(DATOS_[[AGRUP. CLAS. PROF.]:[AGRUP. CLAS. PROF.]]=$B87,IF(DATOS_[[Check Periodo Ref.]:[Check Periodo Ref.]]="Dentro",IF(DATOS_[[Check Equiparado]:[Check Equiparado]]="Sí",IF(DATOS!BK$5="Sí",(1/DATOS_[[% anualiz]:[% anualiz]]),1)*IF(DATOS!BK$4="Sí",1/DATOS_[[% normaliz]:[% normaliz]],1)*(DATOS_[C.Extra.03])))))))),
0)</f>
        <v>0</v>
      </c>
      <c r="AS89" s="114">
        <f t="array" ref="AS89">IFERROR(
(MEDIAN((IF(DATOS_[[Sexo]:[Sexo]]=$B89,IF(DATOS_[[AGRUP. CLAS. PROF.]:[AGRUP. CLAS. PROF.]]=$B87,IF(DATOS_[[Check Periodo Ref.]:[Check Periodo Ref.]]="Dentro",IF(DATOS_[[Check Equiparado]:[Check Equiparado]]="Sí",IF(DATOS!BL$5="Sí",(1/DATOS_[[% anualiz]:[% anualiz]]),1)*IF(DATOS!BL$4="Sí",1/DATOS_[[% normaliz]:[% normaliz]],1)*(DATOS_[C.Extra.04])))))))),
0)</f>
        <v>0</v>
      </c>
      <c r="AT89" s="114">
        <f t="array" ref="AT89">IFERROR(
(MEDIAN((IF(DATOS_[[Sexo]:[Sexo]]=$B89,IF(DATOS_[[AGRUP. CLAS. PROF.]:[AGRUP. CLAS. PROF.]]=$B87,IF(DATOS_[[Check Periodo Ref.]:[Check Periodo Ref.]]="Dentro",IF(DATOS_[[Check Equiparado]:[Check Equiparado]]="Sí",IF(DATOS!BM$5="Sí",(1/DATOS_[[% anualiz]:[% anualiz]]),1)*IF(DATOS!BM$4="Sí",1/DATOS_[[% normaliz]:[% normaliz]],1)*(DATOS_[C.Extra.05])))))))),
0)</f>
        <v>0</v>
      </c>
      <c r="AU89" s="115">
        <f t="array" ref="AU89">IFERROR(
MEDIAN(IF(DATOS_[Sexo]=$B89,IF(DATOS_[[AGRUP. CLAS. PROF.]:[AGRUP. CLAS. PROF.]]=$B87,IF(DATOS_[Check Equiparado]="Sí",IF(DATOS_[Check Periodo Ref.]="Dentro",DATOS_[Tot Extrasalarial Eq],FALSE))))),
0)</f>
        <v>0</v>
      </c>
      <c r="AV89" s="116">
        <f t="array" ref="AV89">IFERROR(
MEDIAN(IF(DATOS_[Sexo]=$B89,IF(DATOS_[[AGRUP. CLAS. PROF.]:[AGRUP. CLAS. PROF.]]=$B87,IF(DATOS_[Check Equiparado]="Sí",IF(DATOS_[Check Periodo Ref.]="Dentro",DATOS_[TOTAL Retrib Eq],FALSE))))),
0)</f>
        <v>0</v>
      </c>
    </row>
    <row r="90" spans="1:48" ht="17.25" hidden="1" thickBot="1" x14ac:dyDescent="0.35">
      <c r="A90" s="42" t="str">
        <f t="shared" ref="A90" si="103">+A91</f>
        <v>[ocultar]</v>
      </c>
      <c r="B90" s="90" t="s">
        <v>242</v>
      </c>
      <c r="C90" s="109"/>
      <c r="D90" s="41"/>
      <c r="E90" s="41"/>
      <c r="F90" s="41"/>
      <c r="G90" s="41"/>
      <c r="H90" s="41"/>
      <c r="I90" s="119" t="str">
        <f t="shared" ref="I90:AV90" si="104">IFERROR((I91-I92)/I91,"")</f>
        <v/>
      </c>
      <c r="J90" s="123" t="str">
        <f t="shared" si="104"/>
        <v/>
      </c>
      <c r="K90" s="123" t="str">
        <f t="shared" si="104"/>
        <v/>
      </c>
      <c r="L90" s="123" t="str">
        <f t="shared" si="104"/>
        <v/>
      </c>
      <c r="M90" s="123" t="str">
        <f t="shared" si="104"/>
        <v/>
      </c>
      <c r="N90" s="123" t="str">
        <f t="shared" si="104"/>
        <v/>
      </c>
      <c r="O90" s="123" t="str">
        <f t="shared" si="104"/>
        <v/>
      </c>
      <c r="P90" s="123" t="str">
        <f t="shared" si="104"/>
        <v/>
      </c>
      <c r="Q90" s="123" t="str">
        <f t="shared" si="104"/>
        <v/>
      </c>
      <c r="R90" s="123" t="str">
        <f t="shared" si="104"/>
        <v/>
      </c>
      <c r="S90" s="123" t="str">
        <f t="shared" si="104"/>
        <v/>
      </c>
      <c r="T90" s="123" t="str">
        <f t="shared" si="104"/>
        <v/>
      </c>
      <c r="U90" s="123" t="str">
        <f t="shared" si="104"/>
        <v/>
      </c>
      <c r="V90" s="123" t="str">
        <f t="shared" si="104"/>
        <v/>
      </c>
      <c r="W90" s="123" t="str">
        <f t="shared" si="104"/>
        <v/>
      </c>
      <c r="X90" s="123" t="str">
        <f t="shared" si="104"/>
        <v/>
      </c>
      <c r="Y90" s="123" t="str">
        <f t="shared" si="104"/>
        <v/>
      </c>
      <c r="Z90" s="122" t="str">
        <f t="shared" si="104"/>
        <v/>
      </c>
      <c r="AA90" s="122" t="str">
        <f t="shared" si="104"/>
        <v/>
      </c>
      <c r="AB90" s="122" t="str">
        <f t="shared" si="104"/>
        <v/>
      </c>
      <c r="AC90" s="122" t="str">
        <f t="shared" si="104"/>
        <v/>
      </c>
      <c r="AD90" s="122" t="str">
        <f t="shared" si="104"/>
        <v/>
      </c>
      <c r="AE90" s="122" t="str">
        <f t="shared" si="104"/>
        <v/>
      </c>
      <c r="AF90" s="122" t="str">
        <f t="shared" si="104"/>
        <v/>
      </c>
      <c r="AG90" s="122" t="str">
        <f t="shared" si="104"/>
        <v/>
      </c>
      <c r="AH90" s="122" t="str">
        <f t="shared" si="104"/>
        <v/>
      </c>
      <c r="AI90" s="122" t="str">
        <f t="shared" si="104"/>
        <v/>
      </c>
      <c r="AJ90" s="122" t="str">
        <f t="shared" si="104"/>
        <v/>
      </c>
      <c r="AK90" s="122" t="str">
        <f t="shared" si="104"/>
        <v/>
      </c>
      <c r="AL90" s="122" t="str">
        <f t="shared" si="104"/>
        <v/>
      </c>
      <c r="AM90" s="122" t="str">
        <f t="shared" si="104"/>
        <v/>
      </c>
      <c r="AN90" s="124" t="str">
        <f t="shared" si="104"/>
        <v/>
      </c>
      <c r="AO90" s="128" t="str">
        <f t="shared" si="104"/>
        <v/>
      </c>
      <c r="AP90" s="125" t="str">
        <f t="shared" si="104"/>
        <v/>
      </c>
      <c r="AQ90" s="125" t="str">
        <f t="shared" si="104"/>
        <v/>
      </c>
      <c r="AR90" s="125" t="str">
        <f t="shared" si="104"/>
        <v/>
      </c>
      <c r="AS90" s="125" t="str">
        <f t="shared" si="104"/>
        <v/>
      </c>
      <c r="AT90" s="125" t="str">
        <f t="shared" si="104"/>
        <v/>
      </c>
      <c r="AU90" s="126" t="str">
        <f t="shared" si="104"/>
        <v/>
      </c>
      <c r="AV90" s="127" t="str">
        <f t="shared" si="104"/>
        <v/>
      </c>
    </row>
    <row r="91" spans="1:48" hidden="1" x14ac:dyDescent="0.3">
      <c r="A91" s="42" t="str">
        <f t="shared" ref="A91" si="105">+IF(C91+C92=0,"[ocultar]","")</f>
        <v>[ocultar]</v>
      </c>
      <c r="B91" s="86" t="s">
        <v>162</v>
      </c>
      <c r="C91" s="33">
        <f t="array" ref="C91">SUM(IF($B91=DATOS_[Sexo],
IF($B90=DATOS_[AGRUP. CLAS. PROF.],
IF("Dentro"=DATOS_[Check Periodo Ref.],
1/(COUNTIFS(DATOS_[Sexo],$B91,DATOS_[AGRUP. CLAS. PROF.],$B90,DATOS_[Check Periodo Ref.],"Dentro",DATOS_[id],DATOS_[id]))))))</f>
        <v>0</v>
      </c>
      <c r="D91" s="35">
        <f>COUNTIFS(DATOS_[AGRUP. CLAS. PROF.],$B90,DATOS_[Sexo],$B91,DATOS_[Check Periodo Ref.],"Dentro")</f>
        <v>0</v>
      </c>
      <c r="E91" s="35">
        <f>COUNTIFS(DATOS_[AGRUP. CLAS. PROF.],$B90,DATOS_[Sexo],$B91,DATOS_[Check Periodo Ref.],"Dentro",DATOS_[Check Nº SC Norm],"Sí")</f>
        <v>0</v>
      </c>
      <c r="F91" s="35">
        <f>COUNTIFS(DATOS_[AGRUP. CLAS. PROF.],$B90,DATOS_[Sexo],$B91,DATOS_[Check Periodo Ref.],"Dentro",DATOS_[Check Nº SC Anualiz],"Sí")</f>
        <v>0</v>
      </c>
      <c r="G91" s="35">
        <f>COUNTIFS(DATOS_[AGRUP. CLAS. PROF.],$B90,DATOS_[Sexo],$B91,DATOS_[Check Periodo Ref.],"Dentro",DATOS_[Check Nº SC Norm y Anualiz],"Sí")</f>
        <v>0</v>
      </c>
      <c r="H91" s="35">
        <f>COUNTIFS(DATOS_[AGRUP. CLAS. PROF.],$B90,DATOS_[Sexo],$B91,DATOS_[Check Periodo Ref.],"Dentro",DATOS_[Check Equiparación],"Sí")</f>
        <v>0</v>
      </c>
      <c r="I91" s="110">
        <f t="array" ref="I91">IFERROR(
MEDIAN(IF(DATOS_[Sexo]=$B91,IF(DATOS_[[AGRUP. CLAS. PROF.]:[AGRUP. CLAS. PROF.]]=$B90,IF(DATOS_[Check Equiparado]="Sí",IF(DATOS_[Check Periodo Ref.]="Dentro",DATOS_[SALARIO BASE Eq],FALSE))))),
0)</f>
        <v>0</v>
      </c>
      <c r="J91" s="111">
        <f t="array" ref="J91">IFERROR(
(MEDIAN((IF(DATOS_[[Sexo]:[Sexo]]=$B91,IF(DATOS_[[AGRUP. CLAS. PROF.]:[AGRUP. CLAS. PROF.]]=$B90,IF(DATOS_[[Check Periodo Ref.]:[Check Periodo Ref.]]="Dentro",IF(DATOS_[[Check Equiparado]:[Check Equiparado]]="Sí",IF(DATOS!AE$5="Sí",(1/DATOS_[[% anualiz]:[% anualiz]]),1)*IF(DATOS!AE$4="Sí",1/DATOS_[[% normaliz]:[% normaliz]],1)*(DATOS_[Conc.Sal.01])))))))),
0)</f>
        <v>0</v>
      </c>
      <c r="K91" s="111">
        <f t="array" ref="K91">IFERROR(
(MEDIAN((IF(DATOS_[[Sexo]:[Sexo]]=$B91,IF(DATOS_[[AGRUP. CLAS. PROF.]:[AGRUP. CLAS. PROF.]]=$B90,IF(DATOS_[[Check Periodo Ref.]:[Check Periodo Ref.]]="Dentro",IF(DATOS_[[Check Equiparado]:[Check Equiparado]]="Sí",IF(DATOS!AF$5="Sí",(1/DATOS_[[% anualiz]:[% anualiz]]),1)*IF(DATOS!AF$4="Sí",1/DATOS_[[% normaliz]:[% normaliz]],1)*(DATOS_[Conc.Sal.02])))))))),
0)</f>
        <v>0</v>
      </c>
      <c r="L91" s="111">
        <f t="array" ref="L91">IFERROR(
(MEDIAN((IF(DATOS_[[Sexo]:[Sexo]]=$B91,IF(DATOS_[[AGRUP. CLAS. PROF.]:[AGRUP. CLAS. PROF.]]=$B90,IF(DATOS_[[Check Periodo Ref.]:[Check Periodo Ref.]]="Dentro",IF(DATOS_[[Check Equiparado]:[Check Equiparado]]="Sí",IF(DATOS!AG$5="Sí",(1/DATOS_[[% anualiz]:[% anualiz]]),1)*IF(DATOS!AG$4="Sí",1/DATOS_[[% normaliz]:[% normaliz]],1)*(DATOS_[Conc.Sal.03])))))))),
0)</f>
        <v>0</v>
      </c>
      <c r="M91" s="111">
        <f t="array" ref="M91">IFERROR(
(MEDIAN((IF(DATOS_[[Sexo]:[Sexo]]=$B91,IF(DATOS_[[AGRUP. CLAS. PROF.]:[AGRUP. CLAS. PROF.]]=$B90,IF(DATOS_[[Check Periodo Ref.]:[Check Periodo Ref.]]="Dentro",IF(DATOS_[[Check Equiparado]:[Check Equiparado]]="Sí",IF(DATOS!AH$5="Sí",(1/DATOS_[[% anualiz]:[% anualiz]]),1)*IF(DATOS!AH$4="Sí",1/DATOS_[[% normaliz]:[% normaliz]],1)*(DATOS_[Conc.Sal.04])))))))),
0)</f>
        <v>0</v>
      </c>
      <c r="N91" s="111">
        <f t="array" ref="N91">IFERROR(
(MEDIAN((IF(DATOS_[[Sexo]:[Sexo]]=$B91,IF(DATOS_[[AGRUP. CLAS. PROF.]:[AGRUP. CLAS. PROF.]]=$B90,IF(DATOS_[[Check Periodo Ref.]:[Check Periodo Ref.]]="Dentro",IF(DATOS_[[Check Equiparado]:[Check Equiparado]]="Sí",IF(DATOS!AI$5="Sí",(1/DATOS_[[% anualiz]:[% anualiz]]),1)*IF(DATOS!AI$4="Sí",1/DATOS_[[% normaliz]:[% normaliz]],1)*(DATOS_[Conc.Sal.05])))))))),
0)</f>
        <v>0</v>
      </c>
      <c r="O91" s="111">
        <f t="array" ref="O91">IFERROR(
(MEDIAN((IF(DATOS_[[Sexo]:[Sexo]]=$B91,IF(DATOS_[[AGRUP. CLAS. PROF.]:[AGRUP. CLAS. PROF.]]=$B90,IF(DATOS_[[Check Periodo Ref.]:[Check Periodo Ref.]]="Dentro",IF(DATOS_[[Check Equiparado]:[Check Equiparado]]="Sí",IF(DATOS!AJ$5="Sí",(1/DATOS_[[% anualiz]:[% anualiz]]),1)*IF(DATOS!AJ$4="Sí",1/DATOS_[[% normaliz]:[% normaliz]],1)*(DATOS_[Conc.Sal.06])))))))),
0)</f>
        <v>0</v>
      </c>
      <c r="P91" s="111">
        <f t="array" ref="P91">IFERROR(
(MEDIAN((IF(DATOS_[[Sexo]:[Sexo]]=$B91,IF(DATOS_[[AGRUP. CLAS. PROF.]:[AGRUP. CLAS. PROF.]]=$B90,IF(DATOS_[[Check Periodo Ref.]:[Check Periodo Ref.]]="Dentro",IF(DATOS_[[Check Equiparado]:[Check Equiparado]]="Sí",IF(DATOS!AK$5="Sí",(1/DATOS_[[% anualiz]:[% anualiz]]),1)*IF(DATOS!AK$4="Sí",1/DATOS_[[% normaliz]:[% normaliz]],1)*(DATOS_[Conc.Sal.07])))))))),
0)</f>
        <v>0</v>
      </c>
      <c r="Q91" s="111">
        <f t="array" ref="Q91">IFERROR(
(MEDIAN((IF(DATOS_[[Sexo]:[Sexo]]=$B91,IF(DATOS_[[AGRUP. CLAS. PROF.]:[AGRUP. CLAS. PROF.]]=$B90,IF(DATOS_[[Check Periodo Ref.]:[Check Periodo Ref.]]="Dentro",IF(DATOS_[[Check Equiparado]:[Check Equiparado]]="Sí",IF(DATOS!AL$5="Sí",(1/DATOS_[[% anualiz]:[% anualiz]]),1)*IF(DATOS!AL$4="Sí",1/DATOS_[[% normaliz]:[% normaliz]],1)*(DATOS_[Conc.Sal.08])))))))),
0)</f>
        <v>0</v>
      </c>
      <c r="R91" s="111">
        <f t="array" ref="R91">IFERROR(
(MEDIAN((IF(DATOS_[[Sexo]:[Sexo]]=$B91,IF(DATOS_[[AGRUP. CLAS. PROF.]:[AGRUP. CLAS. PROF.]]=$B90,IF(DATOS_[[Check Periodo Ref.]:[Check Periodo Ref.]]="Dentro",IF(DATOS_[[Check Equiparado]:[Check Equiparado]]="Sí",IF(DATOS!AM$5="Sí",(1/DATOS_[[% anualiz]:[% anualiz]]),1)*IF(DATOS!AM$4="Sí",1/DATOS_[[% normaliz]:[% normaliz]],1)*(DATOS_[Conc.Sal.09])))))))),
0)</f>
        <v>0</v>
      </c>
      <c r="S91" s="111">
        <f t="array" ref="S91">IFERROR(
(MEDIAN((IF(DATOS_[[Sexo]:[Sexo]]=$B91,IF(DATOS_[[AGRUP. CLAS. PROF.]:[AGRUP. CLAS. PROF.]]=$B90,IF(DATOS_[[Check Periodo Ref.]:[Check Periodo Ref.]]="Dentro",IF(DATOS_[[Check Equiparado]:[Check Equiparado]]="Sí",IF(DATOS!AN$5="Sí",(1/DATOS_[[% anualiz]:[% anualiz]]),1)*IF(DATOS!AN$4="Sí",1/DATOS_[[% normaliz]:[% normaliz]],1)*(DATOS_[Conc.Sal.10])))))))),
0)</f>
        <v>0</v>
      </c>
      <c r="T91" s="111">
        <f t="array" ref="T91">IFERROR(
(MEDIAN((IF(DATOS_[[Sexo]:[Sexo]]=$B91,IF(DATOS_[[AGRUP. CLAS. PROF.]:[AGRUP. CLAS. PROF.]]=$B90,IF(DATOS_[[Check Periodo Ref.]:[Check Periodo Ref.]]="Dentro",IF(DATOS_[[Check Equiparado]:[Check Equiparado]]="Sí",IF(DATOS!AO$5="Sí",(1/DATOS_[[% anualiz]:[% anualiz]]),1)*IF(DATOS!AO$4="Sí",1/DATOS_[[% normaliz]:[% normaliz]],1)*(DATOS_[Conc.Sal.11])))))))),
0)</f>
        <v>0</v>
      </c>
      <c r="U91" s="111">
        <f t="array" ref="U91">IFERROR(
(MEDIAN((IF(DATOS_[[Sexo]:[Sexo]]=$B91,IF(DATOS_[[AGRUP. CLAS. PROF.]:[AGRUP. CLAS. PROF.]]=$B90,IF(DATOS_[[Check Periodo Ref.]:[Check Periodo Ref.]]="Dentro",IF(DATOS_[[Check Equiparado]:[Check Equiparado]]="Sí",IF(DATOS!AP$5="Sí",(1/DATOS_[[% anualiz]:[% anualiz]]),1)*IF(DATOS!AP$4="Sí",1/DATOS_[[% normaliz]:[% normaliz]],1)*(DATOS_[Conc.Sal.12])))))))),
0)</f>
        <v>0</v>
      </c>
      <c r="V91" s="111">
        <f t="array" ref="V91">IFERROR(
(MEDIAN((IF(DATOS_[[Sexo]:[Sexo]]=$B91,IF(DATOS_[[AGRUP. CLAS. PROF.]:[AGRUP. CLAS. PROF.]]=$B90,IF(DATOS_[[Check Periodo Ref.]:[Check Periodo Ref.]]="Dentro",IF(DATOS_[[Check Equiparado]:[Check Equiparado]]="Sí",IF(DATOS!AQ$5="Sí",(1/DATOS_[[% anualiz]:[% anualiz]]),1)*IF(DATOS!AQ$4="Sí",1/DATOS_[[% normaliz]:[% normaliz]],1)*(DATOS_[Conc.Sal.13])))))))),
0)</f>
        <v>0</v>
      </c>
      <c r="W91" s="111">
        <f t="array" ref="W91">IFERROR(
(MEDIAN((IF(DATOS_[[Sexo]:[Sexo]]=$B91,IF(DATOS_[[AGRUP. CLAS. PROF.]:[AGRUP. CLAS. PROF.]]=$B90,IF(DATOS_[[Check Periodo Ref.]:[Check Periodo Ref.]]="Dentro",IF(DATOS_[[Check Equiparado]:[Check Equiparado]]="Sí",IF(DATOS!AR$5="Sí",(1/DATOS_[[% anualiz]:[% anualiz]]),1)*IF(DATOS!AR$4="Sí",1/DATOS_[[% normaliz]:[% normaliz]],1)*(DATOS_[Conc.Sal.14])))))))),
0)</f>
        <v>0</v>
      </c>
      <c r="X91" s="111">
        <f t="array" ref="X91">IFERROR(
(MEDIAN((IF(DATOS_[[Sexo]:[Sexo]]=$B91,IF(DATOS_[[AGRUP. CLAS. PROF.]:[AGRUP. CLAS. PROF.]]=$B90,IF(DATOS_[[Check Periodo Ref.]:[Check Periodo Ref.]]="Dentro",IF(DATOS_[[Check Equiparado]:[Check Equiparado]]="Sí",IF(DATOS!AS$5="Sí",(1/DATOS_[[% anualiz]:[% anualiz]]),1)*IF(DATOS!AS$4="Sí",1/DATOS_[[% normaliz]:[% normaliz]],1)*(DATOS_[Conc.Sal.15])))))))),
0)</f>
        <v>0</v>
      </c>
      <c r="Y91" s="111">
        <f t="array" ref="Y91">IFERROR(
(MEDIAN((IF(DATOS_[[Sexo]:[Sexo]]=$B91,IF(DATOS_[[AGRUP. CLAS. PROF.]:[AGRUP. CLAS. PROF.]]=$B90,IF(DATOS_[[Check Periodo Ref.]:[Check Periodo Ref.]]="Dentro",IF(DATOS_[[Check Equiparado]:[Check Equiparado]]="Sí",IF(DATOS!AT$5="Sí",(1/DATOS_[[% anualiz]:[% anualiz]]),1)*IF(DATOS!AT$4="Sí",1/DATOS_[[% normaliz]:[% normaliz]],1)*(DATOS_[Conc.Sal.16])))))))),
0)</f>
        <v>0</v>
      </c>
      <c r="Z91" s="111">
        <f t="array" ref="Z91">IFERROR(
(MEDIAN((IF(DATOS_[[Sexo]:[Sexo]]=$B91,IF(DATOS_[[AGRUP. CLAS. PROF.]:[AGRUP. CLAS. PROF.]]=$B90,IF(DATOS_[[Check Periodo Ref.]:[Check Periodo Ref.]]="Dentro",IF(DATOS_[[Check Equiparado]:[Check Equiparado]]="Sí",IF(DATOS!AU$5="Sí",(1/DATOS_[[% anualiz]:[% anualiz]]),1)*IF(DATOS!AU$4="Sí",1/DATOS_[[% normaliz]:[% normaliz]],1)*(DATOS_[Conc.Sal.17])))))))),
0)</f>
        <v>0</v>
      </c>
      <c r="AA91" s="111">
        <f t="array" ref="AA91">IFERROR(
(MEDIAN((IF(DATOS_[[Sexo]:[Sexo]]=$B91,IF(DATOS_[[AGRUP. CLAS. PROF.]:[AGRUP. CLAS. PROF.]]=$B90,IF(DATOS_[[Check Periodo Ref.]:[Check Periodo Ref.]]="Dentro",IF(DATOS_[[Check Equiparado]:[Check Equiparado]]="Sí",IF(DATOS!AV$5="Sí",(1/DATOS_[[% anualiz]:[% anualiz]]),1)*IF(DATOS!AV$4="Sí",1/DATOS_[[% normaliz]:[% normaliz]],1)*(DATOS_[Conc.Sal.18])))))))),
0)</f>
        <v>0</v>
      </c>
      <c r="AB91" s="111">
        <f t="array" ref="AB91">IFERROR(
(MEDIAN((IF(DATOS_[[Sexo]:[Sexo]]=$B91,IF(DATOS_[[AGRUP. CLAS. PROF.]:[AGRUP. CLAS. PROF.]]=$B90,IF(DATOS_[[Check Periodo Ref.]:[Check Periodo Ref.]]="Dentro",IF(DATOS_[[Check Equiparado]:[Check Equiparado]]="Sí",IF(DATOS!AW$5="Sí",(1/DATOS_[[% anualiz]:[% anualiz]]),1)*IF(DATOS!AW$4="Sí",1/DATOS_[[% normaliz]:[% normaliz]],1)*(DATOS_[Conc.Sal.19])))))))),
0)</f>
        <v>0</v>
      </c>
      <c r="AC91" s="111">
        <f t="array" ref="AC91">IFERROR(
(MEDIAN((IF(DATOS_[[Sexo]:[Sexo]]=$B91,IF(DATOS_[[AGRUP. CLAS. PROF.]:[AGRUP. CLAS. PROF.]]=$B90,IF(DATOS_[[Check Periodo Ref.]:[Check Periodo Ref.]]="Dentro",IF(DATOS_[[Check Equiparado]:[Check Equiparado]]="Sí",IF(DATOS!AX$5="Sí",(1/DATOS_[[% anualiz]:[% anualiz]]),1)*IF(DATOS!AX$4="Sí",1/DATOS_[[% normaliz]:[% normaliz]],1)*(DATOS_[Conc.Sal.20])))))))),
0)</f>
        <v>0</v>
      </c>
      <c r="AD91" s="111">
        <f t="array" ref="AD91">IFERROR(
(MEDIAN((IF(DATOS_[[Sexo]:[Sexo]]=$B91,IF(DATOS_[[AGRUP. CLAS. PROF.]:[AGRUP. CLAS. PROF.]]=$B90,IF(DATOS_[[Check Periodo Ref.]:[Check Periodo Ref.]]="Dentro",IF(DATOS_[[Check Equiparado]:[Check Equiparado]]="Sí",IF(DATOS!AY$5="Sí",(1/DATOS_[[% anualiz]:[% anualiz]]),1)*IF(DATOS!AY$4="Sí",1/DATOS_[[% normaliz]:[% normaliz]],1)*(DATOS_[Conc.Sal.21])))))))),
0)</f>
        <v>0</v>
      </c>
      <c r="AE91" s="111">
        <f t="array" ref="AE91">IFERROR(
(MEDIAN((IF(DATOS_[[Sexo]:[Sexo]]=$B91,IF(DATOS_[[AGRUP. CLAS. PROF.]:[AGRUP. CLAS. PROF.]]=$B90,IF(DATOS_[[Check Periodo Ref.]:[Check Periodo Ref.]]="Dentro",IF(DATOS_[[Check Equiparado]:[Check Equiparado]]="Sí",IF(DATOS!AZ$5="Sí",(1/DATOS_[[% anualiz]:[% anualiz]]),1)*IF(DATOS!AZ$4="Sí",1/DATOS_[[% normaliz]:[% normaliz]],1)*(DATOS_[Conc.Sal.22])))))))),
0)</f>
        <v>0</v>
      </c>
      <c r="AF91" s="111">
        <f t="array" ref="AF91">IFERROR(
(MEDIAN((IF(DATOS_[[Sexo]:[Sexo]]=$B91,IF(DATOS_[[AGRUP. CLAS. PROF.]:[AGRUP. CLAS. PROF.]]=$B90,IF(DATOS_[[Check Periodo Ref.]:[Check Periodo Ref.]]="Dentro",IF(DATOS_[[Check Equiparado]:[Check Equiparado]]="Sí",IF(DATOS!BA$5="Sí",(1/DATOS_[[% anualiz]:[% anualiz]]),1)*IF(DATOS!BA$4="Sí",1/DATOS_[[% normaliz]:[% normaliz]],1)*(DATOS_[Conc.Sal.23])))))))),
0)</f>
        <v>0</v>
      </c>
      <c r="AG91" s="111">
        <f t="array" ref="AG91">IFERROR(
(MEDIAN((IF(DATOS_[[Sexo]:[Sexo]]=$B91,IF(DATOS_[[AGRUP. CLAS. PROF.]:[AGRUP. CLAS. PROF.]]=$B90,IF(DATOS_[[Check Periodo Ref.]:[Check Periodo Ref.]]="Dentro",IF(DATOS_[[Check Equiparado]:[Check Equiparado]]="Sí",IF(DATOS!BB$5="Sí",(1/DATOS_[[% anualiz]:[% anualiz]]),1)*IF(DATOS!BB$4="Sí",1/DATOS_[[% normaliz]:[% normaliz]],1)*(DATOS_[Conc.Sal.24])))))))),
0)</f>
        <v>0</v>
      </c>
      <c r="AH91" s="111">
        <f t="array" ref="AH91">IFERROR(
(MEDIAN((IF(DATOS_[[Sexo]:[Sexo]]=$B91,IF(DATOS_[[AGRUP. CLAS. PROF.]:[AGRUP. CLAS. PROF.]]=$B90,IF(DATOS_[[Check Periodo Ref.]:[Check Periodo Ref.]]="Dentro",IF(DATOS_[[Check Equiparado]:[Check Equiparado]]="Sí",IF(DATOS!BC$5="Sí",(1/DATOS_[[% anualiz]:[% anualiz]]),1)*IF(DATOS!BC$4="Sí",1/DATOS_[[% normaliz]:[% normaliz]],1)*(DATOS_[Conc.Sal.25])))))))),
0)</f>
        <v>0</v>
      </c>
      <c r="AI91" s="111">
        <f t="array" ref="AI91">IFERROR(
(MEDIAN((IF(DATOS_[[Sexo]:[Sexo]]=$B91,IF(DATOS_[[AGRUP. CLAS. PROF.]:[AGRUP. CLAS. PROF.]]=$B90,IF(DATOS_[[Check Periodo Ref.]:[Check Periodo Ref.]]="Dentro",IF(DATOS_[[Check Equiparado]:[Check Equiparado]]="Sí",IF(DATOS!BD$5="Sí",(1/DATOS_[[% anualiz]:[% anualiz]]),1)*IF(DATOS!BD$4="Sí",1/DATOS_[[% normaliz]:[% normaliz]],1)*(DATOS_[Conc.Sal.26])))))))),
0)</f>
        <v>0</v>
      </c>
      <c r="AJ91" s="111">
        <f t="array" ref="AJ91">IFERROR(
(MEDIAN((IF(DATOS_[[Sexo]:[Sexo]]=$B91,IF(DATOS_[[AGRUP. CLAS. PROF.]:[AGRUP. CLAS. PROF.]]=$B90,IF(DATOS_[[Check Periodo Ref.]:[Check Periodo Ref.]]="Dentro",IF(DATOS_[[Check Equiparado]:[Check Equiparado]]="Sí",IF(DATOS!BE$5="Sí",(1/DATOS_[[% anualiz]:[% anualiz]]),1)*IF(DATOS!BE$4="Sí",1/DATOS_[[% normaliz]:[% normaliz]],1)*(DATOS_[Conc.Sal.27])))))))),
0)</f>
        <v>0</v>
      </c>
      <c r="AK91" s="111">
        <f t="array" ref="AK91">IFERROR(
(MEDIAN((IF(DATOS_[[Sexo]:[Sexo]]=$B91,IF(DATOS_[[AGRUP. CLAS. PROF.]:[AGRUP. CLAS. PROF.]]=$B90,IF(DATOS_[[Check Periodo Ref.]:[Check Periodo Ref.]]="Dentro",IF(DATOS_[[Check Equiparado]:[Check Equiparado]]="Sí",IF(DATOS!BF$5="Sí",(1/DATOS_[[% anualiz]:[% anualiz]]),1)*IF(DATOS!BF$4="Sí",1/DATOS_[[% normaliz]:[% normaliz]],1)*(DATOS_[Conc.Sal.28])))))))),
0)</f>
        <v>0</v>
      </c>
      <c r="AL91" s="111">
        <f t="array" ref="AL91">IFERROR(
(MEDIAN((IF(DATOS_[[Sexo]:[Sexo]]=$B91,IF(DATOS_[[AGRUP. CLAS. PROF.]:[AGRUP. CLAS. PROF.]]=$B90,IF(DATOS_[[Check Periodo Ref.]:[Check Periodo Ref.]]="Dentro",IF(DATOS_[[Check Equiparado]:[Check Equiparado]]="Sí",IF(DATOS!BG$5="Sí",(1/DATOS_[[% anualiz]:[% anualiz]]),1)*IF(DATOS!BG$4="Sí",1/DATOS_[[% normaliz]:[% normaliz]],1)*(DATOS_[Conc.Sal.29])))))))),
0)</f>
        <v>0</v>
      </c>
      <c r="AM91" s="111">
        <f t="array" ref="AM91">IFERROR(
(MEDIAN((IF(DATOS_[[Sexo]:[Sexo]]=$B91,IF(DATOS_[[AGRUP. CLAS. PROF.]:[AGRUP. CLAS. PROF.]]=$B90,IF(DATOS_[[Check Periodo Ref.]:[Check Periodo Ref.]]="Dentro",IF(DATOS_[[Check Equiparado]:[Check Equiparado]]="Sí",IF(DATOS!BH$5="Sí",(1/DATOS_[[% anualiz]:[% anualiz]]),1)*IF(DATOS!BH$4="Sí",1/DATOS_[[% normaliz]:[% normaliz]],1)*(DATOS_[Conc.Sal.30])))))))),
0)</f>
        <v>0</v>
      </c>
      <c r="AN91" s="112">
        <f t="array" ref="AN91">IFERROR(
MEDIAN(IF(DATOS_[Sexo]=$B91,IF(DATOS_[[AGRUP. CLAS. PROF.]:[AGRUP. CLAS. PROF.]]=$B90,IF(DATOS_[Check Equiparado]="Sí",IF(DATOS_[Check Periodo Ref.]="Dentro",DATOS_[Tot COMPL.SAL Eq],FALSE))))),
0)</f>
        <v>0</v>
      </c>
      <c r="AO91" s="113">
        <f t="array" ref="AO91">IFERROR(
MEDIAN(IF(DATOS_[Sexo]=$B91,IF(DATOS_[[AGRUP. CLAS. PROF.]:[AGRUP. CLAS. PROF.]]=$B90,IF(DATOS_[Check Equiparado]="Sí",IF(DATOS_[Check Periodo Ref.]="Dentro",DATOS_[TOTAL SALARIO Eq],FALSE))))),
0)</f>
        <v>0</v>
      </c>
      <c r="AP91" s="114">
        <f t="array" ref="AP91">IFERROR(
(MEDIAN((IF(DATOS_[[Sexo]:[Sexo]]=$B91,IF(DATOS_[[AGRUP. CLAS. PROF.]:[AGRUP. CLAS. PROF.]]=$B90,IF(DATOS_[[Check Periodo Ref.]:[Check Periodo Ref.]]="Dentro",IF(DATOS_[[Check Equiparado]:[Check Equiparado]]="Sí",IF(DATOS!BI$5="Sí",(1/DATOS_[[% anualiz]:[% anualiz]]),1)*IF(DATOS!BI$4="Sí",1/DATOS_[[% normaliz]:[% normaliz]],1)*(DATOS_[C.Extra.01])))))))),
0)</f>
        <v>0</v>
      </c>
      <c r="AQ91" s="114">
        <f t="array" ref="AQ91">IFERROR(
(MEDIAN((IF(DATOS_[[Sexo]:[Sexo]]=$B91,IF(DATOS_[[AGRUP. CLAS. PROF.]:[AGRUP. CLAS. PROF.]]=$B90,IF(DATOS_[[Check Periodo Ref.]:[Check Periodo Ref.]]="Dentro",IF(DATOS_[[Check Equiparado]:[Check Equiparado]]="Sí",IF(DATOS!BJ$5="Sí",(1/DATOS_[[% anualiz]:[% anualiz]]),1)*IF(DATOS!BJ$4="Sí",1/DATOS_[[% normaliz]:[% normaliz]],1)*(DATOS_[C.Extra.02])))))))),
0)</f>
        <v>0</v>
      </c>
      <c r="AR91" s="114">
        <f t="array" ref="AR91">IFERROR(
(MEDIAN((IF(DATOS_[[Sexo]:[Sexo]]=$B91,IF(DATOS_[[AGRUP. CLAS. PROF.]:[AGRUP. CLAS. PROF.]]=$B90,IF(DATOS_[[Check Periodo Ref.]:[Check Periodo Ref.]]="Dentro",IF(DATOS_[[Check Equiparado]:[Check Equiparado]]="Sí",IF(DATOS!BK$5="Sí",(1/DATOS_[[% anualiz]:[% anualiz]]),1)*IF(DATOS!BK$4="Sí",1/DATOS_[[% normaliz]:[% normaliz]],1)*(DATOS_[C.Extra.03])))))))),
0)</f>
        <v>0</v>
      </c>
      <c r="AS91" s="114">
        <f t="array" ref="AS91">IFERROR(
(MEDIAN((IF(DATOS_[[Sexo]:[Sexo]]=$B91,IF(DATOS_[[AGRUP. CLAS. PROF.]:[AGRUP. CLAS. PROF.]]=$B90,IF(DATOS_[[Check Periodo Ref.]:[Check Periodo Ref.]]="Dentro",IF(DATOS_[[Check Equiparado]:[Check Equiparado]]="Sí",IF(DATOS!BL$5="Sí",(1/DATOS_[[% anualiz]:[% anualiz]]),1)*IF(DATOS!BL$4="Sí",1/DATOS_[[% normaliz]:[% normaliz]],1)*(DATOS_[C.Extra.04])))))))),
0)</f>
        <v>0</v>
      </c>
      <c r="AT91" s="114">
        <f t="array" ref="AT91">IFERROR(
(MEDIAN((IF(DATOS_[[Sexo]:[Sexo]]=$B91,IF(DATOS_[[AGRUP. CLAS. PROF.]:[AGRUP. CLAS. PROF.]]=$B90,IF(DATOS_[[Check Periodo Ref.]:[Check Periodo Ref.]]="Dentro",IF(DATOS_[[Check Equiparado]:[Check Equiparado]]="Sí",IF(DATOS!BM$5="Sí",(1/DATOS_[[% anualiz]:[% anualiz]]),1)*IF(DATOS!BM$4="Sí",1/DATOS_[[% normaliz]:[% normaliz]],1)*(DATOS_[C.Extra.05])))))))),
0)</f>
        <v>0</v>
      </c>
      <c r="AU91" s="115">
        <f t="array" ref="AU91">IFERROR(
MEDIAN(IF(DATOS_[Sexo]=$B91,IF(DATOS_[[AGRUP. CLAS. PROF.]:[AGRUP. CLAS. PROF.]]=$B90,IF(DATOS_[Check Equiparado]="Sí",IF(DATOS_[Check Periodo Ref.]="Dentro",DATOS_[Tot Extrasalarial Eq],FALSE))))),
0)</f>
        <v>0</v>
      </c>
      <c r="AV91" s="116">
        <f t="array" ref="AV91">IFERROR(
MEDIAN(IF(DATOS_[Sexo]=$B91,IF(DATOS_[[AGRUP. CLAS. PROF.]:[AGRUP. CLAS. PROF.]]=$B90,IF(DATOS_[Check Equiparado]="Sí",IF(DATOS_[Check Periodo Ref.]="Dentro",DATOS_[TOTAL Retrib Eq],FALSE))))),
0)</f>
        <v>0</v>
      </c>
    </row>
    <row r="92" spans="1:48" hidden="1" x14ac:dyDescent="0.3">
      <c r="A92" s="42" t="str">
        <f t="shared" ref="A92" si="106">+A91</f>
        <v>[ocultar]</v>
      </c>
      <c r="B92" s="86" t="s">
        <v>163</v>
      </c>
      <c r="C92" s="33">
        <f t="array" ref="C92">SUM(IF($B92=DATOS_[Sexo],
IF($B90=DATOS_[AGRUP. CLAS. PROF.],
IF("Dentro"=DATOS_[Check Periodo Ref.],
1/(COUNTIFS(DATOS_[Sexo],$B92,DATOS_[AGRUP. CLAS. PROF.],$B90,DATOS_[Check Periodo Ref.],"Dentro",DATOS_[id],DATOS_[id]))))))</f>
        <v>0</v>
      </c>
      <c r="D92" s="35">
        <f>COUNTIFS(DATOS_[AGRUP. CLAS. PROF.],$B90,DATOS_[Sexo],$B92,DATOS_[Check Periodo Ref.],"Dentro")</f>
        <v>0</v>
      </c>
      <c r="E92" s="35">
        <f>COUNTIFS(DATOS_[AGRUP. CLAS. PROF.],$B90,DATOS_[Sexo],$B92,DATOS_[Check Periodo Ref.],"Dentro",DATOS_[Check Nº SC Norm],"Sí")</f>
        <v>0</v>
      </c>
      <c r="F92" s="35">
        <f>COUNTIFS(DATOS_[AGRUP. CLAS. PROF.],$B90,DATOS_[Sexo],$B92,DATOS_[Check Periodo Ref.],"Dentro",DATOS_[Check Nº SC Anualiz],"Sí")</f>
        <v>0</v>
      </c>
      <c r="G92" s="35">
        <f>COUNTIFS(DATOS_[AGRUP. CLAS. PROF.],$B90,DATOS_[Sexo],$B92,DATOS_[Check Periodo Ref.],"Dentro",DATOS_[Check Nº SC Norm y Anualiz],"Sí")</f>
        <v>0</v>
      </c>
      <c r="H92" s="35">
        <f>COUNTIFS(DATOS_[AGRUP. CLAS. PROF.],$B90,DATOS_[Sexo],$B92,DATOS_[Check Periodo Ref.],"Dentro",DATOS_[Check Equiparación],"Sí")</f>
        <v>0</v>
      </c>
      <c r="I92" s="110" cm="1">
        <f t="array" ref="I92">IFERROR(
MEDIAN(IF(DATOS_[Sexo]=$B92,IF(DATOS_[[AGRUP. CLAS. PROF.]:[AGRUP. CLAS. PROF.]]=$B90,IF(DATOS_[Check Equiparado]="Sí",IF(DATOS_[Check Periodo Ref.]="Dentro",DATOS_[SALARIO BASE Eq],FALSE))))),
0)</f>
        <v>0</v>
      </c>
      <c r="J92" s="111">
        <f t="array" ref="J92">IFERROR(
(MEDIAN((IF(DATOS_[[Sexo]:[Sexo]]=$B92,IF(DATOS_[[AGRUP. CLAS. PROF.]:[AGRUP. CLAS. PROF.]]=$B90,IF(DATOS_[[Check Periodo Ref.]:[Check Periodo Ref.]]="Dentro",IF(DATOS_[[Check Equiparado]:[Check Equiparado]]="Sí",IF(DATOS!AE$5="Sí",(1/DATOS_[[% anualiz]:[% anualiz]]),1)*IF(DATOS!AE$4="Sí",1/DATOS_[[% normaliz]:[% normaliz]],1)*(DATOS_[Conc.Sal.01])))))))),
0)</f>
        <v>0</v>
      </c>
      <c r="K92" s="111">
        <f t="array" ref="K92">IFERROR(
(MEDIAN((IF(DATOS_[[Sexo]:[Sexo]]=$B92,IF(DATOS_[[AGRUP. CLAS. PROF.]:[AGRUP. CLAS. PROF.]]=$B90,IF(DATOS_[[Check Periodo Ref.]:[Check Periodo Ref.]]="Dentro",IF(DATOS_[[Check Equiparado]:[Check Equiparado]]="Sí",IF(DATOS!AF$5="Sí",(1/DATOS_[[% anualiz]:[% anualiz]]),1)*IF(DATOS!AF$4="Sí",1/DATOS_[[% normaliz]:[% normaliz]],1)*(DATOS_[Conc.Sal.02])))))))),
0)</f>
        <v>0</v>
      </c>
      <c r="L92" s="111">
        <f t="array" ref="L92">IFERROR(
(MEDIAN((IF(DATOS_[[Sexo]:[Sexo]]=$B92,IF(DATOS_[[AGRUP. CLAS. PROF.]:[AGRUP. CLAS. PROF.]]=$B90,IF(DATOS_[[Check Periodo Ref.]:[Check Periodo Ref.]]="Dentro",IF(DATOS_[[Check Equiparado]:[Check Equiparado]]="Sí",IF(DATOS!AG$5="Sí",(1/DATOS_[[% anualiz]:[% anualiz]]),1)*IF(DATOS!AG$4="Sí",1/DATOS_[[% normaliz]:[% normaliz]],1)*(DATOS_[Conc.Sal.03])))))))),
0)</f>
        <v>0</v>
      </c>
      <c r="M92" s="111">
        <f t="array" ref="M92">IFERROR(
(MEDIAN((IF(DATOS_[[Sexo]:[Sexo]]=$B92,IF(DATOS_[[AGRUP. CLAS. PROF.]:[AGRUP. CLAS. PROF.]]=$B90,IF(DATOS_[[Check Periodo Ref.]:[Check Periodo Ref.]]="Dentro",IF(DATOS_[[Check Equiparado]:[Check Equiparado]]="Sí",IF(DATOS!AH$5="Sí",(1/DATOS_[[% anualiz]:[% anualiz]]),1)*IF(DATOS!AH$4="Sí",1/DATOS_[[% normaliz]:[% normaliz]],1)*(DATOS_[Conc.Sal.04])))))))),
0)</f>
        <v>0</v>
      </c>
      <c r="N92" s="111">
        <f t="array" ref="N92">IFERROR(
(MEDIAN((IF(DATOS_[[Sexo]:[Sexo]]=$B92,IF(DATOS_[[AGRUP. CLAS. PROF.]:[AGRUP. CLAS. PROF.]]=$B90,IF(DATOS_[[Check Periodo Ref.]:[Check Periodo Ref.]]="Dentro",IF(DATOS_[[Check Equiparado]:[Check Equiparado]]="Sí",IF(DATOS!AI$5="Sí",(1/DATOS_[[% anualiz]:[% anualiz]]),1)*IF(DATOS!AI$4="Sí",1/DATOS_[[% normaliz]:[% normaliz]],1)*(DATOS_[Conc.Sal.05])))))))),
0)</f>
        <v>0</v>
      </c>
      <c r="O92" s="111">
        <f t="array" ref="O92">IFERROR(
(MEDIAN((IF(DATOS_[[Sexo]:[Sexo]]=$B92,IF(DATOS_[[AGRUP. CLAS. PROF.]:[AGRUP. CLAS. PROF.]]=$B90,IF(DATOS_[[Check Periodo Ref.]:[Check Periodo Ref.]]="Dentro",IF(DATOS_[[Check Equiparado]:[Check Equiparado]]="Sí",IF(DATOS!AJ$5="Sí",(1/DATOS_[[% anualiz]:[% anualiz]]),1)*IF(DATOS!AJ$4="Sí",1/DATOS_[[% normaliz]:[% normaliz]],1)*(DATOS_[Conc.Sal.06])))))))),
0)</f>
        <v>0</v>
      </c>
      <c r="P92" s="111">
        <f t="array" ref="P92">IFERROR(
(MEDIAN((IF(DATOS_[[Sexo]:[Sexo]]=$B92,IF(DATOS_[[AGRUP. CLAS. PROF.]:[AGRUP. CLAS. PROF.]]=$B90,IF(DATOS_[[Check Periodo Ref.]:[Check Periodo Ref.]]="Dentro",IF(DATOS_[[Check Equiparado]:[Check Equiparado]]="Sí",IF(DATOS!AK$5="Sí",(1/DATOS_[[% anualiz]:[% anualiz]]),1)*IF(DATOS!AK$4="Sí",1/DATOS_[[% normaliz]:[% normaliz]],1)*(DATOS_[Conc.Sal.07])))))))),
0)</f>
        <v>0</v>
      </c>
      <c r="Q92" s="111">
        <f t="array" ref="Q92">IFERROR(
(MEDIAN((IF(DATOS_[[Sexo]:[Sexo]]=$B92,IF(DATOS_[[AGRUP. CLAS. PROF.]:[AGRUP. CLAS. PROF.]]=$B90,IF(DATOS_[[Check Periodo Ref.]:[Check Periodo Ref.]]="Dentro",IF(DATOS_[[Check Equiparado]:[Check Equiparado]]="Sí",IF(DATOS!AL$5="Sí",(1/DATOS_[[% anualiz]:[% anualiz]]),1)*IF(DATOS!AL$4="Sí",1/DATOS_[[% normaliz]:[% normaliz]],1)*(DATOS_[Conc.Sal.08])))))))),
0)</f>
        <v>0</v>
      </c>
      <c r="R92" s="111">
        <f t="array" ref="R92">IFERROR(
(MEDIAN((IF(DATOS_[[Sexo]:[Sexo]]=$B92,IF(DATOS_[[AGRUP. CLAS. PROF.]:[AGRUP. CLAS. PROF.]]=$B90,IF(DATOS_[[Check Periodo Ref.]:[Check Periodo Ref.]]="Dentro",IF(DATOS_[[Check Equiparado]:[Check Equiparado]]="Sí",IF(DATOS!AM$5="Sí",(1/DATOS_[[% anualiz]:[% anualiz]]),1)*IF(DATOS!AM$4="Sí",1/DATOS_[[% normaliz]:[% normaliz]],1)*(DATOS_[Conc.Sal.09])))))))),
0)</f>
        <v>0</v>
      </c>
      <c r="S92" s="111">
        <f t="array" ref="S92">IFERROR(
(MEDIAN((IF(DATOS_[[Sexo]:[Sexo]]=$B92,IF(DATOS_[[AGRUP. CLAS. PROF.]:[AGRUP. CLAS. PROF.]]=$B90,IF(DATOS_[[Check Periodo Ref.]:[Check Periodo Ref.]]="Dentro",IF(DATOS_[[Check Equiparado]:[Check Equiparado]]="Sí",IF(DATOS!AN$5="Sí",(1/DATOS_[[% anualiz]:[% anualiz]]),1)*IF(DATOS!AN$4="Sí",1/DATOS_[[% normaliz]:[% normaliz]],1)*(DATOS_[Conc.Sal.10])))))))),
0)</f>
        <v>0</v>
      </c>
      <c r="T92" s="111">
        <f t="array" ref="T92">IFERROR(
(MEDIAN((IF(DATOS_[[Sexo]:[Sexo]]=$B92,IF(DATOS_[[AGRUP. CLAS. PROF.]:[AGRUP. CLAS. PROF.]]=$B90,IF(DATOS_[[Check Periodo Ref.]:[Check Periodo Ref.]]="Dentro",IF(DATOS_[[Check Equiparado]:[Check Equiparado]]="Sí",IF(DATOS!AO$5="Sí",(1/DATOS_[[% anualiz]:[% anualiz]]),1)*IF(DATOS!AO$4="Sí",1/DATOS_[[% normaliz]:[% normaliz]],1)*(DATOS_[Conc.Sal.11])))))))),
0)</f>
        <v>0</v>
      </c>
      <c r="U92" s="111">
        <f t="array" ref="U92">IFERROR(
(MEDIAN((IF(DATOS_[[Sexo]:[Sexo]]=$B92,IF(DATOS_[[AGRUP. CLAS. PROF.]:[AGRUP. CLAS. PROF.]]=$B90,IF(DATOS_[[Check Periodo Ref.]:[Check Periodo Ref.]]="Dentro",IF(DATOS_[[Check Equiparado]:[Check Equiparado]]="Sí",IF(DATOS!AP$5="Sí",(1/DATOS_[[% anualiz]:[% anualiz]]),1)*IF(DATOS!AP$4="Sí",1/DATOS_[[% normaliz]:[% normaliz]],1)*(DATOS_[Conc.Sal.12])))))))),
0)</f>
        <v>0</v>
      </c>
      <c r="V92" s="111">
        <f t="array" ref="V92">IFERROR(
(MEDIAN((IF(DATOS_[[Sexo]:[Sexo]]=$B92,IF(DATOS_[[AGRUP. CLAS. PROF.]:[AGRUP. CLAS. PROF.]]=$B90,IF(DATOS_[[Check Periodo Ref.]:[Check Periodo Ref.]]="Dentro",IF(DATOS_[[Check Equiparado]:[Check Equiparado]]="Sí",IF(DATOS!AQ$5="Sí",(1/DATOS_[[% anualiz]:[% anualiz]]),1)*IF(DATOS!AQ$4="Sí",1/DATOS_[[% normaliz]:[% normaliz]],1)*(DATOS_[Conc.Sal.13])))))))),
0)</f>
        <v>0</v>
      </c>
      <c r="W92" s="111">
        <f t="array" ref="W92">IFERROR(
(MEDIAN((IF(DATOS_[[Sexo]:[Sexo]]=$B92,IF(DATOS_[[AGRUP. CLAS. PROF.]:[AGRUP. CLAS. PROF.]]=$B90,IF(DATOS_[[Check Periodo Ref.]:[Check Periodo Ref.]]="Dentro",IF(DATOS_[[Check Equiparado]:[Check Equiparado]]="Sí",IF(DATOS!AR$5="Sí",(1/DATOS_[[% anualiz]:[% anualiz]]),1)*IF(DATOS!AR$4="Sí",1/DATOS_[[% normaliz]:[% normaliz]],1)*(DATOS_[Conc.Sal.14])))))))),
0)</f>
        <v>0</v>
      </c>
      <c r="X92" s="111">
        <f t="array" ref="X92">IFERROR(
(MEDIAN((IF(DATOS_[[Sexo]:[Sexo]]=$B92,IF(DATOS_[[AGRUP. CLAS. PROF.]:[AGRUP. CLAS. PROF.]]=$B90,IF(DATOS_[[Check Periodo Ref.]:[Check Periodo Ref.]]="Dentro",IF(DATOS_[[Check Equiparado]:[Check Equiparado]]="Sí",IF(DATOS!AS$5="Sí",(1/DATOS_[[% anualiz]:[% anualiz]]),1)*IF(DATOS!AS$4="Sí",1/DATOS_[[% normaliz]:[% normaliz]],1)*(DATOS_[Conc.Sal.15])))))))),
0)</f>
        <v>0</v>
      </c>
      <c r="Y92" s="111">
        <f t="array" ref="Y92">IFERROR(
(MEDIAN((IF(DATOS_[[Sexo]:[Sexo]]=$B92,IF(DATOS_[[AGRUP. CLAS. PROF.]:[AGRUP. CLAS. PROF.]]=$B90,IF(DATOS_[[Check Periodo Ref.]:[Check Periodo Ref.]]="Dentro",IF(DATOS_[[Check Equiparado]:[Check Equiparado]]="Sí",IF(DATOS!AT$5="Sí",(1/DATOS_[[% anualiz]:[% anualiz]]),1)*IF(DATOS!AT$4="Sí",1/DATOS_[[% normaliz]:[% normaliz]],1)*(DATOS_[Conc.Sal.16])))))))),
0)</f>
        <v>0</v>
      </c>
      <c r="Z92" s="111">
        <f t="array" ref="Z92">IFERROR(
(MEDIAN((IF(DATOS_[[Sexo]:[Sexo]]=$B92,IF(DATOS_[[AGRUP. CLAS. PROF.]:[AGRUP. CLAS. PROF.]]=$B90,IF(DATOS_[[Check Periodo Ref.]:[Check Periodo Ref.]]="Dentro",IF(DATOS_[[Check Equiparado]:[Check Equiparado]]="Sí",IF(DATOS!AU$5="Sí",(1/DATOS_[[% anualiz]:[% anualiz]]),1)*IF(DATOS!AU$4="Sí",1/DATOS_[[% normaliz]:[% normaliz]],1)*(DATOS_[Conc.Sal.17])))))))),
0)</f>
        <v>0</v>
      </c>
      <c r="AA92" s="111">
        <f t="array" ref="AA92">IFERROR(
(MEDIAN((IF(DATOS_[[Sexo]:[Sexo]]=$B92,IF(DATOS_[[AGRUP. CLAS. PROF.]:[AGRUP. CLAS. PROF.]]=$B90,IF(DATOS_[[Check Periodo Ref.]:[Check Periodo Ref.]]="Dentro",IF(DATOS_[[Check Equiparado]:[Check Equiparado]]="Sí",IF(DATOS!AV$5="Sí",(1/DATOS_[[% anualiz]:[% anualiz]]),1)*IF(DATOS!AV$4="Sí",1/DATOS_[[% normaliz]:[% normaliz]],1)*(DATOS_[Conc.Sal.18])))))))),
0)</f>
        <v>0</v>
      </c>
      <c r="AB92" s="111">
        <f t="array" ref="AB92">IFERROR(
(MEDIAN((IF(DATOS_[[Sexo]:[Sexo]]=$B92,IF(DATOS_[[AGRUP. CLAS. PROF.]:[AGRUP. CLAS. PROF.]]=$B90,IF(DATOS_[[Check Periodo Ref.]:[Check Periodo Ref.]]="Dentro",IF(DATOS_[[Check Equiparado]:[Check Equiparado]]="Sí",IF(DATOS!AW$5="Sí",(1/DATOS_[[% anualiz]:[% anualiz]]),1)*IF(DATOS!AW$4="Sí",1/DATOS_[[% normaliz]:[% normaliz]],1)*(DATOS_[Conc.Sal.19])))))))),
0)</f>
        <v>0</v>
      </c>
      <c r="AC92" s="111">
        <f t="array" ref="AC92">IFERROR(
(MEDIAN((IF(DATOS_[[Sexo]:[Sexo]]=$B92,IF(DATOS_[[AGRUP. CLAS. PROF.]:[AGRUP. CLAS. PROF.]]=$B90,IF(DATOS_[[Check Periodo Ref.]:[Check Periodo Ref.]]="Dentro",IF(DATOS_[[Check Equiparado]:[Check Equiparado]]="Sí",IF(DATOS!AX$5="Sí",(1/DATOS_[[% anualiz]:[% anualiz]]),1)*IF(DATOS!AX$4="Sí",1/DATOS_[[% normaliz]:[% normaliz]],1)*(DATOS_[Conc.Sal.20])))))))),
0)</f>
        <v>0</v>
      </c>
      <c r="AD92" s="111">
        <f t="array" ref="AD92">IFERROR(
(MEDIAN((IF(DATOS_[[Sexo]:[Sexo]]=$B92,IF(DATOS_[[AGRUP. CLAS. PROF.]:[AGRUP. CLAS. PROF.]]=$B90,IF(DATOS_[[Check Periodo Ref.]:[Check Periodo Ref.]]="Dentro",IF(DATOS_[[Check Equiparado]:[Check Equiparado]]="Sí",IF(DATOS!AY$5="Sí",(1/DATOS_[[% anualiz]:[% anualiz]]),1)*IF(DATOS!AY$4="Sí",1/DATOS_[[% normaliz]:[% normaliz]],1)*(DATOS_[Conc.Sal.21])))))))),
0)</f>
        <v>0</v>
      </c>
      <c r="AE92" s="111">
        <f t="array" ref="AE92">IFERROR(
(MEDIAN((IF(DATOS_[[Sexo]:[Sexo]]=$B92,IF(DATOS_[[AGRUP. CLAS. PROF.]:[AGRUP. CLAS. PROF.]]=$B90,IF(DATOS_[[Check Periodo Ref.]:[Check Periodo Ref.]]="Dentro",IF(DATOS_[[Check Equiparado]:[Check Equiparado]]="Sí",IF(DATOS!AZ$5="Sí",(1/DATOS_[[% anualiz]:[% anualiz]]),1)*IF(DATOS!AZ$4="Sí",1/DATOS_[[% normaliz]:[% normaliz]],1)*(DATOS_[Conc.Sal.22])))))))),
0)</f>
        <v>0</v>
      </c>
      <c r="AF92" s="111">
        <f t="array" ref="AF92">IFERROR(
(MEDIAN((IF(DATOS_[[Sexo]:[Sexo]]=$B92,IF(DATOS_[[AGRUP. CLAS. PROF.]:[AGRUP. CLAS. PROF.]]=$B90,IF(DATOS_[[Check Periodo Ref.]:[Check Periodo Ref.]]="Dentro",IF(DATOS_[[Check Equiparado]:[Check Equiparado]]="Sí",IF(DATOS!BA$5="Sí",(1/DATOS_[[% anualiz]:[% anualiz]]),1)*IF(DATOS!BA$4="Sí",1/DATOS_[[% normaliz]:[% normaliz]],1)*(DATOS_[Conc.Sal.23])))))))),
0)</f>
        <v>0</v>
      </c>
      <c r="AG92" s="111">
        <f t="array" ref="AG92">IFERROR(
(MEDIAN((IF(DATOS_[[Sexo]:[Sexo]]=$B92,IF(DATOS_[[AGRUP. CLAS. PROF.]:[AGRUP. CLAS. PROF.]]=$B90,IF(DATOS_[[Check Periodo Ref.]:[Check Periodo Ref.]]="Dentro",IF(DATOS_[[Check Equiparado]:[Check Equiparado]]="Sí",IF(DATOS!BB$5="Sí",(1/DATOS_[[% anualiz]:[% anualiz]]),1)*IF(DATOS!BB$4="Sí",1/DATOS_[[% normaliz]:[% normaliz]],1)*(DATOS_[Conc.Sal.24])))))))),
0)</f>
        <v>0</v>
      </c>
      <c r="AH92" s="111">
        <f t="array" ref="AH92">IFERROR(
(MEDIAN((IF(DATOS_[[Sexo]:[Sexo]]=$B92,IF(DATOS_[[AGRUP. CLAS. PROF.]:[AGRUP. CLAS. PROF.]]=$B90,IF(DATOS_[[Check Periodo Ref.]:[Check Periodo Ref.]]="Dentro",IF(DATOS_[[Check Equiparado]:[Check Equiparado]]="Sí",IF(DATOS!BC$5="Sí",(1/DATOS_[[% anualiz]:[% anualiz]]),1)*IF(DATOS!BC$4="Sí",1/DATOS_[[% normaliz]:[% normaliz]],1)*(DATOS_[Conc.Sal.25])))))))),
0)</f>
        <v>0</v>
      </c>
      <c r="AI92" s="111">
        <f t="array" ref="AI92">IFERROR(
(MEDIAN((IF(DATOS_[[Sexo]:[Sexo]]=$B92,IF(DATOS_[[AGRUP. CLAS. PROF.]:[AGRUP. CLAS. PROF.]]=$B90,IF(DATOS_[[Check Periodo Ref.]:[Check Periodo Ref.]]="Dentro",IF(DATOS_[[Check Equiparado]:[Check Equiparado]]="Sí",IF(DATOS!BD$5="Sí",(1/DATOS_[[% anualiz]:[% anualiz]]),1)*IF(DATOS!BD$4="Sí",1/DATOS_[[% normaliz]:[% normaliz]],1)*(DATOS_[Conc.Sal.26])))))))),
0)</f>
        <v>0</v>
      </c>
      <c r="AJ92" s="111">
        <f t="array" ref="AJ92">IFERROR(
(MEDIAN((IF(DATOS_[[Sexo]:[Sexo]]=$B92,IF(DATOS_[[AGRUP. CLAS. PROF.]:[AGRUP. CLAS. PROF.]]=$B90,IF(DATOS_[[Check Periodo Ref.]:[Check Periodo Ref.]]="Dentro",IF(DATOS_[[Check Equiparado]:[Check Equiparado]]="Sí",IF(DATOS!BE$5="Sí",(1/DATOS_[[% anualiz]:[% anualiz]]),1)*IF(DATOS!BE$4="Sí",1/DATOS_[[% normaliz]:[% normaliz]],1)*(DATOS_[Conc.Sal.27])))))))),
0)</f>
        <v>0</v>
      </c>
      <c r="AK92" s="111">
        <f t="array" ref="AK92">IFERROR(
(MEDIAN((IF(DATOS_[[Sexo]:[Sexo]]=$B92,IF(DATOS_[[AGRUP. CLAS. PROF.]:[AGRUP. CLAS. PROF.]]=$B90,IF(DATOS_[[Check Periodo Ref.]:[Check Periodo Ref.]]="Dentro",IF(DATOS_[[Check Equiparado]:[Check Equiparado]]="Sí",IF(DATOS!BF$5="Sí",(1/DATOS_[[% anualiz]:[% anualiz]]),1)*IF(DATOS!BF$4="Sí",1/DATOS_[[% normaliz]:[% normaliz]],1)*(DATOS_[Conc.Sal.28])))))))),
0)</f>
        <v>0</v>
      </c>
      <c r="AL92" s="111">
        <f t="array" ref="AL92">IFERROR(
(MEDIAN((IF(DATOS_[[Sexo]:[Sexo]]=$B92,IF(DATOS_[[AGRUP. CLAS. PROF.]:[AGRUP. CLAS. PROF.]]=$B90,IF(DATOS_[[Check Periodo Ref.]:[Check Periodo Ref.]]="Dentro",IF(DATOS_[[Check Equiparado]:[Check Equiparado]]="Sí",IF(DATOS!BG$5="Sí",(1/DATOS_[[% anualiz]:[% anualiz]]),1)*IF(DATOS!BG$4="Sí",1/DATOS_[[% normaliz]:[% normaliz]],1)*(DATOS_[Conc.Sal.29])))))))),
0)</f>
        <v>0</v>
      </c>
      <c r="AM92" s="111">
        <f t="array" ref="AM92">IFERROR(
(MEDIAN((IF(DATOS_[[Sexo]:[Sexo]]=$B92,IF(DATOS_[[AGRUP. CLAS. PROF.]:[AGRUP. CLAS. PROF.]]=$B90,IF(DATOS_[[Check Periodo Ref.]:[Check Periodo Ref.]]="Dentro",IF(DATOS_[[Check Equiparado]:[Check Equiparado]]="Sí",IF(DATOS!BH$5="Sí",(1/DATOS_[[% anualiz]:[% anualiz]]),1)*IF(DATOS!BH$4="Sí",1/DATOS_[[% normaliz]:[% normaliz]],1)*(DATOS_[Conc.Sal.30])))))))),
0)</f>
        <v>0</v>
      </c>
      <c r="AN92" s="112">
        <f t="array" ref="AN92">IFERROR(
MEDIAN(IF(DATOS_[Sexo]=$B92,IF(DATOS_[[AGRUP. CLAS. PROF.]:[AGRUP. CLAS. PROF.]]=$B90,IF(DATOS_[Check Equiparado]="Sí",IF(DATOS_[Check Periodo Ref.]="Dentro",DATOS_[Tot COMPL.SAL Eq],FALSE))))),
0)</f>
        <v>0</v>
      </c>
      <c r="AO92" s="113">
        <f t="array" ref="AO92">IFERROR(
MEDIAN(IF(DATOS_[Sexo]=$B92,IF(DATOS_[[AGRUP. CLAS. PROF.]:[AGRUP. CLAS. PROF.]]=$B90,IF(DATOS_[Check Equiparado]="Sí",IF(DATOS_[Check Periodo Ref.]="Dentro",DATOS_[TOTAL SALARIO Eq],FALSE))))),
0)</f>
        <v>0</v>
      </c>
      <c r="AP92" s="114">
        <f t="array" ref="AP92">IFERROR(
(MEDIAN((IF(DATOS_[[Sexo]:[Sexo]]=$B92,IF(DATOS_[[AGRUP. CLAS. PROF.]:[AGRUP. CLAS. PROF.]]=$B90,IF(DATOS_[[Check Periodo Ref.]:[Check Periodo Ref.]]="Dentro",IF(DATOS_[[Check Equiparado]:[Check Equiparado]]="Sí",IF(DATOS!BI$5="Sí",(1/DATOS_[[% anualiz]:[% anualiz]]),1)*IF(DATOS!BI$4="Sí",1/DATOS_[[% normaliz]:[% normaliz]],1)*(DATOS_[C.Extra.01])))))))),
0)</f>
        <v>0</v>
      </c>
      <c r="AQ92" s="114">
        <f t="array" ref="AQ92">IFERROR(
(MEDIAN((IF(DATOS_[[Sexo]:[Sexo]]=$B92,IF(DATOS_[[AGRUP. CLAS. PROF.]:[AGRUP. CLAS. PROF.]]=$B90,IF(DATOS_[[Check Periodo Ref.]:[Check Periodo Ref.]]="Dentro",IF(DATOS_[[Check Equiparado]:[Check Equiparado]]="Sí",IF(DATOS!BJ$5="Sí",(1/DATOS_[[% anualiz]:[% anualiz]]),1)*IF(DATOS!BJ$4="Sí",1/DATOS_[[% normaliz]:[% normaliz]],1)*(DATOS_[C.Extra.02])))))))),
0)</f>
        <v>0</v>
      </c>
      <c r="AR92" s="114">
        <f t="array" ref="AR92">IFERROR(
(MEDIAN((IF(DATOS_[[Sexo]:[Sexo]]=$B92,IF(DATOS_[[AGRUP. CLAS. PROF.]:[AGRUP. CLAS. PROF.]]=$B90,IF(DATOS_[[Check Periodo Ref.]:[Check Periodo Ref.]]="Dentro",IF(DATOS_[[Check Equiparado]:[Check Equiparado]]="Sí",IF(DATOS!BK$5="Sí",(1/DATOS_[[% anualiz]:[% anualiz]]),1)*IF(DATOS!BK$4="Sí",1/DATOS_[[% normaliz]:[% normaliz]],1)*(DATOS_[C.Extra.03])))))))),
0)</f>
        <v>0</v>
      </c>
      <c r="AS92" s="114">
        <f t="array" ref="AS92">IFERROR(
(MEDIAN((IF(DATOS_[[Sexo]:[Sexo]]=$B92,IF(DATOS_[[AGRUP. CLAS. PROF.]:[AGRUP. CLAS. PROF.]]=$B90,IF(DATOS_[[Check Periodo Ref.]:[Check Periodo Ref.]]="Dentro",IF(DATOS_[[Check Equiparado]:[Check Equiparado]]="Sí",IF(DATOS!BL$5="Sí",(1/DATOS_[[% anualiz]:[% anualiz]]),1)*IF(DATOS!BL$4="Sí",1/DATOS_[[% normaliz]:[% normaliz]],1)*(DATOS_[C.Extra.04])))))))),
0)</f>
        <v>0</v>
      </c>
      <c r="AT92" s="114">
        <f t="array" ref="AT92">IFERROR(
(MEDIAN((IF(DATOS_[[Sexo]:[Sexo]]=$B92,IF(DATOS_[[AGRUP. CLAS. PROF.]:[AGRUP. CLAS. PROF.]]=$B90,IF(DATOS_[[Check Periodo Ref.]:[Check Periodo Ref.]]="Dentro",IF(DATOS_[[Check Equiparado]:[Check Equiparado]]="Sí",IF(DATOS!BM$5="Sí",(1/DATOS_[[% anualiz]:[% anualiz]]),1)*IF(DATOS!BM$4="Sí",1/DATOS_[[% normaliz]:[% normaliz]],1)*(DATOS_[C.Extra.05])))))))),
0)</f>
        <v>0</v>
      </c>
      <c r="AU92" s="115">
        <f t="array" ref="AU92">IFERROR(
MEDIAN(IF(DATOS_[Sexo]=$B92,IF(DATOS_[[AGRUP. CLAS. PROF.]:[AGRUP. CLAS. PROF.]]=$B90,IF(DATOS_[Check Equiparado]="Sí",IF(DATOS_[Check Periodo Ref.]="Dentro",DATOS_[Tot Extrasalarial Eq],FALSE))))),
0)</f>
        <v>0</v>
      </c>
      <c r="AV92" s="116">
        <f t="array" ref="AV92">IFERROR(
MEDIAN(IF(DATOS_[Sexo]=$B92,IF(DATOS_[[AGRUP. CLAS. PROF.]:[AGRUP. CLAS. PROF.]]=$B90,IF(DATOS_[Check Equiparado]="Sí",IF(DATOS_[Check Periodo Ref.]="Dentro",DATOS_[TOTAL Retrib Eq],FALSE))))),
0)</f>
        <v>0</v>
      </c>
    </row>
    <row r="93" spans="1:48" ht="17.25" hidden="1" thickBot="1" x14ac:dyDescent="0.35">
      <c r="A93" s="42" t="str">
        <f t="shared" ref="A93" si="107">+A94</f>
        <v>[ocultar]</v>
      </c>
      <c r="B93" s="90" t="s">
        <v>243</v>
      </c>
      <c r="C93" s="109"/>
      <c r="D93" s="41"/>
      <c r="E93" s="41"/>
      <c r="F93" s="41"/>
      <c r="G93" s="41"/>
      <c r="H93" s="41"/>
      <c r="I93" s="119" t="str">
        <f t="shared" ref="I93:AV93" si="108">IFERROR((I94-I95)/I94,"")</f>
        <v/>
      </c>
      <c r="J93" s="123" t="str">
        <f t="shared" si="108"/>
        <v/>
      </c>
      <c r="K93" s="123" t="str">
        <f t="shared" si="108"/>
        <v/>
      </c>
      <c r="L93" s="123" t="str">
        <f t="shared" si="108"/>
        <v/>
      </c>
      <c r="M93" s="123" t="str">
        <f t="shared" si="108"/>
        <v/>
      </c>
      <c r="N93" s="123" t="str">
        <f t="shared" si="108"/>
        <v/>
      </c>
      <c r="O93" s="123" t="str">
        <f t="shared" si="108"/>
        <v/>
      </c>
      <c r="P93" s="123" t="str">
        <f t="shared" si="108"/>
        <v/>
      </c>
      <c r="Q93" s="123" t="str">
        <f t="shared" si="108"/>
        <v/>
      </c>
      <c r="R93" s="123" t="str">
        <f t="shared" si="108"/>
        <v/>
      </c>
      <c r="S93" s="123" t="str">
        <f t="shared" si="108"/>
        <v/>
      </c>
      <c r="T93" s="123" t="str">
        <f t="shared" si="108"/>
        <v/>
      </c>
      <c r="U93" s="123" t="str">
        <f t="shared" si="108"/>
        <v/>
      </c>
      <c r="V93" s="123" t="str">
        <f t="shared" si="108"/>
        <v/>
      </c>
      <c r="W93" s="123" t="str">
        <f t="shared" si="108"/>
        <v/>
      </c>
      <c r="X93" s="123" t="str">
        <f t="shared" si="108"/>
        <v/>
      </c>
      <c r="Y93" s="123" t="str">
        <f t="shared" si="108"/>
        <v/>
      </c>
      <c r="Z93" s="122" t="str">
        <f t="shared" si="108"/>
        <v/>
      </c>
      <c r="AA93" s="122" t="str">
        <f t="shared" si="108"/>
        <v/>
      </c>
      <c r="AB93" s="122" t="str">
        <f t="shared" si="108"/>
        <v/>
      </c>
      <c r="AC93" s="122" t="str">
        <f t="shared" si="108"/>
        <v/>
      </c>
      <c r="AD93" s="122" t="str">
        <f t="shared" si="108"/>
        <v/>
      </c>
      <c r="AE93" s="122" t="str">
        <f t="shared" si="108"/>
        <v/>
      </c>
      <c r="AF93" s="122" t="str">
        <f t="shared" si="108"/>
        <v/>
      </c>
      <c r="AG93" s="122" t="str">
        <f t="shared" si="108"/>
        <v/>
      </c>
      <c r="AH93" s="122" t="str">
        <f t="shared" si="108"/>
        <v/>
      </c>
      <c r="AI93" s="122" t="str">
        <f t="shared" si="108"/>
        <v/>
      </c>
      <c r="AJ93" s="122" t="str">
        <f t="shared" si="108"/>
        <v/>
      </c>
      <c r="AK93" s="122" t="str">
        <f t="shared" si="108"/>
        <v/>
      </c>
      <c r="AL93" s="122" t="str">
        <f t="shared" si="108"/>
        <v/>
      </c>
      <c r="AM93" s="122" t="str">
        <f t="shared" si="108"/>
        <v/>
      </c>
      <c r="AN93" s="124" t="str">
        <f t="shared" si="108"/>
        <v/>
      </c>
      <c r="AO93" s="128" t="str">
        <f t="shared" si="108"/>
        <v/>
      </c>
      <c r="AP93" s="125" t="str">
        <f t="shared" si="108"/>
        <v/>
      </c>
      <c r="AQ93" s="125" t="str">
        <f t="shared" si="108"/>
        <v/>
      </c>
      <c r="AR93" s="125" t="str">
        <f t="shared" si="108"/>
        <v/>
      </c>
      <c r="AS93" s="125" t="str">
        <f t="shared" si="108"/>
        <v/>
      </c>
      <c r="AT93" s="125" t="str">
        <f t="shared" si="108"/>
        <v/>
      </c>
      <c r="AU93" s="126" t="str">
        <f t="shared" si="108"/>
        <v/>
      </c>
      <c r="AV93" s="127" t="str">
        <f t="shared" si="108"/>
        <v/>
      </c>
    </row>
    <row r="94" spans="1:48" hidden="1" x14ac:dyDescent="0.3">
      <c r="A94" s="42" t="str">
        <f t="shared" ref="A94" si="109">+IF(C94+C95=0,"[ocultar]","")</f>
        <v>[ocultar]</v>
      </c>
      <c r="B94" s="86" t="s">
        <v>162</v>
      </c>
      <c r="C94" s="33">
        <f t="array" ref="C94">SUM(IF($B94=DATOS_[Sexo],
IF($B93=DATOS_[AGRUP. CLAS. PROF.],
IF("Dentro"=DATOS_[Check Periodo Ref.],
1/(COUNTIFS(DATOS_[Sexo],$B94,DATOS_[AGRUP. CLAS. PROF.],$B93,DATOS_[Check Periodo Ref.],"Dentro",DATOS_[id],DATOS_[id]))))))</f>
        <v>0</v>
      </c>
      <c r="D94" s="35">
        <f>COUNTIFS(DATOS_[AGRUP. CLAS. PROF.],$B93,DATOS_[Sexo],$B94,DATOS_[Check Periodo Ref.],"Dentro")</f>
        <v>0</v>
      </c>
      <c r="E94" s="35">
        <f>COUNTIFS(DATOS_[AGRUP. CLAS. PROF.],$B93,DATOS_[Sexo],$B94,DATOS_[Check Periodo Ref.],"Dentro",DATOS_[Check Nº SC Norm],"Sí")</f>
        <v>0</v>
      </c>
      <c r="F94" s="35">
        <f>COUNTIFS(DATOS_[AGRUP. CLAS. PROF.],$B93,DATOS_[Sexo],$B94,DATOS_[Check Periodo Ref.],"Dentro",DATOS_[Check Nº SC Anualiz],"Sí")</f>
        <v>0</v>
      </c>
      <c r="G94" s="35">
        <f>COUNTIFS(DATOS_[AGRUP. CLAS. PROF.],$B93,DATOS_[Sexo],$B94,DATOS_[Check Periodo Ref.],"Dentro",DATOS_[Check Nº SC Norm y Anualiz],"Sí")</f>
        <v>0</v>
      </c>
      <c r="H94" s="35">
        <f>COUNTIFS(DATOS_[AGRUP. CLAS. PROF.],$B93,DATOS_[Sexo],$B94,DATOS_[Check Periodo Ref.],"Dentro",DATOS_[Check Equiparación],"Sí")</f>
        <v>0</v>
      </c>
      <c r="I94" s="110">
        <f t="array" ref="I94">IFERROR(
MEDIAN(IF(DATOS_[Sexo]=$B94,IF(DATOS_[[AGRUP. CLAS. PROF.]:[AGRUP. CLAS. PROF.]]=$B93,IF(DATOS_[Check Equiparado]="Sí",IF(DATOS_[Check Periodo Ref.]="Dentro",DATOS_[SALARIO BASE Eq],FALSE))))),
0)</f>
        <v>0</v>
      </c>
      <c r="J94" s="111">
        <f t="array" ref="J94">IFERROR(
(MEDIAN((IF(DATOS_[[Sexo]:[Sexo]]=$B94,IF(DATOS_[[AGRUP. CLAS. PROF.]:[AGRUP. CLAS. PROF.]]=$B93,IF(DATOS_[[Check Periodo Ref.]:[Check Periodo Ref.]]="Dentro",IF(DATOS_[[Check Equiparado]:[Check Equiparado]]="Sí",IF(DATOS!AE$5="Sí",(1/DATOS_[[% anualiz]:[% anualiz]]),1)*IF(DATOS!AE$4="Sí",1/DATOS_[[% normaliz]:[% normaliz]],1)*(DATOS_[Conc.Sal.01])))))))),
0)</f>
        <v>0</v>
      </c>
      <c r="K94" s="111">
        <f t="array" ref="K94">IFERROR(
(MEDIAN((IF(DATOS_[[Sexo]:[Sexo]]=$B94,IF(DATOS_[[AGRUP. CLAS. PROF.]:[AGRUP. CLAS. PROF.]]=$B93,IF(DATOS_[[Check Periodo Ref.]:[Check Periodo Ref.]]="Dentro",IF(DATOS_[[Check Equiparado]:[Check Equiparado]]="Sí",IF(DATOS!AF$5="Sí",(1/DATOS_[[% anualiz]:[% anualiz]]),1)*IF(DATOS!AF$4="Sí",1/DATOS_[[% normaliz]:[% normaliz]],1)*(DATOS_[Conc.Sal.02])))))))),
0)</f>
        <v>0</v>
      </c>
      <c r="L94" s="111">
        <f t="array" ref="L94">IFERROR(
(MEDIAN((IF(DATOS_[[Sexo]:[Sexo]]=$B94,IF(DATOS_[[AGRUP. CLAS. PROF.]:[AGRUP. CLAS. PROF.]]=$B93,IF(DATOS_[[Check Periodo Ref.]:[Check Periodo Ref.]]="Dentro",IF(DATOS_[[Check Equiparado]:[Check Equiparado]]="Sí",IF(DATOS!AG$5="Sí",(1/DATOS_[[% anualiz]:[% anualiz]]),1)*IF(DATOS!AG$4="Sí",1/DATOS_[[% normaliz]:[% normaliz]],1)*(DATOS_[Conc.Sal.03])))))))),
0)</f>
        <v>0</v>
      </c>
      <c r="M94" s="111">
        <f t="array" ref="M94">IFERROR(
(MEDIAN((IF(DATOS_[[Sexo]:[Sexo]]=$B94,IF(DATOS_[[AGRUP. CLAS. PROF.]:[AGRUP. CLAS. PROF.]]=$B93,IF(DATOS_[[Check Periodo Ref.]:[Check Periodo Ref.]]="Dentro",IF(DATOS_[[Check Equiparado]:[Check Equiparado]]="Sí",IF(DATOS!AH$5="Sí",(1/DATOS_[[% anualiz]:[% anualiz]]),1)*IF(DATOS!AH$4="Sí",1/DATOS_[[% normaliz]:[% normaliz]],1)*(DATOS_[Conc.Sal.04])))))))),
0)</f>
        <v>0</v>
      </c>
      <c r="N94" s="111">
        <f t="array" ref="N94">IFERROR(
(MEDIAN((IF(DATOS_[[Sexo]:[Sexo]]=$B94,IF(DATOS_[[AGRUP. CLAS. PROF.]:[AGRUP. CLAS. PROF.]]=$B93,IF(DATOS_[[Check Periodo Ref.]:[Check Periodo Ref.]]="Dentro",IF(DATOS_[[Check Equiparado]:[Check Equiparado]]="Sí",IF(DATOS!AI$5="Sí",(1/DATOS_[[% anualiz]:[% anualiz]]),1)*IF(DATOS!AI$4="Sí",1/DATOS_[[% normaliz]:[% normaliz]],1)*(DATOS_[Conc.Sal.05])))))))),
0)</f>
        <v>0</v>
      </c>
      <c r="O94" s="111">
        <f t="array" ref="O94">IFERROR(
(MEDIAN((IF(DATOS_[[Sexo]:[Sexo]]=$B94,IF(DATOS_[[AGRUP. CLAS. PROF.]:[AGRUP. CLAS. PROF.]]=$B93,IF(DATOS_[[Check Periodo Ref.]:[Check Periodo Ref.]]="Dentro",IF(DATOS_[[Check Equiparado]:[Check Equiparado]]="Sí",IF(DATOS!AJ$5="Sí",(1/DATOS_[[% anualiz]:[% anualiz]]),1)*IF(DATOS!AJ$4="Sí",1/DATOS_[[% normaliz]:[% normaliz]],1)*(DATOS_[Conc.Sal.06])))))))),
0)</f>
        <v>0</v>
      </c>
      <c r="P94" s="111">
        <f t="array" ref="P94">IFERROR(
(MEDIAN((IF(DATOS_[[Sexo]:[Sexo]]=$B94,IF(DATOS_[[AGRUP. CLAS. PROF.]:[AGRUP. CLAS. PROF.]]=$B93,IF(DATOS_[[Check Periodo Ref.]:[Check Periodo Ref.]]="Dentro",IF(DATOS_[[Check Equiparado]:[Check Equiparado]]="Sí",IF(DATOS!AK$5="Sí",(1/DATOS_[[% anualiz]:[% anualiz]]),1)*IF(DATOS!AK$4="Sí",1/DATOS_[[% normaliz]:[% normaliz]],1)*(DATOS_[Conc.Sal.07])))))))),
0)</f>
        <v>0</v>
      </c>
      <c r="Q94" s="111">
        <f t="array" ref="Q94">IFERROR(
(MEDIAN((IF(DATOS_[[Sexo]:[Sexo]]=$B94,IF(DATOS_[[AGRUP. CLAS. PROF.]:[AGRUP. CLAS. PROF.]]=$B93,IF(DATOS_[[Check Periodo Ref.]:[Check Periodo Ref.]]="Dentro",IF(DATOS_[[Check Equiparado]:[Check Equiparado]]="Sí",IF(DATOS!AL$5="Sí",(1/DATOS_[[% anualiz]:[% anualiz]]),1)*IF(DATOS!AL$4="Sí",1/DATOS_[[% normaliz]:[% normaliz]],1)*(DATOS_[Conc.Sal.08])))))))),
0)</f>
        <v>0</v>
      </c>
      <c r="R94" s="111">
        <f t="array" ref="R94">IFERROR(
(MEDIAN((IF(DATOS_[[Sexo]:[Sexo]]=$B94,IF(DATOS_[[AGRUP. CLAS. PROF.]:[AGRUP. CLAS. PROF.]]=$B93,IF(DATOS_[[Check Periodo Ref.]:[Check Periodo Ref.]]="Dentro",IF(DATOS_[[Check Equiparado]:[Check Equiparado]]="Sí",IF(DATOS!AM$5="Sí",(1/DATOS_[[% anualiz]:[% anualiz]]),1)*IF(DATOS!AM$4="Sí",1/DATOS_[[% normaliz]:[% normaliz]],1)*(DATOS_[Conc.Sal.09])))))))),
0)</f>
        <v>0</v>
      </c>
      <c r="S94" s="111">
        <f t="array" ref="S94">IFERROR(
(MEDIAN((IF(DATOS_[[Sexo]:[Sexo]]=$B94,IF(DATOS_[[AGRUP. CLAS. PROF.]:[AGRUP. CLAS. PROF.]]=$B93,IF(DATOS_[[Check Periodo Ref.]:[Check Periodo Ref.]]="Dentro",IF(DATOS_[[Check Equiparado]:[Check Equiparado]]="Sí",IF(DATOS!AN$5="Sí",(1/DATOS_[[% anualiz]:[% anualiz]]),1)*IF(DATOS!AN$4="Sí",1/DATOS_[[% normaliz]:[% normaliz]],1)*(DATOS_[Conc.Sal.10])))))))),
0)</f>
        <v>0</v>
      </c>
      <c r="T94" s="111">
        <f t="array" ref="T94">IFERROR(
(MEDIAN((IF(DATOS_[[Sexo]:[Sexo]]=$B94,IF(DATOS_[[AGRUP. CLAS. PROF.]:[AGRUP. CLAS. PROF.]]=$B93,IF(DATOS_[[Check Periodo Ref.]:[Check Periodo Ref.]]="Dentro",IF(DATOS_[[Check Equiparado]:[Check Equiparado]]="Sí",IF(DATOS!AO$5="Sí",(1/DATOS_[[% anualiz]:[% anualiz]]),1)*IF(DATOS!AO$4="Sí",1/DATOS_[[% normaliz]:[% normaliz]],1)*(DATOS_[Conc.Sal.11])))))))),
0)</f>
        <v>0</v>
      </c>
      <c r="U94" s="111">
        <f t="array" ref="U94">IFERROR(
(MEDIAN((IF(DATOS_[[Sexo]:[Sexo]]=$B94,IF(DATOS_[[AGRUP. CLAS. PROF.]:[AGRUP. CLAS. PROF.]]=$B93,IF(DATOS_[[Check Periodo Ref.]:[Check Periodo Ref.]]="Dentro",IF(DATOS_[[Check Equiparado]:[Check Equiparado]]="Sí",IF(DATOS!AP$5="Sí",(1/DATOS_[[% anualiz]:[% anualiz]]),1)*IF(DATOS!AP$4="Sí",1/DATOS_[[% normaliz]:[% normaliz]],1)*(DATOS_[Conc.Sal.12])))))))),
0)</f>
        <v>0</v>
      </c>
      <c r="V94" s="111">
        <f t="array" ref="V94">IFERROR(
(MEDIAN((IF(DATOS_[[Sexo]:[Sexo]]=$B94,IF(DATOS_[[AGRUP. CLAS. PROF.]:[AGRUP. CLAS. PROF.]]=$B93,IF(DATOS_[[Check Periodo Ref.]:[Check Periodo Ref.]]="Dentro",IF(DATOS_[[Check Equiparado]:[Check Equiparado]]="Sí",IF(DATOS!AQ$5="Sí",(1/DATOS_[[% anualiz]:[% anualiz]]),1)*IF(DATOS!AQ$4="Sí",1/DATOS_[[% normaliz]:[% normaliz]],1)*(DATOS_[Conc.Sal.13])))))))),
0)</f>
        <v>0</v>
      </c>
      <c r="W94" s="111">
        <f t="array" ref="W94">IFERROR(
(MEDIAN((IF(DATOS_[[Sexo]:[Sexo]]=$B94,IF(DATOS_[[AGRUP. CLAS. PROF.]:[AGRUP. CLAS. PROF.]]=$B93,IF(DATOS_[[Check Periodo Ref.]:[Check Periodo Ref.]]="Dentro",IF(DATOS_[[Check Equiparado]:[Check Equiparado]]="Sí",IF(DATOS!AR$5="Sí",(1/DATOS_[[% anualiz]:[% anualiz]]),1)*IF(DATOS!AR$4="Sí",1/DATOS_[[% normaliz]:[% normaliz]],1)*(DATOS_[Conc.Sal.14])))))))),
0)</f>
        <v>0</v>
      </c>
      <c r="X94" s="111">
        <f t="array" ref="X94">IFERROR(
(MEDIAN((IF(DATOS_[[Sexo]:[Sexo]]=$B94,IF(DATOS_[[AGRUP. CLAS. PROF.]:[AGRUP. CLAS. PROF.]]=$B93,IF(DATOS_[[Check Periodo Ref.]:[Check Periodo Ref.]]="Dentro",IF(DATOS_[[Check Equiparado]:[Check Equiparado]]="Sí",IF(DATOS!AS$5="Sí",(1/DATOS_[[% anualiz]:[% anualiz]]),1)*IF(DATOS!AS$4="Sí",1/DATOS_[[% normaliz]:[% normaliz]],1)*(DATOS_[Conc.Sal.15])))))))),
0)</f>
        <v>0</v>
      </c>
      <c r="Y94" s="111">
        <f t="array" ref="Y94">IFERROR(
(MEDIAN((IF(DATOS_[[Sexo]:[Sexo]]=$B94,IF(DATOS_[[AGRUP. CLAS. PROF.]:[AGRUP. CLAS. PROF.]]=$B93,IF(DATOS_[[Check Periodo Ref.]:[Check Periodo Ref.]]="Dentro",IF(DATOS_[[Check Equiparado]:[Check Equiparado]]="Sí",IF(DATOS!AT$5="Sí",(1/DATOS_[[% anualiz]:[% anualiz]]),1)*IF(DATOS!AT$4="Sí",1/DATOS_[[% normaliz]:[% normaliz]],1)*(DATOS_[Conc.Sal.16])))))))),
0)</f>
        <v>0</v>
      </c>
      <c r="Z94" s="111">
        <f t="array" ref="Z94">IFERROR(
(MEDIAN((IF(DATOS_[[Sexo]:[Sexo]]=$B94,IF(DATOS_[[AGRUP. CLAS. PROF.]:[AGRUP. CLAS. PROF.]]=$B93,IF(DATOS_[[Check Periodo Ref.]:[Check Periodo Ref.]]="Dentro",IF(DATOS_[[Check Equiparado]:[Check Equiparado]]="Sí",IF(DATOS!AU$5="Sí",(1/DATOS_[[% anualiz]:[% anualiz]]),1)*IF(DATOS!AU$4="Sí",1/DATOS_[[% normaliz]:[% normaliz]],1)*(DATOS_[Conc.Sal.17])))))))),
0)</f>
        <v>0</v>
      </c>
      <c r="AA94" s="111">
        <f t="array" ref="AA94">IFERROR(
(MEDIAN((IF(DATOS_[[Sexo]:[Sexo]]=$B94,IF(DATOS_[[AGRUP. CLAS. PROF.]:[AGRUP. CLAS. PROF.]]=$B93,IF(DATOS_[[Check Periodo Ref.]:[Check Periodo Ref.]]="Dentro",IF(DATOS_[[Check Equiparado]:[Check Equiparado]]="Sí",IF(DATOS!AV$5="Sí",(1/DATOS_[[% anualiz]:[% anualiz]]),1)*IF(DATOS!AV$4="Sí",1/DATOS_[[% normaliz]:[% normaliz]],1)*(DATOS_[Conc.Sal.18])))))))),
0)</f>
        <v>0</v>
      </c>
      <c r="AB94" s="111">
        <f t="array" ref="AB94">IFERROR(
(MEDIAN((IF(DATOS_[[Sexo]:[Sexo]]=$B94,IF(DATOS_[[AGRUP. CLAS. PROF.]:[AGRUP. CLAS. PROF.]]=$B93,IF(DATOS_[[Check Periodo Ref.]:[Check Periodo Ref.]]="Dentro",IF(DATOS_[[Check Equiparado]:[Check Equiparado]]="Sí",IF(DATOS!AW$5="Sí",(1/DATOS_[[% anualiz]:[% anualiz]]),1)*IF(DATOS!AW$4="Sí",1/DATOS_[[% normaliz]:[% normaliz]],1)*(DATOS_[Conc.Sal.19])))))))),
0)</f>
        <v>0</v>
      </c>
      <c r="AC94" s="111">
        <f t="array" ref="AC94">IFERROR(
(MEDIAN((IF(DATOS_[[Sexo]:[Sexo]]=$B94,IF(DATOS_[[AGRUP. CLAS. PROF.]:[AGRUP. CLAS. PROF.]]=$B93,IF(DATOS_[[Check Periodo Ref.]:[Check Periodo Ref.]]="Dentro",IF(DATOS_[[Check Equiparado]:[Check Equiparado]]="Sí",IF(DATOS!AX$5="Sí",(1/DATOS_[[% anualiz]:[% anualiz]]),1)*IF(DATOS!AX$4="Sí",1/DATOS_[[% normaliz]:[% normaliz]],1)*(DATOS_[Conc.Sal.20])))))))),
0)</f>
        <v>0</v>
      </c>
      <c r="AD94" s="111">
        <f t="array" ref="AD94">IFERROR(
(MEDIAN((IF(DATOS_[[Sexo]:[Sexo]]=$B94,IF(DATOS_[[AGRUP. CLAS. PROF.]:[AGRUP. CLAS. PROF.]]=$B93,IF(DATOS_[[Check Periodo Ref.]:[Check Periodo Ref.]]="Dentro",IF(DATOS_[[Check Equiparado]:[Check Equiparado]]="Sí",IF(DATOS!AY$5="Sí",(1/DATOS_[[% anualiz]:[% anualiz]]),1)*IF(DATOS!AY$4="Sí",1/DATOS_[[% normaliz]:[% normaliz]],1)*(DATOS_[Conc.Sal.21])))))))),
0)</f>
        <v>0</v>
      </c>
      <c r="AE94" s="111">
        <f t="array" ref="AE94">IFERROR(
(MEDIAN((IF(DATOS_[[Sexo]:[Sexo]]=$B94,IF(DATOS_[[AGRUP. CLAS. PROF.]:[AGRUP. CLAS. PROF.]]=$B93,IF(DATOS_[[Check Periodo Ref.]:[Check Periodo Ref.]]="Dentro",IF(DATOS_[[Check Equiparado]:[Check Equiparado]]="Sí",IF(DATOS!AZ$5="Sí",(1/DATOS_[[% anualiz]:[% anualiz]]),1)*IF(DATOS!AZ$4="Sí",1/DATOS_[[% normaliz]:[% normaliz]],1)*(DATOS_[Conc.Sal.22])))))))),
0)</f>
        <v>0</v>
      </c>
      <c r="AF94" s="111">
        <f t="array" ref="AF94">IFERROR(
(MEDIAN((IF(DATOS_[[Sexo]:[Sexo]]=$B94,IF(DATOS_[[AGRUP. CLAS. PROF.]:[AGRUP. CLAS. PROF.]]=$B93,IF(DATOS_[[Check Periodo Ref.]:[Check Periodo Ref.]]="Dentro",IF(DATOS_[[Check Equiparado]:[Check Equiparado]]="Sí",IF(DATOS!BA$5="Sí",(1/DATOS_[[% anualiz]:[% anualiz]]),1)*IF(DATOS!BA$4="Sí",1/DATOS_[[% normaliz]:[% normaliz]],1)*(DATOS_[Conc.Sal.23])))))))),
0)</f>
        <v>0</v>
      </c>
      <c r="AG94" s="111">
        <f t="array" ref="AG94">IFERROR(
(MEDIAN((IF(DATOS_[[Sexo]:[Sexo]]=$B94,IF(DATOS_[[AGRUP. CLAS. PROF.]:[AGRUP. CLAS. PROF.]]=$B93,IF(DATOS_[[Check Periodo Ref.]:[Check Periodo Ref.]]="Dentro",IF(DATOS_[[Check Equiparado]:[Check Equiparado]]="Sí",IF(DATOS!BB$5="Sí",(1/DATOS_[[% anualiz]:[% anualiz]]),1)*IF(DATOS!BB$4="Sí",1/DATOS_[[% normaliz]:[% normaliz]],1)*(DATOS_[Conc.Sal.24])))))))),
0)</f>
        <v>0</v>
      </c>
      <c r="AH94" s="111">
        <f t="array" ref="AH94">IFERROR(
(MEDIAN((IF(DATOS_[[Sexo]:[Sexo]]=$B94,IF(DATOS_[[AGRUP. CLAS. PROF.]:[AGRUP. CLAS. PROF.]]=$B93,IF(DATOS_[[Check Periodo Ref.]:[Check Periodo Ref.]]="Dentro",IF(DATOS_[[Check Equiparado]:[Check Equiparado]]="Sí",IF(DATOS!BC$5="Sí",(1/DATOS_[[% anualiz]:[% anualiz]]),1)*IF(DATOS!BC$4="Sí",1/DATOS_[[% normaliz]:[% normaliz]],1)*(DATOS_[Conc.Sal.25])))))))),
0)</f>
        <v>0</v>
      </c>
      <c r="AI94" s="111">
        <f t="array" ref="AI94">IFERROR(
(MEDIAN((IF(DATOS_[[Sexo]:[Sexo]]=$B94,IF(DATOS_[[AGRUP. CLAS. PROF.]:[AGRUP. CLAS. PROF.]]=$B93,IF(DATOS_[[Check Periodo Ref.]:[Check Periodo Ref.]]="Dentro",IF(DATOS_[[Check Equiparado]:[Check Equiparado]]="Sí",IF(DATOS!BD$5="Sí",(1/DATOS_[[% anualiz]:[% anualiz]]),1)*IF(DATOS!BD$4="Sí",1/DATOS_[[% normaliz]:[% normaliz]],1)*(DATOS_[Conc.Sal.26])))))))),
0)</f>
        <v>0</v>
      </c>
      <c r="AJ94" s="111">
        <f t="array" ref="AJ94">IFERROR(
(MEDIAN((IF(DATOS_[[Sexo]:[Sexo]]=$B94,IF(DATOS_[[AGRUP. CLAS. PROF.]:[AGRUP. CLAS. PROF.]]=$B93,IF(DATOS_[[Check Periodo Ref.]:[Check Periodo Ref.]]="Dentro",IF(DATOS_[[Check Equiparado]:[Check Equiparado]]="Sí",IF(DATOS!BE$5="Sí",(1/DATOS_[[% anualiz]:[% anualiz]]),1)*IF(DATOS!BE$4="Sí",1/DATOS_[[% normaliz]:[% normaliz]],1)*(DATOS_[Conc.Sal.27])))))))),
0)</f>
        <v>0</v>
      </c>
      <c r="AK94" s="111">
        <f t="array" ref="AK94">IFERROR(
(MEDIAN((IF(DATOS_[[Sexo]:[Sexo]]=$B94,IF(DATOS_[[AGRUP. CLAS. PROF.]:[AGRUP. CLAS. PROF.]]=$B93,IF(DATOS_[[Check Periodo Ref.]:[Check Periodo Ref.]]="Dentro",IF(DATOS_[[Check Equiparado]:[Check Equiparado]]="Sí",IF(DATOS!BF$5="Sí",(1/DATOS_[[% anualiz]:[% anualiz]]),1)*IF(DATOS!BF$4="Sí",1/DATOS_[[% normaliz]:[% normaliz]],1)*(DATOS_[Conc.Sal.28])))))))),
0)</f>
        <v>0</v>
      </c>
      <c r="AL94" s="111">
        <f t="array" ref="AL94">IFERROR(
(MEDIAN((IF(DATOS_[[Sexo]:[Sexo]]=$B94,IF(DATOS_[[AGRUP. CLAS. PROF.]:[AGRUP. CLAS. PROF.]]=$B93,IF(DATOS_[[Check Periodo Ref.]:[Check Periodo Ref.]]="Dentro",IF(DATOS_[[Check Equiparado]:[Check Equiparado]]="Sí",IF(DATOS!BG$5="Sí",(1/DATOS_[[% anualiz]:[% anualiz]]),1)*IF(DATOS!BG$4="Sí",1/DATOS_[[% normaliz]:[% normaliz]],1)*(DATOS_[Conc.Sal.29])))))))),
0)</f>
        <v>0</v>
      </c>
      <c r="AM94" s="111">
        <f t="array" ref="AM94">IFERROR(
(MEDIAN((IF(DATOS_[[Sexo]:[Sexo]]=$B94,IF(DATOS_[[AGRUP. CLAS. PROF.]:[AGRUP. CLAS. PROF.]]=$B93,IF(DATOS_[[Check Periodo Ref.]:[Check Periodo Ref.]]="Dentro",IF(DATOS_[[Check Equiparado]:[Check Equiparado]]="Sí",IF(DATOS!BH$5="Sí",(1/DATOS_[[% anualiz]:[% anualiz]]),1)*IF(DATOS!BH$4="Sí",1/DATOS_[[% normaliz]:[% normaliz]],1)*(DATOS_[Conc.Sal.30])))))))),
0)</f>
        <v>0</v>
      </c>
      <c r="AN94" s="112">
        <f t="array" ref="AN94">IFERROR(
MEDIAN(IF(DATOS_[Sexo]=$B94,IF(DATOS_[[AGRUP. CLAS. PROF.]:[AGRUP. CLAS. PROF.]]=$B93,IF(DATOS_[Check Equiparado]="Sí",IF(DATOS_[Check Periodo Ref.]="Dentro",DATOS_[Tot COMPL.SAL Eq],FALSE))))),
0)</f>
        <v>0</v>
      </c>
      <c r="AO94" s="113">
        <f t="array" ref="AO94">IFERROR(
MEDIAN(IF(DATOS_[Sexo]=$B94,IF(DATOS_[[AGRUP. CLAS. PROF.]:[AGRUP. CLAS. PROF.]]=$B93,IF(DATOS_[Check Equiparado]="Sí",IF(DATOS_[Check Periodo Ref.]="Dentro",DATOS_[TOTAL SALARIO Eq],FALSE))))),
0)</f>
        <v>0</v>
      </c>
      <c r="AP94" s="114">
        <f t="array" ref="AP94">IFERROR(
(MEDIAN((IF(DATOS_[[Sexo]:[Sexo]]=$B94,IF(DATOS_[[AGRUP. CLAS. PROF.]:[AGRUP. CLAS. PROF.]]=$B93,IF(DATOS_[[Check Periodo Ref.]:[Check Periodo Ref.]]="Dentro",IF(DATOS_[[Check Equiparado]:[Check Equiparado]]="Sí",IF(DATOS!BI$5="Sí",(1/DATOS_[[% anualiz]:[% anualiz]]),1)*IF(DATOS!BI$4="Sí",1/DATOS_[[% normaliz]:[% normaliz]],1)*(DATOS_[C.Extra.01])))))))),
0)</f>
        <v>0</v>
      </c>
      <c r="AQ94" s="114">
        <f t="array" ref="AQ94">IFERROR(
(MEDIAN((IF(DATOS_[[Sexo]:[Sexo]]=$B94,IF(DATOS_[[AGRUP. CLAS. PROF.]:[AGRUP. CLAS. PROF.]]=$B93,IF(DATOS_[[Check Periodo Ref.]:[Check Periodo Ref.]]="Dentro",IF(DATOS_[[Check Equiparado]:[Check Equiparado]]="Sí",IF(DATOS!BJ$5="Sí",(1/DATOS_[[% anualiz]:[% anualiz]]),1)*IF(DATOS!BJ$4="Sí",1/DATOS_[[% normaliz]:[% normaliz]],1)*(DATOS_[C.Extra.02])))))))),
0)</f>
        <v>0</v>
      </c>
      <c r="AR94" s="114">
        <f t="array" ref="AR94">IFERROR(
(MEDIAN((IF(DATOS_[[Sexo]:[Sexo]]=$B94,IF(DATOS_[[AGRUP. CLAS. PROF.]:[AGRUP. CLAS. PROF.]]=$B93,IF(DATOS_[[Check Periodo Ref.]:[Check Periodo Ref.]]="Dentro",IF(DATOS_[[Check Equiparado]:[Check Equiparado]]="Sí",IF(DATOS!BK$5="Sí",(1/DATOS_[[% anualiz]:[% anualiz]]),1)*IF(DATOS!BK$4="Sí",1/DATOS_[[% normaliz]:[% normaliz]],1)*(DATOS_[C.Extra.03])))))))),
0)</f>
        <v>0</v>
      </c>
      <c r="AS94" s="114">
        <f t="array" ref="AS94">IFERROR(
(MEDIAN((IF(DATOS_[[Sexo]:[Sexo]]=$B94,IF(DATOS_[[AGRUP. CLAS. PROF.]:[AGRUP. CLAS. PROF.]]=$B93,IF(DATOS_[[Check Periodo Ref.]:[Check Periodo Ref.]]="Dentro",IF(DATOS_[[Check Equiparado]:[Check Equiparado]]="Sí",IF(DATOS!BL$5="Sí",(1/DATOS_[[% anualiz]:[% anualiz]]),1)*IF(DATOS!BL$4="Sí",1/DATOS_[[% normaliz]:[% normaliz]],1)*(DATOS_[C.Extra.04])))))))),
0)</f>
        <v>0</v>
      </c>
      <c r="AT94" s="114">
        <f t="array" ref="AT94">IFERROR(
(MEDIAN((IF(DATOS_[[Sexo]:[Sexo]]=$B94,IF(DATOS_[[AGRUP. CLAS. PROF.]:[AGRUP. CLAS. PROF.]]=$B93,IF(DATOS_[[Check Periodo Ref.]:[Check Periodo Ref.]]="Dentro",IF(DATOS_[[Check Equiparado]:[Check Equiparado]]="Sí",IF(DATOS!BM$5="Sí",(1/DATOS_[[% anualiz]:[% anualiz]]),1)*IF(DATOS!BM$4="Sí",1/DATOS_[[% normaliz]:[% normaliz]],1)*(DATOS_[C.Extra.05])))))))),
0)</f>
        <v>0</v>
      </c>
      <c r="AU94" s="115">
        <f t="array" ref="AU94">IFERROR(
MEDIAN(IF(DATOS_[Sexo]=$B94,IF(DATOS_[[AGRUP. CLAS. PROF.]:[AGRUP. CLAS. PROF.]]=$B93,IF(DATOS_[Check Equiparado]="Sí",IF(DATOS_[Check Periodo Ref.]="Dentro",DATOS_[Tot Extrasalarial Eq],FALSE))))),
0)</f>
        <v>0</v>
      </c>
      <c r="AV94" s="116">
        <f t="array" ref="AV94">IFERROR(
MEDIAN(IF(DATOS_[Sexo]=$B94,IF(DATOS_[[AGRUP. CLAS. PROF.]:[AGRUP. CLAS. PROF.]]=$B93,IF(DATOS_[Check Equiparado]="Sí",IF(DATOS_[Check Periodo Ref.]="Dentro",DATOS_[TOTAL Retrib Eq],FALSE))))),
0)</f>
        <v>0</v>
      </c>
    </row>
    <row r="95" spans="1:48" hidden="1" x14ac:dyDescent="0.3">
      <c r="A95" s="42" t="str">
        <f t="shared" ref="A95" si="110">+A94</f>
        <v>[ocultar]</v>
      </c>
      <c r="B95" s="86" t="s">
        <v>163</v>
      </c>
      <c r="C95" s="33">
        <f t="array" ref="C95">SUM(IF($B95=DATOS_[Sexo],
IF($B93=DATOS_[AGRUP. CLAS. PROF.],
IF("Dentro"=DATOS_[Check Periodo Ref.],
1/(COUNTIFS(DATOS_[Sexo],$B95,DATOS_[AGRUP. CLAS. PROF.],$B93,DATOS_[Check Periodo Ref.],"Dentro",DATOS_[id],DATOS_[id]))))))</f>
        <v>0</v>
      </c>
      <c r="D95" s="35">
        <f>COUNTIFS(DATOS_[AGRUP. CLAS. PROF.],$B93,DATOS_[Sexo],$B95,DATOS_[Check Periodo Ref.],"Dentro")</f>
        <v>0</v>
      </c>
      <c r="E95" s="35">
        <f>COUNTIFS(DATOS_[AGRUP. CLAS. PROF.],$B93,DATOS_[Sexo],$B95,DATOS_[Check Periodo Ref.],"Dentro",DATOS_[Check Nº SC Norm],"Sí")</f>
        <v>0</v>
      </c>
      <c r="F95" s="35">
        <f>COUNTIFS(DATOS_[AGRUP. CLAS. PROF.],$B93,DATOS_[Sexo],$B95,DATOS_[Check Periodo Ref.],"Dentro",DATOS_[Check Nº SC Anualiz],"Sí")</f>
        <v>0</v>
      </c>
      <c r="G95" s="35">
        <f>COUNTIFS(DATOS_[AGRUP. CLAS. PROF.],$B93,DATOS_[Sexo],$B95,DATOS_[Check Periodo Ref.],"Dentro",DATOS_[Check Nº SC Norm y Anualiz],"Sí")</f>
        <v>0</v>
      </c>
      <c r="H95" s="35">
        <f>COUNTIFS(DATOS_[AGRUP. CLAS. PROF.],$B93,DATOS_[Sexo],$B95,DATOS_[Check Periodo Ref.],"Dentro",DATOS_[Check Equiparación],"Sí")</f>
        <v>0</v>
      </c>
      <c r="I95" s="110" cm="1">
        <f t="array" ref="I95">IFERROR(
MEDIAN(IF(DATOS_[Sexo]=$B95,IF(DATOS_[[AGRUP. CLAS. PROF.]:[AGRUP. CLAS. PROF.]]=$B93,IF(DATOS_[Check Equiparado]="Sí",IF(DATOS_[Check Periodo Ref.]="Dentro",DATOS_[SALARIO BASE Eq],FALSE))))),
0)</f>
        <v>0</v>
      </c>
      <c r="J95" s="111">
        <f t="array" ref="J95">IFERROR(
(MEDIAN((IF(DATOS_[[Sexo]:[Sexo]]=$B95,IF(DATOS_[[AGRUP. CLAS. PROF.]:[AGRUP. CLAS. PROF.]]=$B93,IF(DATOS_[[Check Periodo Ref.]:[Check Periodo Ref.]]="Dentro",IF(DATOS_[[Check Equiparado]:[Check Equiparado]]="Sí",IF(DATOS!AE$5="Sí",(1/DATOS_[[% anualiz]:[% anualiz]]),1)*IF(DATOS!AE$4="Sí",1/DATOS_[[% normaliz]:[% normaliz]],1)*(DATOS_[Conc.Sal.01])))))))),
0)</f>
        <v>0</v>
      </c>
      <c r="K95" s="111">
        <f t="array" ref="K95">IFERROR(
(MEDIAN((IF(DATOS_[[Sexo]:[Sexo]]=$B95,IF(DATOS_[[AGRUP. CLAS. PROF.]:[AGRUP. CLAS. PROF.]]=$B93,IF(DATOS_[[Check Periodo Ref.]:[Check Periodo Ref.]]="Dentro",IF(DATOS_[[Check Equiparado]:[Check Equiparado]]="Sí",IF(DATOS!AF$5="Sí",(1/DATOS_[[% anualiz]:[% anualiz]]),1)*IF(DATOS!AF$4="Sí",1/DATOS_[[% normaliz]:[% normaliz]],1)*(DATOS_[Conc.Sal.02])))))))),
0)</f>
        <v>0</v>
      </c>
      <c r="L95" s="111">
        <f t="array" ref="L95">IFERROR(
(MEDIAN((IF(DATOS_[[Sexo]:[Sexo]]=$B95,IF(DATOS_[[AGRUP. CLAS. PROF.]:[AGRUP. CLAS. PROF.]]=$B93,IF(DATOS_[[Check Periodo Ref.]:[Check Periodo Ref.]]="Dentro",IF(DATOS_[[Check Equiparado]:[Check Equiparado]]="Sí",IF(DATOS!AG$5="Sí",(1/DATOS_[[% anualiz]:[% anualiz]]),1)*IF(DATOS!AG$4="Sí",1/DATOS_[[% normaliz]:[% normaliz]],1)*(DATOS_[Conc.Sal.03])))))))),
0)</f>
        <v>0</v>
      </c>
      <c r="M95" s="111">
        <f t="array" ref="M95">IFERROR(
(MEDIAN((IF(DATOS_[[Sexo]:[Sexo]]=$B95,IF(DATOS_[[AGRUP. CLAS. PROF.]:[AGRUP. CLAS. PROF.]]=$B93,IF(DATOS_[[Check Periodo Ref.]:[Check Periodo Ref.]]="Dentro",IF(DATOS_[[Check Equiparado]:[Check Equiparado]]="Sí",IF(DATOS!AH$5="Sí",(1/DATOS_[[% anualiz]:[% anualiz]]),1)*IF(DATOS!AH$4="Sí",1/DATOS_[[% normaliz]:[% normaliz]],1)*(DATOS_[Conc.Sal.04])))))))),
0)</f>
        <v>0</v>
      </c>
      <c r="N95" s="111">
        <f t="array" ref="N95">IFERROR(
(MEDIAN((IF(DATOS_[[Sexo]:[Sexo]]=$B95,IF(DATOS_[[AGRUP. CLAS. PROF.]:[AGRUP. CLAS. PROF.]]=$B93,IF(DATOS_[[Check Periodo Ref.]:[Check Periodo Ref.]]="Dentro",IF(DATOS_[[Check Equiparado]:[Check Equiparado]]="Sí",IF(DATOS!AI$5="Sí",(1/DATOS_[[% anualiz]:[% anualiz]]),1)*IF(DATOS!AI$4="Sí",1/DATOS_[[% normaliz]:[% normaliz]],1)*(DATOS_[Conc.Sal.05])))))))),
0)</f>
        <v>0</v>
      </c>
      <c r="O95" s="111">
        <f t="array" ref="O95">IFERROR(
(MEDIAN((IF(DATOS_[[Sexo]:[Sexo]]=$B95,IF(DATOS_[[AGRUP. CLAS. PROF.]:[AGRUP. CLAS. PROF.]]=$B93,IF(DATOS_[[Check Periodo Ref.]:[Check Periodo Ref.]]="Dentro",IF(DATOS_[[Check Equiparado]:[Check Equiparado]]="Sí",IF(DATOS!AJ$5="Sí",(1/DATOS_[[% anualiz]:[% anualiz]]),1)*IF(DATOS!AJ$4="Sí",1/DATOS_[[% normaliz]:[% normaliz]],1)*(DATOS_[Conc.Sal.06])))))))),
0)</f>
        <v>0</v>
      </c>
      <c r="P95" s="111">
        <f t="array" ref="P95">IFERROR(
(MEDIAN((IF(DATOS_[[Sexo]:[Sexo]]=$B95,IF(DATOS_[[AGRUP. CLAS. PROF.]:[AGRUP. CLAS. PROF.]]=$B93,IF(DATOS_[[Check Periodo Ref.]:[Check Periodo Ref.]]="Dentro",IF(DATOS_[[Check Equiparado]:[Check Equiparado]]="Sí",IF(DATOS!AK$5="Sí",(1/DATOS_[[% anualiz]:[% anualiz]]),1)*IF(DATOS!AK$4="Sí",1/DATOS_[[% normaliz]:[% normaliz]],1)*(DATOS_[Conc.Sal.07])))))))),
0)</f>
        <v>0</v>
      </c>
      <c r="Q95" s="111">
        <f t="array" ref="Q95">IFERROR(
(MEDIAN((IF(DATOS_[[Sexo]:[Sexo]]=$B95,IF(DATOS_[[AGRUP. CLAS. PROF.]:[AGRUP. CLAS. PROF.]]=$B93,IF(DATOS_[[Check Periodo Ref.]:[Check Periodo Ref.]]="Dentro",IF(DATOS_[[Check Equiparado]:[Check Equiparado]]="Sí",IF(DATOS!AL$5="Sí",(1/DATOS_[[% anualiz]:[% anualiz]]),1)*IF(DATOS!AL$4="Sí",1/DATOS_[[% normaliz]:[% normaliz]],1)*(DATOS_[Conc.Sal.08])))))))),
0)</f>
        <v>0</v>
      </c>
      <c r="R95" s="111">
        <f t="array" ref="R95">IFERROR(
(MEDIAN((IF(DATOS_[[Sexo]:[Sexo]]=$B95,IF(DATOS_[[AGRUP. CLAS. PROF.]:[AGRUP. CLAS. PROF.]]=$B93,IF(DATOS_[[Check Periodo Ref.]:[Check Periodo Ref.]]="Dentro",IF(DATOS_[[Check Equiparado]:[Check Equiparado]]="Sí",IF(DATOS!AM$5="Sí",(1/DATOS_[[% anualiz]:[% anualiz]]),1)*IF(DATOS!AM$4="Sí",1/DATOS_[[% normaliz]:[% normaliz]],1)*(DATOS_[Conc.Sal.09])))))))),
0)</f>
        <v>0</v>
      </c>
      <c r="S95" s="111">
        <f t="array" ref="S95">IFERROR(
(MEDIAN((IF(DATOS_[[Sexo]:[Sexo]]=$B95,IF(DATOS_[[AGRUP. CLAS. PROF.]:[AGRUP. CLAS. PROF.]]=$B93,IF(DATOS_[[Check Periodo Ref.]:[Check Periodo Ref.]]="Dentro",IF(DATOS_[[Check Equiparado]:[Check Equiparado]]="Sí",IF(DATOS!AN$5="Sí",(1/DATOS_[[% anualiz]:[% anualiz]]),1)*IF(DATOS!AN$4="Sí",1/DATOS_[[% normaliz]:[% normaliz]],1)*(DATOS_[Conc.Sal.10])))))))),
0)</f>
        <v>0</v>
      </c>
      <c r="T95" s="111">
        <f t="array" ref="T95">IFERROR(
(MEDIAN((IF(DATOS_[[Sexo]:[Sexo]]=$B95,IF(DATOS_[[AGRUP. CLAS. PROF.]:[AGRUP. CLAS. PROF.]]=$B93,IF(DATOS_[[Check Periodo Ref.]:[Check Periodo Ref.]]="Dentro",IF(DATOS_[[Check Equiparado]:[Check Equiparado]]="Sí",IF(DATOS!AO$5="Sí",(1/DATOS_[[% anualiz]:[% anualiz]]),1)*IF(DATOS!AO$4="Sí",1/DATOS_[[% normaliz]:[% normaliz]],1)*(DATOS_[Conc.Sal.11])))))))),
0)</f>
        <v>0</v>
      </c>
      <c r="U95" s="111">
        <f t="array" ref="U95">IFERROR(
(MEDIAN((IF(DATOS_[[Sexo]:[Sexo]]=$B95,IF(DATOS_[[AGRUP. CLAS. PROF.]:[AGRUP. CLAS. PROF.]]=$B93,IF(DATOS_[[Check Periodo Ref.]:[Check Periodo Ref.]]="Dentro",IF(DATOS_[[Check Equiparado]:[Check Equiparado]]="Sí",IF(DATOS!AP$5="Sí",(1/DATOS_[[% anualiz]:[% anualiz]]),1)*IF(DATOS!AP$4="Sí",1/DATOS_[[% normaliz]:[% normaliz]],1)*(DATOS_[Conc.Sal.12])))))))),
0)</f>
        <v>0</v>
      </c>
      <c r="V95" s="111">
        <f t="array" ref="V95">IFERROR(
(MEDIAN((IF(DATOS_[[Sexo]:[Sexo]]=$B95,IF(DATOS_[[AGRUP. CLAS. PROF.]:[AGRUP. CLAS. PROF.]]=$B93,IF(DATOS_[[Check Periodo Ref.]:[Check Periodo Ref.]]="Dentro",IF(DATOS_[[Check Equiparado]:[Check Equiparado]]="Sí",IF(DATOS!AQ$5="Sí",(1/DATOS_[[% anualiz]:[% anualiz]]),1)*IF(DATOS!AQ$4="Sí",1/DATOS_[[% normaliz]:[% normaliz]],1)*(DATOS_[Conc.Sal.13])))))))),
0)</f>
        <v>0</v>
      </c>
      <c r="W95" s="111">
        <f t="array" ref="W95">IFERROR(
(MEDIAN((IF(DATOS_[[Sexo]:[Sexo]]=$B95,IF(DATOS_[[AGRUP. CLAS. PROF.]:[AGRUP. CLAS. PROF.]]=$B93,IF(DATOS_[[Check Periodo Ref.]:[Check Periodo Ref.]]="Dentro",IF(DATOS_[[Check Equiparado]:[Check Equiparado]]="Sí",IF(DATOS!AR$5="Sí",(1/DATOS_[[% anualiz]:[% anualiz]]),1)*IF(DATOS!AR$4="Sí",1/DATOS_[[% normaliz]:[% normaliz]],1)*(DATOS_[Conc.Sal.14])))))))),
0)</f>
        <v>0</v>
      </c>
      <c r="X95" s="111">
        <f t="array" ref="X95">IFERROR(
(MEDIAN((IF(DATOS_[[Sexo]:[Sexo]]=$B95,IF(DATOS_[[AGRUP. CLAS. PROF.]:[AGRUP. CLAS. PROF.]]=$B93,IF(DATOS_[[Check Periodo Ref.]:[Check Periodo Ref.]]="Dentro",IF(DATOS_[[Check Equiparado]:[Check Equiparado]]="Sí",IF(DATOS!AS$5="Sí",(1/DATOS_[[% anualiz]:[% anualiz]]),1)*IF(DATOS!AS$4="Sí",1/DATOS_[[% normaliz]:[% normaliz]],1)*(DATOS_[Conc.Sal.15])))))))),
0)</f>
        <v>0</v>
      </c>
      <c r="Y95" s="111">
        <f t="array" ref="Y95">IFERROR(
(MEDIAN((IF(DATOS_[[Sexo]:[Sexo]]=$B95,IF(DATOS_[[AGRUP. CLAS. PROF.]:[AGRUP. CLAS. PROF.]]=$B93,IF(DATOS_[[Check Periodo Ref.]:[Check Periodo Ref.]]="Dentro",IF(DATOS_[[Check Equiparado]:[Check Equiparado]]="Sí",IF(DATOS!AT$5="Sí",(1/DATOS_[[% anualiz]:[% anualiz]]),1)*IF(DATOS!AT$4="Sí",1/DATOS_[[% normaliz]:[% normaliz]],1)*(DATOS_[Conc.Sal.16])))))))),
0)</f>
        <v>0</v>
      </c>
      <c r="Z95" s="111">
        <f t="array" ref="Z95">IFERROR(
(MEDIAN((IF(DATOS_[[Sexo]:[Sexo]]=$B95,IF(DATOS_[[AGRUP. CLAS. PROF.]:[AGRUP. CLAS. PROF.]]=$B93,IF(DATOS_[[Check Periodo Ref.]:[Check Periodo Ref.]]="Dentro",IF(DATOS_[[Check Equiparado]:[Check Equiparado]]="Sí",IF(DATOS!AU$5="Sí",(1/DATOS_[[% anualiz]:[% anualiz]]),1)*IF(DATOS!AU$4="Sí",1/DATOS_[[% normaliz]:[% normaliz]],1)*(DATOS_[Conc.Sal.17])))))))),
0)</f>
        <v>0</v>
      </c>
      <c r="AA95" s="111">
        <f t="array" ref="AA95">IFERROR(
(MEDIAN((IF(DATOS_[[Sexo]:[Sexo]]=$B95,IF(DATOS_[[AGRUP. CLAS. PROF.]:[AGRUP. CLAS. PROF.]]=$B93,IF(DATOS_[[Check Periodo Ref.]:[Check Periodo Ref.]]="Dentro",IF(DATOS_[[Check Equiparado]:[Check Equiparado]]="Sí",IF(DATOS!AV$5="Sí",(1/DATOS_[[% anualiz]:[% anualiz]]),1)*IF(DATOS!AV$4="Sí",1/DATOS_[[% normaliz]:[% normaliz]],1)*(DATOS_[Conc.Sal.18])))))))),
0)</f>
        <v>0</v>
      </c>
      <c r="AB95" s="111">
        <f t="array" ref="AB95">IFERROR(
(MEDIAN((IF(DATOS_[[Sexo]:[Sexo]]=$B95,IF(DATOS_[[AGRUP. CLAS. PROF.]:[AGRUP. CLAS. PROF.]]=$B93,IF(DATOS_[[Check Periodo Ref.]:[Check Periodo Ref.]]="Dentro",IF(DATOS_[[Check Equiparado]:[Check Equiparado]]="Sí",IF(DATOS!AW$5="Sí",(1/DATOS_[[% anualiz]:[% anualiz]]),1)*IF(DATOS!AW$4="Sí",1/DATOS_[[% normaliz]:[% normaliz]],1)*(DATOS_[Conc.Sal.19])))))))),
0)</f>
        <v>0</v>
      </c>
      <c r="AC95" s="111">
        <f t="array" ref="AC95">IFERROR(
(MEDIAN((IF(DATOS_[[Sexo]:[Sexo]]=$B95,IF(DATOS_[[AGRUP. CLAS. PROF.]:[AGRUP. CLAS. PROF.]]=$B93,IF(DATOS_[[Check Periodo Ref.]:[Check Periodo Ref.]]="Dentro",IF(DATOS_[[Check Equiparado]:[Check Equiparado]]="Sí",IF(DATOS!AX$5="Sí",(1/DATOS_[[% anualiz]:[% anualiz]]),1)*IF(DATOS!AX$4="Sí",1/DATOS_[[% normaliz]:[% normaliz]],1)*(DATOS_[Conc.Sal.20])))))))),
0)</f>
        <v>0</v>
      </c>
      <c r="AD95" s="111">
        <f t="array" ref="AD95">IFERROR(
(MEDIAN((IF(DATOS_[[Sexo]:[Sexo]]=$B95,IF(DATOS_[[AGRUP. CLAS. PROF.]:[AGRUP. CLAS. PROF.]]=$B93,IF(DATOS_[[Check Periodo Ref.]:[Check Periodo Ref.]]="Dentro",IF(DATOS_[[Check Equiparado]:[Check Equiparado]]="Sí",IF(DATOS!AY$5="Sí",(1/DATOS_[[% anualiz]:[% anualiz]]),1)*IF(DATOS!AY$4="Sí",1/DATOS_[[% normaliz]:[% normaliz]],1)*(DATOS_[Conc.Sal.21])))))))),
0)</f>
        <v>0</v>
      </c>
      <c r="AE95" s="111">
        <f t="array" ref="AE95">IFERROR(
(MEDIAN((IF(DATOS_[[Sexo]:[Sexo]]=$B95,IF(DATOS_[[AGRUP. CLAS. PROF.]:[AGRUP. CLAS. PROF.]]=$B93,IF(DATOS_[[Check Periodo Ref.]:[Check Periodo Ref.]]="Dentro",IF(DATOS_[[Check Equiparado]:[Check Equiparado]]="Sí",IF(DATOS!AZ$5="Sí",(1/DATOS_[[% anualiz]:[% anualiz]]),1)*IF(DATOS!AZ$4="Sí",1/DATOS_[[% normaliz]:[% normaliz]],1)*(DATOS_[Conc.Sal.22])))))))),
0)</f>
        <v>0</v>
      </c>
      <c r="AF95" s="111">
        <f t="array" ref="AF95">IFERROR(
(MEDIAN((IF(DATOS_[[Sexo]:[Sexo]]=$B95,IF(DATOS_[[AGRUP. CLAS. PROF.]:[AGRUP. CLAS. PROF.]]=$B93,IF(DATOS_[[Check Periodo Ref.]:[Check Periodo Ref.]]="Dentro",IF(DATOS_[[Check Equiparado]:[Check Equiparado]]="Sí",IF(DATOS!BA$5="Sí",(1/DATOS_[[% anualiz]:[% anualiz]]),1)*IF(DATOS!BA$4="Sí",1/DATOS_[[% normaliz]:[% normaliz]],1)*(DATOS_[Conc.Sal.23])))))))),
0)</f>
        <v>0</v>
      </c>
      <c r="AG95" s="111">
        <f t="array" ref="AG95">IFERROR(
(MEDIAN((IF(DATOS_[[Sexo]:[Sexo]]=$B95,IF(DATOS_[[AGRUP. CLAS. PROF.]:[AGRUP. CLAS. PROF.]]=$B93,IF(DATOS_[[Check Periodo Ref.]:[Check Periodo Ref.]]="Dentro",IF(DATOS_[[Check Equiparado]:[Check Equiparado]]="Sí",IF(DATOS!BB$5="Sí",(1/DATOS_[[% anualiz]:[% anualiz]]),1)*IF(DATOS!BB$4="Sí",1/DATOS_[[% normaliz]:[% normaliz]],1)*(DATOS_[Conc.Sal.24])))))))),
0)</f>
        <v>0</v>
      </c>
      <c r="AH95" s="111">
        <f t="array" ref="AH95">IFERROR(
(MEDIAN((IF(DATOS_[[Sexo]:[Sexo]]=$B95,IF(DATOS_[[AGRUP. CLAS. PROF.]:[AGRUP. CLAS. PROF.]]=$B93,IF(DATOS_[[Check Periodo Ref.]:[Check Periodo Ref.]]="Dentro",IF(DATOS_[[Check Equiparado]:[Check Equiparado]]="Sí",IF(DATOS!BC$5="Sí",(1/DATOS_[[% anualiz]:[% anualiz]]),1)*IF(DATOS!BC$4="Sí",1/DATOS_[[% normaliz]:[% normaliz]],1)*(DATOS_[Conc.Sal.25])))))))),
0)</f>
        <v>0</v>
      </c>
      <c r="AI95" s="111">
        <f t="array" ref="AI95">IFERROR(
(MEDIAN((IF(DATOS_[[Sexo]:[Sexo]]=$B95,IF(DATOS_[[AGRUP. CLAS. PROF.]:[AGRUP. CLAS. PROF.]]=$B93,IF(DATOS_[[Check Periodo Ref.]:[Check Periodo Ref.]]="Dentro",IF(DATOS_[[Check Equiparado]:[Check Equiparado]]="Sí",IF(DATOS!BD$5="Sí",(1/DATOS_[[% anualiz]:[% anualiz]]),1)*IF(DATOS!BD$4="Sí",1/DATOS_[[% normaliz]:[% normaliz]],1)*(DATOS_[Conc.Sal.26])))))))),
0)</f>
        <v>0</v>
      </c>
      <c r="AJ95" s="111">
        <f t="array" ref="AJ95">IFERROR(
(MEDIAN((IF(DATOS_[[Sexo]:[Sexo]]=$B95,IF(DATOS_[[AGRUP. CLAS. PROF.]:[AGRUP. CLAS. PROF.]]=$B93,IF(DATOS_[[Check Periodo Ref.]:[Check Periodo Ref.]]="Dentro",IF(DATOS_[[Check Equiparado]:[Check Equiparado]]="Sí",IF(DATOS!BE$5="Sí",(1/DATOS_[[% anualiz]:[% anualiz]]),1)*IF(DATOS!BE$4="Sí",1/DATOS_[[% normaliz]:[% normaliz]],1)*(DATOS_[Conc.Sal.27])))))))),
0)</f>
        <v>0</v>
      </c>
      <c r="AK95" s="111">
        <f t="array" ref="AK95">IFERROR(
(MEDIAN((IF(DATOS_[[Sexo]:[Sexo]]=$B95,IF(DATOS_[[AGRUP. CLAS. PROF.]:[AGRUP. CLAS. PROF.]]=$B93,IF(DATOS_[[Check Periodo Ref.]:[Check Periodo Ref.]]="Dentro",IF(DATOS_[[Check Equiparado]:[Check Equiparado]]="Sí",IF(DATOS!BF$5="Sí",(1/DATOS_[[% anualiz]:[% anualiz]]),1)*IF(DATOS!BF$4="Sí",1/DATOS_[[% normaliz]:[% normaliz]],1)*(DATOS_[Conc.Sal.28])))))))),
0)</f>
        <v>0</v>
      </c>
      <c r="AL95" s="111">
        <f t="array" ref="AL95">IFERROR(
(MEDIAN((IF(DATOS_[[Sexo]:[Sexo]]=$B95,IF(DATOS_[[AGRUP. CLAS. PROF.]:[AGRUP. CLAS. PROF.]]=$B93,IF(DATOS_[[Check Periodo Ref.]:[Check Periodo Ref.]]="Dentro",IF(DATOS_[[Check Equiparado]:[Check Equiparado]]="Sí",IF(DATOS!BG$5="Sí",(1/DATOS_[[% anualiz]:[% anualiz]]),1)*IF(DATOS!BG$4="Sí",1/DATOS_[[% normaliz]:[% normaliz]],1)*(DATOS_[Conc.Sal.29])))))))),
0)</f>
        <v>0</v>
      </c>
      <c r="AM95" s="111">
        <f t="array" ref="AM95">IFERROR(
(MEDIAN((IF(DATOS_[[Sexo]:[Sexo]]=$B95,IF(DATOS_[[AGRUP. CLAS. PROF.]:[AGRUP. CLAS. PROF.]]=$B93,IF(DATOS_[[Check Periodo Ref.]:[Check Periodo Ref.]]="Dentro",IF(DATOS_[[Check Equiparado]:[Check Equiparado]]="Sí",IF(DATOS!BH$5="Sí",(1/DATOS_[[% anualiz]:[% anualiz]]),1)*IF(DATOS!BH$4="Sí",1/DATOS_[[% normaliz]:[% normaliz]],1)*(DATOS_[Conc.Sal.30])))))))),
0)</f>
        <v>0</v>
      </c>
      <c r="AN95" s="112">
        <f t="array" ref="AN95">IFERROR(
MEDIAN(IF(DATOS_[Sexo]=$B95,IF(DATOS_[[AGRUP. CLAS. PROF.]:[AGRUP. CLAS. PROF.]]=$B93,IF(DATOS_[Check Equiparado]="Sí",IF(DATOS_[Check Periodo Ref.]="Dentro",DATOS_[Tot COMPL.SAL Eq],FALSE))))),
0)</f>
        <v>0</v>
      </c>
      <c r="AO95" s="113">
        <f t="array" ref="AO95">IFERROR(
MEDIAN(IF(DATOS_[Sexo]=$B95,IF(DATOS_[[AGRUP. CLAS. PROF.]:[AGRUP. CLAS. PROF.]]=$B93,IF(DATOS_[Check Equiparado]="Sí",IF(DATOS_[Check Periodo Ref.]="Dentro",DATOS_[TOTAL SALARIO Eq],FALSE))))),
0)</f>
        <v>0</v>
      </c>
      <c r="AP95" s="114">
        <f t="array" ref="AP95">IFERROR(
(MEDIAN((IF(DATOS_[[Sexo]:[Sexo]]=$B95,IF(DATOS_[[AGRUP. CLAS. PROF.]:[AGRUP. CLAS. PROF.]]=$B93,IF(DATOS_[[Check Periodo Ref.]:[Check Periodo Ref.]]="Dentro",IF(DATOS_[[Check Equiparado]:[Check Equiparado]]="Sí",IF(DATOS!BI$5="Sí",(1/DATOS_[[% anualiz]:[% anualiz]]),1)*IF(DATOS!BI$4="Sí",1/DATOS_[[% normaliz]:[% normaliz]],1)*(DATOS_[C.Extra.01])))))))),
0)</f>
        <v>0</v>
      </c>
      <c r="AQ95" s="114">
        <f t="array" ref="AQ95">IFERROR(
(MEDIAN((IF(DATOS_[[Sexo]:[Sexo]]=$B95,IF(DATOS_[[AGRUP. CLAS. PROF.]:[AGRUP. CLAS. PROF.]]=$B93,IF(DATOS_[[Check Periodo Ref.]:[Check Periodo Ref.]]="Dentro",IF(DATOS_[[Check Equiparado]:[Check Equiparado]]="Sí",IF(DATOS!BJ$5="Sí",(1/DATOS_[[% anualiz]:[% anualiz]]),1)*IF(DATOS!BJ$4="Sí",1/DATOS_[[% normaliz]:[% normaliz]],1)*(DATOS_[C.Extra.02])))))))),
0)</f>
        <v>0</v>
      </c>
      <c r="AR95" s="114">
        <f t="array" ref="AR95">IFERROR(
(MEDIAN((IF(DATOS_[[Sexo]:[Sexo]]=$B95,IF(DATOS_[[AGRUP. CLAS. PROF.]:[AGRUP. CLAS. PROF.]]=$B93,IF(DATOS_[[Check Periodo Ref.]:[Check Periodo Ref.]]="Dentro",IF(DATOS_[[Check Equiparado]:[Check Equiparado]]="Sí",IF(DATOS!BK$5="Sí",(1/DATOS_[[% anualiz]:[% anualiz]]),1)*IF(DATOS!BK$4="Sí",1/DATOS_[[% normaliz]:[% normaliz]],1)*(DATOS_[C.Extra.03])))))))),
0)</f>
        <v>0</v>
      </c>
      <c r="AS95" s="114">
        <f t="array" ref="AS95">IFERROR(
(MEDIAN((IF(DATOS_[[Sexo]:[Sexo]]=$B95,IF(DATOS_[[AGRUP. CLAS. PROF.]:[AGRUP. CLAS. PROF.]]=$B93,IF(DATOS_[[Check Periodo Ref.]:[Check Periodo Ref.]]="Dentro",IF(DATOS_[[Check Equiparado]:[Check Equiparado]]="Sí",IF(DATOS!BL$5="Sí",(1/DATOS_[[% anualiz]:[% anualiz]]),1)*IF(DATOS!BL$4="Sí",1/DATOS_[[% normaliz]:[% normaliz]],1)*(DATOS_[C.Extra.04])))))))),
0)</f>
        <v>0</v>
      </c>
      <c r="AT95" s="114">
        <f t="array" ref="AT95">IFERROR(
(MEDIAN((IF(DATOS_[[Sexo]:[Sexo]]=$B95,IF(DATOS_[[AGRUP. CLAS. PROF.]:[AGRUP. CLAS. PROF.]]=$B93,IF(DATOS_[[Check Periodo Ref.]:[Check Periodo Ref.]]="Dentro",IF(DATOS_[[Check Equiparado]:[Check Equiparado]]="Sí",IF(DATOS!BM$5="Sí",(1/DATOS_[[% anualiz]:[% anualiz]]),1)*IF(DATOS!BM$4="Sí",1/DATOS_[[% normaliz]:[% normaliz]],1)*(DATOS_[C.Extra.05])))))))),
0)</f>
        <v>0</v>
      </c>
      <c r="AU95" s="115">
        <f t="array" ref="AU95">IFERROR(
MEDIAN(IF(DATOS_[Sexo]=$B95,IF(DATOS_[[AGRUP. CLAS. PROF.]:[AGRUP. CLAS. PROF.]]=$B93,IF(DATOS_[Check Equiparado]="Sí",IF(DATOS_[Check Periodo Ref.]="Dentro",DATOS_[Tot Extrasalarial Eq],FALSE))))),
0)</f>
        <v>0</v>
      </c>
      <c r="AV95" s="116">
        <f t="array" ref="AV95">IFERROR(
MEDIAN(IF(DATOS_[Sexo]=$B95,IF(DATOS_[[AGRUP. CLAS. PROF.]:[AGRUP. CLAS. PROF.]]=$B93,IF(DATOS_[Check Equiparado]="Sí",IF(DATOS_[Check Periodo Ref.]="Dentro",DATOS_[TOTAL Retrib Eq],FALSE))))),
0)</f>
        <v>0</v>
      </c>
    </row>
    <row r="96" spans="1:48" ht="17.25" hidden="1" thickBot="1" x14ac:dyDescent="0.35">
      <c r="A96" s="42" t="str">
        <f t="shared" ref="A96" si="111">+A97</f>
        <v>[ocultar]</v>
      </c>
      <c r="B96" s="90" t="s">
        <v>244</v>
      </c>
      <c r="C96" s="109"/>
      <c r="D96" s="41"/>
      <c r="E96" s="41"/>
      <c r="F96" s="41"/>
      <c r="G96" s="41"/>
      <c r="H96" s="41"/>
      <c r="I96" s="119" t="str">
        <f t="shared" ref="I96:AV96" si="112">IFERROR((I97-I98)/I97,"")</f>
        <v/>
      </c>
      <c r="J96" s="123" t="str">
        <f t="shared" si="112"/>
        <v/>
      </c>
      <c r="K96" s="123" t="str">
        <f t="shared" si="112"/>
        <v/>
      </c>
      <c r="L96" s="123" t="str">
        <f t="shared" si="112"/>
        <v/>
      </c>
      <c r="M96" s="123" t="str">
        <f t="shared" si="112"/>
        <v/>
      </c>
      <c r="N96" s="123" t="str">
        <f t="shared" si="112"/>
        <v/>
      </c>
      <c r="O96" s="123" t="str">
        <f t="shared" si="112"/>
        <v/>
      </c>
      <c r="P96" s="123" t="str">
        <f t="shared" si="112"/>
        <v/>
      </c>
      <c r="Q96" s="123" t="str">
        <f t="shared" si="112"/>
        <v/>
      </c>
      <c r="R96" s="123" t="str">
        <f t="shared" si="112"/>
        <v/>
      </c>
      <c r="S96" s="123" t="str">
        <f t="shared" si="112"/>
        <v/>
      </c>
      <c r="T96" s="123" t="str">
        <f t="shared" si="112"/>
        <v/>
      </c>
      <c r="U96" s="123" t="str">
        <f t="shared" si="112"/>
        <v/>
      </c>
      <c r="V96" s="123" t="str">
        <f t="shared" si="112"/>
        <v/>
      </c>
      <c r="W96" s="123" t="str">
        <f t="shared" si="112"/>
        <v/>
      </c>
      <c r="X96" s="123" t="str">
        <f t="shared" si="112"/>
        <v/>
      </c>
      <c r="Y96" s="123" t="str">
        <f t="shared" si="112"/>
        <v/>
      </c>
      <c r="Z96" s="122" t="str">
        <f t="shared" si="112"/>
        <v/>
      </c>
      <c r="AA96" s="122" t="str">
        <f t="shared" si="112"/>
        <v/>
      </c>
      <c r="AB96" s="122" t="str">
        <f t="shared" si="112"/>
        <v/>
      </c>
      <c r="AC96" s="122" t="str">
        <f t="shared" si="112"/>
        <v/>
      </c>
      <c r="AD96" s="122" t="str">
        <f t="shared" si="112"/>
        <v/>
      </c>
      <c r="AE96" s="122" t="str">
        <f t="shared" si="112"/>
        <v/>
      </c>
      <c r="AF96" s="122" t="str">
        <f t="shared" si="112"/>
        <v/>
      </c>
      <c r="AG96" s="122" t="str">
        <f t="shared" si="112"/>
        <v/>
      </c>
      <c r="AH96" s="122" t="str">
        <f t="shared" si="112"/>
        <v/>
      </c>
      <c r="AI96" s="122" t="str">
        <f t="shared" si="112"/>
        <v/>
      </c>
      <c r="AJ96" s="122" t="str">
        <f t="shared" si="112"/>
        <v/>
      </c>
      <c r="AK96" s="122" t="str">
        <f t="shared" si="112"/>
        <v/>
      </c>
      <c r="AL96" s="122" t="str">
        <f t="shared" si="112"/>
        <v/>
      </c>
      <c r="AM96" s="122" t="str">
        <f t="shared" si="112"/>
        <v/>
      </c>
      <c r="AN96" s="124" t="str">
        <f t="shared" si="112"/>
        <v/>
      </c>
      <c r="AO96" s="128" t="str">
        <f t="shared" si="112"/>
        <v/>
      </c>
      <c r="AP96" s="125" t="str">
        <f t="shared" si="112"/>
        <v/>
      </c>
      <c r="AQ96" s="125" t="str">
        <f t="shared" si="112"/>
        <v/>
      </c>
      <c r="AR96" s="125" t="str">
        <f t="shared" si="112"/>
        <v/>
      </c>
      <c r="AS96" s="125" t="str">
        <f t="shared" si="112"/>
        <v/>
      </c>
      <c r="AT96" s="125" t="str">
        <f t="shared" si="112"/>
        <v/>
      </c>
      <c r="AU96" s="126" t="str">
        <f t="shared" si="112"/>
        <v/>
      </c>
      <c r="AV96" s="127" t="str">
        <f t="shared" si="112"/>
        <v/>
      </c>
    </row>
    <row r="97" spans="1:48" hidden="1" x14ac:dyDescent="0.3">
      <c r="A97" s="42" t="str">
        <f t="shared" ref="A97" si="113">+IF(C97+C98=0,"[ocultar]","")</f>
        <v>[ocultar]</v>
      </c>
      <c r="B97" s="86" t="s">
        <v>162</v>
      </c>
      <c r="C97" s="33">
        <f t="array" ref="C97">SUM(IF($B97=DATOS_[Sexo],
IF($B96=DATOS_[AGRUP. CLAS. PROF.],
IF("Dentro"=DATOS_[Check Periodo Ref.],
1/(COUNTIFS(DATOS_[Sexo],$B97,DATOS_[AGRUP. CLAS. PROF.],$B96,DATOS_[Check Periodo Ref.],"Dentro",DATOS_[id],DATOS_[id]))))))</f>
        <v>0</v>
      </c>
      <c r="D97" s="35">
        <f>COUNTIFS(DATOS_[AGRUP. CLAS. PROF.],$B96,DATOS_[Sexo],$B97,DATOS_[Check Periodo Ref.],"Dentro")</f>
        <v>0</v>
      </c>
      <c r="E97" s="35">
        <f>COUNTIFS(DATOS_[AGRUP. CLAS. PROF.],$B96,DATOS_[Sexo],$B97,DATOS_[Check Periodo Ref.],"Dentro",DATOS_[Check Nº SC Norm],"Sí")</f>
        <v>0</v>
      </c>
      <c r="F97" s="35">
        <f>COUNTIFS(DATOS_[AGRUP. CLAS. PROF.],$B96,DATOS_[Sexo],$B97,DATOS_[Check Periodo Ref.],"Dentro",DATOS_[Check Nº SC Anualiz],"Sí")</f>
        <v>0</v>
      </c>
      <c r="G97" s="35">
        <f>COUNTIFS(DATOS_[AGRUP. CLAS. PROF.],$B96,DATOS_[Sexo],$B97,DATOS_[Check Periodo Ref.],"Dentro",DATOS_[Check Nº SC Norm y Anualiz],"Sí")</f>
        <v>0</v>
      </c>
      <c r="H97" s="35">
        <f>COUNTIFS(DATOS_[AGRUP. CLAS. PROF.],$B96,DATOS_[Sexo],$B97,DATOS_[Check Periodo Ref.],"Dentro",DATOS_[Check Equiparación],"Sí")</f>
        <v>0</v>
      </c>
      <c r="I97" s="110">
        <f t="array" ref="I97">IFERROR(
MEDIAN(IF(DATOS_[Sexo]=$B97,IF(DATOS_[[AGRUP. CLAS. PROF.]:[AGRUP. CLAS. PROF.]]=$B96,IF(DATOS_[Check Equiparado]="Sí",IF(DATOS_[Check Periodo Ref.]="Dentro",DATOS_[SALARIO BASE Eq],FALSE))))),
0)</f>
        <v>0</v>
      </c>
      <c r="J97" s="111">
        <f t="array" ref="J97">IFERROR(
(MEDIAN((IF(DATOS_[[Sexo]:[Sexo]]=$B97,IF(DATOS_[[AGRUP. CLAS. PROF.]:[AGRUP. CLAS. PROF.]]=$B96,IF(DATOS_[[Check Periodo Ref.]:[Check Periodo Ref.]]="Dentro",IF(DATOS_[[Check Equiparado]:[Check Equiparado]]="Sí",IF(DATOS!AE$5="Sí",(1/DATOS_[[% anualiz]:[% anualiz]]),1)*IF(DATOS!AE$4="Sí",1/DATOS_[[% normaliz]:[% normaliz]],1)*(DATOS_[Conc.Sal.01])))))))),
0)</f>
        <v>0</v>
      </c>
      <c r="K97" s="111">
        <f t="array" ref="K97">IFERROR(
(MEDIAN((IF(DATOS_[[Sexo]:[Sexo]]=$B97,IF(DATOS_[[AGRUP. CLAS. PROF.]:[AGRUP. CLAS. PROF.]]=$B96,IF(DATOS_[[Check Periodo Ref.]:[Check Periodo Ref.]]="Dentro",IF(DATOS_[[Check Equiparado]:[Check Equiparado]]="Sí",IF(DATOS!AF$5="Sí",(1/DATOS_[[% anualiz]:[% anualiz]]),1)*IF(DATOS!AF$4="Sí",1/DATOS_[[% normaliz]:[% normaliz]],1)*(DATOS_[Conc.Sal.02])))))))),
0)</f>
        <v>0</v>
      </c>
      <c r="L97" s="111">
        <f t="array" ref="L97">IFERROR(
(MEDIAN((IF(DATOS_[[Sexo]:[Sexo]]=$B97,IF(DATOS_[[AGRUP. CLAS. PROF.]:[AGRUP. CLAS. PROF.]]=$B96,IF(DATOS_[[Check Periodo Ref.]:[Check Periodo Ref.]]="Dentro",IF(DATOS_[[Check Equiparado]:[Check Equiparado]]="Sí",IF(DATOS!AG$5="Sí",(1/DATOS_[[% anualiz]:[% anualiz]]),1)*IF(DATOS!AG$4="Sí",1/DATOS_[[% normaliz]:[% normaliz]],1)*(DATOS_[Conc.Sal.03])))))))),
0)</f>
        <v>0</v>
      </c>
      <c r="M97" s="111">
        <f t="array" ref="M97">IFERROR(
(MEDIAN((IF(DATOS_[[Sexo]:[Sexo]]=$B97,IF(DATOS_[[AGRUP. CLAS. PROF.]:[AGRUP. CLAS. PROF.]]=$B96,IF(DATOS_[[Check Periodo Ref.]:[Check Periodo Ref.]]="Dentro",IF(DATOS_[[Check Equiparado]:[Check Equiparado]]="Sí",IF(DATOS!AH$5="Sí",(1/DATOS_[[% anualiz]:[% anualiz]]),1)*IF(DATOS!AH$4="Sí",1/DATOS_[[% normaliz]:[% normaliz]],1)*(DATOS_[Conc.Sal.04])))))))),
0)</f>
        <v>0</v>
      </c>
      <c r="N97" s="111">
        <f t="array" ref="N97">IFERROR(
(MEDIAN((IF(DATOS_[[Sexo]:[Sexo]]=$B97,IF(DATOS_[[AGRUP. CLAS. PROF.]:[AGRUP. CLAS. PROF.]]=$B96,IF(DATOS_[[Check Periodo Ref.]:[Check Periodo Ref.]]="Dentro",IF(DATOS_[[Check Equiparado]:[Check Equiparado]]="Sí",IF(DATOS!AI$5="Sí",(1/DATOS_[[% anualiz]:[% anualiz]]),1)*IF(DATOS!AI$4="Sí",1/DATOS_[[% normaliz]:[% normaliz]],1)*(DATOS_[Conc.Sal.05])))))))),
0)</f>
        <v>0</v>
      </c>
      <c r="O97" s="111">
        <f t="array" ref="O97">IFERROR(
(MEDIAN((IF(DATOS_[[Sexo]:[Sexo]]=$B97,IF(DATOS_[[AGRUP. CLAS. PROF.]:[AGRUP. CLAS. PROF.]]=$B96,IF(DATOS_[[Check Periodo Ref.]:[Check Periodo Ref.]]="Dentro",IF(DATOS_[[Check Equiparado]:[Check Equiparado]]="Sí",IF(DATOS!AJ$5="Sí",(1/DATOS_[[% anualiz]:[% anualiz]]),1)*IF(DATOS!AJ$4="Sí",1/DATOS_[[% normaliz]:[% normaliz]],1)*(DATOS_[Conc.Sal.06])))))))),
0)</f>
        <v>0</v>
      </c>
      <c r="P97" s="111">
        <f t="array" ref="P97">IFERROR(
(MEDIAN((IF(DATOS_[[Sexo]:[Sexo]]=$B97,IF(DATOS_[[AGRUP. CLAS. PROF.]:[AGRUP. CLAS. PROF.]]=$B96,IF(DATOS_[[Check Periodo Ref.]:[Check Periodo Ref.]]="Dentro",IF(DATOS_[[Check Equiparado]:[Check Equiparado]]="Sí",IF(DATOS!AK$5="Sí",(1/DATOS_[[% anualiz]:[% anualiz]]),1)*IF(DATOS!AK$4="Sí",1/DATOS_[[% normaliz]:[% normaliz]],1)*(DATOS_[Conc.Sal.07])))))))),
0)</f>
        <v>0</v>
      </c>
      <c r="Q97" s="111">
        <f t="array" ref="Q97">IFERROR(
(MEDIAN((IF(DATOS_[[Sexo]:[Sexo]]=$B97,IF(DATOS_[[AGRUP. CLAS. PROF.]:[AGRUP. CLAS. PROF.]]=$B96,IF(DATOS_[[Check Periodo Ref.]:[Check Periodo Ref.]]="Dentro",IF(DATOS_[[Check Equiparado]:[Check Equiparado]]="Sí",IF(DATOS!AL$5="Sí",(1/DATOS_[[% anualiz]:[% anualiz]]),1)*IF(DATOS!AL$4="Sí",1/DATOS_[[% normaliz]:[% normaliz]],1)*(DATOS_[Conc.Sal.08])))))))),
0)</f>
        <v>0</v>
      </c>
      <c r="R97" s="111">
        <f t="array" ref="R97">IFERROR(
(MEDIAN((IF(DATOS_[[Sexo]:[Sexo]]=$B97,IF(DATOS_[[AGRUP. CLAS. PROF.]:[AGRUP. CLAS. PROF.]]=$B96,IF(DATOS_[[Check Periodo Ref.]:[Check Periodo Ref.]]="Dentro",IF(DATOS_[[Check Equiparado]:[Check Equiparado]]="Sí",IF(DATOS!AM$5="Sí",(1/DATOS_[[% anualiz]:[% anualiz]]),1)*IF(DATOS!AM$4="Sí",1/DATOS_[[% normaliz]:[% normaliz]],1)*(DATOS_[Conc.Sal.09])))))))),
0)</f>
        <v>0</v>
      </c>
      <c r="S97" s="111">
        <f t="array" ref="S97">IFERROR(
(MEDIAN((IF(DATOS_[[Sexo]:[Sexo]]=$B97,IF(DATOS_[[AGRUP. CLAS. PROF.]:[AGRUP. CLAS. PROF.]]=$B96,IF(DATOS_[[Check Periodo Ref.]:[Check Periodo Ref.]]="Dentro",IF(DATOS_[[Check Equiparado]:[Check Equiparado]]="Sí",IF(DATOS!AN$5="Sí",(1/DATOS_[[% anualiz]:[% anualiz]]),1)*IF(DATOS!AN$4="Sí",1/DATOS_[[% normaliz]:[% normaliz]],1)*(DATOS_[Conc.Sal.10])))))))),
0)</f>
        <v>0</v>
      </c>
      <c r="T97" s="111">
        <f t="array" ref="T97">IFERROR(
(MEDIAN((IF(DATOS_[[Sexo]:[Sexo]]=$B97,IF(DATOS_[[AGRUP. CLAS. PROF.]:[AGRUP. CLAS. PROF.]]=$B96,IF(DATOS_[[Check Periodo Ref.]:[Check Periodo Ref.]]="Dentro",IF(DATOS_[[Check Equiparado]:[Check Equiparado]]="Sí",IF(DATOS!AO$5="Sí",(1/DATOS_[[% anualiz]:[% anualiz]]),1)*IF(DATOS!AO$4="Sí",1/DATOS_[[% normaliz]:[% normaliz]],1)*(DATOS_[Conc.Sal.11])))))))),
0)</f>
        <v>0</v>
      </c>
      <c r="U97" s="111">
        <f t="array" ref="U97">IFERROR(
(MEDIAN((IF(DATOS_[[Sexo]:[Sexo]]=$B97,IF(DATOS_[[AGRUP. CLAS. PROF.]:[AGRUP. CLAS. PROF.]]=$B96,IF(DATOS_[[Check Periodo Ref.]:[Check Periodo Ref.]]="Dentro",IF(DATOS_[[Check Equiparado]:[Check Equiparado]]="Sí",IF(DATOS!AP$5="Sí",(1/DATOS_[[% anualiz]:[% anualiz]]),1)*IF(DATOS!AP$4="Sí",1/DATOS_[[% normaliz]:[% normaliz]],1)*(DATOS_[Conc.Sal.12])))))))),
0)</f>
        <v>0</v>
      </c>
      <c r="V97" s="111">
        <f t="array" ref="V97">IFERROR(
(MEDIAN((IF(DATOS_[[Sexo]:[Sexo]]=$B97,IF(DATOS_[[AGRUP. CLAS. PROF.]:[AGRUP. CLAS. PROF.]]=$B96,IF(DATOS_[[Check Periodo Ref.]:[Check Periodo Ref.]]="Dentro",IF(DATOS_[[Check Equiparado]:[Check Equiparado]]="Sí",IF(DATOS!AQ$5="Sí",(1/DATOS_[[% anualiz]:[% anualiz]]),1)*IF(DATOS!AQ$4="Sí",1/DATOS_[[% normaliz]:[% normaliz]],1)*(DATOS_[Conc.Sal.13])))))))),
0)</f>
        <v>0</v>
      </c>
      <c r="W97" s="111">
        <f t="array" ref="W97">IFERROR(
(MEDIAN((IF(DATOS_[[Sexo]:[Sexo]]=$B97,IF(DATOS_[[AGRUP. CLAS. PROF.]:[AGRUP. CLAS. PROF.]]=$B96,IF(DATOS_[[Check Periodo Ref.]:[Check Periodo Ref.]]="Dentro",IF(DATOS_[[Check Equiparado]:[Check Equiparado]]="Sí",IF(DATOS!AR$5="Sí",(1/DATOS_[[% anualiz]:[% anualiz]]),1)*IF(DATOS!AR$4="Sí",1/DATOS_[[% normaliz]:[% normaliz]],1)*(DATOS_[Conc.Sal.14])))))))),
0)</f>
        <v>0</v>
      </c>
      <c r="X97" s="111">
        <f t="array" ref="X97">IFERROR(
(MEDIAN((IF(DATOS_[[Sexo]:[Sexo]]=$B97,IF(DATOS_[[AGRUP. CLAS. PROF.]:[AGRUP. CLAS. PROF.]]=$B96,IF(DATOS_[[Check Periodo Ref.]:[Check Periodo Ref.]]="Dentro",IF(DATOS_[[Check Equiparado]:[Check Equiparado]]="Sí",IF(DATOS!AS$5="Sí",(1/DATOS_[[% anualiz]:[% anualiz]]),1)*IF(DATOS!AS$4="Sí",1/DATOS_[[% normaliz]:[% normaliz]],1)*(DATOS_[Conc.Sal.15])))))))),
0)</f>
        <v>0</v>
      </c>
      <c r="Y97" s="111">
        <f t="array" ref="Y97">IFERROR(
(MEDIAN((IF(DATOS_[[Sexo]:[Sexo]]=$B97,IF(DATOS_[[AGRUP. CLAS. PROF.]:[AGRUP. CLAS. PROF.]]=$B96,IF(DATOS_[[Check Periodo Ref.]:[Check Periodo Ref.]]="Dentro",IF(DATOS_[[Check Equiparado]:[Check Equiparado]]="Sí",IF(DATOS!AT$5="Sí",(1/DATOS_[[% anualiz]:[% anualiz]]),1)*IF(DATOS!AT$4="Sí",1/DATOS_[[% normaliz]:[% normaliz]],1)*(DATOS_[Conc.Sal.16])))))))),
0)</f>
        <v>0</v>
      </c>
      <c r="Z97" s="111">
        <f t="array" ref="Z97">IFERROR(
(MEDIAN((IF(DATOS_[[Sexo]:[Sexo]]=$B97,IF(DATOS_[[AGRUP. CLAS. PROF.]:[AGRUP. CLAS. PROF.]]=$B96,IF(DATOS_[[Check Periodo Ref.]:[Check Periodo Ref.]]="Dentro",IF(DATOS_[[Check Equiparado]:[Check Equiparado]]="Sí",IF(DATOS!AU$5="Sí",(1/DATOS_[[% anualiz]:[% anualiz]]),1)*IF(DATOS!AU$4="Sí",1/DATOS_[[% normaliz]:[% normaliz]],1)*(DATOS_[Conc.Sal.17])))))))),
0)</f>
        <v>0</v>
      </c>
      <c r="AA97" s="111">
        <f t="array" ref="AA97">IFERROR(
(MEDIAN((IF(DATOS_[[Sexo]:[Sexo]]=$B97,IF(DATOS_[[AGRUP. CLAS. PROF.]:[AGRUP. CLAS. PROF.]]=$B96,IF(DATOS_[[Check Periodo Ref.]:[Check Periodo Ref.]]="Dentro",IF(DATOS_[[Check Equiparado]:[Check Equiparado]]="Sí",IF(DATOS!AV$5="Sí",(1/DATOS_[[% anualiz]:[% anualiz]]),1)*IF(DATOS!AV$4="Sí",1/DATOS_[[% normaliz]:[% normaliz]],1)*(DATOS_[Conc.Sal.18])))))))),
0)</f>
        <v>0</v>
      </c>
      <c r="AB97" s="111">
        <f t="array" ref="AB97">IFERROR(
(MEDIAN((IF(DATOS_[[Sexo]:[Sexo]]=$B97,IF(DATOS_[[AGRUP. CLAS. PROF.]:[AGRUP. CLAS. PROF.]]=$B96,IF(DATOS_[[Check Periodo Ref.]:[Check Periodo Ref.]]="Dentro",IF(DATOS_[[Check Equiparado]:[Check Equiparado]]="Sí",IF(DATOS!AW$5="Sí",(1/DATOS_[[% anualiz]:[% anualiz]]),1)*IF(DATOS!AW$4="Sí",1/DATOS_[[% normaliz]:[% normaliz]],1)*(DATOS_[Conc.Sal.19])))))))),
0)</f>
        <v>0</v>
      </c>
      <c r="AC97" s="111">
        <f t="array" ref="AC97">IFERROR(
(MEDIAN((IF(DATOS_[[Sexo]:[Sexo]]=$B97,IF(DATOS_[[AGRUP. CLAS. PROF.]:[AGRUP. CLAS. PROF.]]=$B96,IF(DATOS_[[Check Periodo Ref.]:[Check Periodo Ref.]]="Dentro",IF(DATOS_[[Check Equiparado]:[Check Equiparado]]="Sí",IF(DATOS!AX$5="Sí",(1/DATOS_[[% anualiz]:[% anualiz]]),1)*IF(DATOS!AX$4="Sí",1/DATOS_[[% normaliz]:[% normaliz]],1)*(DATOS_[Conc.Sal.20])))))))),
0)</f>
        <v>0</v>
      </c>
      <c r="AD97" s="111">
        <f t="array" ref="AD97">IFERROR(
(MEDIAN((IF(DATOS_[[Sexo]:[Sexo]]=$B97,IF(DATOS_[[AGRUP. CLAS. PROF.]:[AGRUP. CLAS. PROF.]]=$B96,IF(DATOS_[[Check Periodo Ref.]:[Check Periodo Ref.]]="Dentro",IF(DATOS_[[Check Equiparado]:[Check Equiparado]]="Sí",IF(DATOS!AY$5="Sí",(1/DATOS_[[% anualiz]:[% anualiz]]),1)*IF(DATOS!AY$4="Sí",1/DATOS_[[% normaliz]:[% normaliz]],1)*(DATOS_[Conc.Sal.21])))))))),
0)</f>
        <v>0</v>
      </c>
      <c r="AE97" s="111">
        <f t="array" ref="AE97">IFERROR(
(MEDIAN((IF(DATOS_[[Sexo]:[Sexo]]=$B97,IF(DATOS_[[AGRUP. CLAS. PROF.]:[AGRUP. CLAS. PROF.]]=$B96,IF(DATOS_[[Check Periodo Ref.]:[Check Periodo Ref.]]="Dentro",IF(DATOS_[[Check Equiparado]:[Check Equiparado]]="Sí",IF(DATOS!AZ$5="Sí",(1/DATOS_[[% anualiz]:[% anualiz]]),1)*IF(DATOS!AZ$4="Sí",1/DATOS_[[% normaliz]:[% normaliz]],1)*(DATOS_[Conc.Sal.22])))))))),
0)</f>
        <v>0</v>
      </c>
      <c r="AF97" s="111">
        <f t="array" ref="AF97">IFERROR(
(MEDIAN((IF(DATOS_[[Sexo]:[Sexo]]=$B97,IF(DATOS_[[AGRUP. CLAS. PROF.]:[AGRUP. CLAS. PROF.]]=$B96,IF(DATOS_[[Check Periodo Ref.]:[Check Periodo Ref.]]="Dentro",IF(DATOS_[[Check Equiparado]:[Check Equiparado]]="Sí",IF(DATOS!BA$5="Sí",(1/DATOS_[[% anualiz]:[% anualiz]]),1)*IF(DATOS!BA$4="Sí",1/DATOS_[[% normaliz]:[% normaliz]],1)*(DATOS_[Conc.Sal.23])))))))),
0)</f>
        <v>0</v>
      </c>
      <c r="AG97" s="111">
        <f t="array" ref="AG97">IFERROR(
(MEDIAN((IF(DATOS_[[Sexo]:[Sexo]]=$B97,IF(DATOS_[[AGRUP. CLAS. PROF.]:[AGRUP. CLAS. PROF.]]=$B96,IF(DATOS_[[Check Periodo Ref.]:[Check Periodo Ref.]]="Dentro",IF(DATOS_[[Check Equiparado]:[Check Equiparado]]="Sí",IF(DATOS!BB$5="Sí",(1/DATOS_[[% anualiz]:[% anualiz]]),1)*IF(DATOS!BB$4="Sí",1/DATOS_[[% normaliz]:[% normaliz]],1)*(DATOS_[Conc.Sal.24])))))))),
0)</f>
        <v>0</v>
      </c>
      <c r="AH97" s="111">
        <f t="array" ref="AH97">IFERROR(
(MEDIAN((IF(DATOS_[[Sexo]:[Sexo]]=$B97,IF(DATOS_[[AGRUP. CLAS. PROF.]:[AGRUP. CLAS. PROF.]]=$B96,IF(DATOS_[[Check Periodo Ref.]:[Check Periodo Ref.]]="Dentro",IF(DATOS_[[Check Equiparado]:[Check Equiparado]]="Sí",IF(DATOS!BC$5="Sí",(1/DATOS_[[% anualiz]:[% anualiz]]),1)*IF(DATOS!BC$4="Sí",1/DATOS_[[% normaliz]:[% normaliz]],1)*(DATOS_[Conc.Sal.25])))))))),
0)</f>
        <v>0</v>
      </c>
      <c r="AI97" s="111">
        <f t="array" ref="AI97">IFERROR(
(MEDIAN((IF(DATOS_[[Sexo]:[Sexo]]=$B97,IF(DATOS_[[AGRUP. CLAS. PROF.]:[AGRUP. CLAS. PROF.]]=$B96,IF(DATOS_[[Check Periodo Ref.]:[Check Periodo Ref.]]="Dentro",IF(DATOS_[[Check Equiparado]:[Check Equiparado]]="Sí",IF(DATOS!BD$5="Sí",(1/DATOS_[[% anualiz]:[% anualiz]]),1)*IF(DATOS!BD$4="Sí",1/DATOS_[[% normaliz]:[% normaliz]],1)*(DATOS_[Conc.Sal.26])))))))),
0)</f>
        <v>0</v>
      </c>
      <c r="AJ97" s="111">
        <f t="array" ref="AJ97">IFERROR(
(MEDIAN((IF(DATOS_[[Sexo]:[Sexo]]=$B97,IF(DATOS_[[AGRUP. CLAS. PROF.]:[AGRUP. CLAS. PROF.]]=$B96,IF(DATOS_[[Check Periodo Ref.]:[Check Periodo Ref.]]="Dentro",IF(DATOS_[[Check Equiparado]:[Check Equiparado]]="Sí",IF(DATOS!BE$5="Sí",(1/DATOS_[[% anualiz]:[% anualiz]]),1)*IF(DATOS!BE$4="Sí",1/DATOS_[[% normaliz]:[% normaliz]],1)*(DATOS_[Conc.Sal.27])))))))),
0)</f>
        <v>0</v>
      </c>
      <c r="AK97" s="111">
        <f t="array" ref="AK97">IFERROR(
(MEDIAN((IF(DATOS_[[Sexo]:[Sexo]]=$B97,IF(DATOS_[[AGRUP. CLAS. PROF.]:[AGRUP. CLAS. PROF.]]=$B96,IF(DATOS_[[Check Periodo Ref.]:[Check Periodo Ref.]]="Dentro",IF(DATOS_[[Check Equiparado]:[Check Equiparado]]="Sí",IF(DATOS!BF$5="Sí",(1/DATOS_[[% anualiz]:[% anualiz]]),1)*IF(DATOS!BF$4="Sí",1/DATOS_[[% normaliz]:[% normaliz]],1)*(DATOS_[Conc.Sal.28])))))))),
0)</f>
        <v>0</v>
      </c>
      <c r="AL97" s="111">
        <f t="array" ref="AL97">IFERROR(
(MEDIAN((IF(DATOS_[[Sexo]:[Sexo]]=$B97,IF(DATOS_[[AGRUP. CLAS. PROF.]:[AGRUP. CLAS. PROF.]]=$B96,IF(DATOS_[[Check Periodo Ref.]:[Check Periodo Ref.]]="Dentro",IF(DATOS_[[Check Equiparado]:[Check Equiparado]]="Sí",IF(DATOS!BG$5="Sí",(1/DATOS_[[% anualiz]:[% anualiz]]),1)*IF(DATOS!BG$4="Sí",1/DATOS_[[% normaliz]:[% normaliz]],1)*(DATOS_[Conc.Sal.29])))))))),
0)</f>
        <v>0</v>
      </c>
      <c r="AM97" s="111">
        <f t="array" ref="AM97">IFERROR(
(MEDIAN((IF(DATOS_[[Sexo]:[Sexo]]=$B97,IF(DATOS_[[AGRUP. CLAS. PROF.]:[AGRUP. CLAS. PROF.]]=$B96,IF(DATOS_[[Check Periodo Ref.]:[Check Periodo Ref.]]="Dentro",IF(DATOS_[[Check Equiparado]:[Check Equiparado]]="Sí",IF(DATOS!BH$5="Sí",(1/DATOS_[[% anualiz]:[% anualiz]]),1)*IF(DATOS!BH$4="Sí",1/DATOS_[[% normaliz]:[% normaliz]],1)*(DATOS_[Conc.Sal.30])))))))),
0)</f>
        <v>0</v>
      </c>
      <c r="AN97" s="112">
        <f t="array" ref="AN97">IFERROR(
MEDIAN(IF(DATOS_[Sexo]=$B97,IF(DATOS_[[AGRUP. CLAS. PROF.]:[AGRUP. CLAS. PROF.]]=$B96,IF(DATOS_[Check Equiparado]="Sí",IF(DATOS_[Check Periodo Ref.]="Dentro",DATOS_[Tot COMPL.SAL Eq],FALSE))))),
0)</f>
        <v>0</v>
      </c>
      <c r="AO97" s="113">
        <f t="array" ref="AO97">IFERROR(
MEDIAN(IF(DATOS_[Sexo]=$B97,IF(DATOS_[[AGRUP. CLAS. PROF.]:[AGRUP. CLAS. PROF.]]=$B96,IF(DATOS_[Check Equiparado]="Sí",IF(DATOS_[Check Periodo Ref.]="Dentro",DATOS_[TOTAL SALARIO Eq],FALSE))))),
0)</f>
        <v>0</v>
      </c>
      <c r="AP97" s="114">
        <f t="array" ref="AP97">IFERROR(
(MEDIAN((IF(DATOS_[[Sexo]:[Sexo]]=$B97,IF(DATOS_[[AGRUP. CLAS. PROF.]:[AGRUP. CLAS. PROF.]]=$B96,IF(DATOS_[[Check Periodo Ref.]:[Check Periodo Ref.]]="Dentro",IF(DATOS_[[Check Equiparado]:[Check Equiparado]]="Sí",IF(DATOS!BI$5="Sí",(1/DATOS_[[% anualiz]:[% anualiz]]),1)*IF(DATOS!BI$4="Sí",1/DATOS_[[% normaliz]:[% normaliz]],1)*(DATOS_[C.Extra.01])))))))),
0)</f>
        <v>0</v>
      </c>
      <c r="AQ97" s="114">
        <f t="array" ref="AQ97">IFERROR(
(MEDIAN((IF(DATOS_[[Sexo]:[Sexo]]=$B97,IF(DATOS_[[AGRUP. CLAS. PROF.]:[AGRUP. CLAS. PROF.]]=$B96,IF(DATOS_[[Check Periodo Ref.]:[Check Periodo Ref.]]="Dentro",IF(DATOS_[[Check Equiparado]:[Check Equiparado]]="Sí",IF(DATOS!BJ$5="Sí",(1/DATOS_[[% anualiz]:[% anualiz]]),1)*IF(DATOS!BJ$4="Sí",1/DATOS_[[% normaliz]:[% normaliz]],1)*(DATOS_[C.Extra.02])))))))),
0)</f>
        <v>0</v>
      </c>
      <c r="AR97" s="114">
        <f t="array" ref="AR97">IFERROR(
(MEDIAN((IF(DATOS_[[Sexo]:[Sexo]]=$B97,IF(DATOS_[[AGRUP. CLAS. PROF.]:[AGRUP. CLAS. PROF.]]=$B96,IF(DATOS_[[Check Periodo Ref.]:[Check Periodo Ref.]]="Dentro",IF(DATOS_[[Check Equiparado]:[Check Equiparado]]="Sí",IF(DATOS!BK$5="Sí",(1/DATOS_[[% anualiz]:[% anualiz]]),1)*IF(DATOS!BK$4="Sí",1/DATOS_[[% normaliz]:[% normaliz]],1)*(DATOS_[C.Extra.03])))))))),
0)</f>
        <v>0</v>
      </c>
      <c r="AS97" s="114">
        <f t="array" ref="AS97">IFERROR(
(MEDIAN((IF(DATOS_[[Sexo]:[Sexo]]=$B97,IF(DATOS_[[AGRUP. CLAS. PROF.]:[AGRUP. CLAS. PROF.]]=$B96,IF(DATOS_[[Check Periodo Ref.]:[Check Periodo Ref.]]="Dentro",IF(DATOS_[[Check Equiparado]:[Check Equiparado]]="Sí",IF(DATOS!BL$5="Sí",(1/DATOS_[[% anualiz]:[% anualiz]]),1)*IF(DATOS!BL$4="Sí",1/DATOS_[[% normaliz]:[% normaliz]],1)*(DATOS_[C.Extra.04])))))))),
0)</f>
        <v>0</v>
      </c>
      <c r="AT97" s="114">
        <f t="array" ref="AT97">IFERROR(
(MEDIAN((IF(DATOS_[[Sexo]:[Sexo]]=$B97,IF(DATOS_[[AGRUP. CLAS. PROF.]:[AGRUP. CLAS. PROF.]]=$B96,IF(DATOS_[[Check Periodo Ref.]:[Check Periodo Ref.]]="Dentro",IF(DATOS_[[Check Equiparado]:[Check Equiparado]]="Sí",IF(DATOS!BM$5="Sí",(1/DATOS_[[% anualiz]:[% anualiz]]),1)*IF(DATOS!BM$4="Sí",1/DATOS_[[% normaliz]:[% normaliz]],1)*(DATOS_[C.Extra.05])))))))),
0)</f>
        <v>0</v>
      </c>
      <c r="AU97" s="115">
        <f t="array" ref="AU97">IFERROR(
MEDIAN(IF(DATOS_[Sexo]=$B97,IF(DATOS_[[AGRUP. CLAS. PROF.]:[AGRUP. CLAS. PROF.]]=$B96,IF(DATOS_[Check Equiparado]="Sí",IF(DATOS_[Check Periodo Ref.]="Dentro",DATOS_[Tot Extrasalarial Eq],FALSE))))),
0)</f>
        <v>0</v>
      </c>
      <c r="AV97" s="116">
        <f t="array" ref="AV97">IFERROR(
MEDIAN(IF(DATOS_[Sexo]=$B97,IF(DATOS_[[AGRUP. CLAS. PROF.]:[AGRUP. CLAS. PROF.]]=$B96,IF(DATOS_[Check Equiparado]="Sí",IF(DATOS_[Check Periodo Ref.]="Dentro",DATOS_[TOTAL Retrib Eq],FALSE))))),
0)</f>
        <v>0</v>
      </c>
    </row>
    <row r="98" spans="1:48" hidden="1" x14ac:dyDescent="0.3">
      <c r="A98" s="42" t="str">
        <f t="shared" ref="A98" si="114">+A97</f>
        <v>[ocultar]</v>
      </c>
      <c r="B98" s="86" t="s">
        <v>163</v>
      </c>
      <c r="C98" s="33">
        <f t="array" ref="C98">SUM(IF($B98=DATOS_[Sexo],
IF($B96=DATOS_[AGRUP. CLAS. PROF.],
IF("Dentro"=DATOS_[Check Periodo Ref.],
1/(COUNTIFS(DATOS_[Sexo],$B98,DATOS_[AGRUP. CLAS. PROF.],$B96,DATOS_[Check Periodo Ref.],"Dentro",DATOS_[id],DATOS_[id]))))))</f>
        <v>0</v>
      </c>
      <c r="D98" s="35">
        <f>COUNTIFS(DATOS_[AGRUP. CLAS. PROF.],$B96,DATOS_[Sexo],$B98,DATOS_[Check Periodo Ref.],"Dentro")</f>
        <v>0</v>
      </c>
      <c r="E98" s="35">
        <f>COUNTIFS(DATOS_[AGRUP. CLAS. PROF.],$B96,DATOS_[Sexo],$B98,DATOS_[Check Periodo Ref.],"Dentro",DATOS_[Check Nº SC Norm],"Sí")</f>
        <v>0</v>
      </c>
      <c r="F98" s="35">
        <f>COUNTIFS(DATOS_[AGRUP. CLAS. PROF.],$B96,DATOS_[Sexo],$B98,DATOS_[Check Periodo Ref.],"Dentro",DATOS_[Check Nº SC Anualiz],"Sí")</f>
        <v>0</v>
      </c>
      <c r="G98" s="35">
        <f>COUNTIFS(DATOS_[AGRUP. CLAS. PROF.],$B96,DATOS_[Sexo],$B98,DATOS_[Check Periodo Ref.],"Dentro",DATOS_[Check Nº SC Norm y Anualiz],"Sí")</f>
        <v>0</v>
      </c>
      <c r="H98" s="35">
        <f>COUNTIFS(DATOS_[AGRUP. CLAS. PROF.],$B96,DATOS_[Sexo],$B98,DATOS_[Check Periodo Ref.],"Dentro",DATOS_[Check Equiparación],"Sí")</f>
        <v>0</v>
      </c>
      <c r="I98" s="110" cm="1">
        <f t="array" ref="I98">IFERROR(
MEDIAN(IF(DATOS_[Sexo]=$B98,IF(DATOS_[[AGRUP. CLAS. PROF.]:[AGRUP. CLAS. PROF.]]=$B96,IF(DATOS_[Check Equiparado]="Sí",IF(DATOS_[Check Periodo Ref.]="Dentro",DATOS_[SALARIO BASE Eq],FALSE))))),
0)</f>
        <v>0</v>
      </c>
      <c r="J98" s="111">
        <f t="array" ref="J98">IFERROR(
(MEDIAN((IF(DATOS_[[Sexo]:[Sexo]]=$B98,IF(DATOS_[[AGRUP. CLAS. PROF.]:[AGRUP. CLAS. PROF.]]=$B96,IF(DATOS_[[Check Periodo Ref.]:[Check Periodo Ref.]]="Dentro",IF(DATOS_[[Check Equiparado]:[Check Equiparado]]="Sí",IF(DATOS!AE$5="Sí",(1/DATOS_[[% anualiz]:[% anualiz]]),1)*IF(DATOS!AE$4="Sí",1/DATOS_[[% normaliz]:[% normaliz]],1)*(DATOS_[Conc.Sal.01])))))))),
0)</f>
        <v>0</v>
      </c>
      <c r="K98" s="111">
        <f t="array" ref="K98">IFERROR(
(MEDIAN((IF(DATOS_[[Sexo]:[Sexo]]=$B98,IF(DATOS_[[AGRUP. CLAS. PROF.]:[AGRUP. CLAS. PROF.]]=$B96,IF(DATOS_[[Check Periodo Ref.]:[Check Periodo Ref.]]="Dentro",IF(DATOS_[[Check Equiparado]:[Check Equiparado]]="Sí",IF(DATOS!AF$5="Sí",(1/DATOS_[[% anualiz]:[% anualiz]]),1)*IF(DATOS!AF$4="Sí",1/DATOS_[[% normaliz]:[% normaliz]],1)*(DATOS_[Conc.Sal.02])))))))),
0)</f>
        <v>0</v>
      </c>
      <c r="L98" s="111">
        <f t="array" ref="L98">IFERROR(
(MEDIAN((IF(DATOS_[[Sexo]:[Sexo]]=$B98,IF(DATOS_[[AGRUP. CLAS. PROF.]:[AGRUP. CLAS. PROF.]]=$B96,IF(DATOS_[[Check Periodo Ref.]:[Check Periodo Ref.]]="Dentro",IF(DATOS_[[Check Equiparado]:[Check Equiparado]]="Sí",IF(DATOS!AG$5="Sí",(1/DATOS_[[% anualiz]:[% anualiz]]),1)*IF(DATOS!AG$4="Sí",1/DATOS_[[% normaliz]:[% normaliz]],1)*(DATOS_[Conc.Sal.03])))))))),
0)</f>
        <v>0</v>
      </c>
      <c r="M98" s="111">
        <f t="array" ref="M98">IFERROR(
(MEDIAN((IF(DATOS_[[Sexo]:[Sexo]]=$B98,IF(DATOS_[[AGRUP. CLAS. PROF.]:[AGRUP. CLAS. PROF.]]=$B96,IF(DATOS_[[Check Periodo Ref.]:[Check Periodo Ref.]]="Dentro",IF(DATOS_[[Check Equiparado]:[Check Equiparado]]="Sí",IF(DATOS!AH$5="Sí",(1/DATOS_[[% anualiz]:[% anualiz]]),1)*IF(DATOS!AH$4="Sí",1/DATOS_[[% normaliz]:[% normaliz]],1)*(DATOS_[Conc.Sal.04])))))))),
0)</f>
        <v>0</v>
      </c>
      <c r="N98" s="111">
        <f t="array" ref="N98">IFERROR(
(MEDIAN((IF(DATOS_[[Sexo]:[Sexo]]=$B98,IF(DATOS_[[AGRUP. CLAS. PROF.]:[AGRUP. CLAS. PROF.]]=$B96,IF(DATOS_[[Check Periodo Ref.]:[Check Periodo Ref.]]="Dentro",IF(DATOS_[[Check Equiparado]:[Check Equiparado]]="Sí",IF(DATOS!AI$5="Sí",(1/DATOS_[[% anualiz]:[% anualiz]]),1)*IF(DATOS!AI$4="Sí",1/DATOS_[[% normaliz]:[% normaliz]],1)*(DATOS_[Conc.Sal.05])))))))),
0)</f>
        <v>0</v>
      </c>
      <c r="O98" s="111">
        <f t="array" ref="O98">IFERROR(
(MEDIAN((IF(DATOS_[[Sexo]:[Sexo]]=$B98,IF(DATOS_[[AGRUP. CLAS. PROF.]:[AGRUP. CLAS. PROF.]]=$B96,IF(DATOS_[[Check Periodo Ref.]:[Check Periodo Ref.]]="Dentro",IF(DATOS_[[Check Equiparado]:[Check Equiparado]]="Sí",IF(DATOS!AJ$5="Sí",(1/DATOS_[[% anualiz]:[% anualiz]]),1)*IF(DATOS!AJ$4="Sí",1/DATOS_[[% normaliz]:[% normaliz]],1)*(DATOS_[Conc.Sal.06])))))))),
0)</f>
        <v>0</v>
      </c>
      <c r="P98" s="111">
        <f t="array" ref="P98">IFERROR(
(MEDIAN((IF(DATOS_[[Sexo]:[Sexo]]=$B98,IF(DATOS_[[AGRUP. CLAS. PROF.]:[AGRUP. CLAS. PROF.]]=$B96,IF(DATOS_[[Check Periodo Ref.]:[Check Periodo Ref.]]="Dentro",IF(DATOS_[[Check Equiparado]:[Check Equiparado]]="Sí",IF(DATOS!AK$5="Sí",(1/DATOS_[[% anualiz]:[% anualiz]]),1)*IF(DATOS!AK$4="Sí",1/DATOS_[[% normaliz]:[% normaliz]],1)*(DATOS_[Conc.Sal.07])))))))),
0)</f>
        <v>0</v>
      </c>
      <c r="Q98" s="111">
        <f t="array" ref="Q98">IFERROR(
(MEDIAN((IF(DATOS_[[Sexo]:[Sexo]]=$B98,IF(DATOS_[[AGRUP. CLAS. PROF.]:[AGRUP. CLAS. PROF.]]=$B96,IF(DATOS_[[Check Periodo Ref.]:[Check Periodo Ref.]]="Dentro",IF(DATOS_[[Check Equiparado]:[Check Equiparado]]="Sí",IF(DATOS!AL$5="Sí",(1/DATOS_[[% anualiz]:[% anualiz]]),1)*IF(DATOS!AL$4="Sí",1/DATOS_[[% normaliz]:[% normaliz]],1)*(DATOS_[Conc.Sal.08])))))))),
0)</f>
        <v>0</v>
      </c>
      <c r="R98" s="111">
        <f t="array" ref="R98">IFERROR(
(MEDIAN((IF(DATOS_[[Sexo]:[Sexo]]=$B98,IF(DATOS_[[AGRUP. CLAS. PROF.]:[AGRUP. CLAS. PROF.]]=$B96,IF(DATOS_[[Check Periodo Ref.]:[Check Periodo Ref.]]="Dentro",IF(DATOS_[[Check Equiparado]:[Check Equiparado]]="Sí",IF(DATOS!AM$5="Sí",(1/DATOS_[[% anualiz]:[% anualiz]]),1)*IF(DATOS!AM$4="Sí",1/DATOS_[[% normaliz]:[% normaliz]],1)*(DATOS_[Conc.Sal.09])))))))),
0)</f>
        <v>0</v>
      </c>
      <c r="S98" s="111">
        <f t="array" ref="S98">IFERROR(
(MEDIAN((IF(DATOS_[[Sexo]:[Sexo]]=$B98,IF(DATOS_[[AGRUP. CLAS. PROF.]:[AGRUP. CLAS. PROF.]]=$B96,IF(DATOS_[[Check Periodo Ref.]:[Check Periodo Ref.]]="Dentro",IF(DATOS_[[Check Equiparado]:[Check Equiparado]]="Sí",IF(DATOS!AN$5="Sí",(1/DATOS_[[% anualiz]:[% anualiz]]),1)*IF(DATOS!AN$4="Sí",1/DATOS_[[% normaliz]:[% normaliz]],1)*(DATOS_[Conc.Sal.10])))))))),
0)</f>
        <v>0</v>
      </c>
      <c r="T98" s="111">
        <f t="array" ref="T98">IFERROR(
(MEDIAN((IF(DATOS_[[Sexo]:[Sexo]]=$B98,IF(DATOS_[[AGRUP. CLAS. PROF.]:[AGRUP. CLAS. PROF.]]=$B96,IF(DATOS_[[Check Periodo Ref.]:[Check Periodo Ref.]]="Dentro",IF(DATOS_[[Check Equiparado]:[Check Equiparado]]="Sí",IF(DATOS!AO$5="Sí",(1/DATOS_[[% anualiz]:[% anualiz]]),1)*IF(DATOS!AO$4="Sí",1/DATOS_[[% normaliz]:[% normaliz]],1)*(DATOS_[Conc.Sal.11])))))))),
0)</f>
        <v>0</v>
      </c>
      <c r="U98" s="111">
        <f t="array" ref="U98">IFERROR(
(MEDIAN((IF(DATOS_[[Sexo]:[Sexo]]=$B98,IF(DATOS_[[AGRUP. CLAS. PROF.]:[AGRUP. CLAS. PROF.]]=$B96,IF(DATOS_[[Check Periodo Ref.]:[Check Periodo Ref.]]="Dentro",IF(DATOS_[[Check Equiparado]:[Check Equiparado]]="Sí",IF(DATOS!AP$5="Sí",(1/DATOS_[[% anualiz]:[% anualiz]]),1)*IF(DATOS!AP$4="Sí",1/DATOS_[[% normaliz]:[% normaliz]],1)*(DATOS_[Conc.Sal.12])))))))),
0)</f>
        <v>0</v>
      </c>
      <c r="V98" s="111">
        <f t="array" ref="V98">IFERROR(
(MEDIAN((IF(DATOS_[[Sexo]:[Sexo]]=$B98,IF(DATOS_[[AGRUP. CLAS. PROF.]:[AGRUP. CLAS. PROF.]]=$B96,IF(DATOS_[[Check Periodo Ref.]:[Check Periodo Ref.]]="Dentro",IF(DATOS_[[Check Equiparado]:[Check Equiparado]]="Sí",IF(DATOS!AQ$5="Sí",(1/DATOS_[[% anualiz]:[% anualiz]]),1)*IF(DATOS!AQ$4="Sí",1/DATOS_[[% normaliz]:[% normaliz]],1)*(DATOS_[Conc.Sal.13])))))))),
0)</f>
        <v>0</v>
      </c>
      <c r="W98" s="111">
        <f t="array" ref="W98">IFERROR(
(MEDIAN((IF(DATOS_[[Sexo]:[Sexo]]=$B98,IF(DATOS_[[AGRUP. CLAS. PROF.]:[AGRUP. CLAS. PROF.]]=$B96,IF(DATOS_[[Check Periodo Ref.]:[Check Periodo Ref.]]="Dentro",IF(DATOS_[[Check Equiparado]:[Check Equiparado]]="Sí",IF(DATOS!AR$5="Sí",(1/DATOS_[[% anualiz]:[% anualiz]]),1)*IF(DATOS!AR$4="Sí",1/DATOS_[[% normaliz]:[% normaliz]],1)*(DATOS_[Conc.Sal.14])))))))),
0)</f>
        <v>0</v>
      </c>
      <c r="X98" s="111">
        <f t="array" ref="X98">IFERROR(
(MEDIAN((IF(DATOS_[[Sexo]:[Sexo]]=$B98,IF(DATOS_[[AGRUP. CLAS. PROF.]:[AGRUP. CLAS. PROF.]]=$B96,IF(DATOS_[[Check Periodo Ref.]:[Check Periodo Ref.]]="Dentro",IF(DATOS_[[Check Equiparado]:[Check Equiparado]]="Sí",IF(DATOS!AS$5="Sí",(1/DATOS_[[% anualiz]:[% anualiz]]),1)*IF(DATOS!AS$4="Sí",1/DATOS_[[% normaliz]:[% normaliz]],1)*(DATOS_[Conc.Sal.15])))))))),
0)</f>
        <v>0</v>
      </c>
      <c r="Y98" s="111">
        <f t="array" ref="Y98">IFERROR(
(MEDIAN((IF(DATOS_[[Sexo]:[Sexo]]=$B98,IF(DATOS_[[AGRUP. CLAS. PROF.]:[AGRUP. CLAS. PROF.]]=$B96,IF(DATOS_[[Check Periodo Ref.]:[Check Periodo Ref.]]="Dentro",IF(DATOS_[[Check Equiparado]:[Check Equiparado]]="Sí",IF(DATOS!AT$5="Sí",(1/DATOS_[[% anualiz]:[% anualiz]]),1)*IF(DATOS!AT$4="Sí",1/DATOS_[[% normaliz]:[% normaliz]],1)*(DATOS_[Conc.Sal.16])))))))),
0)</f>
        <v>0</v>
      </c>
      <c r="Z98" s="111">
        <f t="array" ref="Z98">IFERROR(
(MEDIAN((IF(DATOS_[[Sexo]:[Sexo]]=$B98,IF(DATOS_[[AGRUP. CLAS. PROF.]:[AGRUP. CLAS. PROF.]]=$B96,IF(DATOS_[[Check Periodo Ref.]:[Check Periodo Ref.]]="Dentro",IF(DATOS_[[Check Equiparado]:[Check Equiparado]]="Sí",IF(DATOS!AU$5="Sí",(1/DATOS_[[% anualiz]:[% anualiz]]),1)*IF(DATOS!AU$4="Sí",1/DATOS_[[% normaliz]:[% normaliz]],1)*(DATOS_[Conc.Sal.17])))))))),
0)</f>
        <v>0</v>
      </c>
      <c r="AA98" s="111">
        <f t="array" ref="AA98">IFERROR(
(MEDIAN((IF(DATOS_[[Sexo]:[Sexo]]=$B98,IF(DATOS_[[AGRUP. CLAS. PROF.]:[AGRUP. CLAS. PROF.]]=$B96,IF(DATOS_[[Check Periodo Ref.]:[Check Periodo Ref.]]="Dentro",IF(DATOS_[[Check Equiparado]:[Check Equiparado]]="Sí",IF(DATOS!AV$5="Sí",(1/DATOS_[[% anualiz]:[% anualiz]]),1)*IF(DATOS!AV$4="Sí",1/DATOS_[[% normaliz]:[% normaliz]],1)*(DATOS_[Conc.Sal.18])))))))),
0)</f>
        <v>0</v>
      </c>
      <c r="AB98" s="111">
        <f t="array" ref="AB98">IFERROR(
(MEDIAN((IF(DATOS_[[Sexo]:[Sexo]]=$B98,IF(DATOS_[[AGRUP. CLAS. PROF.]:[AGRUP. CLAS. PROF.]]=$B96,IF(DATOS_[[Check Periodo Ref.]:[Check Periodo Ref.]]="Dentro",IF(DATOS_[[Check Equiparado]:[Check Equiparado]]="Sí",IF(DATOS!AW$5="Sí",(1/DATOS_[[% anualiz]:[% anualiz]]),1)*IF(DATOS!AW$4="Sí",1/DATOS_[[% normaliz]:[% normaliz]],1)*(DATOS_[Conc.Sal.19])))))))),
0)</f>
        <v>0</v>
      </c>
      <c r="AC98" s="111">
        <f t="array" ref="AC98">IFERROR(
(MEDIAN((IF(DATOS_[[Sexo]:[Sexo]]=$B98,IF(DATOS_[[AGRUP. CLAS. PROF.]:[AGRUP. CLAS. PROF.]]=$B96,IF(DATOS_[[Check Periodo Ref.]:[Check Periodo Ref.]]="Dentro",IF(DATOS_[[Check Equiparado]:[Check Equiparado]]="Sí",IF(DATOS!AX$5="Sí",(1/DATOS_[[% anualiz]:[% anualiz]]),1)*IF(DATOS!AX$4="Sí",1/DATOS_[[% normaliz]:[% normaliz]],1)*(DATOS_[Conc.Sal.20])))))))),
0)</f>
        <v>0</v>
      </c>
      <c r="AD98" s="111">
        <f t="array" ref="AD98">IFERROR(
(MEDIAN((IF(DATOS_[[Sexo]:[Sexo]]=$B98,IF(DATOS_[[AGRUP. CLAS. PROF.]:[AGRUP. CLAS. PROF.]]=$B96,IF(DATOS_[[Check Periodo Ref.]:[Check Periodo Ref.]]="Dentro",IF(DATOS_[[Check Equiparado]:[Check Equiparado]]="Sí",IF(DATOS!AY$5="Sí",(1/DATOS_[[% anualiz]:[% anualiz]]),1)*IF(DATOS!AY$4="Sí",1/DATOS_[[% normaliz]:[% normaliz]],1)*(DATOS_[Conc.Sal.21])))))))),
0)</f>
        <v>0</v>
      </c>
      <c r="AE98" s="111">
        <f t="array" ref="AE98">IFERROR(
(MEDIAN((IF(DATOS_[[Sexo]:[Sexo]]=$B98,IF(DATOS_[[AGRUP. CLAS. PROF.]:[AGRUP. CLAS. PROF.]]=$B96,IF(DATOS_[[Check Periodo Ref.]:[Check Periodo Ref.]]="Dentro",IF(DATOS_[[Check Equiparado]:[Check Equiparado]]="Sí",IF(DATOS!AZ$5="Sí",(1/DATOS_[[% anualiz]:[% anualiz]]),1)*IF(DATOS!AZ$4="Sí",1/DATOS_[[% normaliz]:[% normaliz]],1)*(DATOS_[Conc.Sal.22])))))))),
0)</f>
        <v>0</v>
      </c>
      <c r="AF98" s="111">
        <f t="array" ref="AF98">IFERROR(
(MEDIAN((IF(DATOS_[[Sexo]:[Sexo]]=$B98,IF(DATOS_[[AGRUP. CLAS. PROF.]:[AGRUP. CLAS. PROF.]]=$B96,IF(DATOS_[[Check Periodo Ref.]:[Check Periodo Ref.]]="Dentro",IF(DATOS_[[Check Equiparado]:[Check Equiparado]]="Sí",IF(DATOS!BA$5="Sí",(1/DATOS_[[% anualiz]:[% anualiz]]),1)*IF(DATOS!BA$4="Sí",1/DATOS_[[% normaliz]:[% normaliz]],1)*(DATOS_[Conc.Sal.23])))))))),
0)</f>
        <v>0</v>
      </c>
      <c r="AG98" s="111">
        <f t="array" ref="AG98">IFERROR(
(MEDIAN((IF(DATOS_[[Sexo]:[Sexo]]=$B98,IF(DATOS_[[AGRUP. CLAS. PROF.]:[AGRUP. CLAS. PROF.]]=$B96,IF(DATOS_[[Check Periodo Ref.]:[Check Periodo Ref.]]="Dentro",IF(DATOS_[[Check Equiparado]:[Check Equiparado]]="Sí",IF(DATOS!BB$5="Sí",(1/DATOS_[[% anualiz]:[% anualiz]]),1)*IF(DATOS!BB$4="Sí",1/DATOS_[[% normaliz]:[% normaliz]],1)*(DATOS_[Conc.Sal.24])))))))),
0)</f>
        <v>0</v>
      </c>
      <c r="AH98" s="111">
        <f t="array" ref="AH98">IFERROR(
(MEDIAN((IF(DATOS_[[Sexo]:[Sexo]]=$B98,IF(DATOS_[[AGRUP. CLAS. PROF.]:[AGRUP. CLAS. PROF.]]=$B96,IF(DATOS_[[Check Periodo Ref.]:[Check Periodo Ref.]]="Dentro",IF(DATOS_[[Check Equiparado]:[Check Equiparado]]="Sí",IF(DATOS!BC$5="Sí",(1/DATOS_[[% anualiz]:[% anualiz]]),1)*IF(DATOS!BC$4="Sí",1/DATOS_[[% normaliz]:[% normaliz]],1)*(DATOS_[Conc.Sal.25])))))))),
0)</f>
        <v>0</v>
      </c>
      <c r="AI98" s="111">
        <f t="array" ref="AI98">IFERROR(
(MEDIAN((IF(DATOS_[[Sexo]:[Sexo]]=$B98,IF(DATOS_[[AGRUP. CLAS. PROF.]:[AGRUP. CLAS. PROF.]]=$B96,IF(DATOS_[[Check Periodo Ref.]:[Check Periodo Ref.]]="Dentro",IF(DATOS_[[Check Equiparado]:[Check Equiparado]]="Sí",IF(DATOS!BD$5="Sí",(1/DATOS_[[% anualiz]:[% anualiz]]),1)*IF(DATOS!BD$4="Sí",1/DATOS_[[% normaliz]:[% normaliz]],1)*(DATOS_[Conc.Sal.26])))))))),
0)</f>
        <v>0</v>
      </c>
      <c r="AJ98" s="111">
        <f t="array" ref="AJ98">IFERROR(
(MEDIAN((IF(DATOS_[[Sexo]:[Sexo]]=$B98,IF(DATOS_[[AGRUP. CLAS. PROF.]:[AGRUP. CLAS. PROF.]]=$B96,IF(DATOS_[[Check Periodo Ref.]:[Check Periodo Ref.]]="Dentro",IF(DATOS_[[Check Equiparado]:[Check Equiparado]]="Sí",IF(DATOS!BE$5="Sí",(1/DATOS_[[% anualiz]:[% anualiz]]),1)*IF(DATOS!BE$4="Sí",1/DATOS_[[% normaliz]:[% normaliz]],1)*(DATOS_[Conc.Sal.27])))))))),
0)</f>
        <v>0</v>
      </c>
      <c r="AK98" s="111">
        <f t="array" ref="AK98">IFERROR(
(MEDIAN((IF(DATOS_[[Sexo]:[Sexo]]=$B98,IF(DATOS_[[AGRUP. CLAS. PROF.]:[AGRUP. CLAS. PROF.]]=$B96,IF(DATOS_[[Check Periodo Ref.]:[Check Periodo Ref.]]="Dentro",IF(DATOS_[[Check Equiparado]:[Check Equiparado]]="Sí",IF(DATOS!BF$5="Sí",(1/DATOS_[[% anualiz]:[% anualiz]]),1)*IF(DATOS!BF$4="Sí",1/DATOS_[[% normaliz]:[% normaliz]],1)*(DATOS_[Conc.Sal.28])))))))),
0)</f>
        <v>0</v>
      </c>
      <c r="AL98" s="111">
        <f t="array" ref="AL98">IFERROR(
(MEDIAN((IF(DATOS_[[Sexo]:[Sexo]]=$B98,IF(DATOS_[[AGRUP. CLAS. PROF.]:[AGRUP. CLAS. PROF.]]=$B96,IF(DATOS_[[Check Periodo Ref.]:[Check Periodo Ref.]]="Dentro",IF(DATOS_[[Check Equiparado]:[Check Equiparado]]="Sí",IF(DATOS!BG$5="Sí",(1/DATOS_[[% anualiz]:[% anualiz]]),1)*IF(DATOS!BG$4="Sí",1/DATOS_[[% normaliz]:[% normaliz]],1)*(DATOS_[Conc.Sal.29])))))))),
0)</f>
        <v>0</v>
      </c>
      <c r="AM98" s="111">
        <f t="array" ref="AM98">IFERROR(
(MEDIAN((IF(DATOS_[[Sexo]:[Sexo]]=$B98,IF(DATOS_[[AGRUP. CLAS. PROF.]:[AGRUP. CLAS. PROF.]]=$B96,IF(DATOS_[[Check Periodo Ref.]:[Check Periodo Ref.]]="Dentro",IF(DATOS_[[Check Equiparado]:[Check Equiparado]]="Sí",IF(DATOS!BH$5="Sí",(1/DATOS_[[% anualiz]:[% anualiz]]),1)*IF(DATOS!BH$4="Sí",1/DATOS_[[% normaliz]:[% normaliz]],1)*(DATOS_[Conc.Sal.30])))))))),
0)</f>
        <v>0</v>
      </c>
      <c r="AN98" s="112">
        <f t="array" ref="AN98">IFERROR(
MEDIAN(IF(DATOS_[Sexo]=$B98,IF(DATOS_[[AGRUP. CLAS. PROF.]:[AGRUP. CLAS. PROF.]]=$B96,IF(DATOS_[Check Equiparado]="Sí",IF(DATOS_[Check Periodo Ref.]="Dentro",DATOS_[Tot COMPL.SAL Eq],FALSE))))),
0)</f>
        <v>0</v>
      </c>
      <c r="AO98" s="113">
        <f t="array" ref="AO98">IFERROR(
MEDIAN(IF(DATOS_[Sexo]=$B98,IF(DATOS_[[AGRUP. CLAS. PROF.]:[AGRUP. CLAS. PROF.]]=$B96,IF(DATOS_[Check Equiparado]="Sí",IF(DATOS_[Check Periodo Ref.]="Dentro",DATOS_[TOTAL SALARIO Eq],FALSE))))),
0)</f>
        <v>0</v>
      </c>
      <c r="AP98" s="114">
        <f t="array" ref="AP98">IFERROR(
(MEDIAN((IF(DATOS_[[Sexo]:[Sexo]]=$B98,IF(DATOS_[[AGRUP. CLAS. PROF.]:[AGRUP. CLAS. PROF.]]=$B96,IF(DATOS_[[Check Periodo Ref.]:[Check Periodo Ref.]]="Dentro",IF(DATOS_[[Check Equiparado]:[Check Equiparado]]="Sí",IF(DATOS!BI$5="Sí",(1/DATOS_[[% anualiz]:[% anualiz]]),1)*IF(DATOS!BI$4="Sí",1/DATOS_[[% normaliz]:[% normaliz]],1)*(DATOS_[C.Extra.01])))))))),
0)</f>
        <v>0</v>
      </c>
      <c r="AQ98" s="114">
        <f t="array" ref="AQ98">IFERROR(
(MEDIAN((IF(DATOS_[[Sexo]:[Sexo]]=$B98,IF(DATOS_[[AGRUP. CLAS. PROF.]:[AGRUP. CLAS. PROF.]]=$B96,IF(DATOS_[[Check Periodo Ref.]:[Check Periodo Ref.]]="Dentro",IF(DATOS_[[Check Equiparado]:[Check Equiparado]]="Sí",IF(DATOS!BJ$5="Sí",(1/DATOS_[[% anualiz]:[% anualiz]]),1)*IF(DATOS!BJ$4="Sí",1/DATOS_[[% normaliz]:[% normaliz]],1)*(DATOS_[C.Extra.02])))))))),
0)</f>
        <v>0</v>
      </c>
      <c r="AR98" s="114">
        <f t="array" ref="AR98">IFERROR(
(MEDIAN((IF(DATOS_[[Sexo]:[Sexo]]=$B98,IF(DATOS_[[AGRUP. CLAS. PROF.]:[AGRUP. CLAS. PROF.]]=$B96,IF(DATOS_[[Check Periodo Ref.]:[Check Periodo Ref.]]="Dentro",IF(DATOS_[[Check Equiparado]:[Check Equiparado]]="Sí",IF(DATOS!BK$5="Sí",(1/DATOS_[[% anualiz]:[% anualiz]]),1)*IF(DATOS!BK$4="Sí",1/DATOS_[[% normaliz]:[% normaliz]],1)*(DATOS_[C.Extra.03])))))))),
0)</f>
        <v>0</v>
      </c>
      <c r="AS98" s="114">
        <f t="array" ref="AS98">IFERROR(
(MEDIAN((IF(DATOS_[[Sexo]:[Sexo]]=$B98,IF(DATOS_[[AGRUP. CLAS. PROF.]:[AGRUP. CLAS. PROF.]]=$B96,IF(DATOS_[[Check Periodo Ref.]:[Check Periodo Ref.]]="Dentro",IF(DATOS_[[Check Equiparado]:[Check Equiparado]]="Sí",IF(DATOS!BL$5="Sí",(1/DATOS_[[% anualiz]:[% anualiz]]),1)*IF(DATOS!BL$4="Sí",1/DATOS_[[% normaliz]:[% normaliz]],1)*(DATOS_[C.Extra.04])))))))),
0)</f>
        <v>0</v>
      </c>
      <c r="AT98" s="114">
        <f t="array" ref="AT98">IFERROR(
(MEDIAN((IF(DATOS_[[Sexo]:[Sexo]]=$B98,IF(DATOS_[[AGRUP. CLAS. PROF.]:[AGRUP. CLAS. PROF.]]=$B96,IF(DATOS_[[Check Periodo Ref.]:[Check Periodo Ref.]]="Dentro",IF(DATOS_[[Check Equiparado]:[Check Equiparado]]="Sí",IF(DATOS!BM$5="Sí",(1/DATOS_[[% anualiz]:[% anualiz]]),1)*IF(DATOS!BM$4="Sí",1/DATOS_[[% normaliz]:[% normaliz]],1)*(DATOS_[C.Extra.05])))))))),
0)</f>
        <v>0</v>
      </c>
      <c r="AU98" s="115">
        <f t="array" ref="AU98">IFERROR(
MEDIAN(IF(DATOS_[Sexo]=$B98,IF(DATOS_[[AGRUP. CLAS. PROF.]:[AGRUP. CLAS. PROF.]]=$B96,IF(DATOS_[Check Equiparado]="Sí",IF(DATOS_[Check Periodo Ref.]="Dentro",DATOS_[Tot Extrasalarial Eq],FALSE))))),
0)</f>
        <v>0</v>
      </c>
      <c r="AV98" s="116">
        <f t="array" ref="AV98">IFERROR(
MEDIAN(IF(DATOS_[Sexo]=$B98,IF(DATOS_[[AGRUP. CLAS. PROF.]:[AGRUP. CLAS. PROF.]]=$B96,IF(DATOS_[Check Equiparado]="Sí",IF(DATOS_[Check Periodo Ref.]="Dentro",DATOS_[TOTAL Retrib Eq],FALSE))))),
0)</f>
        <v>0</v>
      </c>
    </row>
    <row r="99" spans="1:48" ht="17.25" hidden="1" thickBot="1" x14ac:dyDescent="0.35">
      <c r="A99" s="42" t="str">
        <f t="shared" ref="A99" si="115">+A100</f>
        <v>[ocultar]</v>
      </c>
      <c r="B99" s="90" t="s">
        <v>245</v>
      </c>
      <c r="C99" s="109"/>
      <c r="D99" s="41"/>
      <c r="E99" s="41"/>
      <c r="F99" s="41"/>
      <c r="G99" s="41"/>
      <c r="H99" s="41"/>
      <c r="I99" s="119" t="str">
        <f t="shared" ref="I99:AV99" si="116">IFERROR((I100-I101)/I100,"")</f>
        <v/>
      </c>
      <c r="J99" s="123" t="str">
        <f t="shared" si="116"/>
        <v/>
      </c>
      <c r="K99" s="123" t="str">
        <f t="shared" si="116"/>
        <v/>
      </c>
      <c r="L99" s="123" t="str">
        <f t="shared" si="116"/>
        <v/>
      </c>
      <c r="M99" s="123" t="str">
        <f t="shared" si="116"/>
        <v/>
      </c>
      <c r="N99" s="123" t="str">
        <f t="shared" si="116"/>
        <v/>
      </c>
      <c r="O99" s="123" t="str">
        <f t="shared" si="116"/>
        <v/>
      </c>
      <c r="P99" s="123" t="str">
        <f t="shared" si="116"/>
        <v/>
      </c>
      <c r="Q99" s="123" t="str">
        <f t="shared" si="116"/>
        <v/>
      </c>
      <c r="R99" s="123" t="str">
        <f t="shared" si="116"/>
        <v/>
      </c>
      <c r="S99" s="123" t="str">
        <f t="shared" si="116"/>
        <v/>
      </c>
      <c r="T99" s="123" t="str">
        <f t="shared" si="116"/>
        <v/>
      </c>
      <c r="U99" s="123" t="str">
        <f t="shared" si="116"/>
        <v/>
      </c>
      <c r="V99" s="123" t="str">
        <f t="shared" si="116"/>
        <v/>
      </c>
      <c r="W99" s="123" t="str">
        <f t="shared" si="116"/>
        <v/>
      </c>
      <c r="X99" s="123" t="str">
        <f t="shared" si="116"/>
        <v/>
      </c>
      <c r="Y99" s="123" t="str">
        <f t="shared" si="116"/>
        <v/>
      </c>
      <c r="Z99" s="122" t="str">
        <f t="shared" si="116"/>
        <v/>
      </c>
      <c r="AA99" s="122" t="str">
        <f t="shared" si="116"/>
        <v/>
      </c>
      <c r="AB99" s="122" t="str">
        <f t="shared" si="116"/>
        <v/>
      </c>
      <c r="AC99" s="122" t="str">
        <f t="shared" si="116"/>
        <v/>
      </c>
      <c r="AD99" s="122" t="str">
        <f t="shared" si="116"/>
        <v/>
      </c>
      <c r="AE99" s="122" t="str">
        <f t="shared" si="116"/>
        <v/>
      </c>
      <c r="AF99" s="122" t="str">
        <f t="shared" si="116"/>
        <v/>
      </c>
      <c r="AG99" s="122" t="str">
        <f t="shared" si="116"/>
        <v/>
      </c>
      <c r="AH99" s="122" t="str">
        <f t="shared" si="116"/>
        <v/>
      </c>
      <c r="AI99" s="122" t="str">
        <f t="shared" si="116"/>
        <v/>
      </c>
      <c r="AJ99" s="122" t="str">
        <f t="shared" si="116"/>
        <v/>
      </c>
      <c r="AK99" s="122" t="str">
        <f t="shared" si="116"/>
        <v/>
      </c>
      <c r="AL99" s="122" t="str">
        <f t="shared" si="116"/>
        <v/>
      </c>
      <c r="AM99" s="122" t="str">
        <f t="shared" si="116"/>
        <v/>
      </c>
      <c r="AN99" s="124" t="str">
        <f t="shared" si="116"/>
        <v/>
      </c>
      <c r="AO99" s="128" t="str">
        <f t="shared" si="116"/>
        <v/>
      </c>
      <c r="AP99" s="125" t="str">
        <f t="shared" si="116"/>
        <v/>
      </c>
      <c r="AQ99" s="125" t="str">
        <f t="shared" si="116"/>
        <v/>
      </c>
      <c r="AR99" s="125" t="str">
        <f t="shared" si="116"/>
        <v/>
      </c>
      <c r="AS99" s="125" t="str">
        <f t="shared" si="116"/>
        <v/>
      </c>
      <c r="AT99" s="125" t="str">
        <f t="shared" si="116"/>
        <v/>
      </c>
      <c r="AU99" s="126" t="str">
        <f t="shared" si="116"/>
        <v/>
      </c>
      <c r="AV99" s="127" t="str">
        <f t="shared" si="116"/>
        <v/>
      </c>
    </row>
    <row r="100" spans="1:48" hidden="1" x14ac:dyDescent="0.3">
      <c r="A100" s="42" t="str">
        <f t="shared" ref="A100" si="117">+IF(C100+C101=0,"[ocultar]","")</f>
        <v>[ocultar]</v>
      </c>
      <c r="B100" s="86" t="s">
        <v>162</v>
      </c>
      <c r="C100" s="33">
        <f t="array" ref="C100">SUM(IF($B100=DATOS_[Sexo],
IF($B99=DATOS_[AGRUP. CLAS. PROF.],
IF("Dentro"=DATOS_[Check Periodo Ref.],
1/(COUNTIFS(DATOS_[Sexo],$B100,DATOS_[AGRUP. CLAS. PROF.],$B99,DATOS_[Check Periodo Ref.],"Dentro",DATOS_[id],DATOS_[id]))))))</f>
        <v>0</v>
      </c>
      <c r="D100" s="35">
        <f>COUNTIFS(DATOS_[AGRUP. CLAS. PROF.],$B99,DATOS_[Sexo],$B100,DATOS_[Check Periodo Ref.],"Dentro")</f>
        <v>0</v>
      </c>
      <c r="E100" s="35">
        <f>COUNTIFS(DATOS_[AGRUP. CLAS. PROF.],$B99,DATOS_[Sexo],$B100,DATOS_[Check Periodo Ref.],"Dentro",DATOS_[Check Nº SC Norm],"Sí")</f>
        <v>0</v>
      </c>
      <c r="F100" s="35">
        <f>COUNTIFS(DATOS_[AGRUP. CLAS. PROF.],$B99,DATOS_[Sexo],$B100,DATOS_[Check Periodo Ref.],"Dentro",DATOS_[Check Nº SC Anualiz],"Sí")</f>
        <v>0</v>
      </c>
      <c r="G100" s="35">
        <f>COUNTIFS(DATOS_[AGRUP. CLAS. PROF.],$B99,DATOS_[Sexo],$B100,DATOS_[Check Periodo Ref.],"Dentro",DATOS_[Check Nº SC Norm y Anualiz],"Sí")</f>
        <v>0</v>
      </c>
      <c r="H100" s="35">
        <f>COUNTIFS(DATOS_[AGRUP. CLAS. PROF.],$B99,DATOS_[Sexo],$B100,DATOS_[Check Periodo Ref.],"Dentro",DATOS_[Check Equiparación],"Sí")</f>
        <v>0</v>
      </c>
      <c r="I100" s="110">
        <f t="array" ref="I100">IFERROR(
MEDIAN(IF(DATOS_[Sexo]=$B100,IF(DATOS_[[AGRUP. CLAS. PROF.]:[AGRUP. CLAS. PROF.]]=$B99,IF(DATOS_[Check Equiparado]="Sí",IF(DATOS_[Check Periodo Ref.]="Dentro",DATOS_[SALARIO BASE Eq],FALSE))))),
0)</f>
        <v>0</v>
      </c>
      <c r="J100" s="111">
        <f t="array" ref="J100">IFERROR(
(MEDIAN((IF(DATOS_[[Sexo]:[Sexo]]=$B100,IF(DATOS_[[AGRUP. CLAS. PROF.]:[AGRUP. CLAS. PROF.]]=$B99,IF(DATOS_[[Check Periodo Ref.]:[Check Periodo Ref.]]="Dentro",IF(DATOS_[[Check Equiparado]:[Check Equiparado]]="Sí",IF(DATOS!AE$5="Sí",(1/DATOS_[[% anualiz]:[% anualiz]]),1)*IF(DATOS!AE$4="Sí",1/DATOS_[[% normaliz]:[% normaliz]],1)*(DATOS_[Conc.Sal.01])))))))),
0)</f>
        <v>0</v>
      </c>
      <c r="K100" s="111">
        <f t="array" ref="K100">IFERROR(
(MEDIAN((IF(DATOS_[[Sexo]:[Sexo]]=$B100,IF(DATOS_[[AGRUP. CLAS. PROF.]:[AGRUP. CLAS. PROF.]]=$B99,IF(DATOS_[[Check Periodo Ref.]:[Check Periodo Ref.]]="Dentro",IF(DATOS_[[Check Equiparado]:[Check Equiparado]]="Sí",IF(DATOS!AF$5="Sí",(1/DATOS_[[% anualiz]:[% anualiz]]),1)*IF(DATOS!AF$4="Sí",1/DATOS_[[% normaliz]:[% normaliz]],1)*(DATOS_[Conc.Sal.02])))))))),
0)</f>
        <v>0</v>
      </c>
      <c r="L100" s="111">
        <f t="array" ref="L100">IFERROR(
(MEDIAN((IF(DATOS_[[Sexo]:[Sexo]]=$B100,IF(DATOS_[[AGRUP. CLAS. PROF.]:[AGRUP. CLAS. PROF.]]=$B99,IF(DATOS_[[Check Periodo Ref.]:[Check Periodo Ref.]]="Dentro",IF(DATOS_[[Check Equiparado]:[Check Equiparado]]="Sí",IF(DATOS!AG$5="Sí",(1/DATOS_[[% anualiz]:[% anualiz]]),1)*IF(DATOS!AG$4="Sí",1/DATOS_[[% normaliz]:[% normaliz]],1)*(DATOS_[Conc.Sal.03])))))))),
0)</f>
        <v>0</v>
      </c>
      <c r="M100" s="111">
        <f t="array" ref="M100">IFERROR(
(MEDIAN((IF(DATOS_[[Sexo]:[Sexo]]=$B100,IF(DATOS_[[AGRUP. CLAS. PROF.]:[AGRUP. CLAS. PROF.]]=$B99,IF(DATOS_[[Check Periodo Ref.]:[Check Periodo Ref.]]="Dentro",IF(DATOS_[[Check Equiparado]:[Check Equiparado]]="Sí",IF(DATOS!AH$5="Sí",(1/DATOS_[[% anualiz]:[% anualiz]]),1)*IF(DATOS!AH$4="Sí",1/DATOS_[[% normaliz]:[% normaliz]],1)*(DATOS_[Conc.Sal.04])))))))),
0)</f>
        <v>0</v>
      </c>
      <c r="N100" s="111">
        <f t="array" ref="N100">IFERROR(
(MEDIAN((IF(DATOS_[[Sexo]:[Sexo]]=$B100,IF(DATOS_[[AGRUP. CLAS. PROF.]:[AGRUP. CLAS. PROF.]]=$B99,IF(DATOS_[[Check Periodo Ref.]:[Check Periodo Ref.]]="Dentro",IF(DATOS_[[Check Equiparado]:[Check Equiparado]]="Sí",IF(DATOS!AI$5="Sí",(1/DATOS_[[% anualiz]:[% anualiz]]),1)*IF(DATOS!AI$4="Sí",1/DATOS_[[% normaliz]:[% normaliz]],1)*(DATOS_[Conc.Sal.05])))))))),
0)</f>
        <v>0</v>
      </c>
      <c r="O100" s="111">
        <f t="array" ref="O100">IFERROR(
(MEDIAN((IF(DATOS_[[Sexo]:[Sexo]]=$B100,IF(DATOS_[[AGRUP. CLAS. PROF.]:[AGRUP. CLAS. PROF.]]=$B99,IF(DATOS_[[Check Periodo Ref.]:[Check Periodo Ref.]]="Dentro",IF(DATOS_[[Check Equiparado]:[Check Equiparado]]="Sí",IF(DATOS!AJ$5="Sí",(1/DATOS_[[% anualiz]:[% anualiz]]),1)*IF(DATOS!AJ$4="Sí",1/DATOS_[[% normaliz]:[% normaliz]],1)*(DATOS_[Conc.Sal.06])))))))),
0)</f>
        <v>0</v>
      </c>
      <c r="P100" s="111">
        <f t="array" ref="P100">IFERROR(
(MEDIAN((IF(DATOS_[[Sexo]:[Sexo]]=$B100,IF(DATOS_[[AGRUP. CLAS. PROF.]:[AGRUP. CLAS. PROF.]]=$B99,IF(DATOS_[[Check Periodo Ref.]:[Check Periodo Ref.]]="Dentro",IF(DATOS_[[Check Equiparado]:[Check Equiparado]]="Sí",IF(DATOS!AK$5="Sí",(1/DATOS_[[% anualiz]:[% anualiz]]),1)*IF(DATOS!AK$4="Sí",1/DATOS_[[% normaliz]:[% normaliz]],1)*(DATOS_[Conc.Sal.07])))))))),
0)</f>
        <v>0</v>
      </c>
      <c r="Q100" s="111">
        <f t="array" ref="Q100">IFERROR(
(MEDIAN((IF(DATOS_[[Sexo]:[Sexo]]=$B100,IF(DATOS_[[AGRUP. CLAS. PROF.]:[AGRUP. CLAS. PROF.]]=$B99,IF(DATOS_[[Check Periodo Ref.]:[Check Periodo Ref.]]="Dentro",IF(DATOS_[[Check Equiparado]:[Check Equiparado]]="Sí",IF(DATOS!AL$5="Sí",(1/DATOS_[[% anualiz]:[% anualiz]]),1)*IF(DATOS!AL$4="Sí",1/DATOS_[[% normaliz]:[% normaliz]],1)*(DATOS_[Conc.Sal.08])))))))),
0)</f>
        <v>0</v>
      </c>
      <c r="R100" s="111">
        <f t="array" ref="R100">IFERROR(
(MEDIAN((IF(DATOS_[[Sexo]:[Sexo]]=$B100,IF(DATOS_[[AGRUP. CLAS. PROF.]:[AGRUP. CLAS. PROF.]]=$B99,IF(DATOS_[[Check Periodo Ref.]:[Check Periodo Ref.]]="Dentro",IF(DATOS_[[Check Equiparado]:[Check Equiparado]]="Sí",IF(DATOS!AM$5="Sí",(1/DATOS_[[% anualiz]:[% anualiz]]),1)*IF(DATOS!AM$4="Sí",1/DATOS_[[% normaliz]:[% normaliz]],1)*(DATOS_[Conc.Sal.09])))))))),
0)</f>
        <v>0</v>
      </c>
      <c r="S100" s="111">
        <f t="array" ref="S100">IFERROR(
(MEDIAN((IF(DATOS_[[Sexo]:[Sexo]]=$B100,IF(DATOS_[[AGRUP. CLAS. PROF.]:[AGRUP. CLAS. PROF.]]=$B99,IF(DATOS_[[Check Periodo Ref.]:[Check Periodo Ref.]]="Dentro",IF(DATOS_[[Check Equiparado]:[Check Equiparado]]="Sí",IF(DATOS!AN$5="Sí",(1/DATOS_[[% anualiz]:[% anualiz]]),1)*IF(DATOS!AN$4="Sí",1/DATOS_[[% normaliz]:[% normaliz]],1)*(DATOS_[Conc.Sal.10])))))))),
0)</f>
        <v>0</v>
      </c>
      <c r="T100" s="111">
        <f t="array" ref="T100">IFERROR(
(MEDIAN((IF(DATOS_[[Sexo]:[Sexo]]=$B100,IF(DATOS_[[AGRUP. CLAS. PROF.]:[AGRUP. CLAS. PROF.]]=$B99,IF(DATOS_[[Check Periodo Ref.]:[Check Periodo Ref.]]="Dentro",IF(DATOS_[[Check Equiparado]:[Check Equiparado]]="Sí",IF(DATOS!AO$5="Sí",(1/DATOS_[[% anualiz]:[% anualiz]]),1)*IF(DATOS!AO$4="Sí",1/DATOS_[[% normaliz]:[% normaliz]],1)*(DATOS_[Conc.Sal.11])))))))),
0)</f>
        <v>0</v>
      </c>
      <c r="U100" s="111">
        <f t="array" ref="U100">IFERROR(
(MEDIAN((IF(DATOS_[[Sexo]:[Sexo]]=$B100,IF(DATOS_[[AGRUP. CLAS. PROF.]:[AGRUP. CLAS. PROF.]]=$B99,IF(DATOS_[[Check Periodo Ref.]:[Check Periodo Ref.]]="Dentro",IF(DATOS_[[Check Equiparado]:[Check Equiparado]]="Sí",IF(DATOS!AP$5="Sí",(1/DATOS_[[% anualiz]:[% anualiz]]),1)*IF(DATOS!AP$4="Sí",1/DATOS_[[% normaliz]:[% normaliz]],1)*(DATOS_[Conc.Sal.12])))))))),
0)</f>
        <v>0</v>
      </c>
      <c r="V100" s="111">
        <f t="array" ref="V100">IFERROR(
(MEDIAN((IF(DATOS_[[Sexo]:[Sexo]]=$B100,IF(DATOS_[[AGRUP. CLAS. PROF.]:[AGRUP. CLAS. PROF.]]=$B99,IF(DATOS_[[Check Periodo Ref.]:[Check Periodo Ref.]]="Dentro",IF(DATOS_[[Check Equiparado]:[Check Equiparado]]="Sí",IF(DATOS!AQ$5="Sí",(1/DATOS_[[% anualiz]:[% anualiz]]),1)*IF(DATOS!AQ$4="Sí",1/DATOS_[[% normaliz]:[% normaliz]],1)*(DATOS_[Conc.Sal.13])))))))),
0)</f>
        <v>0</v>
      </c>
      <c r="W100" s="111">
        <f t="array" ref="W100">IFERROR(
(MEDIAN((IF(DATOS_[[Sexo]:[Sexo]]=$B100,IF(DATOS_[[AGRUP. CLAS. PROF.]:[AGRUP. CLAS. PROF.]]=$B99,IF(DATOS_[[Check Periodo Ref.]:[Check Periodo Ref.]]="Dentro",IF(DATOS_[[Check Equiparado]:[Check Equiparado]]="Sí",IF(DATOS!AR$5="Sí",(1/DATOS_[[% anualiz]:[% anualiz]]),1)*IF(DATOS!AR$4="Sí",1/DATOS_[[% normaliz]:[% normaliz]],1)*(DATOS_[Conc.Sal.14])))))))),
0)</f>
        <v>0</v>
      </c>
      <c r="X100" s="111">
        <f t="array" ref="X100">IFERROR(
(MEDIAN((IF(DATOS_[[Sexo]:[Sexo]]=$B100,IF(DATOS_[[AGRUP. CLAS. PROF.]:[AGRUP. CLAS. PROF.]]=$B99,IF(DATOS_[[Check Periodo Ref.]:[Check Periodo Ref.]]="Dentro",IF(DATOS_[[Check Equiparado]:[Check Equiparado]]="Sí",IF(DATOS!AS$5="Sí",(1/DATOS_[[% anualiz]:[% anualiz]]),1)*IF(DATOS!AS$4="Sí",1/DATOS_[[% normaliz]:[% normaliz]],1)*(DATOS_[Conc.Sal.15])))))))),
0)</f>
        <v>0</v>
      </c>
      <c r="Y100" s="111">
        <f t="array" ref="Y100">IFERROR(
(MEDIAN((IF(DATOS_[[Sexo]:[Sexo]]=$B100,IF(DATOS_[[AGRUP. CLAS. PROF.]:[AGRUP. CLAS. PROF.]]=$B99,IF(DATOS_[[Check Periodo Ref.]:[Check Periodo Ref.]]="Dentro",IF(DATOS_[[Check Equiparado]:[Check Equiparado]]="Sí",IF(DATOS!AT$5="Sí",(1/DATOS_[[% anualiz]:[% anualiz]]),1)*IF(DATOS!AT$4="Sí",1/DATOS_[[% normaliz]:[% normaliz]],1)*(DATOS_[Conc.Sal.16])))))))),
0)</f>
        <v>0</v>
      </c>
      <c r="Z100" s="111">
        <f t="array" ref="Z100">IFERROR(
(MEDIAN((IF(DATOS_[[Sexo]:[Sexo]]=$B100,IF(DATOS_[[AGRUP. CLAS. PROF.]:[AGRUP. CLAS. PROF.]]=$B99,IF(DATOS_[[Check Periodo Ref.]:[Check Periodo Ref.]]="Dentro",IF(DATOS_[[Check Equiparado]:[Check Equiparado]]="Sí",IF(DATOS!AU$5="Sí",(1/DATOS_[[% anualiz]:[% anualiz]]),1)*IF(DATOS!AU$4="Sí",1/DATOS_[[% normaliz]:[% normaliz]],1)*(DATOS_[Conc.Sal.17])))))))),
0)</f>
        <v>0</v>
      </c>
      <c r="AA100" s="111">
        <f t="array" ref="AA100">IFERROR(
(MEDIAN((IF(DATOS_[[Sexo]:[Sexo]]=$B100,IF(DATOS_[[AGRUP. CLAS. PROF.]:[AGRUP. CLAS. PROF.]]=$B99,IF(DATOS_[[Check Periodo Ref.]:[Check Periodo Ref.]]="Dentro",IF(DATOS_[[Check Equiparado]:[Check Equiparado]]="Sí",IF(DATOS!AV$5="Sí",(1/DATOS_[[% anualiz]:[% anualiz]]),1)*IF(DATOS!AV$4="Sí",1/DATOS_[[% normaliz]:[% normaliz]],1)*(DATOS_[Conc.Sal.18])))))))),
0)</f>
        <v>0</v>
      </c>
      <c r="AB100" s="111">
        <f t="array" ref="AB100">IFERROR(
(MEDIAN((IF(DATOS_[[Sexo]:[Sexo]]=$B100,IF(DATOS_[[AGRUP. CLAS. PROF.]:[AGRUP. CLAS. PROF.]]=$B99,IF(DATOS_[[Check Periodo Ref.]:[Check Periodo Ref.]]="Dentro",IF(DATOS_[[Check Equiparado]:[Check Equiparado]]="Sí",IF(DATOS!AW$5="Sí",(1/DATOS_[[% anualiz]:[% anualiz]]),1)*IF(DATOS!AW$4="Sí",1/DATOS_[[% normaliz]:[% normaliz]],1)*(DATOS_[Conc.Sal.19])))))))),
0)</f>
        <v>0</v>
      </c>
      <c r="AC100" s="111">
        <f t="array" ref="AC100">IFERROR(
(MEDIAN((IF(DATOS_[[Sexo]:[Sexo]]=$B100,IF(DATOS_[[AGRUP. CLAS. PROF.]:[AGRUP. CLAS. PROF.]]=$B99,IF(DATOS_[[Check Periodo Ref.]:[Check Periodo Ref.]]="Dentro",IF(DATOS_[[Check Equiparado]:[Check Equiparado]]="Sí",IF(DATOS!AX$5="Sí",(1/DATOS_[[% anualiz]:[% anualiz]]),1)*IF(DATOS!AX$4="Sí",1/DATOS_[[% normaliz]:[% normaliz]],1)*(DATOS_[Conc.Sal.20])))))))),
0)</f>
        <v>0</v>
      </c>
      <c r="AD100" s="111">
        <f t="array" ref="AD100">IFERROR(
(MEDIAN((IF(DATOS_[[Sexo]:[Sexo]]=$B100,IF(DATOS_[[AGRUP. CLAS. PROF.]:[AGRUP. CLAS. PROF.]]=$B99,IF(DATOS_[[Check Periodo Ref.]:[Check Periodo Ref.]]="Dentro",IF(DATOS_[[Check Equiparado]:[Check Equiparado]]="Sí",IF(DATOS!AY$5="Sí",(1/DATOS_[[% anualiz]:[% anualiz]]),1)*IF(DATOS!AY$4="Sí",1/DATOS_[[% normaliz]:[% normaliz]],1)*(DATOS_[Conc.Sal.21])))))))),
0)</f>
        <v>0</v>
      </c>
      <c r="AE100" s="111">
        <f t="array" ref="AE100">IFERROR(
(MEDIAN((IF(DATOS_[[Sexo]:[Sexo]]=$B100,IF(DATOS_[[AGRUP. CLAS. PROF.]:[AGRUP. CLAS. PROF.]]=$B99,IF(DATOS_[[Check Periodo Ref.]:[Check Periodo Ref.]]="Dentro",IF(DATOS_[[Check Equiparado]:[Check Equiparado]]="Sí",IF(DATOS!AZ$5="Sí",(1/DATOS_[[% anualiz]:[% anualiz]]),1)*IF(DATOS!AZ$4="Sí",1/DATOS_[[% normaliz]:[% normaliz]],1)*(DATOS_[Conc.Sal.22])))))))),
0)</f>
        <v>0</v>
      </c>
      <c r="AF100" s="111">
        <f t="array" ref="AF100">IFERROR(
(MEDIAN((IF(DATOS_[[Sexo]:[Sexo]]=$B100,IF(DATOS_[[AGRUP. CLAS. PROF.]:[AGRUP. CLAS. PROF.]]=$B99,IF(DATOS_[[Check Periodo Ref.]:[Check Periodo Ref.]]="Dentro",IF(DATOS_[[Check Equiparado]:[Check Equiparado]]="Sí",IF(DATOS!BA$5="Sí",(1/DATOS_[[% anualiz]:[% anualiz]]),1)*IF(DATOS!BA$4="Sí",1/DATOS_[[% normaliz]:[% normaliz]],1)*(DATOS_[Conc.Sal.23])))))))),
0)</f>
        <v>0</v>
      </c>
      <c r="AG100" s="111">
        <f t="array" ref="AG100">IFERROR(
(MEDIAN((IF(DATOS_[[Sexo]:[Sexo]]=$B100,IF(DATOS_[[AGRUP. CLAS. PROF.]:[AGRUP. CLAS. PROF.]]=$B99,IF(DATOS_[[Check Periodo Ref.]:[Check Periodo Ref.]]="Dentro",IF(DATOS_[[Check Equiparado]:[Check Equiparado]]="Sí",IF(DATOS!BB$5="Sí",(1/DATOS_[[% anualiz]:[% anualiz]]),1)*IF(DATOS!BB$4="Sí",1/DATOS_[[% normaliz]:[% normaliz]],1)*(DATOS_[Conc.Sal.24])))))))),
0)</f>
        <v>0</v>
      </c>
      <c r="AH100" s="111">
        <f t="array" ref="AH100">IFERROR(
(MEDIAN((IF(DATOS_[[Sexo]:[Sexo]]=$B100,IF(DATOS_[[AGRUP. CLAS. PROF.]:[AGRUP. CLAS. PROF.]]=$B99,IF(DATOS_[[Check Periodo Ref.]:[Check Periodo Ref.]]="Dentro",IF(DATOS_[[Check Equiparado]:[Check Equiparado]]="Sí",IF(DATOS!BC$5="Sí",(1/DATOS_[[% anualiz]:[% anualiz]]),1)*IF(DATOS!BC$4="Sí",1/DATOS_[[% normaliz]:[% normaliz]],1)*(DATOS_[Conc.Sal.25])))))))),
0)</f>
        <v>0</v>
      </c>
      <c r="AI100" s="111">
        <f t="array" ref="AI100">IFERROR(
(MEDIAN((IF(DATOS_[[Sexo]:[Sexo]]=$B100,IF(DATOS_[[AGRUP. CLAS. PROF.]:[AGRUP. CLAS. PROF.]]=$B99,IF(DATOS_[[Check Periodo Ref.]:[Check Periodo Ref.]]="Dentro",IF(DATOS_[[Check Equiparado]:[Check Equiparado]]="Sí",IF(DATOS!BD$5="Sí",(1/DATOS_[[% anualiz]:[% anualiz]]),1)*IF(DATOS!BD$4="Sí",1/DATOS_[[% normaliz]:[% normaliz]],1)*(DATOS_[Conc.Sal.26])))))))),
0)</f>
        <v>0</v>
      </c>
      <c r="AJ100" s="111">
        <f t="array" ref="AJ100">IFERROR(
(MEDIAN((IF(DATOS_[[Sexo]:[Sexo]]=$B100,IF(DATOS_[[AGRUP. CLAS. PROF.]:[AGRUP. CLAS. PROF.]]=$B99,IF(DATOS_[[Check Periodo Ref.]:[Check Periodo Ref.]]="Dentro",IF(DATOS_[[Check Equiparado]:[Check Equiparado]]="Sí",IF(DATOS!BE$5="Sí",(1/DATOS_[[% anualiz]:[% anualiz]]),1)*IF(DATOS!BE$4="Sí",1/DATOS_[[% normaliz]:[% normaliz]],1)*(DATOS_[Conc.Sal.27])))))))),
0)</f>
        <v>0</v>
      </c>
      <c r="AK100" s="111">
        <f t="array" ref="AK100">IFERROR(
(MEDIAN((IF(DATOS_[[Sexo]:[Sexo]]=$B100,IF(DATOS_[[AGRUP. CLAS. PROF.]:[AGRUP. CLAS. PROF.]]=$B99,IF(DATOS_[[Check Periodo Ref.]:[Check Periodo Ref.]]="Dentro",IF(DATOS_[[Check Equiparado]:[Check Equiparado]]="Sí",IF(DATOS!BF$5="Sí",(1/DATOS_[[% anualiz]:[% anualiz]]),1)*IF(DATOS!BF$4="Sí",1/DATOS_[[% normaliz]:[% normaliz]],1)*(DATOS_[Conc.Sal.28])))))))),
0)</f>
        <v>0</v>
      </c>
      <c r="AL100" s="111">
        <f t="array" ref="AL100">IFERROR(
(MEDIAN((IF(DATOS_[[Sexo]:[Sexo]]=$B100,IF(DATOS_[[AGRUP. CLAS. PROF.]:[AGRUP. CLAS. PROF.]]=$B99,IF(DATOS_[[Check Periodo Ref.]:[Check Periodo Ref.]]="Dentro",IF(DATOS_[[Check Equiparado]:[Check Equiparado]]="Sí",IF(DATOS!BG$5="Sí",(1/DATOS_[[% anualiz]:[% anualiz]]),1)*IF(DATOS!BG$4="Sí",1/DATOS_[[% normaliz]:[% normaliz]],1)*(DATOS_[Conc.Sal.29])))))))),
0)</f>
        <v>0</v>
      </c>
      <c r="AM100" s="111">
        <f t="array" ref="AM100">IFERROR(
(MEDIAN((IF(DATOS_[[Sexo]:[Sexo]]=$B100,IF(DATOS_[[AGRUP. CLAS. PROF.]:[AGRUP. CLAS. PROF.]]=$B99,IF(DATOS_[[Check Periodo Ref.]:[Check Periodo Ref.]]="Dentro",IF(DATOS_[[Check Equiparado]:[Check Equiparado]]="Sí",IF(DATOS!BH$5="Sí",(1/DATOS_[[% anualiz]:[% anualiz]]),1)*IF(DATOS!BH$4="Sí",1/DATOS_[[% normaliz]:[% normaliz]],1)*(DATOS_[Conc.Sal.30])))))))),
0)</f>
        <v>0</v>
      </c>
      <c r="AN100" s="112">
        <f t="array" ref="AN100">IFERROR(
MEDIAN(IF(DATOS_[Sexo]=$B100,IF(DATOS_[[AGRUP. CLAS. PROF.]:[AGRUP. CLAS. PROF.]]=$B99,IF(DATOS_[Check Equiparado]="Sí",IF(DATOS_[Check Periodo Ref.]="Dentro",DATOS_[Tot COMPL.SAL Eq],FALSE))))),
0)</f>
        <v>0</v>
      </c>
      <c r="AO100" s="113">
        <f t="array" ref="AO100">IFERROR(
MEDIAN(IF(DATOS_[Sexo]=$B100,IF(DATOS_[[AGRUP. CLAS. PROF.]:[AGRUP. CLAS. PROF.]]=$B99,IF(DATOS_[Check Equiparado]="Sí",IF(DATOS_[Check Periodo Ref.]="Dentro",DATOS_[TOTAL SALARIO Eq],FALSE))))),
0)</f>
        <v>0</v>
      </c>
      <c r="AP100" s="114">
        <f t="array" ref="AP100">IFERROR(
(MEDIAN((IF(DATOS_[[Sexo]:[Sexo]]=$B100,IF(DATOS_[[AGRUP. CLAS. PROF.]:[AGRUP. CLAS. PROF.]]=$B99,IF(DATOS_[[Check Periodo Ref.]:[Check Periodo Ref.]]="Dentro",IF(DATOS_[[Check Equiparado]:[Check Equiparado]]="Sí",IF(DATOS!BI$5="Sí",(1/DATOS_[[% anualiz]:[% anualiz]]),1)*IF(DATOS!BI$4="Sí",1/DATOS_[[% normaliz]:[% normaliz]],1)*(DATOS_[C.Extra.01])))))))),
0)</f>
        <v>0</v>
      </c>
      <c r="AQ100" s="114">
        <f t="array" ref="AQ100">IFERROR(
(MEDIAN((IF(DATOS_[[Sexo]:[Sexo]]=$B100,IF(DATOS_[[AGRUP. CLAS. PROF.]:[AGRUP. CLAS. PROF.]]=$B99,IF(DATOS_[[Check Periodo Ref.]:[Check Periodo Ref.]]="Dentro",IF(DATOS_[[Check Equiparado]:[Check Equiparado]]="Sí",IF(DATOS!BJ$5="Sí",(1/DATOS_[[% anualiz]:[% anualiz]]),1)*IF(DATOS!BJ$4="Sí",1/DATOS_[[% normaliz]:[% normaliz]],1)*(DATOS_[C.Extra.02])))))))),
0)</f>
        <v>0</v>
      </c>
      <c r="AR100" s="114">
        <f t="array" ref="AR100">IFERROR(
(MEDIAN((IF(DATOS_[[Sexo]:[Sexo]]=$B100,IF(DATOS_[[AGRUP. CLAS. PROF.]:[AGRUP. CLAS. PROF.]]=$B99,IF(DATOS_[[Check Periodo Ref.]:[Check Periodo Ref.]]="Dentro",IF(DATOS_[[Check Equiparado]:[Check Equiparado]]="Sí",IF(DATOS!BK$5="Sí",(1/DATOS_[[% anualiz]:[% anualiz]]),1)*IF(DATOS!BK$4="Sí",1/DATOS_[[% normaliz]:[% normaliz]],1)*(DATOS_[C.Extra.03])))))))),
0)</f>
        <v>0</v>
      </c>
      <c r="AS100" s="114">
        <f t="array" ref="AS100">IFERROR(
(MEDIAN((IF(DATOS_[[Sexo]:[Sexo]]=$B100,IF(DATOS_[[AGRUP. CLAS. PROF.]:[AGRUP. CLAS. PROF.]]=$B99,IF(DATOS_[[Check Periodo Ref.]:[Check Periodo Ref.]]="Dentro",IF(DATOS_[[Check Equiparado]:[Check Equiparado]]="Sí",IF(DATOS!BL$5="Sí",(1/DATOS_[[% anualiz]:[% anualiz]]),1)*IF(DATOS!BL$4="Sí",1/DATOS_[[% normaliz]:[% normaliz]],1)*(DATOS_[C.Extra.04])))))))),
0)</f>
        <v>0</v>
      </c>
      <c r="AT100" s="114">
        <f t="array" ref="AT100">IFERROR(
(MEDIAN((IF(DATOS_[[Sexo]:[Sexo]]=$B100,IF(DATOS_[[AGRUP. CLAS. PROF.]:[AGRUP. CLAS. PROF.]]=$B99,IF(DATOS_[[Check Periodo Ref.]:[Check Periodo Ref.]]="Dentro",IF(DATOS_[[Check Equiparado]:[Check Equiparado]]="Sí",IF(DATOS!BM$5="Sí",(1/DATOS_[[% anualiz]:[% anualiz]]),1)*IF(DATOS!BM$4="Sí",1/DATOS_[[% normaliz]:[% normaliz]],1)*(DATOS_[C.Extra.05])))))))),
0)</f>
        <v>0</v>
      </c>
      <c r="AU100" s="115">
        <f t="array" ref="AU100">IFERROR(
MEDIAN(IF(DATOS_[Sexo]=$B100,IF(DATOS_[[AGRUP. CLAS. PROF.]:[AGRUP. CLAS. PROF.]]=$B99,IF(DATOS_[Check Equiparado]="Sí",IF(DATOS_[Check Periodo Ref.]="Dentro",DATOS_[Tot Extrasalarial Eq],FALSE))))),
0)</f>
        <v>0</v>
      </c>
      <c r="AV100" s="116">
        <f t="array" ref="AV100">IFERROR(
MEDIAN(IF(DATOS_[Sexo]=$B100,IF(DATOS_[[AGRUP. CLAS. PROF.]:[AGRUP. CLAS. PROF.]]=$B99,IF(DATOS_[Check Equiparado]="Sí",IF(DATOS_[Check Periodo Ref.]="Dentro",DATOS_[TOTAL Retrib Eq],FALSE))))),
0)</f>
        <v>0</v>
      </c>
    </row>
    <row r="101" spans="1:48" hidden="1" x14ac:dyDescent="0.3">
      <c r="A101" s="42" t="str">
        <f t="shared" ref="A101" si="118">+A100</f>
        <v>[ocultar]</v>
      </c>
      <c r="B101" s="86" t="s">
        <v>163</v>
      </c>
      <c r="C101" s="33">
        <f t="array" ref="C101">SUM(IF($B101=DATOS_[Sexo],
IF($B99=DATOS_[AGRUP. CLAS. PROF.],
IF("Dentro"=DATOS_[Check Periodo Ref.],
1/(COUNTIFS(DATOS_[Sexo],$B101,DATOS_[AGRUP. CLAS. PROF.],$B99,DATOS_[Check Periodo Ref.],"Dentro",DATOS_[id],DATOS_[id]))))))</f>
        <v>0</v>
      </c>
      <c r="D101" s="35">
        <f>COUNTIFS(DATOS_[AGRUP. CLAS. PROF.],$B99,DATOS_[Sexo],$B101,DATOS_[Check Periodo Ref.],"Dentro")</f>
        <v>0</v>
      </c>
      <c r="E101" s="35">
        <f>COUNTIFS(DATOS_[AGRUP. CLAS. PROF.],$B99,DATOS_[Sexo],$B101,DATOS_[Check Periodo Ref.],"Dentro",DATOS_[Check Nº SC Norm],"Sí")</f>
        <v>0</v>
      </c>
      <c r="F101" s="35">
        <f>COUNTIFS(DATOS_[AGRUP. CLAS. PROF.],$B99,DATOS_[Sexo],$B101,DATOS_[Check Periodo Ref.],"Dentro",DATOS_[Check Nº SC Anualiz],"Sí")</f>
        <v>0</v>
      </c>
      <c r="G101" s="35">
        <f>COUNTIFS(DATOS_[AGRUP. CLAS. PROF.],$B99,DATOS_[Sexo],$B101,DATOS_[Check Periodo Ref.],"Dentro",DATOS_[Check Nº SC Norm y Anualiz],"Sí")</f>
        <v>0</v>
      </c>
      <c r="H101" s="35">
        <f>COUNTIFS(DATOS_[AGRUP. CLAS. PROF.],$B99,DATOS_[Sexo],$B101,DATOS_[Check Periodo Ref.],"Dentro",DATOS_[Check Equiparación],"Sí")</f>
        <v>0</v>
      </c>
      <c r="I101" s="110" cm="1">
        <f t="array" ref="I101">IFERROR(
MEDIAN(IF(DATOS_[Sexo]=$B101,IF(DATOS_[[AGRUP. CLAS. PROF.]:[AGRUP. CLAS. PROF.]]=$B99,IF(DATOS_[Check Equiparado]="Sí",IF(DATOS_[Check Periodo Ref.]="Dentro",DATOS_[SALARIO BASE Eq],FALSE))))),
0)</f>
        <v>0</v>
      </c>
      <c r="J101" s="111">
        <f t="array" ref="J101">IFERROR(
(MEDIAN((IF(DATOS_[[Sexo]:[Sexo]]=$B101,IF(DATOS_[[AGRUP. CLAS. PROF.]:[AGRUP. CLAS. PROF.]]=$B99,IF(DATOS_[[Check Periodo Ref.]:[Check Periodo Ref.]]="Dentro",IF(DATOS_[[Check Equiparado]:[Check Equiparado]]="Sí",IF(DATOS!AE$5="Sí",(1/DATOS_[[% anualiz]:[% anualiz]]),1)*IF(DATOS!AE$4="Sí",1/DATOS_[[% normaliz]:[% normaliz]],1)*(DATOS_[Conc.Sal.01])))))))),
0)</f>
        <v>0</v>
      </c>
      <c r="K101" s="111">
        <f t="array" ref="K101">IFERROR(
(MEDIAN((IF(DATOS_[[Sexo]:[Sexo]]=$B101,IF(DATOS_[[AGRUP. CLAS. PROF.]:[AGRUP. CLAS. PROF.]]=$B99,IF(DATOS_[[Check Periodo Ref.]:[Check Periodo Ref.]]="Dentro",IF(DATOS_[[Check Equiparado]:[Check Equiparado]]="Sí",IF(DATOS!AF$5="Sí",(1/DATOS_[[% anualiz]:[% anualiz]]),1)*IF(DATOS!AF$4="Sí",1/DATOS_[[% normaliz]:[% normaliz]],1)*(DATOS_[Conc.Sal.02])))))))),
0)</f>
        <v>0</v>
      </c>
      <c r="L101" s="111">
        <f t="array" ref="L101">IFERROR(
(MEDIAN((IF(DATOS_[[Sexo]:[Sexo]]=$B101,IF(DATOS_[[AGRUP. CLAS. PROF.]:[AGRUP. CLAS. PROF.]]=$B99,IF(DATOS_[[Check Periodo Ref.]:[Check Periodo Ref.]]="Dentro",IF(DATOS_[[Check Equiparado]:[Check Equiparado]]="Sí",IF(DATOS!AG$5="Sí",(1/DATOS_[[% anualiz]:[% anualiz]]),1)*IF(DATOS!AG$4="Sí",1/DATOS_[[% normaliz]:[% normaliz]],1)*(DATOS_[Conc.Sal.03])))))))),
0)</f>
        <v>0</v>
      </c>
      <c r="M101" s="111">
        <f t="array" ref="M101">IFERROR(
(MEDIAN((IF(DATOS_[[Sexo]:[Sexo]]=$B101,IF(DATOS_[[AGRUP. CLAS. PROF.]:[AGRUP. CLAS. PROF.]]=$B99,IF(DATOS_[[Check Periodo Ref.]:[Check Periodo Ref.]]="Dentro",IF(DATOS_[[Check Equiparado]:[Check Equiparado]]="Sí",IF(DATOS!AH$5="Sí",(1/DATOS_[[% anualiz]:[% anualiz]]),1)*IF(DATOS!AH$4="Sí",1/DATOS_[[% normaliz]:[% normaliz]],1)*(DATOS_[Conc.Sal.04])))))))),
0)</f>
        <v>0</v>
      </c>
      <c r="N101" s="111">
        <f t="array" ref="N101">IFERROR(
(MEDIAN((IF(DATOS_[[Sexo]:[Sexo]]=$B101,IF(DATOS_[[AGRUP. CLAS. PROF.]:[AGRUP. CLAS. PROF.]]=$B99,IF(DATOS_[[Check Periodo Ref.]:[Check Periodo Ref.]]="Dentro",IF(DATOS_[[Check Equiparado]:[Check Equiparado]]="Sí",IF(DATOS!AI$5="Sí",(1/DATOS_[[% anualiz]:[% anualiz]]),1)*IF(DATOS!AI$4="Sí",1/DATOS_[[% normaliz]:[% normaliz]],1)*(DATOS_[Conc.Sal.05])))))))),
0)</f>
        <v>0</v>
      </c>
      <c r="O101" s="111">
        <f t="array" ref="O101">IFERROR(
(MEDIAN((IF(DATOS_[[Sexo]:[Sexo]]=$B101,IF(DATOS_[[AGRUP. CLAS. PROF.]:[AGRUP. CLAS. PROF.]]=$B99,IF(DATOS_[[Check Periodo Ref.]:[Check Periodo Ref.]]="Dentro",IF(DATOS_[[Check Equiparado]:[Check Equiparado]]="Sí",IF(DATOS!AJ$5="Sí",(1/DATOS_[[% anualiz]:[% anualiz]]),1)*IF(DATOS!AJ$4="Sí",1/DATOS_[[% normaliz]:[% normaliz]],1)*(DATOS_[Conc.Sal.06])))))))),
0)</f>
        <v>0</v>
      </c>
      <c r="P101" s="111">
        <f t="array" ref="P101">IFERROR(
(MEDIAN((IF(DATOS_[[Sexo]:[Sexo]]=$B101,IF(DATOS_[[AGRUP. CLAS. PROF.]:[AGRUP. CLAS. PROF.]]=$B99,IF(DATOS_[[Check Periodo Ref.]:[Check Periodo Ref.]]="Dentro",IF(DATOS_[[Check Equiparado]:[Check Equiparado]]="Sí",IF(DATOS!AK$5="Sí",(1/DATOS_[[% anualiz]:[% anualiz]]),1)*IF(DATOS!AK$4="Sí",1/DATOS_[[% normaliz]:[% normaliz]],1)*(DATOS_[Conc.Sal.07])))))))),
0)</f>
        <v>0</v>
      </c>
      <c r="Q101" s="111">
        <f t="array" ref="Q101">IFERROR(
(MEDIAN((IF(DATOS_[[Sexo]:[Sexo]]=$B101,IF(DATOS_[[AGRUP. CLAS. PROF.]:[AGRUP. CLAS. PROF.]]=$B99,IF(DATOS_[[Check Periodo Ref.]:[Check Periodo Ref.]]="Dentro",IF(DATOS_[[Check Equiparado]:[Check Equiparado]]="Sí",IF(DATOS!AL$5="Sí",(1/DATOS_[[% anualiz]:[% anualiz]]),1)*IF(DATOS!AL$4="Sí",1/DATOS_[[% normaliz]:[% normaliz]],1)*(DATOS_[Conc.Sal.08])))))))),
0)</f>
        <v>0</v>
      </c>
      <c r="R101" s="111">
        <f t="array" ref="R101">IFERROR(
(MEDIAN((IF(DATOS_[[Sexo]:[Sexo]]=$B101,IF(DATOS_[[AGRUP. CLAS. PROF.]:[AGRUP. CLAS. PROF.]]=$B99,IF(DATOS_[[Check Periodo Ref.]:[Check Periodo Ref.]]="Dentro",IF(DATOS_[[Check Equiparado]:[Check Equiparado]]="Sí",IF(DATOS!AM$5="Sí",(1/DATOS_[[% anualiz]:[% anualiz]]),1)*IF(DATOS!AM$4="Sí",1/DATOS_[[% normaliz]:[% normaliz]],1)*(DATOS_[Conc.Sal.09])))))))),
0)</f>
        <v>0</v>
      </c>
      <c r="S101" s="111">
        <f t="array" ref="S101">IFERROR(
(MEDIAN((IF(DATOS_[[Sexo]:[Sexo]]=$B101,IF(DATOS_[[AGRUP. CLAS. PROF.]:[AGRUP. CLAS. PROF.]]=$B99,IF(DATOS_[[Check Periodo Ref.]:[Check Periodo Ref.]]="Dentro",IF(DATOS_[[Check Equiparado]:[Check Equiparado]]="Sí",IF(DATOS!AN$5="Sí",(1/DATOS_[[% anualiz]:[% anualiz]]),1)*IF(DATOS!AN$4="Sí",1/DATOS_[[% normaliz]:[% normaliz]],1)*(DATOS_[Conc.Sal.10])))))))),
0)</f>
        <v>0</v>
      </c>
      <c r="T101" s="111">
        <f t="array" ref="T101">IFERROR(
(MEDIAN((IF(DATOS_[[Sexo]:[Sexo]]=$B101,IF(DATOS_[[AGRUP. CLAS. PROF.]:[AGRUP. CLAS. PROF.]]=$B99,IF(DATOS_[[Check Periodo Ref.]:[Check Periodo Ref.]]="Dentro",IF(DATOS_[[Check Equiparado]:[Check Equiparado]]="Sí",IF(DATOS!AO$5="Sí",(1/DATOS_[[% anualiz]:[% anualiz]]),1)*IF(DATOS!AO$4="Sí",1/DATOS_[[% normaliz]:[% normaliz]],1)*(DATOS_[Conc.Sal.11])))))))),
0)</f>
        <v>0</v>
      </c>
      <c r="U101" s="111">
        <f t="array" ref="U101">IFERROR(
(MEDIAN((IF(DATOS_[[Sexo]:[Sexo]]=$B101,IF(DATOS_[[AGRUP. CLAS. PROF.]:[AGRUP. CLAS. PROF.]]=$B99,IF(DATOS_[[Check Periodo Ref.]:[Check Periodo Ref.]]="Dentro",IF(DATOS_[[Check Equiparado]:[Check Equiparado]]="Sí",IF(DATOS!AP$5="Sí",(1/DATOS_[[% anualiz]:[% anualiz]]),1)*IF(DATOS!AP$4="Sí",1/DATOS_[[% normaliz]:[% normaliz]],1)*(DATOS_[Conc.Sal.12])))))))),
0)</f>
        <v>0</v>
      </c>
      <c r="V101" s="111">
        <f t="array" ref="V101">IFERROR(
(MEDIAN((IF(DATOS_[[Sexo]:[Sexo]]=$B101,IF(DATOS_[[AGRUP. CLAS. PROF.]:[AGRUP. CLAS. PROF.]]=$B99,IF(DATOS_[[Check Periodo Ref.]:[Check Periodo Ref.]]="Dentro",IF(DATOS_[[Check Equiparado]:[Check Equiparado]]="Sí",IF(DATOS!AQ$5="Sí",(1/DATOS_[[% anualiz]:[% anualiz]]),1)*IF(DATOS!AQ$4="Sí",1/DATOS_[[% normaliz]:[% normaliz]],1)*(DATOS_[Conc.Sal.13])))))))),
0)</f>
        <v>0</v>
      </c>
      <c r="W101" s="111">
        <f t="array" ref="W101">IFERROR(
(MEDIAN((IF(DATOS_[[Sexo]:[Sexo]]=$B101,IF(DATOS_[[AGRUP. CLAS. PROF.]:[AGRUP. CLAS. PROF.]]=$B99,IF(DATOS_[[Check Periodo Ref.]:[Check Periodo Ref.]]="Dentro",IF(DATOS_[[Check Equiparado]:[Check Equiparado]]="Sí",IF(DATOS!AR$5="Sí",(1/DATOS_[[% anualiz]:[% anualiz]]),1)*IF(DATOS!AR$4="Sí",1/DATOS_[[% normaliz]:[% normaliz]],1)*(DATOS_[Conc.Sal.14])))))))),
0)</f>
        <v>0</v>
      </c>
      <c r="X101" s="111">
        <f t="array" ref="X101">IFERROR(
(MEDIAN((IF(DATOS_[[Sexo]:[Sexo]]=$B101,IF(DATOS_[[AGRUP. CLAS. PROF.]:[AGRUP. CLAS. PROF.]]=$B99,IF(DATOS_[[Check Periodo Ref.]:[Check Periodo Ref.]]="Dentro",IF(DATOS_[[Check Equiparado]:[Check Equiparado]]="Sí",IF(DATOS!AS$5="Sí",(1/DATOS_[[% anualiz]:[% anualiz]]),1)*IF(DATOS!AS$4="Sí",1/DATOS_[[% normaliz]:[% normaliz]],1)*(DATOS_[Conc.Sal.15])))))))),
0)</f>
        <v>0</v>
      </c>
      <c r="Y101" s="111">
        <f t="array" ref="Y101">IFERROR(
(MEDIAN((IF(DATOS_[[Sexo]:[Sexo]]=$B101,IF(DATOS_[[AGRUP. CLAS. PROF.]:[AGRUP. CLAS. PROF.]]=$B99,IF(DATOS_[[Check Periodo Ref.]:[Check Periodo Ref.]]="Dentro",IF(DATOS_[[Check Equiparado]:[Check Equiparado]]="Sí",IF(DATOS!AT$5="Sí",(1/DATOS_[[% anualiz]:[% anualiz]]),1)*IF(DATOS!AT$4="Sí",1/DATOS_[[% normaliz]:[% normaliz]],1)*(DATOS_[Conc.Sal.16])))))))),
0)</f>
        <v>0</v>
      </c>
      <c r="Z101" s="111">
        <f t="array" ref="Z101">IFERROR(
(MEDIAN((IF(DATOS_[[Sexo]:[Sexo]]=$B101,IF(DATOS_[[AGRUP. CLAS. PROF.]:[AGRUP. CLAS. PROF.]]=$B99,IF(DATOS_[[Check Periodo Ref.]:[Check Periodo Ref.]]="Dentro",IF(DATOS_[[Check Equiparado]:[Check Equiparado]]="Sí",IF(DATOS!AU$5="Sí",(1/DATOS_[[% anualiz]:[% anualiz]]),1)*IF(DATOS!AU$4="Sí",1/DATOS_[[% normaliz]:[% normaliz]],1)*(DATOS_[Conc.Sal.17])))))))),
0)</f>
        <v>0</v>
      </c>
      <c r="AA101" s="111">
        <f t="array" ref="AA101">IFERROR(
(MEDIAN((IF(DATOS_[[Sexo]:[Sexo]]=$B101,IF(DATOS_[[AGRUP. CLAS. PROF.]:[AGRUP. CLAS. PROF.]]=$B99,IF(DATOS_[[Check Periodo Ref.]:[Check Periodo Ref.]]="Dentro",IF(DATOS_[[Check Equiparado]:[Check Equiparado]]="Sí",IF(DATOS!AV$5="Sí",(1/DATOS_[[% anualiz]:[% anualiz]]),1)*IF(DATOS!AV$4="Sí",1/DATOS_[[% normaliz]:[% normaliz]],1)*(DATOS_[Conc.Sal.18])))))))),
0)</f>
        <v>0</v>
      </c>
      <c r="AB101" s="111">
        <f t="array" ref="AB101">IFERROR(
(MEDIAN((IF(DATOS_[[Sexo]:[Sexo]]=$B101,IF(DATOS_[[AGRUP. CLAS. PROF.]:[AGRUP. CLAS. PROF.]]=$B99,IF(DATOS_[[Check Periodo Ref.]:[Check Periodo Ref.]]="Dentro",IF(DATOS_[[Check Equiparado]:[Check Equiparado]]="Sí",IF(DATOS!AW$5="Sí",(1/DATOS_[[% anualiz]:[% anualiz]]),1)*IF(DATOS!AW$4="Sí",1/DATOS_[[% normaliz]:[% normaliz]],1)*(DATOS_[Conc.Sal.19])))))))),
0)</f>
        <v>0</v>
      </c>
      <c r="AC101" s="111">
        <f t="array" ref="AC101">IFERROR(
(MEDIAN((IF(DATOS_[[Sexo]:[Sexo]]=$B101,IF(DATOS_[[AGRUP. CLAS. PROF.]:[AGRUP. CLAS. PROF.]]=$B99,IF(DATOS_[[Check Periodo Ref.]:[Check Periodo Ref.]]="Dentro",IF(DATOS_[[Check Equiparado]:[Check Equiparado]]="Sí",IF(DATOS!AX$5="Sí",(1/DATOS_[[% anualiz]:[% anualiz]]),1)*IF(DATOS!AX$4="Sí",1/DATOS_[[% normaliz]:[% normaliz]],1)*(DATOS_[Conc.Sal.20])))))))),
0)</f>
        <v>0</v>
      </c>
      <c r="AD101" s="111">
        <f t="array" ref="AD101">IFERROR(
(MEDIAN((IF(DATOS_[[Sexo]:[Sexo]]=$B101,IF(DATOS_[[AGRUP. CLAS. PROF.]:[AGRUP. CLAS. PROF.]]=$B99,IF(DATOS_[[Check Periodo Ref.]:[Check Periodo Ref.]]="Dentro",IF(DATOS_[[Check Equiparado]:[Check Equiparado]]="Sí",IF(DATOS!AY$5="Sí",(1/DATOS_[[% anualiz]:[% anualiz]]),1)*IF(DATOS!AY$4="Sí",1/DATOS_[[% normaliz]:[% normaliz]],1)*(DATOS_[Conc.Sal.21])))))))),
0)</f>
        <v>0</v>
      </c>
      <c r="AE101" s="111">
        <f t="array" ref="AE101">IFERROR(
(MEDIAN((IF(DATOS_[[Sexo]:[Sexo]]=$B101,IF(DATOS_[[AGRUP. CLAS. PROF.]:[AGRUP. CLAS. PROF.]]=$B99,IF(DATOS_[[Check Periodo Ref.]:[Check Periodo Ref.]]="Dentro",IF(DATOS_[[Check Equiparado]:[Check Equiparado]]="Sí",IF(DATOS!AZ$5="Sí",(1/DATOS_[[% anualiz]:[% anualiz]]),1)*IF(DATOS!AZ$4="Sí",1/DATOS_[[% normaliz]:[% normaliz]],1)*(DATOS_[Conc.Sal.22])))))))),
0)</f>
        <v>0</v>
      </c>
      <c r="AF101" s="111">
        <f t="array" ref="AF101">IFERROR(
(MEDIAN((IF(DATOS_[[Sexo]:[Sexo]]=$B101,IF(DATOS_[[AGRUP. CLAS. PROF.]:[AGRUP. CLAS. PROF.]]=$B99,IF(DATOS_[[Check Periodo Ref.]:[Check Periodo Ref.]]="Dentro",IF(DATOS_[[Check Equiparado]:[Check Equiparado]]="Sí",IF(DATOS!BA$5="Sí",(1/DATOS_[[% anualiz]:[% anualiz]]),1)*IF(DATOS!BA$4="Sí",1/DATOS_[[% normaliz]:[% normaliz]],1)*(DATOS_[Conc.Sal.23])))))))),
0)</f>
        <v>0</v>
      </c>
      <c r="AG101" s="111">
        <f t="array" ref="AG101">IFERROR(
(MEDIAN((IF(DATOS_[[Sexo]:[Sexo]]=$B101,IF(DATOS_[[AGRUP. CLAS. PROF.]:[AGRUP. CLAS. PROF.]]=$B99,IF(DATOS_[[Check Periodo Ref.]:[Check Periodo Ref.]]="Dentro",IF(DATOS_[[Check Equiparado]:[Check Equiparado]]="Sí",IF(DATOS!BB$5="Sí",(1/DATOS_[[% anualiz]:[% anualiz]]),1)*IF(DATOS!BB$4="Sí",1/DATOS_[[% normaliz]:[% normaliz]],1)*(DATOS_[Conc.Sal.24])))))))),
0)</f>
        <v>0</v>
      </c>
      <c r="AH101" s="111">
        <f t="array" ref="AH101">IFERROR(
(MEDIAN((IF(DATOS_[[Sexo]:[Sexo]]=$B101,IF(DATOS_[[AGRUP. CLAS. PROF.]:[AGRUP. CLAS. PROF.]]=$B99,IF(DATOS_[[Check Periodo Ref.]:[Check Periodo Ref.]]="Dentro",IF(DATOS_[[Check Equiparado]:[Check Equiparado]]="Sí",IF(DATOS!BC$5="Sí",(1/DATOS_[[% anualiz]:[% anualiz]]),1)*IF(DATOS!BC$4="Sí",1/DATOS_[[% normaliz]:[% normaliz]],1)*(DATOS_[Conc.Sal.25])))))))),
0)</f>
        <v>0</v>
      </c>
      <c r="AI101" s="111">
        <f t="array" ref="AI101">IFERROR(
(MEDIAN((IF(DATOS_[[Sexo]:[Sexo]]=$B101,IF(DATOS_[[AGRUP. CLAS. PROF.]:[AGRUP. CLAS. PROF.]]=$B99,IF(DATOS_[[Check Periodo Ref.]:[Check Periodo Ref.]]="Dentro",IF(DATOS_[[Check Equiparado]:[Check Equiparado]]="Sí",IF(DATOS!BD$5="Sí",(1/DATOS_[[% anualiz]:[% anualiz]]),1)*IF(DATOS!BD$4="Sí",1/DATOS_[[% normaliz]:[% normaliz]],1)*(DATOS_[Conc.Sal.26])))))))),
0)</f>
        <v>0</v>
      </c>
      <c r="AJ101" s="111">
        <f t="array" ref="AJ101">IFERROR(
(MEDIAN((IF(DATOS_[[Sexo]:[Sexo]]=$B101,IF(DATOS_[[AGRUP. CLAS. PROF.]:[AGRUP. CLAS. PROF.]]=$B99,IF(DATOS_[[Check Periodo Ref.]:[Check Periodo Ref.]]="Dentro",IF(DATOS_[[Check Equiparado]:[Check Equiparado]]="Sí",IF(DATOS!BE$5="Sí",(1/DATOS_[[% anualiz]:[% anualiz]]),1)*IF(DATOS!BE$4="Sí",1/DATOS_[[% normaliz]:[% normaliz]],1)*(DATOS_[Conc.Sal.27])))))))),
0)</f>
        <v>0</v>
      </c>
      <c r="AK101" s="111">
        <f t="array" ref="AK101">IFERROR(
(MEDIAN((IF(DATOS_[[Sexo]:[Sexo]]=$B101,IF(DATOS_[[AGRUP. CLAS. PROF.]:[AGRUP. CLAS. PROF.]]=$B99,IF(DATOS_[[Check Periodo Ref.]:[Check Periodo Ref.]]="Dentro",IF(DATOS_[[Check Equiparado]:[Check Equiparado]]="Sí",IF(DATOS!BF$5="Sí",(1/DATOS_[[% anualiz]:[% anualiz]]),1)*IF(DATOS!BF$4="Sí",1/DATOS_[[% normaliz]:[% normaliz]],1)*(DATOS_[Conc.Sal.28])))))))),
0)</f>
        <v>0</v>
      </c>
      <c r="AL101" s="111">
        <f t="array" ref="AL101">IFERROR(
(MEDIAN((IF(DATOS_[[Sexo]:[Sexo]]=$B101,IF(DATOS_[[AGRUP. CLAS. PROF.]:[AGRUP. CLAS. PROF.]]=$B99,IF(DATOS_[[Check Periodo Ref.]:[Check Periodo Ref.]]="Dentro",IF(DATOS_[[Check Equiparado]:[Check Equiparado]]="Sí",IF(DATOS!BG$5="Sí",(1/DATOS_[[% anualiz]:[% anualiz]]),1)*IF(DATOS!BG$4="Sí",1/DATOS_[[% normaliz]:[% normaliz]],1)*(DATOS_[Conc.Sal.29])))))))),
0)</f>
        <v>0</v>
      </c>
      <c r="AM101" s="111">
        <f t="array" ref="AM101">IFERROR(
(MEDIAN((IF(DATOS_[[Sexo]:[Sexo]]=$B101,IF(DATOS_[[AGRUP. CLAS. PROF.]:[AGRUP. CLAS. PROF.]]=$B99,IF(DATOS_[[Check Periodo Ref.]:[Check Periodo Ref.]]="Dentro",IF(DATOS_[[Check Equiparado]:[Check Equiparado]]="Sí",IF(DATOS!BH$5="Sí",(1/DATOS_[[% anualiz]:[% anualiz]]),1)*IF(DATOS!BH$4="Sí",1/DATOS_[[% normaliz]:[% normaliz]],1)*(DATOS_[Conc.Sal.30])))))))),
0)</f>
        <v>0</v>
      </c>
      <c r="AN101" s="112">
        <f t="array" ref="AN101">IFERROR(
MEDIAN(IF(DATOS_[Sexo]=$B101,IF(DATOS_[[AGRUP. CLAS. PROF.]:[AGRUP. CLAS. PROF.]]=$B99,IF(DATOS_[Check Equiparado]="Sí",IF(DATOS_[Check Periodo Ref.]="Dentro",DATOS_[Tot COMPL.SAL Eq],FALSE))))),
0)</f>
        <v>0</v>
      </c>
      <c r="AO101" s="113">
        <f t="array" ref="AO101">IFERROR(
MEDIAN(IF(DATOS_[Sexo]=$B101,IF(DATOS_[[AGRUP. CLAS. PROF.]:[AGRUP. CLAS. PROF.]]=$B99,IF(DATOS_[Check Equiparado]="Sí",IF(DATOS_[Check Periodo Ref.]="Dentro",DATOS_[TOTAL SALARIO Eq],FALSE))))),
0)</f>
        <v>0</v>
      </c>
      <c r="AP101" s="114">
        <f t="array" ref="AP101">IFERROR(
(MEDIAN((IF(DATOS_[[Sexo]:[Sexo]]=$B101,IF(DATOS_[[AGRUP. CLAS. PROF.]:[AGRUP. CLAS. PROF.]]=$B99,IF(DATOS_[[Check Periodo Ref.]:[Check Periodo Ref.]]="Dentro",IF(DATOS_[[Check Equiparado]:[Check Equiparado]]="Sí",IF(DATOS!BI$5="Sí",(1/DATOS_[[% anualiz]:[% anualiz]]),1)*IF(DATOS!BI$4="Sí",1/DATOS_[[% normaliz]:[% normaliz]],1)*(DATOS_[C.Extra.01])))))))),
0)</f>
        <v>0</v>
      </c>
      <c r="AQ101" s="114">
        <f t="array" ref="AQ101">IFERROR(
(MEDIAN((IF(DATOS_[[Sexo]:[Sexo]]=$B101,IF(DATOS_[[AGRUP. CLAS. PROF.]:[AGRUP. CLAS. PROF.]]=$B99,IF(DATOS_[[Check Periodo Ref.]:[Check Periodo Ref.]]="Dentro",IF(DATOS_[[Check Equiparado]:[Check Equiparado]]="Sí",IF(DATOS!BJ$5="Sí",(1/DATOS_[[% anualiz]:[% anualiz]]),1)*IF(DATOS!BJ$4="Sí",1/DATOS_[[% normaliz]:[% normaliz]],1)*(DATOS_[C.Extra.02])))))))),
0)</f>
        <v>0</v>
      </c>
      <c r="AR101" s="114">
        <f t="array" ref="AR101">IFERROR(
(MEDIAN((IF(DATOS_[[Sexo]:[Sexo]]=$B101,IF(DATOS_[[AGRUP. CLAS. PROF.]:[AGRUP. CLAS. PROF.]]=$B99,IF(DATOS_[[Check Periodo Ref.]:[Check Periodo Ref.]]="Dentro",IF(DATOS_[[Check Equiparado]:[Check Equiparado]]="Sí",IF(DATOS!BK$5="Sí",(1/DATOS_[[% anualiz]:[% anualiz]]),1)*IF(DATOS!BK$4="Sí",1/DATOS_[[% normaliz]:[% normaliz]],1)*(DATOS_[C.Extra.03])))))))),
0)</f>
        <v>0</v>
      </c>
      <c r="AS101" s="114">
        <f t="array" ref="AS101">IFERROR(
(MEDIAN((IF(DATOS_[[Sexo]:[Sexo]]=$B101,IF(DATOS_[[AGRUP. CLAS. PROF.]:[AGRUP. CLAS. PROF.]]=$B99,IF(DATOS_[[Check Periodo Ref.]:[Check Periodo Ref.]]="Dentro",IF(DATOS_[[Check Equiparado]:[Check Equiparado]]="Sí",IF(DATOS!BL$5="Sí",(1/DATOS_[[% anualiz]:[% anualiz]]),1)*IF(DATOS!BL$4="Sí",1/DATOS_[[% normaliz]:[% normaliz]],1)*(DATOS_[C.Extra.04])))))))),
0)</f>
        <v>0</v>
      </c>
      <c r="AT101" s="114">
        <f t="array" ref="AT101">IFERROR(
(MEDIAN((IF(DATOS_[[Sexo]:[Sexo]]=$B101,IF(DATOS_[[AGRUP. CLAS. PROF.]:[AGRUP. CLAS. PROF.]]=$B99,IF(DATOS_[[Check Periodo Ref.]:[Check Periodo Ref.]]="Dentro",IF(DATOS_[[Check Equiparado]:[Check Equiparado]]="Sí",IF(DATOS!BM$5="Sí",(1/DATOS_[[% anualiz]:[% anualiz]]),1)*IF(DATOS!BM$4="Sí",1/DATOS_[[% normaliz]:[% normaliz]],1)*(DATOS_[C.Extra.05])))))))),
0)</f>
        <v>0</v>
      </c>
      <c r="AU101" s="115">
        <f t="array" ref="AU101">IFERROR(
MEDIAN(IF(DATOS_[Sexo]=$B101,IF(DATOS_[[AGRUP. CLAS. PROF.]:[AGRUP. CLAS. PROF.]]=$B99,IF(DATOS_[Check Equiparado]="Sí",IF(DATOS_[Check Periodo Ref.]="Dentro",DATOS_[Tot Extrasalarial Eq],FALSE))))),
0)</f>
        <v>0</v>
      </c>
      <c r="AV101" s="116">
        <f t="array" ref="AV101">IFERROR(
MEDIAN(IF(DATOS_[Sexo]=$B101,IF(DATOS_[[AGRUP. CLAS. PROF.]:[AGRUP. CLAS. PROF.]]=$B99,IF(DATOS_[Check Equiparado]="Sí",IF(DATOS_[Check Periodo Ref.]="Dentro",DATOS_[TOTAL Retrib Eq],FALSE))))),
0)</f>
        <v>0</v>
      </c>
    </row>
    <row r="102" spans="1:48" ht="17.25" hidden="1" thickBot="1" x14ac:dyDescent="0.35">
      <c r="A102" s="42" t="str">
        <f t="shared" ref="A102" si="119">+A103</f>
        <v>[ocultar]</v>
      </c>
      <c r="B102" s="90" t="s">
        <v>246</v>
      </c>
      <c r="C102" s="109"/>
      <c r="D102" s="41"/>
      <c r="E102" s="41"/>
      <c r="F102" s="41"/>
      <c r="G102" s="41"/>
      <c r="H102" s="41"/>
      <c r="I102" s="119" t="str">
        <f t="shared" ref="I102:AV102" si="120">IFERROR((I103-I104)/I103,"")</f>
        <v/>
      </c>
      <c r="J102" s="123" t="str">
        <f t="shared" si="120"/>
        <v/>
      </c>
      <c r="K102" s="123" t="str">
        <f t="shared" si="120"/>
        <v/>
      </c>
      <c r="L102" s="123" t="str">
        <f t="shared" si="120"/>
        <v/>
      </c>
      <c r="M102" s="123" t="str">
        <f t="shared" si="120"/>
        <v/>
      </c>
      <c r="N102" s="123" t="str">
        <f t="shared" si="120"/>
        <v/>
      </c>
      <c r="O102" s="123" t="str">
        <f t="shared" si="120"/>
        <v/>
      </c>
      <c r="P102" s="123" t="str">
        <f t="shared" si="120"/>
        <v/>
      </c>
      <c r="Q102" s="123" t="str">
        <f t="shared" si="120"/>
        <v/>
      </c>
      <c r="R102" s="123" t="str">
        <f t="shared" si="120"/>
        <v/>
      </c>
      <c r="S102" s="123" t="str">
        <f t="shared" si="120"/>
        <v/>
      </c>
      <c r="T102" s="123" t="str">
        <f t="shared" si="120"/>
        <v/>
      </c>
      <c r="U102" s="123" t="str">
        <f t="shared" si="120"/>
        <v/>
      </c>
      <c r="V102" s="123" t="str">
        <f t="shared" si="120"/>
        <v/>
      </c>
      <c r="W102" s="123" t="str">
        <f t="shared" si="120"/>
        <v/>
      </c>
      <c r="X102" s="123" t="str">
        <f t="shared" si="120"/>
        <v/>
      </c>
      <c r="Y102" s="123" t="str">
        <f t="shared" si="120"/>
        <v/>
      </c>
      <c r="Z102" s="122" t="str">
        <f t="shared" si="120"/>
        <v/>
      </c>
      <c r="AA102" s="122" t="str">
        <f t="shared" si="120"/>
        <v/>
      </c>
      <c r="AB102" s="122" t="str">
        <f t="shared" si="120"/>
        <v/>
      </c>
      <c r="AC102" s="122" t="str">
        <f t="shared" si="120"/>
        <v/>
      </c>
      <c r="AD102" s="122" t="str">
        <f t="shared" si="120"/>
        <v/>
      </c>
      <c r="AE102" s="122" t="str">
        <f t="shared" si="120"/>
        <v/>
      </c>
      <c r="AF102" s="122" t="str">
        <f t="shared" si="120"/>
        <v/>
      </c>
      <c r="AG102" s="122" t="str">
        <f t="shared" si="120"/>
        <v/>
      </c>
      <c r="AH102" s="122" t="str">
        <f t="shared" si="120"/>
        <v/>
      </c>
      <c r="AI102" s="122" t="str">
        <f t="shared" si="120"/>
        <v/>
      </c>
      <c r="AJ102" s="122" t="str">
        <f t="shared" si="120"/>
        <v/>
      </c>
      <c r="AK102" s="122" t="str">
        <f t="shared" si="120"/>
        <v/>
      </c>
      <c r="AL102" s="122" t="str">
        <f t="shared" si="120"/>
        <v/>
      </c>
      <c r="AM102" s="122" t="str">
        <f t="shared" si="120"/>
        <v/>
      </c>
      <c r="AN102" s="124" t="str">
        <f t="shared" si="120"/>
        <v/>
      </c>
      <c r="AO102" s="128" t="str">
        <f t="shared" si="120"/>
        <v/>
      </c>
      <c r="AP102" s="125" t="str">
        <f t="shared" si="120"/>
        <v/>
      </c>
      <c r="AQ102" s="125" t="str">
        <f t="shared" si="120"/>
        <v/>
      </c>
      <c r="AR102" s="125" t="str">
        <f t="shared" si="120"/>
        <v/>
      </c>
      <c r="AS102" s="125" t="str">
        <f t="shared" si="120"/>
        <v/>
      </c>
      <c r="AT102" s="125" t="str">
        <f t="shared" si="120"/>
        <v/>
      </c>
      <c r="AU102" s="126" t="str">
        <f t="shared" si="120"/>
        <v/>
      </c>
      <c r="AV102" s="127" t="str">
        <f t="shared" si="120"/>
        <v/>
      </c>
    </row>
    <row r="103" spans="1:48" hidden="1" x14ac:dyDescent="0.3">
      <c r="A103" s="42" t="str">
        <f t="shared" ref="A103" si="121">+IF(C103+C104=0,"[ocultar]","")</f>
        <v>[ocultar]</v>
      </c>
      <c r="B103" s="86" t="s">
        <v>162</v>
      </c>
      <c r="C103" s="33">
        <f t="array" ref="C103">SUM(IF($B103=DATOS_[Sexo],
IF($B102=DATOS_[AGRUP. CLAS. PROF.],
IF("Dentro"=DATOS_[Check Periodo Ref.],
1/(COUNTIFS(DATOS_[Sexo],$B103,DATOS_[AGRUP. CLAS. PROF.],$B102,DATOS_[Check Periodo Ref.],"Dentro",DATOS_[id],DATOS_[id]))))))</f>
        <v>0</v>
      </c>
      <c r="D103" s="35">
        <f>COUNTIFS(DATOS_[AGRUP. CLAS. PROF.],$B102,DATOS_[Sexo],$B103,DATOS_[Check Periodo Ref.],"Dentro")</f>
        <v>0</v>
      </c>
      <c r="E103" s="35">
        <f>COUNTIFS(DATOS_[AGRUP. CLAS. PROF.],$B102,DATOS_[Sexo],$B103,DATOS_[Check Periodo Ref.],"Dentro",DATOS_[Check Nº SC Norm],"Sí")</f>
        <v>0</v>
      </c>
      <c r="F103" s="35">
        <f>COUNTIFS(DATOS_[AGRUP. CLAS. PROF.],$B102,DATOS_[Sexo],$B103,DATOS_[Check Periodo Ref.],"Dentro",DATOS_[Check Nº SC Anualiz],"Sí")</f>
        <v>0</v>
      </c>
      <c r="G103" s="35">
        <f>COUNTIFS(DATOS_[AGRUP. CLAS. PROF.],$B102,DATOS_[Sexo],$B103,DATOS_[Check Periodo Ref.],"Dentro",DATOS_[Check Nº SC Norm y Anualiz],"Sí")</f>
        <v>0</v>
      </c>
      <c r="H103" s="35">
        <f>COUNTIFS(DATOS_[AGRUP. CLAS. PROF.],$B102,DATOS_[Sexo],$B103,DATOS_[Check Periodo Ref.],"Dentro",DATOS_[Check Equiparación],"Sí")</f>
        <v>0</v>
      </c>
      <c r="I103" s="110">
        <f t="array" ref="I103">IFERROR(
MEDIAN(IF(DATOS_[Sexo]=$B103,IF(DATOS_[[AGRUP. CLAS. PROF.]:[AGRUP. CLAS. PROF.]]=$B102,IF(DATOS_[Check Equiparado]="Sí",IF(DATOS_[Check Periodo Ref.]="Dentro",DATOS_[SALARIO BASE Eq],FALSE))))),
0)</f>
        <v>0</v>
      </c>
      <c r="J103" s="111">
        <f t="array" ref="J103">IFERROR(
(MEDIAN((IF(DATOS_[[Sexo]:[Sexo]]=$B103,IF(DATOS_[[AGRUP. CLAS. PROF.]:[AGRUP. CLAS. PROF.]]=$B102,IF(DATOS_[[Check Periodo Ref.]:[Check Periodo Ref.]]="Dentro",IF(DATOS_[[Check Equiparado]:[Check Equiparado]]="Sí",IF(DATOS!AE$5="Sí",(1/DATOS_[[% anualiz]:[% anualiz]]),1)*IF(DATOS!AE$4="Sí",1/DATOS_[[% normaliz]:[% normaliz]],1)*(DATOS_[Conc.Sal.01])))))))),
0)</f>
        <v>0</v>
      </c>
      <c r="K103" s="111">
        <f t="array" ref="K103">IFERROR(
(MEDIAN((IF(DATOS_[[Sexo]:[Sexo]]=$B103,IF(DATOS_[[AGRUP. CLAS. PROF.]:[AGRUP. CLAS. PROF.]]=$B102,IF(DATOS_[[Check Periodo Ref.]:[Check Periodo Ref.]]="Dentro",IF(DATOS_[[Check Equiparado]:[Check Equiparado]]="Sí",IF(DATOS!AF$5="Sí",(1/DATOS_[[% anualiz]:[% anualiz]]),1)*IF(DATOS!AF$4="Sí",1/DATOS_[[% normaliz]:[% normaliz]],1)*(DATOS_[Conc.Sal.02])))))))),
0)</f>
        <v>0</v>
      </c>
      <c r="L103" s="111">
        <f t="array" ref="L103">IFERROR(
(MEDIAN((IF(DATOS_[[Sexo]:[Sexo]]=$B103,IF(DATOS_[[AGRUP. CLAS. PROF.]:[AGRUP. CLAS. PROF.]]=$B102,IF(DATOS_[[Check Periodo Ref.]:[Check Periodo Ref.]]="Dentro",IF(DATOS_[[Check Equiparado]:[Check Equiparado]]="Sí",IF(DATOS!AG$5="Sí",(1/DATOS_[[% anualiz]:[% anualiz]]),1)*IF(DATOS!AG$4="Sí",1/DATOS_[[% normaliz]:[% normaliz]],1)*(DATOS_[Conc.Sal.03])))))))),
0)</f>
        <v>0</v>
      </c>
      <c r="M103" s="111">
        <f t="array" ref="M103">IFERROR(
(MEDIAN((IF(DATOS_[[Sexo]:[Sexo]]=$B103,IF(DATOS_[[AGRUP. CLAS. PROF.]:[AGRUP. CLAS. PROF.]]=$B102,IF(DATOS_[[Check Periodo Ref.]:[Check Periodo Ref.]]="Dentro",IF(DATOS_[[Check Equiparado]:[Check Equiparado]]="Sí",IF(DATOS!AH$5="Sí",(1/DATOS_[[% anualiz]:[% anualiz]]),1)*IF(DATOS!AH$4="Sí",1/DATOS_[[% normaliz]:[% normaliz]],1)*(DATOS_[Conc.Sal.04])))))))),
0)</f>
        <v>0</v>
      </c>
      <c r="N103" s="111">
        <f t="array" ref="N103">IFERROR(
(MEDIAN((IF(DATOS_[[Sexo]:[Sexo]]=$B103,IF(DATOS_[[AGRUP. CLAS. PROF.]:[AGRUP. CLAS. PROF.]]=$B102,IF(DATOS_[[Check Periodo Ref.]:[Check Periodo Ref.]]="Dentro",IF(DATOS_[[Check Equiparado]:[Check Equiparado]]="Sí",IF(DATOS!AI$5="Sí",(1/DATOS_[[% anualiz]:[% anualiz]]),1)*IF(DATOS!AI$4="Sí",1/DATOS_[[% normaliz]:[% normaliz]],1)*(DATOS_[Conc.Sal.05])))))))),
0)</f>
        <v>0</v>
      </c>
      <c r="O103" s="111">
        <f t="array" ref="O103">IFERROR(
(MEDIAN((IF(DATOS_[[Sexo]:[Sexo]]=$B103,IF(DATOS_[[AGRUP. CLAS. PROF.]:[AGRUP. CLAS. PROF.]]=$B102,IF(DATOS_[[Check Periodo Ref.]:[Check Periodo Ref.]]="Dentro",IF(DATOS_[[Check Equiparado]:[Check Equiparado]]="Sí",IF(DATOS!AJ$5="Sí",(1/DATOS_[[% anualiz]:[% anualiz]]),1)*IF(DATOS!AJ$4="Sí",1/DATOS_[[% normaliz]:[% normaliz]],1)*(DATOS_[Conc.Sal.06])))))))),
0)</f>
        <v>0</v>
      </c>
      <c r="P103" s="111">
        <f t="array" ref="P103">IFERROR(
(MEDIAN((IF(DATOS_[[Sexo]:[Sexo]]=$B103,IF(DATOS_[[AGRUP. CLAS. PROF.]:[AGRUP. CLAS. PROF.]]=$B102,IF(DATOS_[[Check Periodo Ref.]:[Check Periodo Ref.]]="Dentro",IF(DATOS_[[Check Equiparado]:[Check Equiparado]]="Sí",IF(DATOS!AK$5="Sí",(1/DATOS_[[% anualiz]:[% anualiz]]),1)*IF(DATOS!AK$4="Sí",1/DATOS_[[% normaliz]:[% normaliz]],1)*(DATOS_[Conc.Sal.07])))))))),
0)</f>
        <v>0</v>
      </c>
      <c r="Q103" s="111">
        <f t="array" ref="Q103">IFERROR(
(MEDIAN((IF(DATOS_[[Sexo]:[Sexo]]=$B103,IF(DATOS_[[AGRUP. CLAS. PROF.]:[AGRUP. CLAS. PROF.]]=$B102,IF(DATOS_[[Check Periodo Ref.]:[Check Periodo Ref.]]="Dentro",IF(DATOS_[[Check Equiparado]:[Check Equiparado]]="Sí",IF(DATOS!AL$5="Sí",(1/DATOS_[[% anualiz]:[% anualiz]]),1)*IF(DATOS!AL$4="Sí",1/DATOS_[[% normaliz]:[% normaliz]],1)*(DATOS_[Conc.Sal.08])))))))),
0)</f>
        <v>0</v>
      </c>
      <c r="R103" s="111">
        <f t="array" ref="R103">IFERROR(
(MEDIAN((IF(DATOS_[[Sexo]:[Sexo]]=$B103,IF(DATOS_[[AGRUP. CLAS. PROF.]:[AGRUP. CLAS. PROF.]]=$B102,IF(DATOS_[[Check Periodo Ref.]:[Check Periodo Ref.]]="Dentro",IF(DATOS_[[Check Equiparado]:[Check Equiparado]]="Sí",IF(DATOS!AM$5="Sí",(1/DATOS_[[% anualiz]:[% anualiz]]),1)*IF(DATOS!AM$4="Sí",1/DATOS_[[% normaliz]:[% normaliz]],1)*(DATOS_[Conc.Sal.09])))))))),
0)</f>
        <v>0</v>
      </c>
      <c r="S103" s="111">
        <f t="array" ref="S103">IFERROR(
(MEDIAN((IF(DATOS_[[Sexo]:[Sexo]]=$B103,IF(DATOS_[[AGRUP. CLAS. PROF.]:[AGRUP. CLAS. PROF.]]=$B102,IF(DATOS_[[Check Periodo Ref.]:[Check Periodo Ref.]]="Dentro",IF(DATOS_[[Check Equiparado]:[Check Equiparado]]="Sí",IF(DATOS!AN$5="Sí",(1/DATOS_[[% anualiz]:[% anualiz]]),1)*IF(DATOS!AN$4="Sí",1/DATOS_[[% normaliz]:[% normaliz]],1)*(DATOS_[Conc.Sal.10])))))))),
0)</f>
        <v>0</v>
      </c>
      <c r="T103" s="111">
        <f t="array" ref="T103">IFERROR(
(MEDIAN((IF(DATOS_[[Sexo]:[Sexo]]=$B103,IF(DATOS_[[AGRUP. CLAS. PROF.]:[AGRUP. CLAS. PROF.]]=$B102,IF(DATOS_[[Check Periodo Ref.]:[Check Periodo Ref.]]="Dentro",IF(DATOS_[[Check Equiparado]:[Check Equiparado]]="Sí",IF(DATOS!AO$5="Sí",(1/DATOS_[[% anualiz]:[% anualiz]]),1)*IF(DATOS!AO$4="Sí",1/DATOS_[[% normaliz]:[% normaliz]],1)*(DATOS_[Conc.Sal.11])))))))),
0)</f>
        <v>0</v>
      </c>
      <c r="U103" s="111">
        <f t="array" ref="U103">IFERROR(
(MEDIAN((IF(DATOS_[[Sexo]:[Sexo]]=$B103,IF(DATOS_[[AGRUP. CLAS. PROF.]:[AGRUP. CLAS. PROF.]]=$B102,IF(DATOS_[[Check Periodo Ref.]:[Check Periodo Ref.]]="Dentro",IF(DATOS_[[Check Equiparado]:[Check Equiparado]]="Sí",IF(DATOS!AP$5="Sí",(1/DATOS_[[% anualiz]:[% anualiz]]),1)*IF(DATOS!AP$4="Sí",1/DATOS_[[% normaliz]:[% normaliz]],1)*(DATOS_[Conc.Sal.12])))))))),
0)</f>
        <v>0</v>
      </c>
      <c r="V103" s="111">
        <f t="array" ref="V103">IFERROR(
(MEDIAN((IF(DATOS_[[Sexo]:[Sexo]]=$B103,IF(DATOS_[[AGRUP. CLAS. PROF.]:[AGRUP. CLAS. PROF.]]=$B102,IF(DATOS_[[Check Periodo Ref.]:[Check Periodo Ref.]]="Dentro",IF(DATOS_[[Check Equiparado]:[Check Equiparado]]="Sí",IF(DATOS!AQ$5="Sí",(1/DATOS_[[% anualiz]:[% anualiz]]),1)*IF(DATOS!AQ$4="Sí",1/DATOS_[[% normaliz]:[% normaliz]],1)*(DATOS_[Conc.Sal.13])))))))),
0)</f>
        <v>0</v>
      </c>
      <c r="W103" s="111">
        <f t="array" ref="W103">IFERROR(
(MEDIAN((IF(DATOS_[[Sexo]:[Sexo]]=$B103,IF(DATOS_[[AGRUP. CLAS. PROF.]:[AGRUP. CLAS. PROF.]]=$B102,IF(DATOS_[[Check Periodo Ref.]:[Check Periodo Ref.]]="Dentro",IF(DATOS_[[Check Equiparado]:[Check Equiparado]]="Sí",IF(DATOS!AR$5="Sí",(1/DATOS_[[% anualiz]:[% anualiz]]),1)*IF(DATOS!AR$4="Sí",1/DATOS_[[% normaliz]:[% normaliz]],1)*(DATOS_[Conc.Sal.14])))))))),
0)</f>
        <v>0</v>
      </c>
      <c r="X103" s="111">
        <f t="array" ref="X103">IFERROR(
(MEDIAN((IF(DATOS_[[Sexo]:[Sexo]]=$B103,IF(DATOS_[[AGRUP. CLAS. PROF.]:[AGRUP. CLAS. PROF.]]=$B102,IF(DATOS_[[Check Periodo Ref.]:[Check Periodo Ref.]]="Dentro",IF(DATOS_[[Check Equiparado]:[Check Equiparado]]="Sí",IF(DATOS!AS$5="Sí",(1/DATOS_[[% anualiz]:[% anualiz]]),1)*IF(DATOS!AS$4="Sí",1/DATOS_[[% normaliz]:[% normaliz]],1)*(DATOS_[Conc.Sal.15])))))))),
0)</f>
        <v>0</v>
      </c>
      <c r="Y103" s="111">
        <f t="array" ref="Y103">IFERROR(
(MEDIAN((IF(DATOS_[[Sexo]:[Sexo]]=$B103,IF(DATOS_[[AGRUP. CLAS. PROF.]:[AGRUP. CLAS. PROF.]]=$B102,IF(DATOS_[[Check Periodo Ref.]:[Check Periodo Ref.]]="Dentro",IF(DATOS_[[Check Equiparado]:[Check Equiparado]]="Sí",IF(DATOS!AT$5="Sí",(1/DATOS_[[% anualiz]:[% anualiz]]),1)*IF(DATOS!AT$4="Sí",1/DATOS_[[% normaliz]:[% normaliz]],1)*(DATOS_[Conc.Sal.16])))))))),
0)</f>
        <v>0</v>
      </c>
      <c r="Z103" s="111">
        <f t="array" ref="Z103">IFERROR(
(MEDIAN((IF(DATOS_[[Sexo]:[Sexo]]=$B103,IF(DATOS_[[AGRUP. CLAS. PROF.]:[AGRUP. CLAS. PROF.]]=$B102,IF(DATOS_[[Check Periodo Ref.]:[Check Periodo Ref.]]="Dentro",IF(DATOS_[[Check Equiparado]:[Check Equiparado]]="Sí",IF(DATOS!AU$5="Sí",(1/DATOS_[[% anualiz]:[% anualiz]]),1)*IF(DATOS!AU$4="Sí",1/DATOS_[[% normaliz]:[% normaliz]],1)*(DATOS_[Conc.Sal.17])))))))),
0)</f>
        <v>0</v>
      </c>
      <c r="AA103" s="111">
        <f t="array" ref="AA103">IFERROR(
(MEDIAN((IF(DATOS_[[Sexo]:[Sexo]]=$B103,IF(DATOS_[[AGRUP. CLAS. PROF.]:[AGRUP. CLAS. PROF.]]=$B102,IF(DATOS_[[Check Periodo Ref.]:[Check Periodo Ref.]]="Dentro",IF(DATOS_[[Check Equiparado]:[Check Equiparado]]="Sí",IF(DATOS!AV$5="Sí",(1/DATOS_[[% anualiz]:[% anualiz]]),1)*IF(DATOS!AV$4="Sí",1/DATOS_[[% normaliz]:[% normaliz]],1)*(DATOS_[Conc.Sal.18])))))))),
0)</f>
        <v>0</v>
      </c>
      <c r="AB103" s="111">
        <f t="array" ref="AB103">IFERROR(
(MEDIAN((IF(DATOS_[[Sexo]:[Sexo]]=$B103,IF(DATOS_[[AGRUP. CLAS. PROF.]:[AGRUP. CLAS. PROF.]]=$B102,IF(DATOS_[[Check Periodo Ref.]:[Check Periodo Ref.]]="Dentro",IF(DATOS_[[Check Equiparado]:[Check Equiparado]]="Sí",IF(DATOS!AW$5="Sí",(1/DATOS_[[% anualiz]:[% anualiz]]),1)*IF(DATOS!AW$4="Sí",1/DATOS_[[% normaliz]:[% normaliz]],1)*(DATOS_[Conc.Sal.19])))))))),
0)</f>
        <v>0</v>
      </c>
      <c r="AC103" s="111">
        <f t="array" ref="AC103">IFERROR(
(MEDIAN((IF(DATOS_[[Sexo]:[Sexo]]=$B103,IF(DATOS_[[AGRUP. CLAS. PROF.]:[AGRUP. CLAS. PROF.]]=$B102,IF(DATOS_[[Check Periodo Ref.]:[Check Periodo Ref.]]="Dentro",IF(DATOS_[[Check Equiparado]:[Check Equiparado]]="Sí",IF(DATOS!AX$5="Sí",(1/DATOS_[[% anualiz]:[% anualiz]]),1)*IF(DATOS!AX$4="Sí",1/DATOS_[[% normaliz]:[% normaliz]],1)*(DATOS_[Conc.Sal.20])))))))),
0)</f>
        <v>0</v>
      </c>
      <c r="AD103" s="111">
        <f t="array" ref="AD103">IFERROR(
(MEDIAN((IF(DATOS_[[Sexo]:[Sexo]]=$B103,IF(DATOS_[[AGRUP. CLAS. PROF.]:[AGRUP. CLAS. PROF.]]=$B102,IF(DATOS_[[Check Periodo Ref.]:[Check Periodo Ref.]]="Dentro",IF(DATOS_[[Check Equiparado]:[Check Equiparado]]="Sí",IF(DATOS!AY$5="Sí",(1/DATOS_[[% anualiz]:[% anualiz]]),1)*IF(DATOS!AY$4="Sí",1/DATOS_[[% normaliz]:[% normaliz]],1)*(DATOS_[Conc.Sal.21])))))))),
0)</f>
        <v>0</v>
      </c>
      <c r="AE103" s="111">
        <f t="array" ref="AE103">IFERROR(
(MEDIAN((IF(DATOS_[[Sexo]:[Sexo]]=$B103,IF(DATOS_[[AGRUP. CLAS. PROF.]:[AGRUP. CLAS. PROF.]]=$B102,IF(DATOS_[[Check Periodo Ref.]:[Check Periodo Ref.]]="Dentro",IF(DATOS_[[Check Equiparado]:[Check Equiparado]]="Sí",IF(DATOS!AZ$5="Sí",(1/DATOS_[[% anualiz]:[% anualiz]]),1)*IF(DATOS!AZ$4="Sí",1/DATOS_[[% normaliz]:[% normaliz]],1)*(DATOS_[Conc.Sal.22])))))))),
0)</f>
        <v>0</v>
      </c>
      <c r="AF103" s="111">
        <f t="array" ref="AF103">IFERROR(
(MEDIAN((IF(DATOS_[[Sexo]:[Sexo]]=$B103,IF(DATOS_[[AGRUP. CLAS. PROF.]:[AGRUP. CLAS. PROF.]]=$B102,IF(DATOS_[[Check Periodo Ref.]:[Check Periodo Ref.]]="Dentro",IF(DATOS_[[Check Equiparado]:[Check Equiparado]]="Sí",IF(DATOS!BA$5="Sí",(1/DATOS_[[% anualiz]:[% anualiz]]),1)*IF(DATOS!BA$4="Sí",1/DATOS_[[% normaliz]:[% normaliz]],1)*(DATOS_[Conc.Sal.23])))))))),
0)</f>
        <v>0</v>
      </c>
      <c r="AG103" s="111">
        <f t="array" ref="AG103">IFERROR(
(MEDIAN((IF(DATOS_[[Sexo]:[Sexo]]=$B103,IF(DATOS_[[AGRUP. CLAS. PROF.]:[AGRUP. CLAS. PROF.]]=$B102,IF(DATOS_[[Check Periodo Ref.]:[Check Periodo Ref.]]="Dentro",IF(DATOS_[[Check Equiparado]:[Check Equiparado]]="Sí",IF(DATOS!BB$5="Sí",(1/DATOS_[[% anualiz]:[% anualiz]]),1)*IF(DATOS!BB$4="Sí",1/DATOS_[[% normaliz]:[% normaliz]],1)*(DATOS_[Conc.Sal.24])))))))),
0)</f>
        <v>0</v>
      </c>
      <c r="AH103" s="111">
        <f t="array" ref="AH103">IFERROR(
(MEDIAN((IF(DATOS_[[Sexo]:[Sexo]]=$B103,IF(DATOS_[[AGRUP. CLAS. PROF.]:[AGRUP. CLAS. PROF.]]=$B102,IF(DATOS_[[Check Periodo Ref.]:[Check Periodo Ref.]]="Dentro",IF(DATOS_[[Check Equiparado]:[Check Equiparado]]="Sí",IF(DATOS!BC$5="Sí",(1/DATOS_[[% anualiz]:[% anualiz]]),1)*IF(DATOS!BC$4="Sí",1/DATOS_[[% normaliz]:[% normaliz]],1)*(DATOS_[Conc.Sal.25])))))))),
0)</f>
        <v>0</v>
      </c>
      <c r="AI103" s="111">
        <f t="array" ref="AI103">IFERROR(
(MEDIAN((IF(DATOS_[[Sexo]:[Sexo]]=$B103,IF(DATOS_[[AGRUP. CLAS. PROF.]:[AGRUP. CLAS. PROF.]]=$B102,IF(DATOS_[[Check Periodo Ref.]:[Check Periodo Ref.]]="Dentro",IF(DATOS_[[Check Equiparado]:[Check Equiparado]]="Sí",IF(DATOS!BD$5="Sí",(1/DATOS_[[% anualiz]:[% anualiz]]),1)*IF(DATOS!BD$4="Sí",1/DATOS_[[% normaliz]:[% normaliz]],1)*(DATOS_[Conc.Sal.26])))))))),
0)</f>
        <v>0</v>
      </c>
      <c r="AJ103" s="111">
        <f t="array" ref="AJ103">IFERROR(
(MEDIAN((IF(DATOS_[[Sexo]:[Sexo]]=$B103,IF(DATOS_[[AGRUP. CLAS. PROF.]:[AGRUP. CLAS. PROF.]]=$B102,IF(DATOS_[[Check Periodo Ref.]:[Check Periodo Ref.]]="Dentro",IF(DATOS_[[Check Equiparado]:[Check Equiparado]]="Sí",IF(DATOS!BE$5="Sí",(1/DATOS_[[% anualiz]:[% anualiz]]),1)*IF(DATOS!BE$4="Sí",1/DATOS_[[% normaliz]:[% normaliz]],1)*(DATOS_[Conc.Sal.27])))))))),
0)</f>
        <v>0</v>
      </c>
      <c r="AK103" s="111">
        <f t="array" ref="AK103">IFERROR(
(MEDIAN((IF(DATOS_[[Sexo]:[Sexo]]=$B103,IF(DATOS_[[AGRUP. CLAS. PROF.]:[AGRUP. CLAS. PROF.]]=$B102,IF(DATOS_[[Check Periodo Ref.]:[Check Periodo Ref.]]="Dentro",IF(DATOS_[[Check Equiparado]:[Check Equiparado]]="Sí",IF(DATOS!BF$5="Sí",(1/DATOS_[[% anualiz]:[% anualiz]]),1)*IF(DATOS!BF$4="Sí",1/DATOS_[[% normaliz]:[% normaliz]],1)*(DATOS_[Conc.Sal.28])))))))),
0)</f>
        <v>0</v>
      </c>
      <c r="AL103" s="111">
        <f t="array" ref="AL103">IFERROR(
(MEDIAN((IF(DATOS_[[Sexo]:[Sexo]]=$B103,IF(DATOS_[[AGRUP. CLAS. PROF.]:[AGRUP. CLAS. PROF.]]=$B102,IF(DATOS_[[Check Periodo Ref.]:[Check Periodo Ref.]]="Dentro",IF(DATOS_[[Check Equiparado]:[Check Equiparado]]="Sí",IF(DATOS!BG$5="Sí",(1/DATOS_[[% anualiz]:[% anualiz]]),1)*IF(DATOS!BG$4="Sí",1/DATOS_[[% normaliz]:[% normaliz]],1)*(DATOS_[Conc.Sal.29])))))))),
0)</f>
        <v>0</v>
      </c>
      <c r="AM103" s="111">
        <f t="array" ref="AM103">IFERROR(
(MEDIAN((IF(DATOS_[[Sexo]:[Sexo]]=$B103,IF(DATOS_[[AGRUP. CLAS. PROF.]:[AGRUP. CLAS. PROF.]]=$B102,IF(DATOS_[[Check Periodo Ref.]:[Check Periodo Ref.]]="Dentro",IF(DATOS_[[Check Equiparado]:[Check Equiparado]]="Sí",IF(DATOS!BH$5="Sí",(1/DATOS_[[% anualiz]:[% anualiz]]),1)*IF(DATOS!BH$4="Sí",1/DATOS_[[% normaliz]:[% normaliz]],1)*(DATOS_[Conc.Sal.30])))))))),
0)</f>
        <v>0</v>
      </c>
      <c r="AN103" s="112">
        <f t="array" ref="AN103">IFERROR(
MEDIAN(IF(DATOS_[Sexo]=$B103,IF(DATOS_[[AGRUP. CLAS. PROF.]:[AGRUP. CLAS. PROF.]]=$B102,IF(DATOS_[Check Equiparado]="Sí",IF(DATOS_[Check Periodo Ref.]="Dentro",DATOS_[Tot COMPL.SAL Eq],FALSE))))),
0)</f>
        <v>0</v>
      </c>
      <c r="AO103" s="113">
        <f t="array" ref="AO103">IFERROR(
MEDIAN(IF(DATOS_[Sexo]=$B103,IF(DATOS_[[AGRUP. CLAS. PROF.]:[AGRUP. CLAS. PROF.]]=$B102,IF(DATOS_[Check Equiparado]="Sí",IF(DATOS_[Check Periodo Ref.]="Dentro",DATOS_[TOTAL SALARIO Eq],FALSE))))),
0)</f>
        <v>0</v>
      </c>
      <c r="AP103" s="114">
        <f t="array" ref="AP103">IFERROR(
(MEDIAN((IF(DATOS_[[Sexo]:[Sexo]]=$B103,IF(DATOS_[[AGRUP. CLAS. PROF.]:[AGRUP. CLAS. PROF.]]=$B102,IF(DATOS_[[Check Periodo Ref.]:[Check Periodo Ref.]]="Dentro",IF(DATOS_[[Check Equiparado]:[Check Equiparado]]="Sí",IF(DATOS!BI$5="Sí",(1/DATOS_[[% anualiz]:[% anualiz]]),1)*IF(DATOS!BI$4="Sí",1/DATOS_[[% normaliz]:[% normaliz]],1)*(DATOS_[C.Extra.01])))))))),
0)</f>
        <v>0</v>
      </c>
      <c r="AQ103" s="114">
        <f t="array" ref="AQ103">IFERROR(
(MEDIAN((IF(DATOS_[[Sexo]:[Sexo]]=$B103,IF(DATOS_[[AGRUP. CLAS. PROF.]:[AGRUP. CLAS. PROF.]]=$B102,IF(DATOS_[[Check Periodo Ref.]:[Check Periodo Ref.]]="Dentro",IF(DATOS_[[Check Equiparado]:[Check Equiparado]]="Sí",IF(DATOS!BJ$5="Sí",(1/DATOS_[[% anualiz]:[% anualiz]]),1)*IF(DATOS!BJ$4="Sí",1/DATOS_[[% normaliz]:[% normaliz]],1)*(DATOS_[C.Extra.02])))))))),
0)</f>
        <v>0</v>
      </c>
      <c r="AR103" s="114">
        <f t="array" ref="AR103">IFERROR(
(MEDIAN((IF(DATOS_[[Sexo]:[Sexo]]=$B103,IF(DATOS_[[AGRUP. CLAS. PROF.]:[AGRUP. CLAS. PROF.]]=$B102,IF(DATOS_[[Check Periodo Ref.]:[Check Periodo Ref.]]="Dentro",IF(DATOS_[[Check Equiparado]:[Check Equiparado]]="Sí",IF(DATOS!BK$5="Sí",(1/DATOS_[[% anualiz]:[% anualiz]]),1)*IF(DATOS!BK$4="Sí",1/DATOS_[[% normaliz]:[% normaliz]],1)*(DATOS_[C.Extra.03])))))))),
0)</f>
        <v>0</v>
      </c>
      <c r="AS103" s="114">
        <f t="array" ref="AS103">IFERROR(
(MEDIAN((IF(DATOS_[[Sexo]:[Sexo]]=$B103,IF(DATOS_[[AGRUP. CLAS. PROF.]:[AGRUP. CLAS. PROF.]]=$B102,IF(DATOS_[[Check Periodo Ref.]:[Check Periodo Ref.]]="Dentro",IF(DATOS_[[Check Equiparado]:[Check Equiparado]]="Sí",IF(DATOS!BL$5="Sí",(1/DATOS_[[% anualiz]:[% anualiz]]),1)*IF(DATOS!BL$4="Sí",1/DATOS_[[% normaliz]:[% normaliz]],1)*(DATOS_[C.Extra.04])))))))),
0)</f>
        <v>0</v>
      </c>
      <c r="AT103" s="114">
        <f t="array" ref="AT103">IFERROR(
(MEDIAN((IF(DATOS_[[Sexo]:[Sexo]]=$B103,IF(DATOS_[[AGRUP. CLAS. PROF.]:[AGRUP. CLAS. PROF.]]=$B102,IF(DATOS_[[Check Periodo Ref.]:[Check Periodo Ref.]]="Dentro",IF(DATOS_[[Check Equiparado]:[Check Equiparado]]="Sí",IF(DATOS!BM$5="Sí",(1/DATOS_[[% anualiz]:[% anualiz]]),1)*IF(DATOS!BM$4="Sí",1/DATOS_[[% normaliz]:[% normaliz]],1)*(DATOS_[C.Extra.05])))))))),
0)</f>
        <v>0</v>
      </c>
      <c r="AU103" s="115">
        <f t="array" ref="AU103">IFERROR(
MEDIAN(IF(DATOS_[Sexo]=$B103,IF(DATOS_[[AGRUP. CLAS. PROF.]:[AGRUP. CLAS. PROF.]]=$B102,IF(DATOS_[Check Equiparado]="Sí",IF(DATOS_[Check Periodo Ref.]="Dentro",DATOS_[Tot Extrasalarial Eq],FALSE))))),
0)</f>
        <v>0</v>
      </c>
      <c r="AV103" s="116">
        <f t="array" ref="AV103">IFERROR(
MEDIAN(IF(DATOS_[Sexo]=$B103,IF(DATOS_[[AGRUP. CLAS. PROF.]:[AGRUP. CLAS. PROF.]]=$B102,IF(DATOS_[Check Equiparado]="Sí",IF(DATOS_[Check Periodo Ref.]="Dentro",DATOS_[TOTAL Retrib Eq],FALSE))))),
0)</f>
        <v>0</v>
      </c>
    </row>
    <row r="104" spans="1:48" hidden="1" x14ac:dyDescent="0.3">
      <c r="A104" s="42" t="str">
        <f t="shared" ref="A104" si="122">+A103</f>
        <v>[ocultar]</v>
      </c>
      <c r="B104" s="86" t="s">
        <v>163</v>
      </c>
      <c r="C104" s="33">
        <f t="array" ref="C104">SUM(IF($B104=DATOS_[Sexo],
IF($B102=DATOS_[AGRUP. CLAS. PROF.],
IF("Dentro"=DATOS_[Check Periodo Ref.],
1/(COUNTIFS(DATOS_[Sexo],$B104,DATOS_[AGRUP. CLAS. PROF.],$B102,DATOS_[Check Periodo Ref.],"Dentro",DATOS_[id],DATOS_[id]))))))</f>
        <v>0</v>
      </c>
      <c r="D104" s="35">
        <f>COUNTIFS(DATOS_[AGRUP. CLAS. PROF.],$B102,DATOS_[Sexo],$B104,DATOS_[Check Periodo Ref.],"Dentro")</f>
        <v>0</v>
      </c>
      <c r="E104" s="35">
        <f>COUNTIFS(DATOS_[AGRUP. CLAS. PROF.],$B102,DATOS_[Sexo],$B104,DATOS_[Check Periodo Ref.],"Dentro",DATOS_[Check Nº SC Norm],"Sí")</f>
        <v>0</v>
      </c>
      <c r="F104" s="35">
        <f>COUNTIFS(DATOS_[AGRUP. CLAS. PROF.],$B102,DATOS_[Sexo],$B104,DATOS_[Check Periodo Ref.],"Dentro",DATOS_[Check Nº SC Anualiz],"Sí")</f>
        <v>0</v>
      </c>
      <c r="G104" s="35">
        <f>COUNTIFS(DATOS_[AGRUP. CLAS. PROF.],$B102,DATOS_[Sexo],$B104,DATOS_[Check Periodo Ref.],"Dentro",DATOS_[Check Nº SC Norm y Anualiz],"Sí")</f>
        <v>0</v>
      </c>
      <c r="H104" s="35">
        <f>COUNTIFS(DATOS_[AGRUP. CLAS. PROF.],$B102,DATOS_[Sexo],$B104,DATOS_[Check Periodo Ref.],"Dentro",DATOS_[Check Equiparación],"Sí")</f>
        <v>0</v>
      </c>
      <c r="I104" s="110" cm="1">
        <f t="array" ref="I104">IFERROR(
MEDIAN(IF(DATOS_[Sexo]=$B104,IF(DATOS_[[AGRUP. CLAS. PROF.]:[AGRUP. CLAS. PROF.]]=$B102,IF(DATOS_[Check Equiparado]="Sí",IF(DATOS_[Check Periodo Ref.]="Dentro",DATOS_[SALARIO BASE Eq],FALSE))))),
0)</f>
        <v>0</v>
      </c>
      <c r="J104" s="111">
        <f t="array" ref="J104">IFERROR(
(MEDIAN((IF(DATOS_[[Sexo]:[Sexo]]=$B104,IF(DATOS_[[AGRUP. CLAS. PROF.]:[AGRUP. CLAS. PROF.]]=$B102,IF(DATOS_[[Check Periodo Ref.]:[Check Periodo Ref.]]="Dentro",IF(DATOS_[[Check Equiparado]:[Check Equiparado]]="Sí",IF(DATOS!AE$5="Sí",(1/DATOS_[[% anualiz]:[% anualiz]]),1)*IF(DATOS!AE$4="Sí",1/DATOS_[[% normaliz]:[% normaliz]],1)*(DATOS_[Conc.Sal.01])))))))),
0)</f>
        <v>0</v>
      </c>
      <c r="K104" s="111">
        <f t="array" ref="K104">IFERROR(
(MEDIAN((IF(DATOS_[[Sexo]:[Sexo]]=$B104,IF(DATOS_[[AGRUP. CLAS. PROF.]:[AGRUP. CLAS. PROF.]]=$B102,IF(DATOS_[[Check Periodo Ref.]:[Check Periodo Ref.]]="Dentro",IF(DATOS_[[Check Equiparado]:[Check Equiparado]]="Sí",IF(DATOS!AF$5="Sí",(1/DATOS_[[% anualiz]:[% anualiz]]),1)*IF(DATOS!AF$4="Sí",1/DATOS_[[% normaliz]:[% normaliz]],1)*(DATOS_[Conc.Sal.02])))))))),
0)</f>
        <v>0</v>
      </c>
      <c r="L104" s="111">
        <f t="array" ref="L104">IFERROR(
(MEDIAN((IF(DATOS_[[Sexo]:[Sexo]]=$B104,IF(DATOS_[[AGRUP. CLAS. PROF.]:[AGRUP. CLAS. PROF.]]=$B102,IF(DATOS_[[Check Periodo Ref.]:[Check Periodo Ref.]]="Dentro",IF(DATOS_[[Check Equiparado]:[Check Equiparado]]="Sí",IF(DATOS!AG$5="Sí",(1/DATOS_[[% anualiz]:[% anualiz]]),1)*IF(DATOS!AG$4="Sí",1/DATOS_[[% normaliz]:[% normaliz]],1)*(DATOS_[Conc.Sal.03])))))))),
0)</f>
        <v>0</v>
      </c>
      <c r="M104" s="111">
        <f t="array" ref="M104">IFERROR(
(MEDIAN((IF(DATOS_[[Sexo]:[Sexo]]=$B104,IF(DATOS_[[AGRUP. CLAS. PROF.]:[AGRUP. CLAS. PROF.]]=$B102,IF(DATOS_[[Check Periodo Ref.]:[Check Periodo Ref.]]="Dentro",IF(DATOS_[[Check Equiparado]:[Check Equiparado]]="Sí",IF(DATOS!AH$5="Sí",(1/DATOS_[[% anualiz]:[% anualiz]]),1)*IF(DATOS!AH$4="Sí",1/DATOS_[[% normaliz]:[% normaliz]],1)*(DATOS_[Conc.Sal.04])))))))),
0)</f>
        <v>0</v>
      </c>
      <c r="N104" s="111">
        <f t="array" ref="N104">IFERROR(
(MEDIAN((IF(DATOS_[[Sexo]:[Sexo]]=$B104,IF(DATOS_[[AGRUP. CLAS. PROF.]:[AGRUP. CLAS. PROF.]]=$B102,IF(DATOS_[[Check Periodo Ref.]:[Check Periodo Ref.]]="Dentro",IF(DATOS_[[Check Equiparado]:[Check Equiparado]]="Sí",IF(DATOS!AI$5="Sí",(1/DATOS_[[% anualiz]:[% anualiz]]),1)*IF(DATOS!AI$4="Sí",1/DATOS_[[% normaliz]:[% normaliz]],1)*(DATOS_[Conc.Sal.05])))))))),
0)</f>
        <v>0</v>
      </c>
      <c r="O104" s="111">
        <f t="array" ref="O104">IFERROR(
(MEDIAN((IF(DATOS_[[Sexo]:[Sexo]]=$B104,IF(DATOS_[[AGRUP. CLAS. PROF.]:[AGRUP. CLAS. PROF.]]=$B102,IF(DATOS_[[Check Periodo Ref.]:[Check Periodo Ref.]]="Dentro",IF(DATOS_[[Check Equiparado]:[Check Equiparado]]="Sí",IF(DATOS!AJ$5="Sí",(1/DATOS_[[% anualiz]:[% anualiz]]),1)*IF(DATOS!AJ$4="Sí",1/DATOS_[[% normaliz]:[% normaliz]],1)*(DATOS_[Conc.Sal.06])))))))),
0)</f>
        <v>0</v>
      </c>
      <c r="P104" s="111">
        <f t="array" ref="P104">IFERROR(
(MEDIAN((IF(DATOS_[[Sexo]:[Sexo]]=$B104,IF(DATOS_[[AGRUP. CLAS. PROF.]:[AGRUP. CLAS. PROF.]]=$B102,IF(DATOS_[[Check Periodo Ref.]:[Check Periodo Ref.]]="Dentro",IF(DATOS_[[Check Equiparado]:[Check Equiparado]]="Sí",IF(DATOS!AK$5="Sí",(1/DATOS_[[% anualiz]:[% anualiz]]),1)*IF(DATOS!AK$4="Sí",1/DATOS_[[% normaliz]:[% normaliz]],1)*(DATOS_[Conc.Sal.07])))))))),
0)</f>
        <v>0</v>
      </c>
      <c r="Q104" s="111">
        <f t="array" ref="Q104">IFERROR(
(MEDIAN((IF(DATOS_[[Sexo]:[Sexo]]=$B104,IF(DATOS_[[AGRUP. CLAS. PROF.]:[AGRUP. CLAS. PROF.]]=$B102,IF(DATOS_[[Check Periodo Ref.]:[Check Periodo Ref.]]="Dentro",IF(DATOS_[[Check Equiparado]:[Check Equiparado]]="Sí",IF(DATOS!AL$5="Sí",(1/DATOS_[[% anualiz]:[% anualiz]]),1)*IF(DATOS!AL$4="Sí",1/DATOS_[[% normaliz]:[% normaliz]],1)*(DATOS_[Conc.Sal.08])))))))),
0)</f>
        <v>0</v>
      </c>
      <c r="R104" s="111">
        <f t="array" ref="R104">IFERROR(
(MEDIAN((IF(DATOS_[[Sexo]:[Sexo]]=$B104,IF(DATOS_[[AGRUP. CLAS. PROF.]:[AGRUP. CLAS. PROF.]]=$B102,IF(DATOS_[[Check Periodo Ref.]:[Check Periodo Ref.]]="Dentro",IF(DATOS_[[Check Equiparado]:[Check Equiparado]]="Sí",IF(DATOS!AM$5="Sí",(1/DATOS_[[% anualiz]:[% anualiz]]),1)*IF(DATOS!AM$4="Sí",1/DATOS_[[% normaliz]:[% normaliz]],1)*(DATOS_[Conc.Sal.09])))))))),
0)</f>
        <v>0</v>
      </c>
      <c r="S104" s="111">
        <f t="array" ref="S104">IFERROR(
(MEDIAN((IF(DATOS_[[Sexo]:[Sexo]]=$B104,IF(DATOS_[[AGRUP. CLAS. PROF.]:[AGRUP. CLAS. PROF.]]=$B102,IF(DATOS_[[Check Periodo Ref.]:[Check Periodo Ref.]]="Dentro",IF(DATOS_[[Check Equiparado]:[Check Equiparado]]="Sí",IF(DATOS!AN$5="Sí",(1/DATOS_[[% anualiz]:[% anualiz]]),1)*IF(DATOS!AN$4="Sí",1/DATOS_[[% normaliz]:[% normaliz]],1)*(DATOS_[Conc.Sal.10])))))))),
0)</f>
        <v>0</v>
      </c>
      <c r="T104" s="111">
        <f t="array" ref="T104">IFERROR(
(MEDIAN((IF(DATOS_[[Sexo]:[Sexo]]=$B104,IF(DATOS_[[AGRUP. CLAS. PROF.]:[AGRUP. CLAS. PROF.]]=$B102,IF(DATOS_[[Check Periodo Ref.]:[Check Periodo Ref.]]="Dentro",IF(DATOS_[[Check Equiparado]:[Check Equiparado]]="Sí",IF(DATOS!AO$5="Sí",(1/DATOS_[[% anualiz]:[% anualiz]]),1)*IF(DATOS!AO$4="Sí",1/DATOS_[[% normaliz]:[% normaliz]],1)*(DATOS_[Conc.Sal.11])))))))),
0)</f>
        <v>0</v>
      </c>
      <c r="U104" s="111">
        <f t="array" ref="U104">IFERROR(
(MEDIAN((IF(DATOS_[[Sexo]:[Sexo]]=$B104,IF(DATOS_[[AGRUP. CLAS. PROF.]:[AGRUP. CLAS. PROF.]]=$B102,IF(DATOS_[[Check Periodo Ref.]:[Check Periodo Ref.]]="Dentro",IF(DATOS_[[Check Equiparado]:[Check Equiparado]]="Sí",IF(DATOS!AP$5="Sí",(1/DATOS_[[% anualiz]:[% anualiz]]),1)*IF(DATOS!AP$4="Sí",1/DATOS_[[% normaliz]:[% normaliz]],1)*(DATOS_[Conc.Sal.12])))))))),
0)</f>
        <v>0</v>
      </c>
      <c r="V104" s="111">
        <f t="array" ref="V104">IFERROR(
(MEDIAN((IF(DATOS_[[Sexo]:[Sexo]]=$B104,IF(DATOS_[[AGRUP. CLAS. PROF.]:[AGRUP. CLAS. PROF.]]=$B102,IF(DATOS_[[Check Periodo Ref.]:[Check Periodo Ref.]]="Dentro",IF(DATOS_[[Check Equiparado]:[Check Equiparado]]="Sí",IF(DATOS!AQ$5="Sí",(1/DATOS_[[% anualiz]:[% anualiz]]),1)*IF(DATOS!AQ$4="Sí",1/DATOS_[[% normaliz]:[% normaliz]],1)*(DATOS_[Conc.Sal.13])))))))),
0)</f>
        <v>0</v>
      </c>
      <c r="W104" s="111">
        <f t="array" ref="W104">IFERROR(
(MEDIAN((IF(DATOS_[[Sexo]:[Sexo]]=$B104,IF(DATOS_[[AGRUP. CLAS. PROF.]:[AGRUP. CLAS. PROF.]]=$B102,IF(DATOS_[[Check Periodo Ref.]:[Check Periodo Ref.]]="Dentro",IF(DATOS_[[Check Equiparado]:[Check Equiparado]]="Sí",IF(DATOS!AR$5="Sí",(1/DATOS_[[% anualiz]:[% anualiz]]),1)*IF(DATOS!AR$4="Sí",1/DATOS_[[% normaliz]:[% normaliz]],1)*(DATOS_[Conc.Sal.14])))))))),
0)</f>
        <v>0</v>
      </c>
      <c r="X104" s="111">
        <f t="array" ref="X104">IFERROR(
(MEDIAN((IF(DATOS_[[Sexo]:[Sexo]]=$B104,IF(DATOS_[[AGRUP. CLAS. PROF.]:[AGRUP. CLAS. PROF.]]=$B102,IF(DATOS_[[Check Periodo Ref.]:[Check Periodo Ref.]]="Dentro",IF(DATOS_[[Check Equiparado]:[Check Equiparado]]="Sí",IF(DATOS!AS$5="Sí",(1/DATOS_[[% anualiz]:[% anualiz]]),1)*IF(DATOS!AS$4="Sí",1/DATOS_[[% normaliz]:[% normaliz]],1)*(DATOS_[Conc.Sal.15])))))))),
0)</f>
        <v>0</v>
      </c>
      <c r="Y104" s="111">
        <f t="array" ref="Y104">IFERROR(
(MEDIAN((IF(DATOS_[[Sexo]:[Sexo]]=$B104,IF(DATOS_[[AGRUP. CLAS. PROF.]:[AGRUP. CLAS. PROF.]]=$B102,IF(DATOS_[[Check Periodo Ref.]:[Check Periodo Ref.]]="Dentro",IF(DATOS_[[Check Equiparado]:[Check Equiparado]]="Sí",IF(DATOS!AT$5="Sí",(1/DATOS_[[% anualiz]:[% anualiz]]),1)*IF(DATOS!AT$4="Sí",1/DATOS_[[% normaliz]:[% normaliz]],1)*(DATOS_[Conc.Sal.16])))))))),
0)</f>
        <v>0</v>
      </c>
      <c r="Z104" s="111">
        <f t="array" ref="Z104">IFERROR(
(MEDIAN((IF(DATOS_[[Sexo]:[Sexo]]=$B104,IF(DATOS_[[AGRUP. CLAS. PROF.]:[AGRUP. CLAS. PROF.]]=$B102,IF(DATOS_[[Check Periodo Ref.]:[Check Periodo Ref.]]="Dentro",IF(DATOS_[[Check Equiparado]:[Check Equiparado]]="Sí",IF(DATOS!AU$5="Sí",(1/DATOS_[[% anualiz]:[% anualiz]]),1)*IF(DATOS!AU$4="Sí",1/DATOS_[[% normaliz]:[% normaliz]],1)*(DATOS_[Conc.Sal.17])))))))),
0)</f>
        <v>0</v>
      </c>
      <c r="AA104" s="111">
        <f t="array" ref="AA104">IFERROR(
(MEDIAN((IF(DATOS_[[Sexo]:[Sexo]]=$B104,IF(DATOS_[[AGRUP. CLAS. PROF.]:[AGRUP. CLAS. PROF.]]=$B102,IF(DATOS_[[Check Periodo Ref.]:[Check Periodo Ref.]]="Dentro",IF(DATOS_[[Check Equiparado]:[Check Equiparado]]="Sí",IF(DATOS!AV$5="Sí",(1/DATOS_[[% anualiz]:[% anualiz]]),1)*IF(DATOS!AV$4="Sí",1/DATOS_[[% normaliz]:[% normaliz]],1)*(DATOS_[Conc.Sal.18])))))))),
0)</f>
        <v>0</v>
      </c>
      <c r="AB104" s="111">
        <f t="array" ref="AB104">IFERROR(
(MEDIAN((IF(DATOS_[[Sexo]:[Sexo]]=$B104,IF(DATOS_[[AGRUP. CLAS. PROF.]:[AGRUP. CLAS. PROF.]]=$B102,IF(DATOS_[[Check Periodo Ref.]:[Check Periodo Ref.]]="Dentro",IF(DATOS_[[Check Equiparado]:[Check Equiparado]]="Sí",IF(DATOS!AW$5="Sí",(1/DATOS_[[% anualiz]:[% anualiz]]),1)*IF(DATOS!AW$4="Sí",1/DATOS_[[% normaliz]:[% normaliz]],1)*(DATOS_[Conc.Sal.19])))))))),
0)</f>
        <v>0</v>
      </c>
      <c r="AC104" s="111">
        <f t="array" ref="AC104">IFERROR(
(MEDIAN((IF(DATOS_[[Sexo]:[Sexo]]=$B104,IF(DATOS_[[AGRUP. CLAS. PROF.]:[AGRUP. CLAS. PROF.]]=$B102,IF(DATOS_[[Check Periodo Ref.]:[Check Periodo Ref.]]="Dentro",IF(DATOS_[[Check Equiparado]:[Check Equiparado]]="Sí",IF(DATOS!AX$5="Sí",(1/DATOS_[[% anualiz]:[% anualiz]]),1)*IF(DATOS!AX$4="Sí",1/DATOS_[[% normaliz]:[% normaliz]],1)*(DATOS_[Conc.Sal.20])))))))),
0)</f>
        <v>0</v>
      </c>
      <c r="AD104" s="111">
        <f t="array" ref="AD104">IFERROR(
(MEDIAN((IF(DATOS_[[Sexo]:[Sexo]]=$B104,IF(DATOS_[[AGRUP. CLAS. PROF.]:[AGRUP. CLAS. PROF.]]=$B102,IF(DATOS_[[Check Periodo Ref.]:[Check Periodo Ref.]]="Dentro",IF(DATOS_[[Check Equiparado]:[Check Equiparado]]="Sí",IF(DATOS!AY$5="Sí",(1/DATOS_[[% anualiz]:[% anualiz]]),1)*IF(DATOS!AY$4="Sí",1/DATOS_[[% normaliz]:[% normaliz]],1)*(DATOS_[Conc.Sal.21])))))))),
0)</f>
        <v>0</v>
      </c>
      <c r="AE104" s="111">
        <f t="array" ref="AE104">IFERROR(
(MEDIAN((IF(DATOS_[[Sexo]:[Sexo]]=$B104,IF(DATOS_[[AGRUP. CLAS. PROF.]:[AGRUP. CLAS. PROF.]]=$B102,IF(DATOS_[[Check Periodo Ref.]:[Check Periodo Ref.]]="Dentro",IF(DATOS_[[Check Equiparado]:[Check Equiparado]]="Sí",IF(DATOS!AZ$5="Sí",(1/DATOS_[[% anualiz]:[% anualiz]]),1)*IF(DATOS!AZ$4="Sí",1/DATOS_[[% normaliz]:[% normaliz]],1)*(DATOS_[Conc.Sal.22])))))))),
0)</f>
        <v>0</v>
      </c>
      <c r="AF104" s="111">
        <f t="array" ref="AF104">IFERROR(
(MEDIAN((IF(DATOS_[[Sexo]:[Sexo]]=$B104,IF(DATOS_[[AGRUP. CLAS. PROF.]:[AGRUP. CLAS. PROF.]]=$B102,IF(DATOS_[[Check Periodo Ref.]:[Check Periodo Ref.]]="Dentro",IF(DATOS_[[Check Equiparado]:[Check Equiparado]]="Sí",IF(DATOS!BA$5="Sí",(1/DATOS_[[% anualiz]:[% anualiz]]),1)*IF(DATOS!BA$4="Sí",1/DATOS_[[% normaliz]:[% normaliz]],1)*(DATOS_[Conc.Sal.23])))))))),
0)</f>
        <v>0</v>
      </c>
      <c r="AG104" s="111">
        <f t="array" ref="AG104">IFERROR(
(MEDIAN((IF(DATOS_[[Sexo]:[Sexo]]=$B104,IF(DATOS_[[AGRUP. CLAS. PROF.]:[AGRUP. CLAS. PROF.]]=$B102,IF(DATOS_[[Check Periodo Ref.]:[Check Periodo Ref.]]="Dentro",IF(DATOS_[[Check Equiparado]:[Check Equiparado]]="Sí",IF(DATOS!BB$5="Sí",(1/DATOS_[[% anualiz]:[% anualiz]]),1)*IF(DATOS!BB$4="Sí",1/DATOS_[[% normaliz]:[% normaliz]],1)*(DATOS_[Conc.Sal.24])))))))),
0)</f>
        <v>0</v>
      </c>
      <c r="AH104" s="111">
        <f t="array" ref="AH104">IFERROR(
(MEDIAN((IF(DATOS_[[Sexo]:[Sexo]]=$B104,IF(DATOS_[[AGRUP. CLAS. PROF.]:[AGRUP. CLAS. PROF.]]=$B102,IF(DATOS_[[Check Periodo Ref.]:[Check Periodo Ref.]]="Dentro",IF(DATOS_[[Check Equiparado]:[Check Equiparado]]="Sí",IF(DATOS!BC$5="Sí",(1/DATOS_[[% anualiz]:[% anualiz]]),1)*IF(DATOS!BC$4="Sí",1/DATOS_[[% normaliz]:[% normaliz]],1)*(DATOS_[Conc.Sal.25])))))))),
0)</f>
        <v>0</v>
      </c>
      <c r="AI104" s="111">
        <f t="array" ref="AI104">IFERROR(
(MEDIAN((IF(DATOS_[[Sexo]:[Sexo]]=$B104,IF(DATOS_[[AGRUP. CLAS. PROF.]:[AGRUP. CLAS. PROF.]]=$B102,IF(DATOS_[[Check Periodo Ref.]:[Check Periodo Ref.]]="Dentro",IF(DATOS_[[Check Equiparado]:[Check Equiparado]]="Sí",IF(DATOS!BD$5="Sí",(1/DATOS_[[% anualiz]:[% anualiz]]),1)*IF(DATOS!BD$4="Sí",1/DATOS_[[% normaliz]:[% normaliz]],1)*(DATOS_[Conc.Sal.26])))))))),
0)</f>
        <v>0</v>
      </c>
      <c r="AJ104" s="111">
        <f t="array" ref="AJ104">IFERROR(
(MEDIAN((IF(DATOS_[[Sexo]:[Sexo]]=$B104,IF(DATOS_[[AGRUP. CLAS. PROF.]:[AGRUP. CLAS. PROF.]]=$B102,IF(DATOS_[[Check Periodo Ref.]:[Check Periodo Ref.]]="Dentro",IF(DATOS_[[Check Equiparado]:[Check Equiparado]]="Sí",IF(DATOS!BE$5="Sí",(1/DATOS_[[% anualiz]:[% anualiz]]),1)*IF(DATOS!BE$4="Sí",1/DATOS_[[% normaliz]:[% normaliz]],1)*(DATOS_[Conc.Sal.27])))))))),
0)</f>
        <v>0</v>
      </c>
      <c r="AK104" s="111">
        <f t="array" ref="AK104">IFERROR(
(MEDIAN((IF(DATOS_[[Sexo]:[Sexo]]=$B104,IF(DATOS_[[AGRUP. CLAS. PROF.]:[AGRUP. CLAS. PROF.]]=$B102,IF(DATOS_[[Check Periodo Ref.]:[Check Periodo Ref.]]="Dentro",IF(DATOS_[[Check Equiparado]:[Check Equiparado]]="Sí",IF(DATOS!BF$5="Sí",(1/DATOS_[[% anualiz]:[% anualiz]]),1)*IF(DATOS!BF$4="Sí",1/DATOS_[[% normaliz]:[% normaliz]],1)*(DATOS_[Conc.Sal.28])))))))),
0)</f>
        <v>0</v>
      </c>
      <c r="AL104" s="111">
        <f t="array" ref="AL104">IFERROR(
(MEDIAN((IF(DATOS_[[Sexo]:[Sexo]]=$B104,IF(DATOS_[[AGRUP. CLAS. PROF.]:[AGRUP. CLAS. PROF.]]=$B102,IF(DATOS_[[Check Periodo Ref.]:[Check Periodo Ref.]]="Dentro",IF(DATOS_[[Check Equiparado]:[Check Equiparado]]="Sí",IF(DATOS!BG$5="Sí",(1/DATOS_[[% anualiz]:[% anualiz]]),1)*IF(DATOS!BG$4="Sí",1/DATOS_[[% normaliz]:[% normaliz]],1)*(DATOS_[Conc.Sal.29])))))))),
0)</f>
        <v>0</v>
      </c>
      <c r="AM104" s="111">
        <f t="array" ref="AM104">IFERROR(
(MEDIAN((IF(DATOS_[[Sexo]:[Sexo]]=$B104,IF(DATOS_[[AGRUP. CLAS. PROF.]:[AGRUP. CLAS. PROF.]]=$B102,IF(DATOS_[[Check Periodo Ref.]:[Check Periodo Ref.]]="Dentro",IF(DATOS_[[Check Equiparado]:[Check Equiparado]]="Sí",IF(DATOS!BH$5="Sí",(1/DATOS_[[% anualiz]:[% anualiz]]),1)*IF(DATOS!BH$4="Sí",1/DATOS_[[% normaliz]:[% normaliz]],1)*(DATOS_[Conc.Sal.30])))))))),
0)</f>
        <v>0</v>
      </c>
      <c r="AN104" s="112">
        <f t="array" ref="AN104">IFERROR(
MEDIAN(IF(DATOS_[Sexo]=$B104,IF(DATOS_[[AGRUP. CLAS. PROF.]:[AGRUP. CLAS. PROF.]]=$B102,IF(DATOS_[Check Equiparado]="Sí",IF(DATOS_[Check Periodo Ref.]="Dentro",DATOS_[Tot COMPL.SAL Eq],FALSE))))),
0)</f>
        <v>0</v>
      </c>
      <c r="AO104" s="113">
        <f t="array" ref="AO104">IFERROR(
MEDIAN(IF(DATOS_[Sexo]=$B104,IF(DATOS_[[AGRUP. CLAS. PROF.]:[AGRUP. CLAS. PROF.]]=$B102,IF(DATOS_[Check Equiparado]="Sí",IF(DATOS_[Check Periodo Ref.]="Dentro",DATOS_[TOTAL SALARIO Eq],FALSE))))),
0)</f>
        <v>0</v>
      </c>
      <c r="AP104" s="114">
        <f t="array" ref="AP104">IFERROR(
(MEDIAN((IF(DATOS_[[Sexo]:[Sexo]]=$B104,IF(DATOS_[[AGRUP. CLAS. PROF.]:[AGRUP. CLAS. PROF.]]=$B102,IF(DATOS_[[Check Periodo Ref.]:[Check Periodo Ref.]]="Dentro",IF(DATOS_[[Check Equiparado]:[Check Equiparado]]="Sí",IF(DATOS!BI$5="Sí",(1/DATOS_[[% anualiz]:[% anualiz]]),1)*IF(DATOS!BI$4="Sí",1/DATOS_[[% normaliz]:[% normaliz]],1)*(DATOS_[C.Extra.01])))))))),
0)</f>
        <v>0</v>
      </c>
      <c r="AQ104" s="114">
        <f t="array" ref="AQ104">IFERROR(
(MEDIAN((IF(DATOS_[[Sexo]:[Sexo]]=$B104,IF(DATOS_[[AGRUP. CLAS. PROF.]:[AGRUP. CLAS. PROF.]]=$B102,IF(DATOS_[[Check Periodo Ref.]:[Check Periodo Ref.]]="Dentro",IF(DATOS_[[Check Equiparado]:[Check Equiparado]]="Sí",IF(DATOS!BJ$5="Sí",(1/DATOS_[[% anualiz]:[% anualiz]]),1)*IF(DATOS!BJ$4="Sí",1/DATOS_[[% normaliz]:[% normaliz]],1)*(DATOS_[C.Extra.02])))))))),
0)</f>
        <v>0</v>
      </c>
      <c r="AR104" s="114">
        <f t="array" ref="AR104">IFERROR(
(MEDIAN((IF(DATOS_[[Sexo]:[Sexo]]=$B104,IF(DATOS_[[AGRUP. CLAS. PROF.]:[AGRUP. CLAS. PROF.]]=$B102,IF(DATOS_[[Check Periodo Ref.]:[Check Periodo Ref.]]="Dentro",IF(DATOS_[[Check Equiparado]:[Check Equiparado]]="Sí",IF(DATOS!BK$5="Sí",(1/DATOS_[[% anualiz]:[% anualiz]]),1)*IF(DATOS!BK$4="Sí",1/DATOS_[[% normaliz]:[% normaliz]],1)*(DATOS_[C.Extra.03])))))))),
0)</f>
        <v>0</v>
      </c>
      <c r="AS104" s="114">
        <f t="array" ref="AS104">IFERROR(
(MEDIAN((IF(DATOS_[[Sexo]:[Sexo]]=$B104,IF(DATOS_[[AGRUP. CLAS. PROF.]:[AGRUP. CLAS. PROF.]]=$B102,IF(DATOS_[[Check Periodo Ref.]:[Check Periodo Ref.]]="Dentro",IF(DATOS_[[Check Equiparado]:[Check Equiparado]]="Sí",IF(DATOS!BL$5="Sí",(1/DATOS_[[% anualiz]:[% anualiz]]),1)*IF(DATOS!BL$4="Sí",1/DATOS_[[% normaliz]:[% normaliz]],1)*(DATOS_[C.Extra.04])))))))),
0)</f>
        <v>0</v>
      </c>
      <c r="AT104" s="114">
        <f t="array" ref="AT104">IFERROR(
(MEDIAN((IF(DATOS_[[Sexo]:[Sexo]]=$B104,IF(DATOS_[[AGRUP. CLAS. PROF.]:[AGRUP. CLAS. PROF.]]=$B102,IF(DATOS_[[Check Periodo Ref.]:[Check Periodo Ref.]]="Dentro",IF(DATOS_[[Check Equiparado]:[Check Equiparado]]="Sí",IF(DATOS!BM$5="Sí",(1/DATOS_[[% anualiz]:[% anualiz]]),1)*IF(DATOS!BM$4="Sí",1/DATOS_[[% normaliz]:[% normaliz]],1)*(DATOS_[C.Extra.05])))))))),
0)</f>
        <v>0</v>
      </c>
      <c r="AU104" s="115">
        <f t="array" ref="AU104">IFERROR(
MEDIAN(IF(DATOS_[Sexo]=$B104,IF(DATOS_[[AGRUP. CLAS. PROF.]:[AGRUP. CLAS. PROF.]]=$B102,IF(DATOS_[Check Equiparado]="Sí",IF(DATOS_[Check Periodo Ref.]="Dentro",DATOS_[Tot Extrasalarial Eq],FALSE))))),
0)</f>
        <v>0</v>
      </c>
      <c r="AV104" s="116">
        <f t="array" ref="AV104">IFERROR(
MEDIAN(IF(DATOS_[Sexo]=$B104,IF(DATOS_[[AGRUP. CLAS. PROF.]:[AGRUP. CLAS. PROF.]]=$B102,IF(DATOS_[Check Equiparado]="Sí",IF(DATOS_[Check Periodo Ref.]="Dentro",DATOS_[TOTAL Retrib Eq],FALSE))))),
0)</f>
        <v>0</v>
      </c>
    </row>
  </sheetData>
  <sheetProtection algorithmName="SHA-512" hashValue="MRtG0O/aw5YLyfVoDPQnP8E/PSL4I8K7IkteUCZaIgJwVuGr1Omqjcb0RByxQSIc4NRG1gorCbTeAJY1a1d3tw==" saltValue="RtnTFhj1JpfbZwp5AYts+A==" spinCount="100000" sheet="1" objects="1" scenarios="1"/>
  <dataConsolidate/>
  <mergeCells count="1">
    <mergeCell ref="AW1:AW11"/>
  </mergeCells>
  <pageMargins left="0.25" right="0.25" top="0.75" bottom="0.75" header="0.3" footer="0.3"/>
  <pageSetup paperSize="9" scale="7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U104"/>
  <sheetViews>
    <sheetView showGridLines="0" zoomScaleNormal="100" workbookViewId="0">
      <selection activeCell="AS1" sqref="AS1:AS11"/>
    </sheetView>
  </sheetViews>
  <sheetFormatPr baseColWidth="10" defaultColWidth="7.28515625" defaultRowHeight="16.5" outlineLevelCol="1" x14ac:dyDescent="0.3"/>
  <cols>
    <col min="1" max="1" width="8.85546875" style="53" customWidth="1"/>
    <col min="2" max="2" width="10.7109375" style="53" customWidth="1"/>
    <col min="3" max="4" width="7.28515625" style="53" customWidth="1"/>
    <col min="5" max="5" width="10.42578125" style="53" customWidth="1"/>
    <col min="6" max="13" width="7.28515625" style="53" customWidth="1"/>
    <col min="14" max="15" width="7.28515625" style="53" hidden="1" customWidth="1"/>
    <col min="16" max="35" width="7.28515625" style="53" hidden="1" customWidth="1" outlineLevel="1"/>
    <col min="36" max="36" width="8.85546875" style="53" customWidth="1" collapsed="1"/>
    <col min="37" max="37" width="8.85546875" style="53" customWidth="1"/>
    <col min="38" max="41" width="7.28515625" style="53" customWidth="1"/>
    <col min="42" max="42" width="7.28515625" style="53" hidden="1" customWidth="1"/>
    <col min="43" max="44" width="8.85546875" style="53" customWidth="1"/>
    <col min="45" max="45" width="16.7109375" style="53" customWidth="1"/>
    <col min="46" max="16384" width="7.28515625" style="53"/>
  </cols>
  <sheetData>
    <row r="1" spans="1:47" ht="42.6" customHeight="1" x14ac:dyDescent="0.3">
      <c r="E1" s="237" t="s">
        <v>372</v>
      </c>
      <c r="AS1" s="344" t="str">
        <f>+IFERROR(IF(OR(((AR10-AR11)/AR11)&gt;=25%,((AR11-AR10)/AR10)&gt;=25%),AU1,""),"")</f>
        <v>Recuerde: Cuando la media aritmética o la mediana de las retribuciones totales en la empresa de las personas trabajadoras de un sexo sea superior a las del otro en, al menos un 25%, se deberá incluir la justificación a la que se refiere el art. 28.3 del ET.</v>
      </c>
      <c r="AT1" s="305"/>
      <c r="AU1" s="332" t="s">
        <v>445</v>
      </c>
    </row>
    <row r="2" spans="1:47" ht="13.9" customHeight="1" x14ac:dyDescent="0.3">
      <c r="G2" s="53" t="str">
        <f>+IF(G8="[ocultar]",G8,"")</f>
        <v/>
      </c>
      <c r="H2" s="53" t="str">
        <f t="shared" ref="H2:AP2" si="0">+IF(H8="[ocultar]",H8,"")</f>
        <v/>
      </c>
      <c r="I2" s="53" t="str">
        <f t="shared" si="0"/>
        <v/>
      </c>
      <c r="J2" s="53" t="str">
        <f t="shared" si="0"/>
        <v/>
      </c>
      <c r="K2" s="53" t="str">
        <f t="shared" si="0"/>
        <v/>
      </c>
      <c r="L2" s="53" t="str">
        <f t="shared" si="0"/>
        <v/>
      </c>
      <c r="M2" s="53" t="str">
        <f t="shared" si="0"/>
        <v/>
      </c>
      <c r="N2" s="53" t="str">
        <f t="shared" si="0"/>
        <v>[ocultar]</v>
      </c>
      <c r="O2" s="53" t="str">
        <f t="shared" si="0"/>
        <v>[ocultar]</v>
      </c>
      <c r="P2" s="53" t="str">
        <f t="shared" si="0"/>
        <v>[ocultar]</v>
      </c>
      <c r="Q2" s="53" t="str">
        <f t="shared" si="0"/>
        <v>[ocultar]</v>
      </c>
      <c r="R2" s="53" t="str">
        <f t="shared" si="0"/>
        <v>[ocultar]</v>
      </c>
      <c r="S2" s="53" t="str">
        <f t="shared" si="0"/>
        <v>[ocultar]</v>
      </c>
      <c r="T2" s="53" t="str">
        <f t="shared" si="0"/>
        <v>[ocultar]</v>
      </c>
      <c r="U2" s="53" t="str">
        <f t="shared" si="0"/>
        <v>[ocultar]</v>
      </c>
      <c r="V2" s="53" t="str">
        <f t="shared" si="0"/>
        <v>[ocultar]</v>
      </c>
      <c r="W2" s="53" t="str">
        <f t="shared" si="0"/>
        <v>[ocultar]</v>
      </c>
      <c r="X2" s="53" t="str">
        <f t="shared" si="0"/>
        <v>[ocultar]</v>
      </c>
      <c r="Y2" s="53" t="str">
        <f t="shared" si="0"/>
        <v>[ocultar]</v>
      </c>
      <c r="Z2" s="53" t="str">
        <f t="shared" si="0"/>
        <v>[ocultar]</v>
      </c>
      <c r="AA2" s="53" t="str">
        <f t="shared" si="0"/>
        <v>[ocultar]</v>
      </c>
      <c r="AB2" s="53" t="str">
        <f t="shared" si="0"/>
        <v>[ocultar]</v>
      </c>
      <c r="AC2" s="53" t="str">
        <f t="shared" si="0"/>
        <v>[ocultar]</v>
      </c>
      <c r="AD2" s="53" t="str">
        <f t="shared" si="0"/>
        <v>[ocultar]</v>
      </c>
      <c r="AE2" s="53" t="str">
        <f t="shared" si="0"/>
        <v>[ocultar]</v>
      </c>
      <c r="AF2" s="53" t="str">
        <f t="shared" si="0"/>
        <v>[ocultar]</v>
      </c>
      <c r="AG2" s="53" t="str">
        <f t="shared" si="0"/>
        <v>[ocultar]</v>
      </c>
      <c r="AH2" s="53" t="str">
        <f t="shared" si="0"/>
        <v>[ocultar]</v>
      </c>
      <c r="AI2" s="53" t="str">
        <f t="shared" si="0"/>
        <v>[ocultar]</v>
      </c>
      <c r="AJ2" s="53" t="str">
        <f t="shared" si="0"/>
        <v/>
      </c>
      <c r="AK2" s="53" t="str">
        <f t="shared" si="0"/>
        <v/>
      </c>
      <c r="AL2" s="53" t="str">
        <f t="shared" si="0"/>
        <v/>
      </c>
      <c r="AM2" s="53" t="str">
        <f t="shared" si="0"/>
        <v/>
      </c>
      <c r="AN2" s="53" t="str">
        <f t="shared" si="0"/>
        <v/>
      </c>
      <c r="AO2" s="53" t="str">
        <f t="shared" si="0"/>
        <v/>
      </c>
      <c r="AP2" s="53" t="str">
        <f t="shared" si="0"/>
        <v>[ocultar]</v>
      </c>
      <c r="AS2" s="344"/>
      <c r="AT2" s="305"/>
      <c r="AU2" s="305"/>
    </row>
    <row r="3" spans="1:47" ht="13.9" customHeight="1" x14ac:dyDescent="0.3">
      <c r="E3" s="156" t="str">
        <f>+"Razón Social: "&amp;Inicio!C6&amp;"  -  NIF: "&amp;Inicio!C8</f>
        <v>Razón Social: Empresa Ejemplo Ficticio 3  -  NIF: B55512345</v>
      </c>
      <c r="F3" s="48"/>
      <c r="AS3" s="344"/>
      <c r="AT3" s="305"/>
      <c r="AU3" s="305"/>
    </row>
    <row r="4" spans="1:47" ht="13.9" customHeight="1" x14ac:dyDescent="0.3">
      <c r="E4" s="157" t="s">
        <v>97</v>
      </c>
      <c r="F4" s="177"/>
      <c r="G4" s="13"/>
      <c r="H4" s="13"/>
      <c r="I4" s="13"/>
      <c r="J4" s="13"/>
      <c r="K4" s="13"/>
      <c r="AS4" s="344"/>
      <c r="AT4" s="305"/>
      <c r="AU4" s="305"/>
    </row>
    <row r="5" spans="1:47" ht="13.9" customHeight="1" x14ac:dyDescent="0.3">
      <c r="E5" s="158">
        <f>+Inicio!E10</f>
        <v>45292</v>
      </c>
      <c r="F5" s="159" t="str">
        <f>+Inicio!D10</f>
        <v>fecha inicio</v>
      </c>
      <c r="AS5" s="344"/>
      <c r="AT5" s="305"/>
      <c r="AU5" s="305"/>
    </row>
    <row r="6" spans="1:47" ht="13.9" customHeight="1" x14ac:dyDescent="0.3">
      <c r="E6" s="158">
        <f>+Inicio!G10</f>
        <v>45657</v>
      </c>
      <c r="F6" s="160" t="s">
        <v>94</v>
      </c>
      <c r="G6" s="154"/>
      <c r="H6" s="154"/>
      <c r="K6" s="154"/>
      <c r="AS6" s="344"/>
      <c r="AT6" s="305"/>
      <c r="AU6" s="305"/>
    </row>
    <row r="7" spans="1:47" s="118" customFormat="1" ht="13.9" customHeight="1" x14ac:dyDescent="0.25">
      <c r="K7"/>
      <c r="AS7" s="344"/>
      <c r="AT7" s="307"/>
      <c r="AU7" s="307"/>
    </row>
    <row r="8" spans="1:47" s="45" customFormat="1" ht="46.15" customHeight="1" x14ac:dyDescent="0.25">
      <c r="B8" s="43"/>
      <c r="C8" s="43" t="s">
        <v>225</v>
      </c>
      <c r="D8" s="43" t="s">
        <v>220</v>
      </c>
      <c r="E8" s="44" t="s">
        <v>223</v>
      </c>
      <c r="F8" s="178" t="str">
        <f>+IF(DATOS!AE6="","[ocultar]",DATOS!AE6)</f>
        <v>MejVol</v>
      </c>
      <c r="G8" s="178" t="str">
        <f>+IF(DATOS!AF6="","[ocultar]",DATOS!AF6)</f>
        <v>Antig.</v>
      </c>
      <c r="H8" s="178" t="str">
        <f>+IF(DATOS!AG6="","[ocultar]",DATOS!AG6)</f>
        <v>Transporte</v>
      </c>
      <c r="I8" s="178" t="str">
        <f>+IF(DATOS!AH6="","[ocultar]",DATOS!AH6)</f>
        <v>Ventas</v>
      </c>
      <c r="J8" s="178" t="str">
        <f>+IF(DATOS!AI6="","[ocultar]",DATOS!AI6)</f>
        <v>Bonus</v>
      </c>
      <c r="K8" s="178" t="str">
        <f>+IF(DATOS!AJ6="","[ocultar]",DATOS!AJ6)</f>
        <v>Coche</v>
      </c>
      <c r="L8" s="178" t="str">
        <f>+IF(DATOS!AK6="","[ocultar]",DATOS!AK6)</f>
        <v>Cesta</v>
      </c>
      <c r="M8" s="178" t="str">
        <f>+IF(DATOS!AL6="","[ocultar]",DATOS!AL6)</f>
        <v>Nocturnidad</v>
      </c>
      <c r="N8" s="178" t="str">
        <f>+IF(DATOS!AM6="","[ocultar]",DATOS!AM6)</f>
        <v>[ocultar]</v>
      </c>
      <c r="O8" s="178" t="str">
        <f>+IF(DATOS!AN6="","[ocultar]",DATOS!AN6)</f>
        <v>[ocultar]</v>
      </c>
      <c r="P8" s="178" t="str">
        <f>+IF(DATOS!AO6="","[ocultar]",DATOS!AO6)</f>
        <v>[ocultar]</v>
      </c>
      <c r="Q8" s="178" t="str">
        <f>+IF(DATOS!AP6="","[ocultar]",DATOS!AP6)</f>
        <v>[ocultar]</v>
      </c>
      <c r="R8" s="178" t="str">
        <f>+IF(DATOS!AQ6="","[ocultar]",DATOS!AQ6)</f>
        <v>[ocultar]</v>
      </c>
      <c r="S8" s="178" t="str">
        <f>+IF(DATOS!AR6="","[ocultar]",DATOS!AR6)</f>
        <v>[ocultar]</v>
      </c>
      <c r="T8" s="178" t="str">
        <f>+IF(DATOS!AS6="","[ocultar]",DATOS!AS6)</f>
        <v>[ocultar]</v>
      </c>
      <c r="U8" s="178" t="str">
        <f>+IF(DATOS!AT6="","[ocultar]",DATOS!AT6)</f>
        <v>[ocultar]</v>
      </c>
      <c r="V8" s="178" t="str">
        <f>+IF(DATOS!AU6="","[ocultar]",DATOS!AU6)</f>
        <v>[ocultar]</v>
      </c>
      <c r="W8" s="178" t="str">
        <f>+IF(DATOS!AV6="","[ocultar]",DATOS!AV6)</f>
        <v>[ocultar]</v>
      </c>
      <c r="X8" s="178" t="str">
        <f>+IF(DATOS!AW6="","[ocultar]",DATOS!AW6)</f>
        <v>[ocultar]</v>
      </c>
      <c r="Y8" s="178" t="str">
        <f>+IF(DATOS!AX6="","[ocultar]",DATOS!AX6)</f>
        <v>[ocultar]</v>
      </c>
      <c r="Z8" s="178" t="str">
        <f>+IF(DATOS!AY6="","[ocultar]",DATOS!AY6)</f>
        <v>[ocultar]</v>
      </c>
      <c r="AA8" s="178" t="str">
        <f>+IF(DATOS!AZ6="","[ocultar]",DATOS!AZ6)</f>
        <v>[ocultar]</v>
      </c>
      <c r="AB8" s="178" t="str">
        <f>+IF(DATOS!BA6="","[ocultar]",DATOS!BA6)</f>
        <v>[ocultar]</v>
      </c>
      <c r="AC8" s="178" t="str">
        <f>+IF(DATOS!BB6="","[ocultar]",DATOS!BB6)</f>
        <v>[ocultar]</v>
      </c>
      <c r="AD8" s="178" t="str">
        <f>+IF(DATOS!BC6="","[ocultar]",DATOS!BC6)</f>
        <v>[ocultar]</v>
      </c>
      <c r="AE8" s="178" t="str">
        <f>+IF(DATOS!BD6="","[ocultar]",DATOS!BD6)</f>
        <v>[ocultar]</v>
      </c>
      <c r="AF8" s="178" t="str">
        <f>+IF(DATOS!BE6="","[ocultar]",DATOS!BE6)</f>
        <v>[ocultar]</v>
      </c>
      <c r="AG8" s="178" t="str">
        <f>+IF(DATOS!BF6="","[ocultar]",DATOS!BF6)</f>
        <v>[ocultar]</v>
      </c>
      <c r="AH8" s="178" t="str">
        <f>+IF(DATOS!BG6="","[ocultar]",DATOS!BG6)</f>
        <v>[ocultar]</v>
      </c>
      <c r="AI8" s="178" t="str">
        <f>+IF(DATOS!BH6="","[ocultar]",DATOS!BH6)</f>
        <v>[ocultar]</v>
      </c>
      <c r="AJ8" s="69" t="s">
        <v>221</v>
      </c>
      <c r="AK8" s="70" t="s">
        <v>213</v>
      </c>
      <c r="AL8" s="183" t="str">
        <f>+IF(DATOS!BI6="","[ocultar]",DATOS!BI6)</f>
        <v>Dietas</v>
      </c>
      <c r="AM8" s="183" t="str">
        <f>+IF(DATOS!BJ6="","[ocultar]",DATOS!BJ6)</f>
        <v>Indem</v>
      </c>
      <c r="AN8" s="183" t="str">
        <f>+IF(DATOS!BK6="","[ocultar]",DATOS!BK6)</f>
        <v>ERTE</v>
      </c>
      <c r="AO8" s="183" t="str">
        <f>+IF(DATOS!BL6="","[ocultar]",DATOS!BL6)</f>
        <v>IT</v>
      </c>
      <c r="AP8" s="183" t="str">
        <f>+IF(DATOS!BM6="","[ocultar]",DATOS!BM6)</f>
        <v>[ocultar]</v>
      </c>
      <c r="AQ8" s="71" t="s">
        <v>222</v>
      </c>
      <c r="AR8" s="72" t="s">
        <v>214</v>
      </c>
      <c r="AS8" s="344"/>
      <c r="AT8" s="308"/>
      <c r="AU8" s="308"/>
    </row>
    <row r="9" spans="1:47" s="48" customFormat="1" ht="17.25" thickBot="1" x14ac:dyDescent="0.35">
      <c r="B9" s="51" t="s">
        <v>247</v>
      </c>
      <c r="C9" s="91"/>
      <c r="D9" s="52"/>
      <c r="E9" s="139">
        <f t="shared" ref="E9" si="1">IFERROR((E10-E11)/E10,"")</f>
        <v>0.11669022606728094</v>
      </c>
      <c r="F9" s="179">
        <f>IFERROR((F10-F11)/F10,"")</f>
        <v>0.55053072823681537</v>
      </c>
      <c r="G9" s="180">
        <f t="shared" ref="G9:AR9" si="2">IFERROR((G10-G11)/G10,"")</f>
        <v>0.24808138857855089</v>
      </c>
      <c r="H9" s="180">
        <f t="shared" si="2"/>
        <v>-0.49310710498409338</v>
      </c>
      <c r="I9" s="180">
        <f t="shared" si="2"/>
        <v>-0.18894758228362468</v>
      </c>
      <c r="J9" s="181">
        <f t="shared" si="2"/>
        <v>0.75201288244766507</v>
      </c>
      <c r="K9" s="182">
        <f t="shared" si="2"/>
        <v>0.50524737631184413</v>
      </c>
      <c r="L9" s="182">
        <f t="shared" si="2"/>
        <v>2.4844720496893335E-3</v>
      </c>
      <c r="M9" s="182">
        <f t="shared" si="2"/>
        <v>1</v>
      </c>
      <c r="N9" s="182" t="str">
        <f t="shared" si="2"/>
        <v/>
      </c>
      <c r="O9" s="182" t="str">
        <f t="shared" si="2"/>
        <v/>
      </c>
      <c r="P9" s="182" t="str">
        <f t="shared" si="2"/>
        <v/>
      </c>
      <c r="Q9" s="182" t="str">
        <f t="shared" si="2"/>
        <v/>
      </c>
      <c r="R9" s="182" t="str">
        <f t="shared" si="2"/>
        <v/>
      </c>
      <c r="S9" s="182" t="str">
        <f t="shared" si="2"/>
        <v/>
      </c>
      <c r="T9" s="182" t="str">
        <f t="shared" si="2"/>
        <v/>
      </c>
      <c r="U9" s="182" t="str">
        <f t="shared" si="2"/>
        <v/>
      </c>
      <c r="V9" s="181" t="str">
        <f t="shared" si="2"/>
        <v/>
      </c>
      <c r="W9" s="181" t="str">
        <f t="shared" si="2"/>
        <v/>
      </c>
      <c r="X9" s="181" t="str">
        <f t="shared" si="2"/>
        <v/>
      </c>
      <c r="Y9" s="181" t="str">
        <f t="shared" si="2"/>
        <v/>
      </c>
      <c r="Z9" s="181" t="str">
        <f t="shared" si="2"/>
        <v/>
      </c>
      <c r="AA9" s="181" t="str">
        <f t="shared" si="2"/>
        <v/>
      </c>
      <c r="AB9" s="181" t="str">
        <f t="shared" si="2"/>
        <v/>
      </c>
      <c r="AC9" s="181" t="str">
        <f t="shared" si="2"/>
        <v/>
      </c>
      <c r="AD9" s="181" t="str">
        <f t="shared" si="2"/>
        <v/>
      </c>
      <c r="AE9" s="181" t="str">
        <f t="shared" si="2"/>
        <v/>
      </c>
      <c r="AF9" s="181" t="str">
        <f t="shared" si="2"/>
        <v/>
      </c>
      <c r="AG9" s="181" t="str">
        <f t="shared" si="2"/>
        <v/>
      </c>
      <c r="AH9" s="181" t="str">
        <f t="shared" si="2"/>
        <v/>
      </c>
      <c r="AI9" s="181" t="str">
        <f t="shared" si="2"/>
        <v/>
      </c>
      <c r="AJ9" s="140">
        <f t="shared" si="2"/>
        <v>0.53123068720934119</v>
      </c>
      <c r="AK9" s="143">
        <f t="shared" si="2"/>
        <v>0.25209355609422152</v>
      </c>
      <c r="AL9" s="184">
        <f t="shared" si="2"/>
        <v>0.96457326892109496</v>
      </c>
      <c r="AM9" s="184" t="str">
        <f t="shared" si="2"/>
        <v/>
      </c>
      <c r="AN9" s="184">
        <f t="shared" si="2"/>
        <v>-0.27536231884057966</v>
      </c>
      <c r="AO9" s="184">
        <f t="shared" si="2"/>
        <v>1</v>
      </c>
      <c r="AP9" s="184" t="str">
        <f t="shared" si="2"/>
        <v/>
      </c>
      <c r="AQ9" s="141">
        <f t="shared" si="2"/>
        <v>0.57255560459304244</v>
      </c>
      <c r="AR9" s="142">
        <f t="shared" si="2"/>
        <v>0.25470378275995076</v>
      </c>
      <c r="AS9" s="344"/>
      <c r="AT9" s="309"/>
      <c r="AU9" s="309"/>
    </row>
    <row r="10" spans="1:47" s="48" customFormat="1" x14ac:dyDescent="0.3">
      <c r="B10" s="46" t="s">
        <v>162</v>
      </c>
      <c r="C10" s="45">
        <f t="array" ref="C10">SUM(IF($B10=DATOS_[Sexo],
IF("Dentro"=DATOS_[Check Periodo Ref.],
1/(COUNTIFS(DATOS_[Sexo],$B10,DATOS_[Check Periodo Ref.],"Dentro",DATOS_[id],DATOS_[id])))))</f>
        <v>102</v>
      </c>
      <c r="D10" s="47">
        <f>COUNTIFS(DATOS_[AGRUP. VALOR. PTO.],"&lt;&gt;",DATOS_[Sexo],$B10,DATOS_[Check Periodo Ref.],"Dentro")</f>
        <v>110</v>
      </c>
      <c r="E10" s="92">
        <f t="array" ref="E10">IFERROR(
AVERAGE(IF(DATOS_[Sexo]=$B10,IF(DATOS_[Check Periodo Ref.]="Dentro",DATOS_[SALARIO BASE Ef],FALSE))),
0)</f>
        <v>12410.595921212147</v>
      </c>
      <c r="F10" s="93">
        <f t="array" ref="F10">IFERROR(
(AVERAGE((IF(DATOS_[[Sexo]:[Sexo]]=$B10,IF(DATOS_[[Check Periodo Ref.]:[Check Periodo Ref.]]="Dentro",DATOS_[Conc.Sal.01]))))),
0)</f>
        <v>2733.4131696969648</v>
      </c>
      <c r="G10" s="93">
        <f t="array" ref="G10">IFERROR(
(AVERAGE((IF(DATOS_[[Sexo]:[Sexo]]=$B10,IF(DATOS_[[Check Periodo Ref.]:[Check Periodo Ref.]]="Dentro",DATOS_[Conc.Sal.02]))))),
0)</f>
        <v>1027.719714666667</v>
      </c>
      <c r="H10" s="93">
        <f t="array" ref="H10">IFERROR(
(AVERAGE((IF(DATOS_[[Sexo]:[Sexo]]=$B10,IF(DATOS_[[Check Periodo Ref.]:[Check Periodo Ref.]]="Dentro",DATOS_[Conc.Sal.03]))))),
0)</f>
        <v>328</v>
      </c>
      <c r="I10" s="93">
        <f t="array" ref="I10">IFERROR(
(AVERAGE((IF(DATOS_[[Sexo]:[Sexo]]=$B10,IF(DATOS_[[Check Periodo Ref.]:[Check Periodo Ref.]]="Dentro",DATOS_[Conc.Sal.04]))))),
0)</f>
        <v>97.272727272727266</v>
      </c>
      <c r="J10" s="93">
        <f t="array" ref="J10">IFERROR(
(AVERAGE((IF(DATOS_[[Sexo]:[Sexo]]=$B10,IF(DATOS_[[Check Periodo Ref.]:[Check Periodo Ref.]]="Dentro",DATOS_[Conc.Sal.05]))))),
0)</f>
        <v>245.45454545454547</v>
      </c>
      <c r="K10" s="93">
        <f t="array" ref="K10">IFERROR(
(AVERAGE((IF(DATOS_[[Sexo]:[Sexo]]=$B10,IF(DATOS_[[Check Periodo Ref.]:[Check Periodo Ref.]]="Dentro",DATOS_[Conc.Sal.06]))))),
0)</f>
        <v>158.18181818181819</v>
      </c>
      <c r="L10" s="93">
        <f t="array" ref="L10">IFERROR(
(AVERAGE((IF(DATOS_[[Sexo]:[Sexo]]=$B10,IF(DATOS_[[Check Periodo Ref.]:[Check Periodo Ref.]]="Dentro",DATOS_[Conc.Sal.07]))))),
0)</f>
        <v>76.36363636363636</v>
      </c>
      <c r="M10" s="93">
        <f t="array" ref="M10">IFERROR(
(AVERAGE((IF(DATOS_[[Sexo]:[Sexo]]=$B10,IF(DATOS_[[Check Periodo Ref.]:[Check Periodo Ref.]]="Dentro",DATOS_[Conc.Sal.08]))))),
0)</f>
        <v>1353.7036036363629</v>
      </c>
      <c r="N10" s="93">
        <f t="array" ref="N10">IFERROR(
(AVERAGE((IF(DATOS_[[Sexo]:[Sexo]]=$B10,IF(DATOS_[[Check Periodo Ref.]:[Check Periodo Ref.]]="Dentro",DATOS_[Conc.Sal.09]))))),
0)</f>
        <v>0</v>
      </c>
      <c r="O10" s="93">
        <f t="array" ref="O10">IFERROR(
(AVERAGE((IF(DATOS_[[Sexo]:[Sexo]]=$B10,IF(DATOS_[[Check Periodo Ref.]:[Check Periodo Ref.]]="Dentro",DATOS_[Conc.Sal.10]))))),
0)</f>
        <v>0</v>
      </c>
      <c r="P10" s="93">
        <f t="array" ref="P10">IFERROR(
(AVERAGE((IF(DATOS_[[Sexo]:[Sexo]]=$B10,IF(DATOS_[[Check Periodo Ref.]:[Check Periodo Ref.]]="Dentro",DATOS_[Conc.Sal.11]))))),
0)</f>
        <v>0</v>
      </c>
      <c r="Q10" s="93">
        <f t="array" ref="Q10">IFERROR(
(AVERAGE((IF(DATOS_[[Sexo]:[Sexo]]=$B10,IF(DATOS_[[Check Periodo Ref.]:[Check Periodo Ref.]]="Dentro",DATOS_[Conc.Sal.12]))))),
0)</f>
        <v>0</v>
      </c>
      <c r="R10" s="93">
        <f t="array" ref="R10">IFERROR(
(AVERAGE((IF(DATOS_[[Sexo]:[Sexo]]=$B10,IF(DATOS_[[Check Periodo Ref.]:[Check Periodo Ref.]]="Dentro",DATOS_[Conc.Sal.13]))))),
0)</f>
        <v>0</v>
      </c>
      <c r="S10" s="93">
        <f t="array" ref="S10">IFERROR(
(AVERAGE((IF(DATOS_[[Sexo]:[Sexo]]=$B10,IF(DATOS_[[Check Periodo Ref.]:[Check Periodo Ref.]]="Dentro",DATOS_[Conc.Sal.14]))))),
0)</f>
        <v>0</v>
      </c>
      <c r="T10" s="93">
        <f t="array" ref="T10">IFERROR(
(AVERAGE((IF(DATOS_[[Sexo]:[Sexo]]=$B10,IF(DATOS_[[Check Periodo Ref.]:[Check Periodo Ref.]]="Dentro",DATOS_[Conc.Sal.15]))))),
0)</f>
        <v>0</v>
      </c>
      <c r="U10" s="93">
        <f t="array" ref="U10">IFERROR(
(AVERAGE((IF(DATOS_[[Sexo]:[Sexo]]=$B10,IF(DATOS_[[Check Periodo Ref.]:[Check Periodo Ref.]]="Dentro",DATOS_[Conc.Sal.16]))))),
0)</f>
        <v>0</v>
      </c>
      <c r="V10" s="93">
        <f t="array" ref="V10">IFERROR(
(AVERAGE((IF(DATOS_[[Sexo]:[Sexo]]=$B10,IF(DATOS_[[Check Periodo Ref.]:[Check Periodo Ref.]]="Dentro",DATOS_[Conc.Sal.17]))))),
0)</f>
        <v>0</v>
      </c>
      <c r="W10" s="93">
        <f t="array" ref="W10">IFERROR(
(AVERAGE((IF(DATOS_[[Sexo]:[Sexo]]=$B10,IF(DATOS_[[Check Periodo Ref.]:[Check Periodo Ref.]]="Dentro",DATOS_[Conc.Sal.18]))))),
0)</f>
        <v>0</v>
      </c>
      <c r="X10" s="93">
        <f t="array" ref="X10">IFERROR(
(AVERAGE((IF(DATOS_[[Sexo]:[Sexo]]=$B10,IF(DATOS_[[Check Periodo Ref.]:[Check Periodo Ref.]]="Dentro",DATOS_[Conc.Sal.19]))))),
0)</f>
        <v>0</v>
      </c>
      <c r="Y10" s="93">
        <f t="array" ref="Y10">IFERROR(
(AVERAGE((IF(DATOS_[[Sexo]:[Sexo]]=$B10,IF(DATOS_[[Check Periodo Ref.]:[Check Periodo Ref.]]="Dentro",DATOS_[Conc.Sal.20]))))),
0)</f>
        <v>0</v>
      </c>
      <c r="Z10" s="93">
        <f t="array" ref="Z10">IFERROR(
(AVERAGE((IF(DATOS_[[Sexo]:[Sexo]]=$B10,IF(DATOS_[[Check Periodo Ref.]:[Check Periodo Ref.]]="Dentro",DATOS_[Conc.Sal.21]))))),
0)</f>
        <v>0</v>
      </c>
      <c r="AA10" s="93">
        <f t="array" ref="AA10">IFERROR(
(AVERAGE((IF(DATOS_[[Sexo]:[Sexo]]=$B10,IF(DATOS_[[Check Periodo Ref.]:[Check Periodo Ref.]]="Dentro",DATOS_[Conc.Sal.22]))))),
0)</f>
        <v>0</v>
      </c>
      <c r="AB10" s="93">
        <f t="array" ref="AB10">IFERROR(
(AVERAGE((IF(DATOS_[[Sexo]:[Sexo]]=$B10,IF(DATOS_[[Check Periodo Ref.]:[Check Periodo Ref.]]="Dentro",DATOS_[Conc.Sal.23]))))),
0)</f>
        <v>0</v>
      </c>
      <c r="AC10" s="93">
        <f t="array" ref="AC10">IFERROR(
(AVERAGE((IF(DATOS_[[Sexo]:[Sexo]]=$B10,IF(DATOS_[[Check Periodo Ref.]:[Check Periodo Ref.]]="Dentro",DATOS_[Conc.Sal.24]))))),
0)</f>
        <v>0</v>
      </c>
      <c r="AD10" s="93">
        <f t="array" ref="AD10">IFERROR(
(AVERAGE((IF(DATOS_[[Sexo]:[Sexo]]=$B10,IF(DATOS_[[Check Periodo Ref.]:[Check Periodo Ref.]]="Dentro",DATOS_[Conc.Sal.25]))))),
0)</f>
        <v>0</v>
      </c>
      <c r="AE10" s="93">
        <f t="array" ref="AE10">IFERROR(
(AVERAGE((IF(DATOS_[[Sexo]:[Sexo]]=$B10,IF(DATOS_[[Check Periodo Ref.]:[Check Periodo Ref.]]="Dentro",DATOS_[Conc.Sal.26]))))),
0)</f>
        <v>0</v>
      </c>
      <c r="AF10" s="93">
        <f t="array" ref="AF10">IFERROR(
(AVERAGE((IF(DATOS_[[Sexo]:[Sexo]]=$B10,IF(DATOS_[[Check Periodo Ref.]:[Check Periodo Ref.]]="Dentro",DATOS_[Conc.Sal.27]))))),
0)</f>
        <v>0</v>
      </c>
      <c r="AG10" s="93">
        <f t="array" ref="AG10">IFERROR(
(AVERAGE((IF(DATOS_[[Sexo]:[Sexo]]=$B10,IF(DATOS_[[Check Periodo Ref.]:[Check Periodo Ref.]]="Dentro",DATOS_[Conc.Sal.28]))))),
0)</f>
        <v>0</v>
      </c>
      <c r="AH10" s="93">
        <f t="array" ref="AH10">IFERROR(
(AVERAGE((IF(DATOS_[[Sexo]:[Sexo]]=$B10,IF(DATOS_[[Check Periodo Ref.]:[Check Periodo Ref.]]="Dentro",DATOS_[Conc.Sal.29]))))),
0)</f>
        <v>0</v>
      </c>
      <c r="AI10" s="93">
        <f t="array" ref="AI10">IFERROR(
(AVERAGE((IF(DATOS_[[Sexo]:[Sexo]]=$B10,IF(DATOS_[[Check Periodo Ref.]:[Check Periodo Ref.]]="Dentro",DATOS_[Conc.Sal.30]))))),
0)</f>
        <v>0</v>
      </c>
      <c r="AJ10" s="94">
        <f t="array" ref="AJ10">IFERROR(
AVERAGE(IF(DATOS_[Sexo]=$B10,IF(DATOS_[Check Periodo Ref.]="Dentro",DATOS_[Tot COMPL.SAL Ef],FALSE))),
0)</f>
        <v>6020.1092152727342</v>
      </c>
      <c r="AK10" s="96">
        <f t="array" ref="AK10">IFERROR(
AVERAGE(IF(DATOS_[Sexo]=$B10,IF(DATOS_[Check Periodo Ref.]="Dentro",DATOS_[TOTAL SALARIO Ef],FALSE))),
0)</f>
        <v>18430.705136484859</v>
      </c>
      <c r="AL10" s="95">
        <f t="array" ref="AL10">IFERROR(
(AVERAGE((IF(DATOS_[[Sexo]:[Sexo]]=$B10,IF(DATOS_[[Check Periodo Ref.]:[Check Periodo Ref.]]="Dentro",DATOS_[C.Extra.01]))))),
0)</f>
        <v>58.909090909090907</v>
      </c>
      <c r="AM10" s="95">
        <f t="array" ref="AM10">IFERROR(
(AVERAGE((IF(DATOS_[[Sexo]:[Sexo]]=$B10,IF(DATOS_[[Check Periodo Ref.]:[Check Periodo Ref.]]="Dentro",DATOS_[C.Extra.02]))))),
0)</f>
        <v>0</v>
      </c>
      <c r="AN10" s="95">
        <f t="array" ref="AN10">IFERROR(
(AVERAGE((IF(DATOS_[[Sexo]:[Sexo]]=$B10,IF(DATOS_[[Check Periodo Ref.]:[Check Periodo Ref.]]="Dentro",DATOS_[C.Extra.03]))))),
0)</f>
        <v>49.090909090909093</v>
      </c>
      <c r="AO10" s="95">
        <f t="array" ref="AO10">IFERROR(
(AVERAGE((IF(DATOS_[[Sexo]:[Sexo]]=$B10,IF(DATOS_[[Check Periodo Ref.]:[Check Periodo Ref.]]="Dentro",DATOS_[C.Extra.04]))))),
0)</f>
        <v>43.354545454545452</v>
      </c>
      <c r="AP10" s="95">
        <f t="array" ref="AP10">IFERROR(
(AVERAGE((IF(DATOS_[[Sexo]:[Sexo]]=$B10,IF(DATOS_[[Check Periodo Ref.]:[Check Periodo Ref.]]="Dentro",DATOS_[C.Extra.05]))))),
0)</f>
        <v>0</v>
      </c>
      <c r="AQ10" s="97">
        <f t="array" ref="AQ10">IFERROR(
AVERAGE(IF(DATOS_[Sexo]=$B10,IF(DATOS_[Check Periodo Ref.]="Dentro",DATOS_[Tot Extrasalarial Ef],FALSE))),
0)</f>
        <v>151.35454545454544</v>
      </c>
      <c r="AR10" s="98">
        <f t="array" ref="AR10">IFERROR(
AVERAGE(IF(DATOS_[Sexo]=$B10,IF(DATOS_[Check Periodo Ref.]="Dentro",DATOS_[TOTAL Retrib Ef],FALSE))),
0)</f>
        <v>18582.059681939405</v>
      </c>
      <c r="AS10" s="344"/>
      <c r="AT10" s="309"/>
      <c r="AU10" s="309"/>
    </row>
    <row r="11" spans="1:47" s="48" customFormat="1" x14ac:dyDescent="0.3">
      <c r="B11" s="46" t="s">
        <v>163</v>
      </c>
      <c r="C11" s="45">
        <f t="array" ref="C11">SUM(IF($B11=DATOS_[Sexo],
IF("Dentro"=DATOS_[Check Periodo Ref.],
1/(COUNTIFS(DATOS_[Sexo],$B11,DATOS_[Check Periodo Ref.],"Dentro",DATOS_[id],DATOS_[id])))))</f>
        <v>106</v>
      </c>
      <c r="D11" s="47">
        <f>COUNTIFS(DATOS_[AGRUP. VALOR. PTO.],"&lt;&gt;",DATOS_[Sexo],$B11,DATOS_[Check Periodo Ref.],"Dentro")</f>
        <v>115</v>
      </c>
      <c r="E11" s="92">
        <f t="array" ref="E11">IFERROR(
AVERAGE(IF(DATOS_[Sexo]=$B11,IF(DATOS_[Check Periodo Ref.]="Dentro",DATOS_[SALARIO BASE Ef],FALSE))),
0)</f>
        <v>10962.400677536227</v>
      </c>
      <c r="F11" s="93">
        <f t="array" ref="F11">IFERROR(
(AVERAGE((IF(DATOS_[[Sexo]:[Sexo]]=$B11,IF(DATOS_[[Check Periodo Ref.]:[Check Periodo Ref.]]="Dentro",DATOS_[Conc.Sal.01]))))),
0)</f>
        <v>1228.585226811593</v>
      </c>
      <c r="G11" s="93">
        <f t="array" ref="G11">IFERROR(
(AVERAGE((IF(DATOS_[[Sexo]:[Sexo]]=$B11,IF(DATOS_[[Check Periodo Ref.]:[Check Periodo Ref.]]="Dentro",DATOS_[Conc.Sal.02]))))),
0)</f>
        <v>772.76158078260812</v>
      </c>
      <c r="H11" s="93">
        <f t="array" ref="H11">IFERROR(
(AVERAGE((IF(DATOS_[[Sexo]:[Sexo]]=$B11,IF(DATOS_[[Check Periodo Ref.]:[Check Periodo Ref.]]="Dentro",DATOS_[Conc.Sal.03]))))),
0)</f>
        <v>489.73913043478262</v>
      </c>
      <c r="I11" s="93">
        <f t="array" ref="I11">IFERROR(
(AVERAGE((IF(DATOS_[[Sexo]:[Sexo]]=$B11,IF(DATOS_[[Check Periodo Ref.]:[Check Periodo Ref.]]="Dentro",DATOS_[Conc.Sal.04]))))),
0)</f>
        <v>115.65217391304348</v>
      </c>
      <c r="J11" s="93">
        <f t="array" ref="J11">IFERROR(
(AVERAGE((IF(DATOS_[[Sexo]:[Sexo]]=$B11,IF(DATOS_[[Check Periodo Ref.]:[Check Periodo Ref.]]="Dentro",DATOS_[Conc.Sal.05]))))),
0)</f>
        <v>60.869565217391305</v>
      </c>
      <c r="K11" s="93">
        <f t="array" ref="K11">IFERROR(
(AVERAGE((IF(DATOS_[[Sexo]:[Sexo]]=$B11,IF(DATOS_[[Check Periodo Ref.]:[Check Periodo Ref.]]="Dentro",DATOS_[Conc.Sal.06]))))),
0)</f>
        <v>78.260869565217391</v>
      </c>
      <c r="L11" s="93">
        <f t="array" ref="L11">IFERROR(
(AVERAGE((IF(DATOS_[[Sexo]:[Sexo]]=$B11,IF(DATOS_[[Check Periodo Ref.]:[Check Periodo Ref.]]="Dentro",DATOS_[Conc.Sal.07]))))),
0)</f>
        <v>76.173913043478265</v>
      </c>
      <c r="M11" s="93">
        <f t="array" ref="M11">IFERROR(
(AVERAGE((IF(DATOS_[[Sexo]:[Sexo]]=$B11,IF(DATOS_[[Check Periodo Ref.]:[Check Periodo Ref.]]="Dentro",DATOS_[Conc.Sal.08]))))),
0)</f>
        <v>0</v>
      </c>
      <c r="N11" s="93">
        <f t="array" ref="N11">IFERROR(
(AVERAGE((IF(DATOS_[[Sexo]:[Sexo]]=$B11,IF(DATOS_[[Check Periodo Ref.]:[Check Periodo Ref.]]="Dentro",DATOS_[Conc.Sal.09]))))),
0)</f>
        <v>0</v>
      </c>
      <c r="O11" s="93">
        <f t="array" ref="O11">IFERROR(
(AVERAGE((IF(DATOS_[[Sexo]:[Sexo]]=$B11,IF(DATOS_[[Check Periodo Ref.]:[Check Periodo Ref.]]="Dentro",DATOS_[Conc.Sal.10]))))),
0)</f>
        <v>0</v>
      </c>
      <c r="P11" s="93">
        <f t="array" ref="P11">IFERROR(
(AVERAGE((IF(DATOS_[[Sexo]:[Sexo]]=$B11,IF(DATOS_[[Check Periodo Ref.]:[Check Periodo Ref.]]="Dentro",DATOS_[Conc.Sal.11]))))),
0)</f>
        <v>0</v>
      </c>
      <c r="Q11" s="93">
        <f t="array" ref="Q11">IFERROR(
(AVERAGE((IF(DATOS_[[Sexo]:[Sexo]]=$B11,IF(DATOS_[[Check Periodo Ref.]:[Check Periodo Ref.]]="Dentro",DATOS_[Conc.Sal.12]))))),
0)</f>
        <v>0</v>
      </c>
      <c r="R11" s="93">
        <f t="array" ref="R11">IFERROR(
(AVERAGE((IF(DATOS_[[Sexo]:[Sexo]]=$B11,IF(DATOS_[[Check Periodo Ref.]:[Check Periodo Ref.]]="Dentro",DATOS_[Conc.Sal.13]))))),
0)</f>
        <v>0</v>
      </c>
      <c r="S11" s="93">
        <f t="array" ref="S11">IFERROR(
(AVERAGE((IF(DATOS_[[Sexo]:[Sexo]]=$B11,IF(DATOS_[[Check Periodo Ref.]:[Check Periodo Ref.]]="Dentro",DATOS_[Conc.Sal.14]))))),
0)</f>
        <v>0</v>
      </c>
      <c r="T11" s="93">
        <f t="array" ref="T11">IFERROR(
(AVERAGE((IF(DATOS_[[Sexo]:[Sexo]]=$B11,IF(DATOS_[[Check Periodo Ref.]:[Check Periodo Ref.]]="Dentro",DATOS_[Conc.Sal.15]))))),
0)</f>
        <v>0</v>
      </c>
      <c r="U11" s="93">
        <f t="array" ref="U11">IFERROR(
(AVERAGE((IF(DATOS_[[Sexo]:[Sexo]]=$B11,IF(DATOS_[[Check Periodo Ref.]:[Check Periodo Ref.]]="Dentro",DATOS_[Conc.Sal.16]))))),
0)</f>
        <v>0</v>
      </c>
      <c r="V11" s="93">
        <f t="array" ref="V11">IFERROR(
(AVERAGE((IF(DATOS_[[Sexo]:[Sexo]]=$B11,IF(DATOS_[[Check Periodo Ref.]:[Check Periodo Ref.]]="Dentro",DATOS_[Conc.Sal.17]))))),
0)</f>
        <v>0</v>
      </c>
      <c r="W11" s="93">
        <f t="array" ref="W11">IFERROR(
(AVERAGE((IF(DATOS_[[Sexo]:[Sexo]]=$B11,IF(DATOS_[[Check Periodo Ref.]:[Check Periodo Ref.]]="Dentro",DATOS_[Conc.Sal.18]))))),
0)</f>
        <v>0</v>
      </c>
      <c r="X11" s="93">
        <f t="array" ref="X11">IFERROR(
(AVERAGE((IF(DATOS_[[Sexo]:[Sexo]]=$B11,IF(DATOS_[[Check Periodo Ref.]:[Check Periodo Ref.]]="Dentro",DATOS_[Conc.Sal.19]))))),
0)</f>
        <v>0</v>
      </c>
      <c r="Y11" s="93">
        <f t="array" ref="Y11">IFERROR(
(AVERAGE((IF(DATOS_[[Sexo]:[Sexo]]=$B11,IF(DATOS_[[Check Periodo Ref.]:[Check Periodo Ref.]]="Dentro",DATOS_[Conc.Sal.20]))))),
0)</f>
        <v>0</v>
      </c>
      <c r="Z11" s="93">
        <f t="array" ref="Z11">IFERROR(
(AVERAGE((IF(DATOS_[[Sexo]:[Sexo]]=$B11,IF(DATOS_[[Check Periodo Ref.]:[Check Periodo Ref.]]="Dentro",DATOS_[Conc.Sal.21]))))),
0)</f>
        <v>0</v>
      </c>
      <c r="AA11" s="93">
        <f t="array" ref="AA11">IFERROR(
(AVERAGE((IF(DATOS_[[Sexo]:[Sexo]]=$B11,IF(DATOS_[[Check Periodo Ref.]:[Check Periodo Ref.]]="Dentro",DATOS_[Conc.Sal.22]))))),
0)</f>
        <v>0</v>
      </c>
      <c r="AB11" s="93">
        <f t="array" ref="AB11">IFERROR(
(AVERAGE((IF(DATOS_[[Sexo]:[Sexo]]=$B11,IF(DATOS_[[Check Periodo Ref.]:[Check Periodo Ref.]]="Dentro",DATOS_[Conc.Sal.23]))))),
0)</f>
        <v>0</v>
      </c>
      <c r="AC11" s="93">
        <f t="array" ref="AC11">IFERROR(
(AVERAGE((IF(DATOS_[[Sexo]:[Sexo]]=$B11,IF(DATOS_[[Check Periodo Ref.]:[Check Periodo Ref.]]="Dentro",DATOS_[Conc.Sal.24]))))),
0)</f>
        <v>0</v>
      </c>
      <c r="AD11" s="93">
        <f t="array" ref="AD11">IFERROR(
(AVERAGE((IF(DATOS_[[Sexo]:[Sexo]]=$B11,IF(DATOS_[[Check Periodo Ref.]:[Check Periodo Ref.]]="Dentro",DATOS_[Conc.Sal.25]))))),
0)</f>
        <v>0</v>
      </c>
      <c r="AE11" s="93">
        <f t="array" ref="AE11">IFERROR(
(AVERAGE((IF(DATOS_[[Sexo]:[Sexo]]=$B11,IF(DATOS_[[Check Periodo Ref.]:[Check Periodo Ref.]]="Dentro",DATOS_[Conc.Sal.26]))))),
0)</f>
        <v>0</v>
      </c>
      <c r="AF11" s="93">
        <f t="array" ref="AF11">IFERROR(
(AVERAGE((IF(DATOS_[[Sexo]:[Sexo]]=$B11,IF(DATOS_[[Check Periodo Ref.]:[Check Periodo Ref.]]="Dentro",DATOS_[Conc.Sal.27]))))),
0)</f>
        <v>0</v>
      </c>
      <c r="AG11" s="93">
        <f t="array" ref="AG11">IFERROR(
(AVERAGE((IF(DATOS_[[Sexo]:[Sexo]]=$B11,IF(DATOS_[[Check Periodo Ref.]:[Check Periodo Ref.]]="Dentro",DATOS_[Conc.Sal.28]))))),
0)</f>
        <v>0</v>
      </c>
      <c r="AH11" s="93">
        <f t="array" ref="AH11">IFERROR(
(AVERAGE((IF(DATOS_[[Sexo]:[Sexo]]=$B11,IF(DATOS_[[Check Periodo Ref.]:[Check Periodo Ref.]]="Dentro",DATOS_[Conc.Sal.29]))))),
0)</f>
        <v>0</v>
      </c>
      <c r="AI11" s="93">
        <f t="array" ref="AI11">IFERROR(
(AVERAGE((IF(DATOS_[[Sexo]:[Sexo]]=$B11,IF(DATOS_[[Check Periodo Ref.]:[Check Periodo Ref.]]="Dentro",DATOS_[Conc.Sal.30]))))),
0)</f>
        <v>0</v>
      </c>
      <c r="AJ11" s="94">
        <f t="array" ref="AJ11">IFERROR(
AVERAGE(IF(DATOS_[Sexo]=$B11,IF(DATOS_[Check Periodo Ref.]="Dentro",DATOS_[Tot COMPL.SAL Ef],FALSE))),
0)</f>
        <v>2822.0424597681122</v>
      </c>
      <c r="AK11" s="96">
        <f t="array" ref="AK11">IFERROR(
AVERAGE(IF(DATOS_[Sexo]=$B11,IF(DATOS_[Check Periodo Ref.]="Dentro",DATOS_[TOTAL SALARIO Ef],FALSE))),
0)</f>
        <v>13784.443137304357</v>
      </c>
      <c r="AL11" s="95">
        <f t="array" ref="AL11">IFERROR(
(AVERAGE((IF(DATOS_[[Sexo]:[Sexo]]=$B11,IF(DATOS_[[Check Periodo Ref.]:[Check Periodo Ref.]]="Dentro",DATOS_[C.Extra.01]))))),
0)</f>
        <v>2.0869565217391304</v>
      </c>
      <c r="AM11" s="95">
        <f t="array" ref="AM11">IFERROR(
(AVERAGE((IF(DATOS_[[Sexo]:[Sexo]]=$B11,IF(DATOS_[[Check Periodo Ref.]:[Check Periodo Ref.]]="Dentro",DATOS_[C.Extra.02]))))),
0)</f>
        <v>0</v>
      </c>
      <c r="AN11" s="95">
        <f t="array" ref="AN11">IFERROR(
(AVERAGE((IF(DATOS_[[Sexo]:[Sexo]]=$B11,IF(DATOS_[[Check Periodo Ref.]:[Check Periodo Ref.]]="Dentro",DATOS_[C.Extra.03]))))),
0)</f>
        <v>62.608695652173914</v>
      </c>
      <c r="AO11" s="95">
        <f t="array" ref="AO11">IFERROR(
(AVERAGE((IF(DATOS_[[Sexo]:[Sexo]]=$B11,IF(DATOS_[[Check Periodo Ref.]:[Check Periodo Ref.]]="Dentro",DATOS_[C.Extra.04]))))),
0)</f>
        <v>0</v>
      </c>
      <c r="AP11" s="95">
        <f t="array" ref="AP11">IFERROR(
(AVERAGE((IF(DATOS_[[Sexo]:[Sexo]]=$B11,IF(DATOS_[[Check Periodo Ref.]:[Check Periodo Ref.]]="Dentro",DATOS_[C.Extra.05]))))),
0)</f>
        <v>0</v>
      </c>
      <c r="AQ11" s="97">
        <f t="array" ref="AQ11">IFERROR(
AVERAGE(IF(DATOS_[Sexo]=$B11,IF(DATOS_[Check Periodo Ref.]="Dentro",DATOS_[Tot Extrasalarial Ef],FALSE))),
0)</f>
        <v>64.695652173913047</v>
      </c>
      <c r="AR11" s="98">
        <f t="array" ref="AR11">IFERROR(
AVERAGE(IF(DATOS_[Sexo]=$B11,IF(DATOS_[Check Periodo Ref.]="Dentro",DATOS_[TOTAL Retrib Ef],FALSE))),
0)</f>
        <v>13849.138789478271</v>
      </c>
      <c r="AS11" s="344"/>
      <c r="AT11" s="309"/>
      <c r="AU11" s="309"/>
    </row>
    <row r="12" spans="1:47" s="48" customFormat="1" x14ac:dyDescent="0.3">
      <c r="D12" s="49"/>
      <c r="J12" s="49"/>
      <c r="K12" s="50"/>
      <c r="L12" s="50"/>
      <c r="M12" s="50"/>
      <c r="N12" s="50"/>
      <c r="O12" s="50"/>
      <c r="P12" s="50"/>
      <c r="Q12" s="50"/>
      <c r="R12" s="50"/>
      <c r="S12" s="50"/>
      <c r="T12" s="50"/>
      <c r="U12" s="50"/>
      <c r="V12" s="49"/>
      <c r="W12" s="49"/>
      <c r="X12" s="49"/>
      <c r="Y12" s="49"/>
      <c r="Z12" s="49"/>
      <c r="AA12" s="49"/>
      <c r="AB12" s="49"/>
      <c r="AC12" s="49"/>
      <c r="AD12" s="49"/>
      <c r="AE12" s="49"/>
      <c r="AF12" s="49"/>
      <c r="AG12" s="49"/>
      <c r="AH12" s="49"/>
      <c r="AI12" s="49"/>
      <c r="AL12" s="50"/>
      <c r="AM12" s="50"/>
      <c r="AN12" s="50"/>
      <c r="AO12" s="50"/>
      <c r="AP12" s="50"/>
    </row>
    <row r="13" spans="1:47" s="48" customFormat="1" x14ac:dyDescent="0.3">
      <c r="D13" s="49"/>
      <c r="J13" s="49"/>
      <c r="K13" s="50"/>
      <c r="L13" s="50"/>
      <c r="M13" s="50"/>
      <c r="N13" s="50"/>
      <c r="O13" s="50"/>
      <c r="P13" s="50"/>
      <c r="Q13" s="50"/>
      <c r="R13" s="50"/>
      <c r="S13" s="50"/>
      <c r="T13" s="50"/>
      <c r="U13" s="50"/>
      <c r="V13" s="49"/>
      <c r="W13" s="49"/>
      <c r="X13" s="49"/>
      <c r="Y13" s="49"/>
      <c r="Z13" s="49"/>
      <c r="AA13" s="49"/>
      <c r="AB13" s="49"/>
      <c r="AC13" s="49"/>
      <c r="AD13" s="49"/>
      <c r="AE13" s="49"/>
      <c r="AF13" s="49"/>
      <c r="AG13" s="49"/>
      <c r="AH13" s="49"/>
      <c r="AI13" s="49"/>
      <c r="AL13" s="50"/>
      <c r="AM13" s="50"/>
      <c r="AN13" s="50"/>
      <c r="AO13" s="50"/>
      <c r="AP13" s="50"/>
    </row>
    <row r="14" spans="1:47" s="45" customFormat="1" ht="46.15" customHeight="1" x14ac:dyDescent="0.25">
      <c r="B14" s="43"/>
      <c r="C14" s="43" t="s">
        <v>225</v>
      </c>
      <c r="D14" s="43" t="s">
        <v>220</v>
      </c>
      <c r="E14" s="44" t="s">
        <v>223</v>
      </c>
      <c r="F14" s="178" t="str">
        <f>+F8</f>
        <v>MejVol</v>
      </c>
      <c r="G14" s="178" t="str">
        <f t="shared" ref="G14:AI14" si="3">+G8</f>
        <v>Antig.</v>
      </c>
      <c r="H14" s="178" t="str">
        <f t="shared" si="3"/>
        <v>Transporte</v>
      </c>
      <c r="I14" s="178" t="str">
        <f t="shared" si="3"/>
        <v>Ventas</v>
      </c>
      <c r="J14" s="178" t="str">
        <f t="shared" si="3"/>
        <v>Bonus</v>
      </c>
      <c r="K14" s="178" t="str">
        <f t="shared" si="3"/>
        <v>Coche</v>
      </c>
      <c r="L14" s="178" t="str">
        <f t="shared" si="3"/>
        <v>Cesta</v>
      </c>
      <c r="M14" s="178" t="str">
        <f t="shared" si="3"/>
        <v>Nocturnidad</v>
      </c>
      <c r="N14" s="178" t="str">
        <f t="shared" si="3"/>
        <v>[ocultar]</v>
      </c>
      <c r="O14" s="178" t="str">
        <f t="shared" si="3"/>
        <v>[ocultar]</v>
      </c>
      <c r="P14" s="178" t="str">
        <f t="shared" si="3"/>
        <v>[ocultar]</v>
      </c>
      <c r="Q14" s="178" t="str">
        <f t="shared" si="3"/>
        <v>[ocultar]</v>
      </c>
      <c r="R14" s="178" t="str">
        <f t="shared" si="3"/>
        <v>[ocultar]</v>
      </c>
      <c r="S14" s="178" t="str">
        <f t="shared" si="3"/>
        <v>[ocultar]</v>
      </c>
      <c r="T14" s="178" t="str">
        <f t="shared" si="3"/>
        <v>[ocultar]</v>
      </c>
      <c r="U14" s="178" t="str">
        <f t="shared" si="3"/>
        <v>[ocultar]</v>
      </c>
      <c r="V14" s="178" t="str">
        <f t="shared" si="3"/>
        <v>[ocultar]</v>
      </c>
      <c r="W14" s="178" t="str">
        <f t="shared" si="3"/>
        <v>[ocultar]</v>
      </c>
      <c r="X14" s="178" t="str">
        <f t="shared" si="3"/>
        <v>[ocultar]</v>
      </c>
      <c r="Y14" s="178" t="str">
        <f t="shared" si="3"/>
        <v>[ocultar]</v>
      </c>
      <c r="Z14" s="178" t="str">
        <f t="shared" si="3"/>
        <v>[ocultar]</v>
      </c>
      <c r="AA14" s="178" t="str">
        <f t="shared" si="3"/>
        <v>[ocultar]</v>
      </c>
      <c r="AB14" s="178" t="str">
        <f t="shared" si="3"/>
        <v>[ocultar]</v>
      </c>
      <c r="AC14" s="178" t="str">
        <f t="shared" si="3"/>
        <v>[ocultar]</v>
      </c>
      <c r="AD14" s="178" t="str">
        <f t="shared" si="3"/>
        <v>[ocultar]</v>
      </c>
      <c r="AE14" s="178" t="str">
        <f t="shared" si="3"/>
        <v>[ocultar]</v>
      </c>
      <c r="AF14" s="178" t="str">
        <f t="shared" si="3"/>
        <v>[ocultar]</v>
      </c>
      <c r="AG14" s="178" t="str">
        <f t="shared" si="3"/>
        <v>[ocultar]</v>
      </c>
      <c r="AH14" s="178" t="str">
        <f t="shared" si="3"/>
        <v>[ocultar]</v>
      </c>
      <c r="AI14" s="178" t="str">
        <f t="shared" si="3"/>
        <v>[ocultar]</v>
      </c>
      <c r="AJ14" s="69" t="s">
        <v>221</v>
      </c>
      <c r="AK14" s="70" t="s">
        <v>213</v>
      </c>
      <c r="AL14" s="183" t="str">
        <f>+AL8</f>
        <v>Dietas</v>
      </c>
      <c r="AM14" s="183" t="str">
        <f t="shared" ref="AM14:AP14" si="4">+AM8</f>
        <v>Indem</v>
      </c>
      <c r="AN14" s="183" t="str">
        <f t="shared" si="4"/>
        <v>ERTE</v>
      </c>
      <c r="AO14" s="183" t="str">
        <f t="shared" si="4"/>
        <v>IT</v>
      </c>
      <c r="AP14" s="183" t="str">
        <f t="shared" si="4"/>
        <v>[ocultar]</v>
      </c>
      <c r="AQ14" s="71" t="s">
        <v>222</v>
      </c>
      <c r="AR14" s="72" t="s">
        <v>214</v>
      </c>
    </row>
    <row r="15" spans="1:47" s="48" customFormat="1" ht="17.25" thickBot="1" x14ac:dyDescent="0.35">
      <c r="A15" s="48" t="str">
        <f>+A16</f>
        <v/>
      </c>
      <c r="B15" s="51" t="s">
        <v>308</v>
      </c>
      <c r="C15" s="91"/>
      <c r="D15" s="52"/>
      <c r="E15" s="139">
        <f t="shared" ref="E15" si="5">IFERROR((E16-E17)/E16,"")</f>
        <v>0.28385416666666652</v>
      </c>
      <c r="F15" s="179">
        <f>IFERROR((F16-F17)/F16,"")</f>
        <v>0.56953009217167949</v>
      </c>
      <c r="G15" s="180">
        <f t="shared" ref="G15:AR15" si="6">IFERROR((G16-G17)/G16,"")</f>
        <v>-0.24362244897959176</v>
      </c>
      <c r="H15" s="180" t="str">
        <f t="shared" si="6"/>
        <v/>
      </c>
      <c r="I15" s="180" t="str">
        <f t="shared" si="6"/>
        <v/>
      </c>
      <c r="J15" s="181">
        <f t="shared" si="6"/>
        <v>0.67592592592592593</v>
      </c>
      <c r="K15" s="182">
        <f t="shared" si="6"/>
        <v>0.35344827586206895</v>
      </c>
      <c r="L15" s="182">
        <f t="shared" si="6"/>
        <v>0</v>
      </c>
      <c r="M15" s="182" t="str">
        <f t="shared" si="6"/>
        <v/>
      </c>
      <c r="N15" s="182" t="str">
        <f t="shared" si="6"/>
        <v/>
      </c>
      <c r="O15" s="182" t="str">
        <f t="shared" si="6"/>
        <v/>
      </c>
      <c r="P15" s="182" t="str">
        <f t="shared" si="6"/>
        <v/>
      </c>
      <c r="Q15" s="182" t="str">
        <f t="shared" si="6"/>
        <v/>
      </c>
      <c r="R15" s="182" t="str">
        <f t="shared" si="6"/>
        <v/>
      </c>
      <c r="S15" s="182" t="str">
        <f t="shared" si="6"/>
        <v/>
      </c>
      <c r="T15" s="182" t="str">
        <f t="shared" si="6"/>
        <v/>
      </c>
      <c r="U15" s="182" t="str">
        <f t="shared" si="6"/>
        <v/>
      </c>
      <c r="V15" s="181" t="str">
        <f t="shared" si="6"/>
        <v/>
      </c>
      <c r="W15" s="181" t="str">
        <f t="shared" si="6"/>
        <v/>
      </c>
      <c r="X15" s="181" t="str">
        <f t="shared" si="6"/>
        <v/>
      </c>
      <c r="Y15" s="181" t="str">
        <f t="shared" si="6"/>
        <v/>
      </c>
      <c r="Z15" s="181" t="str">
        <f t="shared" si="6"/>
        <v/>
      </c>
      <c r="AA15" s="181" t="str">
        <f t="shared" si="6"/>
        <v/>
      </c>
      <c r="AB15" s="181" t="str">
        <f t="shared" si="6"/>
        <v/>
      </c>
      <c r="AC15" s="181" t="str">
        <f t="shared" si="6"/>
        <v/>
      </c>
      <c r="AD15" s="181" t="str">
        <f t="shared" si="6"/>
        <v/>
      </c>
      <c r="AE15" s="181" t="str">
        <f t="shared" si="6"/>
        <v/>
      </c>
      <c r="AF15" s="181" t="str">
        <f t="shared" si="6"/>
        <v/>
      </c>
      <c r="AG15" s="181" t="str">
        <f t="shared" si="6"/>
        <v/>
      </c>
      <c r="AH15" s="181" t="str">
        <f t="shared" si="6"/>
        <v/>
      </c>
      <c r="AI15" s="181" t="str">
        <f t="shared" si="6"/>
        <v/>
      </c>
      <c r="AJ15" s="140">
        <f t="shared" si="6"/>
        <v>0.52851129401746677</v>
      </c>
      <c r="AK15" s="143">
        <f t="shared" si="6"/>
        <v>0.44744107428492608</v>
      </c>
      <c r="AL15" s="184">
        <f t="shared" si="6"/>
        <v>1</v>
      </c>
      <c r="AM15" s="184" t="str">
        <f t="shared" si="6"/>
        <v/>
      </c>
      <c r="AN15" s="184" t="str">
        <f t="shared" si="6"/>
        <v/>
      </c>
      <c r="AO15" s="184" t="str">
        <f t="shared" si="6"/>
        <v/>
      </c>
      <c r="AP15" s="184" t="str">
        <f t="shared" si="6"/>
        <v/>
      </c>
      <c r="AQ15" s="141">
        <f t="shared" si="6"/>
        <v>1</v>
      </c>
      <c r="AR15" s="142">
        <f t="shared" si="6"/>
        <v>0.45951136476372734</v>
      </c>
    </row>
    <row r="16" spans="1:47" s="48" customFormat="1" x14ac:dyDescent="0.3">
      <c r="A16" s="48" t="str">
        <f>+IF(C16+C17=0,"[ocultar]","")</f>
        <v/>
      </c>
      <c r="B16" s="46" t="s">
        <v>162</v>
      </c>
      <c r="C16" s="45">
        <f t="array" ref="C16">SUM(IF($B16=DATOS_[Sexo],
IF($B15=DATOS_[AGRUP. VALOR. PTO.],
IF("Dentro"=DATOS_[Check Periodo Ref.],
1/(COUNTIFS(DATOS_[Sexo],$B16,DATOS_[AGRUP. VALOR. PTO.],$B15,DATOS_[Check Periodo Ref.],"Dentro",DATOS_[id],DATOS_[id]))))))</f>
        <v>5</v>
      </c>
      <c r="D16" s="47">
        <f>COUNTIFS(DATOS_[AGRUP. VALOR. PTO.],$B15,DATOS_[Sexo],$B16,DATOS_[Check Periodo Ref.],"Dentro")</f>
        <v>5</v>
      </c>
      <c r="E16" s="92">
        <f t="array" ref="E16">IFERROR(
AVERAGE(IF(DATOS_[Sexo]=$B16,IF(DATOS_[AGRUP. VALOR. PTO.]=$B15,IF(DATOS_[Check Periodo Ref.]="Dentro",DATOS_[SALARIO BASE Ef],FALSE)))),
0)</f>
        <v>17805.475199999997</v>
      </c>
      <c r="F16" s="93">
        <f t="array" ref="F16">IFERROR(
AVERAGE((IF(DATOS_[[Sexo]:[Sexo]]=$B16,IF(DATOS_[[AGRUP. VALOR. PTO.]:[AGRUP. VALOR. PTO.]]=$B15,IF(DATOS_[[Check Periodo Ref.]:[Check Periodo Ref.]]="Dentro",DATOS_[Conc.Sal.01]))))),
0)</f>
        <v>25394.524800000003</v>
      </c>
      <c r="G16" s="93">
        <f t="array" ref="G16">IFERROR(
AVERAGE((IF(DATOS_[[Sexo]:[Sexo]]=$B16,IF(DATOS_[[AGRUP. VALOR. PTO.]:[AGRUP. VALOR. PTO.]]=$B15,IF(DATOS_[[Check Periodo Ref.]:[Check Periodo Ref.]]="Dentro",DATOS_[Conc.Sal.02]))))),
0)</f>
        <v>1454.1138080000001</v>
      </c>
      <c r="H16" s="93">
        <f t="array" ref="H16">IFERROR(
AVERAGE((IF(DATOS_[[Sexo]:[Sexo]]=$B16,IF(DATOS_[[AGRUP. VALOR. PTO.]:[AGRUP. VALOR. PTO.]]=$B15,IF(DATOS_[[Check Periodo Ref.]:[Check Periodo Ref.]]="Dentro",DATOS_[Conc.Sal.03]))))),
0)</f>
        <v>0</v>
      </c>
      <c r="I16" s="93">
        <f t="array" ref="I16">IFERROR(
AVERAGE((IF(DATOS_[[Sexo]:[Sexo]]=$B16,IF(DATOS_[[AGRUP. VALOR. PTO.]:[AGRUP. VALOR. PTO.]]=$B15,IF(DATOS_[[Check Periodo Ref.]:[Check Periodo Ref.]]="Dentro",DATOS_[Conc.Sal.04]))))),
0)</f>
        <v>0</v>
      </c>
      <c r="J16" s="93">
        <f t="array" ref="J16">IFERROR(
AVERAGE((IF(DATOS_[[Sexo]:[Sexo]]=$B16,IF(DATOS_[[AGRUP. VALOR. PTO.]:[AGRUP. VALOR. PTO.]]=$B15,IF(DATOS_[[Check Periodo Ref.]:[Check Periodo Ref.]]="Dentro",DATOS_[Conc.Sal.05]))))),
0)</f>
        <v>5400</v>
      </c>
      <c r="K16" s="93">
        <f t="array" ref="K16">IFERROR(
AVERAGE((IF(DATOS_[[Sexo]:[Sexo]]=$B16,IF(DATOS_[[AGRUP. VALOR. PTO.]:[AGRUP. VALOR. PTO.]]=$B15,IF(DATOS_[[Check Periodo Ref.]:[Check Periodo Ref.]]="Dentro",DATOS_[Conc.Sal.06]))))),
0)</f>
        <v>3480</v>
      </c>
      <c r="L16" s="93">
        <f t="array" ref="L16">IFERROR(
AVERAGE((IF(DATOS_[[Sexo]:[Sexo]]=$B16,IF(DATOS_[[AGRUP. VALOR. PTO.]:[AGRUP. VALOR. PTO.]]=$B15,IF(DATOS_[[Check Periodo Ref.]:[Check Periodo Ref.]]="Dentro",DATOS_[Conc.Sal.07]))))),
0)</f>
        <v>200</v>
      </c>
      <c r="M16" s="93">
        <f t="array" ref="M16">IFERROR(
AVERAGE((IF(DATOS_[[Sexo]:[Sexo]]=$B16,IF(DATOS_[[AGRUP. VALOR. PTO.]:[AGRUP. VALOR. PTO.]]=$B15,IF(DATOS_[[Check Periodo Ref.]:[Check Periodo Ref.]]="Dentro",DATOS_[Conc.Sal.08]))))),
0)</f>
        <v>0</v>
      </c>
      <c r="N16" s="93">
        <f t="array" ref="N16">IFERROR(
AVERAGE((IF(DATOS_[[Sexo]:[Sexo]]=$B16,IF(DATOS_[[AGRUP. VALOR. PTO.]:[AGRUP. VALOR. PTO.]]=$B15,IF(DATOS_[[Check Periodo Ref.]:[Check Periodo Ref.]]="Dentro",DATOS_[Conc.Sal.09]))))),
0)</f>
        <v>0</v>
      </c>
      <c r="O16" s="93">
        <f t="array" ref="O16">IFERROR(
AVERAGE((IF(DATOS_[[Sexo]:[Sexo]]=$B16,IF(DATOS_[[AGRUP. VALOR. PTO.]:[AGRUP. VALOR. PTO.]]=$B15,IF(DATOS_[[Check Periodo Ref.]:[Check Periodo Ref.]]="Dentro",DATOS_[Conc.Sal.10]))))),
0)</f>
        <v>0</v>
      </c>
      <c r="P16" s="93">
        <f t="array" ref="P16">IFERROR(
AVERAGE((IF(DATOS_[[Sexo]:[Sexo]]=$B16,IF(DATOS_[[AGRUP. VALOR. PTO.]:[AGRUP. VALOR. PTO.]]=$B15,IF(DATOS_[[Check Periodo Ref.]:[Check Periodo Ref.]]="Dentro",DATOS_[Conc.Sal.11]))))),
0)</f>
        <v>0</v>
      </c>
      <c r="Q16" s="93">
        <f t="array" ref="Q16">IFERROR(
AVERAGE((IF(DATOS_[[Sexo]:[Sexo]]=$B16,IF(DATOS_[[AGRUP. VALOR. PTO.]:[AGRUP. VALOR. PTO.]]=$B15,IF(DATOS_[[Check Periodo Ref.]:[Check Periodo Ref.]]="Dentro",DATOS_[Conc.Sal.12]))))),
0)</f>
        <v>0</v>
      </c>
      <c r="R16" s="93">
        <f t="array" ref="R16">IFERROR(
AVERAGE((IF(DATOS_[[Sexo]:[Sexo]]=$B16,IF(DATOS_[[AGRUP. VALOR. PTO.]:[AGRUP. VALOR. PTO.]]=$B15,IF(DATOS_[[Check Periodo Ref.]:[Check Periodo Ref.]]="Dentro",DATOS_[Conc.Sal.13]))))),
0)</f>
        <v>0</v>
      </c>
      <c r="S16" s="93">
        <f t="array" ref="S16">IFERROR(
AVERAGE((IF(DATOS_[[Sexo]:[Sexo]]=$B16,IF(DATOS_[[AGRUP. VALOR. PTO.]:[AGRUP. VALOR. PTO.]]=$B15,IF(DATOS_[[Check Periodo Ref.]:[Check Periodo Ref.]]="Dentro",DATOS_[Conc.Sal.14]))))),
0)</f>
        <v>0</v>
      </c>
      <c r="T16" s="93">
        <f t="array" ref="T16">IFERROR(
AVERAGE((IF(DATOS_[[Sexo]:[Sexo]]=$B16,IF(DATOS_[[AGRUP. VALOR. PTO.]:[AGRUP. VALOR. PTO.]]=$B15,IF(DATOS_[[Check Periodo Ref.]:[Check Periodo Ref.]]="Dentro",DATOS_[Conc.Sal.15]))))),
0)</f>
        <v>0</v>
      </c>
      <c r="U16" s="93">
        <f t="array" ref="U16">IFERROR(
AVERAGE((IF(DATOS_[[Sexo]:[Sexo]]=$B16,IF(DATOS_[[AGRUP. VALOR. PTO.]:[AGRUP. VALOR. PTO.]]=$B15,IF(DATOS_[[Check Periodo Ref.]:[Check Periodo Ref.]]="Dentro",DATOS_[Conc.Sal.16]))))),
0)</f>
        <v>0</v>
      </c>
      <c r="V16" s="93">
        <f t="array" ref="V16">IFERROR(
AVERAGE((IF(DATOS_[[Sexo]:[Sexo]]=$B16,IF(DATOS_[[AGRUP. VALOR. PTO.]:[AGRUP. VALOR. PTO.]]=$B15,IF(DATOS_[[Check Periodo Ref.]:[Check Periodo Ref.]]="Dentro",DATOS_[Conc.Sal.17]))))),
0)</f>
        <v>0</v>
      </c>
      <c r="W16" s="93">
        <f t="array" ref="W16">IFERROR(
AVERAGE((IF(DATOS_[[Sexo]:[Sexo]]=$B16,IF(DATOS_[[AGRUP. VALOR. PTO.]:[AGRUP. VALOR. PTO.]]=$B15,IF(DATOS_[[Check Periodo Ref.]:[Check Periodo Ref.]]="Dentro",DATOS_[Conc.Sal.18]))))),
0)</f>
        <v>0</v>
      </c>
      <c r="X16" s="93">
        <f t="array" ref="X16">IFERROR(
AVERAGE((IF(DATOS_[[Sexo]:[Sexo]]=$B16,IF(DATOS_[[AGRUP. VALOR. PTO.]:[AGRUP. VALOR. PTO.]]=$B15,IF(DATOS_[[Check Periodo Ref.]:[Check Periodo Ref.]]="Dentro",DATOS_[Conc.Sal.19]))))),
0)</f>
        <v>0</v>
      </c>
      <c r="Y16" s="93">
        <f t="array" ref="Y16">IFERROR(
AVERAGE((IF(DATOS_[[Sexo]:[Sexo]]=$B16,IF(DATOS_[[AGRUP. VALOR. PTO.]:[AGRUP. VALOR. PTO.]]=$B15,IF(DATOS_[[Check Periodo Ref.]:[Check Periodo Ref.]]="Dentro",DATOS_[Conc.Sal.20]))))),
0)</f>
        <v>0</v>
      </c>
      <c r="Z16" s="93">
        <f t="array" ref="Z16">IFERROR(
AVERAGE((IF(DATOS_[[Sexo]:[Sexo]]=$B16,IF(DATOS_[[AGRUP. VALOR. PTO.]:[AGRUP. VALOR. PTO.]]=$B15,IF(DATOS_[[Check Periodo Ref.]:[Check Periodo Ref.]]="Dentro",DATOS_[Conc.Sal.21]))))),
0)</f>
        <v>0</v>
      </c>
      <c r="AA16" s="93">
        <f t="array" ref="AA16">IFERROR(
AVERAGE((IF(DATOS_[[Sexo]:[Sexo]]=$B16,IF(DATOS_[[AGRUP. VALOR. PTO.]:[AGRUP. VALOR. PTO.]]=$B15,IF(DATOS_[[Check Periodo Ref.]:[Check Periodo Ref.]]="Dentro",DATOS_[Conc.Sal.22]))))),
0)</f>
        <v>0</v>
      </c>
      <c r="AB16" s="93">
        <f t="array" ref="AB16">IFERROR(
AVERAGE((IF(DATOS_[[Sexo]:[Sexo]]=$B16,IF(DATOS_[[AGRUP. VALOR. PTO.]:[AGRUP. VALOR. PTO.]]=$B15,IF(DATOS_[[Check Periodo Ref.]:[Check Periodo Ref.]]="Dentro",DATOS_[Conc.Sal.23]))))),
0)</f>
        <v>0</v>
      </c>
      <c r="AC16" s="93">
        <f t="array" ref="AC16">IFERROR(
AVERAGE((IF(DATOS_[[Sexo]:[Sexo]]=$B16,IF(DATOS_[[AGRUP. VALOR. PTO.]:[AGRUP. VALOR. PTO.]]=$B15,IF(DATOS_[[Check Periodo Ref.]:[Check Periodo Ref.]]="Dentro",DATOS_[Conc.Sal.24]))))),
0)</f>
        <v>0</v>
      </c>
      <c r="AD16" s="93">
        <f t="array" ref="AD16">IFERROR(
AVERAGE((IF(DATOS_[[Sexo]:[Sexo]]=$B16,IF(DATOS_[[AGRUP. VALOR. PTO.]:[AGRUP. VALOR. PTO.]]=$B15,IF(DATOS_[[Check Periodo Ref.]:[Check Periodo Ref.]]="Dentro",DATOS_[Conc.Sal.25]))))),
0)</f>
        <v>0</v>
      </c>
      <c r="AE16" s="93">
        <f t="array" ref="AE16">IFERROR(
AVERAGE((IF(DATOS_[[Sexo]:[Sexo]]=$B16,IF(DATOS_[[AGRUP. VALOR. PTO.]:[AGRUP. VALOR. PTO.]]=$B15,IF(DATOS_[[Check Periodo Ref.]:[Check Periodo Ref.]]="Dentro",DATOS_[Conc.Sal.26]))))),
0)</f>
        <v>0</v>
      </c>
      <c r="AF16" s="93">
        <f t="array" ref="AF16">IFERROR(
AVERAGE((IF(DATOS_[[Sexo]:[Sexo]]=$B16,IF(DATOS_[[AGRUP. VALOR. PTO.]:[AGRUP. VALOR. PTO.]]=$B15,IF(DATOS_[[Check Periodo Ref.]:[Check Periodo Ref.]]="Dentro",DATOS_[Conc.Sal.27]))))),
0)</f>
        <v>0</v>
      </c>
      <c r="AG16" s="93">
        <f t="array" ref="AG16">IFERROR(
AVERAGE((IF(DATOS_[[Sexo]:[Sexo]]=$B16,IF(DATOS_[[AGRUP. VALOR. PTO.]:[AGRUP. VALOR. PTO.]]=$B15,IF(DATOS_[[Check Periodo Ref.]:[Check Periodo Ref.]]="Dentro",DATOS_[Conc.Sal.28]))))),
0)</f>
        <v>0</v>
      </c>
      <c r="AH16" s="93">
        <f t="array" ref="AH16">IFERROR(
AVERAGE((IF(DATOS_[[Sexo]:[Sexo]]=$B16,IF(DATOS_[[AGRUP. VALOR. PTO.]:[AGRUP. VALOR. PTO.]]=$B15,IF(DATOS_[[Check Periodo Ref.]:[Check Periodo Ref.]]="Dentro",DATOS_[Conc.Sal.29]))))),
0)</f>
        <v>0</v>
      </c>
      <c r="AI16" s="93">
        <f t="array" ref="AI16">IFERROR(
AVERAGE((IF(DATOS_[[Sexo]:[Sexo]]=$B16,IF(DATOS_[[AGRUP. VALOR. PTO.]:[AGRUP. VALOR. PTO.]]=$B15,IF(DATOS_[[Check Periodo Ref.]:[Check Periodo Ref.]]="Dentro",DATOS_[Conc.Sal.30]))))),
0)</f>
        <v>0</v>
      </c>
      <c r="AJ16" s="94">
        <f t="array" ref="AJ16">IFERROR(
AVERAGE(IF(DATOS_[Sexo]=$B16,IF(DATOS_[AGRUP. VALOR. PTO.]=$B15,IF(DATOS_[Check Periodo Ref.]="Dentro",DATOS_[Tot COMPL.SAL Ef],FALSE)))),
0)</f>
        <v>35928.638607999994</v>
      </c>
      <c r="AK16" s="96">
        <f t="array" ref="AK16">IFERROR(
AVERAGE(IF(DATOS_[Sexo]=$B16,IF(DATOS_[AGRUP. VALOR. PTO.]=$B15,IF(DATOS_[Check Periodo Ref.]="Dentro",DATOS_[TOTAL SALARIO Ef],FALSE)))),
0)</f>
        <v>53734.113807999995</v>
      </c>
      <c r="AL16" s="95">
        <f t="array" ref="AL16">IFERROR(
AVERAGE((IF(DATOS_[[Sexo]:[Sexo]]=$B16,IF(DATOS_[[AGRUP. VALOR. PTO.]:[AGRUP. VALOR. PTO.]]=$B15,IF(DATOS_[[Check Periodo Ref.]:[Check Periodo Ref.]]="Dentro",DATOS_[C.Extra.01]))))),
0)</f>
        <v>1200</v>
      </c>
      <c r="AM16" s="95">
        <f t="array" ref="AM16">IFERROR(
AVERAGE((IF(DATOS_[[Sexo]:[Sexo]]=$B16,IF(DATOS_[[AGRUP. VALOR. PTO.]:[AGRUP. VALOR. PTO.]]=$B15,IF(DATOS_[[Check Periodo Ref.]:[Check Periodo Ref.]]="Dentro",DATOS_[C.Extra.02]))))),
0)</f>
        <v>0</v>
      </c>
      <c r="AN16" s="95">
        <f t="array" ref="AN16">IFERROR(
AVERAGE((IF(DATOS_[[Sexo]:[Sexo]]=$B16,IF(DATOS_[[AGRUP. VALOR. PTO.]:[AGRUP. VALOR. PTO.]]=$B15,IF(DATOS_[[Check Periodo Ref.]:[Check Periodo Ref.]]="Dentro",DATOS_[C.Extra.03]))))),
0)</f>
        <v>0</v>
      </c>
      <c r="AO16" s="95">
        <f t="array" ref="AO16">IFERROR(
AVERAGE((IF(DATOS_[[Sexo]:[Sexo]]=$B16,IF(DATOS_[[AGRUP. VALOR. PTO.]:[AGRUP. VALOR. PTO.]]=$B15,IF(DATOS_[[Check Periodo Ref.]:[Check Periodo Ref.]]="Dentro",DATOS_[C.Extra.04]))))),
0)</f>
        <v>0</v>
      </c>
      <c r="AP16" s="95">
        <f t="array" ref="AP16">IFERROR(
AVERAGE((IF(DATOS_[[Sexo]:[Sexo]]=$B16,IF(DATOS_[[AGRUP. VALOR. PTO.]:[AGRUP. VALOR. PTO.]]=$B15,IF(DATOS_[[Check Periodo Ref.]:[Check Periodo Ref.]]="Dentro",DATOS_[C.Extra.05]))))),
0)</f>
        <v>0</v>
      </c>
      <c r="AQ16" s="97">
        <f t="array" ref="AQ16">IFERROR(
AVERAGE(IF(DATOS_[Sexo]=$B16,IF(DATOS_[AGRUP. VALOR. PTO.]=$B15,IF(DATOS_[Check Periodo Ref.]="Dentro",DATOS_[Tot Extrasalarial Ef],FALSE)))),
0)</f>
        <v>1200</v>
      </c>
      <c r="AR16" s="98">
        <f t="array" ref="AR16">IFERROR(
AVERAGE(IF(DATOS_[Sexo]=$B16,IF(DATOS_[AGRUP. VALOR. PTO.]=$B15,IF(DATOS_[Check Periodo Ref.]="Dentro",DATOS_[TOTAL Retrib Ef],FALSE)))),
0)</f>
        <v>54934.113807999995</v>
      </c>
    </row>
    <row r="17" spans="1:44" s="48" customFormat="1" x14ac:dyDescent="0.3">
      <c r="A17" s="48" t="str">
        <f>+A16</f>
        <v/>
      </c>
      <c r="B17" s="46" t="s">
        <v>163</v>
      </c>
      <c r="C17" s="45">
        <f t="array" ref="C17">SUM(IF($B17=DATOS_[Sexo],
IF($B15=DATOS_[AGRUP. VALOR. PTO.],
IF("Dentro"=DATOS_[Check Periodo Ref.],
1/(COUNTIFS(DATOS_[Sexo],$B17,DATOS_[AGRUP. VALOR. PTO.],$B15,DATOS_[Check Periodo Ref.],"Dentro",DATOS_[id],DATOS_[id]))))))</f>
        <v>4</v>
      </c>
      <c r="D17" s="47">
        <f>COUNTIFS(DATOS_[AGRUP. VALOR. PTO.],$B15,DATOS_[Sexo],$B17,DATOS_[Check Periodo Ref.],"Dentro")</f>
        <v>4</v>
      </c>
      <c r="E17" s="92">
        <f t="array" ref="E17">IFERROR(
AVERAGE(IF(DATOS_[Sexo]=$B17,IF(DATOS_[AGRUP. VALOR. PTO.]=$B15,IF(DATOS_[Check Periodo Ref.]="Dentro",DATOS_[SALARIO BASE Ef],FALSE)))),
0)</f>
        <v>12751.316875</v>
      </c>
      <c r="F17" s="93">
        <f t="array" ref="F17">IFERROR(
AVERAGE((IF(DATOS_[[Sexo]:[Sexo]]=$B17,IF(DATOS_[[AGRUP. VALOR. PTO.]:[AGRUP. VALOR. PTO.]]=$B15,IF(DATOS_[[Check Periodo Ref.]:[Check Periodo Ref.]]="Dentro",DATOS_[Conc.Sal.01]))))),
0)</f>
        <v>10931.578750000001</v>
      </c>
      <c r="G17" s="93">
        <f t="array" ref="G17">IFERROR(
AVERAGE((IF(DATOS_[[Sexo]:[Sexo]]=$B17,IF(DATOS_[[AGRUP. VALOR. PTO.]:[AGRUP. VALOR. PTO.]]=$B15,IF(DATOS_[[Check Periodo Ref.]:[Check Periodo Ref.]]="Dentro",DATOS_[Conc.Sal.02]))))),
0)</f>
        <v>1808.368575</v>
      </c>
      <c r="H17" s="93">
        <f t="array" ref="H17">IFERROR(
AVERAGE((IF(DATOS_[[Sexo]:[Sexo]]=$B17,IF(DATOS_[[AGRUP. VALOR. PTO.]:[AGRUP. VALOR. PTO.]]=$B15,IF(DATOS_[[Check Periodo Ref.]:[Check Periodo Ref.]]="Dentro",DATOS_[Conc.Sal.03]))))),
0)</f>
        <v>0</v>
      </c>
      <c r="I17" s="93">
        <f t="array" ref="I17">IFERROR(
AVERAGE((IF(DATOS_[[Sexo]:[Sexo]]=$B17,IF(DATOS_[[AGRUP. VALOR. PTO.]:[AGRUP. VALOR. PTO.]]=$B15,IF(DATOS_[[Check Periodo Ref.]:[Check Periodo Ref.]]="Dentro",DATOS_[Conc.Sal.04]))))),
0)</f>
        <v>0</v>
      </c>
      <c r="J17" s="93">
        <f t="array" ref="J17">IFERROR(
AVERAGE((IF(DATOS_[[Sexo]:[Sexo]]=$B17,IF(DATOS_[[AGRUP. VALOR. PTO.]:[AGRUP. VALOR. PTO.]]=$B15,IF(DATOS_[[Check Periodo Ref.]:[Check Periodo Ref.]]="Dentro",DATOS_[Conc.Sal.05]))))),
0)</f>
        <v>1750</v>
      </c>
      <c r="K17" s="93">
        <f t="array" ref="K17">IFERROR(
AVERAGE((IF(DATOS_[[Sexo]:[Sexo]]=$B17,IF(DATOS_[[AGRUP. VALOR. PTO.]:[AGRUP. VALOR. PTO.]]=$B15,IF(DATOS_[[Check Periodo Ref.]:[Check Periodo Ref.]]="Dentro",DATOS_[Conc.Sal.06]))))),
0)</f>
        <v>2250</v>
      </c>
      <c r="L17" s="93">
        <f t="array" ref="L17">IFERROR(
AVERAGE((IF(DATOS_[[Sexo]:[Sexo]]=$B17,IF(DATOS_[[AGRUP. VALOR. PTO.]:[AGRUP. VALOR. PTO.]]=$B15,IF(DATOS_[[Check Periodo Ref.]:[Check Periodo Ref.]]="Dentro",DATOS_[Conc.Sal.07]))))),
0)</f>
        <v>200</v>
      </c>
      <c r="M17" s="93">
        <f t="array" ref="M17">IFERROR(
AVERAGE((IF(DATOS_[[Sexo]:[Sexo]]=$B17,IF(DATOS_[[AGRUP. VALOR. PTO.]:[AGRUP. VALOR. PTO.]]=$B15,IF(DATOS_[[Check Periodo Ref.]:[Check Periodo Ref.]]="Dentro",DATOS_[Conc.Sal.08]))))),
0)</f>
        <v>0</v>
      </c>
      <c r="N17" s="93">
        <f t="array" ref="N17">IFERROR(
AVERAGE((IF(DATOS_[[Sexo]:[Sexo]]=$B17,IF(DATOS_[[AGRUP. VALOR. PTO.]:[AGRUP. VALOR. PTO.]]=$B15,IF(DATOS_[[Check Periodo Ref.]:[Check Periodo Ref.]]="Dentro",DATOS_[Conc.Sal.09]))))),
0)</f>
        <v>0</v>
      </c>
      <c r="O17" s="93">
        <f t="array" ref="O17">IFERROR(
AVERAGE((IF(DATOS_[[Sexo]:[Sexo]]=$B17,IF(DATOS_[[AGRUP. VALOR. PTO.]:[AGRUP. VALOR. PTO.]]=$B15,IF(DATOS_[[Check Periodo Ref.]:[Check Periodo Ref.]]="Dentro",DATOS_[Conc.Sal.10]))))),
0)</f>
        <v>0</v>
      </c>
      <c r="P17" s="93">
        <f t="array" ref="P17">IFERROR(
AVERAGE((IF(DATOS_[[Sexo]:[Sexo]]=$B17,IF(DATOS_[[AGRUP. VALOR. PTO.]:[AGRUP. VALOR. PTO.]]=$B15,IF(DATOS_[[Check Periodo Ref.]:[Check Periodo Ref.]]="Dentro",DATOS_[Conc.Sal.11]))))),
0)</f>
        <v>0</v>
      </c>
      <c r="Q17" s="93">
        <f t="array" ref="Q17">IFERROR(
AVERAGE((IF(DATOS_[[Sexo]:[Sexo]]=$B17,IF(DATOS_[[AGRUP. VALOR. PTO.]:[AGRUP. VALOR. PTO.]]=$B15,IF(DATOS_[[Check Periodo Ref.]:[Check Periodo Ref.]]="Dentro",DATOS_[Conc.Sal.12]))))),
0)</f>
        <v>0</v>
      </c>
      <c r="R17" s="93">
        <f t="array" ref="R17">IFERROR(
AVERAGE((IF(DATOS_[[Sexo]:[Sexo]]=$B17,IF(DATOS_[[AGRUP. VALOR. PTO.]:[AGRUP. VALOR. PTO.]]=$B15,IF(DATOS_[[Check Periodo Ref.]:[Check Periodo Ref.]]="Dentro",DATOS_[Conc.Sal.13]))))),
0)</f>
        <v>0</v>
      </c>
      <c r="S17" s="93">
        <f t="array" ref="S17">IFERROR(
AVERAGE((IF(DATOS_[[Sexo]:[Sexo]]=$B17,IF(DATOS_[[AGRUP. VALOR. PTO.]:[AGRUP. VALOR. PTO.]]=$B15,IF(DATOS_[[Check Periodo Ref.]:[Check Periodo Ref.]]="Dentro",DATOS_[Conc.Sal.14]))))),
0)</f>
        <v>0</v>
      </c>
      <c r="T17" s="93">
        <f t="array" ref="T17">IFERROR(
AVERAGE((IF(DATOS_[[Sexo]:[Sexo]]=$B17,IF(DATOS_[[AGRUP. VALOR. PTO.]:[AGRUP. VALOR. PTO.]]=$B15,IF(DATOS_[[Check Periodo Ref.]:[Check Periodo Ref.]]="Dentro",DATOS_[Conc.Sal.15]))))),
0)</f>
        <v>0</v>
      </c>
      <c r="U17" s="93">
        <f t="array" ref="U17">IFERROR(
AVERAGE((IF(DATOS_[[Sexo]:[Sexo]]=$B17,IF(DATOS_[[AGRUP. VALOR. PTO.]:[AGRUP. VALOR. PTO.]]=$B15,IF(DATOS_[[Check Periodo Ref.]:[Check Periodo Ref.]]="Dentro",DATOS_[Conc.Sal.16]))))),
0)</f>
        <v>0</v>
      </c>
      <c r="V17" s="93">
        <f t="array" ref="V17">IFERROR(
AVERAGE((IF(DATOS_[[Sexo]:[Sexo]]=$B17,IF(DATOS_[[AGRUP. VALOR. PTO.]:[AGRUP. VALOR. PTO.]]=$B15,IF(DATOS_[[Check Periodo Ref.]:[Check Periodo Ref.]]="Dentro",DATOS_[Conc.Sal.17]))))),
0)</f>
        <v>0</v>
      </c>
      <c r="W17" s="93">
        <f t="array" ref="W17">IFERROR(
AVERAGE((IF(DATOS_[[Sexo]:[Sexo]]=$B17,IF(DATOS_[[AGRUP. VALOR. PTO.]:[AGRUP. VALOR. PTO.]]=$B15,IF(DATOS_[[Check Periodo Ref.]:[Check Periodo Ref.]]="Dentro",DATOS_[Conc.Sal.18]))))),
0)</f>
        <v>0</v>
      </c>
      <c r="X17" s="93">
        <f t="array" ref="X17">IFERROR(
AVERAGE((IF(DATOS_[[Sexo]:[Sexo]]=$B17,IF(DATOS_[[AGRUP. VALOR. PTO.]:[AGRUP. VALOR. PTO.]]=$B15,IF(DATOS_[[Check Periodo Ref.]:[Check Periodo Ref.]]="Dentro",DATOS_[Conc.Sal.19]))))),
0)</f>
        <v>0</v>
      </c>
      <c r="Y17" s="93">
        <f t="array" ref="Y17">IFERROR(
AVERAGE((IF(DATOS_[[Sexo]:[Sexo]]=$B17,IF(DATOS_[[AGRUP. VALOR. PTO.]:[AGRUP. VALOR. PTO.]]=$B15,IF(DATOS_[[Check Periodo Ref.]:[Check Periodo Ref.]]="Dentro",DATOS_[Conc.Sal.20]))))),
0)</f>
        <v>0</v>
      </c>
      <c r="Z17" s="93">
        <f t="array" ref="Z17">IFERROR(
AVERAGE((IF(DATOS_[[Sexo]:[Sexo]]=$B17,IF(DATOS_[[AGRUP. VALOR. PTO.]:[AGRUP. VALOR. PTO.]]=$B15,IF(DATOS_[[Check Periodo Ref.]:[Check Periodo Ref.]]="Dentro",DATOS_[Conc.Sal.21]))))),
0)</f>
        <v>0</v>
      </c>
      <c r="AA17" s="93">
        <f t="array" ref="AA17">IFERROR(
AVERAGE((IF(DATOS_[[Sexo]:[Sexo]]=$B17,IF(DATOS_[[AGRUP. VALOR. PTO.]:[AGRUP. VALOR. PTO.]]=$B15,IF(DATOS_[[Check Periodo Ref.]:[Check Periodo Ref.]]="Dentro",DATOS_[Conc.Sal.22]))))),
0)</f>
        <v>0</v>
      </c>
      <c r="AB17" s="93">
        <f t="array" ref="AB17">IFERROR(
AVERAGE((IF(DATOS_[[Sexo]:[Sexo]]=$B17,IF(DATOS_[[AGRUP. VALOR. PTO.]:[AGRUP. VALOR. PTO.]]=$B15,IF(DATOS_[[Check Periodo Ref.]:[Check Periodo Ref.]]="Dentro",DATOS_[Conc.Sal.23]))))),
0)</f>
        <v>0</v>
      </c>
      <c r="AC17" s="93">
        <f t="array" ref="AC17">IFERROR(
AVERAGE((IF(DATOS_[[Sexo]:[Sexo]]=$B17,IF(DATOS_[[AGRUP. VALOR. PTO.]:[AGRUP. VALOR. PTO.]]=$B15,IF(DATOS_[[Check Periodo Ref.]:[Check Periodo Ref.]]="Dentro",DATOS_[Conc.Sal.24]))))),
0)</f>
        <v>0</v>
      </c>
      <c r="AD17" s="93">
        <f t="array" ref="AD17">IFERROR(
AVERAGE((IF(DATOS_[[Sexo]:[Sexo]]=$B17,IF(DATOS_[[AGRUP. VALOR. PTO.]:[AGRUP. VALOR. PTO.]]=$B15,IF(DATOS_[[Check Periodo Ref.]:[Check Periodo Ref.]]="Dentro",DATOS_[Conc.Sal.25]))))),
0)</f>
        <v>0</v>
      </c>
      <c r="AE17" s="93">
        <f t="array" ref="AE17">IFERROR(
AVERAGE((IF(DATOS_[[Sexo]:[Sexo]]=$B17,IF(DATOS_[[AGRUP. VALOR. PTO.]:[AGRUP. VALOR. PTO.]]=$B15,IF(DATOS_[[Check Periodo Ref.]:[Check Periodo Ref.]]="Dentro",DATOS_[Conc.Sal.26]))))),
0)</f>
        <v>0</v>
      </c>
      <c r="AF17" s="93">
        <f t="array" ref="AF17">IFERROR(
AVERAGE((IF(DATOS_[[Sexo]:[Sexo]]=$B17,IF(DATOS_[[AGRUP. VALOR. PTO.]:[AGRUP. VALOR. PTO.]]=$B15,IF(DATOS_[[Check Periodo Ref.]:[Check Periodo Ref.]]="Dentro",DATOS_[Conc.Sal.27]))))),
0)</f>
        <v>0</v>
      </c>
      <c r="AG17" s="93">
        <f t="array" ref="AG17">IFERROR(
AVERAGE((IF(DATOS_[[Sexo]:[Sexo]]=$B17,IF(DATOS_[[AGRUP. VALOR. PTO.]:[AGRUP. VALOR. PTO.]]=$B15,IF(DATOS_[[Check Periodo Ref.]:[Check Periodo Ref.]]="Dentro",DATOS_[Conc.Sal.28]))))),
0)</f>
        <v>0</v>
      </c>
      <c r="AH17" s="93">
        <f t="array" ref="AH17">IFERROR(
AVERAGE((IF(DATOS_[[Sexo]:[Sexo]]=$B17,IF(DATOS_[[AGRUP. VALOR. PTO.]:[AGRUP. VALOR. PTO.]]=$B15,IF(DATOS_[[Check Periodo Ref.]:[Check Periodo Ref.]]="Dentro",DATOS_[Conc.Sal.29]))))),
0)</f>
        <v>0</v>
      </c>
      <c r="AI17" s="93">
        <f t="array" ref="AI17">IFERROR(
AVERAGE((IF(DATOS_[[Sexo]:[Sexo]]=$B17,IF(DATOS_[[AGRUP. VALOR. PTO.]:[AGRUP. VALOR. PTO.]]=$B15,IF(DATOS_[[Check Periodo Ref.]:[Check Periodo Ref.]]="Dentro",DATOS_[Conc.Sal.30]))))),
0)</f>
        <v>0</v>
      </c>
      <c r="AJ17" s="94">
        <f t="array" ref="AJ17">IFERROR(
AVERAGE(IF(DATOS_[Sexo]=$B17,IF(DATOS_[AGRUP. VALOR. PTO.]=$B15,IF(DATOS_[Check Periodo Ref.]="Dentro",DATOS_[Tot COMPL.SAL Ef],FALSE)))),
0)</f>
        <v>16939.947325000001</v>
      </c>
      <c r="AK17" s="96">
        <f t="array" ref="AK17">IFERROR(
AVERAGE(IF(DATOS_[Sexo]=$B17,IF(DATOS_[AGRUP. VALOR. PTO.]=$B15,IF(DATOS_[Check Periodo Ref.]="Dentro",DATOS_[TOTAL SALARIO Ef],FALSE)))),
0)</f>
        <v>29691.264199999998</v>
      </c>
      <c r="AL17" s="95">
        <f t="array" ref="AL17">IFERROR(
AVERAGE((IF(DATOS_[[Sexo]:[Sexo]]=$B17,IF(DATOS_[[AGRUP. VALOR. PTO.]:[AGRUP. VALOR. PTO.]]=$B15,IF(DATOS_[[Check Periodo Ref.]:[Check Periodo Ref.]]="Dentro",DATOS_[C.Extra.01]))))),
0)</f>
        <v>0</v>
      </c>
      <c r="AM17" s="95">
        <f t="array" ref="AM17">IFERROR(
AVERAGE((IF(DATOS_[[Sexo]:[Sexo]]=$B17,IF(DATOS_[[AGRUP. VALOR. PTO.]:[AGRUP. VALOR. PTO.]]=$B15,IF(DATOS_[[Check Periodo Ref.]:[Check Periodo Ref.]]="Dentro",DATOS_[C.Extra.02]))))),
0)</f>
        <v>0</v>
      </c>
      <c r="AN17" s="95">
        <f t="array" ref="AN17">IFERROR(
AVERAGE((IF(DATOS_[[Sexo]:[Sexo]]=$B17,IF(DATOS_[[AGRUP. VALOR. PTO.]:[AGRUP. VALOR. PTO.]]=$B15,IF(DATOS_[[Check Periodo Ref.]:[Check Periodo Ref.]]="Dentro",DATOS_[C.Extra.03]))))),
0)</f>
        <v>0</v>
      </c>
      <c r="AO17" s="95">
        <f t="array" ref="AO17">IFERROR(
AVERAGE((IF(DATOS_[[Sexo]:[Sexo]]=$B17,IF(DATOS_[[AGRUP. VALOR. PTO.]:[AGRUP. VALOR. PTO.]]=$B15,IF(DATOS_[[Check Periodo Ref.]:[Check Periodo Ref.]]="Dentro",DATOS_[C.Extra.04]))))),
0)</f>
        <v>0</v>
      </c>
      <c r="AP17" s="95">
        <f t="array" ref="AP17">IFERROR(
AVERAGE((IF(DATOS_[[Sexo]:[Sexo]]=$B17,IF(DATOS_[[AGRUP. VALOR. PTO.]:[AGRUP. VALOR. PTO.]]=$B15,IF(DATOS_[[Check Periodo Ref.]:[Check Periodo Ref.]]="Dentro",DATOS_[C.Extra.05]))))),
0)</f>
        <v>0</v>
      </c>
      <c r="AQ17" s="97">
        <f t="array" ref="AQ17">IFERROR(
AVERAGE(IF(DATOS_[Sexo]=$B17,IF(DATOS_[AGRUP. VALOR. PTO.]=$B15,IF(DATOS_[Check Periodo Ref.]="Dentro",DATOS_[Tot Extrasalarial Ef],FALSE)))),
0)</f>
        <v>0</v>
      </c>
      <c r="AR17" s="98">
        <f t="array" ref="AR17">IFERROR(
AVERAGE(IF(DATOS_[Sexo]=$B17,IF(DATOS_[AGRUP. VALOR. PTO.]=$B15,IF(DATOS_[Check Periodo Ref.]="Dentro",DATOS_[TOTAL Retrib Ef],FALSE)))),
0)</f>
        <v>29691.264199999998</v>
      </c>
    </row>
    <row r="18" spans="1:44" s="48" customFormat="1" ht="17.25" thickBot="1" x14ac:dyDescent="0.35">
      <c r="A18" s="48" t="str">
        <f t="shared" ref="A18" si="7">+A19</f>
        <v/>
      </c>
      <c r="B18" s="51" t="s">
        <v>304</v>
      </c>
      <c r="C18" s="91"/>
      <c r="D18" s="52"/>
      <c r="E18" s="139">
        <f t="shared" ref="E18:AR18" si="8">IFERROR((E19-E20)/E19,"")</f>
        <v>0.18749999999999997</v>
      </c>
      <c r="F18" s="179">
        <f t="shared" si="8"/>
        <v>0.36252395513665592</v>
      </c>
      <c r="G18" s="180">
        <f t="shared" si="8"/>
        <v>0.50781250000000011</v>
      </c>
      <c r="H18" s="180" t="str">
        <f t="shared" si="8"/>
        <v/>
      </c>
      <c r="I18" s="180">
        <f t="shared" si="8"/>
        <v>6.7757009345794358E-2</v>
      </c>
      <c r="J18" s="181" t="str">
        <f t="shared" si="8"/>
        <v/>
      </c>
      <c r="K18" s="182" t="str">
        <f t="shared" si="8"/>
        <v/>
      </c>
      <c r="L18" s="182">
        <f t="shared" si="8"/>
        <v>0.25</v>
      </c>
      <c r="M18" s="182" t="str">
        <f t="shared" si="8"/>
        <v/>
      </c>
      <c r="N18" s="182" t="str">
        <f t="shared" si="8"/>
        <v/>
      </c>
      <c r="O18" s="182" t="str">
        <f t="shared" si="8"/>
        <v/>
      </c>
      <c r="P18" s="182" t="str">
        <f t="shared" si="8"/>
        <v/>
      </c>
      <c r="Q18" s="182" t="str">
        <f t="shared" si="8"/>
        <v/>
      </c>
      <c r="R18" s="182" t="str">
        <f t="shared" si="8"/>
        <v/>
      </c>
      <c r="S18" s="182" t="str">
        <f t="shared" si="8"/>
        <v/>
      </c>
      <c r="T18" s="182" t="str">
        <f t="shared" si="8"/>
        <v/>
      </c>
      <c r="U18" s="182" t="str">
        <f t="shared" si="8"/>
        <v/>
      </c>
      <c r="V18" s="181" t="str">
        <f t="shared" si="8"/>
        <v/>
      </c>
      <c r="W18" s="181" t="str">
        <f t="shared" si="8"/>
        <v/>
      </c>
      <c r="X18" s="181" t="str">
        <f t="shared" si="8"/>
        <v/>
      </c>
      <c r="Y18" s="181" t="str">
        <f t="shared" si="8"/>
        <v/>
      </c>
      <c r="Z18" s="181" t="str">
        <f t="shared" si="8"/>
        <v/>
      </c>
      <c r="AA18" s="181" t="str">
        <f t="shared" si="8"/>
        <v/>
      </c>
      <c r="AB18" s="181" t="str">
        <f t="shared" si="8"/>
        <v/>
      </c>
      <c r="AC18" s="181" t="str">
        <f t="shared" si="8"/>
        <v/>
      </c>
      <c r="AD18" s="181" t="str">
        <f t="shared" si="8"/>
        <v/>
      </c>
      <c r="AE18" s="181" t="str">
        <f t="shared" si="8"/>
        <v/>
      </c>
      <c r="AF18" s="181" t="str">
        <f t="shared" si="8"/>
        <v/>
      </c>
      <c r="AG18" s="181" t="str">
        <f t="shared" si="8"/>
        <v/>
      </c>
      <c r="AH18" s="181" t="str">
        <f t="shared" si="8"/>
        <v/>
      </c>
      <c r="AI18" s="181" t="str">
        <f t="shared" si="8"/>
        <v/>
      </c>
      <c r="AJ18" s="140">
        <f t="shared" si="8"/>
        <v>0.32709668123557462</v>
      </c>
      <c r="AK18" s="143">
        <f t="shared" si="8"/>
        <v>0.26355151146104294</v>
      </c>
      <c r="AL18" s="184" t="str">
        <f t="shared" si="8"/>
        <v/>
      </c>
      <c r="AM18" s="184" t="str">
        <f t="shared" si="8"/>
        <v/>
      </c>
      <c r="AN18" s="184" t="str">
        <f t="shared" si="8"/>
        <v/>
      </c>
      <c r="AO18" s="184" t="str">
        <f t="shared" si="8"/>
        <v/>
      </c>
      <c r="AP18" s="184" t="str">
        <f t="shared" si="8"/>
        <v/>
      </c>
      <c r="AQ18" s="141" t="str">
        <f t="shared" si="8"/>
        <v/>
      </c>
      <c r="AR18" s="142">
        <f t="shared" si="8"/>
        <v>0.26355151146104294</v>
      </c>
    </row>
    <row r="19" spans="1:44" s="48" customFormat="1" x14ac:dyDescent="0.3">
      <c r="A19" s="48" t="str">
        <f t="shared" ref="A19" si="9">+IF(C19+C20=0,"[ocultar]","")</f>
        <v/>
      </c>
      <c r="B19" s="46" t="s">
        <v>162</v>
      </c>
      <c r="C19" s="45">
        <f t="array" ref="C19">SUM(IF($B19=DATOS_[Sexo],
IF($B18=DATOS_[AGRUP. VALOR. PTO.],
IF("Dentro"=DATOS_[Check Periodo Ref.],
1/(COUNTIFS(DATOS_[Sexo],$B19,DATOS_[AGRUP. VALOR. PTO.],$B18,DATOS_[Check Periodo Ref.],"Dentro",DATOS_[id],DATOS_[id]))))))</f>
        <v>3</v>
      </c>
      <c r="D19" s="47">
        <f>COUNTIFS(DATOS_[AGRUP. VALOR. PTO.],$B18,DATOS_[Sexo],$B19,DATOS_[Check Periodo Ref.],"Dentro")</f>
        <v>3</v>
      </c>
      <c r="E19" s="92">
        <f t="array" ref="E19">IFERROR(
AVERAGE(IF(DATOS_[Sexo]=$B19,IF(DATOS_[AGRUP. VALOR. PTO.]=$B18,IF(DATOS_[Check Periodo Ref.]="Dentro",DATOS_[SALARIO BASE Ef],FALSE)))),
0)</f>
        <v>18547.37</v>
      </c>
      <c r="F19" s="93">
        <f t="array" ref="F19">IFERROR(
AVERAGE((IF(DATOS_[[Sexo]:[Sexo]]=$B19,IF(DATOS_[[AGRUP. VALOR. PTO.]:[AGRUP. VALOR. PTO.]]=$B18,IF(DATOS_[[Check Periodo Ref.]:[Check Periodo Ref.]]="Dentro",DATOS_[Conc.Sal.01]))))),
0)</f>
        <v>16452.63</v>
      </c>
      <c r="G19" s="93">
        <f t="array" ref="G19">IFERROR(
AVERAGE((IF(DATOS_[[Sexo]:[Sexo]]=$B19,IF(DATOS_[[AGRUP. VALOR. PTO.]:[AGRUP. VALOR. PTO.]]=$B18,IF(DATOS_[[Check Periodo Ref.]:[Check Periodo Ref.]]="Dentro",DATOS_[Conc.Sal.02]))))),
0)</f>
        <v>1978.3861333333334</v>
      </c>
      <c r="H19" s="93">
        <f t="array" ref="H19">IFERROR(
AVERAGE((IF(DATOS_[[Sexo]:[Sexo]]=$B19,IF(DATOS_[[AGRUP. VALOR. PTO.]:[AGRUP. VALOR. PTO.]]=$B18,IF(DATOS_[[Check Periodo Ref.]:[Check Periodo Ref.]]="Dentro",DATOS_[Conc.Sal.03]))))),
0)</f>
        <v>0</v>
      </c>
      <c r="I19" s="93">
        <f t="array" ref="I19">IFERROR(
AVERAGE((IF(DATOS_[[Sexo]:[Sexo]]=$B19,IF(DATOS_[[AGRUP. VALOR. PTO.]:[AGRUP. VALOR. PTO.]]=$B18,IF(DATOS_[[Check Periodo Ref.]:[Check Periodo Ref.]]="Dentro",DATOS_[Conc.Sal.04]))))),
0)</f>
        <v>3566.6666666666665</v>
      </c>
      <c r="J19" s="93">
        <f t="array" ref="J19">IFERROR(
AVERAGE((IF(DATOS_[[Sexo]:[Sexo]]=$B19,IF(DATOS_[[AGRUP. VALOR. PTO.]:[AGRUP. VALOR. PTO.]]=$B18,IF(DATOS_[[Check Periodo Ref.]:[Check Periodo Ref.]]="Dentro",DATOS_[Conc.Sal.05]))))),
0)</f>
        <v>0</v>
      </c>
      <c r="K19" s="93">
        <f t="array" ref="K19">IFERROR(
AVERAGE((IF(DATOS_[[Sexo]:[Sexo]]=$B19,IF(DATOS_[[AGRUP. VALOR. PTO.]:[AGRUP. VALOR. PTO.]]=$B18,IF(DATOS_[[Check Periodo Ref.]:[Check Periodo Ref.]]="Dentro",DATOS_[Conc.Sal.06]))))),
0)</f>
        <v>0</v>
      </c>
      <c r="L19" s="93">
        <f t="array" ref="L19">IFERROR(
AVERAGE((IF(DATOS_[[Sexo]:[Sexo]]=$B19,IF(DATOS_[[AGRUP. VALOR. PTO.]:[AGRUP. VALOR. PTO.]]=$B18,IF(DATOS_[[Check Periodo Ref.]:[Check Periodo Ref.]]="Dentro",DATOS_[Conc.Sal.07]))))),
0)</f>
        <v>200</v>
      </c>
      <c r="M19" s="93">
        <f t="array" ref="M19">IFERROR(
AVERAGE((IF(DATOS_[[Sexo]:[Sexo]]=$B19,IF(DATOS_[[AGRUP. VALOR. PTO.]:[AGRUP. VALOR. PTO.]]=$B18,IF(DATOS_[[Check Periodo Ref.]:[Check Periodo Ref.]]="Dentro",DATOS_[Conc.Sal.08]))))),
0)</f>
        <v>0</v>
      </c>
      <c r="N19" s="93">
        <f t="array" ref="N19">IFERROR(
AVERAGE((IF(DATOS_[[Sexo]:[Sexo]]=$B19,IF(DATOS_[[AGRUP. VALOR. PTO.]:[AGRUP. VALOR. PTO.]]=$B18,IF(DATOS_[[Check Periodo Ref.]:[Check Periodo Ref.]]="Dentro",DATOS_[Conc.Sal.09]))))),
0)</f>
        <v>0</v>
      </c>
      <c r="O19" s="93">
        <f t="array" ref="O19">IFERROR(
AVERAGE((IF(DATOS_[[Sexo]:[Sexo]]=$B19,IF(DATOS_[[AGRUP. VALOR. PTO.]:[AGRUP. VALOR. PTO.]]=$B18,IF(DATOS_[[Check Periodo Ref.]:[Check Periodo Ref.]]="Dentro",DATOS_[Conc.Sal.10]))))),
0)</f>
        <v>0</v>
      </c>
      <c r="P19" s="93">
        <f t="array" ref="P19">IFERROR(
AVERAGE((IF(DATOS_[[Sexo]:[Sexo]]=$B19,IF(DATOS_[[AGRUP. VALOR. PTO.]:[AGRUP. VALOR. PTO.]]=$B18,IF(DATOS_[[Check Periodo Ref.]:[Check Periodo Ref.]]="Dentro",DATOS_[Conc.Sal.11]))))),
0)</f>
        <v>0</v>
      </c>
      <c r="Q19" s="93">
        <f t="array" ref="Q19">IFERROR(
AVERAGE((IF(DATOS_[[Sexo]:[Sexo]]=$B19,IF(DATOS_[[AGRUP. VALOR. PTO.]:[AGRUP. VALOR. PTO.]]=$B18,IF(DATOS_[[Check Periodo Ref.]:[Check Periodo Ref.]]="Dentro",DATOS_[Conc.Sal.12]))))),
0)</f>
        <v>0</v>
      </c>
      <c r="R19" s="93">
        <f t="array" ref="R19">IFERROR(
AVERAGE((IF(DATOS_[[Sexo]:[Sexo]]=$B19,IF(DATOS_[[AGRUP. VALOR. PTO.]:[AGRUP. VALOR. PTO.]]=$B18,IF(DATOS_[[Check Periodo Ref.]:[Check Periodo Ref.]]="Dentro",DATOS_[Conc.Sal.13]))))),
0)</f>
        <v>0</v>
      </c>
      <c r="S19" s="93">
        <f t="array" ref="S19">IFERROR(
AVERAGE((IF(DATOS_[[Sexo]:[Sexo]]=$B19,IF(DATOS_[[AGRUP. VALOR. PTO.]:[AGRUP. VALOR. PTO.]]=$B18,IF(DATOS_[[Check Periodo Ref.]:[Check Periodo Ref.]]="Dentro",DATOS_[Conc.Sal.14]))))),
0)</f>
        <v>0</v>
      </c>
      <c r="T19" s="93">
        <f t="array" ref="T19">IFERROR(
AVERAGE((IF(DATOS_[[Sexo]:[Sexo]]=$B19,IF(DATOS_[[AGRUP. VALOR. PTO.]:[AGRUP. VALOR. PTO.]]=$B18,IF(DATOS_[[Check Periodo Ref.]:[Check Periodo Ref.]]="Dentro",DATOS_[Conc.Sal.15]))))),
0)</f>
        <v>0</v>
      </c>
      <c r="U19" s="93">
        <f t="array" ref="U19">IFERROR(
AVERAGE((IF(DATOS_[[Sexo]:[Sexo]]=$B19,IF(DATOS_[[AGRUP. VALOR. PTO.]:[AGRUP. VALOR. PTO.]]=$B18,IF(DATOS_[[Check Periodo Ref.]:[Check Periodo Ref.]]="Dentro",DATOS_[Conc.Sal.16]))))),
0)</f>
        <v>0</v>
      </c>
      <c r="V19" s="93">
        <f t="array" ref="V19">IFERROR(
AVERAGE((IF(DATOS_[[Sexo]:[Sexo]]=$B19,IF(DATOS_[[AGRUP. VALOR. PTO.]:[AGRUP. VALOR. PTO.]]=$B18,IF(DATOS_[[Check Periodo Ref.]:[Check Periodo Ref.]]="Dentro",DATOS_[Conc.Sal.17]))))),
0)</f>
        <v>0</v>
      </c>
      <c r="W19" s="93">
        <f t="array" ref="W19">IFERROR(
AVERAGE((IF(DATOS_[[Sexo]:[Sexo]]=$B19,IF(DATOS_[[AGRUP. VALOR. PTO.]:[AGRUP. VALOR. PTO.]]=$B18,IF(DATOS_[[Check Periodo Ref.]:[Check Periodo Ref.]]="Dentro",DATOS_[Conc.Sal.18]))))),
0)</f>
        <v>0</v>
      </c>
      <c r="X19" s="93">
        <f t="array" ref="X19">IFERROR(
AVERAGE((IF(DATOS_[[Sexo]:[Sexo]]=$B19,IF(DATOS_[[AGRUP. VALOR. PTO.]:[AGRUP. VALOR. PTO.]]=$B18,IF(DATOS_[[Check Periodo Ref.]:[Check Periodo Ref.]]="Dentro",DATOS_[Conc.Sal.19]))))),
0)</f>
        <v>0</v>
      </c>
      <c r="Y19" s="93">
        <f t="array" ref="Y19">IFERROR(
AVERAGE((IF(DATOS_[[Sexo]:[Sexo]]=$B19,IF(DATOS_[[AGRUP. VALOR. PTO.]:[AGRUP. VALOR. PTO.]]=$B18,IF(DATOS_[[Check Periodo Ref.]:[Check Periodo Ref.]]="Dentro",DATOS_[Conc.Sal.20]))))),
0)</f>
        <v>0</v>
      </c>
      <c r="Z19" s="93">
        <f t="array" ref="Z19">IFERROR(
AVERAGE((IF(DATOS_[[Sexo]:[Sexo]]=$B19,IF(DATOS_[[AGRUP. VALOR. PTO.]:[AGRUP. VALOR. PTO.]]=$B18,IF(DATOS_[[Check Periodo Ref.]:[Check Periodo Ref.]]="Dentro",DATOS_[Conc.Sal.21]))))),
0)</f>
        <v>0</v>
      </c>
      <c r="AA19" s="93">
        <f t="array" ref="AA19">IFERROR(
AVERAGE((IF(DATOS_[[Sexo]:[Sexo]]=$B19,IF(DATOS_[[AGRUP. VALOR. PTO.]:[AGRUP. VALOR. PTO.]]=$B18,IF(DATOS_[[Check Periodo Ref.]:[Check Periodo Ref.]]="Dentro",DATOS_[Conc.Sal.22]))))),
0)</f>
        <v>0</v>
      </c>
      <c r="AB19" s="93">
        <f t="array" ref="AB19">IFERROR(
AVERAGE((IF(DATOS_[[Sexo]:[Sexo]]=$B19,IF(DATOS_[[AGRUP. VALOR. PTO.]:[AGRUP. VALOR. PTO.]]=$B18,IF(DATOS_[[Check Periodo Ref.]:[Check Periodo Ref.]]="Dentro",DATOS_[Conc.Sal.23]))))),
0)</f>
        <v>0</v>
      </c>
      <c r="AC19" s="93">
        <f t="array" ref="AC19">IFERROR(
AVERAGE((IF(DATOS_[[Sexo]:[Sexo]]=$B19,IF(DATOS_[[AGRUP. VALOR. PTO.]:[AGRUP. VALOR. PTO.]]=$B18,IF(DATOS_[[Check Periodo Ref.]:[Check Periodo Ref.]]="Dentro",DATOS_[Conc.Sal.24]))))),
0)</f>
        <v>0</v>
      </c>
      <c r="AD19" s="93">
        <f t="array" ref="AD19">IFERROR(
AVERAGE((IF(DATOS_[[Sexo]:[Sexo]]=$B19,IF(DATOS_[[AGRUP. VALOR. PTO.]:[AGRUP. VALOR. PTO.]]=$B18,IF(DATOS_[[Check Periodo Ref.]:[Check Periodo Ref.]]="Dentro",DATOS_[Conc.Sal.25]))))),
0)</f>
        <v>0</v>
      </c>
      <c r="AE19" s="93">
        <f t="array" ref="AE19">IFERROR(
AVERAGE((IF(DATOS_[[Sexo]:[Sexo]]=$B19,IF(DATOS_[[AGRUP. VALOR. PTO.]:[AGRUP. VALOR. PTO.]]=$B18,IF(DATOS_[[Check Periodo Ref.]:[Check Periodo Ref.]]="Dentro",DATOS_[Conc.Sal.26]))))),
0)</f>
        <v>0</v>
      </c>
      <c r="AF19" s="93">
        <f t="array" ref="AF19">IFERROR(
AVERAGE((IF(DATOS_[[Sexo]:[Sexo]]=$B19,IF(DATOS_[[AGRUP. VALOR. PTO.]:[AGRUP. VALOR. PTO.]]=$B18,IF(DATOS_[[Check Periodo Ref.]:[Check Periodo Ref.]]="Dentro",DATOS_[Conc.Sal.27]))))),
0)</f>
        <v>0</v>
      </c>
      <c r="AG19" s="93">
        <f t="array" ref="AG19">IFERROR(
AVERAGE((IF(DATOS_[[Sexo]:[Sexo]]=$B19,IF(DATOS_[[AGRUP. VALOR. PTO.]:[AGRUP. VALOR. PTO.]]=$B18,IF(DATOS_[[Check Periodo Ref.]:[Check Periodo Ref.]]="Dentro",DATOS_[Conc.Sal.28]))))),
0)</f>
        <v>0</v>
      </c>
      <c r="AH19" s="93">
        <f t="array" ref="AH19">IFERROR(
AVERAGE((IF(DATOS_[[Sexo]:[Sexo]]=$B19,IF(DATOS_[[AGRUP. VALOR. PTO.]:[AGRUP. VALOR. PTO.]]=$B18,IF(DATOS_[[Check Periodo Ref.]:[Check Periodo Ref.]]="Dentro",DATOS_[Conc.Sal.29]))))),
0)</f>
        <v>0</v>
      </c>
      <c r="AI19" s="93">
        <f t="array" ref="AI19">IFERROR(
AVERAGE((IF(DATOS_[[Sexo]:[Sexo]]=$B19,IF(DATOS_[[AGRUP. VALOR. PTO.]:[AGRUP. VALOR. PTO.]]=$B18,IF(DATOS_[[Check Periodo Ref.]:[Check Periodo Ref.]]="Dentro",DATOS_[Conc.Sal.30]))))),
0)</f>
        <v>0</v>
      </c>
      <c r="AJ19" s="94">
        <f t="array" ref="AJ19">IFERROR(
AVERAGE(IF(DATOS_[Sexo]=$B19,IF(DATOS_[AGRUP. VALOR. PTO.]=$B18,IF(DATOS_[Check Periodo Ref.]="Dentro",DATOS_[Tot COMPL.SAL Ef],FALSE)))),
0)</f>
        <v>22197.682799999999</v>
      </c>
      <c r="AK19" s="96">
        <f t="array" ref="AK19">IFERROR(
AVERAGE(IF(DATOS_[Sexo]=$B19,IF(DATOS_[AGRUP. VALOR. PTO.]=$B18,IF(DATOS_[Check Periodo Ref.]="Dentro",DATOS_[TOTAL SALARIO Ef],FALSE)))),
0)</f>
        <v>40745.052799999998</v>
      </c>
      <c r="AL19" s="95">
        <f t="array" ref="AL19">IFERROR(
AVERAGE((IF(DATOS_[[Sexo]:[Sexo]]=$B19,IF(DATOS_[[AGRUP. VALOR. PTO.]:[AGRUP. VALOR. PTO.]]=$B18,IF(DATOS_[[Check Periodo Ref.]:[Check Periodo Ref.]]="Dentro",DATOS_[C.Extra.01]))))),
0)</f>
        <v>0</v>
      </c>
      <c r="AM19" s="95">
        <f t="array" ref="AM19">IFERROR(
AVERAGE((IF(DATOS_[[Sexo]:[Sexo]]=$B19,IF(DATOS_[[AGRUP. VALOR. PTO.]:[AGRUP. VALOR. PTO.]]=$B18,IF(DATOS_[[Check Periodo Ref.]:[Check Periodo Ref.]]="Dentro",DATOS_[C.Extra.02]))))),
0)</f>
        <v>0</v>
      </c>
      <c r="AN19" s="95">
        <f t="array" ref="AN19">IFERROR(
AVERAGE((IF(DATOS_[[Sexo]:[Sexo]]=$B19,IF(DATOS_[[AGRUP. VALOR. PTO.]:[AGRUP. VALOR. PTO.]]=$B18,IF(DATOS_[[Check Periodo Ref.]:[Check Periodo Ref.]]="Dentro",DATOS_[C.Extra.03]))))),
0)</f>
        <v>0</v>
      </c>
      <c r="AO19" s="95">
        <f t="array" ref="AO19">IFERROR(
AVERAGE((IF(DATOS_[[Sexo]:[Sexo]]=$B19,IF(DATOS_[[AGRUP. VALOR. PTO.]:[AGRUP. VALOR. PTO.]]=$B18,IF(DATOS_[[Check Periodo Ref.]:[Check Periodo Ref.]]="Dentro",DATOS_[C.Extra.04]))))),
0)</f>
        <v>0</v>
      </c>
      <c r="AP19" s="95">
        <f t="array" ref="AP19">IFERROR(
AVERAGE((IF(DATOS_[[Sexo]:[Sexo]]=$B19,IF(DATOS_[[AGRUP. VALOR. PTO.]:[AGRUP. VALOR. PTO.]]=$B18,IF(DATOS_[[Check Periodo Ref.]:[Check Periodo Ref.]]="Dentro",DATOS_[C.Extra.05]))))),
0)</f>
        <v>0</v>
      </c>
      <c r="AQ19" s="97">
        <f t="array" ref="AQ19">IFERROR(
AVERAGE(IF(DATOS_[Sexo]=$B19,IF(DATOS_[AGRUP. VALOR. PTO.]=$B18,IF(DATOS_[Check Periodo Ref.]="Dentro",DATOS_[Tot Extrasalarial Ef],FALSE)))),
0)</f>
        <v>0</v>
      </c>
      <c r="AR19" s="98">
        <f t="array" ref="AR19">IFERROR(
AVERAGE(IF(DATOS_[Sexo]=$B19,IF(DATOS_[AGRUP. VALOR. PTO.]=$B18,IF(DATOS_[Check Periodo Ref.]="Dentro",DATOS_[TOTAL Retrib Ef],FALSE)))),
0)</f>
        <v>40745.052799999998</v>
      </c>
    </row>
    <row r="20" spans="1:44" s="48" customFormat="1" x14ac:dyDescent="0.3">
      <c r="A20" s="48" t="str">
        <f t="shared" ref="A20" si="10">+A19</f>
        <v/>
      </c>
      <c r="B20" s="46" t="s">
        <v>163</v>
      </c>
      <c r="C20" s="45">
        <f t="array" ref="C20">SUM(IF($B20=DATOS_[Sexo],
IF($B18=DATOS_[AGRUP. VALOR. PTO.],
IF("Dentro"=DATOS_[Check Periodo Ref.],
1/(COUNTIFS(DATOS_[Sexo],$B20,DATOS_[AGRUP. VALOR. PTO.],$B18,DATOS_[Check Periodo Ref.],"Dentro",DATOS_[id],DATOS_[id]))))))</f>
        <v>4</v>
      </c>
      <c r="D20" s="47">
        <f>COUNTIFS(DATOS_[AGRUP. VALOR. PTO.],$B18,DATOS_[Sexo],$B20,DATOS_[Check Periodo Ref.],"Dentro")</f>
        <v>4</v>
      </c>
      <c r="E20" s="92">
        <f t="array" ref="E20">IFERROR(
AVERAGE(IF(DATOS_[Sexo]=$B20,IF(DATOS_[AGRUP. VALOR. PTO.]=$B18,IF(DATOS_[Check Periodo Ref.]="Dentro",DATOS_[SALARIO BASE Ef],FALSE)))),
0)</f>
        <v>15069.738125</v>
      </c>
      <c r="F20" s="93">
        <f t="array" ref="F20">IFERROR(
AVERAGE((IF(DATOS_[[Sexo]:[Sexo]]=$B20,IF(DATOS_[[AGRUP. VALOR. PTO.]:[AGRUP. VALOR. PTO.]]=$B18,IF(DATOS_[[Check Periodo Ref.]:[Check Periodo Ref.]]="Dentro",DATOS_[Conc.Sal.01]))))),
0)</f>
        <v>10488.157500000001</v>
      </c>
      <c r="G20" s="93">
        <f t="array" ref="G20">IFERROR(
AVERAGE((IF(DATOS_[[Sexo]:[Sexo]]=$B20,IF(DATOS_[[AGRUP. VALOR. PTO.]:[AGRUP. VALOR. PTO.]]=$B18,IF(DATOS_[[Check Periodo Ref.]:[Check Periodo Ref.]]="Dentro",DATOS_[Conc.Sal.02]))))),
0)</f>
        <v>973.73692499999993</v>
      </c>
      <c r="H20" s="93">
        <f t="array" ref="H20">IFERROR(
AVERAGE((IF(DATOS_[[Sexo]:[Sexo]]=$B20,IF(DATOS_[[AGRUP. VALOR. PTO.]:[AGRUP. VALOR. PTO.]]=$B18,IF(DATOS_[[Check Periodo Ref.]:[Check Periodo Ref.]]="Dentro",DATOS_[Conc.Sal.03]))))),
0)</f>
        <v>0</v>
      </c>
      <c r="I20" s="93">
        <f t="array" ref="I20">IFERROR(
AVERAGE((IF(DATOS_[[Sexo]:[Sexo]]=$B20,IF(DATOS_[[AGRUP. VALOR. PTO.]:[AGRUP. VALOR. PTO.]]=$B18,IF(DATOS_[[Check Periodo Ref.]:[Check Periodo Ref.]]="Dentro",DATOS_[Conc.Sal.04]))))),
0)</f>
        <v>3325</v>
      </c>
      <c r="J20" s="93">
        <f t="array" ref="J20">IFERROR(
AVERAGE((IF(DATOS_[[Sexo]:[Sexo]]=$B20,IF(DATOS_[[AGRUP. VALOR. PTO.]:[AGRUP. VALOR. PTO.]]=$B18,IF(DATOS_[[Check Periodo Ref.]:[Check Periodo Ref.]]="Dentro",DATOS_[Conc.Sal.05]))))),
0)</f>
        <v>0</v>
      </c>
      <c r="K20" s="93">
        <f t="array" ref="K20">IFERROR(
AVERAGE((IF(DATOS_[[Sexo]:[Sexo]]=$B20,IF(DATOS_[[AGRUP. VALOR. PTO.]:[AGRUP. VALOR. PTO.]]=$B18,IF(DATOS_[[Check Periodo Ref.]:[Check Periodo Ref.]]="Dentro",DATOS_[Conc.Sal.06]))))),
0)</f>
        <v>0</v>
      </c>
      <c r="L20" s="93">
        <f t="array" ref="L20">IFERROR(
AVERAGE((IF(DATOS_[[Sexo]:[Sexo]]=$B20,IF(DATOS_[[AGRUP. VALOR. PTO.]:[AGRUP. VALOR. PTO.]]=$B18,IF(DATOS_[[Check Periodo Ref.]:[Check Periodo Ref.]]="Dentro",DATOS_[Conc.Sal.07]))))),
0)</f>
        <v>150</v>
      </c>
      <c r="M20" s="93">
        <f t="array" ref="M20">IFERROR(
AVERAGE((IF(DATOS_[[Sexo]:[Sexo]]=$B20,IF(DATOS_[[AGRUP. VALOR. PTO.]:[AGRUP. VALOR. PTO.]]=$B18,IF(DATOS_[[Check Periodo Ref.]:[Check Periodo Ref.]]="Dentro",DATOS_[Conc.Sal.08]))))),
0)</f>
        <v>0</v>
      </c>
      <c r="N20" s="93">
        <f t="array" ref="N20">IFERROR(
AVERAGE((IF(DATOS_[[Sexo]:[Sexo]]=$B20,IF(DATOS_[[AGRUP. VALOR. PTO.]:[AGRUP. VALOR. PTO.]]=$B18,IF(DATOS_[[Check Periodo Ref.]:[Check Periodo Ref.]]="Dentro",DATOS_[Conc.Sal.09]))))),
0)</f>
        <v>0</v>
      </c>
      <c r="O20" s="93">
        <f t="array" ref="O20">IFERROR(
AVERAGE((IF(DATOS_[[Sexo]:[Sexo]]=$B20,IF(DATOS_[[AGRUP. VALOR. PTO.]:[AGRUP. VALOR. PTO.]]=$B18,IF(DATOS_[[Check Periodo Ref.]:[Check Periodo Ref.]]="Dentro",DATOS_[Conc.Sal.10]))))),
0)</f>
        <v>0</v>
      </c>
      <c r="P20" s="93">
        <f t="array" ref="P20">IFERROR(
AVERAGE((IF(DATOS_[[Sexo]:[Sexo]]=$B20,IF(DATOS_[[AGRUP. VALOR. PTO.]:[AGRUP. VALOR. PTO.]]=$B18,IF(DATOS_[[Check Periodo Ref.]:[Check Periodo Ref.]]="Dentro",DATOS_[Conc.Sal.11]))))),
0)</f>
        <v>0</v>
      </c>
      <c r="Q20" s="93">
        <f t="array" ref="Q20">IFERROR(
AVERAGE((IF(DATOS_[[Sexo]:[Sexo]]=$B20,IF(DATOS_[[AGRUP. VALOR. PTO.]:[AGRUP. VALOR. PTO.]]=$B18,IF(DATOS_[[Check Periodo Ref.]:[Check Periodo Ref.]]="Dentro",DATOS_[Conc.Sal.12]))))),
0)</f>
        <v>0</v>
      </c>
      <c r="R20" s="93">
        <f t="array" ref="R20">IFERROR(
AVERAGE((IF(DATOS_[[Sexo]:[Sexo]]=$B20,IF(DATOS_[[AGRUP. VALOR. PTO.]:[AGRUP. VALOR. PTO.]]=$B18,IF(DATOS_[[Check Periodo Ref.]:[Check Periodo Ref.]]="Dentro",DATOS_[Conc.Sal.13]))))),
0)</f>
        <v>0</v>
      </c>
      <c r="S20" s="93">
        <f t="array" ref="S20">IFERROR(
AVERAGE((IF(DATOS_[[Sexo]:[Sexo]]=$B20,IF(DATOS_[[AGRUP. VALOR. PTO.]:[AGRUP. VALOR. PTO.]]=$B18,IF(DATOS_[[Check Periodo Ref.]:[Check Periodo Ref.]]="Dentro",DATOS_[Conc.Sal.14]))))),
0)</f>
        <v>0</v>
      </c>
      <c r="T20" s="93">
        <f t="array" ref="T20">IFERROR(
AVERAGE((IF(DATOS_[[Sexo]:[Sexo]]=$B20,IF(DATOS_[[AGRUP. VALOR. PTO.]:[AGRUP. VALOR. PTO.]]=$B18,IF(DATOS_[[Check Periodo Ref.]:[Check Periodo Ref.]]="Dentro",DATOS_[Conc.Sal.15]))))),
0)</f>
        <v>0</v>
      </c>
      <c r="U20" s="93">
        <f t="array" ref="U20">IFERROR(
AVERAGE((IF(DATOS_[[Sexo]:[Sexo]]=$B20,IF(DATOS_[[AGRUP. VALOR. PTO.]:[AGRUP. VALOR. PTO.]]=$B18,IF(DATOS_[[Check Periodo Ref.]:[Check Periodo Ref.]]="Dentro",DATOS_[Conc.Sal.16]))))),
0)</f>
        <v>0</v>
      </c>
      <c r="V20" s="93">
        <f t="array" ref="V20">IFERROR(
AVERAGE((IF(DATOS_[[Sexo]:[Sexo]]=$B20,IF(DATOS_[[AGRUP. VALOR. PTO.]:[AGRUP. VALOR. PTO.]]=$B18,IF(DATOS_[[Check Periodo Ref.]:[Check Periodo Ref.]]="Dentro",DATOS_[Conc.Sal.17]))))),
0)</f>
        <v>0</v>
      </c>
      <c r="W20" s="93">
        <f t="array" ref="W20">IFERROR(
AVERAGE((IF(DATOS_[[Sexo]:[Sexo]]=$B20,IF(DATOS_[[AGRUP. VALOR. PTO.]:[AGRUP. VALOR. PTO.]]=$B18,IF(DATOS_[[Check Periodo Ref.]:[Check Periodo Ref.]]="Dentro",DATOS_[Conc.Sal.18]))))),
0)</f>
        <v>0</v>
      </c>
      <c r="X20" s="93">
        <f t="array" ref="X20">IFERROR(
AVERAGE((IF(DATOS_[[Sexo]:[Sexo]]=$B20,IF(DATOS_[[AGRUP. VALOR. PTO.]:[AGRUP. VALOR. PTO.]]=$B18,IF(DATOS_[[Check Periodo Ref.]:[Check Periodo Ref.]]="Dentro",DATOS_[Conc.Sal.19]))))),
0)</f>
        <v>0</v>
      </c>
      <c r="Y20" s="93">
        <f t="array" ref="Y20">IFERROR(
AVERAGE((IF(DATOS_[[Sexo]:[Sexo]]=$B20,IF(DATOS_[[AGRUP. VALOR. PTO.]:[AGRUP. VALOR. PTO.]]=$B18,IF(DATOS_[[Check Periodo Ref.]:[Check Periodo Ref.]]="Dentro",DATOS_[Conc.Sal.20]))))),
0)</f>
        <v>0</v>
      </c>
      <c r="Z20" s="93">
        <f t="array" ref="Z20">IFERROR(
AVERAGE((IF(DATOS_[[Sexo]:[Sexo]]=$B20,IF(DATOS_[[AGRUP. VALOR. PTO.]:[AGRUP. VALOR. PTO.]]=$B18,IF(DATOS_[[Check Periodo Ref.]:[Check Periodo Ref.]]="Dentro",DATOS_[Conc.Sal.21]))))),
0)</f>
        <v>0</v>
      </c>
      <c r="AA20" s="93">
        <f t="array" ref="AA20">IFERROR(
AVERAGE((IF(DATOS_[[Sexo]:[Sexo]]=$B20,IF(DATOS_[[AGRUP. VALOR. PTO.]:[AGRUP. VALOR. PTO.]]=$B18,IF(DATOS_[[Check Periodo Ref.]:[Check Periodo Ref.]]="Dentro",DATOS_[Conc.Sal.22]))))),
0)</f>
        <v>0</v>
      </c>
      <c r="AB20" s="93">
        <f t="array" ref="AB20">IFERROR(
AVERAGE((IF(DATOS_[[Sexo]:[Sexo]]=$B20,IF(DATOS_[[AGRUP. VALOR. PTO.]:[AGRUP. VALOR. PTO.]]=$B18,IF(DATOS_[[Check Periodo Ref.]:[Check Periodo Ref.]]="Dentro",DATOS_[Conc.Sal.23]))))),
0)</f>
        <v>0</v>
      </c>
      <c r="AC20" s="93">
        <f t="array" ref="AC20">IFERROR(
AVERAGE((IF(DATOS_[[Sexo]:[Sexo]]=$B20,IF(DATOS_[[AGRUP. VALOR. PTO.]:[AGRUP. VALOR. PTO.]]=$B18,IF(DATOS_[[Check Periodo Ref.]:[Check Periodo Ref.]]="Dentro",DATOS_[Conc.Sal.24]))))),
0)</f>
        <v>0</v>
      </c>
      <c r="AD20" s="93">
        <f t="array" ref="AD20">IFERROR(
AVERAGE((IF(DATOS_[[Sexo]:[Sexo]]=$B20,IF(DATOS_[[AGRUP. VALOR. PTO.]:[AGRUP. VALOR. PTO.]]=$B18,IF(DATOS_[[Check Periodo Ref.]:[Check Periodo Ref.]]="Dentro",DATOS_[Conc.Sal.25]))))),
0)</f>
        <v>0</v>
      </c>
      <c r="AE20" s="93">
        <f t="array" ref="AE20">IFERROR(
AVERAGE((IF(DATOS_[[Sexo]:[Sexo]]=$B20,IF(DATOS_[[AGRUP. VALOR. PTO.]:[AGRUP. VALOR. PTO.]]=$B18,IF(DATOS_[[Check Periodo Ref.]:[Check Periodo Ref.]]="Dentro",DATOS_[Conc.Sal.26]))))),
0)</f>
        <v>0</v>
      </c>
      <c r="AF20" s="93">
        <f t="array" ref="AF20">IFERROR(
AVERAGE((IF(DATOS_[[Sexo]:[Sexo]]=$B20,IF(DATOS_[[AGRUP. VALOR. PTO.]:[AGRUP. VALOR. PTO.]]=$B18,IF(DATOS_[[Check Periodo Ref.]:[Check Periodo Ref.]]="Dentro",DATOS_[Conc.Sal.27]))))),
0)</f>
        <v>0</v>
      </c>
      <c r="AG20" s="93">
        <f t="array" ref="AG20">IFERROR(
AVERAGE((IF(DATOS_[[Sexo]:[Sexo]]=$B20,IF(DATOS_[[AGRUP. VALOR. PTO.]:[AGRUP. VALOR. PTO.]]=$B18,IF(DATOS_[[Check Periodo Ref.]:[Check Periodo Ref.]]="Dentro",DATOS_[Conc.Sal.28]))))),
0)</f>
        <v>0</v>
      </c>
      <c r="AH20" s="93">
        <f t="array" ref="AH20">IFERROR(
AVERAGE((IF(DATOS_[[Sexo]:[Sexo]]=$B20,IF(DATOS_[[AGRUP. VALOR. PTO.]:[AGRUP. VALOR. PTO.]]=$B18,IF(DATOS_[[Check Periodo Ref.]:[Check Periodo Ref.]]="Dentro",DATOS_[Conc.Sal.29]))))),
0)</f>
        <v>0</v>
      </c>
      <c r="AI20" s="93">
        <f t="array" ref="AI20">IFERROR(
AVERAGE((IF(DATOS_[[Sexo]:[Sexo]]=$B20,IF(DATOS_[[AGRUP. VALOR. PTO.]:[AGRUP. VALOR. PTO.]]=$B18,IF(DATOS_[[Check Periodo Ref.]:[Check Periodo Ref.]]="Dentro",DATOS_[Conc.Sal.30]))))),
0)</f>
        <v>0</v>
      </c>
      <c r="AJ20" s="94">
        <f t="array" ref="AJ20">IFERROR(
AVERAGE(IF(DATOS_[Sexo]=$B20,IF(DATOS_[AGRUP. VALOR. PTO.]=$B18,IF(DATOS_[Check Periodo Ref.]="Dentro",DATOS_[Tot COMPL.SAL Ef],FALSE)))),
0)</f>
        <v>14936.894425000002</v>
      </c>
      <c r="AK20" s="96">
        <f t="array" ref="AK20">IFERROR(
AVERAGE(IF(DATOS_[Sexo]=$B20,IF(DATOS_[AGRUP. VALOR. PTO.]=$B18,IF(DATOS_[Check Periodo Ref.]="Dentro",DATOS_[TOTAL SALARIO Ef],FALSE)))),
0)</f>
        <v>30006.632549999998</v>
      </c>
      <c r="AL20" s="95">
        <f t="array" ref="AL20">IFERROR(
AVERAGE((IF(DATOS_[[Sexo]:[Sexo]]=$B20,IF(DATOS_[[AGRUP. VALOR. PTO.]:[AGRUP. VALOR. PTO.]]=$B18,IF(DATOS_[[Check Periodo Ref.]:[Check Periodo Ref.]]="Dentro",DATOS_[C.Extra.01]))))),
0)</f>
        <v>0</v>
      </c>
      <c r="AM20" s="95">
        <f t="array" ref="AM20">IFERROR(
AVERAGE((IF(DATOS_[[Sexo]:[Sexo]]=$B20,IF(DATOS_[[AGRUP. VALOR. PTO.]:[AGRUP. VALOR. PTO.]]=$B18,IF(DATOS_[[Check Periodo Ref.]:[Check Periodo Ref.]]="Dentro",DATOS_[C.Extra.02]))))),
0)</f>
        <v>0</v>
      </c>
      <c r="AN20" s="95">
        <f t="array" ref="AN20">IFERROR(
AVERAGE((IF(DATOS_[[Sexo]:[Sexo]]=$B20,IF(DATOS_[[AGRUP. VALOR. PTO.]:[AGRUP. VALOR. PTO.]]=$B18,IF(DATOS_[[Check Periodo Ref.]:[Check Periodo Ref.]]="Dentro",DATOS_[C.Extra.03]))))),
0)</f>
        <v>0</v>
      </c>
      <c r="AO20" s="95">
        <f t="array" ref="AO20">IFERROR(
AVERAGE((IF(DATOS_[[Sexo]:[Sexo]]=$B20,IF(DATOS_[[AGRUP. VALOR. PTO.]:[AGRUP. VALOR. PTO.]]=$B18,IF(DATOS_[[Check Periodo Ref.]:[Check Periodo Ref.]]="Dentro",DATOS_[C.Extra.04]))))),
0)</f>
        <v>0</v>
      </c>
      <c r="AP20" s="95">
        <f t="array" ref="AP20">IFERROR(
AVERAGE((IF(DATOS_[[Sexo]:[Sexo]]=$B20,IF(DATOS_[[AGRUP. VALOR. PTO.]:[AGRUP. VALOR. PTO.]]=$B18,IF(DATOS_[[Check Periodo Ref.]:[Check Periodo Ref.]]="Dentro",DATOS_[C.Extra.05]))))),
0)</f>
        <v>0</v>
      </c>
      <c r="AQ20" s="97">
        <f t="array" ref="AQ20">IFERROR(
AVERAGE(IF(DATOS_[Sexo]=$B20,IF(DATOS_[AGRUP. VALOR. PTO.]=$B18,IF(DATOS_[Check Periodo Ref.]="Dentro",DATOS_[Tot Extrasalarial Ef],FALSE)))),
0)</f>
        <v>0</v>
      </c>
      <c r="AR20" s="98">
        <f t="array" ref="AR20">IFERROR(
AVERAGE(IF(DATOS_[Sexo]=$B20,IF(DATOS_[AGRUP. VALOR. PTO.]=$B18,IF(DATOS_[Check Periodo Ref.]="Dentro",DATOS_[TOTAL Retrib Ef],FALSE)))),
0)</f>
        <v>30006.632549999998</v>
      </c>
    </row>
    <row r="21" spans="1:44" ht="17.25" thickBot="1" x14ac:dyDescent="0.35">
      <c r="A21" s="48" t="str">
        <f t="shared" ref="A21" si="11">+A22</f>
        <v/>
      </c>
      <c r="B21" s="51" t="s">
        <v>310</v>
      </c>
      <c r="C21" s="91"/>
      <c r="D21" s="52"/>
      <c r="E21" s="139">
        <f t="shared" ref="E21:AR21" si="12">IFERROR((E22-E23)/E22,"")</f>
        <v>0.24591217913834273</v>
      </c>
      <c r="F21" s="179">
        <f t="shared" si="12"/>
        <v>0.43581307229904431</v>
      </c>
      <c r="G21" s="180">
        <f t="shared" si="12"/>
        <v>0.24258626710233916</v>
      </c>
      <c r="H21" s="180" t="str">
        <f t="shared" si="12"/>
        <v/>
      </c>
      <c r="I21" s="180" t="str">
        <f t="shared" si="12"/>
        <v/>
      </c>
      <c r="J21" s="181" t="str">
        <f t="shared" si="12"/>
        <v/>
      </c>
      <c r="K21" s="182" t="str">
        <f t="shared" si="12"/>
        <v/>
      </c>
      <c r="L21" s="182">
        <f t="shared" si="12"/>
        <v>2.0408163265306152E-2</v>
      </c>
      <c r="M21" s="182" t="str">
        <f t="shared" si="12"/>
        <v/>
      </c>
      <c r="N21" s="182" t="str">
        <f t="shared" si="12"/>
        <v/>
      </c>
      <c r="O21" s="182" t="str">
        <f t="shared" si="12"/>
        <v/>
      </c>
      <c r="P21" s="182" t="str">
        <f t="shared" si="12"/>
        <v/>
      </c>
      <c r="Q21" s="182" t="str">
        <f t="shared" si="12"/>
        <v/>
      </c>
      <c r="R21" s="182" t="str">
        <f t="shared" si="12"/>
        <v/>
      </c>
      <c r="S21" s="182" t="str">
        <f t="shared" si="12"/>
        <v/>
      </c>
      <c r="T21" s="182" t="str">
        <f t="shared" si="12"/>
        <v/>
      </c>
      <c r="U21" s="182" t="str">
        <f t="shared" si="12"/>
        <v/>
      </c>
      <c r="V21" s="181" t="str">
        <f t="shared" si="12"/>
        <v/>
      </c>
      <c r="W21" s="181" t="str">
        <f t="shared" si="12"/>
        <v/>
      </c>
      <c r="X21" s="181" t="str">
        <f t="shared" si="12"/>
        <v/>
      </c>
      <c r="Y21" s="181" t="str">
        <f t="shared" si="12"/>
        <v/>
      </c>
      <c r="Z21" s="181" t="str">
        <f t="shared" si="12"/>
        <v/>
      </c>
      <c r="AA21" s="181" t="str">
        <f t="shared" si="12"/>
        <v/>
      </c>
      <c r="AB21" s="181" t="str">
        <f t="shared" si="12"/>
        <v/>
      </c>
      <c r="AC21" s="181" t="str">
        <f t="shared" si="12"/>
        <v/>
      </c>
      <c r="AD21" s="181" t="str">
        <f t="shared" si="12"/>
        <v/>
      </c>
      <c r="AE21" s="181" t="str">
        <f t="shared" si="12"/>
        <v/>
      </c>
      <c r="AF21" s="181" t="str">
        <f t="shared" si="12"/>
        <v/>
      </c>
      <c r="AG21" s="181" t="str">
        <f t="shared" si="12"/>
        <v/>
      </c>
      <c r="AH21" s="181" t="str">
        <f t="shared" si="12"/>
        <v/>
      </c>
      <c r="AI21" s="181" t="str">
        <f t="shared" si="12"/>
        <v/>
      </c>
      <c r="AJ21" s="140">
        <f t="shared" si="12"/>
        <v>0.36248324493082229</v>
      </c>
      <c r="AK21" s="143">
        <f t="shared" si="12"/>
        <v>0.27563391530113562</v>
      </c>
      <c r="AL21" s="184" t="str">
        <f t="shared" si="12"/>
        <v/>
      </c>
      <c r="AM21" s="184" t="str">
        <f t="shared" si="12"/>
        <v/>
      </c>
      <c r="AN21" s="184" t="str">
        <f t="shared" si="12"/>
        <v/>
      </c>
      <c r="AO21" s="184">
        <f t="shared" si="12"/>
        <v>1</v>
      </c>
      <c r="AP21" s="184" t="str">
        <f t="shared" si="12"/>
        <v/>
      </c>
      <c r="AQ21" s="141">
        <f t="shared" si="12"/>
        <v>1</v>
      </c>
      <c r="AR21" s="142">
        <f t="shared" si="12"/>
        <v>0.2829747005715002</v>
      </c>
    </row>
    <row r="22" spans="1:44" x14ac:dyDescent="0.3">
      <c r="A22" s="48" t="str">
        <f t="shared" ref="A22" si="13">+IF(C22+C23=0,"[ocultar]","")</f>
        <v/>
      </c>
      <c r="B22" s="46" t="s">
        <v>162</v>
      </c>
      <c r="C22" s="45">
        <f t="array" ref="C22">SUM(IF($B22=DATOS_[Sexo],
IF($B21=DATOS_[AGRUP. VALOR. PTO.],
IF("Dentro"=DATOS_[Check Periodo Ref.],
1/(COUNTIFS(DATOS_[Sexo],$B22,DATOS_[AGRUP. VALOR. PTO.],$B21,DATOS_[Check Periodo Ref.],"Dentro",DATOS_[id],DATOS_[id]))))))</f>
        <v>23</v>
      </c>
      <c r="D22" s="47">
        <f>COUNTIFS(DATOS_[AGRUP. VALOR. PTO.],$B21,DATOS_[Sexo],$B22,DATOS_[Check Periodo Ref.],"Dentro")</f>
        <v>24</v>
      </c>
      <c r="E22" s="92">
        <f t="array" ref="E22">IFERROR(
AVERAGE(IF(DATOS_[Sexo]=$B22,IF(DATOS_[AGRUP. VALOR. PTO.]=$B21,IF(DATOS_[Check Periodo Ref.]="Dentro",DATOS_[SALARIO BASE Ef],FALSE)))),
0)</f>
        <v>14460.514430555564</v>
      </c>
      <c r="F22" s="93">
        <f t="array" ref="F22">IFERROR(
AVERAGE((IF(DATOS_[[Sexo]:[Sexo]]=$B22,IF(DATOS_[[AGRUP. VALOR. PTO.]:[AGRUP. VALOR. PTO.]]=$B21,IF(DATOS_[[Check Periodo Ref.]:[Check Periodo Ref.]]="Dentro",DATOS_[Conc.Sal.01]))))),
0)</f>
        <v>3151.1522361111097</v>
      </c>
      <c r="G22" s="93">
        <f t="array" ref="G22">IFERROR(
AVERAGE((IF(DATOS_[[Sexo]:[Sexo]]=$B22,IF(DATOS_[[AGRUP. VALOR. PTO.]:[AGRUP. VALOR. PTO.]]=$B21,IF(DATOS_[[Check Periodo Ref.]:[Check Periodo Ref.]]="Dentro",DATOS_[Conc.Sal.02]))))),
0)</f>
        <v>1727.5514155555559</v>
      </c>
      <c r="H22" s="93">
        <f t="array" ref="H22">IFERROR(
AVERAGE((IF(DATOS_[[Sexo]:[Sexo]]=$B22,IF(DATOS_[[AGRUP. VALOR. PTO.]:[AGRUP. VALOR. PTO.]]=$B21,IF(DATOS_[[Check Periodo Ref.]:[Check Periodo Ref.]]="Dentro",DATOS_[Conc.Sal.03]))))),
0)</f>
        <v>0</v>
      </c>
      <c r="I22" s="93">
        <f t="array" ref="I22">IFERROR(
AVERAGE((IF(DATOS_[[Sexo]:[Sexo]]=$B22,IF(DATOS_[[AGRUP. VALOR. PTO.]:[AGRUP. VALOR. PTO.]]=$B21,IF(DATOS_[[Check Periodo Ref.]:[Check Periodo Ref.]]="Dentro",DATOS_[Conc.Sal.04]))))),
0)</f>
        <v>0</v>
      </c>
      <c r="J22" s="93">
        <f t="array" ref="J22">IFERROR(
AVERAGE((IF(DATOS_[[Sexo]:[Sexo]]=$B22,IF(DATOS_[[AGRUP. VALOR. PTO.]:[AGRUP. VALOR. PTO.]]=$B21,IF(DATOS_[[Check Periodo Ref.]:[Check Periodo Ref.]]="Dentro",DATOS_[Conc.Sal.05]))))),
0)</f>
        <v>0</v>
      </c>
      <c r="K22" s="93">
        <f t="array" ref="K22">IFERROR(
AVERAGE((IF(DATOS_[[Sexo]:[Sexo]]=$B22,IF(DATOS_[[AGRUP. VALOR. PTO.]:[AGRUP. VALOR. PTO.]]=$B21,IF(DATOS_[[Check Periodo Ref.]:[Check Periodo Ref.]]="Dentro",DATOS_[Conc.Sal.06]))))),
0)</f>
        <v>0</v>
      </c>
      <c r="L22" s="93">
        <f t="array" ref="L22">IFERROR(
AVERAGE((IF(DATOS_[[Sexo]:[Sexo]]=$B22,IF(DATOS_[[AGRUP. VALOR. PTO.]:[AGRUP. VALOR. PTO.]]=$B21,IF(DATOS_[[Check Periodo Ref.]:[Check Periodo Ref.]]="Dentro",DATOS_[Conc.Sal.07]))))),
0)</f>
        <v>70</v>
      </c>
      <c r="M22" s="93">
        <f t="array" ref="M22">IFERROR(
AVERAGE((IF(DATOS_[[Sexo]:[Sexo]]=$B22,IF(DATOS_[[AGRUP. VALOR. PTO.]:[AGRUP. VALOR. PTO.]]=$B21,IF(DATOS_[[Check Periodo Ref.]:[Check Periodo Ref.]]="Dentro",DATOS_[Conc.Sal.08]))))),
0)</f>
        <v>0</v>
      </c>
      <c r="N22" s="93">
        <f t="array" ref="N22">IFERROR(
AVERAGE((IF(DATOS_[[Sexo]:[Sexo]]=$B22,IF(DATOS_[[AGRUP. VALOR. PTO.]:[AGRUP. VALOR. PTO.]]=$B21,IF(DATOS_[[Check Periodo Ref.]:[Check Periodo Ref.]]="Dentro",DATOS_[Conc.Sal.09]))))),
0)</f>
        <v>0</v>
      </c>
      <c r="O22" s="93">
        <f t="array" ref="O22">IFERROR(
AVERAGE((IF(DATOS_[[Sexo]:[Sexo]]=$B22,IF(DATOS_[[AGRUP. VALOR. PTO.]:[AGRUP. VALOR. PTO.]]=$B21,IF(DATOS_[[Check Periodo Ref.]:[Check Periodo Ref.]]="Dentro",DATOS_[Conc.Sal.10]))))),
0)</f>
        <v>0</v>
      </c>
      <c r="P22" s="93">
        <f t="array" ref="P22">IFERROR(
AVERAGE((IF(DATOS_[[Sexo]:[Sexo]]=$B22,IF(DATOS_[[AGRUP. VALOR. PTO.]:[AGRUP. VALOR. PTO.]]=$B21,IF(DATOS_[[Check Periodo Ref.]:[Check Periodo Ref.]]="Dentro",DATOS_[Conc.Sal.11]))))),
0)</f>
        <v>0</v>
      </c>
      <c r="Q22" s="93">
        <f t="array" ref="Q22">IFERROR(
AVERAGE((IF(DATOS_[[Sexo]:[Sexo]]=$B22,IF(DATOS_[[AGRUP. VALOR. PTO.]:[AGRUP. VALOR. PTO.]]=$B21,IF(DATOS_[[Check Periodo Ref.]:[Check Periodo Ref.]]="Dentro",DATOS_[Conc.Sal.12]))))),
0)</f>
        <v>0</v>
      </c>
      <c r="R22" s="93">
        <f t="array" ref="R22">IFERROR(
AVERAGE((IF(DATOS_[[Sexo]:[Sexo]]=$B22,IF(DATOS_[[AGRUP. VALOR. PTO.]:[AGRUP. VALOR. PTO.]]=$B21,IF(DATOS_[[Check Periodo Ref.]:[Check Periodo Ref.]]="Dentro",DATOS_[Conc.Sal.13]))))),
0)</f>
        <v>0</v>
      </c>
      <c r="S22" s="93">
        <f t="array" ref="S22">IFERROR(
AVERAGE((IF(DATOS_[[Sexo]:[Sexo]]=$B22,IF(DATOS_[[AGRUP. VALOR. PTO.]:[AGRUP. VALOR. PTO.]]=$B21,IF(DATOS_[[Check Periodo Ref.]:[Check Periodo Ref.]]="Dentro",DATOS_[Conc.Sal.14]))))),
0)</f>
        <v>0</v>
      </c>
      <c r="T22" s="93">
        <f t="array" ref="T22">IFERROR(
AVERAGE((IF(DATOS_[[Sexo]:[Sexo]]=$B22,IF(DATOS_[[AGRUP. VALOR. PTO.]:[AGRUP. VALOR. PTO.]]=$B21,IF(DATOS_[[Check Periodo Ref.]:[Check Periodo Ref.]]="Dentro",DATOS_[Conc.Sal.15]))))),
0)</f>
        <v>0</v>
      </c>
      <c r="U22" s="93">
        <f t="array" ref="U22">IFERROR(
AVERAGE((IF(DATOS_[[Sexo]:[Sexo]]=$B22,IF(DATOS_[[AGRUP. VALOR. PTO.]:[AGRUP. VALOR. PTO.]]=$B21,IF(DATOS_[[Check Periodo Ref.]:[Check Periodo Ref.]]="Dentro",DATOS_[Conc.Sal.16]))))),
0)</f>
        <v>0</v>
      </c>
      <c r="V22" s="93">
        <f t="array" ref="V22">IFERROR(
AVERAGE((IF(DATOS_[[Sexo]:[Sexo]]=$B22,IF(DATOS_[[AGRUP. VALOR. PTO.]:[AGRUP. VALOR. PTO.]]=$B21,IF(DATOS_[[Check Periodo Ref.]:[Check Periodo Ref.]]="Dentro",DATOS_[Conc.Sal.17]))))),
0)</f>
        <v>0</v>
      </c>
      <c r="W22" s="93">
        <f t="array" ref="W22">IFERROR(
AVERAGE((IF(DATOS_[[Sexo]:[Sexo]]=$B22,IF(DATOS_[[AGRUP. VALOR. PTO.]:[AGRUP. VALOR. PTO.]]=$B21,IF(DATOS_[[Check Periodo Ref.]:[Check Periodo Ref.]]="Dentro",DATOS_[Conc.Sal.18]))))),
0)</f>
        <v>0</v>
      </c>
      <c r="X22" s="93">
        <f t="array" ref="X22">IFERROR(
AVERAGE((IF(DATOS_[[Sexo]:[Sexo]]=$B22,IF(DATOS_[[AGRUP. VALOR. PTO.]:[AGRUP. VALOR. PTO.]]=$B21,IF(DATOS_[[Check Periodo Ref.]:[Check Periodo Ref.]]="Dentro",DATOS_[Conc.Sal.19]))))),
0)</f>
        <v>0</v>
      </c>
      <c r="Y22" s="93">
        <f t="array" ref="Y22">IFERROR(
AVERAGE((IF(DATOS_[[Sexo]:[Sexo]]=$B22,IF(DATOS_[[AGRUP. VALOR. PTO.]:[AGRUP. VALOR. PTO.]]=$B21,IF(DATOS_[[Check Periodo Ref.]:[Check Periodo Ref.]]="Dentro",DATOS_[Conc.Sal.20]))))),
0)</f>
        <v>0</v>
      </c>
      <c r="Z22" s="93">
        <f t="array" ref="Z22">IFERROR(
AVERAGE((IF(DATOS_[[Sexo]:[Sexo]]=$B22,IF(DATOS_[[AGRUP. VALOR. PTO.]:[AGRUP. VALOR. PTO.]]=$B21,IF(DATOS_[[Check Periodo Ref.]:[Check Periodo Ref.]]="Dentro",DATOS_[Conc.Sal.21]))))),
0)</f>
        <v>0</v>
      </c>
      <c r="AA22" s="93">
        <f t="array" ref="AA22">IFERROR(
AVERAGE((IF(DATOS_[[Sexo]:[Sexo]]=$B22,IF(DATOS_[[AGRUP. VALOR. PTO.]:[AGRUP. VALOR. PTO.]]=$B21,IF(DATOS_[[Check Periodo Ref.]:[Check Periodo Ref.]]="Dentro",DATOS_[Conc.Sal.22]))))),
0)</f>
        <v>0</v>
      </c>
      <c r="AB22" s="93">
        <f t="array" ref="AB22">IFERROR(
AVERAGE((IF(DATOS_[[Sexo]:[Sexo]]=$B22,IF(DATOS_[[AGRUP. VALOR. PTO.]:[AGRUP. VALOR. PTO.]]=$B21,IF(DATOS_[[Check Periodo Ref.]:[Check Periodo Ref.]]="Dentro",DATOS_[Conc.Sal.23]))))),
0)</f>
        <v>0</v>
      </c>
      <c r="AC22" s="93">
        <f t="array" ref="AC22">IFERROR(
AVERAGE((IF(DATOS_[[Sexo]:[Sexo]]=$B22,IF(DATOS_[[AGRUP. VALOR. PTO.]:[AGRUP. VALOR. PTO.]]=$B21,IF(DATOS_[[Check Periodo Ref.]:[Check Periodo Ref.]]="Dentro",DATOS_[Conc.Sal.24]))))),
0)</f>
        <v>0</v>
      </c>
      <c r="AD22" s="93">
        <f t="array" ref="AD22">IFERROR(
AVERAGE((IF(DATOS_[[Sexo]:[Sexo]]=$B22,IF(DATOS_[[AGRUP. VALOR. PTO.]:[AGRUP. VALOR. PTO.]]=$B21,IF(DATOS_[[Check Periodo Ref.]:[Check Periodo Ref.]]="Dentro",DATOS_[Conc.Sal.25]))))),
0)</f>
        <v>0</v>
      </c>
      <c r="AE22" s="93">
        <f t="array" ref="AE22">IFERROR(
AVERAGE((IF(DATOS_[[Sexo]:[Sexo]]=$B22,IF(DATOS_[[AGRUP. VALOR. PTO.]:[AGRUP. VALOR. PTO.]]=$B21,IF(DATOS_[[Check Periodo Ref.]:[Check Periodo Ref.]]="Dentro",DATOS_[Conc.Sal.26]))))),
0)</f>
        <v>0</v>
      </c>
      <c r="AF22" s="93">
        <f t="array" ref="AF22">IFERROR(
AVERAGE((IF(DATOS_[[Sexo]:[Sexo]]=$B22,IF(DATOS_[[AGRUP. VALOR. PTO.]:[AGRUP. VALOR. PTO.]]=$B21,IF(DATOS_[[Check Periodo Ref.]:[Check Periodo Ref.]]="Dentro",DATOS_[Conc.Sal.27]))))),
0)</f>
        <v>0</v>
      </c>
      <c r="AG22" s="93">
        <f t="array" ref="AG22">IFERROR(
AVERAGE((IF(DATOS_[[Sexo]:[Sexo]]=$B22,IF(DATOS_[[AGRUP. VALOR. PTO.]:[AGRUP. VALOR. PTO.]]=$B21,IF(DATOS_[[Check Periodo Ref.]:[Check Periodo Ref.]]="Dentro",DATOS_[Conc.Sal.28]))))),
0)</f>
        <v>0</v>
      </c>
      <c r="AH22" s="93">
        <f t="array" ref="AH22">IFERROR(
AVERAGE((IF(DATOS_[[Sexo]:[Sexo]]=$B22,IF(DATOS_[[AGRUP. VALOR. PTO.]:[AGRUP. VALOR. PTO.]]=$B21,IF(DATOS_[[Check Periodo Ref.]:[Check Periodo Ref.]]="Dentro",DATOS_[Conc.Sal.29]))))),
0)</f>
        <v>0</v>
      </c>
      <c r="AI22" s="93">
        <f t="array" ref="AI22">IFERROR(
AVERAGE((IF(DATOS_[[Sexo]:[Sexo]]=$B22,IF(DATOS_[[AGRUP. VALOR. PTO.]:[AGRUP. VALOR. PTO.]]=$B21,IF(DATOS_[[Check Periodo Ref.]:[Check Periodo Ref.]]="Dentro",DATOS_[Conc.Sal.30]))))),
0)</f>
        <v>0</v>
      </c>
      <c r="AJ22" s="94">
        <f t="array" ref="AJ22">IFERROR(
AVERAGE(IF(DATOS_[Sexo]=$B22,IF(DATOS_[AGRUP. VALOR. PTO.]=$B21,IF(DATOS_[Check Periodo Ref.]="Dentro",DATOS_[Tot COMPL.SAL Ef],FALSE)))),
0)</f>
        <v>4948.7036516666667</v>
      </c>
      <c r="AK22" s="96">
        <f t="array" ref="AK22">IFERROR(
AVERAGE(IF(DATOS_[Sexo]=$B22,IF(DATOS_[AGRUP. VALOR. PTO.]=$B21,IF(DATOS_[Check Periodo Ref.]="Dentro",DATOS_[TOTAL SALARIO Ef],FALSE)))),
0)</f>
        <v>19409.218082222225</v>
      </c>
      <c r="AL22" s="95">
        <f t="array" ref="AL22">IFERROR(
AVERAGE((IF(DATOS_[[Sexo]:[Sexo]]=$B22,IF(DATOS_[[AGRUP. VALOR. PTO.]:[AGRUP. VALOR. PTO.]]=$B21,IF(DATOS_[[Check Periodo Ref.]:[Check Periodo Ref.]]="Dentro",DATOS_[C.Extra.01]))))),
0)</f>
        <v>0</v>
      </c>
      <c r="AM22" s="95">
        <f t="array" ref="AM22">IFERROR(
AVERAGE((IF(DATOS_[[Sexo]:[Sexo]]=$B22,IF(DATOS_[[AGRUP. VALOR. PTO.]:[AGRUP. VALOR. PTO.]]=$B21,IF(DATOS_[[Check Periodo Ref.]:[Check Periodo Ref.]]="Dentro",DATOS_[C.Extra.02]))))),
0)</f>
        <v>0</v>
      </c>
      <c r="AN22" s="95">
        <f t="array" ref="AN22">IFERROR(
AVERAGE((IF(DATOS_[[Sexo]:[Sexo]]=$B22,IF(DATOS_[[AGRUP. VALOR. PTO.]:[AGRUP. VALOR. PTO.]]=$B21,IF(DATOS_[[Check Periodo Ref.]:[Check Periodo Ref.]]="Dentro",DATOS_[C.Extra.03]))))),
0)</f>
        <v>0</v>
      </c>
      <c r="AO22" s="95">
        <f t="array" ref="AO22">IFERROR(
AVERAGE((IF(DATOS_[[Sexo]:[Sexo]]=$B22,IF(DATOS_[[AGRUP. VALOR. PTO.]:[AGRUP. VALOR. PTO.]]=$B21,IF(DATOS_[[Check Periodo Ref.]:[Check Periodo Ref.]]="Dentro",DATOS_[C.Extra.04]))))),
0)</f>
        <v>198.70833333333334</v>
      </c>
      <c r="AP22" s="95">
        <f t="array" ref="AP22">IFERROR(
AVERAGE((IF(DATOS_[[Sexo]:[Sexo]]=$B22,IF(DATOS_[[AGRUP. VALOR. PTO.]:[AGRUP. VALOR. PTO.]]=$B21,IF(DATOS_[[Check Periodo Ref.]:[Check Periodo Ref.]]="Dentro",DATOS_[C.Extra.05]))))),
0)</f>
        <v>0</v>
      </c>
      <c r="AQ22" s="97">
        <f t="array" ref="AQ22">IFERROR(
AVERAGE(IF(DATOS_[Sexo]=$B22,IF(DATOS_[AGRUP. VALOR. PTO.]=$B21,IF(DATOS_[Check Periodo Ref.]="Dentro",DATOS_[Tot Extrasalarial Ef],FALSE)))),
0)</f>
        <v>198.70833333333334</v>
      </c>
      <c r="AR22" s="98">
        <f t="array" ref="AR22">IFERROR(
AVERAGE(IF(DATOS_[Sexo]=$B22,IF(DATOS_[AGRUP. VALOR. PTO.]=$B21,IF(DATOS_[Check Periodo Ref.]="Dentro",DATOS_[TOTAL Retrib Ef],FALSE)))),
0)</f>
        <v>19607.926415555557</v>
      </c>
    </row>
    <row r="23" spans="1:44" x14ac:dyDescent="0.3">
      <c r="A23" s="48" t="str">
        <f t="shared" ref="A23" si="14">+A22</f>
        <v/>
      </c>
      <c r="B23" s="46" t="s">
        <v>163</v>
      </c>
      <c r="C23" s="45">
        <f t="array" ref="C23">SUM(IF($B23=DATOS_[Sexo],
IF($B21=DATOS_[AGRUP. VALOR. PTO.],
IF("Dentro"=DATOS_[Check Periodo Ref.],
1/(COUNTIFS(DATOS_[Sexo],$B23,DATOS_[AGRUP. VALOR. PTO.],$B21,DATOS_[Check Periodo Ref.],"Dentro",DATOS_[id],DATOS_[id]))))))</f>
        <v>13</v>
      </c>
      <c r="D23" s="47">
        <f>COUNTIFS(DATOS_[AGRUP. VALOR. PTO.],$B21,DATOS_[Sexo],$B23,DATOS_[Check Periodo Ref.],"Dentro")</f>
        <v>14</v>
      </c>
      <c r="E23" s="92">
        <f t="array" ref="E23">IFERROR(
AVERAGE(IF(DATOS_[Sexo]=$B23,IF(DATOS_[AGRUP. VALOR. PTO.]=$B21,IF(DATOS_[Check Periodo Ref.]="Dentro",DATOS_[SALARIO BASE Ef],FALSE)))),
0)</f>
        <v>10904.497815476194</v>
      </c>
      <c r="F23" s="93">
        <f t="array" ref="F23">IFERROR(
AVERAGE((IF(DATOS_[[Sexo]:[Sexo]]=$B23,IF(DATOS_[[AGRUP. VALOR. PTO.]:[AGRUP. VALOR. PTO.]]=$B21,IF(DATOS_[[Check Periodo Ref.]:[Check Periodo Ref.]]="Dentro",DATOS_[Conc.Sal.01]))))),
0)</f>
        <v>1777.8388988095235</v>
      </c>
      <c r="G23" s="93">
        <f t="array" ref="G23">IFERROR(
AVERAGE((IF(DATOS_[[Sexo]:[Sexo]]=$B23,IF(DATOS_[[AGRUP. VALOR. PTO.]:[AGRUP. VALOR. PTO.]]=$B21,IF(DATOS_[[Check Periodo Ref.]:[Check Periodo Ref.]]="Dentro",DATOS_[Conc.Sal.02]))))),
0)</f>
        <v>1308.4711664285717</v>
      </c>
      <c r="H23" s="93">
        <f t="array" ref="H23">IFERROR(
AVERAGE((IF(DATOS_[[Sexo]:[Sexo]]=$B23,IF(DATOS_[[AGRUP. VALOR. PTO.]:[AGRUP. VALOR. PTO.]]=$B21,IF(DATOS_[[Check Periodo Ref.]:[Check Periodo Ref.]]="Dentro",DATOS_[Conc.Sal.03]))))),
0)</f>
        <v>0</v>
      </c>
      <c r="I23" s="93">
        <f t="array" ref="I23">IFERROR(
AVERAGE((IF(DATOS_[[Sexo]:[Sexo]]=$B23,IF(DATOS_[[AGRUP. VALOR. PTO.]:[AGRUP. VALOR. PTO.]]=$B21,IF(DATOS_[[Check Periodo Ref.]:[Check Periodo Ref.]]="Dentro",DATOS_[Conc.Sal.04]))))),
0)</f>
        <v>0</v>
      </c>
      <c r="J23" s="93">
        <f t="array" ref="J23">IFERROR(
AVERAGE((IF(DATOS_[[Sexo]:[Sexo]]=$B23,IF(DATOS_[[AGRUP. VALOR. PTO.]:[AGRUP. VALOR. PTO.]]=$B21,IF(DATOS_[[Check Periodo Ref.]:[Check Periodo Ref.]]="Dentro",DATOS_[Conc.Sal.05]))))),
0)</f>
        <v>0</v>
      </c>
      <c r="K23" s="93">
        <f t="array" ref="K23">IFERROR(
AVERAGE((IF(DATOS_[[Sexo]:[Sexo]]=$B23,IF(DATOS_[[AGRUP. VALOR. PTO.]:[AGRUP. VALOR. PTO.]]=$B21,IF(DATOS_[[Check Periodo Ref.]:[Check Periodo Ref.]]="Dentro",DATOS_[Conc.Sal.06]))))),
0)</f>
        <v>0</v>
      </c>
      <c r="L23" s="93">
        <f t="array" ref="L23">IFERROR(
AVERAGE((IF(DATOS_[[Sexo]:[Sexo]]=$B23,IF(DATOS_[[AGRUP. VALOR. PTO.]:[AGRUP. VALOR. PTO.]]=$B21,IF(DATOS_[[Check Periodo Ref.]:[Check Periodo Ref.]]="Dentro",DATOS_[Conc.Sal.07]))))),
0)</f>
        <v>68.571428571428569</v>
      </c>
      <c r="M23" s="93">
        <f t="array" ref="M23">IFERROR(
AVERAGE((IF(DATOS_[[Sexo]:[Sexo]]=$B23,IF(DATOS_[[AGRUP. VALOR. PTO.]:[AGRUP. VALOR. PTO.]]=$B21,IF(DATOS_[[Check Periodo Ref.]:[Check Periodo Ref.]]="Dentro",DATOS_[Conc.Sal.08]))))),
0)</f>
        <v>0</v>
      </c>
      <c r="N23" s="93">
        <f t="array" ref="N23">IFERROR(
AVERAGE((IF(DATOS_[[Sexo]:[Sexo]]=$B23,IF(DATOS_[[AGRUP. VALOR. PTO.]:[AGRUP. VALOR. PTO.]]=$B21,IF(DATOS_[[Check Periodo Ref.]:[Check Periodo Ref.]]="Dentro",DATOS_[Conc.Sal.09]))))),
0)</f>
        <v>0</v>
      </c>
      <c r="O23" s="93">
        <f t="array" ref="O23">IFERROR(
AVERAGE((IF(DATOS_[[Sexo]:[Sexo]]=$B23,IF(DATOS_[[AGRUP. VALOR. PTO.]:[AGRUP. VALOR. PTO.]]=$B21,IF(DATOS_[[Check Periodo Ref.]:[Check Periodo Ref.]]="Dentro",DATOS_[Conc.Sal.10]))))),
0)</f>
        <v>0</v>
      </c>
      <c r="P23" s="93">
        <f t="array" ref="P23">IFERROR(
AVERAGE((IF(DATOS_[[Sexo]:[Sexo]]=$B23,IF(DATOS_[[AGRUP. VALOR. PTO.]:[AGRUP. VALOR. PTO.]]=$B21,IF(DATOS_[[Check Periodo Ref.]:[Check Periodo Ref.]]="Dentro",DATOS_[Conc.Sal.11]))))),
0)</f>
        <v>0</v>
      </c>
      <c r="Q23" s="93">
        <f t="array" ref="Q23">IFERROR(
AVERAGE((IF(DATOS_[[Sexo]:[Sexo]]=$B23,IF(DATOS_[[AGRUP. VALOR. PTO.]:[AGRUP. VALOR. PTO.]]=$B21,IF(DATOS_[[Check Periodo Ref.]:[Check Periodo Ref.]]="Dentro",DATOS_[Conc.Sal.12]))))),
0)</f>
        <v>0</v>
      </c>
      <c r="R23" s="93">
        <f t="array" ref="R23">IFERROR(
AVERAGE((IF(DATOS_[[Sexo]:[Sexo]]=$B23,IF(DATOS_[[AGRUP. VALOR. PTO.]:[AGRUP. VALOR. PTO.]]=$B21,IF(DATOS_[[Check Periodo Ref.]:[Check Periodo Ref.]]="Dentro",DATOS_[Conc.Sal.13]))))),
0)</f>
        <v>0</v>
      </c>
      <c r="S23" s="93">
        <f t="array" ref="S23">IFERROR(
AVERAGE((IF(DATOS_[[Sexo]:[Sexo]]=$B23,IF(DATOS_[[AGRUP. VALOR. PTO.]:[AGRUP. VALOR. PTO.]]=$B21,IF(DATOS_[[Check Periodo Ref.]:[Check Periodo Ref.]]="Dentro",DATOS_[Conc.Sal.14]))))),
0)</f>
        <v>0</v>
      </c>
      <c r="T23" s="93">
        <f t="array" ref="T23">IFERROR(
AVERAGE((IF(DATOS_[[Sexo]:[Sexo]]=$B23,IF(DATOS_[[AGRUP. VALOR. PTO.]:[AGRUP. VALOR. PTO.]]=$B21,IF(DATOS_[[Check Periodo Ref.]:[Check Periodo Ref.]]="Dentro",DATOS_[Conc.Sal.15]))))),
0)</f>
        <v>0</v>
      </c>
      <c r="U23" s="93">
        <f t="array" ref="U23">IFERROR(
AVERAGE((IF(DATOS_[[Sexo]:[Sexo]]=$B23,IF(DATOS_[[AGRUP. VALOR. PTO.]:[AGRUP. VALOR. PTO.]]=$B21,IF(DATOS_[[Check Periodo Ref.]:[Check Periodo Ref.]]="Dentro",DATOS_[Conc.Sal.16]))))),
0)</f>
        <v>0</v>
      </c>
      <c r="V23" s="93">
        <f t="array" ref="V23">IFERROR(
AVERAGE((IF(DATOS_[[Sexo]:[Sexo]]=$B23,IF(DATOS_[[AGRUP. VALOR. PTO.]:[AGRUP. VALOR. PTO.]]=$B21,IF(DATOS_[[Check Periodo Ref.]:[Check Periodo Ref.]]="Dentro",DATOS_[Conc.Sal.17]))))),
0)</f>
        <v>0</v>
      </c>
      <c r="W23" s="93">
        <f t="array" ref="W23">IFERROR(
AVERAGE((IF(DATOS_[[Sexo]:[Sexo]]=$B23,IF(DATOS_[[AGRUP. VALOR. PTO.]:[AGRUP. VALOR. PTO.]]=$B21,IF(DATOS_[[Check Periodo Ref.]:[Check Periodo Ref.]]="Dentro",DATOS_[Conc.Sal.18]))))),
0)</f>
        <v>0</v>
      </c>
      <c r="X23" s="93">
        <f t="array" ref="X23">IFERROR(
AVERAGE((IF(DATOS_[[Sexo]:[Sexo]]=$B23,IF(DATOS_[[AGRUP. VALOR. PTO.]:[AGRUP. VALOR. PTO.]]=$B21,IF(DATOS_[[Check Periodo Ref.]:[Check Periodo Ref.]]="Dentro",DATOS_[Conc.Sal.19]))))),
0)</f>
        <v>0</v>
      </c>
      <c r="Y23" s="93">
        <f t="array" ref="Y23">IFERROR(
AVERAGE((IF(DATOS_[[Sexo]:[Sexo]]=$B23,IF(DATOS_[[AGRUP. VALOR. PTO.]:[AGRUP. VALOR. PTO.]]=$B21,IF(DATOS_[[Check Periodo Ref.]:[Check Periodo Ref.]]="Dentro",DATOS_[Conc.Sal.20]))))),
0)</f>
        <v>0</v>
      </c>
      <c r="Z23" s="93">
        <f t="array" ref="Z23">IFERROR(
AVERAGE((IF(DATOS_[[Sexo]:[Sexo]]=$B23,IF(DATOS_[[AGRUP. VALOR. PTO.]:[AGRUP. VALOR. PTO.]]=$B21,IF(DATOS_[[Check Periodo Ref.]:[Check Periodo Ref.]]="Dentro",DATOS_[Conc.Sal.21]))))),
0)</f>
        <v>0</v>
      </c>
      <c r="AA23" s="93">
        <f t="array" ref="AA23">IFERROR(
AVERAGE((IF(DATOS_[[Sexo]:[Sexo]]=$B23,IF(DATOS_[[AGRUP. VALOR. PTO.]:[AGRUP. VALOR. PTO.]]=$B21,IF(DATOS_[[Check Periodo Ref.]:[Check Periodo Ref.]]="Dentro",DATOS_[Conc.Sal.22]))))),
0)</f>
        <v>0</v>
      </c>
      <c r="AB23" s="93">
        <f t="array" ref="AB23">IFERROR(
AVERAGE((IF(DATOS_[[Sexo]:[Sexo]]=$B23,IF(DATOS_[[AGRUP. VALOR. PTO.]:[AGRUP. VALOR. PTO.]]=$B21,IF(DATOS_[[Check Periodo Ref.]:[Check Periodo Ref.]]="Dentro",DATOS_[Conc.Sal.23]))))),
0)</f>
        <v>0</v>
      </c>
      <c r="AC23" s="93">
        <f t="array" ref="AC23">IFERROR(
AVERAGE((IF(DATOS_[[Sexo]:[Sexo]]=$B23,IF(DATOS_[[AGRUP. VALOR. PTO.]:[AGRUP. VALOR. PTO.]]=$B21,IF(DATOS_[[Check Periodo Ref.]:[Check Periodo Ref.]]="Dentro",DATOS_[Conc.Sal.24]))))),
0)</f>
        <v>0</v>
      </c>
      <c r="AD23" s="93">
        <f t="array" ref="AD23">IFERROR(
AVERAGE((IF(DATOS_[[Sexo]:[Sexo]]=$B23,IF(DATOS_[[AGRUP. VALOR. PTO.]:[AGRUP. VALOR. PTO.]]=$B21,IF(DATOS_[[Check Periodo Ref.]:[Check Periodo Ref.]]="Dentro",DATOS_[Conc.Sal.25]))))),
0)</f>
        <v>0</v>
      </c>
      <c r="AE23" s="93">
        <f t="array" ref="AE23">IFERROR(
AVERAGE((IF(DATOS_[[Sexo]:[Sexo]]=$B23,IF(DATOS_[[AGRUP. VALOR. PTO.]:[AGRUP. VALOR. PTO.]]=$B21,IF(DATOS_[[Check Periodo Ref.]:[Check Periodo Ref.]]="Dentro",DATOS_[Conc.Sal.26]))))),
0)</f>
        <v>0</v>
      </c>
      <c r="AF23" s="93">
        <f t="array" ref="AF23">IFERROR(
AVERAGE((IF(DATOS_[[Sexo]:[Sexo]]=$B23,IF(DATOS_[[AGRUP. VALOR. PTO.]:[AGRUP. VALOR. PTO.]]=$B21,IF(DATOS_[[Check Periodo Ref.]:[Check Periodo Ref.]]="Dentro",DATOS_[Conc.Sal.27]))))),
0)</f>
        <v>0</v>
      </c>
      <c r="AG23" s="93">
        <f t="array" ref="AG23">IFERROR(
AVERAGE((IF(DATOS_[[Sexo]:[Sexo]]=$B23,IF(DATOS_[[AGRUP. VALOR. PTO.]:[AGRUP. VALOR. PTO.]]=$B21,IF(DATOS_[[Check Periodo Ref.]:[Check Periodo Ref.]]="Dentro",DATOS_[Conc.Sal.28]))))),
0)</f>
        <v>0</v>
      </c>
      <c r="AH23" s="93">
        <f t="array" ref="AH23">IFERROR(
AVERAGE((IF(DATOS_[[Sexo]:[Sexo]]=$B23,IF(DATOS_[[AGRUP. VALOR. PTO.]:[AGRUP. VALOR. PTO.]]=$B21,IF(DATOS_[[Check Periodo Ref.]:[Check Periodo Ref.]]="Dentro",DATOS_[Conc.Sal.29]))))),
0)</f>
        <v>0</v>
      </c>
      <c r="AI23" s="93">
        <f t="array" ref="AI23">IFERROR(
AVERAGE((IF(DATOS_[[Sexo]:[Sexo]]=$B23,IF(DATOS_[[AGRUP. VALOR. PTO.]:[AGRUP. VALOR. PTO.]]=$B21,IF(DATOS_[[Check Periodo Ref.]:[Check Periodo Ref.]]="Dentro",DATOS_[Conc.Sal.30]))))),
0)</f>
        <v>0</v>
      </c>
      <c r="AJ23" s="94">
        <f t="array" ref="AJ23">IFERROR(
AVERAGE(IF(DATOS_[Sexo]=$B23,IF(DATOS_[AGRUP. VALOR. PTO.]=$B21,IF(DATOS_[Check Periodo Ref.]="Dentro",DATOS_[Tot COMPL.SAL Ef],FALSE)))),
0)</f>
        <v>3154.8814938095238</v>
      </c>
      <c r="AK23" s="96">
        <f t="array" ref="AK23">IFERROR(
AVERAGE(IF(DATOS_[Sexo]=$B23,IF(DATOS_[AGRUP. VALOR. PTO.]=$B21,IF(DATOS_[Check Periodo Ref.]="Dentro",DATOS_[TOTAL SALARIO Ef],FALSE)))),
0)</f>
        <v>14059.379309285714</v>
      </c>
      <c r="AL23" s="95">
        <f t="array" ref="AL23">IFERROR(
AVERAGE((IF(DATOS_[[Sexo]:[Sexo]]=$B23,IF(DATOS_[[AGRUP. VALOR. PTO.]:[AGRUP. VALOR. PTO.]]=$B21,IF(DATOS_[[Check Periodo Ref.]:[Check Periodo Ref.]]="Dentro",DATOS_[C.Extra.01]))))),
0)</f>
        <v>0</v>
      </c>
      <c r="AM23" s="95">
        <f t="array" ref="AM23">IFERROR(
AVERAGE((IF(DATOS_[[Sexo]:[Sexo]]=$B23,IF(DATOS_[[AGRUP. VALOR. PTO.]:[AGRUP. VALOR. PTO.]]=$B21,IF(DATOS_[[Check Periodo Ref.]:[Check Periodo Ref.]]="Dentro",DATOS_[C.Extra.02]))))),
0)</f>
        <v>0</v>
      </c>
      <c r="AN23" s="95">
        <f t="array" ref="AN23">IFERROR(
AVERAGE((IF(DATOS_[[Sexo]:[Sexo]]=$B23,IF(DATOS_[[AGRUP. VALOR. PTO.]:[AGRUP. VALOR. PTO.]]=$B21,IF(DATOS_[[Check Periodo Ref.]:[Check Periodo Ref.]]="Dentro",DATOS_[C.Extra.03]))))),
0)</f>
        <v>0</v>
      </c>
      <c r="AO23" s="95">
        <f t="array" ref="AO23">IFERROR(
AVERAGE((IF(DATOS_[[Sexo]:[Sexo]]=$B23,IF(DATOS_[[AGRUP. VALOR. PTO.]:[AGRUP. VALOR. PTO.]]=$B21,IF(DATOS_[[Check Periodo Ref.]:[Check Periodo Ref.]]="Dentro",DATOS_[C.Extra.04]))))),
0)</f>
        <v>0</v>
      </c>
      <c r="AP23" s="95">
        <f t="array" ref="AP23">IFERROR(
AVERAGE((IF(DATOS_[[Sexo]:[Sexo]]=$B23,IF(DATOS_[[AGRUP. VALOR. PTO.]:[AGRUP. VALOR. PTO.]]=$B21,IF(DATOS_[[Check Periodo Ref.]:[Check Periodo Ref.]]="Dentro",DATOS_[C.Extra.05]))))),
0)</f>
        <v>0</v>
      </c>
      <c r="AQ23" s="97">
        <f t="array" ref="AQ23">IFERROR(
AVERAGE(IF(DATOS_[Sexo]=$B23,IF(DATOS_[AGRUP. VALOR. PTO.]=$B21,IF(DATOS_[Check Periodo Ref.]="Dentro",DATOS_[Tot Extrasalarial Ef],FALSE)))),
0)</f>
        <v>0</v>
      </c>
      <c r="AR23" s="98">
        <f t="array" ref="AR23">IFERROR(
AVERAGE(IF(DATOS_[Sexo]=$B23,IF(DATOS_[AGRUP. VALOR. PTO.]=$B21,IF(DATOS_[Check Periodo Ref.]="Dentro",DATOS_[TOTAL Retrib Ef],FALSE)))),
0)</f>
        <v>14059.379309285714</v>
      </c>
    </row>
    <row r="24" spans="1:44" ht="17.25" thickBot="1" x14ac:dyDescent="0.35">
      <c r="A24" s="48" t="str">
        <f t="shared" ref="A24" si="15">+A25</f>
        <v/>
      </c>
      <c r="B24" s="51" t="s">
        <v>309</v>
      </c>
      <c r="C24" s="91"/>
      <c r="D24" s="52"/>
      <c r="E24" s="139">
        <f t="shared" ref="E24:AR24" si="16">IFERROR((E25-E26)/E25,"")</f>
        <v>1.3173296789571706E-2</v>
      </c>
      <c r="F24" s="179">
        <f t="shared" si="16"/>
        <v>0.28030194228655203</v>
      </c>
      <c r="G24" s="180">
        <f t="shared" si="16"/>
        <v>-0.19453342825813438</v>
      </c>
      <c r="H24" s="180">
        <f t="shared" si="16"/>
        <v>-0.20873205741626794</v>
      </c>
      <c r="I24" s="180" t="str">
        <f t="shared" si="16"/>
        <v/>
      </c>
      <c r="J24" s="181" t="str">
        <f t="shared" si="16"/>
        <v/>
      </c>
      <c r="K24" s="182" t="str">
        <f t="shared" si="16"/>
        <v/>
      </c>
      <c r="L24" s="182">
        <f t="shared" si="16"/>
        <v>-5.5840821566110428E-2</v>
      </c>
      <c r="M24" s="182">
        <f t="shared" si="16"/>
        <v>1</v>
      </c>
      <c r="N24" s="182" t="str">
        <f t="shared" si="16"/>
        <v/>
      </c>
      <c r="O24" s="182" t="str">
        <f t="shared" si="16"/>
        <v/>
      </c>
      <c r="P24" s="182" t="str">
        <f t="shared" si="16"/>
        <v/>
      </c>
      <c r="Q24" s="182" t="str">
        <f t="shared" si="16"/>
        <v/>
      </c>
      <c r="R24" s="182" t="str">
        <f t="shared" si="16"/>
        <v/>
      </c>
      <c r="S24" s="182" t="str">
        <f t="shared" si="16"/>
        <v/>
      </c>
      <c r="T24" s="182" t="str">
        <f t="shared" si="16"/>
        <v/>
      </c>
      <c r="U24" s="182" t="str">
        <f t="shared" si="16"/>
        <v/>
      </c>
      <c r="V24" s="181" t="str">
        <f t="shared" si="16"/>
        <v/>
      </c>
      <c r="W24" s="181" t="str">
        <f t="shared" si="16"/>
        <v/>
      </c>
      <c r="X24" s="181" t="str">
        <f t="shared" si="16"/>
        <v/>
      </c>
      <c r="Y24" s="181" t="str">
        <f t="shared" si="16"/>
        <v/>
      </c>
      <c r="Z24" s="181" t="str">
        <f t="shared" si="16"/>
        <v/>
      </c>
      <c r="AA24" s="181" t="str">
        <f t="shared" si="16"/>
        <v/>
      </c>
      <c r="AB24" s="181" t="str">
        <f t="shared" si="16"/>
        <v/>
      </c>
      <c r="AC24" s="181" t="str">
        <f t="shared" si="16"/>
        <v/>
      </c>
      <c r="AD24" s="181" t="str">
        <f t="shared" si="16"/>
        <v/>
      </c>
      <c r="AE24" s="181" t="str">
        <f t="shared" si="16"/>
        <v/>
      </c>
      <c r="AF24" s="181" t="str">
        <f t="shared" si="16"/>
        <v/>
      </c>
      <c r="AG24" s="181" t="str">
        <f t="shared" si="16"/>
        <v/>
      </c>
      <c r="AH24" s="181" t="str">
        <f t="shared" si="16"/>
        <v/>
      </c>
      <c r="AI24" s="181" t="str">
        <f t="shared" si="16"/>
        <v/>
      </c>
      <c r="AJ24" s="140">
        <f t="shared" si="16"/>
        <v>0.55286764516548348</v>
      </c>
      <c r="AK24" s="143">
        <f t="shared" si="16"/>
        <v>0.18134033981403444</v>
      </c>
      <c r="AL24" s="184">
        <f t="shared" si="16"/>
        <v>0.38157894736842107</v>
      </c>
      <c r="AM24" s="184" t="str">
        <f t="shared" si="16"/>
        <v/>
      </c>
      <c r="AN24" s="184" t="str">
        <f t="shared" si="16"/>
        <v/>
      </c>
      <c r="AO24" s="184" t="str">
        <f t="shared" si="16"/>
        <v/>
      </c>
      <c r="AP24" s="184" t="str">
        <f t="shared" si="16"/>
        <v/>
      </c>
      <c r="AQ24" s="141">
        <f t="shared" si="16"/>
        <v>0.38157894736842107</v>
      </c>
      <c r="AR24" s="142">
        <f t="shared" si="16"/>
        <v>0.18145198211184735</v>
      </c>
    </row>
    <row r="25" spans="1:44" x14ac:dyDescent="0.3">
      <c r="A25" s="48" t="str">
        <f t="shared" ref="A25" si="17">+IF(C25+C26=0,"[ocultar]","")</f>
        <v/>
      </c>
      <c r="B25" s="46" t="s">
        <v>162</v>
      </c>
      <c r="C25" s="45">
        <f t="array" ref="C25">SUM(IF($B25=DATOS_[Sexo],
IF($B24=DATOS_[AGRUP. VALOR. PTO.],
IF("Dentro"=DATOS_[Check Periodo Ref.],
1/(COUNTIFS(DATOS_[Sexo],$B25,DATOS_[AGRUP. VALOR. PTO.],$B24,DATOS_[Check Periodo Ref.],"Dentro",DATOS_[id],DATOS_[id]))))))</f>
        <v>46</v>
      </c>
      <c r="D25" s="47">
        <f>COUNTIFS(DATOS_[AGRUP. VALOR. PTO.],$B24,DATOS_[Sexo],$B25,DATOS_[Check Periodo Ref.],"Dentro")</f>
        <v>47</v>
      </c>
      <c r="E25" s="92">
        <f t="array" ref="E25">IFERROR(
AVERAGE(IF(DATOS_[Sexo]=$B25,IF(DATOS_[AGRUP. VALOR. PTO.]=$B24,IF(DATOS_[Check Periodo Ref.]="Dentro",DATOS_[SALARIO BASE Ef],FALSE)))),
0)</f>
        <v>12602.685255319153</v>
      </c>
      <c r="F25" s="93">
        <f t="array" ref="F25">IFERROR(
AVERAGE((IF(DATOS_[[Sexo]:[Sexo]]=$B25,IF(DATOS_[[AGRUP. VALOR. PTO.]:[AGRUP. VALOR. PTO.]]=$B24,IF(DATOS_[[Check Periodo Ref.]:[Check Periodo Ref.]]="Dentro",DATOS_[Conc.Sal.01]))))),
0)</f>
        <v>997.20836170212897</v>
      </c>
      <c r="G25" s="93">
        <f t="array" ref="G25">IFERROR(
AVERAGE((IF(DATOS_[[Sexo]:[Sexo]]=$B25,IF(DATOS_[[AGRUP. VALOR. PTO.]:[AGRUP. VALOR. PTO.]]=$B24,IF(DATOS_[[Check Periodo Ref.]:[Check Periodo Ref.]]="Dentro",DATOS_[Conc.Sal.02]))))),
0)</f>
        <v>1169.6303982978725</v>
      </c>
      <c r="H25" s="93">
        <f t="array" ref="H25">IFERROR(
AVERAGE((IF(DATOS_[[Sexo]:[Sexo]]=$B25,IF(DATOS_[[AGRUP. VALOR. PTO.]:[AGRUP. VALOR. PTO.]]=$B24,IF(DATOS_[[Check Periodo Ref.]:[Check Periodo Ref.]]="Dentro",DATOS_[Conc.Sal.03]))))),
0)</f>
        <v>299.57446808510639</v>
      </c>
      <c r="I25" s="93">
        <f t="array" ref="I25">IFERROR(
AVERAGE((IF(DATOS_[[Sexo]:[Sexo]]=$B25,IF(DATOS_[[AGRUP. VALOR. PTO.]:[AGRUP. VALOR. PTO.]]=$B24,IF(DATOS_[[Check Periodo Ref.]:[Check Periodo Ref.]]="Dentro",DATOS_[Conc.Sal.04]))))),
0)</f>
        <v>0</v>
      </c>
      <c r="J25" s="93">
        <f t="array" ref="J25">IFERROR(
AVERAGE((IF(DATOS_[[Sexo]:[Sexo]]=$B25,IF(DATOS_[[AGRUP. VALOR. PTO.]:[AGRUP. VALOR. PTO.]]=$B24,IF(DATOS_[[Check Periodo Ref.]:[Check Periodo Ref.]]="Dentro",DATOS_[Conc.Sal.05]))))),
0)</f>
        <v>0</v>
      </c>
      <c r="K25" s="93">
        <f t="array" ref="K25">IFERROR(
AVERAGE((IF(DATOS_[[Sexo]:[Sexo]]=$B25,IF(DATOS_[[AGRUP. VALOR. PTO.]:[AGRUP. VALOR. PTO.]]=$B24,IF(DATOS_[[Check Periodo Ref.]:[Check Periodo Ref.]]="Dentro",DATOS_[Conc.Sal.06]))))),
0)</f>
        <v>0</v>
      </c>
      <c r="L25" s="93">
        <f t="array" ref="L25">IFERROR(
AVERAGE((IF(DATOS_[[Sexo]:[Sexo]]=$B25,IF(DATOS_[[AGRUP. VALOR. PTO.]:[AGRUP. VALOR. PTO.]]=$B24,IF(DATOS_[[Check Periodo Ref.]:[Check Periodo Ref.]]="Dentro",DATOS_[Conc.Sal.07]))))),
0)</f>
        <v>69.787234042553195</v>
      </c>
      <c r="M25" s="93">
        <f t="array" ref="M25">IFERROR(
AVERAGE((IF(DATOS_[[Sexo]:[Sexo]]=$B25,IF(DATOS_[[AGRUP. VALOR. PTO.]:[AGRUP. VALOR. PTO.]]=$B24,IF(DATOS_[[Check Periodo Ref.]:[Check Periodo Ref.]]="Dentro",DATOS_[Conc.Sal.08]))))),
0)</f>
        <v>3168.2424765957426</v>
      </c>
      <c r="N25" s="93">
        <f t="array" ref="N25">IFERROR(
AVERAGE((IF(DATOS_[[Sexo]:[Sexo]]=$B25,IF(DATOS_[[AGRUP. VALOR. PTO.]:[AGRUP. VALOR. PTO.]]=$B24,IF(DATOS_[[Check Periodo Ref.]:[Check Periodo Ref.]]="Dentro",DATOS_[Conc.Sal.09]))))),
0)</f>
        <v>0</v>
      </c>
      <c r="O25" s="93">
        <f t="array" ref="O25">IFERROR(
AVERAGE((IF(DATOS_[[Sexo]:[Sexo]]=$B25,IF(DATOS_[[AGRUP. VALOR. PTO.]:[AGRUP. VALOR. PTO.]]=$B24,IF(DATOS_[[Check Periodo Ref.]:[Check Periodo Ref.]]="Dentro",DATOS_[Conc.Sal.10]))))),
0)</f>
        <v>0</v>
      </c>
      <c r="P25" s="93">
        <f t="array" ref="P25">IFERROR(
AVERAGE((IF(DATOS_[[Sexo]:[Sexo]]=$B25,IF(DATOS_[[AGRUP. VALOR. PTO.]:[AGRUP. VALOR. PTO.]]=$B24,IF(DATOS_[[Check Periodo Ref.]:[Check Periodo Ref.]]="Dentro",DATOS_[Conc.Sal.11]))))),
0)</f>
        <v>0</v>
      </c>
      <c r="Q25" s="93">
        <f t="array" ref="Q25">IFERROR(
AVERAGE((IF(DATOS_[[Sexo]:[Sexo]]=$B25,IF(DATOS_[[AGRUP. VALOR. PTO.]:[AGRUP. VALOR. PTO.]]=$B24,IF(DATOS_[[Check Periodo Ref.]:[Check Periodo Ref.]]="Dentro",DATOS_[Conc.Sal.12]))))),
0)</f>
        <v>0</v>
      </c>
      <c r="R25" s="93">
        <f t="array" ref="R25">IFERROR(
AVERAGE((IF(DATOS_[[Sexo]:[Sexo]]=$B25,IF(DATOS_[[AGRUP. VALOR. PTO.]:[AGRUP. VALOR. PTO.]]=$B24,IF(DATOS_[[Check Periodo Ref.]:[Check Periodo Ref.]]="Dentro",DATOS_[Conc.Sal.13]))))),
0)</f>
        <v>0</v>
      </c>
      <c r="S25" s="93">
        <f t="array" ref="S25">IFERROR(
AVERAGE((IF(DATOS_[[Sexo]:[Sexo]]=$B25,IF(DATOS_[[AGRUP. VALOR. PTO.]:[AGRUP. VALOR. PTO.]]=$B24,IF(DATOS_[[Check Periodo Ref.]:[Check Periodo Ref.]]="Dentro",DATOS_[Conc.Sal.14]))))),
0)</f>
        <v>0</v>
      </c>
      <c r="T25" s="93">
        <f t="array" ref="T25">IFERROR(
AVERAGE((IF(DATOS_[[Sexo]:[Sexo]]=$B25,IF(DATOS_[[AGRUP. VALOR. PTO.]:[AGRUP. VALOR. PTO.]]=$B24,IF(DATOS_[[Check Periodo Ref.]:[Check Periodo Ref.]]="Dentro",DATOS_[Conc.Sal.15]))))),
0)</f>
        <v>0</v>
      </c>
      <c r="U25" s="93">
        <f t="array" ref="U25">IFERROR(
AVERAGE((IF(DATOS_[[Sexo]:[Sexo]]=$B25,IF(DATOS_[[AGRUP. VALOR. PTO.]:[AGRUP. VALOR. PTO.]]=$B24,IF(DATOS_[[Check Periodo Ref.]:[Check Periodo Ref.]]="Dentro",DATOS_[Conc.Sal.16]))))),
0)</f>
        <v>0</v>
      </c>
      <c r="V25" s="93">
        <f t="array" ref="V25">IFERROR(
AVERAGE((IF(DATOS_[[Sexo]:[Sexo]]=$B25,IF(DATOS_[[AGRUP. VALOR. PTO.]:[AGRUP. VALOR. PTO.]]=$B24,IF(DATOS_[[Check Periodo Ref.]:[Check Periodo Ref.]]="Dentro",DATOS_[Conc.Sal.17]))))),
0)</f>
        <v>0</v>
      </c>
      <c r="W25" s="93">
        <f t="array" ref="W25">IFERROR(
AVERAGE((IF(DATOS_[[Sexo]:[Sexo]]=$B25,IF(DATOS_[[AGRUP. VALOR. PTO.]:[AGRUP. VALOR. PTO.]]=$B24,IF(DATOS_[[Check Periodo Ref.]:[Check Periodo Ref.]]="Dentro",DATOS_[Conc.Sal.18]))))),
0)</f>
        <v>0</v>
      </c>
      <c r="X25" s="93">
        <f t="array" ref="X25">IFERROR(
AVERAGE((IF(DATOS_[[Sexo]:[Sexo]]=$B25,IF(DATOS_[[AGRUP. VALOR. PTO.]:[AGRUP. VALOR. PTO.]]=$B24,IF(DATOS_[[Check Periodo Ref.]:[Check Periodo Ref.]]="Dentro",DATOS_[Conc.Sal.19]))))),
0)</f>
        <v>0</v>
      </c>
      <c r="Y25" s="93">
        <f t="array" ref="Y25">IFERROR(
AVERAGE((IF(DATOS_[[Sexo]:[Sexo]]=$B25,IF(DATOS_[[AGRUP. VALOR. PTO.]:[AGRUP. VALOR. PTO.]]=$B24,IF(DATOS_[[Check Periodo Ref.]:[Check Periodo Ref.]]="Dentro",DATOS_[Conc.Sal.20]))))),
0)</f>
        <v>0</v>
      </c>
      <c r="Z25" s="93">
        <f t="array" ref="Z25">IFERROR(
AVERAGE((IF(DATOS_[[Sexo]:[Sexo]]=$B25,IF(DATOS_[[AGRUP. VALOR. PTO.]:[AGRUP. VALOR. PTO.]]=$B24,IF(DATOS_[[Check Periodo Ref.]:[Check Periodo Ref.]]="Dentro",DATOS_[Conc.Sal.21]))))),
0)</f>
        <v>0</v>
      </c>
      <c r="AA25" s="93">
        <f t="array" ref="AA25">IFERROR(
AVERAGE((IF(DATOS_[[Sexo]:[Sexo]]=$B25,IF(DATOS_[[AGRUP. VALOR. PTO.]:[AGRUP. VALOR. PTO.]]=$B24,IF(DATOS_[[Check Periodo Ref.]:[Check Periodo Ref.]]="Dentro",DATOS_[Conc.Sal.22]))))),
0)</f>
        <v>0</v>
      </c>
      <c r="AB25" s="93">
        <f t="array" ref="AB25">IFERROR(
AVERAGE((IF(DATOS_[[Sexo]:[Sexo]]=$B25,IF(DATOS_[[AGRUP. VALOR. PTO.]:[AGRUP. VALOR. PTO.]]=$B24,IF(DATOS_[[Check Periodo Ref.]:[Check Periodo Ref.]]="Dentro",DATOS_[Conc.Sal.23]))))),
0)</f>
        <v>0</v>
      </c>
      <c r="AC25" s="93">
        <f t="array" ref="AC25">IFERROR(
AVERAGE((IF(DATOS_[[Sexo]:[Sexo]]=$B25,IF(DATOS_[[AGRUP. VALOR. PTO.]:[AGRUP. VALOR. PTO.]]=$B24,IF(DATOS_[[Check Periodo Ref.]:[Check Periodo Ref.]]="Dentro",DATOS_[Conc.Sal.24]))))),
0)</f>
        <v>0</v>
      </c>
      <c r="AD25" s="93">
        <f t="array" ref="AD25">IFERROR(
AVERAGE((IF(DATOS_[[Sexo]:[Sexo]]=$B25,IF(DATOS_[[AGRUP. VALOR. PTO.]:[AGRUP. VALOR. PTO.]]=$B24,IF(DATOS_[[Check Periodo Ref.]:[Check Periodo Ref.]]="Dentro",DATOS_[Conc.Sal.25]))))),
0)</f>
        <v>0</v>
      </c>
      <c r="AE25" s="93">
        <f t="array" ref="AE25">IFERROR(
AVERAGE((IF(DATOS_[[Sexo]:[Sexo]]=$B25,IF(DATOS_[[AGRUP. VALOR. PTO.]:[AGRUP. VALOR. PTO.]]=$B24,IF(DATOS_[[Check Periodo Ref.]:[Check Periodo Ref.]]="Dentro",DATOS_[Conc.Sal.26]))))),
0)</f>
        <v>0</v>
      </c>
      <c r="AF25" s="93">
        <f t="array" ref="AF25">IFERROR(
AVERAGE((IF(DATOS_[[Sexo]:[Sexo]]=$B25,IF(DATOS_[[AGRUP. VALOR. PTO.]:[AGRUP. VALOR. PTO.]]=$B24,IF(DATOS_[[Check Periodo Ref.]:[Check Periodo Ref.]]="Dentro",DATOS_[Conc.Sal.27]))))),
0)</f>
        <v>0</v>
      </c>
      <c r="AG25" s="93">
        <f t="array" ref="AG25">IFERROR(
AVERAGE((IF(DATOS_[[Sexo]:[Sexo]]=$B25,IF(DATOS_[[AGRUP. VALOR. PTO.]:[AGRUP. VALOR. PTO.]]=$B24,IF(DATOS_[[Check Periodo Ref.]:[Check Periodo Ref.]]="Dentro",DATOS_[Conc.Sal.28]))))),
0)</f>
        <v>0</v>
      </c>
      <c r="AH25" s="93">
        <f t="array" ref="AH25">IFERROR(
AVERAGE((IF(DATOS_[[Sexo]:[Sexo]]=$B25,IF(DATOS_[[AGRUP. VALOR. PTO.]:[AGRUP. VALOR. PTO.]]=$B24,IF(DATOS_[[Check Periodo Ref.]:[Check Periodo Ref.]]="Dentro",DATOS_[Conc.Sal.29]))))),
0)</f>
        <v>0</v>
      </c>
      <c r="AI25" s="93">
        <f t="array" ref="AI25">IFERROR(
AVERAGE((IF(DATOS_[[Sexo]:[Sexo]]=$B25,IF(DATOS_[[AGRUP. VALOR. PTO.]:[AGRUP. VALOR. PTO.]]=$B24,IF(DATOS_[[Check Periodo Ref.]:[Check Periodo Ref.]]="Dentro",DATOS_[Conc.Sal.30]))))),
0)</f>
        <v>0</v>
      </c>
      <c r="AJ25" s="94">
        <f t="array" ref="AJ25">IFERROR(
AVERAGE(IF(DATOS_[Sexo]=$B25,IF(DATOS_[AGRUP. VALOR. PTO.]=$B24,IF(DATOS_[Check Periodo Ref.]="Dentro",DATOS_[Tot COMPL.SAL Ef],FALSE)))),
0)</f>
        <v>5704.4429387234059</v>
      </c>
      <c r="AK25" s="96">
        <f t="array" ref="AK25">IFERROR(
AVERAGE(IF(DATOS_[Sexo]=$B25,IF(DATOS_[AGRUP. VALOR. PTO.]=$B24,IF(DATOS_[Check Periodo Ref.]="Dentro",DATOS_[TOTAL SALARIO Ef],FALSE)))),
0)</f>
        <v>18307.128194042554</v>
      </c>
      <c r="AL25" s="95">
        <f t="array" ref="AL25">IFERROR(
AVERAGE((IF(DATOS_[[Sexo]:[Sexo]]=$B25,IF(DATOS_[[AGRUP. VALOR. PTO.]:[AGRUP. VALOR. PTO.]]=$B24,IF(DATOS_[[Check Periodo Ref.]:[Check Periodo Ref.]]="Dentro",DATOS_[C.Extra.01]))))),
0)</f>
        <v>10.212765957446809</v>
      </c>
      <c r="AM25" s="95">
        <f t="array" ref="AM25">IFERROR(
AVERAGE((IF(DATOS_[[Sexo]:[Sexo]]=$B25,IF(DATOS_[[AGRUP. VALOR. PTO.]:[AGRUP. VALOR. PTO.]]=$B24,IF(DATOS_[[Check Periodo Ref.]:[Check Periodo Ref.]]="Dentro",DATOS_[C.Extra.02]))))),
0)</f>
        <v>0</v>
      </c>
      <c r="AN25" s="95">
        <f t="array" ref="AN25">IFERROR(
AVERAGE((IF(DATOS_[[Sexo]:[Sexo]]=$B25,IF(DATOS_[[AGRUP. VALOR. PTO.]:[AGRUP. VALOR. PTO.]]=$B24,IF(DATOS_[[Check Periodo Ref.]:[Check Periodo Ref.]]="Dentro",DATOS_[C.Extra.03]))))),
0)</f>
        <v>0</v>
      </c>
      <c r="AO25" s="95">
        <f t="array" ref="AO25">IFERROR(
AVERAGE((IF(DATOS_[[Sexo]:[Sexo]]=$B25,IF(DATOS_[[AGRUP. VALOR. PTO.]:[AGRUP. VALOR. PTO.]]=$B24,IF(DATOS_[[Check Periodo Ref.]:[Check Periodo Ref.]]="Dentro",DATOS_[C.Extra.04]))))),
0)</f>
        <v>0</v>
      </c>
      <c r="AP25" s="95">
        <f t="array" ref="AP25">IFERROR(
AVERAGE((IF(DATOS_[[Sexo]:[Sexo]]=$B25,IF(DATOS_[[AGRUP. VALOR. PTO.]:[AGRUP. VALOR. PTO.]]=$B24,IF(DATOS_[[Check Periodo Ref.]:[Check Periodo Ref.]]="Dentro",DATOS_[C.Extra.05]))))),
0)</f>
        <v>0</v>
      </c>
      <c r="AQ25" s="97">
        <f t="array" ref="AQ25">IFERROR(
AVERAGE(IF(DATOS_[Sexo]=$B25,IF(DATOS_[AGRUP. VALOR. PTO.]=$B24,IF(DATOS_[Check Periodo Ref.]="Dentro",DATOS_[Tot Extrasalarial Ef],FALSE)))),
0)</f>
        <v>10.212765957446809</v>
      </c>
      <c r="AR25" s="98">
        <f t="array" ref="AR25">IFERROR(
AVERAGE(IF(DATOS_[Sexo]=$B25,IF(DATOS_[AGRUP. VALOR. PTO.]=$B24,IF(DATOS_[Check Periodo Ref.]="Dentro",DATOS_[TOTAL Retrib Ef],FALSE)))),
0)</f>
        <v>18317.340960000001</v>
      </c>
    </row>
    <row r="26" spans="1:44" x14ac:dyDescent="0.3">
      <c r="A26" s="48" t="str">
        <f t="shared" ref="A26" si="18">+A25</f>
        <v/>
      </c>
      <c r="B26" s="46" t="s">
        <v>163</v>
      </c>
      <c r="C26" s="45">
        <f t="array" ref="C26">SUM(IF($B26=DATOS_[Sexo],
IF($B24=DATOS_[AGRUP. VALOR. PTO.],
IF("Dentro"=DATOS_[Check Periodo Ref.],
1/(COUNTIFS(DATOS_[Sexo],$B26,DATOS_[AGRUP. VALOR. PTO.],$B24,DATOS_[Check Periodo Ref.],"Dentro",DATOS_[id],DATOS_[id]))))))</f>
        <v>38</v>
      </c>
      <c r="D26" s="47">
        <f>COUNTIFS(DATOS_[AGRUP. VALOR. PTO.],$B24,DATOS_[Sexo],$B26,DATOS_[Check Periodo Ref.],"Dentro")</f>
        <v>38</v>
      </c>
      <c r="E26" s="92">
        <f t="array" ref="E26">IFERROR(
AVERAGE(IF(DATOS_[Sexo]=$B26,IF(DATOS_[AGRUP. VALOR. PTO.]=$B24,IF(DATOS_[Check Periodo Ref.]="Dentro",DATOS_[SALARIO BASE Ef],FALSE)))),
0)</f>
        <v>12436.666342105274</v>
      </c>
      <c r="F26" s="93">
        <f t="array" ref="F26">IFERROR(
AVERAGE((IF(DATOS_[[Sexo]:[Sexo]]=$B26,IF(DATOS_[[AGRUP. VALOR. PTO.]:[AGRUP. VALOR. PTO.]]=$B24,IF(DATOS_[[Check Periodo Ref.]:[Check Periodo Ref.]]="Dentro",DATOS_[Conc.Sal.01]))))),
0)</f>
        <v>717.68892105263171</v>
      </c>
      <c r="G26" s="93">
        <f t="array" ref="G26">IFERROR(
AVERAGE((IF(DATOS_[[Sexo]:[Sexo]]=$B26,IF(DATOS_[[AGRUP. VALOR. PTO.]:[AGRUP. VALOR. PTO.]]=$B24,IF(DATOS_[[Check Periodo Ref.]:[Check Periodo Ref.]]="Dentro",DATOS_[Conc.Sal.02]))))),
0)</f>
        <v>1397.1626094736848</v>
      </c>
      <c r="H26" s="93">
        <f t="array" ref="H26">IFERROR(
AVERAGE((IF(DATOS_[[Sexo]:[Sexo]]=$B26,IF(DATOS_[[AGRUP. VALOR. PTO.]:[AGRUP. VALOR. PTO.]]=$B24,IF(DATOS_[[Check Periodo Ref.]:[Check Periodo Ref.]]="Dentro",DATOS_[Conc.Sal.03]))))),
0)</f>
        <v>362.10526315789474</v>
      </c>
      <c r="I26" s="93">
        <f t="array" ref="I26">IFERROR(
AVERAGE((IF(DATOS_[[Sexo]:[Sexo]]=$B26,IF(DATOS_[[AGRUP. VALOR. PTO.]:[AGRUP. VALOR. PTO.]]=$B24,IF(DATOS_[[Check Periodo Ref.]:[Check Periodo Ref.]]="Dentro",DATOS_[Conc.Sal.04]))))),
0)</f>
        <v>0</v>
      </c>
      <c r="J26" s="93">
        <f t="array" ref="J26">IFERROR(
AVERAGE((IF(DATOS_[[Sexo]:[Sexo]]=$B26,IF(DATOS_[[AGRUP. VALOR. PTO.]:[AGRUP. VALOR. PTO.]]=$B24,IF(DATOS_[[Check Periodo Ref.]:[Check Periodo Ref.]]="Dentro",DATOS_[Conc.Sal.05]))))),
0)</f>
        <v>0</v>
      </c>
      <c r="K26" s="93">
        <f t="array" ref="K26">IFERROR(
AVERAGE((IF(DATOS_[[Sexo]:[Sexo]]=$B26,IF(DATOS_[[AGRUP. VALOR. PTO.]:[AGRUP. VALOR. PTO.]]=$B24,IF(DATOS_[[Check Periodo Ref.]:[Check Periodo Ref.]]="Dentro",DATOS_[Conc.Sal.06]))))),
0)</f>
        <v>0</v>
      </c>
      <c r="L26" s="93">
        <f t="array" ref="L26">IFERROR(
AVERAGE((IF(DATOS_[[Sexo]:[Sexo]]=$B26,IF(DATOS_[[AGRUP. VALOR. PTO.]:[AGRUP. VALOR. PTO.]]=$B24,IF(DATOS_[[Check Periodo Ref.]:[Check Periodo Ref.]]="Dentro",DATOS_[Conc.Sal.07]))))),
0)</f>
        <v>73.684210526315795</v>
      </c>
      <c r="M26" s="93">
        <f t="array" ref="M26">IFERROR(
AVERAGE((IF(DATOS_[[Sexo]:[Sexo]]=$B26,IF(DATOS_[[AGRUP. VALOR. PTO.]:[AGRUP. VALOR. PTO.]]=$B24,IF(DATOS_[[Check Periodo Ref.]:[Check Periodo Ref.]]="Dentro",DATOS_[Conc.Sal.08]))))),
0)</f>
        <v>0</v>
      </c>
      <c r="N26" s="93">
        <f t="array" ref="N26">IFERROR(
AVERAGE((IF(DATOS_[[Sexo]:[Sexo]]=$B26,IF(DATOS_[[AGRUP. VALOR. PTO.]:[AGRUP. VALOR. PTO.]]=$B24,IF(DATOS_[[Check Periodo Ref.]:[Check Periodo Ref.]]="Dentro",DATOS_[Conc.Sal.09]))))),
0)</f>
        <v>0</v>
      </c>
      <c r="O26" s="93">
        <f t="array" ref="O26">IFERROR(
AVERAGE((IF(DATOS_[[Sexo]:[Sexo]]=$B26,IF(DATOS_[[AGRUP. VALOR. PTO.]:[AGRUP. VALOR. PTO.]]=$B24,IF(DATOS_[[Check Periodo Ref.]:[Check Periodo Ref.]]="Dentro",DATOS_[Conc.Sal.10]))))),
0)</f>
        <v>0</v>
      </c>
      <c r="P26" s="93">
        <f t="array" ref="P26">IFERROR(
AVERAGE((IF(DATOS_[[Sexo]:[Sexo]]=$B26,IF(DATOS_[[AGRUP. VALOR. PTO.]:[AGRUP. VALOR. PTO.]]=$B24,IF(DATOS_[[Check Periodo Ref.]:[Check Periodo Ref.]]="Dentro",DATOS_[Conc.Sal.11]))))),
0)</f>
        <v>0</v>
      </c>
      <c r="Q26" s="93">
        <f t="array" ref="Q26">IFERROR(
AVERAGE((IF(DATOS_[[Sexo]:[Sexo]]=$B26,IF(DATOS_[[AGRUP. VALOR. PTO.]:[AGRUP. VALOR. PTO.]]=$B24,IF(DATOS_[[Check Periodo Ref.]:[Check Periodo Ref.]]="Dentro",DATOS_[Conc.Sal.12]))))),
0)</f>
        <v>0</v>
      </c>
      <c r="R26" s="93">
        <f t="array" ref="R26">IFERROR(
AVERAGE((IF(DATOS_[[Sexo]:[Sexo]]=$B26,IF(DATOS_[[AGRUP. VALOR. PTO.]:[AGRUP. VALOR. PTO.]]=$B24,IF(DATOS_[[Check Periodo Ref.]:[Check Periodo Ref.]]="Dentro",DATOS_[Conc.Sal.13]))))),
0)</f>
        <v>0</v>
      </c>
      <c r="S26" s="93">
        <f t="array" ref="S26">IFERROR(
AVERAGE((IF(DATOS_[[Sexo]:[Sexo]]=$B26,IF(DATOS_[[AGRUP. VALOR. PTO.]:[AGRUP. VALOR. PTO.]]=$B24,IF(DATOS_[[Check Periodo Ref.]:[Check Periodo Ref.]]="Dentro",DATOS_[Conc.Sal.14]))))),
0)</f>
        <v>0</v>
      </c>
      <c r="T26" s="93">
        <f t="array" ref="T26">IFERROR(
AVERAGE((IF(DATOS_[[Sexo]:[Sexo]]=$B26,IF(DATOS_[[AGRUP. VALOR. PTO.]:[AGRUP. VALOR. PTO.]]=$B24,IF(DATOS_[[Check Periodo Ref.]:[Check Periodo Ref.]]="Dentro",DATOS_[Conc.Sal.15]))))),
0)</f>
        <v>0</v>
      </c>
      <c r="U26" s="93">
        <f t="array" ref="U26">IFERROR(
AVERAGE((IF(DATOS_[[Sexo]:[Sexo]]=$B26,IF(DATOS_[[AGRUP. VALOR. PTO.]:[AGRUP. VALOR. PTO.]]=$B24,IF(DATOS_[[Check Periodo Ref.]:[Check Periodo Ref.]]="Dentro",DATOS_[Conc.Sal.16]))))),
0)</f>
        <v>0</v>
      </c>
      <c r="V26" s="93">
        <f t="array" ref="V26">IFERROR(
AVERAGE((IF(DATOS_[[Sexo]:[Sexo]]=$B26,IF(DATOS_[[AGRUP. VALOR. PTO.]:[AGRUP. VALOR. PTO.]]=$B24,IF(DATOS_[[Check Periodo Ref.]:[Check Periodo Ref.]]="Dentro",DATOS_[Conc.Sal.17]))))),
0)</f>
        <v>0</v>
      </c>
      <c r="W26" s="93">
        <f t="array" ref="W26">IFERROR(
AVERAGE((IF(DATOS_[[Sexo]:[Sexo]]=$B26,IF(DATOS_[[AGRUP. VALOR. PTO.]:[AGRUP. VALOR. PTO.]]=$B24,IF(DATOS_[[Check Periodo Ref.]:[Check Periodo Ref.]]="Dentro",DATOS_[Conc.Sal.18]))))),
0)</f>
        <v>0</v>
      </c>
      <c r="X26" s="93">
        <f t="array" ref="X26">IFERROR(
AVERAGE((IF(DATOS_[[Sexo]:[Sexo]]=$B26,IF(DATOS_[[AGRUP. VALOR. PTO.]:[AGRUP. VALOR. PTO.]]=$B24,IF(DATOS_[[Check Periodo Ref.]:[Check Periodo Ref.]]="Dentro",DATOS_[Conc.Sal.19]))))),
0)</f>
        <v>0</v>
      </c>
      <c r="Y26" s="93">
        <f t="array" ref="Y26">IFERROR(
AVERAGE((IF(DATOS_[[Sexo]:[Sexo]]=$B26,IF(DATOS_[[AGRUP. VALOR. PTO.]:[AGRUP. VALOR. PTO.]]=$B24,IF(DATOS_[[Check Periodo Ref.]:[Check Periodo Ref.]]="Dentro",DATOS_[Conc.Sal.20]))))),
0)</f>
        <v>0</v>
      </c>
      <c r="Z26" s="93">
        <f t="array" ref="Z26">IFERROR(
AVERAGE((IF(DATOS_[[Sexo]:[Sexo]]=$B26,IF(DATOS_[[AGRUP. VALOR. PTO.]:[AGRUP. VALOR. PTO.]]=$B24,IF(DATOS_[[Check Periodo Ref.]:[Check Periodo Ref.]]="Dentro",DATOS_[Conc.Sal.21]))))),
0)</f>
        <v>0</v>
      </c>
      <c r="AA26" s="93">
        <f t="array" ref="AA26">IFERROR(
AVERAGE((IF(DATOS_[[Sexo]:[Sexo]]=$B26,IF(DATOS_[[AGRUP. VALOR. PTO.]:[AGRUP. VALOR. PTO.]]=$B24,IF(DATOS_[[Check Periodo Ref.]:[Check Periodo Ref.]]="Dentro",DATOS_[Conc.Sal.22]))))),
0)</f>
        <v>0</v>
      </c>
      <c r="AB26" s="93">
        <f t="array" ref="AB26">IFERROR(
AVERAGE((IF(DATOS_[[Sexo]:[Sexo]]=$B26,IF(DATOS_[[AGRUP. VALOR. PTO.]:[AGRUP. VALOR. PTO.]]=$B24,IF(DATOS_[[Check Periodo Ref.]:[Check Periodo Ref.]]="Dentro",DATOS_[Conc.Sal.23]))))),
0)</f>
        <v>0</v>
      </c>
      <c r="AC26" s="93">
        <f t="array" ref="AC26">IFERROR(
AVERAGE((IF(DATOS_[[Sexo]:[Sexo]]=$B26,IF(DATOS_[[AGRUP. VALOR. PTO.]:[AGRUP. VALOR. PTO.]]=$B24,IF(DATOS_[[Check Periodo Ref.]:[Check Periodo Ref.]]="Dentro",DATOS_[Conc.Sal.24]))))),
0)</f>
        <v>0</v>
      </c>
      <c r="AD26" s="93">
        <f t="array" ref="AD26">IFERROR(
AVERAGE((IF(DATOS_[[Sexo]:[Sexo]]=$B26,IF(DATOS_[[AGRUP. VALOR. PTO.]:[AGRUP. VALOR. PTO.]]=$B24,IF(DATOS_[[Check Periodo Ref.]:[Check Periodo Ref.]]="Dentro",DATOS_[Conc.Sal.25]))))),
0)</f>
        <v>0</v>
      </c>
      <c r="AE26" s="93">
        <f t="array" ref="AE26">IFERROR(
AVERAGE((IF(DATOS_[[Sexo]:[Sexo]]=$B26,IF(DATOS_[[AGRUP. VALOR. PTO.]:[AGRUP. VALOR. PTO.]]=$B24,IF(DATOS_[[Check Periodo Ref.]:[Check Periodo Ref.]]="Dentro",DATOS_[Conc.Sal.26]))))),
0)</f>
        <v>0</v>
      </c>
      <c r="AF26" s="93">
        <f t="array" ref="AF26">IFERROR(
AVERAGE((IF(DATOS_[[Sexo]:[Sexo]]=$B26,IF(DATOS_[[AGRUP. VALOR. PTO.]:[AGRUP. VALOR. PTO.]]=$B24,IF(DATOS_[[Check Periodo Ref.]:[Check Periodo Ref.]]="Dentro",DATOS_[Conc.Sal.27]))))),
0)</f>
        <v>0</v>
      </c>
      <c r="AG26" s="93">
        <f t="array" ref="AG26">IFERROR(
AVERAGE((IF(DATOS_[[Sexo]:[Sexo]]=$B26,IF(DATOS_[[AGRUP. VALOR. PTO.]:[AGRUP. VALOR. PTO.]]=$B24,IF(DATOS_[[Check Periodo Ref.]:[Check Periodo Ref.]]="Dentro",DATOS_[Conc.Sal.28]))))),
0)</f>
        <v>0</v>
      </c>
      <c r="AH26" s="93">
        <f t="array" ref="AH26">IFERROR(
AVERAGE((IF(DATOS_[[Sexo]:[Sexo]]=$B26,IF(DATOS_[[AGRUP. VALOR. PTO.]:[AGRUP. VALOR. PTO.]]=$B24,IF(DATOS_[[Check Periodo Ref.]:[Check Periodo Ref.]]="Dentro",DATOS_[Conc.Sal.29]))))),
0)</f>
        <v>0</v>
      </c>
      <c r="AI26" s="93">
        <f t="array" ref="AI26">IFERROR(
AVERAGE((IF(DATOS_[[Sexo]:[Sexo]]=$B26,IF(DATOS_[[AGRUP. VALOR. PTO.]:[AGRUP. VALOR. PTO.]]=$B24,IF(DATOS_[[Check Periodo Ref.]:[Check Periodo Ref.]]="Dentro",DATOS_[Conc.Sal.30]))))),
0)</f>
        <v>0</v>
      </c>
      <c r="AJ26" s="94">
        <f t="array" ref="AJ26">IFERROR(
AVERAGE(IF(DATOS_[Sexo]=$B26,IF(DATOS_[AGRUP. VALOR. PTO.]=$B24,IF(DATOS_[Check Periodo Ref.]="Dentro",DATOS_[Tot COMPL.SAL Ef],FALSE)))),
0)</f>
        <v>2550.6410042105263</v>
      </c>
      <c r="AK26" s="96">
        <f t="array" ref="AK26">IFERROR(
AVERAGE(IF(DATOS_[Sexo]=$B26,IF(DATOS_[AGRUP. VALOR. PTO.]=$B24,IF(DATOS_[Check Periodo Ref.]="Dentro",DATOS_[TOTAL SALARIO Ef],FALSE)))),
0)</f>
        <v>14987.307346315787</v>
      </c>
      <c r="AL26" s="95">
        <f t="array" ref="AL26">IFERROR(
AVERAGE((IF(DATOS_[[Sexo]:[Sexo]]=$B26,IF(DATOS_[[AGRUP. VALOR. PTO.]:[AGRUP. VALOR. PTO.]]=$B24,IF(DATOS_[[Check Periodo Ref.]:[Check Periodo Ref.]]="Dentro",DATOS_[C.Extra.01]))))),
0)</f>
        <v>6.3157894736842106</v>
      </c>
      <c r="AM26" s="95">
        <f t="array" ref="AM26">IFERROR(
AVERAGE((IF(DATOS_[[Sexo]:[Sexo]]=$B26,IF(DATOS_[[AGRUP. VALOR. PTO.]:[AGRUP. VALOR. PTO.]]=$B24,IF(DATOS_[[Check Periodo Ref.]:[Check Periodo Ref.]]="Dentro",DATOS_[C.Extra.02]))))),
0)</f>
        <v>0</v>
      </c>
      <c r="AN26" s="95">
        <f t="array" ref="AN26">IFERROR(
AVERAGE((IF(DATOS_[[Sexo]:[Sexo]]=$B26,IF(DATOS_[[AGRUP. VALOR. PTO.]:[AGRUP. VALOR. PTO.]]=$B24,IF(DATOS_[[Check Periodo Ref.]:[Check Periodo Ref.]]="Dentro",DATOS_[C.Extra.03]))))),
0)</f>
        <v>0</v>
      </c>
      <c r="AO26" s="95">
        <f t="array" ref="AO26">IFERROR(
AVERAGE((IF(DATOS_[[Sexo]:[Sexo]]=$B26,IF(DATOS_[[AGRUP. VALOR. PTO.]:[AGRUP. VALOR. PTO.]]=$B24,IF(DATOS_[[Check Periodo Ref.]:[Check Periodo Ref.]]="Dentro",DATOS_[C.Extra.04]))))),
0)</f>
        <v>0</v>
      </c>
      <c r="AP26" s="95">
        <f t="array" ref="AP26">IFERROR(
AVERAGE((IF(DATOS_[[Sexo]:[Sexo]]=$B26,IF(DATOS_[[AGRUP. VALOR. PTO.]:[AGRUP. VALOR. PTO.]]=$B24,IF(DATOS_[[Check Periodo Ref.]:[Check Periodo Ref.]]="Dentro",DATOS_[C.Extra.05]))))),
0)</f>
        <v>0</v>
      </c>
      <c r="AQ26" s="97">
        <f t="array" ref="AQ26">IFERROR(
AVERAGE(IF(DATOS_[Sexo]=$B26,IF(DATOS_[AGRUP. VALOR. PTO.]=$B24,IF(DATOS_[Check Periodo Ref.]="Dentro",DATOS_[Tot Extrasalarial Ef],FALSE)))),
0)</f>
        <v>6.3157894736842106</v>
      </c>
      <c r="AR26" s="98">
        <f t="array" ref="AR26">IFERROR(
AVERAGE(IF(DATOS_[Sexo]=$B26,IF(DATOS_[AGRUP. VALOR. PTO.]=$B24,IF(DATOS_[Check Periodo Ref.]="Dentro",DATOS_[TOTAL Retrib Ef],FALSE)))),
0)</f>
        <v>14993.623135789472</v>
      </c>
    </row>
    <row r="27" spans="1:44" ht="17.25" thickBot="1" x14ac:dyDescent="0.35">
      <c r="A27" s="48" t="str">
        <f t="shared" ref="A27" si="19">+A28</f>
        <v/>
      </c>
      <c r="B27" s="51" t="s">
        <v>307</v>
      </c>
      <c r="C27" s="91"/>
      <c r="D27" s="52"/>
      <c r="E27" s="139">
        <f t="shared" ref="E27:AR27" si="20">IFERROR((E28-E29)/E28,"")</f>
        <v>-5.0883892705274721E-2</v>
      </c>
      <c r="F27" s="179">
        <f t="shared" si="20"/>
        <v>-5.0877626372571115E-2</v>
      </c>
      <c r="G27" s="180">
        <f t="shared" si="20"/>
        <v>-4.6143250688705416E-2</v>
      </c>
      <c r="H27" s="180">
        <f t="shared" si="20"/>
        <v>-9.038016528925634E-2</v>
      </c>
      <c r="I27" s="180" t="str">
        <f t="shared" si="20"/>
        <v/>
      </c>
      <c r="J27" s="181" t="str">
        <f t="shared" si="20"/>
        <v/>
      </c>
      <c r="K27" s="182" t="str">
        <f t="shared" si="20"/>
        <v/>
      </c>
      <c r="L27" s="182">
        <f t="shared" si="20"/>
        <v>-0.10276679841897236</v>
      </c>
      <c r="M27" s="182" t="str">
        <f t="shared" si="20"/>
        <v/>
      </c>
      <c r="N27" s="182" t="str">
        <f t="shared" si="20"/>
        <v/>
      </c>
      <c r="O27" s="182" t="str">
        <f t="shared" si="20"/>
        <v/>
      </c>
      <c r="P27" s="182" t="str">
        <f t="shared" si="20"/>
        <v/>
      </c>
      <c r="Q27" s="182" t="str">
        <f t="shared" si="20"/>
        <v/>
      </c>
      <c r="R27" s="182" t="str">
        <f t="shared" si="20"/>
        <v/>
      </c>
      <c r="S27" s="182" t="str">
        <f t="shared" si="20"/>
        <v/>
      </c>
      <c r="T27" s="182" t="str">
        <f t="shared" si="20"/>
        <v/>
      </c>
      <c r="U27" s="182" t="str">
        <f t="shared" si="20"/>
        <v/>
      </c>
      <c r="V27" s="181" t="str">
        <f t="shared" si="20"/>
        <v/>
      </c>
      <c r="W27" s="181" t="str">
        <f t="shared" si="20"/>
        <v/>
      </c>
      <c r="X27" s="181" t="str">
        <f t="shared" si="20"/>
        <v/>
      </c>
      <c r="Y27" s="181" t="str">
        <f t="shared" si="20"/>
        <v/>
      </c>
      <c r="Z27" s="181" t="str">
        <f t="shared" si="20"/>
        <v/>
      </c>
      <c r="AA27" s="181" t="str">
        <f t="shared" si="20"/>
        <v/>
      </c>
      <c r="AB27" s="181" t="str">
        <f t="shared" si="20"/>
        <v/>
      </c>
      <c r="AC27" s="181" t="str">
        <f t="shared" si="20"/>
        <v/>
      </c>
      <c r="AD27" s="181" t="str">
        <f t="shared" si="20"/>
        <v/>
      </c>
      <c r="AE27" s="181" t="str">
        <f t="shared" si="20"/>
        <v/>
      </c>
      <c r="AF27" s="181" t="str">
        <f t="shared" si="20"/>
        <v/>
      </c>
      <c r="AG27" s="181" t="str">
        <f t="shared" si="20"/>
        <v/>
      </c>
      <c r="AH27" s="181" t="str">
        <f t="shared" si="20"/>
        <v/>
      </c>
      <c r="AI27" s="181" t="str">
        <f t="shared" si="20"/>
        <v/>
      </c>
      <c r="AJ27" s="140">
        <f t="shared" si="20"/>
        <v>-8.3470503563787907E-2</v>
      </c>
      <c r="AK27" s="143">
        <f t="shared" si="20"/>
        <v>-5.3940500544780993E-2</v>
      </c>
      <c r="AL27" s="184" t="str">
        <f t="shared" si="20"/>
        <v/>
      </c>
      <c r="AM27" s="184" t="str">
        <f t="shared" si="20"/>
        <v/>
      </c>
      <c r="AN27" s="184">
        <f t="shared" si="20"/>
        <v>0.24848484848484848</v>
      </c>
      <c r="AO27" s="184" t="str">
        <f t="shared" si="20"/>
        <v/>
      </c>
      <c r="AP27" s="184" t="str">
        <f t="shared" si="20"/>
        <v/>
      </c>
      <c r="AQ27" s="141">
        <f t="shared" si="20"/>
        <v>0.24848484848484848</v>
      </c>
      <c r="AR27" s="142">
        <f t="shared" si="20"/>
        <v>-4.8766177741625998E-2</v>
      </c>
    </row>
    <row r="28" spans="1:44" x14ac:dyDescent="0.3">
      <c r="A28" s="48" t="str">
        <f t="shared" ref="A28" si="21">+IF(C28+C29=0,"[ocultar]","")</f>
        <v/>
      </c>
      <c r="B28" s="46" t="s">
        <v>162</v>
      </c>
      <c r="C28" s="45">
        <f t="array" ref="C28">SUM(IF($B28=DATOS_[Sexo],
IF($B27=DATOS_[AGRUP. VALOR. PTO.],
IF("Dentro"=DATOS_[Check Periodo Ref.],
1/(COUNTIFS(DATOS_[Sexo],$B28,DATOS_[AGRUP. VALOR. PTO.],$B27,DATOS_[Check Periodo Ref.],"Dentro",DATOS_[id],DATOS_[id]))))))</f>
        <v>26</v>
      </c>
      <c r="D28" s="47">
        <f>COUNTIFS(DATOS_[AGRUP. VALOR. PTO.],$B27,DATOS_[Sexo],$B28,DATOS_[Check Periodo Ref.],"Dentro")</f>
        <v>31</v>
      </c>
      <c r="E28" s="92">
        <f t="array" ref="E28">IFERROR(
AVERAGE(IF(DATOS_[Sexo]=$B28,IF(DATOS_[AGRUP. VALOR. PTO.]=$B27,IF(DATOS_[Check Periodo Ref.]="Dentro",DATOS_[SALARIO BASE Ef],FALSE)))),
0)</f>
        <v>9068.306838709681</v>
      </c>
      <c r="F28" s="93">
        <f t="array" ref="F28">IFERROR(
AVERAGE((IF(DATOS_[[Sexo]:[Sexo]]=$B28,IF(DATOS_[[AGRUP. VALOR. PTO.]:[AGRUP. VALOR. PTO.]]=$B27,IF(DATOS_[[Check Periodo Ref.]:[Check Periodo Ref.]]="Dentro",DATOS_[Conc.Sal.01]))))),
0)</f>
        <v>59.628645161290478</v>
      </c>
      <c r="G28" s="93">
        <f t="array" ref="G28">IFERROR(
AVERAGE((IF(DATOS_[[Sexo]:[Sexo]]=$B28,IF(DATOS_[[AGRUP. VALOR. PTO.]:[AGRUP. VALOR. PTO.]]=$B27,IF(DATOS_[[Check Periodo Ref.]:[Check Periodo Ref.]]="Dentro",DATOS_[Conc.Sal.02]))))),
0)</f>
        <v>109.98640258064516</v>
      </c>
      <c r="H28" s="93">
        <f t="array" ref="H28">IFERROR(
AVERAGE((IF(DATOS_[[Sexo]:[Sexo]]=$B28,IF(DATOS_[[AGRUP. VALOR. PTO.]:[AGRUP. VALOR. PTO.]]=$B27,IF(DATOS_[[Check Periodo Ref.]:[Check Periodo Ref.]]="Dentro",DATOS_[Conc.Sal.03]))))),
0)</f>
        <v>709.67741935483866</v>
      </c>
      <c r="I28" s="93">
        <f t="array" ref="I28">IFERROR(
AVERAGE((IF(DATOS_[[Sexo]:[Sexo]]=$B28,IF(DATOS_[[AGRUP. VALOR. PTO.]:[AGRUP. VALOR. PTO.]]=$B27,IF(DATOS_[[Check Periodo Ref.]:[Check Periodo Ref.]]="Dentro",DATOS_[Conc.Sal.04]))))),
0)</f>
        <v>0</v>
      </c>
      <c r="J28" s="93">
        <f t="array" ref="J28">IFERROR(
AVERAGE((IF(DATOS_[[Sexo]:[Sexo]]=$B28,IF(DATOS_[[AGRUP. VALOR. PTO.]:[AGRUP. VALOR. PTO.]]=$B27,IF(DATOS_[[Check Periodo Ref.]:[Check Periodo Ref.]]="Dentro",DATOS_[Conc.Sal.05]))))),
0)</f>
        <v>0</v>
      </c>
      <c r="K28" s="93">
        <f t="array" ref="K28">IFERROR(
AVERAGE((IF(DATOS_[[Sexo]:[Sexo]]=$B28,IF(DATOS_[[AGRUP. VALOR. PTO.]:[AGRUP. VALOR. PTO.]]=$B27,IF(DATOS_[[Check Periodo Ref.]:[Check Periodo Ref.]]="Dentro",DATOS_[Conc.Sal.06]))))),
0)</f>
        <v>0</v>
      </c>
      <c r="L28" s="93">
        <f t="array" ref="L28">IFERROR(
AVERAGE((IF(DATOS_[[Sexo]:[Sexo]]=$B28,IF(DATOS_[[AGRUP. VALOR. PTO.]:[AGRUP. VALOR. PTO.]]=$B27,IF(DATOS_[[Check Periodo Ref.]:[Check Periodo Ref.]]="Dentro",DATOS_[Conc.Sal.07]))))),
0)</f>
        <v>59.354838709677416</v>
      </c>
      <c r="M28" s="93">
        <f t="array" ref="M28">IFERROR(
AVERAGE((IF(DATOS_[[Sexo]:[Sexo]]=$B28,IF(DATOS_[[AGRUP. VALOR. PTO.]:[AGRUP. VALOR. PTO.]]=$B27,IF(DATOS_[[Check Periodo Ref.]:[Check Periodo Ref.]]="Dentro",DATOS_[Conc.Sal.08]))))),
0)</f>
        <v>0</v>
      </c>
      <c r="N28" s="93">
        <f t="array" ref="N28">IFERROR(
AVERAGE((IF(DATOS_[[Sexo]:[Sexo]]=$B28,IF(DATOS_[[AGRUP. VALOR. PTO.]:[AGRUP. VALOR. PTO.]]=$B27,IF(DATOS_[[Check Periodo Ref.]:[Check Periodo Ref.]]="Dentro",DATOS_[Conc.Sal.09]))))),
0)</f>
        <v>0</v>
      </c>
      <c r="O28" s="93">
        <f t="array" ref="O28">IFERROR(
AVERAGE((IF(DATOS_[[Sexo]:[Sexo]]=$B28,IF(DATOS_[[AGRUP. VALOR. PTO.]:[AGRUP. VALOR. PTO.]]=$B27,IF(DATOS_[[Check Periodo Ref.]:[Check Periodo Ref.]]="Dentro",DATOS_[Conc.Sal.10]))))),
0)</f>
        <v>0</v>
      </c>
      <c r="P28" s="93"/>
      <c r="Q28" s="93">
        <f t="array" ref="Q28">IFERROR(
AVERAGE((IF(DATOS_[[Sexo]:[Sexo]]=$B28,IF(DATOS_[[AGRUP. VALOR. PTO.]:[AGRUP. VALOR. PTO.]]=$B27,IF(DATOS_[[Check Periodo Ref.]:[Check Periodo Ref.]]="Dentro",DATOS_[Conc.Sal.12]))))),
0)</f>
        <v>0</v>
      </c>
      <c r="R28" s="93">
        <f t="array" ref="R28">IFERROR(
AVERAGE((IF(DATOS_[[Sexo]:[Sexo]]=$B28,IF(DATOS_[[AGRUP. VALOR. PTO.]:[AGRUP. VALOR. PTO.]]=$B27,IF(DATOS_[[Check Periodo Ref.]:[Check Periodo Ref.]]="Dentro",DATOS_[Conc.Sal.13]))))),
0)</f>
        <v>0</v>
      </c>
      <c r="S28" s="93">
        <f t="array" ref="S28">IFERROR(
AVERAGE((IF(DATOS_[[Sexo]:[Sexo]]=$B28,IF(DATOS_[[AGRUP. VALOR. PTO.]:[AGRUP. VALOR. PTO.]]=$B27,IF(DATOS_[[Check Periodo Ref.]:[Check Periodo Ref.]]="Dentro",DATOS_[Conc.Sal.14]))))),
0)</f>
        <v>0</v>
      </c>
      <c r="T28" s="93">
        <f t="array" ref="T28">IFERROR(
AVERAGE((IF(DATOS_[[Sexo]:[Sexo]]=$B28,IF(DATOS_[[AGRUP. VALOR. PTO.]:[AGRUP. VALOR. PTO.]]=$B27,IF(DATOS_[[Check Periodo Ref.]:[Check Periodo Ref.]]="Dentro",DATOS_[Conc.Sal.15]))))),
0)</f>
        <v>0</v>
      </c>
      <c r="U28" s="93">
        <f t="array" ref="U28">IFERROR(
AVERAGE((IF(DATOS_[[Sexo]:[Sexo]]=$B28,IF(DATOS_[[AGRUP. VALOR. PTO.]:[AGRUP. VALOR. PTO.]]=$B27,IF(DATOS_[[Check Periodo Ref.]:[Check Periodo Ref.]]="Dentro",DATOS_[Conc.Sal.16]))))),
0)</f>
        <v>0</v>
      </c>
      <c r="V28" s="93">
        <f t="array" ref="V28">IFERROR(
AVERAGE((IF(DATOS_[[Sexo]:[Sexo]]=$B28,IF(DATOS_[[AGRUP. VALOR. PTO.]:[AGRUP. VALOR. PTO.]]=$B27,IF(DATOS_[[Check Periodo Ref.]:[Check Periodo Ref.]]="Dentro",DATOS_[Conc.Sal.17]))))),
0)</f>
        <v>0</v>
      </c>
      <c r="W28" s="93">
        <f t="array" ref="W28">IFERROR(
AVERAGE((IF(DATOS_[[Sexo]:[Sexo]]=$B28,IF(DATOS_[[AGRUP. VALOR. PTO.]:[AGRUP. VALOR. PTO.]]=$B27,IF(DATOS_[[Check Periodo Ref.]:[Check Periodo Ref.]]="Dentro",DATOS_[Conc.Sal.18]))))),
0)</f>
        <v>0</v>
      </c>
      <c r="X28" s="93">
        <f t="array" ref="X28">IFERROR(
AVERAGE((IF(DATOS_[[Sexo]:[Sexo]]=$B28,IF(DATOS_[[AGRUP. VALOR. PTO.]:[AGRUP. VALOR. PTO.]]=$B27,IF(DATOS_[[Check Periodo Ref.]:[Check Periodo Ref.]]="Dentro",DATOS_[Conc.Sal.19]))))),
0)</f>
        <v>0</v>
      </c>
      <c r="Y28" s="93">
        <f t="array" ref="Y28">IFERROR(
AVERAGE((IF(DATOS_[[Sexo]:[Sexo]]=$B28,IF(DATOS_[[AGRUP. VALOR. PTO.]:[AGRUP. VALOR. PTO.]]=$B27,IF(DATOS_[[Check Periodo Ref.]:[Check Periodo Ref.]]="Dentro",DATOS_[Conc.Sal.20]))))),
0)</f>
        <v>0</v>
      </c>
      <c r="Z28" s="93">
        <f t="array" ref="Z28">IFERROR(
AVERAGE((IF(DATOS_[[Sexo]:[Sexo]]=$B28,IF(DATOS_[[AGRUP. VALOR. PTO.]:[AGRUP. VALOR. PTO.]]=$B27,IF(DATOS_[[Check Periodo Ref.]:[Check Periodo Ref.]]="Dentro",DATOS_[Conc.Sal.21]))))),
0)</f>
        <v>0</v>
      </c>
      <c r="AA28" s="93">
        <f t="array" ref="AA28">IFERROR(
AVERAGE((IF(DATOS_[[Sexo]:[Sexo]]=$B28,IF(DATOS_[[AGRUP. VALOR. PTO.]:[AGRUP. VALOR. PTO.]]=$B27,IF(DATOS_[[Check Periodo Ref.]:[Check Periodo Ref.]]="Dentro",DATOS_[Conc.Sal.22]))))),
0)</f>
        <v>0</v>
      </c>
      <c r="AB28" s="93">
        <f t="array" ref="AB28">IFERROR(
AVERAGE((IF(DATOS_[[Sexo]:[Sexo]]=$B28,IF(DATOS_[[AGRUP. VALOR. PTO.]:[AGRUP. VALOR. PTO.]]=$B27,IF(DATOS_[[Check Periodo Ref.]:[Check Periodo Ref.]]="Dentro",DATOS_[Conc.Sal.23]))))),
0)</f>
        <v>0</v>
      </c>
      <c r="AC28" s="93">
        <f t="array" ref="AC28">IFERROR(
AVERAGE((IF(DATOS_[[Sexo]:[Sexo]]=$B28,IF(DATOS_[[AGRUP. VALOR. PTO.]:[AGRUP. VALOR. PTO.]]=$B27,IF(DATOS_[[Check Periodo Ref.]:[Check Periodo Ref.]]="Dentro",DATOS_[Conc.Sal.24]))))),
0)</f>
        <v>0</v>
      </c>
      <c r="AD28" s="93">
        <f t="array" ref="AD28">IFERROR(
AVERAGE((IF(DATOS_[[Sexo]:[Sexo]]=$B28,IF(DATOS_[[AGRUP. VALOR. PTO.]:[AGRUP. VALOR. PTO.]]=$B27,IF(DATOS_[[Check Periodo Ref.]:[Check Periodo Ref.]]="Dentro",DATOS_[Conc.Sal.25]))))),
0)</f>
        <v>0</v>
      </c>
      <c r="AE28" s="93">
        <f t="array" ref="AE28">IFERROR(
AVERAGE((IF(DATOS_[[Sexo]:[Sexo]]=$B28,IF(DATOS_[[AGRUP. VALOR. PTO.]:[AGRUP. VALOR. PTO.]]=$B27,IF(DATOS_[[Check Periodo Ref.]:[Check Periodo Ref.]]="Dentro",DATOS_[Conc.Sal.26]))))),
0)</f>
        <v>0</v>
      </c>
      <c r="AF28" s="93">
        <f t="array" ref="AF28">IFERROR(
AVERAGE((IF(DATOS_[[Sexo]:[Sexo]]=$B28,IF(DATOS_[[AGRUP. VALOR. PTO.]:[AGRUP. VALOR. PTO.]]=$B27,IF(DATOS_[[Check Periodo Ref.]:[Check Periodo Ref.]]="Dentro",DATOS_[Conc.Sal.27]))))),
0)</f>
        <v>0</v>
      </c>
      <c r="AG28" s="93">
        <f t="array" ref="AG28">IFERROR(
AVERAGE((IF(DATOS_[[Sexo]:[Sexo]]=$B28,IF(DATOS_[[AGRUP. VALOR. PTO.]:[AGRUP. VALOR. PTO.]]=$B27,IF(DATOS_[[Check Periodo Ref.]:[Check Periodo Ref.]]="Dentro",DATOS_[Conc.Sal.28]))))),
0)</f>
        <v>0</v>
      </c>
      <c r="AH28" s="93">
        <f t="array" ref="AH28">IFERROR(
AVERAGE((IF(DATOS_[[Sexo]:[Sexo]]=$B28,IF(DATOS_[[AGRUP. VALOR. PTO.]:[AGRUP. VALOR. PTO.]]=$B27,IF(DATOS_[[Check Periodo Ref.]:[Check Periodo Ref.]]="Dentro",DATOS_[Conc.Sal.29]))))),
0)</f>
        <v>0</v>
      </c>
      <c r="AI28" s="93">
        <f t="array" ref="AI28">IFERROR(
AVERAGE((IF(DATOS_[[Sexo]:[Sexo]]=$B28,IF(DATOS_[[AGRUP. VALOR. PTO.]:[AGRUP. VALOR. PTO.]]=$B27,IF(DATOS_[[Check Periodo Ref.]:[Check Periodo Ref.]]="Dentro",DATOS_[Conc.Sal.30]))))),
0)</f>
        <v>0</v>
      </c>
      <c r="AJ28" s="94">
        <f t="array" ref="AJ28">IFERROR(
AVERAGE(IF(DATOS_[Sexo]=$B28,IF(DATOS_[AGRUP. VALOR. PTO.]=$B27,IF(DATOS_[Check Periodo Ref.]="Dentro",DATOS_[Tot COMPL.SAL Ef],FALSE)))),
0)</f>
        <v>938.64730580645187</v>
      </c>
      <c r="AK28" s="96">
        <f t="array" ref="AK28">IFERROR(
AVERAGE(IF(DATOS_[Sexo]=$B28,IF(DATOS_[AGRUP. VALOR. PTO.]=$B27,IF(DATOS_[Check Periodo Ref.]="Dentro",DATOS_[TOTAL SALARIO Ef],FALSE)))),
0)</f>
        <v>10006.95414451613</v>
      </c>
      <c r="AL28" s="95">
        <f t="array" ref="AL28">IFERROR(
AVERAGE((IF(DATOS_[[Sexo]:[Sexo]]=$B28,IF(DATOS_[[AGRUP. VALOR. PTO.]:[AGRUP. VALOR. PTO.]]=$B27,IF(DATOS_[[Check Periodo Ref.]:[Check Periodo Ref.]]="Dentro",DATOS_[C.Extra.01]))))),
0)</f>
        <v>0</v>
      </c>
      <c r="AM28" s="95">
        <f t="array" ref="AM28">IFERROR(
AVERAGE((IF(DATOS_[[Sexo]:[Sexo]]=$B28,IF(DATOS_[[AGRUP. VALOR. PTO.]:[AGRUP. VALOR. PTO.]]=$B27,IF(DATOS_[[Check Periodo Ref.]:[Check Periodo Ref.]]="Dentro",DATOS_[C.Extra.02]))))),
0)</f>
        <v>0</v>
      </c>
      <c r="AN28" s="95">
        <f t="array" ref="AN28">IFERROR(
AVERAGE((IF(DATOS_[[Sexo]:[Sexo]]=$B28,IF(DATOS_[[AGRUP. VALOR. PTO.]:[AGRUP. VALOR. PTO.]]=$B27,IF(DATOS_[[Check Periodo Ref.]:[Check Periodo Ref.]]="Dentro",DATOS_[C.Extra.03]))))),
0)</f>
        <v>174.19354838709677</v>
      </c>
      <c r="AO28" s="95">
        <f t="array" ref="AO28">IFERROR(
AVERAGE((IF(DATOS_[[Sexo]:[Sexo]]=$B28,IF(DATOS_[[AGRUP. VALOR. PTO.]:[AGRUP. VALOR. PTO.]]=$B27,IF(DATOS_[[Check Periodo Ref.]:[Check Periodo Ref.]]="Dentro",DATOS_[C.Extra.04]))))),
0)</f>
        <v>0</v>
      </c>
      <c r="AP28" s="95">
        <f t="array" ref="AP28">IFERROR(
AVERAGE((IF(DATOS_[[Sexo]:[Sexo]]=$B28,IF(DATOS_[[AGRUP. VALOR. PTO.]:[AGRUP. VALOR. PTO.]]=$B27,IF(DATOS_[[Check Periodo Ref.]:[Check Periodo Ref.]]="Dentro",DATOS_[C.Extra.05]))))),
0)</f>
        <v>0</v>
      </c>
      <c r="AQ28" s="97">
        <f t="array" ref="AQ28">IFERROR(
AVERAGE(IF(DATOS_[Sexo]=$B28,IF(DATOS_[AGRUP. VALOR. PTO.]=$B27,IF(DATOS_[Check Periodo Ref.]="Dentro",DATOS_[Tot Extrasalarial Ef],FALSE)))),
0)</f>
        <v>174.19354838709677</v>
      </c>
      <c r="AR28" s="98">
        <f t="array" ref="AR28">IFERROR(
AVERAGE(IF(DATOS_[Sexo]=$B28,IF(DATOS_[AGRUP. VALOR. PTO.]=$B27,IF(DATOS_[Check Periodo Ref.]="Dentro",DATOS_[TOTAL Retrib Ef],FALSE)))),
0)</f>
        <v>10181.147692903227</v>
      </c>
    </row>
    <row r="29" spans="1:44" x14ac:dyDescent="0.3">
      <c r="A29" s="48" t="str">
        <f t="shared" ref="A29" si="22">+A28</f>
        <v/>
      </c>
      <c r="B29" s="46" t="s">
        <v>163</v>
      </c>
      <c r="C29" s="45">
        <f t="array" ref="C29">SUM(IF($B29=DATOS_[Sexo],
IF($B27=DATOS_[AGRUP. VALOR. PTO.],
IF("Dentro"=DATOS_[Check Periodo Ref.],
1/(COUNTIFS(DATOS_[Sexo],$B29,DATOS_[AGRUP. VALOR. PTO.],$B27,DATOS_[Check Periodo Ref.],"Dentro",DATOS_[id],DATOS_[id]))))))</f>
        <v>49</v>
      </c>
      <c r="D29" s="47">
        <f>COUNTIFS(DATOS_[AGRUP. VALOR. PTO.],$B27,DATOS_[Sexo],$B29,DATOS_[Check Periodo Ref.],"Dentro")</f>
        <v>55</v>
      </c>
      <c r="E29" s="92">
        <f t="array" ref="E29">IFERROR(
AVERAGE(IF(DATOS_[Sexo]=$B29,IF(DATOS_[AGRUP. VALOR. PTO.]=$B27,IF(DATOS_[Check Periodo Ref.]="Dentro",DATOS_[SALARIO BASE Ef],FALSE)))),
0)</f>
        <v>9529.7375909090933</v>
      </c>
      <c r="F29" s="93">
        <f t="array" ref="F29">IFERROR(
AVERAGE((IF(DATOS_[[Sexo]:[Sexo]]=$B29,IF(DATOS_[[AGRUP. VALOR. PTO.]:[AGRUP. VALOR. PTO.]]=$B27,IF(DATOS_[[Check Periodo Ref.]:[Check Periodo Ref.]]="Dentro",DATOS_[Conc.Sal.01]))))),
0)</f>
        <v>62.662409090909236</v>
      </c>
      <c r="G29" s="93">
        <f t="array" ref="G29">IFERROR(
AVERAGE((IF(DATOS_[[Sexo]:[Sexo]]=$B29,IF(DATOS_[[AGRUP. VALOR. PTO.]:[AGRUP. VALOR. PTO.]]=$B27,IF(DATOS_[[Check Periodo Ref.]:[Check Periodo Ref.]]="Dentro",DATOS_[Conc.Sal.02]))))),
0)</f>
        <v>115.06153272727275</v>
      </c>
      <c r="H29" s="93">
        <f t="array" ref="H29">IFERROR(
AVERAGE((IF(DATOS_[[Sexo]:[Sexo]]=$B29,IF(DATOS_[[AGRUP. VALOR. PTO.]:[AGRUP. VALOR. PTO.]]=$B27,IF(DATOS_[[Check Periodo Ref.]:[Check Periodo Ref.]]="Dentro",DATOS_[Conc.Sal.03]))))),
0)</f>
        <v>773.81818181818187</v>
      </c>
      <c r="I29" s="93">
        <f t="array" ref="I29">IFERROR(
AVERAGE((IF(DATOS_[[Sexo]:[Sexo]]=$B29,IF(DATOS_[[AGRUP. VALOR. PTO.]:[AGRUP. VALOR. PTO.]]=$B27,IF(DATOS_[[Check Periodo Ref.]:[Check Periodo Ref.]]="Dentro",DATOS_[Conc.Sal.04]))))),
0)</f>
        <v>0</v>
      </c>
      <c r="J29" s="93">
        <f t="array" ref="J29">IFERROR(
AVERAGE((IF(DATOS_[[Sexo]:[Sexo]]=$B29,IF(DATOS_[[AGRUP. VALOR. PTO.]:[AGRUP. VALOR. PTO.]]=$B27,IF(DATOS_[[Check Periodo Ref.]:[Check Periodo Ref.]]="Dentro",DATOS_[Conc.Sal.05]))))),
0)</f>
        <v>0</v>
      </c>
      <c r="K29" s="93">
        <f t="array" ref="K29">IFERROR(
AVERAGE((IF(DATOS_[[Sexo]:[Sexo]]=$B29,IF(DATOS_[[AGRUP. VALOR. PTO.]:[AGRUP. VALOR. PTO.]]=$B27,IF(DATOS_[[Check Periodo Ref.]:[Check Periodo Ref.]]="Dentro",DATOS_[Conc.Sal.06]))))),
0)</f>
        <v>0</v>
      </c>
      <c r="L29" s="93">
        <f t="array" ref="L29">IFERROR(
AVERAGE((IF(DATOS_[[Sexo]:[Sexo]]=$B29,IF(DATOS_[[AGRUP. VALOR. PTO.]:[AGRUP. VALOR. PTO.]]=$B27,IF(DATOS_[[Check Periodo Ref.]:[Check Periodo Ref.]]="Dentro",DATOS_[Conc.Sal.07]))))),
0)</f>
        <v>65.454545454545453</v>
      </c>
      <c r="M29" s="93">
        <f t="array" ref="M29">IFERROR(
AVERAGE((IF(DATOS_[[Sexo]:[Sexo]]=$B29,IF(DATOS_[[AGRUP. VALOR. PTO.]:[AGRUP. VALOR. PTO.]]=$B27,IF(DATOS_[[Check Periodo Ref.]:[Check Periodo Ref.]]="Dentro",DATOS_[Conc.Sal.08]))))),
0)</f>
        <v>0</v>
      </c>
      <c r="N29" s="93">
        <f t="array" ref="N29">IFERROR(
AVERAGE((IF(DATOS_[[Sexo]:[Sexo]]=$B29,IF(DATOS_[[AGRUP. VALOR. PTO.]:[AGRUP. VALOR. PTO.]]=$B27,IF(DATOS_[[Check Periodo Ref.]:[Check Periodo Ref.]]="Dentro",DATOS_[Conc.Sal.09]))))),
0)</f>
        <v>0</v>
      </c>
      <c r="O29" s="93">
        <f t="array" ref="O29">IFERROR(
AVERAGE((IF(DATOS_[[Sexo]:[Sexo]]=$B29,IF(DATOS_[[AGRUP. VALOR. PTO.]:[AGRUP. VALOR. PTO.]]=$B27,IF(DATOS_[[Check Periodo Ref.]:[Check Periodo Ref.]]="Dentro",DATOS_[Conc.Sal.10]))))),
0)</f>
        <v>0</v>
      </c>
      <c r="P29" s="93">
        <f t="array" ref="P29">IFERROR(
AVERAGE((IF(DATOS_[[Sexo]:[Sexo]]=$B29,IF(DATOS_[[AGRUP. VALOR. PTO.]:[AGRUP. VALOR. PTO.]]=$B27,IF(DATOS_[[Check Periodo Ref.]:[Check Periodo Ref.]]="Dentro",DATOS_[Conc.Sal.11]))))),
0)</f>
        <v>0</v>
      </c>
      <c r="Q29" s="93">
        <f t="array" ref="Q29">IFERROR(
AVERAGE((IF(DATOS_[[Sexo]:[Sexo]]=$B29,IF(DATOS_[[AGRUP. VALOR. PTO.]:[AGRUP. VALOR. PTO.]]=$B27,IF(DATOS_[[Check Periodo Ref.]:[Check Periodo Ref.]]="Dentro",DATOS_[Conc.Sal.12]))))),
0)</f>
        <v>0</v>
      </c>
      <c r="R29" s="93">
        <f t="array" ref="R29">IFERROR(
AVERAGE((IF(DATOS_[[Sexo]:[Sexo]]=$B29,IF(DATOS_[[AGRUP. VALOR. PTO.]:[AGRUP. VALOR. PTO.]]=$B27,IF(DATOS_[[Check Periodo Ref.]:[Check Periodo Ref.]]="Dentro",DATOS_[Conc.Sal.13]))))),
0)</f>
        <v>0</v>
      </c>
      <c r="S29" s="93">
        <f t="array" ref="S29">IFERROR(
AVERAGE((IF(DATOS_[[Sexo]:[Sexo]]=$B29,IF(DATOS_[[AGRUP. VALOR. PTO.]:[AGRUP. VALOR. PTO.]]=$B27,IF(DATOS_[[Check Periodo Ref.]:[Check Periodo Ref.]]="Dentro",DATOS_[Conc.Sal.14]))))),
0)</f>
        <v>0</v>
      </c>
      <c r="T29" s="93">
        <f t="array" ref="T29">IFERROR(
AVERAGE((IF(DATOS_[[Sexo]:[Sexo]]=$B29,IF(DATOS_[[AGRUP. VALOR. PTO.]:[AGRUP. VALOR. PTO.]]=$B27,IF(DATOS_[[Check Periodo Ref.]:[Check Periodo Ref.]]="Dentro",DATOS_[Conc.Sal.15]))))),
0)</f>
        <v>0</v>
      </c>
      <c r="U29" s="93">
        <f t="array" ref="U29">IFERROR(
AVERAGE((IF(DATOS_[[Sexo]:[Sexo]]=$B29,IF(DATOS_[[AGRUP. VALOR. PTO.]:[AGRUP. VALOR. PTO.]]=$B27,IF(DATOS_[[Check Periodo Ref.]:[Check Periodo Ref.]]="Dentro",DATOS_[Conc.Sal.16]))))),
0)</f>
        <v>0</v>
      </c>
      <c r="V29" s="93">
        <f t="array" ref="V29">IFERROR(
AVERAGE((IF(DATOS_[[Sexo]:[Sexo]]=$B29,IF(DATOS_[[AGRUP. VALOR. PTO.]:[AGRUP. VALOR. PTO.]]=$B27,IF(DATOS_[[Check Periodo Ref.]:[Check Periodo Ref.]]="Dentro",DATOS_[Conc.Sal.17]))))),
0)</f>
        <v>0</v>
      </c>
      <c r="W29" s="93">
        <f t="array" ref="W29">IFERROR(
AVERAGE((IF(DATOS_[[Sexo]:[Sexo]]=$B29,IF(DATOS_[[AGRUP. VALOR. PTO.]:[AGRUP. VALOR. PTO.]]=$B27,IF(DATOS_[[Check Periodo Ref.]:[Check Periodo Ref.]]="Dentro",DATOS_[Conc.Sal.18]))))),
0)</f>
        <v>0</v>
      </c>
      <c r="X29" s="93">
        <f t="array" ref="X29">IFERROR(
AVERAGE((IF(DATOS_[[Sexo]:[Sexo]]=$B29,IF(DATOS_[[AGRUP. VALOR. PTO.]:[AGRUP. VALOR. PTO.]]=$B27,IF(DATOS_[[Check Periodo Ref.]:[Check Periodo Ref.]]="Dentro",DATOS_[Conc.Sal.19]))))),
0)</f>
        <v>0</v>
      </c>
      <c r="Y29" s="93">
        <f t="array" ref="Y29">IFERROR(
AVERAGE((IF(DATOS_[[Sexo]:[Sexo]]=$B29,IF(DATOS_[[AGRUP. VALOR. PTO.]:[AGRUP. VALOR. PTO.]]=$B27,IF(DATOS_[[Check Periodo Ref.]:[Check Periodo Ref.]]="Dentro",DATOS_[Conc.Sal.20]))))),
0)</f>
        <v>0</v>
      </c>
      <c r="Z29" s="93">
        <f t="array" ref="Z29">IFERROR(
AVERAGE((IF(DATOS_[[Sexo]:[Sexo]]=$B29,IF(DATOS_[[AGRUP. VALOR. PTO.]:[AGRUP. VALOR. PTO.]]=$B27,IF(DATOS_[[Check Periodo Ref.]:[Check Periodo Ref.]]="Dentro",DATOS_[Conc.Sal.21]))))),
0)</f>
        <v>0</v>
      </c>
      <c r="AA29" s="93">
        <f t="array" ref="AA29">IFERROR(
AVERAGE((IF(DATOS_[[Sexo]:[Sexo]]=$B29,IF(DATOS_[[AGRUP. VALOR. PTO.]:[AGRUP. VALOR. PTO.]]=$B27,IF(DATOS_[[Check Periodo Ref.]:[Check Periodo Ref.]]="Dentro",DATOS_[Conc.Sal.22]))))),
0)</f>
        <v>0</v>
      </c>
      <c r="AB29" s="93">
        <f t="array" ref="AB29">IFERROR(
AVERAGE((IF(DATOS_[[Sexo]:[Sexo]]=$B29,IF(DATOS_[[AGRUP. VALOR. PTO.]:[AGRUP. VALOR. PTO.]]=$B27,IF(DATOS_[[Check Periodo Ref.]:[Check Periodo Ref.]]="Dentro",DATOS_[Conc.Sal.23]))))),
0)</f>
        <v>0</v>
      </c>
      <c r="AC29" s="93">
        <f t="array" ref="AC29">IFERROR(
AVERAGE((IF(DATOS_[[Sexo]:[Sexo]]=$B29,IF(DATOS_[[AGRUP. VALOR. PTO.]:[AGRUP. VALOR. PTO.]]=$B27,IF(DATOS_[[Check Periodo Ref.]:[Check Periodo Ref.]]="Dentro",DATOS_[Conc.Sal.24]))))),
0)</f>
        <v>0</v>
      </c>
      <c r="AD29" s="93">
        <f t="array" ref="AD29">IFERROR(
AVERAGE((IF(DATOS_[[Sexo]:[Sexo]]=$B29,IF(DATOS_[[AGRUP. VALOR. PTO.]:[AGRUP. VALOR. PTO.]]=$B27,IF(DATOS_[[Check Periodo Ref.]:[Check Periodo Ref.]]="Dentro",DATOS_[Conc.Sal.25]))))),
0)</f>
        <v>0</v>
      </c>
      <c r="AE29" s="93">
        <f t="array" ref="AE29">IFERROR(
AVERAGE((IF(DATOS_[[Sexo]:[Sexo]]=$B29,IF(DATOS_[[AGRUP. VALOR. PTO.]:[AGRUP. VALOR. PTO.]]=$B27,IF(DATOS_[[Check Periodo Ref.]:[Check Periodo Ref.]]="Dentro",DATOS_[Conc.Sal.26]))))),
0)</f>
        <v>0</v>
      </c>
      <c r="AF29" s="93">
        <f t="array" ref="AF29">IFERROR(
AVERAGE((IF(DATOS_[[Sexo]:[Sexo]]=$B29,IF(DATOS_[[AGRUP. VALOR. PTO.]:[AGRUP. VALOR. PTO.]]=$B27,IF(DATOS_[[Check Periodo Ref.]:[Check Periodo Ref.]]="Dentro",DATOS_[Conc.Sal.27]))))),
0)</f>
        <v>0</v>
      </c>
      <c r="AG29" s="93">
        <f t="array" ref="AG29">IFERROR(
AVERAGE((IF(DATOS_[[Sexo]:[Sexo]]=$B29,IF(DATOS_[[AGRUP. VALOR. PTO.]:[AGRUP. VALOR. PTO.]]=$B27,IF(DATOS_[[Check Periodo Ref.]:[Check Periodo Ref.]]="Dentro",DATOS_[Conc.Sal.28]))))),
0)</f>
        <v>0</v>
      </c>
      <c r="AH29" s="93">
        <f t="array" ref="AH29">IFERROR(
AVERAGE((IF(DATOS_[[Sexo]:[Sexo]]=$B29,IF(DATOS_[[AGRUP. VALOR. PTO.]:[AGRUP. VALOR. PTO.]]=$B27,IF(DATOS_[[Check Periodo Ref.]:[Check Periodo Ref.]]="Dentro",DATOS_[Conc.Sal.29]))))),
0)</f>
        <v>0</v>
      </c>
      <c r="AI29" s="93">
        <f t="array" ref="AI29">IFERROR(
AVERAGE((IF(DATOS_[[Sexo]:[Sexo]]=$B29,IF(DATOS_[[AGRUP. VALOR. PTO.]:[AGRUP. VALOR. PTO.]]=$B27,IF(DATOS_[[Check Periodo Ref.]:[Check Periodo Ref.]]="Dentro",DATOS_[Conc.Sal.30]))))),
0)</f>
        <v>0</v>
      </c>
      <c r="AJ29" s="94">
        <f t="array" ref="AJ29">IFERROR(
AVERAGE(IF(DATOS_[Sexo]=$B29,IF(DATOS_[AGRUP. VALOR. PTO.]=$B27,IF(DATOS_[Check Periodo Ref.]="Dentro",DATOS_[Tot COMPL.SAL Ef],FALSE)))),
0)</f>
        <v>1016.9966690909092</v>
      </c>
      <c r="AK29" s="96">
        <f t="array" ref="AK29">IFERROR(
AVERAGE(IF(DATOS_[Sexo]=$B29,IF(DATOS_[AGRUP. VALOR. PTO.]=$B27,IF(DATOS_[Check Periodo Ref.]="Dentro",DATOS_[TOTAL SALARIO Ef],FALSE)))),
0)</f>
        <v>10546.734260000001</v>
      </c>
      <c r="AL29" s="95">
        <f t="array" ref="AL29">IFERROR(
AVERAGE((IF(DATOS_[[Sexo]:[Sexo]]=$B29,IF(DATOS_[[AGRUP. VALOR. PTO.]:[AGRUP. VALOR. PTO.]]=$B27,IF(DATOS_[[Check Periodo Ref.]:[Check Periodo Ref.]]="Dentro",DATOS_[C.Extra.01]))))),
0)</f>
        <v>0</v>
      </c>
      <c r="AM29" s="95">
        <f t="array" ref="AM29">IFERROR(
AVERAGE((IF(DATOS_[[Sexo]:[Sexo]]=$B29,IF(DATOS_[[AGRUP. VALOR. PTO.]:[AGRUP. VALOR. PTO.]]=$B27,IF(DATOS_[[Check Periodo Ref.]:[Check Periodo Ref.]]="Dentro",DATOS_[C.Extra.02]))))),
0)</f>
        <v>0</v>
      </c>
      <c r="AN29" s="95">
        <f t="array" ref="AN29">IFERROR(
AVERAGE((IF(DATOS_[[Sexo]:[Sexo]]=$B29,IF(DATOS_[[AGRUP. VALOR. PTO.]:[AGRUP. VALOR. PTO.]]=$B27,IF(DATOS_[[Check Periodo Ref.]:[Check Periodo Ref.]]="Dentro",DATOS_[C.Extra.03]))))),
0)</f>
        <v>130.90909090909091</v>
      </c>
      <c r="AO29" s="95">
        <f t="array" ref="AO29">IFERROR(
AVERAGE((IF(DATOS_[[Sexo]:[Sexo]]=$B29,IF(DATOS_[[AGRUP. VALOR. PTO.]:[AGRUP. VALOR. PTO.]]=$B27,IF(DATOS_[[Check Periodo Ref.]:[Check Periodo Ref.]]="Dentro",DATOS_[C.Extra.04]))))),
0)</f>
        <v>0</v>
      </c>
      <c r="AP29" s="95">
        <f t="array" ref="AP29">IFERROR(
AVERAGE((IF(DATOS_[[Sexo]:[Sexo]]=$B29,IF(DATOS_[[AGRUP. VALOR. PTO.]:[AGRUP. VALOR. PTO.]]=$B27,IF(DATOS_[[Check Periodo Ref.]:[Check Periodo Ref.]]="Dentro",DATOS_[C.Extra.05]))))),
0)</f>
        <v>0</v>
      </c>
      <c r="AQ29" s="97">
        <f t="array" ref="AQ29">IFERROR(
AVERAGE(IF(DATOS_[Sexo]=$B29,IF(DATOS_[AGRUP. VALOR. PTO.]=$B27,IF(DATOS_[Check Periodo Ref.]="Dentro",DATOS_[Tot Extrasalarial Ef],FALSE)))),
0)</f>
        <v>130.90909090909091</v>
      </c>
      <c r="AR29" s="98">
        <f t="array" ref="AR29">IFERROR(
AVERAGE(IF(DATOS_[Sexo]=$B29,IF(DATOS_[AGRUP. VALOR. PTO.]=$B27,IF(DATOS_[Check Periodo Ref.]="Dentro",DATOS_[TOTAL Retrib Ef],FALSE)))),
0)</f>
        <v>10677.643350909091</v>
      </c>
    </row>
    <row r="30" spans="1:44" ht="17.25" hidden="1" thickBot="1" x14ac:dyDescent="0.35">
      <c r="A30" s="48" t="str">
        <f t="shared" ref="A30" si="23">+A31</f>
        <v>[ocultar]</v>
      </c>
      <c r="B30" s="51" t="s">
        <v>303</v>
      </c>
      <c r="C30" s="91"/>
      <c r="D30" s="52"/>
      <c r="E30" s="139" t="str">
        <f t="shared" ref="E30:AR30" si="24">IFERROR((E31-E32)/E31,"")</f>
        <v/>
      </c>
      <c r="F30" s="179" t="str">
        <f t="shared" si="24"/>
        <v/>
      </c>
      <c r="G30" s="180" t="str">
        <f t="shared" si="24"/>
        <v/>
      </c>
      <c r="H30" s="180" t="str">
        <f t="shared" si="24"/>
        <v/>
      </c>
      <c r="I30" s="180" t="str">
        <f t="shared" si="24"/>
        <v/>
      </c>
      <c r="J30" s="181" t="str">
        <f t="shared" si="24"/>
        <v/>
      </c>
      <c r="K30" s="182" t="str">
        <f t="shared" si="24"/>
        <v/>
      </c>
      <c r="L30" s="182" t="str">
        <f t="shared" si="24"/>
        <v/>
      </c>
      <c r="M30" s="182" t="str">
        <f t="shared" si="24"/>
        <v/>
      </c>
      <c r="N30" s="182" t="str">
        <f t="shared" si="24"/>
        <v/>
      </c>
      <c r="O30" s="182" t="str">
        <f t="shared" si="24"/>
        <v/>
      </c>
      <c r="P30" s="182" t="str">
        <f t="shared" si="24"/>
        <v/>
      </c>
      <c r="Q30" s="182" t="str">
        <f t="shared" si="24"/>
        <v/>
      </c>
      <c r="R30" s="182" t="str">
        <f t="shared" si="24"/>
        <v/>
      </c>
      <c r="S30" s="182" t="str">
        <f t="shared" si="24"/>
        <v/>
      </c>
      <c r="T30" s="182" t="str">
        <f t="shared" si="24"/>
        <v/>
      </c>
      <c r="U30" s="182" t="str">
        <f t="shared" si="24"/>
        <v/>
      </c>
      <c r="V30" s="181" t="str">
        <f t="shared" si="24"/>
        <v/>
      </c>
      <c r="W30" s="181" t="str">
        <f t="shared" si="24"/>
        <v/>
      </c>
      <c r="X30" s="181" t="str">
        <f t="shared" si="24"/>
        <v/>
      </c>
      <c r="Y30" s="181" t="str">
        <f t="shared" si="24"/>
        <v/>
      </c>
      <c r="Z30" s="181" t="str">
        <f t="shared" si="24"/>
        <v/>
      </c>
      <c r="AA30" s="181" t="str">
        <f t="shared" si="24"/>
        <v/>
      </c>
      <c r="AB30" s="181" t="str">
        <f t="shared" si="24"/>
        <v/>
      </c>
      <c r="AC30" s="181" t="str">
        <f t="shared" si="24"/>
        <v/>
      </c>
      <c r="AD30" s="181" t="str">
        <f t="shared" si="24"/>
        <v/>
      </c>
      <c r="AE30" s="181" t="str">
        <f t="shared" si="24"/>
        <v/>
      </c>
      <c r="AF30" s="181" t="str">
        <f t="shared" si="24"/>
        <v/>
      </c>
      <c r="AG30" s="181" t="str">
        <f t="shared" si="24"/>
        <v/>
      </c>
      <c r="AH30" s="181" t="str">
        <f t="shared" si="24"/>
        <v/>
      </c>
      <c r="AI30" s="181" t="str">
        <f t="shared" si="24"/>
        <v/>
      </c>
      <c r="AJ30" s="140" t="str">
        <f t="shared" si="24"/>
        <v/>
      </c>
      <c r="AK30" s="143" t="str">
        <f t="shared" si="24"/>
        <v/>
      </c>
      <c r="AL30" s="184" t="str">
        <f t="shared" si="24"/>
        <v/>
      </c>
      <c r="AM30" s="184" t="str">
        <f t="shared" si="24"/>
        <v/>
      </c>
      <c r="AN30" s="184" t="str">
        <f t="shared" si="24"/>
        <v/>
      </c>
      <c r="AO30" s="184" t="str">
        <f t="shared" si="24"/>
        <v/>
      </c>
      <c r="AP30" s="184" t="str">
        <f t="shared" si="24"/>
        <v/>
      </c>
      <c r="AQ30" s="141" t="str">
        <f t="shared" si="24"/>
        <v/>
      </c>
      <c r="AR30" s="142" t="str">
        <f t="shared" si="24"/>
        <v/>
      </c>
    </row>
    <row r="31" spans="1:44" hidden="1" x14ac:dyDescent="0.3">
      <c r="A31" s="48" t="str">
        <f t="shared" ref="A31" si="25">+IF(C31+C32=0,"[ocultar]","")</f>
        <v>[ocultar]</v>
      </c>
      <c r="B31" s="46" t="s">
        <v>162</v>
      </c>
      <c r="C31" s="45">
        <f t="array" ref="C31">SUM(IF($B31=DATOS_[Sexo],
IF($B30=DATOS_[AGRUP. VALOR. PTO.],
IF("Dentro"=DATOS_[Check Periodo Ref.],
1/(COUNTIFS(DATOS_[Sexo],$B31,DATOS_[AGRUP. VALOR. PTO.],$B30,DATOS_[Check Periodo Ref.],"Dentro",DATOS_[id],DATOS_[id]))))))</f>
        <v>0</v>
      </c>
      <c r="D31" s="47">
        <f>COUNTIFS(DATOS_[AGRUP. VALOR. PTO.],$B30,DATOS_[Sexo],$B31,DATOS_[Check Periodo Ref.],"Dentro")</f>
        <v>0</v>
      </c>
      <c r="E31" s="92">
        <f t="array" ref="E31">IFERROR(
AVERAGE(IF(DATOS_[Sexo]=$B31,IF(DATOS_[AGRUP. VALOR. PTO.]=$B30,IF(DATOS_[Check Periodo Ref.]="Dentro",DATOS_[SALARIO BASE Ef],FALSE)))),
0)</f>
        <v>0</v>
      </c>
      <c r="F31" s="93">
        <f t="array" ref="F31">IFERROR(
AVERAGE((IF(DATOS_[[Sexo]:[Sexo]]=$B31,IF(DATOS_[[AGRUP. VALOR. PTO.]:[AGRUP. VALOR. PTO.]]=$B30,IF(DATOS_[[Check Periodo Ref.]:[Check Periodo Ref.]]="Dentro",DATOS_[Conc.Sal.01]))))),
0)</f>
        <v>0</v>
      </c>
      <c r="G31" s="93">
        <f t="array" ref="G31">IFERROR(
AVERAGE((IF(DATOS_[[Sexo]:[Sexo]]=$B31,IF(DATOS_[[AGRUP. VALOR. PTO.]:[AGRUP. VALOR. PTO.]]=$B30,IF(DATOS_[[Check Periodo Ref.]:[Check Periodo Ref.]]="Dentro",DATOS_[Conc.Sal.02]))))),
0)</f>
        <v>0</v>
      </c>
      <c r="H31" s="93">
        <f t="array" ref="H31">IFERROR(
AVERAGE((IF(DATOS_[[Sexo]:[Sexo]]=$B31,IF(DATOS_[[AGRUP. VALOR. PTO.]:[AGRUP. VALOR. PTO.]]=$B30,IF(DATOS_[[Check Periodo Ref.]:[Check Periodo Ref.]]="Dentro",DATOS_[Conc.Sal.03]))))),
0)</f>
        <v>0</v>
      </c>
      <c r="I31" s="93">
        <f t="array" ref="I31">IFERROR(
AVERAGE((IF(DATOS_[[Sexo]:[Sexo]]=$B31,IF(DATOS_[[AGRUP. VALOR. PTO.]:[AGRUP. VALOR. PTO.]]=$B30,IF(DATOS_[[Check Periodo Ref.]:[Check Periodo Ref.]]="Dentro",DATOS_[Conc.Sal.04]))))),
0)</f>
        <v>0</v>
      </c>
      <c r="J31" s="93">
        <f t="array" ref="J31">IFERROR(
AVERAGE((IF(DATOS_[[Sexo]:[Sexo]]=$B31,IF(DATOS_[[AGRUP. VALOR. PTO.]:[AGRUP. VALOR. PTO.]]=$B30,IF(DATOS_[[Check Periodo Ref.]:[Check Periodo Ref.]]="Dentro",DATOS_[Conc.Sal.05]))))),
0)</f>
        <v>0</v>
      </c>
      <c r="K31" s="93">
        <f t="array" ref="K31">IFERROR(
AVERAGE((IF(DATOS_[[Sexo]:[Sexo]]=$B31,IF(DATOS_[[AGRUP. VALOR. PTO.]:[AGRUP. VALOR. PTO.]]=$B30,IF(DATOS_[[Check Periodo Ref.]:[Check Periodo Ref.]]="Dentro",DATOS_[Conc.Sal.06]))))),
0)</f>
        <v>0</v>
      </c>
      <c r="L31" s="93">
        <f t="array" ref="L31">IFERROR(
AVERAGE((IF(DATOS_[[Sexo]:[Sexo]]=$B31,IF(DATOS_[[AGRUP. VALOR. PTO.]:[AGRUP. VALOR. PTO.]]=$B30,IF(DATOS_[[Check Periodo Ref.]:[Check Periodo Ref.]]="Dentro",DATOS_[Conc.Sal.07]))))),
0)</f>
        <v>0</v>
      </c>
      <c r="M31" s="93">
        <f t="array" ref="M31">IFERROR(
AVERAGE((IF(DATOS_[[Sexo]:[Sexo]]=$B31,IF(DATOS_[[AGRUP. VALOR. PTO.]:[AGRUP. VALOR. PTO.]]=$B30,IF(DATOS_[[Check Periodo Ref.]:[Check Periodo Ref.]]="Dentro",DATOS_[Conc.Sal.08]))))),
0)</f>
        <v>0</v>
      </c>
      <c r="N31" s="93">
        <f t="array" ref="N31">IFERROR(
AVERAGE((IF(DATOS_[[Sexo]:[Sexo]]=$B31,IF(DATOS_[[AGRUP. VALOR. PTO.]:[AGRUP. VALOR. PTO.]]=$B30,IF(DATOS_[[Check Periodo Ref.]:[Check Periodo Ref.]]="Dentro",DATOS_[Conc.Sal.09]))))),
0)</f>
        <v>0</v>
      </c>
      <c r="O31" s="93">
        <f t="array" ref="O31">IFERROR(
AVERAGE((IF(DATOS_[[Sexo]:[Sexo]]=$B31,IF(DATOS_[[AGRUP. VALOR. PTO.]:[AGRUP. VALOR. PTO.]]=$B30,IF(DATOS_[[Check Periodo Ref.]:[Check Periodo Ref.]]="Dentro",DATOS_[Conc.Sal.10]))))),
0)</f>
        <v>0</v>
      </c>
      <c r="P31" s="93">
        <f t="array" ref="P31">IFERROR(
AVERAGE((IF(DATOS_[[Sexo]:[Sexo]]=$B31,IF(DATOS_[[AGRUP. VALOR. PTO.]:[AGRUP. VALOR. PTO.]]=$B30,IF(DATOS_[[Check Periodo Ref.]:[Check Periodo Ref.]]="Dentro",DATOS_[Conc.Sal.11]))))),
0)</f>
        <v>0</v>
      </c>
      <c r="Q31" s="93">
        <f t="array" ref="Q31">IFERROR(
AVERAGE((IF(DATOS_[[Sexo]:[Sexo]]=$B31,IF(DATOS_[[AGRUP. VALOR. PTO.]:[AGRUP. VALOR. PTO.]]=$B30,IF(DATOS_[[Check Periodo Ref.]:[Check Periodo Ref.]]="Dentro",DATOS_[Conc.Sal.12]))))),
0)</f>
        <v>0</v>
      </c>
      <c r="R31" s="93">
        <f t="array" ref="R31">IFERROR(
AVERAGE((IF(DATOS_[[Sexo]:[Sexo]]=$B31,IF(DATOS_[[AGRUP. VALOR. PTO.]:[AGRUP. VALOR. PTO.]]=$B30,IF(DATOS_[[Check Periodo Ref.]:[Check Periodo Ref.]]="Dentro",DATOS_[Conc.Sal.13]))))),
0)</f>
        <v>0</v>
      </c>
      <c r="S31" s="93">
        <f t="array" ref="S31">IFERROR(
AVERAGE((IF(DATOS_[[Sexo]:[Sexo]]=$B31,IF(DATOS_[[AGRUP. VALOR. PTO.]:[AGRUP. VALOR. PTO.]]=$B30,IF(DATOS_[[Check Periodo Ref.]:[Check Periodo Ref.]]="Dentro",DATOS_[Conc.Sal.14]))))),
0)</f>
        <v>0</v>
      </c>
      <c r="T31" s="93">
        <f t="array" ref="T31">IFERROR(
AVERAGE((IF(DATOS_[[Sexo]:[Sexo]]=$B31,IF(DATOS_[[AGRUP. VALOR. PTO.]:[AGRUP. VALOR. PTO.]]=$B30,IF(DATOS_[[Check Periodo Ref.]:[Check Periodo Ref.]]="Dentro",DATOS_[Conc.Sal.15]))))),
0)</f>
        <v>0</v>
      </c>
      <c r="U31" s="93">
        <f t="array" ref="U31">IFERROR(
AVERAGE((IF(DATOS_[[Sexo]:[Sexo]]=$B31,IF(DATOS_[[AGRUP. VALOR. PTO.]:[AGRUP. VALOR. PTO.]]=$B30,IF(DATOS_[[Check Periodo Ref.]:[Check Periodo Ref.]]="Dentro",DATOS_[Conc.Sal.16]))))),
0)</f>
        <v>0</v>
      </c>
      <c r="V31" s="93">
        <f t="array" ref="V31">IFERROR(
AVERAGE((IF(DATOS_[[Sexo]:[Sexo]]=$B31,IF(DATOS_[[AGRUP. VALOR. PTO.]:[AGRUP. VALOR. PTO.]]=$B30,IF(DATOS_[[Check Periodo Ref.]:[Check Periodo Ref.]]="Dentro",DATOS_[Conc.Sal.17]))))),
0)</f>
        <v>0</v>
      </c>
      <c r="W31" s="93">
        <f t="array" ref="W31">IFERROR(
AVERAGE((IF(DATOS_[[Sexo]:[Sexo]]=$B31,IF(DATOS_[[AGRUP. VALOR. PTO.]:[AGRUP. VALOR. PTO.]]=$B30,IF(DATOS_[[Check Periodo Ref.]:[Check Periodo Ref.]]="Dentro",DATOS_[Conc.Sal.18]))))),
0)</f>
        <v>0</v>
      </c>
      <c r="X31" s="93">
        <f t="array" ref="X31">IFERROR(
AVERAGE((IF(DATOS_[[Sexo]:[Sexo]]=$B31,IF(DATOS_[[AGRUP. VALOR. PTO.]:[AGRUP. VALOR. PTO.]]=$B30,IF(DATOS_[[Check Periodo Ref.]:[Check Periodo Ref.]]="Dentro",DATOS_[Conc.Sal.19]))))),
0)</f>
        <v>0</v>
      </c>
      <c r="Y31" s="93">
        <f t="array" ref="Y31">IFERROR(
AVERAGE((IF(DATOS_[[Sexo]:[Sexo]]=$B31,IF(DATOS_[[AGRUP. VALOR. PTO.]:[AGRUP. VALOR. PTO.]]=$B30,IF(DATOS_[[Check Periodo Ref.]:[Check Periodo Ref.]]="Dentro",DATOS_[Conc.Sal.20]))))),
0)</f>
        <v>0</v>
      </c>
      <c r="Z31" s="93">
        <f t="array" ref="Z31">IFERROR(
AVERAGE((IF(DATOS_[[Sexo]:[Sexo]]=$B31,IF(DATOS_[[AGRUP. VALOR. PTO.]:[AGRUP. VALOR. PTO.]]=$B30,IF(DATOS_[[Check Periodo Ref.]:[Check Periodo Ref.]]="Dentro",DATOS_[Conc.Sal.21]))))),
0)</f>
        <v>0</v>
      </c>
      <c r="AA31" s="93">
        <f t="array" ref="AA31">IFERROR(
AVERAGE((IF(DATOS_[[Sexo]:[Sexo]]=$B31,IF(DATOS_[[AGRUP. VALOR. PTO.]:[AGRUP. VALOR. PTO.]]=$B30,IF(DATOS_[[Check Periodo Ref.]:[Check Periodo Ref.]]="Dentro",DATOS_[Conc.Sal.22]))))),
0)</f>
        <v>0</v>
      </c>
      <c r="AB31" s="93">
        <f t="array" ref="AB31">IFERROR(
AVERAGE((IF(DATOS_[[Sexo]:[Sexo]]=$B31,IF(DATOS_[[AGRUP. VALOR. PTO.]:[AGRUP. VALOR. PTO.]]=$B30,IF(DATOS_[[Check Periodo Ref.]:[Check Periodo Ref.]]="Dentro",DATOS_[Conc.Sal.23]))))),
0)</f>
        <v>0</v>
      </c>
      <c r="AC31" s="93">
        <f t="array" ref="AC31">IFERROR(
AVERAGE((IF(DATOS_[[Sexo]:[Sexo]]=$B31,IF(DATOS_[[AGRUP. VALOR. PTO.]:[AGRUP. VALOR. PTO.]]=$B30,IF(DATOS_[[Check Periodo Ref.]:[Check Periodo Ref.]]="Dentro",DATOS_[Conc.Sal.24]))))),
0)</f>
        <v>0</v>
      </c>
      <c r="AD31" s="93">
        <f t="array" ref="AD31">IFERROR(
AVERAGE((IF(DATOS_[[Sexo]:[Sexo]]=$B31,IF(DATOS_[[AGRUP. VALOR. PTO.]:[AGRUP. VALOR. PTO.]]=$B30,IF(DATOS_[[Check Periodo Ref.]:[Check Periodo Ref.]]="Dentro",DATOS_[Conc.Sal.25]))))),
0)</f>
        <v>0</v>
      </c>
      <c r="AE31" s="93">
        <f t="array" ref="AE31">IFERROR(
AVERAGE((IF(DATOS_[[Sexo]:[Sexo]]=$B31,IF(DATOS_[[AGRUP. VALOR. PTO.]:[AGRUP. VALOR. PTO.]]=$B30,IF(DATOS_[[Check Periodo Ref.]:[Check Periodo Ref.]]="Dentro",DATOS_[Conc.Sal.26]))))),
0)</f>
        <v>0</v>
      </c>
      <c r="AF31" s="93">
        <f t="array" ref="AF31">IFERROR(
AVERAGE((IF(DATOS_[[Sexo]:[Sexo]]=$B31,IF(DATOS_[[AGRUP. VALOR. PTO.]:[AGRUP. VALOR. PTO.]]=$B30,IF(DATOS_[[Check Periodo Ref.]:[Check Periodo Ref.]]="Dentro",DATOS_[Conc.Sal.27]))))),
0)</f>
        <v>0</v>
      </c>
      <c r="AG31" s="93">
        <f t="array" ref="AG31">IFERROR(
AVERAGE((IF(DATOS_[[Sexo]:[Sexo]]=$B31,IF(DATOS_[[AGRUP. VALOR. PTO.]:[AGRUP. VALOR. PTO.]]=$B30,IF(DATOS_[[Check Periodo Ref.]:[Check Periodo Ref.]]="Dentro",DATOS_[Conc.Sal.28]))))),
0)</f>
        <v>0</v>
      </c>
      <c r="AH31" s="93">
        <f t="array" ref="AH31">IFERROR(
AVERAGE((IF(DATOS_[[Sexo]:[Sexo]]=$B31,IF(DATOS_[[AGRUP. VALOR. PTO.]:[AGRUP. VALOR. PTO.]]=$B30,IF(DATOS_[[Check Periodo Ref.]:[Check Periodo Ref.]]="Dentro",DATOS_[Conc.Sal.29]))))),
0)</f>
        <v>0</v>
      </c>
      <c r="AI31" s="93">
        <f t="array" ref="AI31">IFERROR(
AVERAGE((IF(DATOS_[[Sexo]:[Sexo]]=$B31,IF(DATOS_[[AGRUP. VALOR. PTO.]:[AGRUP. VALOR. PTO.]]=$B30,IF(DATOS_[[Check Periodo Ref.]:[Check Periodo Ref.]]="Dentro",DATOS_[Conc.Sal.30]))))),
0)</f>
        <v>0</v>
      </c>
      <c r="AJ31" s="94">
        <f t="array" ref="AJ31">IFERROR(
AVERAGE(IF(DATOS_[Sexo]=$B31,IF(DATOS_[AGRUP. VALOR. PTO.]=$B30,IF(DATOS_[Check Periodo Ref.]="Dentro",DATOS_[Tot COMPL.SAL Ef],FALSE)))),
0)</f>
        <v>0</v>
      </c>
      <c r="AK31" s="96">
        <f t="array" ref="AK31">IFERROR(
AVERAGE(IF(DATOS_[Sexo]=$B31,IF(DATOS_[AGRUP. VALOR. PTO.]=$B30,IF(DATOS_[Check Periodo Ref.]="Dentro",DATOS_[TOTAL SALARIO Ef],FALSE)))),
0)</f>
        <v>0</v>
      </c>
      <c r="AL31" s="95">
        <f t="array" ref="AL31">IFERROR(
AVERAGE((IF(DATOS_[[Sexo]:[Sexo]]=$B31,IF(DATOS_[[AGRUP. VALOR. PTO.]:[AGRUP. VALOR. PTO.]]=$B30,IF(DATOS_[[Check Periodo Ref.]:[Check Periodo Ref.]]="Dentro",DATOS_[C.Extra.01]))))),
0)</f>
        <v>0</v>
      </c>
      <c r="AM31" s="95">
        <f t="array" ref="AM31">IFERROR(
AVERAGE((IF(DATOS_[[Sexo]:[Sexo]]=$B31,IF(DATOS_[[AGRUP. VALOR. PTO.]:[AGRUP. VALOR. PTO.]]=$B30,IF(DATOS_[[Check Periodo Ref.]:[Check Periodo Ref.]]="Dentro",DATOS_[C.Extra.02]))))),
0)</f>
        <v>0</v>
      </c>
      <c r="AN31" s="95">
        <f t="array" ref="AN31">IFERROR(
AVERAGE((IF(DATOS_[[Sexo]:[Sexo]]=$B31,IF(DATOS_[[AGRUP. VALOR. PTO.]:[AGRUP. VALOR. PTO.]]=$B30,IF(DATOS_[[Check Periodo Ref.]:[Check Periodo Ref.]]="Dentro",DATOS_[C.Extra.03]))))),
0)</f>
        <v>0</v>
      </c>
      <c r="AO31" s="95">
        <f t="array" ref="AO31">IFERROR(
AVERAGE((IF(DATOS_[[Sexo]:[Sexo]]=$B31,IF(DATOS_[[AGRUP. VALOR. PTO.]:[AGRUP. VALOR. PTO.]]=$B30,IF(DATOS_[[Check Periodo Ref.]:[Check Periodo Ref.]]="Dentro",DATOS_[C.Extra.04]))))),
0)</f>
        <v>0</v>
      </c>
      <c r="AP31" s="95">
        <f t="array" ref="AP31">IFERROR(
AVERAGE((IF(DATOS_[[Sexo]:[Sexo]]=$B31,IF(DATOS_[[AGRUP. VALOR. PTO.]:[AGRUP. VALOR. PTO.]]=$B30,IF(DATOS_[[Check Periodo Ref.]:[Check Periodo Ref.]]="Dentro",DATOS_[C.Extra.05]))))),
0)</f>
        <v>0</v>
      </c>
      <c r="AQ31" s="97">
        <f t="array" ref="AQ31">IFERROR(
AVERAGE(IF(DATOS_[Sexo]=$B31,IF(DATOS_[AGRUP. VALOR. PTO.]=$B30,IF(DATOS_[Check Periodo Ref.]="Dentro",DATOS_[Tot Extrasalarial Ef],FALSE)))),
0)</f>
        <v>0</v>
      </c>
      <c r="AR31" s="98">
        <f t="array" ref="AR31">IFERROR(
AVERAGE(IF(DATOS_[Sexo]=$B31,IF(DATOS_[AGRUP. VALOR. PTO.]=$B30,IF(DATOS_[Check Periodo Ref.]="Dentro",DATOS_[TOTAL Retrib Ef],FALSE)))),
0)</f>
        <v>0</v>
      </c>
    </row>
    <row r="32" spans="1:44" hidden="1" x14ac:dyDescent="0.3">
      <c r="A32" s="48" t="str">
        <f t="shared" ref="A32" si="26">+A31</f>
        <v>[ocultar]</v>
      </c>
      <c r="B32" s="46" t="s">
        <v>163</v>
      </c>
      <c r="C32" s="45">
        <f t="array" ref="C32">SUM(IF($B32=DATOS_[Sexo],
IF($B30=DATOS_[AGRUP. VALOR. PTO.],
IF("Dentro"=DATOS_[Check Periodo Ref.],
1/(COUNTIFS(DATOS_[Sexo],$B32,DATOS_[AGRUP. VALOR. PTO.],$B30,DATOS_[Check Periodo Ref.],"Dentro",DATOS_[id],DATOS_[id]))))))</f>
        <v>0</v>
      </c>
      <c r="D32" s="47">
        <f>COUNTIFS(DATOS_[AGRUP. VALOR. PTO.],$B30,DATOS_[Sexo],$B32,DATOS_[Check Periodo Ref.],"Dentro")</f>
        <v>0</v>
      </c>
      <c r="E32" s="92">
        <f t="array" ref="E32">IFERROR(
AVERAGE(IF(DATOS_[Sexo]=$B32,IF(DATOS_[AGRUP. VALOR. PTO.]=$B30,IF(DATOS_[Check Periodo Ref.]="Dentro",DATOS_[SALARIO BASE Ef],FALSE)))),
0)</f>
        <v>0</v>
      </c>
      <c r="F32" s="93">
        <f t="array" ref="F32">IFERROR(
AVERAGE((IF(DATOS_[[Sexo]:[Sexo]]=$B32,IF(DATOS_[[AGRUP. VALOR. PTO.]:[AGRUP. VALOR. PTO.]]=$B30,IF(DATOS_[[Check Periodo Ref.]:[Check Periodo Ref.]]="Dentro",DATOS_[Conc.Sal.01]))))),
0)</f>
        <v>0</v>
      </c>
      <c r="G32" s="93">
        <f t="array" ref="G32">IFERROR(
AVERAGE((IF(DATOS_[[Sexo]:[Sexo]]=$B32,IF(DATOS_[[AGRUP. VALOR. PTO.]:[AGRUP. VALOR. PTO.]]=$B30,IF(DATOS_[[Check Periodo Ref.]:[Check Periodo Ref.]]="Dentro",DATOS_[Conc.Sal.02]))))),
0)</f>
        <v>0</v>
      </c>
      <c r="H32" s="93">
        <f t="array" ref="H32">IFERROR(
AVERAGE((IF(DATOS_[[Sexo]:[Sexo]]=$B32,IF(DATOS_[[AGRUP. VALOR. PTO.]:[AGRUP. VALOR. PTO.]]=$B30,IF(DATOS_[[Check Periodo Ref.]:[Check Periodo Ref.]]="Dentro",DATOS_[Conc.Sal.03]))))),
0)</f>
        <v>0</v>
      </c>
      <c r="I32" s="93">
        <f t="array" ref="I32">IFERROR(
AVERAGE((IF(DATOS_[[Sexo]:[Sexo]]=$B32,IF(DATOS_[[AGRUP. VALOR. PTO.]:[AGRUP. VALOR. PTO.]]=$B30,IF(DATOS_[[Check Periodo Ref.]:[Check Periodo Ref.]]="Dentro",DATOS_[Conc.Sal.04]))))),
0)</f>
        <v>0</v>
      </c>
      <c r="J32" s="93">
        <f t="array" ref="J32">IFERROR(
AVERAGE((IF(DATOS_[[Sexo]:[Sexo]]=$B32,IF(DATOS_[[AGRUP. VALOR. PTO.]:[AGRUP. VALOR. PTO.]]=$B30,IF(DATOS_[[Check Periodo Ref.]:[Check Periodo Ref.]]="Dentro",DATOS_[Conc.Sal.05]))))),
0)</f>
        <v>0</v>
      </c>
      <c r="K32" s="93">
        <f t="array" ref="K32">IFERROR(
AVERAGE((IF(DATOS_[[Sexo]:[Sexo]]=$B32,IF(DATOS_[[AGRUP. VALOR. PTO.]:[AGRUP. VALOR. PTO.]]=$B30,IF(DATOS_[[Check Periodo Ref.]:[Check Periodo Ref.]]="Dentro",DATOS_[Conc.Sal.06]))))),
0)</f>
        <v>0</v>
      </c>
      <c r="L32" s="93">
        <f t="array" ref="L32">IFERROR(
AVERAGE((IF(DATOS_[[Sexo]:[Sexo]]=$B32,IF(DATOS_[[AGRUP. VALOR. PTO.]:[AGRUP. VALOR. PTO.]]=$B30,IF(DATOS_[[Check Periodo Ref.]:[Check Periodo Ref.]]="Dentro",DATOS_[Conc.Sal.07]))))),
0)</f>
        <v>0</v>
      </c>
      <c r="M32" s="93">
        <f t="array" ref="M32">IFERROR(
AVERAGE((IF(DATOS_[[Sexo]:[Sexo]]=$B32,IF(DATOS_[[AGRUP. VALOR. PTO.]:[AGRUP. VALOR. PTO.]]=$B30,IF(DATOS_[[Check Periodo Ref.]:[Check Periodo Ref.]]="Dentro",DATOS_[Conc.Sal.08]))))),
0)</f>
        <v>0</v>
      </c>
      <c r="N32" s="93">
        <f t="array" ref="N32">IFERROR(
AVERAGE((IF(DATOS_[[Sexo]:[Sexo]]=$B32,IF(DATOS_[[AGRUP. VALOR. PTO.]:[AGRUP. VALOR. PTO.]]=$B30,IF(DATOS_[[Check Periodo Ref.]:[Check Periodo Ref.]]="Dentro",DATOS_[Conc.Sal.09]))))),
0)</f>
        <v>0</v>
      </c>
      <c r="O32" s="93">
        <f t="array" ref="O32">IFERROR(
AVERAGE((IF(DATOS_[[Sexo]:[Sexo]]=$B32,IF(DATOS_[[AGRUP. VALOR. PTO.]:[AGRUP. VALOR. PTO.]]=$B30,IF(DATOS_[[Check Periodo Ref.]:[Check Periodo Ref.]]="Dentro",DATOS_[Conc.Sal.10]))))),
0)</f>
        <v>0</v>
      </c>
      <c r="P32" s="93">
        <f t="array" ref="P32">IFERROR(
AVERAGE((IF(DATOS_[[Sexo]:[Sexo]]=$B32,IF(DATOS_[[AGRUP. VALOR. PTO.]:[AGRUP. VALOR. PTO.]]=$B30,IF(DATOS_[[Check Periodo Ref.]:[Check Periodo Ref.]]="Dentro",DATOS_[Conc.Sal.11]))))),
0)</f>
        <v>0</v>
      </c>
      <c r="Q32" s="93">
        <f t="array" ref="Q32">IFERROR(
AVERAGE((IF(DATOS_[[Sexo]:[Sexo]]=$B32,IF(DATOS_[[AGRUP. VALOR. PTO.]:[AGRUP. VALOR. PTO.]]=$B30,IF(DATOS_[[Check Periodo Ref.]:[Check Periodo Ref.]]="Dentro",DATOS_[Conc.Sal.12]))))),
0)</f>
        <v>0</v>
      </c>
      <c r="R32" s="93">
        <f t="array" ref="R32">IFERROR(
AVERAGE((IF(DATOS_[[Sexo]:[Sexo]]=$B32,IF(DATOS_[[AGRUP. VALOR. PTO.]:[AGRUP. VALOR. PTO.]]=$B30,IF(DATOS_[[Check Periodo Ref.]:[Check Periodo Ref.]]="Dentro",DATOS_[Conc.Sal.13]))))),
0)</f>
        <v>0</v>
      </c>
      <c r="S32" s="93">
        <f t="array" ref="S32">IFERROR(
AVERAGE((IF(DATOS_[[Sexo]:[Sexo]]=$B32,IF(DATOS_[[AGRUP. VALOR. PTO.]:[AGRUP. VALOR. PTO.]]=$B30,IF(DATOS_[[Check Periodo Ref.]:[Check Periodo Ref.]]="Dentro",DATOS_[Conc.Sal.14]))))),
0)</f>
        <v>0</v>
      </c>
      <c r="T32" s="93">
        <f t="array" ref="T32">IFERROR(
AVERAGE((IF(DATOS_[[Sexo]:[Sexo]]=$B32,IF(DATOS_[[AGRUP. VALOR. PTO.]:[AGRUP. VALOR. PTO.]]=$B30,IF(DATOS_[[Check Periodo Ref.]:[Check Periodo Ref.]]="Dentro",DATOS_[Conc.Sal.15]))))),
0)</f>
        <v>0</v>
      </c>
      <c r="U32" s="93">
        <f t="array" ref="U32">IFERROR(
AVERAGE((IF(DATOS_[[Sexo]:[Sexo]]=$B32,IF(DATOS_[[AGRUP. VALOR. PTO.]:[AGRUP. VALOR. PTO.]]=$B30,IF(DATOS_[[Check Periodo Ref.]:[Check Periodo Ref.]]="Dentro",DATOS_[Conc.Sal.16]))))),
0)</f>
        <v>0</v>
      </c>
      <c r="V32" s="93">
        <f t="array" ref="V32">IFERROR(
AVERAGE((IF(DATOS_[[Sexo]:[Sexo]]=$B32,IF(DATOS_[[AGRUP. VALOR. PTO.]:[AGRUP. VALOR. PTO.]]=$B30,IF(DATOS_[[Check Periodo Ref.]:[Check Periodo Ref.]]="Dentro",DATOS_[Conc.Sal.17]))))),
0)</f>
        <v>0</v>
      </c>
      <c r="W32" s="93">
        <f t="array" ref="W32">IFERROR(
AVERAGE((IF(DATOS_[[Sexo]:[Sexo]]=$B32,IF(DATOS_[[AGRUP. VALOR. PTO.]:[AGRUP. VALOR. PTO.]]=$B30,IF(DATOS_[[Check Periodo Ref.]:[Check Periodo Ref.]]="Dentro",DATOS_[Conc.Sal.18]))))),
0)</f>
        <v>0</v>
      </c>
      <c r="X32" s="93">
        <f t="array" ref="X32">IFERROR(
AVERAGE((IF(DATOS_[[Sexo]:[Sexo]]=$B32,IF(DATOS_[[AGRUP. VALOR. PTO.]:[AGRUP. VALOR. PTO.]]=$B30,IF(DATOS_[[Check Periodo Ref.]:[Check Periodo Ref.]]="Dentro",DATOS_[Conc.Sal.19]))))),
0)</f>
        <v>0</v>
      </c>
      <c r="Y32" s="93">
        <f t="array" ref="Y32">IFERROR(
AVERAGE((IF(DATOS_[[Sexo]:[Sexo]]=$B32,IF(DATOS_[[AGRUP. VALOR. PTO.]:[AGRUP. VALOR. PTO.]]=$B30,IF(DATOS_[[Check Periodo Ref.]:[Check Periodo Ref.]]="Dentro",DATOS_[Conc.Sal.20]))))),
0)</f>
        <v>0</v>
      </c>
      <c r="Z32" s="93">
        <f t="array" ref="Z32">IFERROR(
AVERAGE((IF(DATOS_[[Sexo]:[Sexo]]=$B32,IF(DATOS_[[AGRUP. VALOR. PTO.]:[AGRUP. VALOR. PTO.]]=$B30,IF(DATOS_[[Check Periodo Ref.]:[Check Periodo Ref.]]="Dentro",DATOS_[Conc.Sal.21]))))),
0)</f>
        <v>0</v>
      </c>
      <c r="AA32" s="93">
        <f t="array" ref="AA32">IFERROR(
AVERAGE((IF(DATOS_[[Sexo]:[Sexo]]=$B32,IF(DATOS_[[AGRUP. VALOR. PTO.]:[AGRUP. VALOR. PTO.]]=$B30,IF(DATOS_[[Check Periodo Ref.]:[Check Periodo Ref.]]="Dentro",DATOS_[Conc.Sal.22]))))),
0)</f>
        <v>0</v>
      </c>
      <c r="AB32" s="93">
        <f t="array" ref="AB32">IFERROR(
AVERAGE((IF(DATOS_[[Sexo]:[Sexo]]=$B32,IF(DATOS_[[AGRUP. VALOR. PTO.]:[AGRUP. VALOR. PTO.]]=$B30,IF(DATOS_[[Check Periodo Ref.]:[Check Periodo Ref.]]="Dentro",DATOS_[Conc.Sal.23]))))),
0)</f>
        <v>0</v>
      </c>
      <c r="AC32" s="93">
        <f t="array" ref="AC32">IFERROR(
AVERAGE((IF(DATOS_[[Sexo]:[Sexo]]=$B32,IF(DATOS_[[AGRUP. VALOR. PTO.]:[AGRUP. VALOR. PTO.]]=$B30,IF(DATOS_[[Check Periodo Ref.]:[Check Periodo Ref.]]="Dentro",DATOS_[Conc.Sal.24]))))),
0)</f>
        <v>0</v>
      </c>
      <c r="AD32" s="93">
        <f t="array" ref="AD32">IFERROR(
AVERAGE((IF(DATOS_[[Sexo]:[Sexo]]=$B32,IF(DATOS_[[AGRUP. VALOR. PTO.]:[AGRUP. VALOR. PTO.]]=$B30,IF(DATOS_[[Check Periodo Ref.]:[Check Periodo Ref.]]="Dentro",DATOS_[Conc.Sal.25]))))),
0)</f>
        <v>0</v>
      </c>
      <c r="AE32" s="93">
        <f t="array" ref="AE32">IFERROR(
AVERAGE((IF(DATOS_[[Sexo]:[Sexo]]=$B32,IF(DATOS_[[AGRUP. VALOR. PTO.]:[AGRUP. VALOR. PTO.]]=$B30,IF(DATOS_[[Check Periodo Ref.]:[Check Periodo Ref.]]="Dentro",DATOS_[Conc.Sal.26]))))),
0)</f>
        <v>0</v>
      </c>
      <c r="AF32" s="93">
        <f t="array" ref="AF32">IFERROR(
AVERAGE((IF(DATOS_[[Sexo]:[Sexo]]=$B32,IF(DATOS_[[AGRUP. VALOR. PTO.]:[AGRUP. VALOR. PTO.]]=$B30,IF(DATOS_[[Check Periodo Ref.]:[Check Periodo Ref.]]="Dentro",DATOS_[Conc.Sal.27]))))),
0)</f>
        <v>0</v>
      </c>
      <c r="AG32" s="93">
        <f t="array" ref="AG32">IFERROR(
AVERAGE((IF(DATOS_[[Sexo]:[Sexo]]=$B32,IF(DATOS_[[AGRUP. VALOR. PTO.]:[AGRUP. VALOR. PTO.]]=$B30,IF(DATOS_[[Check Periodo Ref.]:[Check Periodo Ref.]]="Dentro",DATOS_[Conc.Sal.28]))))),
0)</f>
        <v>0</v>
      </c>
      <c r="AH32" s="93">
        <f t="array" ref="AH32">IFERROR(
AVERAGE((IF(DATOS_[[Sexo]:[Sexo]]=$B32,IF(DATOS_[[AGRUP. VALOR. PTO.]:[AGRUP. VALOR. PTO.]]=$B30,IF(DATOS_[[Check Periodo Ref.]:[Check Periodo Ref.]]="Dentro",DATOS_[Conc.Sal.29]))))),
0)</f>
        <v>0</v>
      </c>
      <c r="AI32" s="93">
        <f t="array" ref="AI32">IFERROR(
AVERAGE((IF(DATOS_[[Sexo]:[Sexo]]=$B32,IF(DATOS_[[AGRUP. VALOR. PTO.]:[AGRUP. VALOR. PTO.]]=$B30,IF(DATOS_[[Check Periodo Ref.]:[Check Periodo Ref.]]="Dentro",DATOS_[Conc.Sal.30]))))),
0)</f>
        <v>0</v>
      </c>
      <c r="AJ32" s="94">
        <f t="array" ref="AJ32">IFERROR(
AVERAGE(IF(DATOS_[Sexo]=$B32,IF(DATOS_[AGRUP. VALOR. PTO.]=$B30,IF(DATOS_[Check Periodo Ref.]="Dentro",DATOS_[Tot COMPL.SAL Ef],FALSE)))),
0)</f>
        <v>0</v>
      </c>
      <c r="AK32" s="96">
        <f t="array" ref="AK32">IFERROR(
AVERAGE(IF(DATOS_[Sexo]=$B32,IF(DATOS_[AGRUP. VALOR. PTO.]=$B30,IF(DATOS_[Check Periodo Ref.]="Dentro",DATOS_[TOTAL SALARIO Ef],FALSE)))),
0)</f>
        <v>0</v>
      </c>
      <c r="AL32" s="95">
        <f t="array" ref="AL32">IFERROR(
AVERAGE((IF(DATOS_[[Sexo]:[Sexo]]=$B32,IF(DATOS_[[AGRUP. VALOR. PTO.]:[AGRUP. VALOR. PTO.]]=$B30,IF(DATOS_[[Check Periodo Ref.]:[Check Periodo Ref.]]="Dentro",DATOS_[C.Extra.01]))))),
0)</f>
        <v>0</v>
      </c>
      <c r="AM32" s="95">
        <f t="array" ref="AM32">IFERROR(
AVERAGE((IF(DATOS_[[Sexo]:[Sexo]]=$B32,IF(DATOS_[[AGRUP. VALOR. PTO.]:[AGRUP. VALOR. PTO.]]=$B30,IF(DATOS_[[Check Periodo Ref.]:[Check Periodo Ref.]]="Dentro",DATOS_[C.Extra.02]))))),
0)</f>
        <v>0</v>
      </c>
      <c r="AN32" s="95">
        <f t="array" ref="AN32">IFERROR(
AVERAGE((IF(DATOS_[[Sexo]:[Sexo]]=$B32,IF(DATOS_[[AGRUP. VALOR. PTO.]:[AGRUP. VALOR. PTO.]]=$B30,IF(DATOS_[[Check Periodo Ref.]:[Check Periodo Ref.]]="Dentro",DATOS_[C.Extra.03]))))),
0)</f>
        <v>0</v>
      </c>
      <c r="AO32" s="95">
        <f t="array" ref="AO32">IFERROR(
AVERAGE((IF(DATOS_[[Sexo]:[Sexo]]=$B32,IF(DATOS_[[AGRUP. VALOR. PTO.]:[AGRUP. VALOR. PTO.]]=$B30,IF(DATOS_[[Check Periodo Ref.]:[Check Periodo Ref.]]="Dentro",DATOS_[C.Extra.04]))))),
0)</f>
        <v>0</v>
      </c>
      <c r="AP32" s="95">
        <f t="array" ref="AP32">IFERROR(
AVERAGE((IF(DATOS_[[Sexo]:[Sexo]]=$B32,IF(DATOS_[[AGRUP. VALOR. PTO.]:[AGRUP. VALOR. PTO.]]=$B30,IF(DATOS_[[Check Periodo Ref.]:[Check Periodo Ref.]]="Dentro",DATOS_[C.Extra.05]))))),
0)</f>
        <v>0</v>
      </c>
      <c r="AQ32" s="97">
        <f t="array" ref="AQ32">IFERROR(
AVERAGE(IF(DATOS_[Sexo]=$B32,IF(DATOS_[AGRUP. VALOR. PTO.]=$B30,IF(DATOS_[Check Periodo Ref.]="Dentro",DATOS_[Tot Extrasalarial Ef],FALSE)))),
0)</f>
        <v>0</v>
      </c>
      <c r="AR32" s="98">
        <f t="array" ref="AR32">IFERROR(
AVERAGE(IF(DATOS_[Sexo]=$B32,IF(DATOS_[AGRUP. VALOR. PTO.]=$B30,IF(DATOS_[Check Periodo Ref.]="Dentro",DATOS_[TOTAL Retrib Ef],FALSE)))),
0)</f>
        <v>0</v>
      </c>
    </row>
    <row r="33" spans="1:44" ht="17.25" hidden="1" thickBot="1" x14ac:dyDescent="0.35">
      <c r="A33" s="48" t="str">
        <f t="shared" ref="A33" si="27">+A34</f>
        <v>[ocultar]</v>
      </c>
      <c r="B33" s="51" t="s">
        <v>305</v>
      </c>
      <c r="C33" s="91"/>
      <c r="D33" s="52"/>
      <c r="E33" s="139" t="str">
        <f t="shared" ref="E33:AR33" si="28">IFERROR((E34-E35)/E34,"")</f>
        <v/>
      </c>
      <c r="F33" s="179" t="str">
        <f t="shared" si="28"/>
        <v/>
      </c>
      <c r="G33" s="180" t="str">
        <f t="shared" si="28"/>
        <v/>
      </c>
      <c r="H33" s="180" t="str">
        <f t="shared" si="28"/>
        <v/>
      </c>
      <c r="I33" s="180" t="str">
        <f t="shared" si="28"/>
        <v/>
      </c>
      <c r="J33" s="181" t="str">
        <f t="shared" si="28"/>
        <v/>
      </c>
      <c r="K33" s="182" t="str">
        <f t="shared" si="28"/>
        <v/>
      </c>
      <c r="L33" s="182" t="str">
        <f t="shared" si="28"/>
        <v/>
      </c>
      <c r="M33" s="182" t="str">
        <f t="shared" si="28"/>
        <v/>
      </c>
      <c r="N33" s="182" t="str">
        <f t="shared" si="28"/>
        <v/>
      </c>
      <c r="O33" s="182" t="str">
        <f t="shared" si="28"/>
        <v/>
      </c>
      <c r="P33" s="182" t="str">
        <f t="shared" si="28"/>
        <v/>
      </c>
      <c r="Q33" s="182" t="str">
        <f t="shared" si="28"/>
        <v/>
      </c>
      <c r="R33" s="182" t="str">
        <f t="shared" si="28"/>
        <v/>
      </c>
      <c r="S33" s="182" t="str">
        <f t="shared" si="28"/>
        <v/>
      </c>
      <c r="T33" s="182" t="str">
        <f t="shared" si="28"/>
        <v/>
      </c>
      <c r="U33" s="182" t="str">
        <f t="shared" si="28"/>
        <v/>
      </c>
      <c r="V33" s="181" t="str">
        <f t="shared" si="28"/>
        <v/>
      </c>
      <c r="W33" s="181" t="str">
        <f t="shared" si="28"/>
        <v/>
      </c>
      <c r="X33" s="181" t="str">
        <f t="shared" si="28"/>
        <v/>
      </c>
      <c r="Y33" s="181" t="str">
        <f t="shared" si="28"/>
        <v/>
      </c>
      <c r="Z33" s="181" t="str">
        <f t="shared" si="28"/>
        <v/>
      </c>
      <c r="AA33" s="181" t="str">
        <f t="shared" si="28"/>
        <v/>
      </c>
      <c r="AB33" s="181" t="str">
        <f t="shared" si="28"/>
        <v/>
      </c>
      <c r="AC33" s="181" t="str">
        <f t="shared" si="28"/>
        <v/>
      </c>
      <c r="AD33" s="181" t="str">
        <f t="shared" si="28"/>
        <v/>
      </c>
      <c r="AE33" s="181" t="str">
        <f t="shared" si="28"/>
        <v/>
      </c>
      <c r="AF33" s="181" t="str">
        <f t="shared" si="28"/>
        <v/>
      </c>
      <c r="AG33" s="181" t="str">
        <f t="shared" si="28"/>
        <v/>
      </c>
      <c r="AH33" s="181" t="str">
        <f t="shared" si="28"/>
        <v/>
      </c>
      <c r="AI33" s="181" t="str">
        <f t="shared" si="28"/>
        <v/>
      </c>
      <c r="AJ33" s="140" t="str">
        <f t="shared" si="28"/>
        <v/>
      </c>
      <c r="AK33" s="143" t="str">
        <f t="shared" si="28"/>
        <v/>
      </c>
      <c r="AL33" s="184" t="str">
        <f t="shared" si="28"/>
        <v/>
      </c>
      <c r="AM33" s="184" t="str">
        <f t="shared" si="28"/>
        <v/>
      </c>
      <c r="AN33" s="184" t="str">
        <f t="shared" si="28"/>
        <v/>
      </c>
      <c r="AO33" s="184" t="str">
        <f t="shared" si="28"/>
        <v/>
      </c>
      <c r="AP33" s="184" t="str">
        <f t="shared" si="28"/>
        <v/>
      </c>
      <c r="AQ33" s="141" t="str">
        <f t="shared" si="28"/>
        <v/>
      </c>
      <c r="AR33" s="142" t="str">
        <f t="shared" si="28"/>
        <v/>
      </c>
    </row>
    <row r="34" spans="1:44" hidden="1" x14ac:dyDescent="0.3">
      <c r="A34" s="48" t="str">
        <f t="shared" ref="A34" si="29">+IF(C34+C35=0,"[ocultar]","")</f>
        <v>[ocultar]</v>
      </c>
      <c r="B34" s="46" t="s">
        <v>162</v>
      </c>
      <c r="C34" s="45">
        <f t="array" ref="C34">SUM(IF($B34=DATOS_[Sexo],
IF($B33=DATOS_[AGRUP. VALOR. PTO.],
IF("Dentro"=DATOS_[Check Periodo Ref.],
1/(COUNTIFS(DATOS_[Sexo],$B34,DATOS_[AGRUP. VALOR. PTO.],$B33,DATOS_[Check Periodo Ref.],"Dentro",DATOS_[id],DATOS_[id]))))))</f>
        <v>0</v>
      </c>
      <c r="D34" s="47">
        <f>COUNTIFS(DATOS_[AGRUP. VALOR. PTO.],$B33,DATOS_[Sexo],$B34,DATOS_[Check Periodo Ref.],"Dentro")</f>
        <v>0</v>
      </c>
      <c r="E34" s="92">
        <f t="array" ref="E34">IFERROR(
AVERAGE(IF(DATOS_[Sexo]=$B34,IF(DATOS_[AGRUP. VALOR. PTO.]=$B33,IF(DATOS_[Check Periodo Ref.]="Dentro",DATOS_[SALARIO BASE Ef],FALSE)))),
0)</f>
        <v>0</v>
      </c>
      <c r="F34" s="93">
        <f t="array" ref="F34">IFERROR(
AVERAGE((IF(DATOS_[[Sexo]:[Sexo]]=$B34,IF(DATOS_[[AGRUP. VALOR. PTO.]:[AGRUP. VALOR. PTO.]]=$B33,IF(DATOS_[[Check Periodo Ref.]:[Check Periodo Ref.]]="Dentro",DATOS_[Conc.Sal.01]))))),
0)</f>
        <v>0</v>
      </c>
      <c r="G34" s="93">
        <f t="array" ref="G34">IFERROR(
AVERAGE((IF(DATOS_[[Sexo]:[Sexo]]=$B34,IF(DATOS_[[AGRUP. VALOR. PTO.]:[AGRUP. VALOR. PTO.]]=$B33,IF(DATOS_[[Check Periodo Ref.]:[Check Periodo Ref.]]="Dentro",DATOS_[Conc.Sal.02]))))),
0)</f>
        <v>0</v>
      </c>
      <c r="H34" s="93">
        <f t="array" ref="H34">IFERROR(
AVERAGE((IF(DATOS_[[Sexo]:[Sexo]]=$B34,IF(DATOS_[[AGRUP. VALOR. PTO.]:[AGRUP. VALOR. PTO.]]=$B33,IF(DATOS_[[Check Periodo Ref.]:[Check Periodo Ref.]]="Dentro",DATOS_[Conc.Sal.03]))))),
0)</f>
        <v>0</v>
      </c>
      <c r="I34" s="93">
        <f t="array" ref="I34">IFERROR(
AVERAGE((IF(DATOS_[[Sexo]:[Sexo]]=$B34,IF(DATOS_[[AGRUP. VALOR. PTO.]:[AGRUP. VALOR. PTO.]]=$B33,IF(DATOS_[[Check Periodo Ref.]:[Check Periodo Ref.]]="Dentro",DATOS_[Conc.Sal.04]))))),
0)</f>
        <v>0</v>
      </c>
      <c r="J34" s="93">
        <f t="array" ref="J34">IFERROR(
AVERAGE((IF(DATOS_[[Sexo]:[Sexo]]=$B34,IF(DATOS_[[AGRUP. VALOR. PTO.]:[AGRUP. VALOR. PTO.]]=$B33,IF(DATOS_[[Check Periodo Ref.]:[Check Periodo Ref.]]="Dentro",DATOS_[Conc.Sal.05]))))),
0)</f>
        <v>0</v>
      </c>
      <c r="K34" s="93">
        <f t="array" ref="K34">IFERROR(
AVERAGE((IF(DATOS_[[Sexo]:[Sexo]]=$B34,IF(DATOS_[[AGRUP. VALOR. PTO.]:[AGRUP. VALOR. PTO.]]=$B33,IF(DATOS_[[Check Periodo Ref.]:[Check Periodo Ref.]]="Dentro",DATOS_[Conc.Sal.06]))))),
0)</f>
        <v>0</v>
      </c>
      <c r="L34" s="93">
        <f t="array" ref="L34">IFERROR(
AVERAGE((IF(DATOS_[[Sexo]:[Sexo]]=$B34,IF(DATOS_[[AGRUP. VALOR. PTO.]:[AGRUP. VALOR. PTO.]]=$B33,IF(DATOS_[[Check Periodo Ref.]:[Check Periodo Ref.]]="Dentro",DATOS_[Conc.Sal.07]))))),
0)</f>
        <v>0</v>
      </c>
      <c r="M34" s="93">
        <f t="array" ref="M34">IFERROR(
AVERAGE((IF(DATOS_[[Sexo]:[Sexo]]=$B34,IF(DATOS_[[AGRUP. VALOR. PTO.]:[AGRUP. VALOR. PTO.]]=$B33,IF(DATOS_[[Check Periodo Ref.]:[Check Periodo Ref.]]="Dentro",DATOS_[Conc.Sal.08]))))),
0)</f>
        <v>0</v>
      </c>
      <c r="N34" s="93">
        <f t="array" ref="N34">IFERROR(
AVERAGE((IF(DATOS_[[Sexo]:[Sexo]]=$B34,IF(DATOS_[[AGRUP. VALOR. PTO.]:[AGRUP. VALOR. PTO.]]=$B33,IF(DATOS_[[Check Periodo Ref.]:[Check Periodo Ref.]]="Dentro",DATOS_[Conc.Sal.09]))))),
0)</f>
        <v>0</v>
      </c>
      <c r="O34" s="93">
        <f t="array" ref="O34">IFERROR(
AVERAGE((IF(DATOS_[[Sexo]:[Sexo]]=$B34,IF(DATOS_[[AGRUP. VALOR. PTO.]:[AGRUP. VALOR. PTO.]]=$B33,IF(DATOS_[[Check Periodo Ref.]:[Check Periodo Ref.]]="Dentro",DATOS_[Conc.Sal.10]))))),
0)</f>
        <v>0</v>
      </c>
      <c r="P34" s="93">
        <f t="array" ref="P34">IFERROR(
AVERAGE((IF(DATOS_[[Sexo]:[Sexo]]=$B34,IF(DATOS_[[AGRUP. VALOR. PTO.]:[AGRUP. VALOR. PTO.]]=$B33,IF(DATOS_[[Check Periodo Ref.]:[Check Periodo Ref.]]="Dentro",DATOS_[Conc.Sal.11]))))),
0)</f>
        <v>0</v>
      </c>
      <c r="Q34" s="93">
        <f t="array" ref="Q34">IFERROR(
AVERAGE((IF(DATOS_[[Sexo]:[Sexo]]=$B34,IF(DATOS_[[AGRUP. VALOR. PTO.]:[AGRUP. VALOR. PTO.]]=$B33,IF(DATOS_[[Check Periodo Ref.]:[Check Periodo Ref.]]="Dentro",DATOS_[Conc.Sal.12]))))),
0)</f>
        <v>0</v>
      </c>
      <c r="R34" s="93">
        <f t="array" ref="R34">IFERROR(
AVERAGE((IF(DATOS_[[Sexo]:[Sexo]]=$B34,IF(DATOS_[[AGRUP. VALOR. PTO.]:[AGRUP. VALOR. PTO.]]=$B33,IF(DATOS_[[Check Periodo Ref.]:[Check Periodo Ref.]]="Dentro",DATOS_[Conc.Sal.13]))))),
0)</f>
        <v>0</v>
      </c>
      <c r="S34" s="93">
        <f t="array" ref="S34">IFERROR(
AVERAGE((IF(DATOS_[[Sexo]:[Sexo]]=$B34,IF(DATOS_[[AGRUP. VALOR. PTO.]:[AGRUP. VALOR. PTO.]]=$B33,IF(DATOS_[[Check Periodo Ref.]:[Check Periodo Ref.]]="Dentro",DATOS_[Conc.Sal.14]))))),
0)</f>
        <v>0</v>
      </c>
      <c r="T34" s="93">
        <f t="array" ref="T34">IFERROR(
AVERAGE((IF(DATOS_[[Sexo]:[Sexo]]=$B34,IF(DATOS_[[AGRUP. VALOR. PTO.]:[AGRUP. VALOR. PTO.]]=$B33,IF(DATOS_[[Check Periodo Ref.]:[Check Periodo Ref.]]="Dentro",DATOS_[Conc.Sal.15]))))),
0)</f>
        <v>0</v>
      </c>
      <c r="U34" s="93">
        <f t="array" ref="U34">IFERROR(
AVERAGE((IF(DATOS_[[Sexo]:[Sexo]]=$B34,IF(DATOS_[[AGRUP. VALOR. PTO.]:[AGRUP. VALOR. PTO.]]=$B33,IF(DATOS_[[Check Periodo Ref.]:[Check Periodo Ref.]]="Dentro",DATOS_[Conc.Sal.16]))))),
0)</f>
        <v>0</v>
      </c>
      <c r="V34" s="93">
        <f t="array" ref="V34">IFERROR(
AVERAGE((IF(DATOS_[[Sexo]:[Sexo]]=$B34,IF(DATOS_[[AGRUP. VALOR. PTO.]:[AGRUP. VALOR. PTO.]]=$B33,IF(DATOS_[[Check Periodo Ref.]:[Check Periodo Ref.]]="Dentro",DATOS_[Conc.Sal.17]))))),
0)</f>
        <v>0</v>
      </c>
      <c r="W34" s="93">
        <f t="array" ref="W34">IFERROR(
AVERAGE((IF(DATOS_[[Sexo]:[Sexo]]=$B34,IF(DATOS_[[AGRUP. VALOR. PTO.]:[AGRUP. VALOR. PTO.]]=$B33,IF(DATOS_[[Check Periodo Ref.]:[Check Periodo Ref.]]="Dentro",DATOS_[Conc.Sal.18]))))),
0)</f>
        <v>0</v>
      </c>
      <c r="X34" s="93">
        <f t="array" ref="X34">IFERROR(
AVERAGE((IF(DATOS_[[Sexo]:[Sexo]]=$B34,IF(DATOS_[[AGRUP. VALOR. PTO.]:[AGRUP. VALOR. PTO.]]=$B33,IF(DATOS_[[Check Periodo Ref.]:[Check Periodo Ref.]]="Dentro",DATOS_[Conc.Sal.19]))))),
0)</f>
        <v>0</v>
      </c>
      <c r="Y34" s="93">
        <f t="array" ref="Y34">IFERROR(
AVERAGE((IF(DATOS_[[Sexo]:[Sexo]]=$B34,IF(DATOS_[[AGRUP. VALOR. PTO.]:[AGRUP. VALOR. PTO.]]=$B33,IF(DATOS_[[Check Periodo Ref.]:[Check Periodo Ref.]]="Dentro",DATOS_[Conc.Sal.20]))))),
0)</f>
        <v>0</v>
      </c>
      <c r="Z34" s="93">
        <f t="array" ref="Z34">IFERROR(
AVERAGE((IF(DATOS_[[Sexo]:[Sexo]]=$B34,IF(DATOS_[[AGRUP. VALOR. PTO.]:[AGRUP. VALOR. PTO.]]=$B33,IF(DATOS_[[Check Periodo Ref.]:[Check Periodo Ref.]]="Dentro",DATOS_[Conc.Sal.21]))))),
0)</f>
        <v>0</v>
      </c>
      <c r="AA34" s="93">
        <f t="array" ref="AA34">IFERROR(
AVERAGE((IF(DATOS_[[Sexo]:[Sexo]]=$B34,IF(DATOS_[[AGRUP. VALOR. PTO.]:[AGRUP. VALOR. PTO.]]=$B33,IF(DATOS_[[Check Periodo Ref.]:[Check Periodo Ref.]]="Dentro",DATOS_[Conc.Sal.22]))))),
0)</f>
        <v>0</v>
      </c>
      <c r="AB34" s="93">
        <f t="array" ref="AB34">IFERROR(
AVERAGE((IF(DATOS_[[Sexo]:[Sexo]]=$B34,IF(DATOS_[[AGRUP. VALOR. PTO.]:[AGRUP. VALOR. PTO.]]=$B33,IF(DATOS_[[Check Periodo Ref.]:[Check Periodo Ref.]]="Dentro",DATOS_[Conc.Sal.23]))))),
0)</f>
        <v>0</v>
      </c>
      <c r="AC34" s="93">
        <f t="array" ref="AC34">IFERROR(
AVERAGE((IF(DATOS_[[Sexo]:[Sexo]]=$B34,IF(DATOS_[[AGRUP. VALOR. PTO.]:[AGRUP. VALOR. PTO.]]=$B33,IF(DATOS_[[Check Periodo Ref.]:[Check Periodo Ref.]]="Dentro",DATOS_[Conc.Sal.24]))))),
0)</f>
        <v>0</v>
      </c>
      <c r="AD34" s="93">
        <f t="array" ref="AD34">IFERROR(
AVERAGE((IF(DATOS_[[Sexo]:[Sexo]]=$B34,IF(DATOS_[[AGRUP. VALOR. PTO.]:[AGRUP. VALOR. PTO.]]=$B33,IF(DATOS_[[Check Periodo Ref.]:[Check Periodo Ref.]]="Dentro",DATOS_[Conc.Sal.25]))))),
0)</f>
        <v>0</v>
      </c>
      <c r="AE34" s="93">
        <f t="array" ref="AE34">IFERROR(
AVERAGE((IF(DATOS_[[Sexo]:[Sexo]]=$B34,IF(DATOS_[[AGRUP. VALOR. PTO.]:[AGRUP. VALOR. PTO.]]=$B33,IF(DATOS_[[Check Periodo Ref.]:[Check Periodo Ref.]]="Dentro",DATOS_[Conc.Sal.26]))))),
0)</f>
        <v>0</v>
      </c>
      <c r="AF34" s="93">
        <f t="array" ref="AF34">IFERROR(
AVERAGE((IF(DATOS_[[Sexo]:[Sexo]]=$B34,IF(DATOS_[[AGRUP. VALOR. PTO.]:[AGRUP. VALOR. PTO.]]=$B33,IF(DATOS_[[Check Periodo Ref.]:[Check Periodo Ref.]]="Dentro",DATOS_[Conc.Sal.27]))))),
0)</f>
        <v>0</v>
      </c>
      <c r="AG34" s="93">
        <f t="array" ref="AG34">IFERROR(
AVERAGE((IF(DATOS_[[Sexo]:[Sexo]]=$B34,IF(DATOS_[[AGRUP. VALOR. PTO.]:[AGRUP. VALOR. PTO.]]=$B33,IF(DATOS_[[Check Periodo Ref.]:[Check Periodo Ref.]]="Dentro",DATOS_[Conc.Sal.28]))))),
0)</f>
        <v>0</v>
      </c>
      <c r="AH34" s="93">
        <f t="array" ref="AH34">IFERROR(
AVERAGE((IF(DATOS_[[Sexo]:[Sexo]]=$B34,IF(DATOS_[[AGRUP. VALOR. PTO.]:[AGRUP. VALOR. PTO.]]=$B33,IF(DATOS_[[Check Periodo Ref.]:[Check Periodo Ref.]]="Dentro",DATOS_[Conc.Sal.29]))))),
0)</f>
        <v>0</v>
      </c>
      <c r="AI34" s="93">
        <f t="array" ref="AI34">IFERROR(
AVERAGE((IF(DATOS_[[Sexo]:[Sexo]]=$B34,IF(DATOS_[[AGRUP. VALOR. PTO.]:[AGRUP. VALOR. PTO.]]=$B33,IF(DATOS_[[Check Periodo Ref.]:[Check Periodo Ref.]]="Dentro",DATOS_[Conc.Sal.30]))))),
0)</f>
        <v>0</v>
      </c>
      <c r="AJ34" s="94">
        <f t="array" ref="AJ34">IFERROR(
AVERAGE(IF(DATOS_[Sexo]=$B34,IF(DATOS_[AGRUP. VALOR. PTO.]=$B33,IF(DATOS_[Check Periodo Ref.]="Dentro",DATOS_[Tot COMPL.SAL Ef],FALSE)))),
0)</f>
        <v>0</v>
      </c>
      <c r="AK34" s="96">
        <f t="array" ref="AK34">IFERROR(
AVERAGE(IF(DATOS_[Sexo]=$B34,IF(DATOS_[AGRUP. VALOR. PTO.]=$B33,IF(DATOS_[Check Periodo Ref.]="Dentro",DATOS_[TOTAL SALARIO Ef],FALSE)))),
0)</f>
        <v>0</v>
      </c>
      <c r="AL34" s="95">
        <f t="array" ref="AL34">IFERROR(
AVERAGE((IF(DATOS_[[Sexo]:[Sexo]]=$B34,IF(DATOS_[[AGRUP. VALOR. PTO.]:[AGRUP. VALOR. PTO.]]=$B33,IF(DATOS_[[Check Periodo Ref.]:[Check Periodo Ref.]]="Dentro",DATOS_[C.Extra.01]))))),
0)</f>
        <v>0</v>
      </c>
      <c r="AM34" s="95">
        <f t="array" ref="AM34">IFERROR(
AVERAGE((IF(DATOS_[[Sexo]:[Sexo]]=$B34,IF(DATOS_[[AGRUP. VALOR. PTO.]:[AGRUP. VALOR. PTO.]]=$B33,IF(DATOS_[[Check Periodo Ref.]:[Check Periodo Ref.]]="Dentro",DATOS_[C.Extra.02]))))),
0)</f>
        <v>0</v>
      </c>
      <c r="AN34" s="95">
        <f t="array" ref="AN34">IFERROR(
AVERAGE((IF(DATOS_[[Sexo]:[Sexo]]=$B34,IF(DATOS_[[AGRUP. VALOR. PTO.]:[AGRUP. VALOR. PTO.]]=$B33,IF(DATOS_[[Check Periodo Ref.]:[Check Periodo Ref.]]="Dentro",DATOS_[C.Extra.03]))))),
0)</f>
        <v>0</v>
      </c>
      <c r="AO34" s="95">
        <f t="array" ref="AO34">IFERROR(
AVERAGE((IF(DATOS_[[Sexo]:[Sexo]]=$B34,IF(DATOS_[[AGRUP. VALOR. PTO.]:[AGRUP. VALOR. PTO.]]=$B33,IF(DATOS_[[Check Periodo Ref.]:[Check Periodo Ref.]]="Dentro",DATOS_[C.Extra.04]))))),
0)</f>
        <v>0</v>
      </c>
      <c r="AP34" s="95">
        <f t="array" ref="AP34">IFERROR(
AVERAGE((IF(DATOS_[[Sexo]:[Sexo]]=$B34,IF(DATOS_[[AGRUP. VALOR. PTO.]:[AGRUP. VALOR. PTO.]]=$B33,IF(DATOS_[[Check Periodo Ref.]:[Check Periodo Ref.]]="Dentro",DATOS_[C.Extra.05]))))),
0)</f>
        <v>0</v>
      </c>
      <c r="AQ34" s="97">
        <f t="array" ref="AQ34">IFERROR(
AVERAGE(IF(DATOS_[Sexo]=$B34,IF(DATOS_[AGRUP. VALOR. PTO.]=$B33,IF(DATOS_[Check Periodo Ref.]="Dentro",DATOS_[Tot Extrasalarial Ef],FALSE)))),
0)</f>
        <v>0</v>
      </c>
      <c r="AR34" s="98">
        <f t="array" ref="AR34">IFERROR(
AVERAGE(IF(DATOS_[Sexo]=$B34,IF(DATOS_[AGRUP. VALOR. PTO.]=$B33,IF(DATOS_[Check Periodo Ref.]="Dentro",DATOS_[TOTAL Retrib Ef],FALSE)))),
0)</f>
        <v>0</v>
      </c>
    </row>
    <row r="35" spans="1:44" hidden="1" x14ac:dyDescent="0.3">
      <c r="A35" s="48" t="str">
        <f t="shared" ref="A35" si="30">+A34</f>
        <v>[ocultar]</v>
      </c>
      <c r="B35" s="46" t="s">
        <v>163</v>
      </c>
      <c r="C35" s="45">
        <f t="array" ref="C35">SUM(IF($B35=DATOS_[Sexo],
IF($B33=DATOS_[AGRUP. VALOR. PTO.],
IF("Dentro"=DATOS_[Check Periodo Ref.],
1/(COUNTIFS(DATOS_[Sexo],$B35,DATOS_[AGRUP. VALOR. PTO.],$B33,DATOS_[Check Periodo Ref.],"Dentro",DATOS_[id],DATOS_[id]))))))</f>
        <v>0</v>
      </c>
      <c r="D35" s="47">
        <f>COUNTIFS(DATOS_[AGRUP. VALOR. PTO.],$B33,DATOS_[Sexo],$B35,DATOS_[Check Periodo Ref.],"Dentro")</f>
        <v>0</v>
      </c>
      <c r="E35" s="92">
        <f t="array" ref="E35">IFERROR(
AVERAGE(IF(DATOS_[Sexo]=$B35,IF(DATOS_[AGRUP. VALOR. PTO.]=$B33,IF(DATOS_[Check Periodo Ref.]="Dentro",DATOS_[SALARIO BASE Ef],FALSE)))),
0)</f>
        <v>0</v>
      </c>
      <c r="F35" s="93">
        <f t="array" ref="F35">IFERROR(
AVERAGE((IF(DATOS_[[Sexo]:[Sexo]]=$B35,IF(DATOS_[[AGRUP. VALOR. PTO.]:[AGRUP. VALOR. PTO.]]=$B33,IF(DATOS_[[Check Periodo Ref.]:[Check Periodo Ref.]]="Dentro",DATOS_[Conc.Sal.01]))))),
0)</f>
        <v>0</v>
      </c>
      <c r="G35" s="93">
        <f t="array" ref="G35">IFERROR(
AVERAGE((IF(DATOS_[[Sexo]:[Sexo]]=$B35,IF(DATOS_[[AGRUP. VALOR. PTO.]:[AGRUP. VALOR. PTO.]]=$B33,IF(DATOS_[[Check Periodo Ref.]:[Check Periodo Ref.]]="Dentro",DATOS_[Conc.Sal.02]))))),
0)</f>
        <v>0</v>
      </c>
      <c r="H35" s="93">
        <f t="array" ref="H35">IFERROR(
AVERAGE((IF(DATOS_[[Sexo]:[Sexo]]=$B35,IF(DATOS_[[AGRUP. VALOR. PTO.]:[AGRUP. VALOR. PTO.]]=$B33,IF(DATOS_[[Check Periodo Ref.]:[Check Periodo Ref.]]="Dentro",DATOS_[Conc.Sal.03]))))),
0)</f>
        <v>0</v>
      </c>
      <c r="I35" s="93">
        <f t="array" ref="I35">IFERROR(
AVERAGE((IF(DATOS_[[Sexo]:[Sexo]]=$B35,IF(DATOS_[[AGRUP. VALOR. PTO.]:[AGRUP. VALOR. PTO.]]=$B33,IF(DATOS_[[Check Periodo Ref.]:[Check Periodo Ref.]]="Dentro",DATOS_[Conc.Sal.04]))))),
0)</f>
        <v>0</v>
      </c>
      <c r="J35" s="93">
        <f t="array" ref="J35">IFERROR(
AVERAGE((IF(DATOS_[[Sexo]:[Sexo]]=$B35,IF(DATOS_[[AGRUP. VALOR. PTO.]:[AGRUP. VALOR. PTO.]]=$B33,IF(DATOS_[[Check Periodo Ref.]:[Check Periodo Ref.]]="Dentro",DATOS_[Conc.Sal.05]))))),
0)</f>
        <v>0</v>
      </c>
      <c r="K35" s="93">
        <f t="array" ref="K35">IFERROR(
AVERAGE((IF(DATOS_[[Sexo]:[Sexo]]=$B35,IF(DATOS_[[AGRUP. VALOR. PTO.]:[AGRUP. VALOR. PTO.]]=$B33,IF(DATOS_[[Check Periodo Ref.]:[Check Periodo Ref.]]="Dentro",DATOS_[Conc.Sal.06]))))),
0)</f>
        <v>0</v>
      </c>
      <c r="L35" s="93">
        <f t="array" ref="L35">IFERROR(
AVERAGE((IF(DATOS_[[Sexo]:[Sexo]]=$B35,IF(DATOS_[[AGRUP. VALOR. PTO.]:[AGRUP. VALOR. PTO.]]=$B33,IF(DATOS_[[Check Periodo Ref.]:[Check Periodo Ref.]]="Dentro",DATOS_[Conc.Sal.07]))))),
0)</f>
        <v>0</v>
      </c>
      <c r="M35" s="93">
        <f t="array" ref="M35">IFERROR(
AVERAGE((IF(DATOS_[[Sexo]:[Sexo]]=$B35,IF(DATOS_[[AGRUP. VALOR. PTO.]:[AGRUP. VALOR. PTO.]]=$B33,IF(DATOS_[[Check Periodo Ref.]:[Check Periodo Ref.]]="Dentro",DATOS_[Conc.Sal.08]))))),
0)</f>
        <v>0</v>
      </c>
      <c r="N35" s="93">
        <f t="array" ref="N35">IFERROR(
AVERAGE((IF(DATOS_[[Sexo]:[Sexo]]=$B35,IF(DATOS_[[AGRUP. VALOR. PTO.]:[AGRUP. VALOR. PTO.]]=$B33,IF(DATOS_[[Check Periodo Ref.]:[Check Periodo Ref.]]="Dentro",DATOS_[Conc.Sal.09]))))),
0)</f>
        <v>0</v>
      </c>
      <c r="O35" s="93">
        <f t="array" ref="O35">IFERROR(
AVERAGE((IF(DATOS_[[Sexo]:[Sexo]]=$B35,IF(DATOS_[[AGRUP. VALOR. PTO.]:[AGRUP. VALOR. PTO.]]=$B33,IF(DATOS_[[Check Periodo Ref.]:[Check Periodo Ref.]]="Dentro",DATOS_[Conc.Sal.10]))))),
0)</f>
        <v>0</v>
      </c>
      <c r="P35" s="93">
        <f t="array" ref="P35">IFERROR(
AVERAGE((IF(DATOS_[[Sexo]:[Sexo]]=$B35,IF(DATOS_[[AGRUP. VALOR. PTO.]:[AGRUP. VALOR. PTO.]]=$B33,IF(DATOS_[[Check Periodo Ref.]:[Check Periodo Ref.]]="Dentro",DATOS_[Conc.Sal.11]))))),
0)</f>
        <v>0</v>
      </c>
      <c r="Q35" s="93">
        <f t="array" ref="Q35">IFERROR(
AVERAGE((IF(DATOS_[[Sexo]:[Sexo]]=$B35,IF(DATOS_[[AGRUP. VALOR. PTO.]:[AGRUP. VALOR. PTO.]]=$B33,IF(DATOS_[[Check Periodo Ref.]:[Check Periodo Ref.]]="Dentro",DATOS_[Conc.Sal.12]))))),
0)</f>
        <v>0</v>
      </c>
      <c r="R35" s="93">
        <f t="array" ref="R35">IFERROR(
AVERAGE((IF(DATOS_[[Sexo]:[Sexo]]=$B35,IF(DATOS_[[AGRUP. VALOR. PTO.]:[AGRUP. VALOR. PTO.]]=$B33,IF(DATOS_[[Check Periodo Ref.]:[Check Periodo Ref.]]="Dentro",DATOS_[Conc.Sal.13]))))),
0)</f>
        <v>0</v>
      </c>
      <c r="S35" s="93">
        <f t="array" ref="S35">IFERROR(
AVERAGE((IF(DATOS_[[Sexo]:[Sexo]]=$B35,IF(DATOS_[[AGRUP. VALOR. PTO.]:[AGRUP. VALOR. PTO.]]=$B33,IF(DATOS_[[Check Periodo Ref.]:[Check Periodo Ref.]]="Dentro",DATOS_[Conc.Sal.14]))))),
0)</f>
        <v>0</v>
      </c>
      <c r="T35" s="93">
        <f t="array" ref="T35">IFERROR(
AVERAGE((IF(DATOS_[[Sexo]:[Sexo]]=$B35,IF(DATOS_[[AGRUP. VALOR. PTO.]:[AGRUP. VALOR. PTO.]]=$B33,IF(DATOS_[[Check Periodo Ref.]:[Check Periodo Ref.]]="Dentro",DATOS_[Conc.Sal.15]))))),
0)</f>
        <v>0</v>
      </c>
      <c r="U35" s="93">
        <f t="array" ref="U35">IFERROR(
AVERAGE((IF(DATOS_[[Sexo]:[Sexo]]=$B35,IF(DATOS_[[AGRUP. VALOR. PTO.]:[AGRUP. VALOR. PTO.]]=$B33,IF(DATOS_[[Check Periodo Ref.]:[Check Periodo Ref.]]="Dentro",DATOS_[Conc.Sal.16]))))),
0)</f>
        <v>0</v>
      </c>
      <c r="V35" s="93">
        <f t="array" ref="V35">IFERROR(
AVERAGE((IF(DATOS_[[Sexo]:[Sexo]]=$B35,IF(DATOS_[[AGRUP. VALOR. PTO.]:[AGRUP. VALOR. PTO.]]=$B33,IF(DATOS_[[Check Periodo Ref.]:[Check Periodo Ref.]]="Dentro",DATOS_[Conc.Sal.17]))))),
0)</f>
        <v>0</v>
      </c>
      <c r="W35" s="93">
        <f t="array" ref="W35">IFERROR(
AVERAGE((IF(DATOS_[[Sexo]:[Sexo]]=$B35,IF(DATOS_[[AGRUP. VALOR. PTO.]:[AGRUP. VALOR. PTO.]]=$B33,IF(DATOS_[[Check Periodo Ref.]:[Check Periodo Ref.]]="Dentro",DATOS_[Conc.Sal.18]))))),
0)</f>
        <v>0</v>
      </c>
      <c r="X35" s="93">
        <f t="array" ref="X35">IFERROR(
AVERAGE((IF(DATOS_[[Sexo]:[Sexo]]=$B35,IF(DATOS_[[AGRUP. VALOR. PTO.]:[AGRUP. VALOR. PTO.]]=$B33,IF(DATOS_[[Check Periodo Ref.]:[Check Periodo Ref.]]="Dentro",DATOS_[Conc.Sal.19]))))),
0)</f>
        <v>0</v>
      </c>
      <c r="Y35" s="93">
        <f t="array" ref="Y35">IFERROR(
AVERAGE((IF(DATOS_[[Sexo]:[Sexo]]=$B35,IF(DATOS_[[AGRUP. VALOR. PTO.]:[AGRUP. VALOR. PTO.]]=$B33,IF(DATOS_[[Check Periodo Ref.]:[Check Periodo Ref.]]="Dentro",DATOS_[Conc.Sal.20]))))),
0)</f>
        <v>0</v>
      </c>
      <c r="Z35" s="93">
        <f t="array" ref="Z35">IFERROR(
AVERAGE((IF(DATOS_[[Sexo]:[Sexo]]=$B35,IF(DATOS_[[AGRUP. VALOR. PTO.]:[AGRUP. VALOR. PTO.]]=$B33,IF(DATOS_[[Check Periodo Ref.]:[Check Periodo Ref.]]="Dentro",DATOS_[Conc.Sal.21]))))),
0)</f>
        <v>0</v>
      </c>
      <c r="AA35" s="93">
        <f t="array" ref="AA35">IFERROR(
AVERAGE((IF(DATOS_[[Sexo]:[Sexo]]=$B35,IF(DATOS_[[AGRUP. VALOR. PTO.]:[AGRUP. VALOR. PTO.]]=$B33,IF(DATOS_[[Check Periodo Ref.]:[Check Periodo Ref.]]="Dentro",DATOS_[Conc.Sal.22]))))),
0)</f>
        <v>0</v>
      </c>
      <c r="AB35" s="93">
        <f t="array" ref="AB35">IFERROR(
AVERAGE((IF(DATOS_[[Sexo]:[Sexo]]=$B35,IF(DATOS_[[AGRUP. VALOR. PTO.]:[AGRUP. VALOR. PTO.]]=$B33,IF(DATOS_[[Check Periodo Ref.]:[Check Periodo Ref.]]="Dentro",DATOS_[Conc.Sal.23]))))),
0)</f>
        <v>0</v>
      </c>
      <c r="AC35" s="93">
        <f t="array" ref="AC35">IFERROR(
AVERAGE((IF(DATOS_[[Sexo]:[Sexo]]=$B35,IF(DATOS_[[AGRUP. VALOR. PTO.]:[AGRUP. VALOR. PTO.]]=$B33,IF(DATOS_[[Check Periodo Ref.]:[Check Periodo Ref.]]="Dentro",DATOS_[Conc.Sal.24]))))),
0)</f>
        <v>0</v>
      </c>
      <c r="AD35" s="93">
        <f t="array" ref="AD35">IFERROR(
AVERAGE((IF(DATOS_[[Sexo]:[Sexo]]=$B35,IF(DATOS_[[AGRUP. VALOR. PTO.]:[AGRUP. VALOR. PTO.]]=$B33,IF(DATOS_[[Check Periodo Ref.]:[Check Periodo Ref.]]="Dentro",DATOS_[Conc.Sal.25]))))),
0)</f>
        <v>0</v>
      </c>
      <c r="AE35" s="93">
        <f t="array" ref="AE35">IFERROR(
AVERAGE((IF(DATOS_[[Sexo]:[Sexo]]=$B35,IF(DATOS_[[AGRUP. VALOR. PTO.]:[AGRUP. VALOR. PTO.]]=$B33,IF(DATOS_[[Check Periodo Ref.]:[Check Periodo Ref.]]="Dentro",DATOS_[Conc.Sal.26]))))),
0)</f>
        <v>0</v>
      </c>
      <c r="AF35" s="93">
        <f t="array" ref="AF35">IFERROR(
AVERAGE((IF(DATOS_[[Sexo]:[Sexo]]=$B35,IF(DATOS_[[AGRUP. VALOR. PTO.]:[AGRUP. VALOR. PTO.]]=$B33,IF(DATOS_[[Check Periodo Ref.]:[Check Periodo Ref.]]="Dentro",DATOS_[Conc.Sal.27]))))),
0)</f>
        <v>0</v>
      </c>
      <c r="AG35" s="93">
        <f t="array" ref="AG35">IFERROR(
AVERAGE((IF(DATOS_[[Sexo]:[Sexo]]=$B35,IF(DATOS_[[AGRUP. VALOR. PTO.]:[AGRUP. VALOR. PTO.]]=$B33,IF(DATOS_[[Check Periodo Ref.]:[Check Periodo Ref.]]="Dentro",DATOS_[Conc.Sal.28]))))),
0)</f>
        <v>0</v>
      </c>
      <c r="AH35" s="93">
        <f t="array" ref="AH35">IFERROR(
AVERAGE((IF(DATOS_[[Sexo]:[Sexo]]=$B35,IF(DATOS_[[AGRUP. VALOR. PTO.]:[AGRUP. VALOR. PTO.]]=$B33,IF(DATOS_[[Check Periodo Ref.]:[Check Periodo Ref.]]="Dentro",DATOS_[Conc.Sal.29]))))),
0)</f>
        <v>0</v>
      </c>
      <c r="AI35" s="93">
        <f t="array" ref="AI35">IFERROR(
AVERAGE((IF(DATOS_[[Sexo]:[Sexo]]=$B35,IF(DATOS_[[AGRUP. VALOR. PTO.]:[AGRUP. VALOR. PTO.]]=$B33,IF(DATOS_[[Check Periodo Ref.]:[Check Periodo Ref.]]="Dentro",DATOS_[Conc.Sal.30]))))),
0)</f>
        <v>0</v>
      </c>
      <c r="AJ35" s="94">
        <f t="array" ref="AJ35">IFERROR(
AVERAGE(IF(DATOS_[Sexo]=$B35,IF(DATOS_[AGRUP. VALOR. PTO.]=$B33,IF(DATOS_[Check Periodo Ref.]="Dentro",DATOS_[Tot COMPL.SAL Ef],FALSE)))),
0)</f>
        <v>0</v>
      </c>
      <c r="AK35" s="96">
        <f t="array" ref="AK35">IFERROR(
AVERAGE(IF(DATOS_[Sexo]=$B35,IF(DATOS_[AGRUP. VALOR. PTO.]=$B33,IF(DATOS_[Check Periodo Ref.]="Dentro",DATOS_[TOTAL SALARIO Ef],FALSE)))),
0)</f>
        <v>0</v>
      </c>
      <c r="AL35" s="95">
        <f t="array" ref="AL35">IFERROR(
AVERAGE((IF(DATOS_[[Sexo]:[Sexo]]=$B35,IF(DATOS_[[AGRUP. VALOR. PTO.]:[AGRUP. VALOR. PTO.]]=$B33,IF(DATOS_[[Check Periodo Ref.]:[Check Periodo Ref.]]="Dentro",DATOS_[C.Extra.01]))))),
0)</f>
        <v>0</v>
      </c>
      <c r="AM35" s="95">
        <f t="array" ref="AM35">IFERROR(
AVERAGE((IF(DATOS_[[Sexo]:[Sexo]]=$B35,IF(DATOS_[[AGRUP. VALOR. PTO.]:[AGRUP. VALOR. PTO.]]=$B33,IF(DATOS_[[Check Periodo Ref.]:[Check Periodo Ref.]]="Dentro",DATOS_[C.Extra.02]))))),
0)</f>
        <v>0</v>
      </c>
      <c r="AN35" s="95">
        <f t="array" ref="AN35">IFERROR(
AVERAGE((IF(DATOS_[[Sexo]:[Sexo]]=$B35,IF(DATOS_[[AGRUP. VALOR. PTO.]:[AGRUP. VALOR. PTO.]]=$B33,IF(DATOS_[[Check Periodo Ref.]:[Check Periodo Ref.]]="Dentro",DATOS_[C.Extra.03]))))),
0)</f>
        <v>0</v>
      </c>
      <c r="AO35" s="95">
        <f t="array" ref="AO35">IFERROR(
AVERAGE((IF(DATOS_[[Sexo]:[Sexo]]=$B35,IF(DATOS_[[AGRUP. VALOR. PTO.]:[AGRUP. VALOR. PTO.]]=$B33,IF(DATOS_[[Check Periodo Ref.]:[Check Periodo Ref.]]="Dentro",DATOS_[C.Extra.04]))))),
0)</f>
        <v>0</v>
      </c>
      <c r="AP35" s="95">
        <f t="array" ref="AP35">IFERROR(
AVERAGE((IF(DATOS_[[Sexo]:[Sexo]]=$B35,IF(DATOS_[[AGRUP. VALOR. PTO.]:[AGRUP. VALOR. PTO.]]=$B33,IF(DATOS_[[Check Periodo Ref.]:[Check Periodo Ref.]]="Dentro",DATOS_[C.Extra.05]))))),
0)</f>
        <v>0</v>
      </c>
      <c r="AQ35" s="97">
        <f t="array" ref="AQ35">IFERROR(
AVERAGE(IF(DATOS_[Sexo]=$B35,IF(DATOS_[AGRUP. VALOR. PTO.]=$B33,IF(DATOS_[Check Periodo Ref.]="Dentro",DATOS_[Tot Extrasalarial Ef],FALSE)))),
0)</f>
        <v>0</v>
      </c>
      <c r="AR35" s="98">
        <f t="array" ref="AR35">IFERROR(
AVERAGE(IF(DATOS_[Sexo]=$B35,IF(DATOS_[AGRUP. VALOR. PTO.]=$B33,IF(DATOS_[Check Periodo Ref.]="Dentro",DATOS_[TOTAL Retrib Ef],FALSE)))),
0)</f>
        <v>0</v>
      </c>
    </row>
    <row r="36" spans="1:44" ht="17.25" hidden="1" thickBot="1" x14ac:dyDescent="0.35">
      <c r="A36" s="48" t="str">
        <f t="shared" ref="A36" si="31">+A37</f>
        <v>[ocultar]</v>
      </c>
      <c r="B36" s="51" t="s">
        <v>302</v>
      </c>
      <c r="C36" s="91"/>
      <c r="D36" s="52"/>
      <c r="E36" s="139" t="str">
        <f t="shared" ref="E36:AR36" si="32">IFERROR((E37-E38)/E37,"")</f>
        <v/>
      </c>
      <c r="F36" s="179" t="str">
        <f t="shared" si="32"/>
        <v/>
      </c>
      <c r="G36" s="180" t="str">
        <f t="shared" si="32"/>
        <v/>
      </c>
      <c r="H36" s="180" t="str">
        <f t="shared" si="32"/>
        <v/>
      </c>
      <c r="I36" s="180" t="str">
        <f t="shared" si="32"/>
        <v/>
      </c>
      <c r="J36" s="181" t="str">
        <f t="shared" si="32"/>
        <v/>
      </c>
      <c r="K36" s="182" t="str">
        <f t="shared" si="32"/>
        <v/>
      </c>
      <c r="L36" s="182" t="str">
        <f t="shared" si="32"/>
        <v/>
      </c>
      <c r="M36" s="182" t="str">
        <f t="shared" si="32"/>
        <v/>
      </c>
      <c r="N36" s="182" t="str">
        <f t="shared" si="32"/>
        <v/>
      </c>
      <c r="O36" s="182" t="str">
        <f t="shared" si="32"/>
        <v/>
      </c>
      <c r="P36" s="182" t="str">
        <f t="shared" si="32"/>
        <v/>
      </c>
      <c r="Q36" s="182" t="str">
        <f t="shared" si="32"/>
        <v/>
      </c>
      <c r="R36" s="182" t="str">
        <f t="shared" si="32"/>
        <v/>
      </c>
      <c r="S36" s="182" t="str">
        <f t="shared" si="32"/>
        <v/>
      </c>
      <c r="T36" s="182" t="str">
        <f t="shared" si="32"/>
        <v/>
      </c>
      <c r="U36" s="182" t="str">
        <f t="shared" si="32"/>
        <v/>
      </c>
      <c r="V36" s="181" t="str">
        <f t="shared" si="32"/>
        <v/>
      </c>
      <c r="W36" s="181" t="str">
        <f t="shared" si="32"/>
        <v/>
      </c>
      <c r="X36" s="181" t="str">
        <f t="shared" si="32"/>
        <v/>
      </c>
      <c r="Y36" s="181" t="str">
        <f t="shared" si="32"/>
        <v/>
      </c>
      <c r="Z36" s="181" t="str">
        <f t="shared" si="32"/>
        <v/>
      </c>
      <c r="AA36" s="181" t="str">
        <f t="shared" si="32"/>
        <v/>
      </c>
      <c r="AB36" s="181" t="str">
        <f t="shared" si="32"/>
        <v/>
      </c>
      <c r="AC36" s="181" t="str">
        <f t="shared" si="32"/>
        <v/>
      </c>
      <c r="AD36" s="181" t="str">
        <f t="shared" si="32"/>
        <v/>
      </c>
      <c r="AE36" s="181" t="str">
        <f t="shared" si="32"/>
        <v/>
      </c>
      <c r="AF36" s="181" t="str">
        <f t="shared" si="32"/>
        <v/>
      </c>
      <c r="AG36" s="181" t="str">
        <f t="shared" si="32"/>
        <v/>
      </c>
      <c r="AH36" s="181" t="str">
        <f t="shared" si="32"/>
        <v/>
      </c>
      <c r="AI36" s="181" t="str">
        <f t="shared" si="32"/>
        <v/>
      </c>
      <c r="AJ36" s="140" t="str">
        <f t="shared" si="32"/>
        <v/>
      </c>
      <c r="AK36" s="143" t="str">
        <f t="shared" si="32"/>
        <v/>
      </c>
      <c r="AL36" s="184" t="str">
        <f t="shared" si="32"/>
        <v/>
      </c>
      <c r="AM36" s="184" t="str">
        <f t="shared" si="32"/>
        <v/>
      </c>
      <c r="AN36" s="184" t="str">
        <f t="shared" si="32"/>
        <v/>
      </c>
      <c r="AO36" s="184" t="str">
        <f t="shared" si="32"/>
        <v/>
      </c>
      <c r="AP36" s="184" t="str">
        <f t="shared" si="32"/>
        <v/>
      </c>
      <c r="AQ36" s="141" t="str">
        <f t="shared" si="32"/>
        <v/>
      </c>
      <c r="AR36" s="142" t="str">
        <f t="shared" si="32"/>
        <v/>
      </c>
    </row>
    <row r="37" spans="1:44" hidden="1" x14ac:dyDescent="0.3">
      <c r="A37" s="48" t="str">
        <f t="shared" ref="A37" si="33">+IF(C37+C38=0,"[ocultar]","")</f>
        <v>[ocultar]</v>
      </c>
      <c r="B37" s="46" t="s">
        <v>162</v>
      </c>
      <c r="C37" s="45">
        <f t="array" ref="C37">SUM(IF($B37=DATOS_[Sexo],
IF($B36=DATOS_[AGRUP. VALOR. PTO.],
IF("Dentro"=DATOS_[Check Periodo Ref.],
1/(COUNTIFS(DATOS_[Sexo],$B37,DATOS_[AGRUP. VALOR. PTO.],$B36,DATOS_[Check Periodo Ref.],"Dentro",DATOS_[id],DATOS_[id]))))))</f>
        <v>0</v>
      </c>
      <c r="D37" s="47">
        <f>COUNTIFS(DATOS_[AGRUP. VALOR. PTO.],$B36,DATOS_[Sexo],$B37,DATOS_[Check Periodo Ref.],"Dentro")</f>
        <v>0</v>
      </c>
      <c r="E37" s="92">
        <f t="array" ref="E37">IFERROR(
AVERAGE(IF(DATOS_[Sexo]=$B37,IF(DATOS_[AGRUP. VALOR. PTO.]=$B36,IF(DATOS_[Check Periodo Ref.]="Dentro",DATOS_[SALARIO BASE Ef],FALSE)))),
0)</f>
        <v>0</v>
      </c>
      <c r="F37" s="93">
        <f t="array" ref="F37">IFERROR(
AVERAGE((IF(DATOS_[[Sexo]:[Sexo]]=$B37,IF(DATOS_[[AGRUP. VALOR. PTO.]:[AGRUP. VALOR. PTO.]]=$B36,IF(DATOS_[[Check Periodo Ref.]:[Check Periodo Ref.]]="Dentro",DATOS_[Conc.Sal.01]))))),
0)</f>
        <v>0</v>
      </c>
      <c r="G37" s="93">
        <f t="array" ref="G37">IFERROR(
AVERAGE((IF(DATOS_[[Sexo]:[Sexo]]=$B37,IF(DATOS_[[AGRUP. VALOR. PTO.]:[AGRUP. VALOR. PTO.]]=$B36,IF(DATOS_[[Check Periodo Ref.]:[Check Periodo Ref.]]="Dentro",DATOS_[Conc.Sal.02]))))),
0)</f>
        <v>0</v>
      </c>
      <c r="H37" s="93">
        <f t="array" ref="H37">IFERROR(
AVERAGE((IF(DATOS_[[Sexo]:[Sexo]]=$B37,IF(DATOS_[[AGRUP. VALOR. PTO.]:[AGRUP. VALOR. PTO.]]=$B36,IF(DATOS_[[Check Periodo Ref.]:[Check Periodo Ref.]]="Dentro",DATOS_[Conc.Sal.03]))))),
0)</f>
        <v>0</v>
      </c>
      <c r="I37" s="93">
        <f t="array" ref="I37">IFERROR(
AVERAGE((IF(DATOS_[[Sexo]:[Sexo]]=$B37,IF(DATOS_[[AGRUP. VALOR. PTO.]:[AGRUP. VALOR. PTO.]]=$B36,IF(DATOS_[[Check Periodo Ref.]:[Check Periodo Ref.]]="Dentro",DATOS_[Conc.Sal.04]))))),
0)</f>
        <v>0</v>
      </c>
      <c r="J37" s="93">
        <f t="array" ref="J37">IFERROR(
AVERAGE((IF(DATOS_[[Sexo]:[Sexo]]=$B37,IF(DATOS_[[AGRUP. VALOR. PTO.]:[AGRUP. VALOR. PTO.]]=$B36,IF(DATOS_[[Check Periodo Ref.]:[Check Periodo Ref.]]="Dentro",DATOS_[Conc.Sal.05]))))),
0)</f>
        <v>0</v>
      </c>
      <c r="K37" s="93">
        <f t="array" ref="K37">IFERROR(
AVERAGE((IF(DATOS_[[Sexo]:[Sexo]]=$B37,IF(DATOS_[[AGRUP. VALOR. PTO.]:[AGRUP. VALOR. PTO.]]=$B36,IF(DATOS_[[Check Periodo Ref.]:[Check Periodo Ref.]]="Dentro",DATOS_[Conc.Sal.06]))))),
0)</f>
        <v>0</v>
      </c>
      <c r="L37" s="93">
        <f t="array" ref="L37">IFERROR(
AVERAGE((IF(DATOS_[[Sexo]:[Sexo]]=$B37,IF(DATOS_[[AGRUP. VALOR. PTO.]:[AGRUP. VALOR. PTO.]]=$B36,IF(DATOS_[[Check Periodo Ref.]:[Check Periodo Ref.]]="Dentro",DATOS_[Conc.Sal.07]))))),
0)</f>
        <v>0</v>
      </c>
      <c r="M37" s="93">
        <f t="array" ref="M37">IFERROR(
AVERAGE((IF(DATOS_[[Sexo]:[Sexo]]=$B37,IF(DATOS_[[AGRUP. VALOR. PTO.]:[AGRUP. VALOR. PTO.]]=$B36,IF(DATOS_[[Check Periodo Ref.]:[Check Periodo Ref.]]="Dentro",DATOS_[Conc.Sal.08]))))),
0)</f>
        <v>0</v>
      </c>
      <c r="N37" s="93">
        <f t="array" ref="N37">IFERROR(
AVERAGE((IF(DATOS_[[Sexo]:[Sexo]]=$B37,IF(DATOS_[[AGRUP. VALOR. PTO.]:[AGRUP. VALOR. PTO.]]=$B36,IF(DATOS_[[Check Periodo Ref.]:[Check Periodo Ref.]]="Dentro",DATOS_[Conc.Sal.09]))))),
0)</f>
        <v>0</v>
      </c>
      <c r="O37" s="93">
        <f t="array" ref="O37">IFERROR(
AVERAGE((IF(DATOS_[[Sexo]:[Sexo]]=$B37,IF(DATOS_[[AGRUP. VALOR. PTO.]:[AGRUP. VALOR. PTO.]]=$B36,IF(DATOS_[[Check Periodo Ref.]:[Check Periodo Ref.]]="Dentro",DATOS_[Conc.Sal.10]))))),
0)</f>
        <v>0</v>
      </c>
      <c r="P37" s="93">
        <f t="array" ref="P37">IFERROR(
AVERAGE((IF(DATOS_[[Sexo]:[Sexo]]=$B37,IF(DATOS_[[AGRUP. VALOR. PTO.]:[AGRUP. VALOR. PTO.]]=$B36,IF(DATOS_[[Check Periodo Ref.]:[Check Periodo Ref.]]="Dentro",DATOS_[Conc.Sal.11]))))),
0)</f>
        <v>0</v>
      </c>
      <c r="Q37" s="93">
        <f t="array" ref="Q37">IFERROR(
AVERAGE((IF(DATOS_[[Sexo]:[Sexo]]=$B37,IF(DATOS_[[AGRUP. VALOR. PTO.]:[AGRUP. VALOR. PTO.]]=$B36,IF(DATOS_[[Check Periodo Ref.]:[Check Periodo Ref.]]="Dentro",DATOS_[Conc.Sal.12]))))),
0)</f>
        <v>0</v>
      </c>
      <c r="R37" s="93">
        <f t="array" ref="R37">IFERROR(
AVERAGE((IF(DATOS_[[Sexo]:[Sexo]]=$B37,IF(DATOS_[[AGRUP. VALOR. PTO.]:[AGRUP. VALOR. PTO.]]=$B36,IF(DATOS_[[Check Periodo Ref.]:[Check Periodo Ref.]]="Dentro",DATOS_[Conc.Sal.13]))))),
0)</f>
        <v>0</v>
      </c>
      <c r="S37" s="93">
        <f t="array" ref="S37">IFERROR(
AVERAGE((IF(DATOS_[[Sexo]:[Sexo]]=$B37,IF(DATOS_[[AGRUP. VALOR. PTO.]:[AGRUP. VALOR. PTO.]]=$B36,IF(DATOS_[[Check Periodo Ref.]:[Check Periodo Ref.]]="Dentro",DATOS_[Conc.Sal.14]))))),
0)</f>
        <v>0</v>
      </c>
      <c r="T37" s="93">
        <f t="array" ref="T37">IFERROR(
AVERAGE((IF(DATOS_[[Sexo]:[Sexo]]=$B37,IF(DATOS_[[AGRUP. VALOR. PTO.]:[AGRUP. VALOR. PTO.]]=$B36,IF(DATOS_[[Check Periodo Ref.]:[Check Periodo Ref.]]="Dentro",DATOS_[Conc.Sal.15]))))),
0)</f>
        <v>0</v>
      </c>
      <c r="U37" s="93">
        <f t="array" ref="U37">IFERROR(
AVERAGE((IF(DATOS_[[Sexo]:[Sexo]]=$B37,IF(DATOS_[[AGRUP. VALOR. PTO.]:[AGRUP. VALOR. PTO.]]=$B36,IF(DATOS_[[Check Periodo Ref.]:[Check Periodo Ref.]]="Dentro",DATOS_[Conc.Sal.16]))))),
0)</f>
        <v>0</v>
      </c>
      <c r="V37" s="93">
        <f t="array" ref="V37">IFERROR(
AVERAGE((IF(DATOS_[[Sexo]:[Sexo]]=$B37,IF(DATOS_[[AGRUP. VALOR. PTO.]:[AGRUP. VALOR. PTO.]]=$B36,IF(DATOS_[[Check Periodo Ref.]:[Check Periodo Ref.]]="Dentro",DATOS_[Conc.Sal.17]))))),
0)</f>
        <v>0</v>
      </c>
      <c r="W37" s="93">
        <f t="array" ref="W37">IFERROR(
AVERAGE((IF(DATOS_[[Sexo]:[Sexo]]=$B37,IF(DATOS_[[AGRUP. VALOR. PTO.]:[AGRUP. VALOR. PTO.]]=$B36,IF(DATOS_[[Check Periodo Ref.]:[Check Periodo Ref.]]="Dentro",DATOS_[Conc.Sal.18]))))),
0)</f>
        <v>0</v>
      </c>
      <c r="X37" s="93">
        <f t="array" ref="X37">IFERROR(
AVERAGE((IF(DATOS_[[Sexo]:[Sexo]]=$B37,IF(DATOS_[[AGRUP. VALOR. PTO.]:[AGRUP. VALOR. PTO.]]=$B36,IF(DATOS_[[Check Periodo Ref.]:[Check Periodo Ref.]]="Dentro",DATOS_[Conc.Sal.19]))))),
0)</f>
        <v>0</v>
      </c>
      <c r="Y37" s="93">
        <f t="array" ref="Y37">IFERROR(
AVERAGE((IF(DATOS_[[Sexo]:[Sexo]]=$B37,IF(DATOS_[[AGRUP. VALOR. PTO.]:[AGRUP. VALOR. PTO.]]=$B36,IF(DATOS_[[Check Periodo Ref.]:[Check Periodo Ref.]]="Dentro",DATOS_[Conc.Sal.20]))))),
0)</f>
        <v>0</v>
      </c>
      <c r="Z37" s="93">
        <f t="array" ref="Z37">IFERROR(
AVERAGE((IF(DATOS_[[Sexo]:[Sexo]]=$B37,IF(DATOS_[[AGRUP. VALOR. PTO.]:[AGRUP. VALOR. PTO.]]=$B36,IF(DATOS_[[Check Periodo Ref.]:[Check Periodo Ref.]]="Dentro",DATOS_[Conc.Sal.21]))))),
0)</f>
        <v>0</v>
      </c>
      <c r="AA37" s="93">
        <f t="array" ref="AA37">IFERROR(
AVERAGE((IF(DATOS_[[Sexo]:[Sexo]]=$B37,IF(DATOS_[[AGRUP. VALOR. PTO.]:[AGRUP. VALOR. PTO.]]=$B36,IF(DATOS_[[Check Periodo Ref.]:[Check Periodo Ref.]]="Dentro",DATOS_[Conc.Sal.22]))))),
0)</f>
        <v>0</v>
      </c>
      <c r="AB37" s="93">
        <f t="array" ref="AB37">IFERROR(
AVERAGE((IF(DATOS_[[Sexo]:[Sexo]]=$B37,IF(DATOS_[[AGRUP. VALOR. PTO.]:[AGRUP. VALOR. PTO.]]=$B36,IF(DATOS_[[Check Periodo Ref.]:[Check Periodo Ref.]]="Dentro",DATOS_[Conc.Sal.23]))))),
0)</f>
        <v>0</v>
      </c>
      <c r="AC37" s="93">
        <f t="array" ref="AC37">IFERROR(
AVERAGE((IF(DATOS_[[Sexo]:[Sexo]]=$B37,IF(DATOS_[[AGRUP. VALOR. PTO.]:[AGRUP. VALOR. PTO.]]=$B36,IF(DATOS_[[Check Periodo Ref.]:[Check Periodo Ref.]]="Dentro",DATOS_[Conc.Sal.24]))))),
0)</f>
        <v>0</v>
      </c>
      <c r="AD37" s="93">
        <f t="array" ref="AD37">IFERROR(
AVERAGE((IF(DATOS_[[Sexo]:[Sexo]]=$B37,IF(DATOS_[[AGRUP. VALOR. PTO.]:[AGRUP. VALOR. PTO.]]=$B36,IF(DATOS_[[Check Periodo Ref.]:[Check Periodo Ref.]]="Dentro",DATOS_[Conc.Sal.25]))))),
0)</f>
        <v>0</v>
      </c>
      <c r="AE37" s="93">
        <f t="array" ref="AE37">IFERROR(
AVERAGE((IF(DATOS_[[Sexo]:[Sexo]]=$B37,IF(DATOS_[[AGRUP. VALOR. PTO.]:[AGRUP. VALOR. PTO.]]=$B36,IF(DATOS_[[Check Periodo Ref.]:[Check Periodo Ref.]]="Dentro",DATOS_[Conc.Sal.26]))))),
0)</f>
        <v>0</v>
      </c>
      <c r="AF37" s="93">
        <f t="array" ref="AF37">IFERROR(
AVERAGE((IF(DATOS_[[Sexo]:[Sexo]]=$B37,IF(DATOS_[[AGRUP. VALOR. PTO.]:[AGRUP. VALOR. PTO.]]=$B36,IF(DATOS_[[Check Periodo Ref.]:[Check Periodo Ref.]]="Dentro",DATOS_[Conc.Sal.27]))))),
0)</f>
        <v>0</v>
      </c>
      <c r="AG37" s="93">
        <f t="array" ref="AG37">IFERROR(
AVERAGE((IF(DATOS_[[Sexo]:[Sexo]]=$B37,IF(DATOS_[[AGRUP. VALOR. PTO.]:[AGRUP. VALOR. PTO.]]=$B36,IF(DATOS_[[Check Periodo Ref.]:[Check Periodo Ref.]]="Dentro",DATOS_[Conc.Sal.28]))))),
0)</f>
        <v>0</v>
      </c>
      <c r="AH37" s="93">
        <f t="array" ref="AH37">IFERROR(
AVERAGE((IF(DATOS_[[Sexo]:[Sexo]]=$B37,IF(DATOS_[[AGRUP. VALOR. PTO.]:[AGRUP. VALOR. PTO.]]=$B36,IF(DATOS_[[Check Periodo Ref.]:[Check Periodo Ref.]]="Dentro",DATOS_[Conc.Sal.29]))))),
0)</f>
        <v>0</v>
      </c>
      <c r="AI37" s="93">
        <f t="array" ref="AI37">IFERROR(
AVERAGE((IF(DATOS_[[Sexo]:[Sexo]]=$B37,IF(DATOS_[[AGRUP. VALOR. PTO.]:[AGRUP. VALOR. PTO.]]=$B36,IF(DATOS_[[Check Periodo Ref.]:[Check Periodo Ref.]]="Dentro",DATOS_[Conc.Sal.30]))))),
0)</f>
        <v>0</v>
      </c>
      <c r="AJ37" s="94">
        <f t="array" ref="AJ37">IFERROR(
AVERAGE(IF(DATOS_[Sexo]=$B37,IF(DATOS_[AGRUP. VALOR. PTO.]=$B36,IF(DATOS_[Check Periodo Ref.]="Dentro",DATOS_[Tot COMPL.SAL Ef],FALSE)))),
0)</f>
        <v>0</v>
      </c>
      <c r="AK37" s="96">
        <f t="array" ref="AK37">IFERROR(
AVERAGE(IF(DATOS_[Sexo]=$B37,IF(DATOS_[AGRUP. VALOR. PTO.]=$B36,IF(DATOS_[Check Periodo Ref.]="Dentro",DATOS_[TOTAL SALARIO Ef],FALSE)))),
0)</f>
        <v>0</v>
      </c>
      <c r="AL37" s="95">
        <f t="array" ref="AL37">IFERROR(
AVERAGE((IF(DATOS_[[Sexo]:[Sexo]]=$B37,IF(DATOS_[[AGRUP. VALOR. PTO.]:[AGRUP. VALOR. PTO.]]=$B36,IF(DATOS_[[Check Periodo Ref.]:[Check Periodo Ref.]]="Dentro",DATOS_[C.Extra.01]))))),
0)</f>
        <v>0</v>
      </c>
      <c r="AM37" s="95">
        <f t="array" ref="AM37">IFERROR(
AVERAGE((IF(DATOS_[[Sexo]:[Sexo]]=$B37,IF(DATOS_[[AGRUP. VALOR. PTO.]:[AGRUP. VALOR. PTO.]]=$B36,IF(DATOS_[[Check Periodo Ref.]:[Check Periodo Ref.]]="Dentro",DATOS_[C.Extra.02]))))),
0)</f>
        <v>0</v>
      </c>
      <c r="AN37" s="95">
        <f t="array" ref="AN37">IFERROR(
AVERAGE((IF(DATOS_[[Sexo]:[Sexo]]=$B37,IF(DATOS_[[AGRUP. VALOR. PTO.]:[AGRUP. VALOR. PTO.]]=$B36,IF(DATOS_[[Check Periodo Ref.]:[Check Periodo Ref.]]="Dentro",DATOS_[C.Extra.03]))))),
0)</f>
        <v>0</v>
      </c>
      <c r="AO37" s="95">
        <f t="array" ref="AO37">IFERROR(
AVERAGE((IF(DATOS_[[Sexo]:[Sexo]]=$B37,IF(DATOS_[[AGRUP. VALOR. PTO.]:[AGRUP. VALOR. PTO.]]=$B36,IF(DATOS_[[Check Periodo Ref.]:[Check Periodo Ref.]]="Dentro",DATOS_[C.Extra.04]))))),
0)</f>
        <v>0</v>
      </c>
      <c r="AP37" s="95">
        <f t="array" ref="AP37">IFERROR(
AVERAGE((IF(DATOS_[[Sexo]:[Sexo]]=$B37,IF(DATOS_[[AGRUP. VALOR. PTO.]:[AGRUP. VALOR. PTO.]]=$B36,IF(DATOS_[[Check Periodo Ref.]:[Check Periodo Ref.]]="Dentro",DATOS_[C.Extra.05]))))),
0)</f>
        <v>0</v>
      </c>
      <c r="AQ37" s="97">
        <f t="array" ref="AQ37">IFERROR(
AVERAGE(IF(DATOS_[Sexo]=$B37,IF(DATOS_[AGRUP. VALOR. PTO.]=$B36,IF(DATOS_[Check Periodo Ref.]="Dentro",DATOS_[Tot Extrasalarial Ef],FALSE)))),
0)</f>
        <v>0</v>
      </c>
      <c r="AR37" s="98">
        <f t="array" ref="AR37">IFERROR(
AVERAGE(IF(DATOS_[Sexo]=$B37,IF(DATOS_[AGRUP. VALOR. PTO.]=$B36,IF(DATOS_[Check Periodo Ref.]="Dentro",DATOS_[TOTAL Retrib Ef],FALSE)))),
0)</f>
        <v>0</v>
      </c>
    </row>
    <row r="38" spans="1:44" hidden="1" x14ac:dyDescent="0.3">
      <c r="A38" s="48" t="str">
        <f t="shared" ref="A38" si="34">+A37</f>
        <v>[ocultar]</v>
      </c>
      <c r="B38" s="46" t="s">
        <v>163</v>
      </c>
      <c r="C38" s="45">
        <f t="array" ref="C38">SUM(IF($B38=DATOS_[Sexo],
IF($B36=DATOS_[AGRUP. VALOR. PTO.],
IF("Dentro"=DATOS_[Check Periodo Ref.],
1/(COUNTIFS(DATOS_[Sexo],$B38,DATOS_[AGRUP. VALOR. PTO.],$B36,DATOS_[Check Periodo Ref.],"Dentro",DATOS_[id],DATOS_[id]))))))</f>
        <v>0</v>
      </c>
      <c r="D38" s="47">
        <f>COUNTIFS(DATOS_[AGRUP. VALOR. PTO.],$B36,DATOS_[Sexo],$B38,DATOS_[Check Periodo Ref.],"Dentro")</f>
        <v>0</v>
      </c>
      <c r="E38" s="92">
        <f t="array" ref="E38">IFERROR(
AVERAGE(IF(DATOS_[Sexo]=$B38,IF(DATOS_[AGRUP. VALOR. PTO.]=$B36,IF(DATOS_[Check Periodo Ref.]="Dentro",DATOS_[SALARIO BASE Ef],FALSE)))),
0)</f>
        <v>0</v>
      </c>
      <c r="F38" s="93">
        <f t="array" ref="F38">IFERROR(
AVERAGE((IF(DATOS_[[Sexo]:[Sexo]]=$B38,IF(DATOS_[[AGRUP. VALOR. PTO.]:[AGRUP. VALOR. PTO.]]=$B36,IF(DATOS_[[Check Periodo Ref.]:[Check Periodo Ref.]]="Dentro",DATOS_[Conc.Sal.01]))))),
0)</f>
        <v>0</v>
      </c>
      <c r="G38" s="93">
        <f t="array" ref="G38">IFERROR(
AVERAGE((IF(DATOS_[[Sexo]:[Sexo]]=$B38,IF(DATOS_[[AGRUP. VALOR. PTO.]:[AGRUP. VALOR. PTO.]]=$B36,IF(DATOS_[[Check Periodo Ref.]:[Check Periodo Ref.]]="Dentro",DATOS_[Conc.Sal.02]))))),
0)</f>
        <v>0</v>
      </c>
      <c r="H38" s="93">
        <f t="array" ref="H38">IFERROR(
AVERAGE((IF(DATOS_[[Sexo]:[Sexo]]=$B38,IF(DATOS_[[AGRUP. VALOR. PTO.]:[AGRUP. VALOR. PTO.]]=$B36,IF(DATOS_[[Check Periodo Ref.]:[Check Periodo Ref.]]="Dentro",DATOS_[Conc.Sal.03]))))),
0)</f>
        <v>0</v>
      </c>
      <c r="I38" s="93">
        <f t="array" ref="I38">IFERROR(
AVERAGE((IF(DATOS_[[Sexo]:[Sexo]]=$B38,IF(DATOS_[[AGRUP. VALOR. PTO.]:[AGRUP. VALOR. PTO.]]=$B36,IF(DATOS_[[Check Periodo Ref.]:[Check Periodo Ref.]]="Dentro",DATOS_[Conc.Sal.04]))))),
0)</f>
        <v>0</v>
      </c>
      <c r="J38" s="93">
        <f t="array" ref="J38">IFERROR(
AVERAGE((IF(DATOS_[[Sexo]:[Sexo]]=$B38,IF(DATOS_[[AGRUP. VALOR. PTO.]:[AGRUP. VALOR. PTO.]]=$B36,IF(DATOS_[[Check Periodo Ref.]:[Check Periodo Ref.]]="Dentro",DATOS_[Conc.Sal.05]))))),
0)</f>
        <v>0</v>
      </c>
      <c r="K38" s="93">
        <f t="array" ref="K38">IFERROR(
AVERAGE((IF(DATOS_[[Sexo]:[Sexo]]=$B38,IF(DATOS_[[AGRUP. VALOR. PTO.]:[AGRUP. VALOR. PTO.]]=$B36,IF(DATOS_[[Check Periodo Ref.]:[Check Periodo Ref.]]="Dentro",DATOS_[Conc.Sal.06]))))),
0)</f>
        <v>0</v>
      </c>
      <c r="L38" s="93">
        <f t="array" ref="L38">IFERROR(
AVERAGE((IF(DATOS_[[Sexo]:[Sexo]]=$B38,IF(DATOS_[[AGRUP. VALOR. PTO.]:[AGRUP. VALOR. PTO.]]=$B36,IF(DATOS_[[Check Periodo Ref.]:[Check Periodo Ref.]]="Dentro",DATOS_[Conc.Sal.07]))))),
0)</f>
        <v>0</v>
      </c>
      <c r="M38" s="93">
        <f t="array" ref="M38">IFERROR(
AVERAGE((IF(DATOS_[[Sexo]:[Sexo]]=$B38,IF(DATOS_[[AGRUP. VALOR. PTO.]:[AGRUP. VALOR. PTO.]]=$B36,IF(DATOS_[[Check Periodo Ref.]:[Check Periodo Ref.]]="Dentro",DATOS_[Conc.Sal.08]))))),
0)</f>
        <v>0</v>
      </c>
      <c r="N38" s="93">
        <f t="array" ref="N38">IFERROR(
AVERAGE((IF(DATOS_[[Sexo]:[Sexo]]=$B38,IF(DATOS_[[AGRUP. VALOR. PTO.]:[AGRUP. VALOR. PTO.]]=$B36,IF(DATOS_[[Check Periodo Ref.]:[Check Periodo Ref.]]="Dentro",DATOS_[Conc.Sal.09]))))),
0)</f>
        <v>0</v>
      </c>
      <c r="O38" s="93">
        <f t="array" ref="O38">IFERROR(
AVERAGE((IF(DATOS_[[Sexo]:[Sexo]]=$B38,IF(DATOS_[[AGRUP. VALOR. PTO.]:[AGRUP. VALOR. PTO.]]=$B36,IF(DATOS_[[Check Periodo Ref.]:[Check Periodo Ref.]]="Dentro",DATOS_[Conc.Sal.10]))))),
0)</f>
        <v>0</v>
      </c>
      <c r="P38" s="93">
        <f t="array" ref="P38">IFERROR(
AVERAGE((IF(DATOS_[[Sexo]:[Sexo]]=$B38,IF(DATOS_[[AGRUP. VALOR. PTO.]:[AGRUP. VALOR. PTO.]]=$B36,IF(DATOS_[[Check Periodo Ref.]:[Check Periodo Ref.]]="Dentro",DATOS_[Conc.Sal.11]))))),
0)</f>
        <v>0</v>
      </c>
      <c r="Q38" s="93">
        <f t="array" ref="Q38">IFERROR(
AVERAGE((IF(DATOS_[[Sexo]:[Sexo]]=$B38,IF(DATOS_[[AGRUP. VALOR. PTO.]:[AGRUP. VALOR. PTO.]]=$B36,IF(DATOS_[[Check Periodo Ref.]:[Check Periodo Ref.]]="Dentro",DATOS_[Conc.Sal.12]))))),
0)</f>
        <v>0</v>
      </c>
      <c r="R38" s="93">
        <f t="array" ref="R38">IFERROR(
AVERAGE((IF(DATOS_[[Sexo]:[Sexo]]=$B38,IF(DATOS_[[AGRUP. VALOR. PTO.]:[AGRUP. VALOR. PTO.]]=$B36,IF(DATOS_[[Check Periodo Ref.]:[Check Periodo Ref.]]="Dentro",DATOS_[Conc.Sal.13]))))),
0)</f>
        <v>0</v>
      </c>
      <c r="S38" s="93">
        <f t="array" ref="S38">IFERROR(
AVERAGE((IF(DATOS_[[Sexo]:[Sexo]]=$B38,IF(DATOS_[[AGRUP. VALOR. PTO.]:[AGRUP. VALOR. PTO.]]=$B36,IF(DATOS_[[Check Periodo Ref.]:[Check Periodo Ref.]]="Dentro",DATOS_[Conc.Sal.14]))))),
0)</f>
        <v>0</v>
      </c>
      <c r="T38" s="93">
        <f t="array" ref="T38">IFERROR(
AVERAGE((IF(DATOS_[[Sexo]:[Sexo]]=$B38,IF(DATOS_[[AGRUP. VALOR. PTO.]:[AGRUP. VALOR. PTO.]]=$B36,IF(DATOS_[[Check Periodo Ref.]:[Check Periodo Ref.]]="Dentro",DATOS_[Conc.Sal.15]))))),
0)</f>
        <v>0</v>
      </c>
      <c r="U38" s="93">
        <f t="array" ref="U38">IFERROR(
AVERAGE((IF(DATOS_[[Sexo]:[Sexo]]=$B38,IF(DATOS_[[AGRUP. VALOR. PTO.]:[AGRUP. VALOR. PTO.]]=$B36,IF(DATOS_[[Check Periodo Ref.]:[Check Periodo Ref.]]="Dentro",DATOS_[Conc.Sal.16]))))),
0)</f>
        <v>0</v>
      </c>
      <c r="V38" s="93">
        <f t="array" ref="V38">IFERROR(
AVERAGE((IF(DATOS_[[Sexo]:[Sexo]]=$B38,IF(DATOS_[[AGRUP. VALOR. PTO.]:[AGRUP. VALOR. PTO.]]=$B36,IF(DATOS_[[Check Periodo Ref.]:[Check Periodo Ref.]]="Dentro",DATOS_[Conc.Sal.17]))))),
0)</f>
        <v>0</v>
      </c>
      <c r="W38" s="93">
        <f t="array" ref="W38">IFERROR(
AVERAGE((IF(DATOS_[[Sexo]:[Sexo]]=$B38,IF(DATOS_[[AGRUP. VALOR. PTO.]:[AGRUP. VALOR. PTO.]]=$B36,IF(DATOS_[[Check Periodo Ref.]:[Check Periodo Ref.]]="Dentro",DATOS_[Conc.Sal.18]))))),
0)</f>
        <v>0</v>
      </c>
      <c r="X38" s="93">
        <f t="array" ref="X38">IFERROR(
AVERAGE((IF(DATOS_[[Sexo]:[Sexo]]=$B38,IF(DATOS_[[AGRUP. VALOR. PTO.]:[AGRUP. VALOR. PTO.]]=$B36,IF(DATOS_[[Check Periodo Ref.]:[Check Periodo Ref.]]="Dentro",DATOS_[Conc.Sal.19]))))),
0)</f>
        <v>0</v>
      </c>
      <c r="Y38" s="93">
        <f t="array" ref="Y38">IFERROR(
AVERAGE((IF(DATOS_[[Sexo]:[Sexo]]=$B38,IF(DATOS_[[AGRUP. VALOR. PTO.]:[AGRUP. VALOR. PTO.]]=$B36,IF(DATOS_[[Check Periodo Ref.]:[Check Periodo Ref.]]="Dentro",DATOS_[Conc.Sal.20]))))),
0)</f>
        <v>0</v>
      </c>
      <c r="Z38" s="93">
        <f t="array" ref="Z38">IFERROR(
AVERAGE((IF(DATOS_[[Sexo]:[Sexo]]=$B38,IF(DATOS_[[AGRUP. VALOR. PTO.]:[AGRUP. VALOR. PTO.]]=$B36,IF(DATOS_[[Check Periodo Ref.]:[Check Periodo Ref.]]="Dentro",DATOS_[Conc.Sal.21]))))),
0)</f>
        <v>0</v>
      </c>
      <c r="AA38" s="93">
        <f t="array" ref="AA38">IFERROR(
AVERAGE((IF(DATOS_[[Sexo]:[Sexo]]=$B38,IF(DATOS_[[AGRUP. VALOR. PTO.]:[AGRUP. VALOR. PTO.]]=$B36,IF(DATOS_[[Check Periodo Ref.]:[Check Periodo Ref.]]="Dentro",DATOS_[Conc.Sal.22]))))),
0)</f>
        <v>0</v>
      </c>
      <c r="AB38" s="93">
        <f t="array" ref="AB38">IFERROR(
AVERAGE((IF(DATOS_[[Sexo]:[Sexo]]=$B38,IF(DATOS_[[AGRUP. VALOR. PTO.]:[AGRUP. VALOR. PTO.]]=$B36,IF(DATOS_[[Check Periodo Ref.]:[Check Periodo Ref.]]="Dentro",DATOS_[Conc.Sal.23]))))),
0)</f>
        <v>0</v>
      </c>
      <c r="AC38" s="93">
        <f t="array" ref="AC38">IFERROR(
AVERAGE((IF(DATOS_[[Sexo]:[Sexo]]=$B38,IF(DATOS_[[AGRUP. VALOR. PTO.]:[AGRUP. VALOR. PTO.]]=$B36,IF(DATOS_[[Check Periodo Ref.]:[Check Periodo Ref.]]="Dentro",DATOS_[Conc.Sal.24]))))),
0)</f>
        <v>0</v>
      </c>
      <c r="AD38" s="93">
        <f t="array" ref="AD38">IFERROR(
AVERAGE((IF(DATOS_[[Sexo]:[Sexo]]=$B38,IF(DATOS_[[AGRUP. VALOR. PTO.]:[AGRUP. VALOR. PTO.]]=$B36,IF(DATOS_[[Check Periodo Ref.]:[Check Periodo Ref.]]="Dentro",DATOS_[Conc.Sal.25]))))),
0)</f>
        <v>0</v>
      </c>
      <c r="AE38" s="93">
        <f t="array" ref="AE38">IFERROR(
AVERAGE((IF(DATOS_[[Sexo]:[Sexo]]=$B38,IF(DATOS_[[AGRUP. VALOR. PTO.]:[AGRUP. VALOR. PTO.]]=$B36,IF(DATOS_[[Check Periodo Ref.]:[Check Periodo Ref.]]="Dentro",DATOS_[Conc.Sal.26]))))),
0)</f>
        <v>0</v>
      </c>
      <c r="AF38" s="93">
        <f t="array" ref="AF38">IFERROR(
AVERAGE((IF(DATOS_[[Sexo]:[Sexo]]=$B38,IF(DATOS_[[AGRUP. VALOR. PTO.]:[AGRUP. VALOR. PTO.]]=$B36,IF(DATOS_[[Check Periodo Ref.]:[Check Periodo Ref.]]="Dentro",DATOS_[Conc.Sal.27]))))),
0)</f>
        <v>0</v>
      </c>
      <c r="AG38" s="93">
        <f t="array" ref="AG38">IFERROR(
AVERAGE((IF(DATOS_[[Sexo]:[Sexo]]=$B38,IF(DATOS_[[AGRUP. VALOR. PTO.]:[AGRUP. VALOR. PTO.]]=$B36,IF(DATOS_[[Check Periodo Ref.]:[Check Periodo Ref.]]="Dentro",DATOS_[Conc.Sal.28]))))),
0)</f>
        <v>0</v>
      </c>
      <c r="AH38" s="93">
        <f t="array" ref="AH38">IFERROR(
AVERAGE((IF(DATOS_[[Sexo]:[Sexo]]=$B38,IF(DATOS_[[AGRUP. VALOR. PTO.]:[AGRUP. VALOR. PTO.]]=$B36,IF(DATOS_[[Check Periodo Ref.]:[Check Periodo Ref.]]="Dentro",DATOS_[Conc.Sal.29]))))),
0)</f>
        <v>0</v>
      </c>
      <c r="AI38" s="93">
        <f t="array" ref="AI38">IFERROR(
AVERAGE((IF(DATOS_[[Sexo]:[Sexo]]=$B38,IF(DATOS_[[AGRUP. VALOR. PTO.]:[AGRUP. VALOR. PTO.]]=$B36,IF(DATOS_[[Check Periodo Ref.]:[Check Periodo Ref.]]="Dentro",DATOS_[Conc.Sal.30]))))),
0)</f>
        <v>0</v>
      </c>
      <c r="AJ38" s="94">
        <f t="array" ref="AJ38">IFERROR(
AVERAGE(IF(DATOS_[Sexo]=$B38,IF(DATOS_[AGRUP. VALOR. PTO.]=$B36,IF(DATOS_[Check Periodo Ref.]="Dentro",DATOS_[Tot COMPL.SAL Ef],FALSE)))),
0)</f>
        <v>0</v>
      </c>
      <c r="AK38" s="96">
        <f t="array" ref="AK38">IFERROR(
AVERAGE(IF(DATOS_[Sexo]=$B38,IF(DATOS_[AGRUP. VALOR. PTO.]=$B36,IF(DATOS_[Check Periodo Ref.]="Dentro",DATOS_[TOTAL SALARIO Ef],FALSE)))),
0)</f>
        <v>0</v>
      </c>
      <c r="AL38" s="95">
        <f t="array" ref="AL38">IFERROR(
AVERAGE((IF(DATOS_[[Sexo]:[Sexo]]=$B38,IF(DATOS_[[AGRUP. VALOR. PTO.]:[AGRUP. VALOR. PTO.]]=$B36,IF(DATOS_[[Check Periodo Ref.]:[Check Periodo Ref.]]="Dentro",DATOS_[C.Extra.01]))))),
0)</f>
        <v>0</v>
      </c>
      <c r="AM38" s="95">
        <f t="array" ref="AM38">IFERROR(
AVERAGE((IF(DATOS_[[Sexo]:[Sexo]]=$B38,IF(DATOS_[[AGRUP. VALOR. PTO.]:[AGRUP. VALOR. PTO.]]=$B36,IF(DATOS_[[Check Periodo Ref.]:[Check Periodo Ref.]]="Dentro",DATOS_[C.Extra.02]))))),
0)</f>
        <v>0</v>
      </c>
      <c r="AN38" s="95">
        <f t="array" ref="AN38">IFERROR(
AVERAGE((IF(DATOS_[[Sexo]:[Sexo]]=$B38,IF(DATOS_[[AGRUP. VALOR. PTO.]:[AGRUP. VALOR. PTO.]]=$B36,IF(DATOS_[[Check Periodo Ref.]:[Check Periodo Ref.]]="Dentro",DATOS_[C.Extra.03]))))),
0)</f>
        <v>0</v>
      </c>
      <c r="AO38" s="95">
        <f t="array" ref="AO38">IFERROR(
AVERAGE((IF(DATOS_[[Sexo]:[Sexo]]=$B38,IF(DATOS_[[AGRUP. VALOR. PTO.]:[AGRUP. VALOR. PTO.]]=$B36,IF(DATOS_[[Check Periodo Ref.]:[Check Periodo Ref.]]="Dentro",DATOS_[C.Extra.04]))))),
0)</f>
        <v>0</v>
      </c>
      <c r="AP38" s="95">
        <f t="array" ref="AP38">IFERROR(
AVERAGE((IF(DATOS_[[Sexo]:[Sexo]]=$B38,IF(DATOS_[[AGRUP. VALOR. PTO.]:[AGRUP. VALOR. PTO.]]=$B36,IF(DATOS_[[Check Periodo Ref.]:[Check Periodo Ref.]]="Dentro",DATOS_[C.Extra.05]))))),
0)</f>
        <v>0</v>
      </c>
      <c r="AQ38" s="97">
        <f t="array" ref="AQ38">IFERROR(
AVERAGE(IF(DATOS_[Sexo]=$B38,IF(DATOS_[AGRUP. VALOR. PTO.]=$B36,IF(DATOS_[Check Periodo Ref.]="Dentro",DATOS_[Tot Extrasalarial Ef],FALSE)))),
0)</f>
        <v>0</v>
      </c>
      <c r="AR38" s="98">
        <f t="array" ref="AR38">IFERROR(
AVERAGE(IF(DATOS_[Sexo]=$B38,IF(DATOS_[AGRUP. VALOR. PTO.]=$B36,IF(DATOS_[Check Periodo Ref.]="Dentro",DATOS_[TOTAL Retrib Ef],FALSE)))),
0)</f>
        <v>0</v>
      </c>
    </row>
    <row r="39" spans="1:44" ht="17.25" hidden="1" thickBot="1" x14ac:dyDescent="0.35">
      <c r="A39" s="48" t="str">
        <f t="shared" ref="A39" si="35">+A40</f>
        <v>[ocultar]</v>
      </c>
      <c r="B39" s="51" t="s">
        <v>306</v>
      </c>
      <c r="C39" s="91"/>
      <c r="D39" s="52"/>
      <c r="E39" s="139" t="str">
        <f t="shared" ref="E39:AR39" si="36">IFERROR((E40-E41)/E40,"")</f>
        <v/>
      </c>
      <c r="F39" s="179" t="str">
        <f t="shared" si="36"/>
        <v/>
      </c>
      <c r="G39" s="180" t="str">
        <f t="shared" si="36"/>
        <v/>
      </c>
      <c r="H39" s="180" t="str">
        <f t="shared" si="36"/>
        <v/>
      </c>
      <c r="I39" s="180" t="str">
        <f t="shared" si="36"/>
        <v/>
      </c>
      <c r="J39" s="181" t="str">
        <f t="shared" si="36"/>
        <v/>
      </c>
      <c r="K39" s="182" t="str">
        <f t="shared" si="36"/>
        <v/>
      </c>
      <c r="L39" s="182" t="str">
        <f t="shared" si="36"/>
        <v/>
      </c>
      <c r="M39" s="182" t="str">
        <f t="shared" si="36"/>
        <v/>
      </c>
      <c r="N39" s="182" t="str">
        <f t="shared" si="36"/>
        <v/>
      </c>
      <c r="O39" s="182" t="str">
        <f t="shared" si="36"/>
        <v/>
      </c>
      <c r="P39" s="182" t="str">
        <f t="shared" si="36"/>
        <v/>
      </c>
      <c r="Q39" s="182" t="str">
        <f t="shared" si="36"/>
        <v/>
      </c>
      <c r="R39" s="182" t="str">
        <f t="shared" si="36"/>
        <v/>
      </c>
      <c r="S39" s="182" t="str">
        <f t="shared" si="36"/>
        <v/>
      </c>
      <c r="T39" s="182" t="str">
        <f t="shared" si="36"/>
        <v/>
      </c>
      <c r="U39" s="182" t="str">
        <f t="shared" si="36"/>
        <v/>
      </c>
      <c r="V39" s="181" t="str">
        <f t="shared" si="36"/>
        <v/>
      </c>
      <c r="W39" s="181" t="str">
        <f t="shared" si="36"/>
        <v/>
      </c>
      <c r="X39" s="181" t="str">
        <f t="shared" si="36"/>
        <v/>
      </c>
      <c r="Y39" s="181" t="str">
        <f t="shared" si="36"/>
        <v/>
      </c>
      <c r="Z39" s="181" t="str">
        <f t="shared" si="36"/>
        <v/>
      </c>
      <c r="AA39" s="181" t="str">
        <f t="shared" si="36"/>
        <v/>
      </c>
      <c r="AB39" s="181" t="str">
        <f t="shared" si="36"/>
        <v/>
      </c>
      <c r="AC39" s="181" t="str">
        <f t="shared" si="36"/>
        <v/>
      </c>
      <c r="AD39" s="181" t="str">
        <f t="shared" si="36"/>
        <v/>
      </c>
      <c r="AE39" s="181" t="str">
        <f t="shared" si="36"/>
        <v/>
      </c>
      <c r="AF39" s="181" t="str">
        <f t="shared" si="36"/>
        <v/>
      </c>
      <c r="AG39" s="181" t="str">
        <f t="shared" si="36"/>
        <v/>
      </c>
      <c r="AH39" s="181" t="str">
        <f t="shared" si="36"/>
        <v/>
      </c>
      <c r="AI39" s="181" t="str">
        <f t="shared" si="36"/>
        <v/>
      </c>
      <c r="AJ39" s="140" t="str">
        <f t="shared" si="36"/>
        <v/>
      </c>
      <c r="AK39" s="143" t="str">
        <f t="shared" si="36"/>
        <v/>
      </c>
      <c r="AL39" s="184" t="str">
        <f t="shared" si="36"/>
        <v/>
      </c>
      <c r="AM39" s="184" t="str">
        <f t="shared" si="36"/>
        <v/>
      </c>
      <c r="AN39" s="184" t="str">
        <f t="shared" si="36"/>
        <v/>
      </c>
      <c r="AO39" s="184" t="str">
        <f t="shared" si="36"/>
        <v/>
      </c>
      <c r="AP39" s="184" t="str">
        <f t="shared" si="36"/>
        <v/>
      </c>
      <c r="AQ39" s="141" t="str">
        <f t="shared" si="36"/>
        <v/>
      </c>
      <c r="AR39" s="142" t="str">
        <f t="shared" si="36"/>
        <v/>
      </c>
    </row>
    <row r="40" spans="1:44" hidden="1" x14ac:dyDescent="0.3">
      <c r="A40" s="48" t="str">
        <f t="shared" ref="A40" si="37">+IF(C40+C41=0,"[ocultar]","")</f>
        <v>[ocultar]</v>
      </c>
      <c r="B40" s="46" t="s">
        <v>162</v>
      </c>
      <c r="C40" s="45">
        <f t="array" ref="C40">SUM(IF($B40=DATOS_[Sexo],
IF($B39=DATOS_[AGRUP. VALOR. PTO.],
IF("Dentro"=DATOS_[Check Periodo Ref.],
1/(COUNTIFS(DATOS_[Sexo],$B40,DATOS_[AGRUP. VALOR. PTO.],$B39,DATOS_[Check Periodo Ref.],"Dentro",DATOS_[id],DATOS_[id]))))))</f>
        <v>0</v>
      </c>
      <c r="D40" s="47">
        <f>COUNTIFS(DATOS_[AGRUP. VALOR. PTO.],$B39,DATOS_[Sexo],$B40,DATOS_[Check Periodo Ref.],"Dentro")</f>
        <v>0</v>
      </c>
      <c r="E40" s="92">
        <f t="array" ref="E40">IFERROR(
AVERAGE(IF(DATOS_[Sexo]=$B40,IF(DATOS_[AGRUP. VALOR. PTO.]=$B39,IF(DATOS_[Check Periodo Ref.]="Dentro",DATOS_[SALARIO BASE Ef],FALSE)))),
0)</f>
        <v>0</v>
      </c>
      <c r="F40" s="93">
        <f t="array" ref="F40">IFERROR(
AVERAGE((IF(DATOS_[[Sexo]:[Sexo]]=$B40,IF(DATOS_[[AGRUP. VALOR. PTO.]:[AGRUP. VALOR. PTO.]]=$B39,IF(DATOS_[[Check Periodo Ref.]:[Check Periodo Ref.]]="Dentro",DATOS_[Conc.Sal.01]))))),
0)</f>
        <v>0</v>
      </c>
      <c r="G40" s="93">
        <f t="array" ref="G40">IFERROR(
AVERAGE((IF(DATOS_[[Sexo]:[Sexo]]=$B40,IF(DATOS_[[AGRUP. VALOR. PTO.]:[AGRUP. VALOR. PTO.]]=$B39,IF(DATOS_[[Check Periodo Ref.]:[Check Periodo Ref.]]="Dentro",DATOS_[Conc.Sal.02]))))),
0)</f>
        <v>0</v>
      </c>
      <c r="H40" s="93">
        <f t="array" ref="H40">IFERROR(
AVERAGE((IF(DATOS_[[Sexo]:[Sexo]]=$B40,IF(DATOS_[[AGRUP. VALOR. PTO.]:[AGRUP. VALOR. PTO.]]=$B39,IF(DATOS_[[Check Periodo Ref.]:[Check Periodo Ref.]]="Dentro",DATOS_[Conc.Sal.03]))))),
0)</f>
        <v>0</v>
      </c>
      <c r="I40" s="93">
        <f t="array" ref="I40">IFERROR(
AVERAGE((IF(DATOS_[[Sexo]:[Sexo]]=$B40,IF(DATOS_[[AGRUP. VALOR. PTO.]:[AGRUP. VALOR. PTO.]]=$B39,IF(DATOS_[[Check Periodo Ref.]:[Check Periodo Ref.]]="Dentro",DATOS_[Conc.Sal.04]))))),
0)</f>
        <v>0</v>
      </c>
      <c r="J40" s="93">
        <f t="array" ref="J40">IFERROR(
AVERAGE((IF(DATOS_[[Sexo]:[Sexo]]=$B40,IF(DATOS_[[AGRUP. VALOR. PTO.]:[AGRUP. VALOR. PTO.]]=$B39,IF(DATOS_[[Check Periodo Ref.]:[Check Periodo Ref.]]="Dentro",DATOS_[Conc.Sal.05]))))),
0)</f>
        <v>0</v>
      </c>
      <c r="K40" s="93">
        <f t="array" ref="K40">IFERROR(
AVERAGE((IF(DATOS_[[Sexo]:[Sexo]]=$B40,IF(DATOS_[[AGRUP. VALOR. PTO.]:[AGRUP. VALOR. PTO.]]=$B39,IF(DATOS_[[Check Periodo Ref.]:[Check Periodo Ref.]]="Dentro",DATOS_[Conc.Sal.06]))))),
0)</f>
        <v>0</v>
      </c>
      <c r="L40" s="93">
        <f t="array" ref="L40">IFERROR(
AVERAGE((IF(DATOS_[[Sexo]:[Sexo]]=$B40,IF(DATOS_[[AGRUP. VALOR. PTO.]:[AGRUP. VALOR. PTO.]]=$B39,IF(DATOS_[[Check Periodo Ref.]:[Check Periodo Ref.]]="Dentro",DATOS_[Conc.Sal.07]))))),
0)</f>
        <v>0</v>
      </c>
      <c r="M40" s="93">
        <f t="array" ref="M40">IFERROR(
AVERAGE((IF(DATOS_[[Sexo]:[Sexo]]=$B40,IF(DATOS_[[AGRUP. VALOR. PTO.]:[AGRUP. VALOR. PTO.]]=$B39,IF(DATOS_[[Check Periodo Ref.]:[Check Periodo Ref.]]="Dentro",DATOS_[Conc.Sal.08]))))),
0)</f>
        <v>0</v>
      </c>
      <c r="N40" s="93">
        <f t="array" ref="N40">IFERROR(
AVERAGE((IF(DATOS_[[Sexo]:[Sexo]]=$B40,IF(DATOS_[[AGRUP. VALOR. PTO.]:[AGRUP. VALOR. PTO.]]=$B39,IF(DATOS_[[Check Periodo Ref.]:[Check Periodo Ref.]]="Dentro",DATOS_[Conc.Sal.09]))))),
0)</f>
        <v>0</v>
      </c>
      <c r="O40" s="93">
        <f t="array" ref="O40">IFERROR(
AVERAGE((IF(DATOS_[[Sexo]:[Sexo]]=$B40,IF(DATOS_[[AGRUP. VALOR. PTO.]:[AGRUP. VALOR. PTO.]]=$B39,IF(DATOS_[[Check Periodo Ref.]:[Check Periodo Ref.]]="Dentro",DATOS_[Conc.Sal.10]))))),
0)</f>
        <v>0</v>
      </c>
      <c r="P40" s="93">
        <f t="array" ref="P40">IFERROR(
AVERAGE((IF(DATOS_[[Sexo]:[Sexo]]=$B40,IF(DATOS_[[AGRUP. VALOR. PTO.]:[AGRUP. VALOR. PTO.]]=$B39,IF(DATOS_[[Check Periodo Ref.]:[Check Periodo Ref.]]="Dentro",DATOS_[Conc.Sal.11]))))),
0)</f>
        <v>0</v>
      </c>
      <c r="Q40" s="93">
        <f t="array" ref="Q40">IFERROR(
AVERAGE((IF(DATOS_[[Sexo]:[Sexo]]=$B40,IF(DATOS_[[AGRUP. VALOR. PTO.]:[AGRUP. VALOR. PTO.]]=$B39,IF(DATOS_[[Check Periodo Ref.]:[Check Periodo Ref.]]="Dentro",DATOS_[Conc.Sal.12]))))),
0)</f>
        <v>0</v>
      </c>
      <c r="R40" s="93">
        <f t="array" ref="R40">IFERROR(
AVERAGE((IF(DATOS_[[Sexo]:[Sexo]]=$B40,IF(DATOS_[[AGRUP. VALOR. PTO.]:[AGRUP. VALOR. PTO.]]=$B39,IF(DATOS_[[Check Periodo Ref.]:[Check Periodo Ref.]]="Dentro",DATOS_[Conc.Sal.13]))))),
0)</f>
        <v>0</v>
      </c>
      <c r="S40" s="93">
        <f t="array" ref="S40">IFERROR(
AVERAGE((IF(DATOS_[[Sexo]:[Sexo]]=$B40,IF(DATOS_[[AGRUP. VALOR. PTO.]:[AGRUP. VALOR. PTO.]]=$B39,IF(DATOS_[[Check Periodo Ref.]:[Check Periodo Ref.]]="Dentro",DATOS_[Conc.Sal.14]))))),
0)</f>
        <v>0</v>
      </c>
      <c r="T40" s="93">
        <f t="array" ref="T40">IFERROR(
AVERAGE((IF(DATOS_[[Sexo]:[Sexo]]=$B40,IF(DATOS_[[AGRUP. VALOR. PTO.]:[AGRUP. VALOR. PTO.]]=$B39,IF(DATOS_[[Check Periodo Ref.]:[Check Periodo Ref.]]="Dentro",DATOS_[Conc.Sal.15]))))),
0)</f>
        <v>0</v>
      </c>
      <c r="U40" s="93">
        <f t="array" ref="U40">IFERROR(
AVERAGE((IF(DATOS_[[Sexo]:[Sexo]]=$B40,IF(DATOS_[[AGRUP. VALOR. PTO.]:[AGRUP. VALOR. PTO.]]=$B39,IF(DATOS_[[Check Periodo Ref.]:[Check Periodo Ref.]]="Dentro",DATOS_[Conc.Sal.16]))))),
0)</f>
        <v>0</v>
      </c>
      <c r="V40" s="93">
        <f t="array" ref="V40">IFERROR(
AVERAGE((IF(DATOS_[[Sexo]:[Sexo]]=$B40,IF(DATOS_[[AGRUP. VALOR. PTO.]:[AGRUP. VALOR. PTO.]]=$B39,IF(DATOS_[[Check Periodo Ref.]:[Check Periodo Ref.]]="Dentro",DATOS_[Conc.Sal.17]))))),
0)</f>
        <v>0</v>
      </c>
      <c r="W40" s="93">
        <f t="array" ref="W40">IFERROR(
AVERAGE((IF(DATOS_[[Sexo]:[Sexo]]=$B40,IF(DATOS_[[AGRUP. VALOR. PTO.]:[AGRUP. VALOR. PTO.]]=$B39,IF(DATOS_[[Check Periodo Ref.]:[Check Periodo Ref.]]="Dentro",DATOS_[Conc.Sal.18]))))),
0)</f>
        <v>0</v>
      </c>
      <c r="X40" s="93">
        <f t="array" ref="X40">IFERROR(
AVERAGE((IF(DATOS_[[Sexo]:[Sexo]]=$B40,IF(DATOS_[[AGRUP. VALOR. PTO.]:[AGRUP. VALOR. PTO.]]=$B39,IF(DATOS_[[Check Periodo Ref.]:[Check Periodo Ref.]]="Dentro",DATOS_[Conc.Sal.19]))))),
0)</f>
        <v>0</v>
      </c>
      <c r="Y40" s="93">
        <f t="array" ref="Y40">IFERROR(
AVERAGE((IF(DATOS_[[Sexo]:[Sexo]]=$B40,IF(DATOS_[[AGRUP. VALOR. PTO.]:[AGRUP. VALOR. PTO.]]=$B39,IF(DATOS_[[Check Periodo Ref.]:[Check Periodo Ref.]]="Dentro",DATOS_[Conc.Sal.20]))))),
0)</f>
        <v>0</v>
      </c>
      <c r="Z40" s="93">
        <f t="array" ref="Z40">IFERROR(
AVERAGE((IF(DATOS_[[Sexo]:[Sexo]]=$B40,IF(DATOS_[[AGRUP. VALOR. PTO.]:[AGRUP. VALOR. PTO.]]=$B39,IF(DATOS_[[Check Periodo Ref.]:[Check Periodo Ref.]]="Dentro",DATOS_[Conc.Sal.21]))))),
0)</f>
        <v>0</v>
      </c>
      <c r="AA40" s="93">
        <f t="array" ref="AA40">IFERROR(
AVERAGE((IF(DATOS_[[Sexo]:[Sexo]]=$B40,IF(DATOS_[[AGRUP. VALOR. PTO.]:[AGRUP. VALOR. PTO.]]=$B39,IF(DATOS_[[Check Periodo Ref.]:[Check Periodo Ref.]]="Dentro",DATOS_[Conc.Sal.22]))))),
0)</f>
        <v>0</v>
      </c>
      <c r="AB40" s="93">
        <f t="array" ref="AB40">IFERROR(
AVERAGE((IF(DATOS_[[Sexo]:[Sexo]]=$B40,IF(DATOS_[[AGRUP. VALOR. PTO.]:[AGRUP. VALOR. PTO.]]=$B39,IF(DATOS_[[Check Periodo Ref.]:[Check Periodo Ref.]]="Dentro",DATOS_[Conc.Sal.23]))))),
0)</f>
        <v>0</v>
      </c>
      <c r="AC40" s="93">
        <f t="array" ref="AC40">IFERROR(
AVERAGE((IF(DATOS_[[Sexo]:[Sexo]]=$B40,IF(DATOS_[[AGRUP. VALOR. PTO.]:[AGRUP. VALOR. PTO.]]=$B39,IF(DATOS_[[Check Periodo Ref.]:[Check Periodo Ref.]]="Dentro",DATOS_[Conc.Sal.24]))))),
0)</f>
        <v>0</v>
      </c>
      <c r="AD40" s="93">
        <f t="array" ref="AD40">IFERROR(
AVERAGE((IF(DATOS_[[Sexo]:[Sexo]]=$B40,IF(DATOS_[[AGRUP. VALOR. PTO.]:[AGRUP. VALOR. PTO.]]=$B39,IF(DATOS_[[Check Periodo Ref.]:[Check Periodo Ref.]]="Dentro",DATOS_[Conc.Sal.25]))))),
0)</f>
        <v>0</v>
      </c>
      <c r="AE40" s="93">
        <f t="array" ref="AE40">IFERROR(
AVERAGE((IF(DATOS_[[Sexo]:[Sexo]]=$B40,IF(DATOS_[[AGRUP. VALOR. PTO.]:[AGRUP. VALOR. PTO.]]=$B39,IF(DATOS_[[Check Periodo Ref.]:[Check Periodo Ref.]]="Dentro",DATOS_[Conc.Sal.26]))))),
0)</f>
        <v>0</v>
      </c>
      <c r="AF40" s="93">
        <f t="array" ref="AF40">IFERROR(
AVERAGE((IF(DATOS_[[Sexo]:[Sexo]]=$B40,IF(DATOS_[[AGRUP. VALOR. PTO.]:[AGRUP. VALOR. PTO.]]=$B39,IF(DATOS_[[Check Periodo Ref.]:[Check Periodo Ref.]]="Dentro",DATOS_[Conc.Sal.27]))))),
0)</f>
        <v>0</v>
      </c>
      <c r="AG40" s="93">
        <f t="array" ref="AG40">IFERROR(
AVERAGE((IF(DATOS_[[Sexo]:[Sexo]]=$B40,IF(DATOS_[[AGRUP. VALOR. PTO.]:[AGRUP. VALOR. PTO.]]=$B39,IF(DATOS_[[Check Periodo Ref.]:[Check Periodo Ref.]]="Dentro",DATOS_[Conc.Sal.28]))))),
0)</f>
        <v>0</v>
      </c>
      <c r="AH40" s="93">
        <f t="array" ref="AH40">IFERROR(
AVERAGE((IF(DATOS_[[Sexo]:[Sexo]]=$B40,IF(DATOS_[[AGRUP. VALOR. PTO.]:[AGRUP. VALOR. PTO.]]=$B39,IF(DATOS_[[Check Periodo Ref.]:[Check Periodo Ref.]]="Dentro",DATOS_[Conc.Sal.29]))))),
0)</f>
        <v>0</v>
      </c>
      <c r="AI40" s="93">
        <f t="array" ref="AI40">IFERROR(
AVERAGE((IF(DATOS_[[Sexo]:[Sexo]]=$B40,IF(DATOS_[[AGRUP. VALOR. PTO.]:[AGRUP. VALOR. PTO.]]=$B39,IF(DATOS_[[Check Periodo Ref.]:[Check Periodo Ref.]]="Dentro",DATOS_[Conc.Sal.30]))))),
0)</f>
        <v>0</v>
      </c>
      <c r="AJ40" s="94">
        <f t="array" ref="AJ40">IFERROR(
AVERAGE(IF(DATOS_[Sexo]=$B40,IF(DATOS_[AGRUP. VALOR. PTO.]=$B39,IF(DATOS_[Check Periodo Ref.]="Dentro",DATOS_[Tot COMPL.SAL Ef],FALSE)))),
0)</f>
        <v>0</v>
      </c>
      <c r="AK40" s="96">
        <f t="array" ref="AK40">IFERROR(
AVERAGE(IF(DATOS_[Sexo]=$B40,IF(DATOS_[AGRUP. VALOR. PTO.]=$B39,IF(DATOS_[Check Periodo Ref.]="Dentro",DATOS_[TOTAL SALARIO Ef],FALSE)))),
0)</f>
        <v>0</v>
      </c>
      <c r="AL40" s="95">
        <f t="array" ref="AL40">IFERROR(
AVERAGE((IF(DATOS_[[Sexo]:[Sexo]]=$B40,IF(DATOS_[[AGRUP. VALOR. PTO.]:[AGRUP. VALOR. PTO.]]=$B39,IF(DATOS_[[Check Periodo Ref.]:[Check Periodo Ref.]]="Dentro",DATOS_[C.Extra.01]))))),
0)</f>
        <v>0</v>
      </c>
      <c r="AM40" s="95">
        <f t="array" ref="AM40">IFERROR(
AVERAGE((IF(DATOS_[[Sexo]:[Sexo]]=$B40,IF(DATOS_[[AGRUP. VALOR. PTO.]:[AGRUP. VALOR. PTO.]]=$B39,IF(DATOS_[[Check Periodo Ref.]:[Check Periodo Ref.]]="Dentro",DATOS_[C.Extra.02]))))),
0)</f>
        <v>0</v>
      </c>
      <c r="AN40" s="95">
        <f t="array" ref="AN40">IFERROR(
AVERAGE((IF(DATOS_[[Sexo]:[Sexo]]=$B40,IF(DATOS_[[AGRUP. VALOR. PTO.]:[AGRUP. VALOR. PTO.]]=$B39,IF(DATOS_[[Check Periodo Ref.]:[Check Periodo Ref.]]="Dentro",DATOS_[C.Extra.03]))))),
0)</f>
        <v>0</v>
      </c>
      <c r="AO40" s="95">
        <f t="array" ref="AO40">IFERROR(
AVERAGE((IF(DATOS_[[Sexo]:[Sexo]]=$B40,IF(DATOS_[[AGRUP. VALOR. PTO.]:[AGRUP. VALOR. PTO.]]=$B39,IF(DATOS_[[Check Periodo Ref.]:[Check Periodo Ref.]]="Dentro",DATOS_[C.Extra.04]))))),
0)</f>
        <v>0</v>
      </c>
      <c r="AP40" s="95">
        <f t="array" ref="AP40">IFERROR(
AVERAGE((IF(DATOS_[[Sexo]:[Sexo]]=$B40,IF(DATOS_[[AGRUP. VALOR. PTO.]:[AGRUP. VALOR. PTO.]]=$B39,IF(DATOS_[[Check Periodo Ref.]:[Check Periodo Ref.]]="Dentro",DATOS_[C.Extra.05]))))),
0)</f>
        <v>0</v>
      </c>
      <c r="AQ40" s="97">
        <f t="array" ref="AQ40">IFERROR(
AVERAGE(IF(DATOS_[Sexo]=$B40,IF(DATOS_[AGRUP. VALOR. PTO.]=$B39,IF(DATOS_[Check Periodo Ref.]="Dentro",DATOS_[Tot Extrasalarial Ef],FALSE)))),
0)</f>
        <v>0</v>
      </c>
      <c r="AR40" s="98">
        <f t="array" ref="AR40">IFERROR(
AVERAGE(IF(DATOS_[Sexo]=$B40,IF(DATOS_[AGRUP. VALOR. PTO.]=$B39,IF(DATOS_[Check Periodo Ref.]="Dentro",DATOS_[TOTAL Retrib Ef],FALSE)))),
0)</f>
        <v>0</v>
      </c>
    </row>
    <row r="41" spans="1:44" hidden="1" x14ac:dyDescent="0.3">
      <c r="A41" s="48" t="str">
        <f t="shared" ref="A41" si="38">+A40</f>
        <v>[ocultar]</v>
      </c>
      <c r="B41" s="46" t="s">
        <v>163</v>
      </c>
      <c r="C41" s="45">
        <f t="array" ref="C41">SUM(IF($B41=DATOS_[Sexo],
IF($B39=DATOS_[AGRUP. VALOR. PTO.],
IF("Dentro"=DATOS_[Check Periodo Ref.],
1/(COUNTIFS(DATOS_[Sexo],$B41,DATOS_[AGRUP. VALOR. PTO.],$B39,DATOS_[Check Periodo Ref.],"Dentro",DATOS_[id],DATOS_[id]))))))</f>
        <v>0</v>
      </c>
      <c r="D41" s="47">
        <f>COUNTIFS(DATOS_[AGRUP. VALOR. PTO.],$B39,DATOS_[Sexo],$B41,DATOS_[Check Periodo Ref.],"Dentro")</f>
        <v>0</v>
      </c>
      <c r="E41" s="92">
        <f t="array" ref="E41">IFERROR(
AVERAGE(IF(DATOS_[Sexo]=$B41,IF(DATOS_[AGRUP. VALOR. PTO.]=$B39,IF(DATOS_[Check Periodo Ref.]="Dentro",DATOS_[SALARIO BASE Ef],FALSE)))),
0)</f>
        <v>0</v>
      </c>
      <c r="F41" s="93">
        <f t="array" ref="F41">IFERROR(
AVERAGE((IF(DATOS_[[Sexo]:[Sexo]]=$B41,IF(DATOS_[[AGRUP. VALOR. PTO.]:[AGRUP. VALOR. PTO.]]=$B39,IF(DATOS_[[Check Periodo Ref.]:[Check Periodo Ref.]]="Dentro",DATOS_[Conc.Sal.01]))))),
0)</f>
        <v>0</v>
      </c>
      <c r="G41" s="93">
        <f t="array" ref="G41">IFERROR(
AVERAGE((IF(DATOS_[[Sexo]:[Sexo]]=$B41,IF(DATOS_[[AGRUP. VALOR. PTO.]:[AGRUP. VALOR. PTO.]]=$B39,IF(DATOS_[[Check Periodo Ref.]:[Check Periodo Ref.]]="Dentro",DATOS_[Conc.Sal.02]))))),
0)</f>
        <v>0</v>
      </c>
      <c r="H41" s="93">
        <f t="array" ref="H41">IFERROR(
AVERAGE((IF(DATOS_[[Sexo]:[Sexo]]=$B41,IF(DATOS_[[AGRUP. VALOR. PTO.]:[AGRUP. VALOR. PTO.]]=$B39,IF(DATOS_[[Check Periodo Ref.]:[Check Periodo Ref.]]="Dentro",DATOS_[Conc.Sal.03]))))),
0)</f>
        <v>0</v>
      </c>
      <c r="I41" s="93">
        <f t="array" ref="I41">IFERROR(
AVERAGE((IF(DATOS_[[Sexo]:[Sexo]]=$B41,IF(DATOS_[[AGRUP. VALOR. PTO.]:[AGRUP. VALOR. PTO.]]=$B39,IF(DATOS_[[Check Periodo Ref.]:[Check Periodo Ref.]]="Dentro",DATOS_[Conc.Sal.04]))))),
0)</f>
        <v>0</v>
      </c>
      <c r="J41" s="93">
        <f t="array" ref="J41">IFERROR(
AVERAGE((IF(DATOS_[[Sexo]:[Sexo]]=$B41,IF(DATOS_[[AGRUP. VALOR. PTO.]:[AGRUP. VALOR. PTO.]]=$B39,IF(DATOS_[[Check Periodo Ref.]:[Check Periodo Ref.]]="Dentro",DATOS_[Conc.Sal.05]))))),
0)</f>
        <v>0</v>
      </c>
      <c r="K41" s="93">
        <f t="array" ref="K41">IFERROR(
AVERAGE((IF(DATOS_[[Sexo]:[Sexo]]=$B41,IF(DATOS_[[AGRUP. VALOR. PTO.]:[AGRUP. VALOR. PTO.]]=$B39,IF(DATOS_[[Check Periodo Ref.]:[Check Periodo Ref.]]="Dentro",DATOS_[Conc.Sal.06]))))),
0)</f>
        <v>0</v>
      </c>
      <c r="L41" s="93">
        <f t="array" ref="L41">IFERROR(
AVERAGE((IF(DATOS_[[Sexo]:[Sexo]]=$B41,IF(DATOS_[[AGRUP. VALOR. PTO.]:[AGRUP. VALOR. PTO.]]=$B39,IF(DATOS_[[Check Periodo Ref.]:[Check Periodo Ref.]]="Dentro",DATOS_[Conc.Sal.07]))))),
0)</f>
        <v>0</v>
      </c>
      <c r="M41" s="93">
        <f t="array" ref="M41">IFERROR(
AVERAGE((IF(DATOS_[[Sexo]:[Sexo]]=$B41,IF(DATOS_[[AGRUP. VALOR. PTO.]:[AGRUP. VALOR. PTO.]]=$B39,IF(DATOS_[[Check Periodo Ref.]:[Check Periodo Ref.]]="Dentro",DATOS_[Conc.Sal.08]))))),
0)</f>
        <v>0</v>
      </c>
      <c r="N41" s="93">
        <f t="array" ref="N41">IFERROR(
AVERAGE((IF(DATOS_[[Sexo]:[Sexo]]=$B41,IF(DATOS_[[AGRUP. VALOR. PTO.]:[AGRUP. VALOR. PTO.]]=$B39,IF(DATOS_[[Check Periodo Ref.]:[Check Periodo Ref.]]="Dentro",DATOS_[Conc.Sal.09]))))),
0)</f>
        <v>0</v>
      </c>
      <c r="O41" s="93">
        <f t="array" ref="O41">IFERROR(
AVERAGE((IF(DATOS_[[Sexo]:[Sexo]]=$B41,IF(DATOS_[[AGRUP. VALOR. PTO.]:[AGRUP. VALOR. PTO.]]=$B39,IF(DATOS_[[Check Periodo Ref.]:[Check Periodo Ref.]]="Dentro",DATOS_[Conc.Sal.10]))))),
0)</f>
        <v>0</v>
      </c>
      <c r="P41" s="93">
        <f t="array" ref="P41">IFERROR(
AVERAGE((IF(DATOS_[[Sexo]:[Sexo]]=$B41,IF(DATOS_[[AGRUP. VALOR. PTO.]:[AGRUP. VALOR. PTO.]]=$B39,IF(DATOS_[[Check Periodo Ref.]:[Check Periodo Ref.]]="Dentro",DATOS_[Conc.Sal.11]))))),
0)</f>
        <v>0</v>
      </c>
      <c r="Q41" s="93">
        <f t="array" ref="Q41">IFERROR(
AVERAGE((IF(DATOS_[[Sexo]:[Sexo]]=$B41,IF(DATOS_[[AGRUP. VALOR. PTO.]:[AGRUP. VALOR. PTO.]]=$B39,IF(DATOS_[[Check Periodo Ref.]:[Check Periodo Ref.]]="Dentro",DATOS_[Conc.Sal.12]))))),
0)</f>
        <v>0</v>
      </c>
      <c r="R41" s="93">
        <f t="array" ref="R41">IFERROR(
AVERAGE((IF(DATOS_[[Sexo]:[Sexo]]=$B41,IF(DATOS_[[AGRUP. VALOR. PTO.]:[AGRUP. VALOR. PTO.]]=$B39,IF(DATOS_[[Check Periodo Ref.]:[Check Periodo Ref.]]="Dentro",DATOS_[Conc.Sal.13]))))),
0)</f>
        <v>0</v>
      </c>
      <c r="S41" s="93">
        <f t="array" ref="S41">IFERROR(
AVERAGE((IF(DATOS_[[Sexo]:[Sexo]]=$B41,IF(DATOS_[[AGRUP. VALOR. PTO.]:[AGRUP. VALOR. PTO.]]=$B39,IF(DATOS_[[Check Periodo Ref.]:[Check Periodo Ref.]]="Dentro",DATOS_[Conc.Sal.14]))))),
0)</f>
        <v>0</v>
      </c>
      <c r="T41" s="93">
        <f t="array" ref="T41">IFERROR(
AVERAGE((IF(DATOS_[[Sexo]:[Sexo]]=$B41,IF(DATOS_[[AGRUP. VALOR. PTO.]:[AGRUP. VALOR. PTO.]]=$B39,IF(DATOS_[[Check Periodo Ref.]:[Check Periodo Ref.]]="Dentro",DATOS_[Conc.Sal.15]))))),
0)</f>
        <v>0</v>
      </c>
      <c r="U41" s="93">
        <f t="array" ref="U41">IFERROR(
AVERAGE((IF(DATOS_[[Sexo]:[Sexo]]=$B41,IF(DATOS_[[AGRUP. VALOR. PTO.]:[AGRUP. VALOR. PTO.]]=$B39,IF(DATOS_[[Check Periodo Ref.]:[Check Periodo Ref.]]="Dentro",DATOS_[Conc.Sal.16]))))),
0)</f>
        <v>0</v>
      </c>
      <c r="V41" s="93">
        <f t="array" ref="V41">IFERROR(
AVERAGE((IF(DATOS_[[Sexo]:[Sexo]]=$B41,IF(DATOS_[[AGRUP. VALOR. PTO.]:[AGRUP. VALOR. PTO.]]=$B39,IF(DATOS_[[Check Periodo Ref.]:[Check Periodo Ref.]]="Dentro",DATOS_[Conc.Sal.17]))))),
0)</f>
        <v>0</v>
      </c>
      <c r="W41" s="93">
        <f t="array" ref="W41">IFERROR(
AVERAGE((IF(DATOS_[[Sexo]:[Sexo]]=$B41,IF(DATOS_[[AGRUP. VALOR. PTO.]:[AGRUP. VALOR. PTO.]]=$B39,IF(DATOS_[[Check Periodo Ref.]:[Check Periodo Ref.]]="Dentro",DATOS_[Conc.Sal.18]))))),
0)</f>
        <v>0</v>
      </c>
      <c r="X41" s="93">
        <f t="array" ref="X41">IFERROR(
AVERAGE((IF(DATOS_[[Sexo]:[Sexo]]=$B41,IF(DATOS_[[AGRUP. VALOR. PTO.]:[AGRUP. VALOR. PTO.]]=$B39,IF(DATOS_[[Check Periodo Ref.]:[Check Periodo Ref.]]="Dentro",DATOS_[Conc.Sal.19]))))),
0)</f>
        <v>0</v>
      </c>
      <c r="Y41" s="93">
        <f t="array" ref="Y41">IFERROR(
AVERAGE((IF(DATOS_[[Sexo]:[Sexo]]=$B41,IF(DATOS_[[AGRUP. VALOR. PTO.]:[AGRUP. VALOR. PTO.]]=$B39,IF(DATOS_[[Check Periodo Ref.]:[Check Periodo Ref.]]="Dentro",DATOS_[Conc.Sal.20]))))),
0)</f>
        <v>0</v>
      </c>
      <c r="Z41" s="93">
        <f t="array" ref="Z41">IFERROR(
AVERAGE((IF(DATOS_[[Sexo]:[Sexo]]=$B41,IF(DATOS_[[AGRUP. VALOR. PTO.]:[AGRUP. VALOR. PTO.]]=$B39,IF(DATOS_[[Check Periodo Ref.]:[Check Periodo Ref.]]="Dentro",DATOS_[Conc.Sal.21]))))),
0)</f>
        <v>0</v>
      </c>
      <c r="AA41" s="93">
        <f t="array" ref="AA41">IFERROR(
AVERAGE((IF(DATOS_[[Sexo]:[Sexo]]=$B41,IF(DATOS_[[AGRUP. VALOR. PTO.]:[AGRUP. VALOR. PTO.]]=$B39,IF(DATOS_[[Check Periodo Ref.]:[Check Periodo Ref.]]="Dentro",DATOS_[Conc.Sal.22]))))),
0)</f>
        <v>0</v>
      </c>
      <c r="AB41" s="93">
        <f t="array" ref="AB41">IFERROR(
AVERAGE((IF(DATOS_[[Sexo]:[Sexo]]=$B41,IF(DATOS_[[AGRUP. VALOR. PTO.]:[AGRUP. VALOR. PTO.]]=$B39,IF(DATOS_[[Check Periodo Ref.]:[Check Periodo Ref.]]="Dentro",DATOS_[Conc.Sal.23]))))),
0)</f>
        <v>0</v>
      </c>
      <c r="AC41" s="93">
        <f t="array" ref="AC41">IFERROR(
AVERAGE((IF(DATOS_[[Sexo]:[Sexo]]=$B41,IF(DATOS_[[AGRUP. VALOR. PTO.]:[AGRUP. VALOR. PTO.]]=$B39,IF(DATOS_[[Check Periodo Ref.]:[Check Periodo Ref.]]="Dentro",DATOS_[Conc.Sal.24]))))),
0)</f>
        <v>0</v>
      </c>
      <c r="AD41" s="93">
        <f t="array" ref="AD41">IFERROR(
AVERAGE((IF(DATOS_[[Sexo]:[Sexo]]=$B41,IF(DATOS_[[AGRUP. VALOR. PTO.]:[AGRUP. VALOR. PTO.]]=$B39,IF(DATOS_[[Check Periodo Ref.]:[Check Periodo Ref.]]="Dentro",DATOS_[Conc.Sal.25]))))),
0)</f>
        <v>0</v>
      </c>
      <c r="AE41" s="93">
        <f t="array" ref="AE41">IFERROR(
AVERAGE((IF(DATOS_[[Sexo]:[Sexo]]=$B41,IF(DATOS_[[AGRUP. VALOR. PTO.]:[AGRUP. VALOR. PTO.]]=$B39,IF(DATOS_[[Check Periodo Ref.]:[Check Periodo Ref.]]="Dentro",DATOS_[Conc.Sal.26]))))),
0)</f>
        <v>0</v>
      </c>
      <c r="AF41" s="93">
        <f t="array" ref="AF41">IFERROR(
AVERAGE((IF(DATOS_[[Sexo]:[Sexo]]=$B41,IF(DATOS_[[AGRUP. VALOR. PTO.]:[AGRUP. VALOR. PTO.]]=$B39,IF(DATOS_[[Check Periodo Ref.]:[Check Periodo Ref.]]="Dentro",DATOS_[Conc.Sal.27]))))),
0)</f>
        <v>0</v>
      </c>
      <c r="AG41" s="93">
        <f t="array" ref="AG41">IFERROR(
AVERAGE((IF(DATOS_[[Sexo]:[Sexo]]=$B41,IF(DATOS_[[AGRUP. VALOR. PTO.]:[AGRUP. VALOR. PTO.]]=$B39,IF(DATOS_[[Check Periodo Ref.]:[Check Periodo Ref.]]="Dentro",DATOS_[Conc.Sal.28]))))),
0)</f>
        <v>0</v>
      </c>
      <c r="AH41" s="93">
        <f t="array" ref="AH41">IFERROR(
AVERAGE((IF(DATOS_[[Sexo]:[Sexo]]=$B41,IF(DATOS_[[AGRUP. VALOR. PTO.]:[AGRUP. VALOR. PTO.]]=$B39,IF(DATOS_[[Check Periodo Ref.]:[Check Periodo Ref.]]="Dentro",DATOS_[Conc.Sal.29]))))),
0)</f>
        <v>0</v>
      </c>
      <c r="AI41" s="93">
        <f t="array" ref="AI41">IFERROR(
AVERAGE((IF(DATOS_[[Sexo]:[Sexo]]=$B41,IF(DATOS_[[AGRUP. VALOR. PTO.]:[AGRUP. VALOR. PTO.]]=$B39,IF(DATOS_[[Check Periodo Ref.]:[Check Periodo Ref.]]="Dentro",DATOS_[Conc.Sal.30]))))),
0)</f>
        <v>0</v>
      </c>
      <c r="AJ41" s="94">
        <f t="array" ref="AJ41">IFERROR(
AVERAGE(IF(DATOS_[Sexo]=$B41,IF(DATOS_[AGRUP. VALOR. PTO.]=$B39,IF(DATOS_[Check Periodo Ref.]="Dentro",DATOS_[Tot COMPL.SAL Ef],FALSE)))),
0)</f>
        <v>0</v>
      </c>
      <c r="AK41" s="96">
        <f t="array" ref="AK41">IFERROR(
AVERAGE(IF(DATOS_[Sexo]=$B41,IF(DATOS_[AGRUP. VALOR. PTO.]=$B39,IF(DATOS_[Check Periodo Ref.]="Dentro",DATOS_[TOTAL SALARIO Ef],FALSE)))),
0)</f>
        <v>0</v>
      </c>
      <c r="AL41" s="95">
        <f t="array" ref="AL41">IFERROR(
AVERAGE((IF(DATOS_[[Sexo]:[Sexo]]=$B41,IF(DATOS_[[AGRUP. VALOR. PTO.]:[AGRUP. VALOR. PTO.]]=$B39,IF(DATOS_[[Check Periodo Ref.]:[Check Periodo Ref.]]="Dentro",DATOS_[C.Extra.01]))))),
0)</f>
        <v>0</v>
      </c>
      <c r="AM41" s="95">
        <f t="array" ref="AM41">IFERROR(
AVERAGE((IF(DATOS_[[Sexo]:[Sexo]]=$B41,IF(DATOS_[[AGRUP. VALOR. PTO.]:[AGRUP. VALOR. PTO.]]=$B39,IF(DATOS_[[Check Periodo Ref.]:[Check Periodo Ref.]]="Dentro",DATOS_[C.Extra.02]))))),
0)</f>
        <v>0</v>
      </c>
      <c r="AN41" s="95">
        <f t="array" ref="AN41">IFERROR(
AVERAGE((IF(DATOS_[[Sexo]:[Sexo]]=$B41,IF(DATOS_[[AGRUP. VALOR. PTO.]:[AGRUP. VALOR. PTO.]]=$B39,IF(DATOS_[[Check Periodo Ref.]:[Check Periodo Ref.]]="Dentro",DATOS_[C.Extra.03]))))),
0)</f>
        <v>0</v>
      </c>
      <c r="AO41" s="95">
        <f t="array" ref="AO41">IFERROR(
AVERAGE((IF(DATOS_[[Sexo]:[Sexo]]=$B41,IF(DATOS_[[AGRUP. VALOR. PTO.]:[AGRUP. VALOR. PTO.]]=$B39,IF(DATOS_[[Check Periodo Ref.]:[Check Periodo Ref.]]="Dentro",DATOS_[C.Extra.04]))))),
0)</f>
        <v>0</v>
      </c>
      <c r="AP41" s="95">
        <f t="array" ref="AP41">IFERROR(
AVERAGE((IF(DATOS_[[Sexo]:[Sexo]]=$B41,IF(DATOS_[[AGRUP. VALOR. PTO.]:[AGRUP. VALOR. PTO.]]=$B39,IF(DATOS_[[Check Periodo Ref.]:[Check Periodo Ref.]]="Dentro",DATOS_[C.Extra.05]))))),
0)</f>
        <v>0</v>
      </c>
      <c r="AQ41" s="97">
        <f t="array" ref="AQ41">IFERROR(
AVERAGE(IF(DATOS_[Sexo]=$B41,IF(DATOS_[AGRUP. VALOR. PTO.]=$B39,IF(DATOS_[Check Periodo Ref.]="Dentro",DATOS_[Tot Extrasalarial Ef],FALSE)))),
0)</f>
        <v>0</v>
      </c>
      <c r="AR41" s="98">
        <f t="array" ref="AR41">IFERROR(
AVERAGE(IF(DATOS_[Sexo]=$B41,IF(DATOS_[AGRUP. VALOR. PTO.]=$B39,IF(DATOS_[Check Periodo Ref.]="Dentro",DATOS_[TOTAL Retrib Ef],FALSE)))),
0)</f>
        <v>0</v>
      </c>
    </row>
    <row r="42" spans="1:44" ht="17.25" hidden="1" thickBot="1" x14ac:dyDescent="0.35">
      <c r="A42" s="48" t="str">
        <f t="shared" ref="A42" si="39">+A43</f>
        <v>[ocultar]</v>
      </c>
      <c r="B42" s="51" t="s">
        <v>269</v>
      </c>
      <c r="C42" s="91"/>
      <c r="D42" s="52"/>
      <c r="E42" s="139" t="str">
        <f t="shared" ref="E42:AR42" si="40">IFERROR((E43-E44)/E43,"")</f>
        <v/>
      </c>
      <c r="F42" s="179" t="str">
        <f t="shared" si="40"/>
        <v/>
      </c>
      <c r="G42" s="180" t="str">
        <f t="shared" si="40"/>
        <v/>
      </c>
      <c r="H42" s="180" t="str">
        <f t="shared" si="40"/>
        <v/>
      </c>
      <c r="I42" s="180" t="str">
        <f t="shared" si="40"/>
        <v/>
      </c>
      <c r="J42" s="181" t="str">
        <f t="shared" si="40"/>
        <v/>
      </c>
      <c r="K42" s="182" t="str">
        <f t="shared" si="40"/>
        <v/>
      </c>
      <c r="L42" s="182" t="str">
        <f t="shared" si="40"/>
        <v/>
      </c>
      <c r="M42" s="182" t="str">
        <f t="shared" si="40"/>
        <v/>
      </c>
      <c r="N42" s="182" t="str">
        <f t="shared" si="40"/>
        <v/>
      </c>
      <c r="O42" s="182" t="str">
        <f t="shared" si="40"/>
        <v/>
      </c>
      <c r="P42" s="182" t="str">
        <f t="shared" si="40"/>
        <v/>
      </c>
      <c r="Q42" s="182" t="str">
        <f t="shared" si="40"/>
        <v/>
      </c>
      <c r="R42" s="182" t="str">
        <f t="shared" si="40"/>
        <v/>
      </c>
      <c r="S42" s="182" t="str">
        <f t="shared" si="40"/>
        <v/>
      </c>
      <c r="T42" s="182" t="str">
        <f t="shared" si="40"/>
        <v/>
      </c>
      <c r="U42" s="182" t="str">
        <f t="shared" si="40"/>
        <v/>
      </c>
      <c r="V42" s="181" t="str">
        <f t="shared" si="40"/>
        <v/>
      </c>
      <c r="W42" s="181" t="str">
        <f t="shared" si="40"/>
        <v/>
      </c>
      <c r="X42" s="181" t="str">
        <f t="shared" si="40"/>
        <v/>
      </c>
      <c r="Y42" s="181" t="str">
        <f t="shared" si="40"/>
        <v/>
      </c>
      <c r="Z42" s="181" t="str">
        <f t="shared" si="40"/>
        <v/>
      </c>
      <c r="AA42" s="181" t="str">
        <f t="shared" si="40"/>
        <v/>
      </c>
      <c r="AB42" s="181" t="str">
        <f t="shared" si="40"/>
        <v/>
      </c>
      <c r="AC42" s="181" t="str">
        <f t="shared" si="40"/>
        <v/>
      </c>
      <c r="AD42" s="181" t="str">
        <f t="shared" si="40"/>
        <v/>
      </c>
      <c r="AE42" s="181" t="str">
        <f t="shared" si="40"/>
        <v/>
      </c>
      <c r="AF42" s="181" t="str">
        <f t="shared" si="40"/>
        <v/>
      </c>
      <c r="AG42" s="181" t="str">
        <f t="shared" si="40"/>
        <v/>
      </c>
      <c r="AH42" s="181" t="str">
        <f t="shared" si="40"/>
        <v/>
      </c>
      <c r="AI42" s="181" t="str">
        <f t="shared" si="40"/>
        <v/>
      </c>
      <c r="AJ42" s="140" t="str">
        <f t="shared" si="40"/>
        <v/>
      </c>
      <c r="AK42" s="143" t="str">
        <f t="shared" si="40"/>
        <v/>
      </c>
      <c r="AL42" s="184" t="str">
        <f t="shared" si="40"/>
        <v/>
      </c>
      <c r="AM42" s="184" t="str">
        <f t="shared" si="40"/>
        <v/>
      </c>
      <c r="AN42" s="184" t="str">
        <f t="shared" si="40"/>
        <v/>
      </c>
      <c r="AO42" s="184" t="str">
        <f t="shared" si="40"/>
        <v/>
      </c>
      <c r="AP42" s="184" t="str">
        <f t="shared" si="40"/>
        <v/>
      </c>
      <c r="AQ42" s="141" t="str">
        <f t="shared" si="40"/>
        <v/>
      </c>
      <c r="AR42" s="142" t="str">
        <f t="shared" si="40"/>
        <v/>
      </c>
    </row>
    <row r="43" spans="1:44" hidden="1" x14ac:dyDescent="0.3">
      <c r="A43" s="48" t="str">
        <f t="shared" ref="A43" si="41">+IF(C43+C44=0,"[ocultar]","")</f>
        <v>[ocultar]</v>
      </c>
      <c r="B43" s="46" t="s">
        <v>162</v>
      </c>
      <c r="C43" s="45">
        <f t="array" ref="C43">SUM(IF($B43=DATOS_[Sexo],
IF($B42=DATOS_[AGRUP. VALOR. PTO.],
IF("Dentro"=DATOS_[Check Periodo Ref.],
1/(COUNTIFS(DATOS_[Sexo],$B43,DATOS_[AGRUP. VALOR. PTO.],$B42,DATOS_[Check Periodo Ref.],"Dentro",DATOS_[id],DATOS_[id]))))))</f>
        <v>0</v>
      </c>
      <c r="D43" s="47">
        <f>COUNTIFS(DATOS_[AGRUP. VALOR. PTO.],$B42,DATOS_[Sexo],$B43,DATOS_[Check Periodo Ref.],"Dentro")</f>
        <v>0</v>
      </c>
      <c r="E43" s="92">
        <f t="array" ref="E43">IFERROR(
AVERAGE(IF(DATOS_[Sexo]=$B43,IF(DATOS_[AGRUP. VALOR. PTO.]=$B42,IF(DATOS_[Check Periodo Ref.]="Dentro",DATOS_[SALARIO BASE Ef],FALSE)))),
0)</f>
        <v>0</v>
      </c>
      <c r="F43" s="93">
        <f t="array" ref="F43">IFERROR(
AVERAGE((IF(DATOS_[[Sexo]:[Sexo]]=$B43,IF(DATOS_[[AGRUP. VALOR. PTO.]:[AGRUP. VALOR. PTO.]]=$B42,IF(DATOS_[[Check Periodo Ref.]:[Check Periodo Ref.]]="Dentro",DATOS_[Conc.Sal.01]))))),
0)</f>
        <v>0</v>
      </c>
      <c r="G43" s="93">
        <f t="array" ref="G43">IFERROR(
AVERAGE((IF(DATOS_[[Sexo]:[Sexo]]=$B43,IF(DATOS_[[AGRUP. VALOR. PTO.]:[AGRUP. VALOR. PTO.]]=$B42,IF(DATOS_[[Check Periodo Ref.]:[Check Periodo Ref.]]="Dentro",DATOS_[Conc.Sal.02]))))),
0)</f>
        <v>0</v>
      </c>
      <c r="H43" s="93">
        <f t="array" ref="H43">IFERROR(
AVERAGE((IF(DATOS_[[Sexo]:[Sexo]]=$B43,IF(DATOS_[[AGRUP. VALOR. PTO.]:[AGRUP. VALOR. PTO.]]=$B42,IF(DATOS_[[Check Periodo Ref.]:[Check Periodo Ref.]]="Dentro",DATOS_[Conc.Sal.03]))))),
0)</f>
        <v>0</v>
      </c>
      <c r="I43" s="93">
        <f t="array" ref="I43">IFERROR(
AVERAGE((IF(DATOS_[[Sexo]:[Sexo]]=$B43,IF(DATOS_[[AGRUP. VALOR. PTO.]:[AGRUP. VALOR. PTO.]]=$B42,IF(DATOS_[[Check Periodo Ref.]:[Check Periodo Ref.]]="Dentro",DATOS_[Conc.Sal.04]))))),
0)</f>
        <v>0</v>
      </c>
      <c r="J43" s="93">
        <f t="array" ref="J43">IFERROR(
AVERAGE((IF(DATOS_[[Sexo]:[Sexo]]=$B43,IF(DATOS_[[AGRUP. VALOR. PTO.]:[AGRUP. VALOR. PTO.]]=$B42,IF(DATOS_[[Check Periodo Ref.]:[Check Periodo Ref.]]="Dentro",DATOS_[Conc.Sal.05]))))),
0)</f>
        <v>0</v>
      </c>
      <c r="K43" s="93">
        <f t="array" ref="K43">IFERROR(
AVERAGE((IF(DATOS_[[Sexo]:[Sexo]]=$B43,IF(DATOS_[[AGRUP. VALOR. PTO.]:[AGRUP. VALOR. PTO.]]=$B42,IF(DATOS_[[Check Periodo Ref.]:[Check Periodo Ref.]]="Dentro",DATOS_[Conc.Sal.06]))))),
0)</f>
        <v>0</v>
      </c>
      <c r="L43" s="93">
        <f t="array" ref="L43">IFERROR(
AVERAGE((IF(DATOS_[[Sexo]:[Sexo]]=$B43,IF(DATOS_[[AGRUP. VALOR. PTO.]:[AGRUP. VALOR. PTO.]]=$B42,IF(DATOS_[[Check Periodo Ref.]:[Check Periodo Ref.]]="Dentro",DATOS_[Conc.Sal.07]))))),
0)</f>
        <v>0</v>
      </c>
      <c r="M43" s="93">
        <f t="array" ref="M43">IFERROR(
AVERAGE((IF(DATOS_[[Sexo]:[Sexo]]=$B43,IF(DATOS_[[AGRUP. VALOR. PTO.]:[AGRUP. VALOR. PTO.]]=$B42,IF(DATOS_[[Check Periodo Ref.]:[Check Periodo Ref.]]="Dentro",DATOS_[Conc.Sal.08]))))),
0)</f>
        <v>0</v>
      </c>
      <c r="N43" s="93">
        <f t="array" ref="N43">IFERROR(
AVERAGE((IF(DATOS_[[Sexo]:[Sexo]]=$B43,IF(DATOS_[[AGRUP. VALOR. PTO.]:[AGRUP. VALOR. PTO.]]=$B42,IF(DATOS_[[Check Periodo Ref.]:[Check Periodo Ref.]]="Dentro",DATOS_[Conc.Sal.09]))))),
0)</f>
        <v>0</v>
      </c>
      <c r="O43" s="93">
        <f t="array" ref="O43">IFERROR(
AVERAGE((IF(DATOS_[[Sexo]:[Sexo]]=$B43,IF(DATOS_[[AGRUP. VALOR. PTO.]:[AGRUP. VALOR. PTO.]]=$B42,IF(DATOS_[[Check Periodo Ref.]:[Check Periodo Ref.]]="Dentro",DATOS_[Conc.Sal.10]))))),
0)</f>
        <v>0</v>
      </c>
      <c r="P43" s="93">
        <f t="array" ref="P43">IFERROR(
AVERAGE((IF(DATOS_[[Sexo]:[Sexo]]=$B43,IF(DATOS_[[AGRUP. VALOR. PTO.]:[AGRUP. VALOR. PTO.]]=$B42,IF(DATOS_[[Check Periodo Ref.]:[Check Periodo Ref.]]="Dentro",DATOS_[Conc.Sal.11]))))),
0)</f>
        <v>0</v>
      </c>
      <c r="Q43" s="93">
        <f t="array" ref="Q43">IFERROR(
AVERAGE((IF(DATOS_[[Sexo]:[Sexo]]=$B43,IF(DATOS_[[AGRUP. VALOR. PTO.]:[AGRUP. VALOR. PTO.]]=$B42,IF(DATOS_[[Check Periodo Ref.]:[Check Periodo Ref.]]="Dentro",DATOS_[Conc.Sal.12]))))),
0)</f>
        <v>0</v>
      </c>
      <c r="R43" s="93">
        <f t="array" ref="R43">IFERROR(
AVERAGE((IF(DATOS_[[Sexo]:[Sexo]]=$B43,IF(DATOS_[[AGRUP. VALOR. PTO.]:[AGRUP. VALOR. PTO.]]=$B42,IF(DATOS_[[Check Periodo Ref.]:[Check Periodo Ref.]]="Dentro",DATOS_[Conc.Sal.13]))))),
0)</f>
        <v>0</v>
      </c>
      <c r="S43" s="93">
        <f t="array" ref="S43">IFERROR(
AVERAGE((IF(DATOS_[[Sexo]:[Sexo]]=$B43,IF(DATOS_[[AGRUP. VALOR. PTO.]:[AGRUP. VALOR. PTO.]]=$B42,IF(DATOS_[[Check Periodo Ref.]:[Check Periodo Ref.]]="Dentro",DATOS_[Conc.Sal.14]))))),
0)</f>
        <v>0</v>
      </c>
      <c r="T43" s="93">
        <f t="array" ref="T43">IFERROR(
AVERAGE((IF(DATOS_[[Sexo]:[Sexo]]=$B43,IF(DATOS_[[AGRUP. VALOR. PTO.]:[AGRUP. VALOR. PTO.]]=$B42,IF(DATOS_[[Check Periodo Ref.]:[Check Periodo Ref.]]="Dentro",DATOS_[Conc.Sal.15]))))),
0)</f>
        <v>0</v>
      </c>
      <c r="U43" s="93">
        <f t="array" ref="U43">IFERROR(
AVERAGE((IF(DATOS_[[Sexo]:[Sexo]]=$B43,IF(DATOS_[[AGRUP. VALOR. PTO.]:[AGRUP. VALOR. PTO.]]=$B42,IF(DATOS_[[Check Periodo Ref.]:[Check Periodo Ref.]]="Dentro",DATOS_[Conc.Sal.16]))))),
0)</f>
        <v>0</v>
      </c>
      <c r="V43" s="93">
        <f t="array" ref="V43">IFERROR(
AVERAGE((IF(DATOS_[[Sexo]:[Sexo]]=$B43,IF(DATOS_[[AGRUP. VALOR. PTO.]:[AGRUP. VALOR. PTO.]]=$B42,IF(DATOS_[[Check Periodo Ref.]:[Check Periodo Ref.]]="Dentro",DATOS_[Conc.Sal.17]))))),
0)</f>
        <v>0</v>
      </c>
      <c r="W43" s="93">
        <f t="array" ref="W43">IFERROR(
AVERAGE((IF(DATOS_[[Sexo]:[Sexo]]=$B43,IF(DATOS_[[AGRUP. VALOR. PTO.]:[AGRUP. VALOR. PTO.]]=$B42,IF(DATOS_[[Check Periodo Ref.]:[Check Periodo Ref.]]="Dentro",DATOS_[Conc.Sal.18]))))),
0)</f>
        <v>0</v>
      </c>
      <c r="X43" s="93">
        <f t="array" ref="X43">IFERROR(
AVERAGE((IF(DATOS_[[Sexo]:[Sexo]]=$B43,IF(DATOS_[[AGRUP. VALOR. PTO.]:[AGRUP. VALOR. PTO.]]=$B42,IF(DATOS_[[Check Periodo Ref.]:[Check Periodo Ref.]]="Dentro",DATOS_[Conc.Sal.19]))))),
0)</f>
        <v>0</v>
      </c>
      <c r="Y43" s="93">
        <f t="array" ref="Y43">IFERROR(
AVERAGE((IF(DATOS_[[Sexo]:[Sexo]]=$B43,IF(DATOS_[[AGRUP. VALOR. PTO.]:[AGRUP. VALOR. PTO.]]=$B42,IF(DATOS_[[Check Periodo Ref.]:[Check Periodo Ref.]]="Dentro",DATOS_[Conc.Sal.20]))))),
0)</f>
        <v>0</v>
      </c>
      <c r="Z43" s="93">
        <f t="array" ref="Z43">IFERROR(
AVERAGE((IF(DATOS_[[Sexo]:[Sexo]]=$B43,IF(DATOS_[[AGRUP. VALOR. PTO.]:[AGRUP. VALOR. PTO.]]=$B42,IF(DATOS_[[Check Periodo Ref.]:[Check Periodo Ref.]]="Dentro",DATOS_[Conc.Sal.21]))))),
0)</f>
        <v>0</v>
      </c>
      <c r="AA43" s="93">
        <f t="array" ref="AA43">IFERROR(
AVERAGE((IF(DATOS_[[Sexo]:[Sexo]]=$B43,IF(DATOS_[[AGRUP. VALOR. PTO.]:[AGRUP. VALOR. PTO.]]=$B42,IF(DATOS_[[Check Periodo Ref.]:[Check Periodo Ref.]]="Dentro",DATOS_[Conc.Sal.22]))))),
0)</f>
        <v>0</v>
      </c>
      <c r="AB43" s="93">
        <f t="array" ref="AB43">IFERROR(
AVERAGE((IF(DATOS_[[Sexo]:[Sexo]]=$B43,IF(DATOS_[[AGRUP. VALOR. PTO.]:[AGRUP. VALOR. PTO.]]=$B42,IF(DATOS_[[Check Periodo Ref.]:[Check Periodo Ref.]]="Dentro",DATOS_[Conc.Sal.23]))))),
0)</f>
        <v>0</v>
      </c>
      <c r="AC43" s="93">
        <f t="array" ref="AC43">IFERROR(
AVERAGE((IF(DATOS_[[Sexo]:[Sexo]]=$B43,IF(DATOS_[[AGRUP. VALOR. PTO.]:[AGRUP. VALOR. PTO.]]=$B42,IF(DATOS_[[Check Periodo Ref.]:[Check Periodo Ref.]]="Dentro",DATOS_[Conc.Sal.24]))))),
0)</f>
        <v>0</v>
      </c>
      <c r="AD43" s="93">
        <f t="array" ref="AD43">IFERROR(
AVERAGE((IF(DATOS_[[Sexo]:[Sexo]]=$B43,IF(DATOS_[[AGRUP. VALOR. PTO.]:[AGRUP. VALOR. PTO.]]=$B42,IF(DATOS_[[Check Periodo Ref.]:[Check Periodo Ref.]]="Dentro",DATOS_[Conc.Sal.25]))))),
0)</f>
        <v>0</v>
      </c>
      <c r="AE43" s="93">
        <f t="array" ref="AE43">IFERROR(
AVERAGE((IF(DATOS_[[Sexo]:[Sexo]]=$B43,IF(DATOS_[[AGRUP. VALOR. PTO.]:[AGRUP. VALOR. PTO.]]=$B42,IF(DATOS_[[Check Periodo Ref.]:[Check Periodo Ref.]]="Dentro",DATOS_[Conc.Sal.26]))))),
0)</f>
        <v>0</v>
      </c>
      <c r="AF43" s="93">
        <f t="array" ref="AF43">IFERROR(
AVERAGE((IF(DATOS_[[Sexo]:[Sexo]]=$B43,IF(DATOS_[[AGRUP. VALOR. PTO.]:[AGRUP. VALOR. PTO.]]=$B42,IF(DATOS_[[Check Periodo Ref.]:[Check Periodo Ref.]]="Dentro",DATOS_[Conc.Sal.27]))))),
0)</f>
        <v>0</v>
      </c>
      <c r="AG43" s="93">
        <f t="array" ref="AG43">IFERROR(
AVERAGE((IF(DATOS_[[Sexo]:[Sexo]]=$B43,IF(DATOS_[[AGRUP. VALOR. PTO.]:[AGRUP. VALOR. PTO.]]=$B42,IF(DATOS_[[Check Periodo Ref.]:[Check Periodo Ref.]]="Dentro",DATOS_[Conc.Sal.28]))))),
0)</f>
        <v>0</v>
      </c>
      <c r="AH43" s="93">
        <f t="array" ref="AH43">IFERROR(
AVERAGE((IF(DATOS_[[Sexo]:[Sexo]]=$B43,IF(DATOS_[[AGRUP. VALOR. PTO.]:[AGRUP. VALOR. PTO.]]=$B42,IF(DATOS_[[Check Periodo Ref.]:[Check Periodo Ref.]]="Dentro",DATOS_[Conc.Sal.29]))))),
0)</f>
        <v>0</v>
      </c>
      <c r="AI43" s="93">
        <f t="array" ref="AI43">IFERROR(
AVERAGE((IF(DATOS_[[Sexo]:[Sexo]]=$B43,IF(DATOS_[[AGRUP. VALOR. PTO.]:[AGRUP. VALOR. PTO.]]=$B42,IF(DATOS_[[Check Periodo Ref.]:[Check Periodo Ref.]]="Dentro",DATOS_[Conc.Sal.30]))))),
0)</f>
        <v>0</v>
      </c>
      <c r="AJ43" s="94">
        <f t="array" ref="AJ43">IFERROR(
AVERAGE(IF(DATOS_[Sexo]=$B43,IF(DATOS_[AGRUP. VALOR. PTO.]=$B42,IF(DATOS_[Check Periodo Ref.]="Dentro",DATOS_[Tot COMPL.SAL Ef],FALSE)))),
0)</f>
        <v>0</v>
      </c>
      <c r="AK43" s="96">
        <f t="array" ref="AK43">IFERROR(
AVERAGE(IF(DATOS_[Sexo]=$B43,IF(DATOS_[AGRUP. VALOR. PTO.]=$B42,IF(DATOS_[Check Periodo Ref.]="Dentro",DATOS_[TOTAL SALARIO Ef],FALSE)))),
0)</f>
        <v>0</v>
      </c>
      <c r="AL43" s="95">
        <f t="array" ref="AL43">IFERROR(
AVERAGE((IF(DATOS_[[Sexo]:[Sexo]]=$B43,IF(DATOS_[[AGRUP. VALOR. PTO.]:[AGRUP. VALOR. PTO.]]=$B42,IF(DATOS_[[Check Periodo Ref.]:[Check Periodo Ref.]]="Dentro",DATOS_[C.Extra.01]))))),
0)</f>
        <v>0</v>
      </c>
      <c r="AM43" s="95">
        <f t="array" ref="AM43">IFERROR(
AVERAGE((IF(DATOS_[[Sexo]:[Sexo]]=$B43,IF(DATOS_[[AGRUP. VALOR. PTO.]:[AGRUP. VALOR. PTO.]]=$B42,IF(DATOS_[[Check Periodo Ref.]:[Check Periodo Ref.]]="Dentro",DATOS_[C.Extra.02]))))),
0)</f>
        <v>0</v>
      </c>
      <c r="AN43" s="95">
        <f t="array" ref="AN43">IFERROR(
AVERAGE((IF(DATOS_[[Sexo]:[Sexo]]=$B43,IF(DATOS_[[AGRUP. VALOR. PTO.]:[AGRUP. VALOR. PTO.]]=$B42,IF(DATOS_[[Check Periodo Ref.]:[Check Periodo Ref.]]="Dentro",DATOS_[C.Extra.03]))))),
0)</f>
        <v>0</v>
      </c>
      <c r="AO43" s="95">
        <f t="array" ref="AO43">IFERROR(
AVERAGE((IF(DATOS_[[Sexo]:[Sexo]]=$B43,IF(DATOS_[[AGRUP. VALOR. PTO.]:[AGRUP. VALOR. PTO.]]=$B42,IF(DATOS_[[Check Periodo Ref.]:[Check Periodo Ref.]]="Dentro",DATOS_[C.Extra.04]))))),
0)</f>
        <v>0</v>
      </c>
      <c r="AP43" s="95">
        <f t="array" ref="AP43">IFERROR(
AVERAGE((IF(DATOS_[[Sexo]:[Sexo]]=$B43,IF(DATOS_[[AGRUP. VALOR. PTO.]:[AGRUP. VALOR. PTO.]]=$B42,IF(DATOS_[[Check Periodo Ref.]:[Check Periodo Ref.]]="Dentro",DATOS_[C.Extra.05]))))),
0)</f>
        <v>0</v>
      </c>
      <c r="AQ43" s="97">
        <f t="array" ref="AQ43">IFERROR(
AVERAGE(IF(DATOS_[Sexo]=$B43,IF(DATOS_[AGRUP. VALOR. PTO.]=$B42,IF(DATOS_[Check Periodo Ref.]="Dentro",DATOS_[Tot Extrasalarial Ef],FALSE)))),
0)</f>
        <v>0</v>
      </c>
      <c r="AR43" s="98">
        <f t="array" ref="AR43">IFERROR(
AVERAGE(IF(DATOS_[Sexo]=$B43,IF(DATOS_[AGRUP. VALOR. PTO.]=$B42,IF(DATOS_[Check Periodo Ref.]="Dentro",DATOS_[TOTAL Retrib Ef],FALSE)))),
0)</f>
        <v>0</v>
      </c>
    </row>
    <row r="44" spans="1:44" hidden="1" x14ac:dyDescent="0.3">
      <c r="A44" s="48" t="str">
        <f t="shared" ref="A44" si="42">+A43</f>
        <v>[ocultar]</v>
      </c>
      <c r="B44" s="46" t="s">
        <v>163</v>
      </c>
      <c r="C44" s="45">
        <f t="array" ref="C44">SUM(IF($B44=DATOS_[Sexo],
IF($B42=DATOS_[AGRUP. VALOR. PTO.],
IF("Dentro"=DATOS_[Check Periodo Ref.],
1/(COUNTIFS(DATOS_[Sexo],$B44,DATOS_[AGRUP. VALOR. PTO.],$B42,DATOS_[Check Periodo Ref.],"Dentro",DATOS_[id],DATOS_[id]))))))</f>
        <v>0</v>
      </c>
      <c r="D44" s="47">
        <f>COUNTIFS(DATOS_[AGRUP. VALOR. PTO.],$B42,DATOS_[Sexo],$B44,DATOS_[Check Periodo Ref.],"Dentro")</f>
        <v>0</v>
      </c>
      <c r="E44" s="92">
        <f t="array" ref="E44">IFERROR(
AVERAGE(IF(DATOS_[Sexo]=$B44,IF(DATOS_[AGRUP. VALOR. PTO.]=$B42,IF(DATOS_[Check Periodo Ref.]="Dentro",DATOS_[SALARIO BASE Ef],FALSE)))),
0)</f>
        <v>0</v>
      </c>
      <c r="F44" s="93">
        <f t="array" ref="F44">IFERROR(
AVERAGE((IF(DATOS_[[Sexo]:[Sexo]]=$B44,IF(DATOS_[[AGRUP. VALOR. PTO.]:[AGRUP. VALOR. PTO.]]=$B42,IF(DATOS_[[Check Periodo Ref.]:[Check Periodo Ref.]]="Dentro",DATOS_[Conc.Sal.01]))))),
0)</f>
        <v>0</v>
      </c>
      <c r="G44" s="93">
        <f t="array" ref="G44">IFERROR(
AVERAGE((IF(DATOS_[[Sexo]:[Sexo]]=$B44,IF(DATOS_[[AGRUP. VALOR. PTO.]:[AGRUP. VALOR. PTO.]]=$B42,IF(DATOS_[[Check Periodo Ref.]:[Check Periodo Ref.]]="Dentro",DATOS_[Conc.Sal.02]))))),
0)</f>
        <v>0</v>
      </c>
      <c r="H44" s="93">
        <f t="array" ref="H44">IFERROR(
AVERAGE((IF(DATOS_[[Sexo]:[Sexo]]=$B44,IF(DATOS_[[AGRUP. VALOR. PTO.]:[AGRUP. VALOR. PTO.]]=$B42,IF(DATOS_[[Check Periodo Ref.]:[Check Periodo Ref.]]="Dentro",DATOS_[Conc.Sal.03]))))),
0)</f>
        <v>0</v>
      </c>
      <c r="I44" s="93">
        <f t="array" ref="I44">IFERROR(
AVERAGE((IF(DATOS_[[Sexo]:[Sexo]]=$B44,IF(DATOS_[[AGRUP. VALOR. PTO.]:[AGRUP. VALOR. PTO.]]=$B42,IF(DATOS_[[Check Periodo Ref.]:[Check Periodo Ref.]]="Dentro",DATOS_[Conc.Sal.04]))))),
0)</f>
        <v>0</v>
      </c>
      <c r="J44" s="93">
        <f t="array" ref="J44">IFERROR(
AVERAGE((IF(DATOS_[[Sexo]:[Sexo]]=$B44,IF(DATOS_[[AGRUP. VALOR. PTO.]:[AGRUP. VALOR. PTO.]]=$B42,IF(DATOS_[[Check Periodo Ref.]:[Check Periodo Ref.]]="Dentro",DATOS_[Conc.Sal.05]))))),
0)</f>
        <v>0</v>
      </c>
      <c r="K44" s="93">
        <f t="array" ref="K44">IFERROR(
AVERAGE((IF(DATOS_[[Sexo]:[Sexo]]=$B44,IF(DATOS_[[AGRUP. VALOR. PTO.]:[AGRUP. VALOR. PTO.]]=$B42,IF(DATOS_[[Check Periodo Ref.]:[Check Periodo Ref.]]="Dentro",DATOS_[Conc.Sal.06]))))),
0)</f>
        <v>0</v>
      </c>
      <c r="L44" s="93">
        <f t="array" ref="L44">IFERROR(
AVERAGE((IF(DATOS_[[Sexo]:[Sexo]]=$B44,IF(DATOS_[[AGRUP. VALOR. PTO.]:[AGRUP. VALOR. PTO.]]=$B42,IF(DATOS_[[Check Periodo Ref.]:[Check Periodo Ref.]]="Dentro",DATOS_[Conc.Sal.07]))))),
0)</f>
        <v>0</v>
      </c>
      <c r="M44" s="93">
        <f t="array" ref="M44">IFERROR(
AVERAGE((IF(DATOS_[[Sexo]:[Sexo]]=$B44,IF(DATOS_[[AGRUP. VALOR. PTO.]:[AGRUP. VALOR. PTO.]]=$B42,IF(DATOS_[[Check Periodo Ref.]:[Check Periodo Ref.]]="Dentro",DATOS_[Conc.Sal.08]))))),
0)</f>
        <v>0</v>
      </c>
      <c r="N44" s="93">
        <f t="array" ref="N44">IFERROR(
AVERAGE((IF(DATOS_[[Sexo]:[Sexo]]=$B44,IF(DATOS_[[AGRUP. VALOR. PTO.]:[AGRUP. VALOR. PTO.]]=$B42,IF(DATOS_[[Check Periodo Ref.]:[Check Periodo Ref.]]="Dentro",DATOS_[Conc.Sal.09]))))),
0)</f>
        <v>0</v>
      </c>
      <c r="O44" s="93">
        <f t="array" ref="O44">IFERROR(
AVERAGE((IF(DATOS_[[Sexo]:[Sexo]]=$B44,IF(DATOS_[[AGRUP. VALOR. PTO.]:[AGRUP. VALOR. PTO.]]=$B42,IF(DATOS_[[Check Periodo Ref.]:[Check Periodo Ref.]]="Dentro",DATOS_[Conc.Sal.10]))))),
0)</f>
        <v>0</v>
      </c>
      <c r="P44" s="93">
        <f t="array" ref="P44">IFERROR(
AVERAGE((IF(DATOS_[[Sexo]:[Sexo]]=$B44,IF(DATOS_[[AGRUP. VALOR. PTO.]:[AGRUP. VALOR. PTO.]]=$B42,IF(DATOS_[[Check Periodo Ref.]:[Check Periodo Ref.]]="Dentro",DATOS_[Conc.Sal.11]))))),
0)</f>
        <v>0</v>
      </c>
      <c r="Q44" s="93">
        <f t="array" ref="Q44">IFERROR(
AVERAGE((IF(DATOS_[[Sexo]:[Sexo]]=$B44,IF(DATOS_[[AGRUP. VALOR. PTO.]:[AGRUP. VALOR. PTO.]]=$B42,IF(DATOS_[[Check Periodo Ref.]:[Check Periodo Ref.]]="Dentro",DATOS_[Conc.Sal.12]))))),
0)</f>
        <v>0</v>
      </c>
      <c r="R44" s="93">
        <f t="array" ref="R44">IFERROR(
AVERAGE((IF(DATOS_[[Sexo]:[Sexo]]=$B44,IF(DATOS_[[AGRUP. VALOR. PTO.]:[AGRUP. VALOR. PTO.]]=$B42,IF(DATOS_[[Check Periodo Ref.]:[Check Periodo Ref.]]="Dentro",DATOS_[Conc.Sal.13]))))),
0)</f>
        <v>0</v>
      </c>
      <c r="S44" s="93">
        <f t="array" ref="S44">IFERROR(
AVERAGE((IF(DATOS_[[Sexo]:[Sexo]]=$B44,IF(DATOS_[[AGRUP. VALOR. PTO.]:[AGRUP. VALOR. PTO.]]=$B42,IF(DATOS_[[Check Periodo Ref.]:[Check Periodo Ref.]]="Dentro",DATOS_[Conc.Sal.14]))))),
0)</f>
        <v>0</v>
      </c>
      <c r="T44" s="93">
        <f t="array" ref="T44">IFERROR(
AVERAGE((IF(DATOS_[[Sexo]:[Sexo]]=$B44,IF(DATOS_[[AGRUP. VALOR. PTO.]:[AGRUP. VALOR. PTO.]]=$B42,IF(DATOS_[[Check Periodo Ref.]:[Check Periodo Ref.]]="Dentro",DATOS_[Conc.Sal.15]))))),
0)</f>
        <v>0</v>
      </c>
      <c r="U44" s="93">
        <f t="array" ref="U44">IFERROR(
AVERAGE((IF(DATOS_[[Sexo]:[Sexo]]=$B44,IF(DATOS_[[AGRUP. VALOR. PTO.]:[AGRUP. VALOR. PTO.]]=$B42,IF(DATOS_[[Check Periodo Ref.]:[Check Periodo Ref.]]="Dentro",DATOS_[Conc.Sal.16]))))),
0)</f>
        <v>0</v>
      </c>
      <c r="V44" s="93">
        <f t="array" ref="V44">IFERROR(
AVERAGE((IF(DATOS_[[Sexo]:[Sexo]]=$B44,IF(DATOS_[[AGRUP. VALOR. PTO.]:[AGRUP. VALOR. PTO.]]=$B42,IF(DATOS_[[Check Periodo Ref.]:[Check Periodo Ref.]]="Dentro",DATOS_[Conc.Sal.17]))))),
0)</f>
        <v>0</v>
      </c>
      <c r="W44" s="93">
        <f t="array" ref="W44">IFERROR(
AVERAGE((IF(DATOS_[[Sexo]:[Sexo]]=$B44,IF(DATOS_[[AGRUP. VALOR. PTO.]:[AGRUP. VALOR. PTO.]]=$B42,IF(DATOS_[[Check Periodo Ref.]:[Check Periodo Ref.]]="Dentro",DATOS_[Conc.Sal.18]))))),
0)</f>
        <v>0</v>
      </c>
      <c r="X44" s="93">
        <f t="array" ref="X44">IFERROR(
AVERAGE((IF(DATOS_[[Sexo]:[Sexo]]=$B44,IF(DATOS_[[AGRUP. VALOR. PTO.]:[AGRUP. VALOR. PTO.]]=$B42,IF(DATOS_[[Check Periodo Ref.]:[Check Periodo Ref.]]="Dentro",DATOS_[Conc.Sal.19]))))),
0)</f>
        <v>0</v>
      </c>
      <c r="Y44" s="93">
        <f t="array" ref="Y44">IFERROR(
AVERAGE((IF(DATOS_[[Sexo]:[Sexo]]=$B44,IF(DATOS_[[AGRUP. VALOR. PTO.]:[AGRUP. VALOR. PTO.]]=$B42,IF(DATOS_[[Check Periodo Ref.]:[Check Periodo Ref.]]="Dentro",DATOS_[Conc.Sal.20]))))),
0)</f>
        <v>0</v>
      </c>
      <c r="Z44" s="93">
        <f t="array" ref="Z44">IFERROR(
AVERAGE((IF(DATOS_[[Sexo]:[Sexo]]=$B44,IF(DATOS_[[AGRUP. VALOR. PTO.]:[AGRUP. VALOR. PTO.]]=$B42,IF(DATOS_[[Check Periodo Ref.]:[Check Periodo Ref.]]="Dentro",DATOS_[Conc.Sal.21]))))),
0)</f>
        <v>0</v>
      </c>
      <c r="AA44" s="93">
        <f t="array" ref="AA44">IFERROR(
AVERAGE((IF(DATOS_[[Sexo]:[Sexo]]=$B44,IF(DATOS_[[AGRUP. VALOR. PTO.]:[AGRUP. VALOR. PTO.]]=$B42,IF(DATOS_[[Check Periodo Ref.]:[Check Periodo Ref.]]="Dentro",DATOS_[Conc.Sal.22]))))),
0)</f>
        <v>0</v>
      </c>
      <c r="AB44" s="93">
        <f t="array" ref="AB44">IFERROR(
AVERAGE((IF(DATOS_[[Sexo]:[Sexo]]=$B44,IF(DATOS_[[AGRUP. VALOR. PTO.]:[AGRUP. VALOR. PTO.]]=$B42,IF(DATOS_[[Check Periodo Ref.]:[Check Periodo Ref.]]="Dentro",DATOS_[Conc.Sal.23]))))),
0)</f>
        <v>0</v>
      </c>
      <c r="AC44" s="93">
        <f t="array" ref="AC44">IFERROR(
AVERAGE((IF(DATOS_[[Sexo]:[Sexo]]=$B44,IF(DATOS_[[AGRUP. VALOR. PTO.]:[AGRUP. VALOR. PTO.]]=$B42,IF(DATOS_[[Check Periodo Ref.]:[Check Periodo Ref.]]="Dentro",DATOS_[Conc.Sal.24]))))),
0)</f>
        <v>0</v>
      </c>
      <c r="AD44" s="93">
        <f t="array" ref="AD44">IFERROR(
AVERAGE((IF(DATOS_[[Sexo]:[Sexo]]=$B44,IF(DATOS_[[AGRUP. VALOR. PTO.]:[AGRUP. VALOR. PTO.]]=$B42,IF(DATOS_[[Check Periodo Ref.]:[Check Periodo Ref.]]="Dentro",DATOS_[Conc.Sal.25]))))),
0)</f>
        <v>0</v>
      </c>
      <c r="AE44" s="93">
        <f t="array" ref="AE44">IFERROR(
AVERAGE((IF(DATOS_[[Sexo]:[Sexo]]=$B44,IF(DATOS_[[AGRUP. VALOR. PTO.]:[AGRUP. VALOR. PTO.]]=$B42,IF(DATOS_[[Check Periodo Ref.]:[Check Periodo Ref.]]="Dentro",DATOS_[Conc.Sal.26]))))),
0)</f>
        <v>0</v>
      </c>
      <c r="AF44" s="93">
        <f t="array" ref="AF44">IFERROR(
AVERAGE((IF(DATOS_[[Sexo]:[Sexo]]=$B44,IF(DATOS_[[AGRUP. VALOR. PTO.]:[AGRUP. VALOR. PTO.]]=$B42,IF(DATOS_[[Check Periodo Ref.]:[Check Periodo Ref.]]="Dentro",DATOS_[Conc.Sal.27]))))),
0)</f>
        <v>0</v>
      </c>
      <c r="AG44" s="93">
        <f t="array" ref="AG44">IFERROR(
AVERAGE((IF(DATOS_[[Sexo]:[Sexo]]=$B44,IF(DATOS_[[AGRUP. VALOR. PTO.]:[AGRUP. VALOR. PTO.]]=$B42,IF(DATOS_[[Check Periodo Ref.]:[Check Periodo Ref.]]="Dentro",DATOS_[Conc.Sal.28]))))),
0)</f>
        <v>0</v>
      </c>
      <c r="AH44" s="93">
        <f t="array" ref="AH44">IFERROR(
AVERAGE((IF(DATOS_[[Sexo]:[Sexo]]=$B44,IF(DATOS_[[AGRUP. VALOR. PTO.]:[AGRUP. VALOR. PTO.]]=$B42,IF(DATOS_[[Check Periodo Ref.]:[Check Periodo Ref.]]="Dentro",DATOS_[Conc.Sal.29]))))),
0)</f>
        <v>0</v>
      </c>
      <c r="AI44" s="93">
        <f t="array" ref="AI44">IFERROR(
AVERAGE((IF(DATOS_[[Sexo]:[Sexo]]=$B44,IF(DATOS_[[AGRUP. VALOR. PTO.]:[AGRUP. VALOR. PTO.]]=$B42,IF(DATOS_[[Check Periodo Ref.]:[Check Periodo Ref.]]="Dentro",DATOS_[Conc.Sal.30]))))),
0)</f>
        <v>0</v>
      </c>
      <c r="AJ44" s="94">
        <f t="array" ref="AJ44">IFERROR(
AVERAGE(IF(DATOS_[Sexo]=$B44,IF(DATOS_[AGRUP. VALOR. PTO.]=$B42,IF(DATOS_[Check Periodo Ref.]="Dentro",DATOS_[Tot COMPL.SAL Ef],FALSE)))),
0)</f>
        <v>0</v>
      </c>
      <c r="AK44" s="96">
        <f t="array" ref="AK44">IFERROR(
AVERAGE(IF(DATOS_[Sexo]=$B44,IF(DATOS_[AGRUP. VALOR. PTO.]=$B42,IF(DATOS_[Check Periodo Ref.]="Dentro",DATOS_[TOTAL SALARIO Ef],FALSE)))),
0)</f>
        <v>0</v>
      </c>
      <c r="AL44" s="95">
        <f t="array" ref="AL44">IFERROR(
AVERAGE((IF(DATOS_[[Sexo]:[Sexo]]=$B44,IF(DATOS_[[AGRUP. VALOR. PTO.]:[AGRUP. VALOR. PTO.]]=$B42,IF(DATOS_[[Check Periodo Ref.]:[Check Periodo Ref.]]="Dentro",DATOS_[C.Extra.01]))))),
0)</f>
        <v>0</v>
      </c>
      <c r="AM44" s="95">
        <f t="array" ref="AM44">IFERROR(
AVERAGE((IF(DATOS_[[Sexo]:[Sexo]]=$B44,IF(DATOS_[[AGRUP. VALOR. PTO.]:[AGRUP. VALOR. PTO.]]=$B42,IF(DATOS_[[Check Periodo Ref.]:[Check Periodo Ref.]]="Dentro",DATOS_[C.Extra.02]))))),
0)</f>
        <v>0</v>
      </c>
      <c r="AN44" s="95">
        <f t="array" ref="AN44">IFERROR(
AVERAGE((IF(DATOS_[[Sexo]:[Sexo]]=$B44,IF(DATOS_[[AGRUP. VALOR. PTO.]:[AGRUP. VALOR. PTO.]]=$B42,IF(DATOS_[[Check Periodo Ref.]:[Check Periodo Ref.]]="Dentro",DATOS_[C.Extra.03]))))),
0)</f>
        <v>0</v>
      </c>
      <c r="AO44" s="95">
        <f t="array" ref="AO44">IFERROR(
AVERAGE((IF(DATOS_[[Sexo]:[Sexo]]=$B44,IF(DATOS_[[AGRUP. VALOR. PTO.]:[AGRUP. VALOR. PTO.]]=$B42,IF(DATOS_[[Check Periodo Ref.]:[Check Periodo Ref.]]="Dentro",DATOS_[C.Extra.04]))))),
0)</f>
        <v>0</v>
      </c>
      <c r="AP44" s="95">
        <f t="array" ref="AP44">IFERROR(
AVERAGE((IF(DATOS_[[Sexo]:[Sexo]]=$B44,IF(DATOS_[[AGRUP. VALOR. PTO.]:[AGRUP. VALOR. PTO.]]=$B42,IF(DATOS_[[Check Periodo Ref.]:[Check Periodo Ref.]]="Dentro",DATOS_[C.Extra.05]))))),
0)</f>
        <v>0</v>
      </c>
      <c r="AQ44" s="97">
        <f t="array" ref="AQ44">IFERROR(
AVERAGE(IF(DATOS_[Sexo]=$B44,IF(DATOS_[AGRUP. VALOR. PTO.]=$B42,IF(DATOS_[Check Periodo Ref.]="Dentro",DATOS_[Tot Extrasalarial Ef],FALSE)))),
0)</f>
        <v>0</v>
      </c>
      <c r="AR44" s="98">
        <f t="array" ref="AR44">IFERROR(
AVERAGE(IF(DATOS_[Sexo]=$B44,IF(DATOS_[AGRUP. VALOR. PTO.]=$B42,IF(DATOS_[Check Periodo Ref.]="Dentro",DATOS_[TOTAL Retrib Ef],FALSE)))),
0)</f>
        <v>0</v>
      </c>
    </row>
    <row r="45" spans="1:44" ht="17.25" hidden="1" thickBot="1" x14ac:dyDescent="0.35">
      <c r="A45" s="48" t="str">
        <f t="shared" ref="A45" si="43">+A46</f>
        <v>[ocultar]</v>
      </c>
      <c r="B45" s="51" t="s">
        <v>270</v>
      </c>
      <c r="C45" s="91"/>
      <c r="D45" s="52"/>
      <c r="E45" s="139" t="str">
        <f t="shared" ref="E45:AR45" si="44">IFERROR((E46-E47)/E46,"")</f>
        <v/>
      </c>
      <c r="F45" s="179" t="str">
        <f t="shared" si="44"/>
        <v/>
      </c>
      <c r="G45" s="180" t="str">
        <f t="shared" si="44"/>
        <v/>
      </c>
      <c r="H45" s="180" t="str">
        <f t="shared" si="44"/>
        <v/>
      </c>
      <c r="I45" s="180" t="str">
        <f t="shared" si="44"/>
        <v/>
      </c>
      <c r="J45" s="181" t="str">
        <f t="shared" si="44"/>
        <v/>
      </c>
      <c r="K45" s="182" t="str">
        <f t="shared" si="44"/>
        <v/>
      </c>
      <c r="L45" s="182" t="str">
        <f t="shared" si="44"/>
        <v/>
      </c>
      <c r="M45" s="182" t="str">
        <f t="shared" si="44"/>
        <v/>
      </c>
      <c r="N45" s="182" t="str">
        <f t="shared" si="44"/>
        <v/>
      </c>
      <c r="O45" s="182" t="str">
        <f t="shared" si="44"/>
        <v/>
      </c>
      <c r="P45" s="182" t="str">
        <f t="shared" si="44"/>
        <v/>
      </c>
      <c r="Q45" s="182" t="str">
        <f t="shared" si="44"/>
        <v/>
      </c>
      <c r="R45" s="182" t="str">
        <f t="shared" si="44"/>
        <v/>
      </c>
      <c r="S45" s="182" t="str">
        <f t="shared" si="44"/>
        <v/>
      </c>
      <c r="T45" s="182" t="str">
        <f t="shared" si="44"/>
        <v/>
      </c>
      <c r="U45" s="182" t="str">
        <f t="shared" si="44"/>
        <v/>
      </c>
      <c r="V45" s="181" t="str">
        <f t="shared" si="44"/>
        <v/>
      </c>
      <c r="W45" s="181" t="str">
        <f t="shared" si="44"/>
        <v/>
      </c>
      <c r="X45" s="181" t="str">
        <f t="shared" si="44"/>
        <v/>
      </c>
      <c r="Y45" s="181" t="str">
        <f t="shared" si="44"/>
        <v/>
      </c>
      <c r="Z45" s="181" t="str">
        <f t="shared" si="44"/>
        <v/>
      </c>
      <c r="AA45" s="181" t="str">
        <f t="shared" si="44"/>
        <v/>
      </c>
      <c r="AB45" s="181" t="str">
        <f t="shared" si="44"/>
        <v/>
      </c>
      <c r="AC45" s="181" t="str">
        <f t="shared" si="44"/>
        <v/>
      </c>
      <c r="AD45" s="181" t="str">
        <f t="shared" si="44"/>
        <v/>
      </c>
      <c r="AE45" s="181" t="str">
        <f t="shared" si="44"/>
        <v/>
      </c>
      <c r="AF45" s="181" t="str">
        <f t="shared" si="44"/>
        <v/>
      </c>
      <c r="AG45" s="181" t="str">
        <f t="shared" si="44"/>
        <v/>
      </c>
      <c r="AH45" s="181" t="str">
        <f t="shared" si="44"/>
        <v/>
      </c>
      <c r="AI45" s="181" t="str">
        <f t="shared" si="44"/>
        <v/>
      </c>
      <c r="AJ45" s="140" t="str">
        <f t="shared" si="44"/>
        <v/>
      </c>
      <c r="AK45" s="143" t="str">
        <f t="shared" si="44"/>
        <v/>
      </c>
      <c r="AL45" s="184" t="str">
        <f t="shared" si="44"/>
        <v/>
      </c>
      <c r="AM45" s="184" t="str">
        <f t="shared" si="44"/>
        <v/>
      </c>
      <c r="AN45" s="184" t="str">
        <f t="shared" si="44"/>
        <v/>
      </c>
      <c r="AO45" s="184" t="str">
        <f t="shared" si="44"/>
        <v/>
      </c>
      <c r="AP45" s="184" t="str">
        <f t="shared" si="44"/>
        <v/>
      </c>
      <c r="AQ45" s="141" t="str">
        <f t="shared" si="44"/>
        <v/>
      </c>
      <c r="AR45" s="142" t="str">
        <f t="shared" si="44"/>
        <v/>
      </c>
    </row>
    <row r="46" spans="1:44" hidden="1" x14ac:dyDescent="0.3">
      <c r="A46" s="48" t="str">
        <f t="shared" ref="A46" si="45">+IF(C46+C47=0,"[ocultar]","")</f>
        <v>[ocultar]</v>
      </c>
      <c r="B46" s="46" t="s">
        <v>162</v>
      </c>
      <c r="C46" s="45">
        <f t="array" ref="C46">SUM(IF($B46=DATOS_[Sexo],
IF($B45=DATOS_[AGRUP. VALOR. PTO.],
IF("Dentro"=DATOS_[Check Periodo Ref.],
1/(COUNTIFS(DATOS_[Sexo],$B46,DATOS_[AGRUP. VALOR. PTO.],$B45,DATOS_[Check Periodo Ref.],"Dentro",DATOS_[id],DATOS_[id]))))))</f>
        <v>0</v>
      </c>
      <c r="D46" s="47">
        <f>COUNTIFS(DATOS_[AGRUP. VALOR. PTO.],$B45,DATOS_[Sexo],$B46,DATOS_[Check Periodo Ref.],"Dentro")</f>
        <v>0</v>
      </c>
      <c r="E46" s="92">
        <f t="array" ref="E46">IFERROR(
AVERAGE(IF(DATOS_[Sexo]=$B46,IF(DATOS_[AGRUP. VALOR. PTO.]=$B45,IF(DATOS_[Check Periodo Ref.]="Dentro",DATOS_[SALARIO BASE Ef],FALSE)))),
0)</f>
        <v>0</v>
      </c>
      <c r="F46" s="93">
        <f t="array" ref="F46">IFERROR(
AVERAGE((IF(DATOS_[[Sexo]:[Sexo]]=$B46,IF(DATOS_[[AGRUP. VALOR. PTO.]:[AGRUP. VALOR. PTO.]]=$B45,IF(DATOS_[[Check Periodo Ref.]:[Check Periodo Ref.]]="Dentro",DATOS_[Conc.Sal.01]))))),
0)</f>
        <v>0</v>
      </c>
      <c r="G46" s="93">
        <f t="array" ref="G46">IFERROR(
AVERAGE((IF(DATOS_[[Sexo]:[Sexo]]=$B46,IF(DATOS_[[AGRUP. VALOR. PTO.]:[AGRUP. VALOR. PTO.]]=$B45,IF(DATOS_[[Check Periodo Ref.]:[Check Periodo Ref.]]="Dentro",DATOS_[Conc.Sal.02]))))),
0)</f>
        <v>0</v>
      </c>
      <c r="H46" s="93">
        <f t="array" ref="H46">IFERROR(
AVERAGE((IF(DATOS_[[Sexo]:[Sexo]]=$B46,IF(DATOS_[[AGRUP. VALOR. PTO.]:[AGRUP. VALOR. PTO.]]=$B45,IF(DATOS_[[Check Periodo Ref.]:[Check Periodo Ref.]]="Dentro",DATOS_[Conc.Sal.03]))))),
0)</f>
        <v>0</v>
      </c>
      <c r="I46" s="93">
        <f t="array" ref="I46">IFERROR(
AVERAGE((IF(DATOS_[[Sexo]:[Sexo]]=$B46,IF(DATOS_[[AGRUP. VALOR. PTO.]:[AGRUP. VALOR. PTO.]]=$B45,IF(DATOS_[[Check Periodo Ref.]:[Check Periodo Ref.]]="Dentro",DATOS_[Conc.Sal.04]))))),
0)</f>
        <v>0</v>
      </c>
      <c r="J46" s="93">
        <f t="array" ref="J46">IFERROR(
AVERAGE((IF(DATOS_[[Sexo]:[Sexo]]=$B46,IF(DATOS_[[AGRUP. VALOR. PTO.]:[AGRUP. VALOR. PTO.]]=$B45,IF(DATOS_[[Check Periodo Ref.]:[Check Periodo Ref.]]="Dentro",DATOS_[Conc.Sal.05]))))),
0)</f>
        <v>0</v>
      </c>
      <c r="K46" s="93">
        <f t="array" ref="K46">IFERROR(
AVERAGE((IF(DATOS_[[Sexo]:[Sexo]]=$B46,IF(DATOS_[[AGRUP. VALOR. PTO.]:[AGRUP. VALOR. PTO.]]=$B45,IF(DATOS_[[Check Periodo Ref.]:[Check Periodo Ref.]]="Dentro",DATOS_[Conc.Sal.06]))))),
0)</f>
        <v>0</v>
      </c>
      <c r="L46" s="93">
        <f t="array" ref="L46">IFERROR(
AVERAGE((IF(DATOS_[[Sexo]:[Sexo]]=$B46,IF(DATOS_[[AGRUP. VALOR. PTO.]:[AGRUP. VALOR. PTO.]]=$B45,IF(DATOS_[[Check Periodo Ref.]:[Check Periodo Ref.]]="Dentro",DATOS_[Conc.Sal.07]))))),
0)</f>
        <v>0</v>
      </c>
      <c r="M46" s="93">
        <f t="array" ref="M46">IFERROR(
AVERAGE((IF(DATOS_[[Sexo]:[Sexo]]=$B46,IF(DATOS_[[AGRUP. VALOR. PTO.]:[AGRUP. VALOR. PTO.]]=$B45,IF(DATOS_[[Check Periodo Ref.]:[Check Periodo Ref.]]="Dentro",DATOS_[Conc.Sal.08]))))),
0)</f>
        <v>0</v>
      </c>
      <c r="N46" s="93">
        <f t="array" ref="N46">IFERROR(
AVERAGE((IF(DATOS_[[Sexo]:[Sexo]]=$B46,IF(DATOS_[[AGRUP. VALOR. PTO.]:[AGRUP. VALOR. PTO.]]=$B45,IF(DATOS_[[Check Periodo Ref.]:[Check Periodo Ref.]]="Dentro",DATOS_[Conc.Sal.09]))))),
0)</f>
        <v>0</v>
      </c>
      <c r="O46" s="93">
        <f t="array" ref="O46">IFERROR(
AVERAGE((IF(DATOS_[[Sexo]:[Sexo]]=$B46,IF(DATOS_[[AGRUP. VALOR. PTO.]:[AGRUP. VALOR. PTO.]]=$B45,IF(DATOS_[[Check Periodo Ref.]:[Check Periodo Ref.]]="Dentro",DATOS_[Conc.Sal.10]))))),
0)</f>
        <v>0</v>
      </c>
      <c r="P46" s="93">
        <f t="array" ref="P46">IFERROR(
AVERAGE((IF(DATOS_[[Sexo]:[Sexo]]=$B46,IF(DATOS_[[AGRUP. VALOR. PTO.]:[AGRUP. VALOR. PTO.]]=$B45,IF(DATOS_[[Check Periodo Ref.]:[Check Periodo Ref.]]="Dentro",DATOS_[Conc.Sal.11]))))),
0)</f>
        <v>0</v>
      </c>
      <c r="Q46" s="93">
        <f t="array" ref="Q46">IFERROR(
AVERAGE((IF(DATOS_[[Sexo]:[Sexo]]=$B46,IF(DATOS_[[AGRUP. VALOR. PTO.]:[AGRUP. VALOR. PTO.]]=$B45,IF(DATOS_[[Check Periodo Ref.]:[Check Periodo Ref.]]="Dentro",DATOS_[Conc.Sal.12]))))),
0)</f>
        <v>0</v>
      </c>
      <c r="R46" s="93">
        <f t="array" ref="R46">IFERROR(
AVERAGE((IF(DATOS_[[Sexo]:[Sexo]]=$B46,IF(DATOS_[[AGRUP. VALOR. PTO.]:[AGRUP. VALOR. PTO.]]=$B45,IF(DATOS_[[Check Periodo Ref.]:[Check Periodo Ref.]]="Dentro",DATOS_[Conc.Sal.13]))))),
0)</f>
        <v>0</v>
      </c>
      <c r="S46" s="93">
        <f t="array" ref="S46">IFERROR(
AVERAGE((IF(DATOS_[[Sexo]:[Sexo]]=$B46,IF(DATOS_[[AGRUP. VALOR. PTO.]:[AGRUP. VALOR. PTO.]]=$B45,IF(DATOS_[[Check Periodo Ref.]:[Check Periodo Ref.]]="Dentro",DATOS_[Conc.Sal.14]))))),
0)</f>
        <v>0</v>
      </c>
      <c r="T46" s="93">
        <f t="array" ref="T46">IFERROR(
AVERAGE((IF(DATOS_[[Sexo]:[Sexo]]=$B46,IF(DATOS_[[AGRUP. VALOR. PTO.]:[AGRUP. VALOR. PTO.]]=$B45,IF(DATOS_[[Check Periodo Ref.]:[Check Periodo Ref.]]="Dentro",DATOS_[Conc.Sal.15]))))),
0)</f>
        <v>0</v>
      </c>
      <c r="U46" s="93">
        <f t="array" ref="U46">IFERROR(
AVERAGE((IF(DATOS_[[Sexo]:[Sexo]]=$B46,IF(DATOS_[[AGRUP. VALOR. PTO.]:[AGRUP. VALOR. PTO.]]=$B45,IF(DATOS_[[Check Periodo Ref.]:[Check Periodo Ref.]]="Dentro",DATOS_[Conc.Sal.16]))))),
0)</f>
        <v>0</v>
      </c>
      <c r="V46" s="93">
        <f t="array" ref="V46">IFERROR(
AVERAGE((IF(DATOS_[[Sexo]:[Sexo]]=$B46,IF(DATOS_[[AGRUP. VALOR. PTO.]:[AGRUP. VALOR. PTO.]]=$B45,IF(DATOS_[[Check Periodo Ref.]:[Check Periodo Ref.]]="Dentro",DATOS_[Conc.Sal.17]))))),
0)</f>
        <v>0</v>
      </c>
      <c r="W46" s="93">
        <f t="array" ref="W46">IFERROR(
AVERAGE((IF(DATOS_[[Sexo]:[Sexo]]=$B46,IF(DATOS_[[AGRUP. VALOR. PTO.]:[AGRUP. VALOR. PTO.]]=$B45,IF(DATOS_[[Check Periodo Ref.]:[Check Periodo Ref.]]="Dentro",DATOS_[Conc.Sal.18]))))),
0)</f>
        <v>0</v>
      </c>
      <c r="X46" s="93">
        <f t="array" ref="X46">IFERROR(
AVERAGE((IF(DATOS_[[Sexo]:[Sexo]]=$B46,IF(DATOS_[[AGRUP. VALOR. PTO.]:[AGRUP. VALOR. PTO.]]=$B45,IF(DATOS_[[Check Periodo Ref.]:[Check Periodo Ref.]]="Dentro",DATOS_[Conc.Sal.19]))))),
0)</f>
        <v>0</v>
      </c>
      <c r="Y46" s="93">
        <f t="array" ref="Y46">IFERROR(
AVERAGE((IF(DATOS_[[Sexo]:[Sexo]]=$B46,IF(DATOS_[[AGRUP. VALOR. PTO.]:[AGRUP. VALOR. PTO.]]=$B45,IF(DATOS_[[Check Periodo Ref.]:[Check Periodo Ref.]]="Dentro",DATOS_[Conc.Sal.20]))))),
0)</f>
        <v>0</v>
      </c>
      <c r="Z46" s="93">
        <f t="array" ref="Z46">IFERROR(
AVERAGE((IF(DATOS_[[Sexo]:[Sexo]]=$B46,IF(DATOS_[[AGRUP. VALOR. PTO.]:[AGRUP. VALOR. PTO.]]=$B45,IF(DATOS_[[Check Periodo Ref.]:[Check Periodo Ref.]]="Dentro",DATOS_[Conc.Sal.21]))))),
0)</f>
        <v>0</v>
      </c>
      <c r="AA46" s="93">
        <f t="array" ref="AA46">IFERROR(
AVERAGE((IF(DATOS_[[Sexo]:[Sexo]]=$B46,IF(DATOS_[[AGRUP. VALOR. PTO.]:[AGRUP. VALOR. PTO.]]=$B45,IF(DATOS_[[Check Periodo Ref.]:[Check Periodo Ref.]]="Dentro",DATOS_[Conc.Sal.22]))))),
0)</f>
        <v>0</v>
      </c>
      <c r="AB46" s="93">
        <f t="array" ref="AB46">IFERROR(
AVERAGE((IF(DATOS_[[Sexo]:[Sexo]]=$B46,IF(DATOS_[[AGRUP. VALOR. PTO.]:[AGRUP. VALOR. PTO.]]=$B45,IF(DATOS_[[Check Periodo Ref.]:[Check Periodo Ref.]]="Dentro",DATOS_[Conc.Sal.23]))))),
0)</f>
        <v>0</v>
      </c>
      <c r="AC46" s="93">
        <f t="array" ref="AC46">IFERROR(
AVERAGE((IF(DATOS_[[Sexo]:[Sexo]]=$B46,IF(DATOS_[[AGRUP. VALOR. PTO.]:[AGRUP. VALOR. PTO.]]=$B45,IF(DATOS_[[Check Periodo Ref.]:[Check Periodo Ref.]]="Dentro",DATOS_[Conc.Sal.24]))))),
0)</f>
        <v>0</v>
      </c>
      <c r="AD46" s="93">
        <f t="array" ref="AD46">IFERROR(
AVERAGE((IF(DATOS_[[Sexo]:[Sexo]]=$B46,IF(DATOS_[[AGRUP. VALOR. PTO.]:[AGRUP. VALOR. PTO.]]=$B45,IF(DATOS_[[Check Periodo Ref.]:[Check Periodo Ref.]]="Dentro",DATOS_[Conc.Sal.25]))))),
0)</f>
        <v>0</v>
      </c>
      <c r="AE46" s="93">
        <f t="array" ref="AE46">IFERROR(
AVERAGE((IF(DATOS_[[Sexo]:[Sexo]]=$B46,IF(DATOS_[[AGRUP. VALOR. PTO.]:[AGRUP. VALOR. PTO.]]=$B45,IF(DATOS_[[Check Periodo Ref.]:[Check Periodo Ref.]]="Dentro",DATOS_[Conc.Sal.26]))))),
0)</f>
        <v>0</v>
      </c>
      <c r="AF46" s="93">
        <f t="array" ref="AF46">IFERROR(
AVERAGE((IF(DATOS_[[Sexo]:[Sexo]]=$B46,IF(DATOS_[[AGRUP. VALOR. PTO.]:[AGRUP. VALOR. PTO.]]=$B45,IF(DATOS_[[Check Periodo Ref.]:[Check Periodo Ref.]]="Dentro",DATOS_[Conc.Sal.27]))))),
0)</f>
        <v>0</v>
      </c>
      <c r="AG46" s="93">
        <f t="array" ref="AG46">IFERROR(
AVERAGE((IF(DATOS_[[Sexo]:[Sexo]]=$B46,IF(DATOS_[[AGRUP. VALOR. PTO.]:[AGRUP. VALOR. PTO.]]=$B45,IF(DATOS_[[Check Periodo Ref.]:[Check Periodo Ref.]]="Dentro",DATOS_[Conc.Sal.28]))))),
0)</f>
        <v>0</v>
      </c>
      <c r="AH46" s="93">
        <f t="array" ref="AH46">IFERROR(
AVERAGE((IF(DATOS_[[Sexo]:[Sexo]]=$B46,IF(DATOS_[[AGRUP. VALOR. PTO.]:[AGRUP. VALOR. PTO.]]=$B45,IF(DATOS_[[Check Periodo Ref.]:[Check Periodo Ref.]]="Dentro",DATOS_[Conc.Sal.29]))))),
0)</f>
        <v>0</v>
      </c>
      <c r="AI46" s="93">
        <f t="array" ref="AI46">IFERROR(
AVERAGE((IF(DATOS_[[Sexo]:[Sexo]]=$B46,IF(DATOS_[[AGRUP. VALOR. PTO.]:[AGRUP. VALOR. PTO.]]=$B45,IF(DATOS_[[Check Periodo Ref.]:[Check Periodo Ref.]]="Dentro",DATOS_[Conc.Sal.30]))))),
0)</f>
        <v>0</v>
      </c>
      <c r="AJ46" s="94">
        <f t="array" ref="AJ46">IFERROR(
AVERAGE(IF(DATOS_[Sexo]=$B46,IF(DATOS_[AGRUP. VALOR. PTO.]=$B45,IF(DATOS_[Check Periodo Ref.]="Dentro",DATOS_[Tot COMPL.SAL Ef],FALSE)))),
0)</f>
        <v>0</v>
      </c>
      <c r="AK46" s="96">
        <f t="array" ref="AK46">IFERROR(
AVERAGE(IF(DATOS_[Sexo]=$B46,IF(DATOS_[AGRUP. VALOR. PTO.]=$B45,IF(DATOS_[Check Periodo Ref.]="Dentro",DATOS_[TOTAL SALARIO Ef],FALSE)))),
0)</f>
        <v>0</v>
      </c>
      <c r="AL46" s="95">
        <f t="array" ref="AL46">IFERROR(
AVERAGE((IF(DATOS_[[Sexo]:[Sexo]]=$B46,IF(DATOS_[[AGRUP. VALOR. PTO.]:[AGRUP. VALOR. PTO.]]=$B45,IF(DATOS_[[Check Periodo Ref.]:[Check Periodo Ref.]]="Dentro",DATOS_[C.Extra.01]))))),
0)</f>
        <v>0</v>
      </c>
      <c r="AM46" s="95">
        <f t="array" ref="AM46">IFERROR(
AVERAGE((IF(DATOS_[[Sexo]:[Sexo]]=$B46,IF(DATOS_[[AGRUP. VALOR. PTO.]:[AGRUP. VALOR. PTO.]]=$B45,IF(DATOS_[[Check Periodo Ref.]:[Check Periodo Ref.]]="Dentro",DATOS_[C.Extra.02]))))),
0)</f>
        <v>0</v>
      </c>
      <c r="AN46" s="95">
        <f t="array" ref="AN46">IFERROR(
AVERAGE((IF(DATOS_[[Sexo]:[Sexo]]=$B46,IF(DATOS_[[AGRUP. VALOR. PTO.]:[AGRUP. VALOR. PTO.]]=$B45,IF(DATOS_[[Check Periodo Ref.]:[Check Periodo Ref.]]="Dentro",DATOS_[C.Extra.03]))))),
0)</f>
        <v>0</v>
      </c>
      <c r="AO46" s="95">
        <f t="array" ref="AO46">IFERROR(
AVERAGE((IF(DATOS_[[Sexo]:[Sexo]]=$B46,IF(DATOS_[[AGRUP. VALOR. PTO.]:[AGRUP. VALOR. PTO.]]=$B45,IF(DATOS_[[Check Periodo Ref.]:[Check Periodo Ref.]]="Dentro",DATOS_[C.Extra.04]))))),
0)</f>
        <v>0</v>
      </c>
      <c r="AP46" s="95">
        <f t="array" ref="AP46">IFERROR(
AVERAGE((IF(DATOS_[[Sexo]:[Sexo]]=$B46,IF(DATOS_[[AGRUP. VALOR. PTO.]:[AGRUP. VALOR. PTO.]]=$B45,IF(DATOS_[[Check Periodo Ref.]:[Check Periodo Ref.]]="Dentro",DATOS_[C.Extra.05]))))),
0)</f>
        <v>0</v>
      </c>
      <c r="AQ46" s="97">
        <f t="array" ref="AQ46">IFERROR(
AVERAGE(IF(DATOS_[Sexo]=$B46,IF(DATOS_[AGRUP. VALOR. PTO.]=$B45,IF(DATOS_[Check Periodo Ref.]="Dentro",DATOS_[Tot Extrasalarial Ef],FALSE)))),
0)</f>
        <v>0</v>
      </c>
      <c r="AR46" s="98">
        <f t="array" ref="AR46">IFERROR(
AVERAGE(IF(DATOS_[Sexo]=$B46,IF(DATOS_[AGRUP. VALOR. PTO.]=$B45,IF(DATOS_[Check Periodo Ref.]="Dentro",DATOS_[TOTAL Retrib Ef],FALSE)))),
0)</f>
        <v>0</v>
      </c>
    </row>
    <row r="47" spans="1:44" hidden="1" x14ac:dyDescent="0.3">
      <c r="A47" s="48" t="str">
        <f t="shared" ref="A47" si="46">+A46</f>
        <v>[ocultar]</v>
      </c>
      <c r="B47" s="46" t="s">
        <v>163</v>
      </c>
      <c r="C47" s="45">
        <f t="array" ref="C47">SUM(IF($B47=DATOS_[Sexo],
IF($B45=DATOS_[AGRUP. VALOR. PTO.],
IF("Dentro"=DATOS_[Check Periodo Ref.],
1/(COUNTIFS(DATOS_[Sexo],$B47,DATOS_[AGRUP. VALOR. PTO.],$B45,DATOS_[Check Periodo Ref.],"Dentro",DATOS_[id],DATOS_[id]))))))</f>
        <v>0</v>
      </c>
      <c r="D47" s="47">
        <f>COUNTIFS(DATOS_[AGRUP. VALOR. PTO.],$B45,DATOS_[Sexo],$B47,DATOS_[Check Periodo Ref.],"Dentro")</f>
        <v>0</v>
      </c>
      <c r="E47" s="92">
        <f t="array" ref="E47">IFERROR(
AVERAGE(IF(DATOS_[Sexo]=$B47,IF(DATOS_[AGRUP. VALOR. PTO.]=$B45,IF(DATOS_[Check Periodo Ref.]="Dentro",DATOS_[SALARIO BASE Ef],FALSE)))),
0)</f>
        <v>0</v>
      </c>
      <c r="F47" s="93">
        <f t="array" ref="F47">IFERROR(
AVERAGE((IF(DATOS_[[Sexo]:[Sexo]]=$B47,IF(DATOS_[[AGRUP. VALOR. PTO.]:[AGRUP. VALOR. PTO.]]=$B45,IF(DATOS_[[Check Periodo Ref.]:[Check Periodo Ref.]]="Dentro",DATOS_[Conc.Sal.01]))))),
0)</f>
        <v>0</v>
      </c>
      <c r="G47" s="93">
        <f t="array" ref="G47">IFERROR(
AVERAGE((IF(DATOS_[[Sexo]:[Sexo]]=$B47,IF(DATOS_[[AGRUP. VALOR. PTO.]:[AGRUP. VALOR. PTO.]]=$B45,IF(DATOS_[[Check Periodo Ref.]:[Check Periodo Ref.]]="Dentro",DATOS_[Conc.Sal.02]))))),
0)</f>
        <v>0</v>
      </c>
      <c r="H47" s="93">
        <f t="array" ref="H47">IFERROR(
AVERAGE((IF(DATOS_[[Sexo]:[Sexo]]=$B47,IF(DATOS_[[AGRUP. VALOR. PTO.]:[AGRUP. VALOR. PTO.]]=$B45,IF(DATOS_[[Check Periodo Ref.]:[Check Periodo Ref.]]="Dentro",DATOS_[Conc.Sal.03]))))),
0)</f>
        <v>0</v>
      </c>
      <c r="I47" s="93">
        <f t="array" ref="I47">IFERROR(
AVERAGE((IF(DATOS_[[Sexo]:[Sexo]]=$B47,IF(DATOS_[[AGRUP. VALOR. PTO.]:[AGRUP. VALOR. PTO.]]=$B45,IF(DATOS_[[Check Periodo Ref.]:[Check Periodo Ref.]]="Dentro",DATOS_[Conc.Sal.04]))))),
0)</f>
        <v>0</v>
      </c>
      <c r="J47" s="93">
        <f t="array" ref="J47">IFERROR(
AVERAGE((IF(DATOS_[[Sexo]:[Sexo]]=$B47,IF(DATOS_[[AGRUP. VALOR. PTO.]:[AGRUP. VALOR. PTO.]]=$B45,IF(DATOS_[[Check Periodo Ref.]:[Check Periodo Ref.]]="Dentro",DATOS_[Conc.Sal.05]))))),
0)</f>
        <v>0</v>
      </c>
      <c r="K47" s="93">
        <f t="array" ref="K47">IFERROR(
AVERAGE((IF(DATOS_[[Sexo]:[Sexo]]=$B47,IF(DATOS_[[AGRUP. VALOR. PTO.]:[AGRUP. VALOR. PTO.]]=$B45,IF(DATOS_[[Check Periodo Ref.]:[Check Periodo Ref.]]="Dentro",DATOS_[Conc.Sal.06]))))),
0)</f>
        <v>0</v>
      </c>
      <c r="L47" s="93">
        <f t="array" ref="L47">IFERROR(
AVERAGE((IF(DATOS_[[Sexo]:[Sexo]]=$B47,IF(DATOS_[[AGRUP. VALOR. PTO.]:[AGRUP. VALOR. PTO.]]=$B45,IF(DATOS_[[Check Periodo Ref.]:[Check Periodo Ref.]]="Dentro",DATOS_[Conc.Sal.07]))))),
0)</f>
        <v>0</v>
      </c>
      <c r="M47" s="93">
        <f t="array" ref="M47">IFERROR(
AVERAGE((IF(DATOS_[[Sexo]:[Sexo]]=$B47,IF(DATOS_[[AGRUP. VALOR. PTO.]:[AGRUP. VALOR. PTO.]]=$B45,IF(DATOS_[[Check Periodo Ref.]:[Check Periodo Ref.]]="Dentro",DATOS_[Conc.Sal.08]))))),
0)</f>
        <v>0</v>
      </c>
      <c r="N47" s="93">
        <f t="array" ref="N47">IFERROR(
AVERAGE((IF(DATOS_[[Sexo]:[Sexo]]=$B47,IF(DATOS_[[AGRUP. VALOR. PTO.]:[AGRUP. VALOR. PTO.]]=$B45,IF(DATOS_[[Check Periodo Ref.]:[Check Periodo Ref.]]="Dentro",DATOS_[Conc.Sal.09]))))),
0)</f>
        <v>0</v>
      </c>
      <c r="O47" s="93">
        <f t="array" ref="O47">IFERROR(
AVERAGE((IF(DATOS_[[Sexo]:[Sexo]]=$B47,IF(DATOS_[[AGRUP. VALOR. PTO.]:[AGRUP. VALOR. PTO.]]=$B45,IF(DATOS_[[Check Periodo Ref.]:[Check Periodo Ref.]]="Dentro",DATOS_[Conc.Sal.10]))))),
0)</f>
        <v>0</v>
      </c>
      <c r="P47" s="93">
        <f t="array" ref="P47">IFERROR(
AVERAGE((IF(DATOS_[[Sexo]:[Sexo]]=$B47,IF(DATOS_[[AGRUP. VALOR. PTO.]:[AGRUP. VALOR. PTO.]]=$B45,IF(DATOS_[[Check Periodo Ref.]:[Check Periodo Ref.]]="Dentro",DATOS_[Conc.Sal.11]))))),
0)</f>
        <v>0</v>
      </c>
      <c r="Q47" s="93">
        <f t="array" ref="Q47">IFERROR(
AVERAGE((IF(DATOS_[[Sexo]:[Sexo]]=$B47,IF(DATOS_[[AGRUP. VALOR. PTO.]:[AGRUP. VALOR. PTO.]]=$B45,IF(DATOS_[[Check Periodo Ref.]:[Check Periodo Ref.]]="Dentro",DATOS_[Conc.Sal.12]))))),
0)</f>
        <v>0</v>
      </c>
      <c r="R47" s="93">
        <f t="array" ref="R47">IFERROR(
AVERAGE((IF(DATOS_[[Sexo]:[Sexo]]=$B47,IF(DATOS_[[AGRUP. VALOR. PTO.]:[AGRUP. VALOR. PTO.]]=$B45,IF(DATOS_[[Check Periodo Ref.]:[Check Periodo Ref.]]="Dentro",DATOS_[Conc.Sal.13]))))),
0)</f>
        <v>0</v>
      </c>
      <c r="S47" s="93">
        <f t="array" ref="S47">IFERROR(
AVERAGE((IF(DATOS_[[Sexo]:[Sexo]]=$B47,IF(DATOS_[[AGRUP. VALOR. PTO.]:[AGRUP. VALOR. PTO.]]=$B45,IF(DATOS_[[Check Periodo Ref.]:[Check Periodo Ref.]]="Dentro",DATOS_[Conc.Sal.14]))))),
0)</f>
        <v>0</v>
      </c>
      <c r="T47" s="93">
        <f t="array" ref="T47">IFERROR(
AVERAGE((IF(DATOS_[[Sexo]:[Sexo]]=$B47,IF(DATOS_[[AGRUP. VALOR. PTO.]:[AGRUP. VALOR. PTO.]]=$B45,IF(DATOS_[[Check Periodo Ref.]:[Check Periodo Ref.]]="Dentro",DATOS_[Conc.Sal.15]))))),
0)</f>
        <v>0</v>
      </c>
      <c r="U47" s="93">
        <f t="array" ref="U47">IFERROR(
AVERAGE((IF(DATOS_[[Sexo]:[Sexo]]=$B47,IF(DATOS_[[AGRUP. VALOR. PTO.]:[AGRUP. VALOR. PTO.]]=$B45,IF(DATOS_[[Check Periodo Ref.]:[Check Periodo Ref.]]="Dentro",DATOS_[Conc.Sal.16]))))),
0)</f>
        <v>0</v>
      </c>
      <c r="V47" s="93">
        <f t="array" ref="V47">IFERROR(
AVERAGE((IF(DATOS_[[Sexo]:[Sexo]]=$B47,IF(DATOS_[[AGRUP. VALOR. PTO.]:[AGRUP. VALOR. PTO.]]=$B45,IF(DATOS_[[Check Periodo Ref.]:[Check Periodo Ref.]]="Dentro",DATOS_[Conc.Sal.17]))))),
0)</f>
        <v>0</v>
      </c>
      <c r="W47" s="93">
        <f t="array" ref="W47">IFERROR(
AVERAGE((IF(DATOS_[[Sexo]:[Sexo]]=$B47,IF(DATOS_[[AGRUP. VALOR. PTO.]:[AGRUP. VALOR. PTO.]]=$B45,IF(DATOS_[[Check Periodo Ref.]:[Check Periodo Ref.]]="Dentro",DATOS_[Conc.Sal.18]))))),
0)</f>
        <v>0</v>
      </c>
      <c r="X47" s="93">
        <f t="array" ref="X47">IFERROR(
AVERAGE((IF(DATOS_[[Sexo]:[Sexo]]=$B47,IF(DATOS_[[AGRUP. VALOR. PTO.]:[AGRUP. VALOR. PTO.]]=$B45,IF(DATOS_[[Check Periodo Ref.]:[Check Periodo Ref.]]="Dentro",DATOS_[Conc.Sal.19]))))),
0)</f>
        <v>0</v>
      </c>
      <c r="Y47" s="93">
        <f t="array" ref="Y47">IFERROR(
AVERAGE((IF(DATOS_[[Sexo]:[Sexo]]=$B47,IF(DATOS_[[AGRUP. VALOR. PTO.]:[AGRUP. VALOR. PTO.]]=$B45,IF(DATOS_[[Check Periodo Ref.]:[Check Periodo Ref.]]="Dentro",DATOS_[Conc.Sal.20]))))),
0)</f>
        <v>0</v>
      </c>
      <c r="Z47" s="93">
        <f t="array" ref="Z47">IFERROR(
AVERAGE((IF(DATOS_[[Sexo]:[Sexo]]=$B47,IF(DATOS_[[AGRUP. VALOR. PTO.]:[AGRUP. VALOR. PTO.]]=$B45,IF(DATOS_[[Check Periodo Ref.]:[Check Periodo Ref.]]="Dentro",DATOS_[Conc.Sal.21]))))),
0)</f>
        <v>0</v>
      </c>
      <c r="AA47" s="93">
        <f t="array" ref="AA47">IFERROR(
AVERAGE((IF(DATOS_[[Sexo]:[Sexo]]=$B47,IF(DATOS_[[AGRUP. VALOR. PTO.]:[AGRUP. VALOR. PTO.]]=$B45,IF(DATOS_[[Check Periodo Ref.]:[Check Periodo Ref.]]="Dentro",DATOS_[Conc.Sal.22]))))),
0)</f>
        <v>0</v>
      </c>
      <c r="AB47" s="93">
        <f t="array" ref="AB47">IFERROR(
AVERAGE((IF(DATOS_[[Sexo]:[Sexo]]=$B47,IF(DATOS_[[AGRUP. VALOR. PTO.]:[AGRUP. VALOR. PTO.]]=$B45,IF(DATOS_[[Check Periodo Ref.]:[Check Periodo Ref.]]="Dentro",DATOS_[Conc.Sal.23]))))),
0)</f>
        <v>0</v>
      </c>
      <c r="AC47" s="93">
        <f t="array" ref="AC47">IFERROR(
AVERAGE((IF(DATOS_[[Sexo]:[Sexo]]=$B47,IF(DATOS_[[AGRUP. VALOR. PTO.]:[AGRUP. VALOR. PTO.]]=$B45,IF(DATOS_[[Check Periodo Ref.]:[Check Periodo Ref.]]="Dentro",DATOS_[Conc.Sal.24]))))),
0)</f>
        <v>0</v>
      </c>
      <c r="AD47" s="93">
        <f t="array" ref="AD47">IFERROR(
AVERAGE((IF(DATOS_[[Sexo]:[Sexo]]=$B47,IF(DATOS_[[AGRUP. VALOR. PTO.]:[AGRUP. VALOR. PTO.]]=$B45,IF(DATOS_[[Check Periodo Ref.]:[Check Periodo Ref.]]="Dentro",DATOS_[Conc.Sal.25]))))),
0)</f>
        <v>0</v>
      </c>
      <c r="AE47" s="93">
        <f t="array" ref="AE47">IFERROR(
AVERAGE((IF(DATOS_[[Sexo]:[Sexo]]=$B47,IF(DATOS_[[AGRUP. VALOR. PTO.]:[AGRUP. VALOR. PTO.]]=$B45,IF(DATOS_[[Check Periodo Ref.]:[Check Periodo Ref.]]="Dentro",DATOS_[Conc.Sal.26]))))),
0)</f>
        <v>0</v>
      </c>
      <c r="AF47" s="93">
        <f t="array" ref="AF47">IFERROR(
AVERAGE((IF(DATOS_[[Sexo]:[Sexo]]=$B47,IF(DATOS_[[AGRUP. VALOR. PTO.]:[AGRUP. VALOR. PTO.]]=$B45,IF(DATOS_[[Check Periodo Ref.]:[Check Periodo Ref.]]="Dentro",DATOS_[Conc.Sal.27]))))),
0)</f>
        <v>0</v>
      </c>
      <c r="AG47" s="93">
        <f t="array" ref="AG47">IFERROR(
AVERAGE((IF(DATOS_[[Sexo]:[Sexo]]=$B47,IF(DATOS_[[AGRUP. VALOR. PTO.]:[AGRUP. VALOR. PTO.]]=$B45,IF(DATOS_[[Check Periodo Ref.]:[Check Periodo Ref.]]="Dentro",DATOS_[Conc.Sal.28]))))),
0)</f>
        <v>0</v>
      </c>
      <c r="AH47" s="93">
        <f t="array" ref="AH47">IFERROR(
AVERAGE((IF(DATOS_[[Sexo]:[Sexo]]=$B47,IF(DATOS_[[AGRUP. VALOR. PTO.]:[AGRUP. VALOR. PTO.]]=$B45,IF(DATOS_[[Check Periodo Ref.]:[Check Periodo Ref.]]="Dentro",DATOS_[Conc.Sal.29]))))),
0)</f>
        <v>0</v>
      </c>
      <c r="AI47" s="93">
        <f t="array" ref="AI47">IFERROR(
AVERAGE((IF(DATOS_[[Sexo]:[Sexo]]=$B47,IF(DATOS_[[AGRUP. VALOR. PTO.]:[AGRUP. VALOR. PTO.]]=$B45,IF(DATOS_[[Check Periodo Ref.]:[Check Periodo Ref.]]="Dentro",DATOS_[Conc.Sal.30]))))),
0)</f>
        <v>0</v>
      </c>
      <c r="AJ47" s="94">
        <f t="array" ref="AJ47">IFERROR(
AVERAGE(IF(DATOS_[Sexo]=$B47,IF(DATOS_[AGRUP. VALOR. PTO.]=$B45,IF(DATOS_[Check Periodo Ref.]="Dentro",DATOS_[Tot COMPL.SAL Ef],FALSE)))),
0)</f>
        <v>0</v>
      </c>
      <c r="AK47" s="96">
        <f t="array" ref="AK47">IFERROR(
AVERAGE(IF(DATOS_[Sexo]=$B47,IF(DATOS_[AGRUP. VALOR. PTO.]=$B45,IF(DATOS_[Check Periodo Ref.]="Dentro",DATOS_[TOTAL SALARIO Ef],FALSE)))),
0)</f>
        <v>0</v>
      </c>
      <c r="AL47" s="95">
        <f t="array" ref="AL47">IFERROR(
AVERAGE((IF(DATOS_[[Sexo]:[Sexo]]=$B47,IF(DATOS_[[AGRUP. VALOR. PTO.]:[AGRUP. VALOR. PTO.]]=$B45,IF(DATOS_[[Check Periodo Ref.]:[Check Periodo Ref.]]="Dentro",DATOS_[C.Extra.01]))))),
0)</f>
        <v>0</v>
      </c>
      <c r="AM47" s="95">
        <f t="array" ref="AM47">IFERROR(
AVERAGE((IF(DATOS_[[Sexo]:[Sexo]]=$B47,IF(DATOS_[[AGRUP. VALOR. PTO.]:[AGRUP. VALOR. PTO.]]=$B45,IF(DATOS_[[Check Periodo Ref.]:[Check Periodo Ref.]]="Dentro",DATOS_[C.Extra.02]))))),
0)</f>
        <v>0</v>
      </c>
      <c r="AN47" s="95">
        <f t="array" ref="AN47">IFERROR(
AVERAGE((IF(DATOS_[[Sexo]:[Sexo]]=$B47,IF(DATOS_[[AGRUP. VALOR. PTO.]:[AGRUP. VALOR. PTO.]]=$B45,IF(DATOS_[[Check Periodo Ref.]:[Check Periodo Ref.]]="Dentro",DATOS_[C.Extra.03]))))),
0)</f>
        <v>0</v>
      </c>
      <c r="AO47" s="95">
        <f t="array" ref="AO47">IFERROR(
AVERAGE((IF(DATOS_[[Sexo]:[Sexo]]=$B47,IF(DATOS_[[AGRUP. VALOR. PTO.]:[AGRUP. VALOR. PTO.]]=$B45,IF(DATOS_[[Check Periodo Ref.]:[Check Periodo Ref.]]="Dentro",DATOS_[C.Extra.04]))))),
0)</f>
        <v>0</v>
      </c>
      <c r="AP47" s="95">
        <f t="array" ref="AP47">IFERROR(
AVERAGE((IF(DATOS_[[Sexo]:[Sexo]]=$B47,IF(DATOS_[[AGRUP. VALOR. PTO.]:[AGRUP. VALOR. PTO.]]=$B45,IF(DATOS_[[Check Periodo Ref.]:[Check Periodo Ref.]]="Dentro",DATOS_[C.Extra.05]))))),
0)</f>
        <v>0</v>
      </c>
      <c r="AQ47" s="97">
        <f t="array" ref="AQ47">IFERROR(
AVERAGE(IF(DATOS_[Sexo]=$B47,IF(DATOS_[AGRUP. VALOR. PTO.]=$B45,IF(DATOS_[Check Periodo Ref.]="Dentro",DATOS_[Tot Extrasalarial Ef],FALSE)))),
0)</f>
        <v>0</v>
      </c>
      <c r="AR47" s="98">
        <f t="array" ref="AR47">IFERROR(
AVERAGE(IF(DATOS_[Sexo]=$B47,IF(DATOS_[AGRUP. VALOR. PTO.]=$B45,IF(DATOS_[Check Periodo Ref.]="Dentro",DATOS_[TOTAL Retrib Ef],FALSE)))),
0)</f>
        <v>0</v>
      </c>
    </row>
    <row r="48" spans="1:44" ht="17.25" hidden="1" thickBot="1" x14ac:dyDescent="0.35">
      <c r="A48" s="48" t="str">
        <f t="shared" ref="A48" si="47">+A49</f>
        <v>[ocultar]</v>
      </c>
      <c r="B48" s="51" t="s">
        <v>271</v>
      </c>
      <c r="C48" s="91"/>
      <c r="D48" s="52"/>
      <c r="E48" s="139" t="str">
        <f t="shared" ref="E48:AR48" si="48">IFERROR((E49-E50)/E49,"")</f>
        <v/>
      </c>
      <c r="F48" s="179" t="str">
        <f t="shared" si="48"/>
        <v/>
      </c>
      <c r="G48" s="180" t="str">
        <f t="shared" si="48"/>
        <v/>
      </c>
      <c r="H48" s="180" t="str">
        <f t="shared" si="48"/>
        <v/>
      </c>
      <c r="I48" s="180" t="str">
        <f t="shared" si="48"/>
        <v/>
      </c>
      <c r="J48" s="181" t="str">
        <f t="shared" si="48"/>
        <v/>
      </c>
      <c r="K48" s="182" t="str">
        <f t="shared" si="48"/>
        <v/>
      </c>
      <c r="L48" s="182" t="str">
        <f t="shared" si="48"/>
        <v/>
      </c>
      <c r="M48" s="182" t="str">
        <f t="shared" si="48"/>
        <v/>
      </c>
      <c r="N48" s="182" t="str">
        <f t="shared" si="48"/>
        <v/>
      </c>
      <c r="O48" s="182" t="str">
        <f t="shared" si="48"/>
        <v/>
      </c>
      <c r="P48" s="182" t="str">
        <f t="shared" si="48"/>
        <v/>
      </c>
      <c r="Q48" s="182" t="str">
        <f t="shared" si="48"/>
        <v/>
      </c>
      <c r="R48" s="182" t="str">
        <f t="shared" si="48"/>
        <v/>
      </c>
      <c r="S48" s="182" t="str">
        <f t="shared" si="48"/>
        <v/>
      </c>
      <c r="T48" s="182" t="str">
        <f t="shared" si="48"/>
        <v/>
      </c>
      <c r="U48" s="182" t="str">
        <f t="shared" si="48"/>
        <v/>
      </c>
      <c r="V48" s="181" t="str">
        <f t="shared" si="48"/>
        <v/>
      </c>
      <c r="W48" s="181" t="str">
        <f t="shared" si="48"/>
        <v/>
      </c>
      <c r="X48" s="181" t="str">
        <f t="shared" si="48"/>
        <v/>
      </c>
      <c r="Y48" s="181" t="str">
        <f t="shared" si="48"/>
        <v/>
      </c>
      <c r="Z48" s="181" t="str">
        <f t="shared" si="48"/>
        <v/>
      </c>
      <c r="AA48" s="181" t="str">
        <f t="shared" si="48"/>
        <v/>
      </c>
      <c r="AB48" s="181" t="str">
        <f t="shared" si="48"/>
        <v/>
      </c>
      <c r="AC48" s="181" t="str">
        <f t="shared" si="48"/>
        <v/>
      </c>
      <c r="AD48" s="181" t="str">
        <f t="shared" si="48"/>
        <v/>
      </c>
      <c r="AE48" s="181" t="str">
        <f t="shared" si="48"/>
        <v/>
      </c>
      <c r="AF48" s="181" t="str">
        <f t="shared" si="48"/>
        <v/>
      </c>
      <c r="AG48" s="181" t="str">
        <f t="shared" si="48"/>
        <v/>
      </c>
      <c r="AH48" s="181" t="str">
        <f t="shared" si="48"/>
        <v/>
      </c>
      <c r="AI48" s="181" t="str">
        <f t="shared" si="48"/>
        <v/>
      </c>
      <c r="AJ48" s="140" t="str">
        <f t="shared" si="48"/>
        <v/>
      </c>
      <c r="AK48" s="143" t="str">
        <f t="shared" si="48"/>
        <v/>
      </c>
      <c r="AL48" s="184" t="str">
        <f t="shared" si="48"/>
        <v/>
      </c>
      <c r="AM48" s="184" t="str">
        <f t="shared" si="48"/>
        <v/>
      </c>
      <c r="AN48" s="184" t="str">
        <f t="shared" si="48"/>
        <v/>
      </c>
      <c r="AO48" s="184" t="str">
        <f t="shared" si="48"/>
        <v/>
      </c>
      <c r="AP48" s="184" t="str">
        <f t="shared" si="48"/>
        <v/>
      </c>
      <c r="AQ48" s="141" t="str">
        <f t="shared" si="48"/>
        <v/>
      </c>
      <c r="AR48" s="142" t="str">
        <f t="shared" si="48"/>
        <v/>
      </c>
    </row>
    <row r="49" spans="1:44" hidden="1" x14ac:dyDescent="0.3">
      <c r="A49" s="48" t="str">
        <f t="shared" ref="A49" si="49">+IF(C49+C50=0,"[ocultar]","")</f>
        <v>[ocultar]</v>
      </c>
      <c r="B49" s="46" t="s">
        <v>162</v>
      </c>
      <c r="C49" s="45">
        <f t="array" ref="C49">SUM(IF($B49=DATOS_[Sexo],
IF($B48=DATOS_[AGRUP. VALOR. PTO.],
IF("Dentro"=DATOS_[Check Periodo Ref.],
1/(COUNTIFS(DATOS_[Sexo],$B49,DATOS_[AGRUP. VALOR. PTO.],$B48,DATOS_[Check Periodo Ref.],"Dentro",DATOS_[id],DATOS_[id]))))))</f>
        <v>0</v>
      </c>
      <c r="D49" s="47">
        <f>COUNTIFS(DATOS_[AGRUP. VALOR. PTO.],$B48,DATOS_[Sexo],$B49,DATOS_[Check Periodo Ref.],"Dentro")</f>
        <v>0</v>
      </c>
      <c r="E49" s="92">
        <f t="array" ref="E49">IFERROR(
AVERAGE(IF(DATOS_[Sexo]=$B49,IF(DATOS_[AGRUP. VALOR. PTO.]=$B48,IF(DATOS_[Check Periodo Ref.]="Dentro",DATOS_[SALARIO BASE Ef],FALSE)))),
0)</f>
        <v>0</v>
      </c>
      <c r="F49" s="93">
        <f t="array" ref="F49">IFERROR(
AVERAGE((IF(DATOS_[[Sexo]:[Sexo]]=$B49,IF(DATOS_[[AGRUP. VALOR. PTO.]:[AGRUP. VALOR. PTO.]]=$B48,IF(DATOS_[[Check Periodo Ref.]:[Check Periodo Ref.]]="Dentro",DATOS_[Conc.Sal.01]))))),
0)</f>
        <v>0</v>
      </c>
      <c r="G49" s="93">
        <f t="array" ref="G49">IFERROR(
AVERAGE((IF(DATOS_[[Sexo]:[Sexo]]=$B49,IF(DATOS_[[AGRUP. VALOR. PTO.]:[AGRUP. VALOR. PTO.]]=$B48,IF(DATOS_[[Check Periodo Ref.]:[Check Periodo Ref.]]="Dentro",DATOS_[Conc.Sal.02]))))),
0)</f>
        <v>0</v>
      </c>
      <c r="H49" s="93">
        <f t="array" ref="H49">IFERROR(
AVERAGE((IF(DATOS_[[Sexo]:[Sexo]]=$B49,IF(DATOS_[[AGRUP. VALOR. PTO.]:[AGRUP. VALOR. PTO.]]=$B48,IF(DATOS_[[Check Periodo Ref.]:[Check Periodo Ref.]]="Dentro",DATOS_[Conc.Sal.03]))))),
0)</f>
        <v>0</v>
      </c>
      <c r="I49" s="93">
        <f t="array" ref="I49">IFERROR(
AVERAGE((IF(DATOS_[[Sexo]:[Sexo]]=$B49,IF(DATOS_[[AGRUP. VALOR. PTO.]:[AGRUP. VALOR. PTO.]]=$B48,IF(DATOS_[[Check Periodo Ref.]:[Check Periodo Ref.]]="Dentro",DATOS_[Conc.Sal.04]))))),
0)</f>
        <v>0</v>
      </c>
      <c r="J49" s="93">
        <f t="array" ref="J49">IFERROR(
AVERAGE((IF(DATOS_[[Sexo]:[Sexo]]=$B49,IF(DATOS_[[AGRUP. VALOR. PTO.]:[AGRUP. VALOR. PTO.]]=$B48,IF(DATOS_[[Check Periodo Ref.]:[Check Periodo Ref.]]="Dentro",DATOS_[Conc.Sal.05]))))),
0)</f>
        <v>0</v>
      </c>
      <c r="K49" s="93">
        <f t="array" ref="K49">IFERROR(
AVERAGE((IF(DATOS_[[Sexo]:[Sexo]]=$B49,IF(DATOS_[[AGRUP. VALOR. PTO.]:[AGRUP. VALOR. PTO.]]=$B48,IF(DATOS_[[Check Periodo Ref.]:[Check Periodo Ref.]]="Dentro",DATOS_[Conc.Sal.06]))))),
0)</f>
        <v>0</v>
      </c>
      <c r="L49" s="93">
        <f t="array" ref="L49">IFERROR(
AVERAGE((IF(DATOS_[[Sexo]:[Sexo]]=$B49,IF(DATOS_[[AGRUP. VALOR. PTO.]:[AGRUP. VALOR. PTO.]]=$B48,IF(DATOS_[[Check Periodo Ref.]:[Check Periodo Ref.]]="Dentro",DATOS_[Conc.Sal.07]))))),
0)</f>
        <v>0</v>
      </c>
      <c r="M49" s="93">
        <f t="array" ref="M49">IFERROR(
AVERAGE((IF(DATOS_[[Sexo]:[Sexo]]=$B49,IF(DATOS_[[AGRUP. VALOR. PTO.]:[AGRUP. VALOR. PTO.]]=$B48,IF(DATOS_[[Check Periodo Ref.]:[Check Periodo Ref.]]="Dentro",DATOS_[Conc.Sal.08]))))),
0)</f>
        <v>0</v>
      </c>
      <c r="N49" s="93">
        <f t="array" ref="N49">IFERROR(
AVERAGE((IF(DATOS_[[Sexo]:[Sexo]]=$B49,IF(DATOS_[[AGRUP. VALOR. PTO.]:[AGRUP. VALOR. PTO.]]=$B48,IF(DATOS_[[Check Periodo Ref.]:[Check Periodo Ref.]]="Dentro",DATOS_[Conc.Sal.09]))))),
0)</f>
        <v>0</v>
      </c>
      <c r="O49" s="93">
        <f t="array" ref="O49">IFERROR(
AVERAGE((IF(DATOS_[[Sexo]:[Sexo]]=$B49,IF(DATOS_[[AGRUP. VALOR. PTO.]:[AGRUP. VALOR. PTO.]]=$B48,IF(DATOS_[[Check Periodo Ref.]:[Check Periodo Ref.]]="Dentro",DATOS_[Conc.Sal.10]))))),
0)</f>
        <v>0</v>
      </c>
      <c r="P49" s="93">
        <f t="array" ref="P49">IFERROR(
AVERAGE((IF(DATOS_[[Sexo]:[Sexo]]=$B49,IF(DATOS_[[AGRUP. VALOR. PTO.]:[AGRUP. VALOR. PTO.]]=$B48,IF(DATOS_[[Check Periodo Ref.]:[Check Periodo Ref.]]="Dentro",DATOS_[Conc.Sal.11]))))),
0)</f>
        <v>0</v>
      </c>
      <c r="Q49" s="93">
        <f t="array" ref="Q49">IFERROR(
AVERAGE((IF(DATOS_[[Sexo]:[Sexo]]=$B49,IF(DATOS_[[AGRUP. VALOR. PTO.]:[AGRUP. VALOR. PTO.]]=$B48,IF(DATOS_[[Check Periodo Ref.]:[Check Periodo Ref.]]="Dentro",DATOS_[Conc.Sal.12]))))),
0)</f>
        <v>0</v>
      </c>
      <c r="R49" s="93">
        <f t="array" ref="R49">IFERROR(
AVERAGE((IF(DATOS_[[Sexo]:[Sexo]]=$B49,IF(DATOS_[[AGRUP. VALOR. PTO.]:[AGRUP. VALOR. PTO.]]=$B48,IF(DATOS_[[Check Periodo Ref.]:[Check Periodo Ref.]]="Dentro",DATOS_[Conc.Sal.13]))))),
0)</f>
        <v>0</v>
      </c>
      <c r="S49" s="93">
        <f t="array" ref="S49">IFERROR(
AVERAGE((IF(DATOS_[[Sexo]:[Sexo]]=$B49,IF(DATOS_[[AGRUP. VALOR. PTO.]:[AGRUP. VALOR. PTO.]]=$B48,IF(DATOS_[[Check Periodo Ref.]:[Check Periodo Ref.]]="Dentro",DATOS_[Conc.Sal.14]))))),
0)</f>
        <v>0</v>
      </c>
      <c r="T49" s="93">
        <f t="array" ref="T49">IFERROR(
AVERAGE((IF(DATOS_[[Sexo]:[Sexo]]=$B49,IF(DATOS_[[AGRUP. VALOR. PTO.]:[AGRUP. VALOR. PTO.]]=$B48,IF(DATOS_[[Check Periodo Ref.]:[Check Periodo Ref.]]="Dentro",DATOS_[Conc.Sal.15]))))),
0)</f>
        <v>0</v>
      </c>
      <c r="U49" s="93">
        <f t="array" ref="U49">IFERROR(
AVERAGE((IF(DATOS_[[Sexo]:[Sexo]]=$B49,IF(DATOS_[[AGRUP. VALOR. PTO.]:[AGRUP. VALOR. PTO.]]=$B48,IF(DATOS_[[Check Periodo Ref.]:[Check Periodo Ref.]]="Dentro",DATOS_[Conc.Sal.16]))))),
0)</f>
        <v>0</v>
      </c>
      <c r="V49" s="93">
        <f t="array" ref="V49">IFERROR(
AVERAGE((IF(DATOS_[[Sexo]:[Sexo]]=$B49,IF(DATOS_[[AGRUP. VALOR. PTO.]:[AGRUP. VALOR. PTO.]]=$B48,IF(DATOS_[[Check Periodo Ref.]:[Check Periodo Ref.]]="Dentro",DATOS_[Conc.Sal.17]))))),
0)</f>
        <v>0</v>
      </c>
      <c r="W49" s="93">
        <f t="array" ref="W49">IFERROR(
AVERAGE((IF(DATOS_[[Sexo]:[Sexo]]=$B49,IF(DATOS_[[AGRUP. VALOR. PTO.]:[AGRUP. VALOR. PTO.]]=$B48,IF(DATOS_[[Check Periodo Ref.]:[Check Periodo Ref.]]="Dentro",DATOS_[Conc.Sal.18]))))),
0)</f>
        <v>0</v>
      </c>
      <c r="X49" s="93">
        <f t="array" ref="X49">IFERROR(
AVERAGE((IF(DATOS_[[Sexo]:[Sexo]]=$B49,IF(DATOS_[[AGRUP. VALOR. PTO.]:[AGRUP. VALOR. PTO.]]=$B48,IF(DATOS_[[Check Periodo Ref.]:[Check Periodo Ref.]]="Dentro",DATOS_[Conc.Sal.19]))))),
0)</f>
        <v>0</v>
      </c>
      <c r="Y49" s="93">
        <f t="array" ref="Y49">IFERROR(
AVERAGE((IF(DATOS_[[Sexo]:[Sexo]]=$B49,IF(DATOS_[[AGRUP. VALOR. PTO.]:[AGRUP. VALOR. PTO.]]=$B48,IF(DATOS_[[Check Periodo Ref.]:[Check Periodo Ref.]]="Dentro",DATOS_[Conc.Sal.20]))))),
0)</f>
        <v>0</v>
      </c>
      <c r="Z49" s="93">
        <f t="array" ref="Z49">IFERROR(
AVERAGE((IF(DATOS_[[Sexo]:[Sexo]]=$B49,IF(DATOS_[[AGRUP. VALOR. PTO.]:[AGRUP. VALOR. PTO.]]=$B48,IF(DATOS_[[Check Periodo Ref.]:[Check Periodo Ref.]]="Dentro",DATOS_[Conc.Sal.21]))))),
0)</f>
        <v>0</v>
      </c>
      <c r="AA49" s="93">
        <f t="array" ref="AA49">IFERROR(
AVERAGE((IF(DATOS_[[Sexo]:[Sexo]]=$B49,IF(DATOS_[[AGRUP. VALOR. PTO.]:[AGRUP. VALOR. PTO.]]=$B48,IF(DATOS_[[Check Periodo Ref.]:[Check Periodo Ref.]]="Dentro",DATOS_[Conc.Sal.22]))))),
0)</f>
        <v>0</v>
      </c>
      <c r="AB49" s="93">
        <f t="array" ref="AB49">IFERROR(
AVERAGE((IF(DATOS_[[Sexo]:[Sexo]]=$B49,IF(DATOS_[[AGRUP. VALOR. PTO.]:[AGRUP. VALOR. PTO.]]=$B48,IF(DATOS_[[Check Periodo Ref.]:[Check Periodo Ref.]]="Dentro",DATOS_[Conc.Sal.23]))))),
0)</f>
        <v>0</v>
      </c>
      <c r="AC49" s="93">
        <f t="array" ref="AC49">IFERROR(
AVERAGE((IF(DATOS_[[Sexo]:[Sexo]]=$B49,IF(DATOS_[[AGRUP. VALOR. PTO.]:[AGRUP. VALOR. PTO.]]=$B48,IF(DATOS_[[Check Periodo Ref.]:[Check Periodo Ref.]]="Dentro",DATOS_[Conc.Sal.24]))))),
0)</f>
        <v>0</v>
      </c>
      <c r="AD49" s="93">
        <f t="array" ref="AD49">IFERROR(
AVERAGE((IF(DATOS_[[Sexo]:[Sexo]]=$B49,IF(DATOS_[[AGRUP. VALOR. PTO.]:[AGRUP. VALOR. PTO.]]=$B48,IF(DATOS_[[Check Periodo Ref.]:[Check Periodo Ref.]]="Dentro",DATOS_[Conc.Sal.25]))))),
0)</f>
        <v>0</v>
      </c>
      <c r="AE49" s="93">
        <f t="array" ref="AE49">IFERROR(
AVERAGE((IF(DATOS_[[Sexo]:[Sexo]]=$B49,IF(DATOS_[[AGRUP. VALOR. PTO.]:[AGRUP. VALOR. PTO.]]=$B48,IF(DATOS_[[Check Periodo Ref.]:[Check Periodo Ref.]]="Dentro",DATOS_[Conc.Sal.26]))))),
0)</f>
        <v>0</v>
      </c>
      <c r="AF49" s="93">
        <f t="array" ref="AF49">IFERROR(
AVERAGE((IF(DATOS_[[Sexo]:[Sexo]]=$B49,IF(DATOS_[[AGRUP. VALOR. PTO.]:[AGRUP. VALOR. PTO.]]=$B48,IF(DATOS_[[Check Periodo Ref.]:[Check Periodo Ref.]]="Dentro",DATOS_[Conc.Sal.27]))))),
0)</f>
        <v>0</v>
      </c>
      <c r="AG49" s="93">
        <f t="array" ref="AG49">IFERROR(
AVERAGE((IF(DATOS_[[Sexo]:[Sexo]]=$B49,IF(DATOS_[[AGRUP. VALOR. PTO.]:[AGRUP. VALOR. PTO.]]=$B48,IF(DATOS_[[Check Periodo Ref.]:[Check Periodo Ref.]]="Dentro",DATOS_[Conc.Sal.28]))))),
0)</f>
        <v>0</v>
      </c>
      <c r="AH49" s="93">
        <f t="array" ref="AH49">IFERROR(
AVERAGE((IF(DATOS_[[Sexo]:[Sexo]]=$B49,IF(DATOS_[[AGRUP. VALOR. PTO.]:[AGRUP. VALOR. PTO.]]=$B48,IF(DATOS_[[Check Periodo Ref.]:[Check Periodo Ref.]]="Dentro",DATOS_[Conc.Sal.29]))))),
0)</f>
        <v>0</v>
      </c>
      <c r="AI49" s="93">
        <f t="array" ref="AI49">IFERROR(
AVERAGE((IF(DATOS_[[Sexo]:[Sexo]]=$B49,IF(DATOS_[[AGRUP. VALOR. PTO.]:[AGRUP. VALOR. PTO.]]=$B48,IF(DATOS_[[Check Periodo Ref.]:[Check Periodo Ref.]]="Dentro",DATOS_[Conc.Sal.30]))))),
0)</f>
        <v>0</v>
      </c>
      <c r="AJ49" s="94">
        <f t="array" ref="AJ49">IFERROR(
AVERAGE(IF(DATOS_[Sexo]=$B49,IF(DATOS_[AGRUP. VALOR. PTO.]=$B48,IF(DATOS_[Check Periodo Ref.]="Dentro",DATOS_[Tot COMPL.SAL Ef],FALSE)))),
0)</f>
        <v>0</v>
      </c>
      <c r="AK49" s="96">
        <f t="array" ref="AK49">IFERROR(
AVERAGE(IF(DATOS_[Sexo]=$B49,IF(DATOS_[AGRUP. VALOR. PTO.]=$B48,IF(DATOS_[Check Periodo Ref.]="Dentro",DATOS_[TOTAL SALARIO Ef],FALSE)))),
0)</f>
        <v>0</v>
      </c>
      <c r="AL49" s="95">
        <f t="array" ref="AL49">IFERROR(
AVERAGE((IF(DATOS_[[Sexo]:[Sexo]]=$B49,IF(DATOS_[[AGRUP. VALOR. PTO.]:[AGRUP. VALOR. PTO.]]=$B48,IF(DATOS_[[Check Periodo Ref.]:[Check Periodo Ref.]]="Dentro",DATOS_[C.Extra.01]))))),
0)</f>
        <v>0</v>
      </c>
      <c r="AM49" s="95">
        <f t="array" ref="AM49">IFERROR(
AVERAGE((IF(DATOS_[[Sexo]:[Sexo]]=$B49,IF(DATOS_[[AGRUP. VALOR. PTO.]:[AGRUP. VALOR. PTO.]]=$B48,IF(DATOS_[[Check Periodo Ref.]:[Check Periodo Ref.]]="Dentro",DATOS_[C.Extra.02]))))),
0)</f>
        <v>0</v>
      </c>
      <c r="AN49" s="95">
        <f t="array" ref="AN49">IFERROR(
AVERAGE((IF(DATOS_[[Sexo]:[Sexo]]=$B49,IF(DATOS_[[AGRUP. VALOR. PTO.]:[AGRUP. VALOR. PTO.]]=$B48,IF(DATOS_[[Check Periodo Ref.]:[Check Periodo Ref.]]="Dentro",DATOS_[C.Extra.03]))))),
0)</f>
        <v>0</v>
      </c>
      <c r="AO49" s="95">
        <f t="array" ref="AO49">IFERROR(
AVERAGE((IF(DATOS_[[Sexo]:[Sexo]]=$B49,IF(DATOS_[[AGRUP. VALOR. PTO.]:[AGRUP. VALOR. PTO.]]=$B48,IF(DATOS_[[Check Periodo Ref.]:[Check Periodo Ref.]]="Dentro",DATOS_[C.Extra.04]))))),
0)</f>
        <v>0</v>
      </c>
      <c r="AP49" s="95">
        <f t="array" ref="AP49">IFERROR(
AVERAGE((IF(DATOS_[[Sexo]:[Sexo]]=$B49,IF(DATOS_[[AGRUP. VALOR. PTO.]:[AGRUP. VALOR. PTO.]]=$B48,IF(DATOS_[[Check Periodo Ref.]:[Check Periodo Ref.]]="Dentro",DATOS_[C.Extra.05]))))),
0)</f>
        <v>0</v>
      </c>
      <c r="AQ49" s="97">
        <f t="array" ref="AQ49">IFERROR(
AVERAGE(IF(DATOS_[Sexo]=$B49,IF(DATOS_[AGRUP. VALOR. PTO.]=$B48,IF(DATOS_[Check Periodo Ref.]="Dentro",DATOS_[Tot Extrasalarial Ef],FALSE)))),
0)</f>
        <v>0</v>
      </c>
      <c r="AR49" s="98">
        <f t="array" ref="AR49">IFERROR(
AVERAGE(IF(DATOS_[Sexo]=$B49,IF(DATOS_[AGRUP. VALOR. PTO.]=$B48,IF(DATOS_[Check Periodo Ref.]="Dentro",DATOS_[TOTAL Retrib Ef],FALSE)))),
0)</f>
        <v>0</v>
      </c>
    </row>
    <row r="50" spans="1:44" hidden="1" x14ac:dyDescent="0.3">
      <c r="A50" s="48" t="str">
        <f t="shared" ref="A50" si="50">+A49</f>
        <v>[ocultar]</v>
      </c>
      <c r="B50" s="46" t="s">
        <v>163</v>
      </c>
      <c r="C50" s="45">
        <f t="array" ref="C50">SUM(IF($B50=DATOS_[Sexo],
IF($B48=DATOS_[AGRUP. VALOR. PTO.],
IF("Dentro"=DATOS_[Check Periodo Ref.],
1/(COUNTIFS(DATOS_[Sexo],$B50,DATOS_[AGRUP. VALOR. PTO.],$B48,DATOS_[Check Periodo Ref.],"Dentro",DATOS_[id],DATOS_[id]))))))</f>
        <v>0</v>
      </c>
      <c r="D50" s="47">
        <f>COUNTIFS(DATOS_[AGRUP. VALOR. PTO.],$B48,DATOS_[Sexo],$B50,DATOS_[Check Periodo Ref.],"Dentro")</f>
        <v>0</v>
      </c>
      <c r="E50" s="92">
        <f t="array" ref="E50">IFERROR(
AVERAGE(IF(DATOS_[Sexo]=$B50,IF(DATOS_[AGRUP. VALOR. PTO.]=$B48,IF(DATOS_[Check Periodo Ref.]="Dentro",DATOS_[SALARIO BASE Ef],FALSE)))),
0)</f>
        <v>0</v>
      </c>
      <c r="F50" s="93">
        <f t="array" ref="F50">IFERROR(
AVERAGE((IF(DATOS_[[Sexo]:[Sexo]]=$B50,IF(DATOS_[[AGRUP. VALOR. PTO.]:[AGRUP. VALOR. PTO.]]=$B48,IF(DATOS_[[Check Periodo Ref.]:[Check Periodo Ref.]]="Dentro",DATOS_[Conc.Sal.01]))))),
0)</f>
        <v>0</v>
      </c>
      <c r="G50" s="93">
        <f t="array" ref="G50">IFERROR(
AVERAGE((IF(DATOS_[[Sexo]:[Sexo]]=$B50,IF(DATOS_[[AGRUP. VALOR. PTO.]:[AGRUP. VALOR. PTO.]]=$B48,IF(DATOS_[[Check Periodo Ref.]:[Check Periodo Ref.]]="Dentro",DATOS_[Conc.Sal.02]))))),
0)</f>
        <v>0</v>
      </c>
      <c r="H50" s="93">
        <f t="array" ref="H50">IFERROR(
AVERAGE((IF(DATOS_[[Sexo]:[Sexo]]=$B50,IF(DATOS_[[AGRUP. VALOR. PTO.]:[AGRUP. VALOR. PTO.]]=$B48,IF(DATOS_[[Check Periodo Ref.]:[Check Periodo Ref.]]="Dentro",DATOS_[Conc.Sal.03]))))),
0)</f>
        <v>0</v>
      </c>
      <c r="I50" s="93">
        <f t="array" ref="I50">IFERROR(
AVERAGE((IF(DATOS_[[Sexo]:[Sexo]]=$B50,IF(DATOS_[[AGRUP. VALOR. PTO.]:[AGRUP. VALOR. PTO.]]=$B48,IF(DATOS_[[Check Periodo Ref.]:[Check Periodo Ref.]]="Dentro",DATOS_[Conc.Sal.04]))))),
0)</f>
        <v>0</v>
      </c>
      <c r="J50" s="93">
        <f t="array" ref="J50">IFERROR(
AVERAGE((IF(DATOS_[[Sexo]:[Sexo]]=$B50,IF(DATOS_[[AGRUP. VALOR. PTO.]:[AGRUP. VALOR. PTO.]]=$B48,IF(DATOS_[[Check Periodo Ref.]:[Check Periodo Ref.]]="Dentro",DATOS_[Conc.Sal.05]))))),
0)</f>
        <v>0</v>
      </c>
      <c r="K50" s="93">
        <f t="array" ref="K50">IFERROR(
AVERAGE((IF(DATOS_[[Sexo]:[Sexo]]=$B50,IF(DATOS_[[AGRUP. VALOR. PTO.]:[AGRUP. VALOR. PTO.]]=$B48,IF(DATOS_[[Check Periodo Ref.]:[Check Periodo Ref.]]="Dentro",DATOS_[Conc.Sal.06]))))),
0)</f>
        <v>0</v>
      </c>
      <c r="L50" s="93">
        <f t="array" ref="L50">IFERROR(
AVERAGE((IF(DATOS_[[Sexo]:[Sexo]]=$B50,IF(DATOS_[[AGRUP. VALOR. PTO.]:[AGRUP. VALOR. PTO.]]=$B48,IF(DATOS_[[Check Periodo Ref.]:[Check Periodo Ref.]]="Dentro",DATOS_[Conc.Sal.07]))))),
0)</f>
        <v>0</v>
      </c>
      <c r="M50" s="93">
        <f t="array" ref="M50">IFERROR(
AVERAGE((IF(DATOS_[[Sexo]:[Sexo]]=$B50,IF(DATOS_[[AGRUP. VALOR. PTO.]:[AGRUP. VALOR. PTO.]]=$B48,IF(DATOS_[[Check Periodo Ref.]:[Check Periodo Ref.]]="Dentro",DATOS_[Conc.Sal.08]))))),
0)</f>
        <v>0</v>
      </c>
      <c r="N50" s="93">
        <f t="array" ref="N50">IFERROR(
AVERAGE((IF(DATOS_[[Sexo]:[Sexo]]=$B50,IF(DATOS_[[AGRUP. VALOR. PTO.]:[AGRUP. VALOR. PTO.]]=$B48,IF(DATOS_[[Check Periodo Ref.]:[Check Periodo Ref.]]="Dentro",DATOS_[Conc.Sal.09]))))),
0)</f>
        <v>0</v>
      </c>
      <c r="O50" s="93">
        <f t="array" ref="O50">IFERROR(
AVERAGE((IF(DATOS_[[Sexo]:[Sexo]]=$B50,IF(DATOS_[[AGRUP. VALOR. PTO.]:[AGRUP. VALOR. PTO.]]=$B48,IF(DATOS_[[Check Periodo Ref.]:[Check Periodo Ref.]]="Dentro",DATOS_[Conc.Sal.10]))))),
0)</f>
        <v>0</v>
      </c>
      <c r="P50" s="93">
        <f t="array" ref="P50">IFERROR(
AVERAGE((IF(DATOS_[[Sexo]:[Sexo]]=$B50,IF(DATOS_[[AGRUP. VALOR. PTO.]:[AGRUP. VALOR. PTO.]]=$B48,IF(DATOS_[[Check Periodo Ref.]:[Check Periodo Ref.]]="Dentro",DATOS_[Conc.Sal.11]))))),
0)</f>
        <v>0</v>
      </c>
      <c r="Q50" s="93">
        <f t="array" ref="Q50">IFERROR(
AVERAGE((IF(DATOS_[[Sexo]:[Sexo]]=$B50,IF(DATOS_[[AGRUP. VALOR. PTO.]:[AGRUP. VALOR. PTO.]]=$B48,IF(DATOS_[[Check Periodo Ref.]:[Check Periodo Ref.]]="Dentro",DATOS_[Conc.Sal.12]))))),
0)</f>
        <v>0</v>
      </c>
      <c r="R50" s="93">
        <f t="array" ref="R50">IFERROR(
AVERAGE((IF(DATOS_[[Sexo]:[Sexo]]=$B50,IF(DATOS_[[AGRUP. VALOR. PTO.]:[AGRUP. VALOR. PTO.]]=$B48,IF(DATOS_[[Check Periodo Ref.]:[Check Periodo Ref.]]="Dentro",DATOS_[Conc.Sal.13]))))),
0)</f>
        <v>0</v>
      </c>
      <c r="S50" s="93">
        <f t="array" ref="S50">IFERROR(
AVERAGE((IF(DATOS_[[Sexo]:[Sexo]]=$B50,IF(DATOS_[[AGRUP. VALOR. PTO.]:[AGRUP. VALOR. PTO.]]=$B48,IF(DATOS_[[Check Periodo Ref.]:[Check Periodo Ref.]]="Dentro",DATOS_[Conc.Sal.14]))))),
0)</f>
        <v>0</v>
      </c>
      <c r="T50" s="93">
        <f t="array" ref="T50">IFERROR(
AVERAGE((IF(DATOS_[[Sexo]:[Sexo]]=$B50,IF(DATOS_[[AGRUP. VALOR. PTO.]:[AGRUP. VALOR. PTO.]]=$B48,IF(DATOS_[[Check Periodo Ref.]:[Check Periodo Ref.]]="Dentro",DATOS_[Conc.Sal.15]))))),
0)</f>
        <v>0</v>
      </c>
      <c r="U50" s="93">
        <f t="array" ref="U50">IFERROR(
AVERAGE((IF(DATOS_[[Sexo]:[Sexo]]=$B50,IF(DATOS_[[AGRUP. VALOR. PTO.]:[AGRUP. VALOR. PTO.]]=$B48,IF(DATOS_[[Check Periodo Ref.]:[Check Periodo Ref.]]="Dentro",DATOS_[Conc.Sal.16]))))),
0)</f>
        <v>0</v>
      </c>
      <c r="V50" s="93">
        <f t="array" ref="V50">IFERROR(
AVERAGE((IF(DATOS_[[Sexo]:[Sexo]]=$B50,IF(DATOS_[[AGRUP. VALOR. PTO.]:[AGRUP. VALOR. PTO.]]=$B48,IF(DATOS_[[Check Periodo Ref.]:[Check Periodo Ref.]]="Dentro",DATOS_[Conc.Sal.17]))))),
0)</f>
        <v>0</v>
      </c>
      <c r="W50" s="93">
        <f t="array" ref="W50">IFERROR(
AVERAGE((IF(DATOS_[[Sexo]:[Sexo]]=$B50,IF(DATOS_[[AGRUP. VALOR. PTO.]:[AGRUP. VALOR. PTO.]]=$B48,IF(DATOS_[[Check Periodo Ref.]:[Check Periodo Ref.]]="Dentro",DATOS_[Conc.Sal.18]))))),
0)</f>
        <v>0</v>
      </c>
      <c r="X50" s="93">
        <f t="array" ref="X50">IFERROR(
AVERAGE((IF(DATOS_[[Sexo]:[Sexo]]=$B50,IF(DATOS_[[AGRUP. VALOR. PTO.]:[AGRUP. VALOR. PTO.]]=$B48,IF(DATOS_[[Check Periodo Ref.]:[Check Periodo Ref.]]="Dentro",DATOS_[Conc.Sal.19]))))),
0)</f>
        <v>0</v>
      </c>
      <c r="Y50" s="93">
        <f t="array" ref="Y50">IFERROR(
AVERAGE((IF(DATOS_[[Sexo]:[Sexo]]=$B50,IF(DATOS_[[AGRUP. VALOR. PTO.]:[AGRUP. VALOR. PTO.]]=$B48,IF(DATOS_[[Check Periodo Ref.]:[Check Periodo Ref.]]="Dentro",DATOS_[Conc.Sal.20]))))),
0)</f>
        <v>0</v>
      </c>
      <c r="Z50" s="93">
        <f t="array" ref="Z50">IFERROR(
AVERAGE((IF(DATOS_[[Sexo]:[Sexo]]=$B50,IF(DATOS_[[AGRUP. VALOR. PTO.]:[AGRUP. VALOR. PTO.]]=$B48,IF(DATOS_[[Check Periodo Ref.]:[Check Periodo Ref.]]="Dentro",DATOS_[Conc.Sal.21]))))),
0)</f>
        <v>0</v>
      </c>
      <c r="AA50" s="93">
        <f t="array" ref="AA50">IFERROR(
AVERAGE((IF(DATOS_[[Sexo]:[Sexo]]=$B50,IF(DATOS_[[AGRUP. VALOR. PTO.]:[AGRUP. VALOR. PTO.]]=$B48,IF(DATOS_[[Check Periodo Ref.]:[Check Periodo Ref.]]="Dentro",DATOS_[Conc.Sal.22]))))),
0)</f>
        <v>0</v>
      </c>
      <c r="AB50" s="93">
        <f t="array" ref="AB50">IFERROR(
AVERAGE((IF(DATOS_[[Sexo]:[Sexo]]=$B50,IF(DATOS_[[AGRUP. VALOR. PTO.]:[AGRUP. VALOR. PTO.]]=$B48,IF(DATOS_[[Check Periodo Ref.]:[Check Periodo Ref.]]="Dentro",DATOS_[Conc.Sal.23]))))),
0)</f>
        <v>0</v>
      </c>
      <c r="AC50" s="93">
        <f t="array" ref="AC50">IFERROR(
AVERAGE((IF(DATOS_[[Sexo]:[Sexo]]=$B50,IF(DATOS_[[AGRUP. VALOR. PTO.]:[AGRUP. VALOR. PTO.]]=$B48,IF(DATOS_[[Check Periodo Ref.]:[Check Periodo Ref.]]="Dentro",DATOS_[Conc.Sal.24]))))),
0)</f>
        <v>0</v>
      </c>
      <c r="AD50" s="93">
        <f t="array" ref="AD50">IFERROR(
AVERAGE((IF(DATOS_[[Sexo]:[Sexo]]=$B50,IF(DATOS_[[AGRUP. VALOR. PTO.]:[AGRUP. VALOR. PTO.]]=$B48,IF(DATOS_[[Check Periodo Ref.]:[Check Periodo Ref.]]="Dentro",DATOS_[Conc.Sal.25]))))),
0)</f>
        <v>0</v>
      </c>
      <c r="AE50" s="93">
        <f t="array" ref="AE50">IFERROR(
AVERAGE((IF(DATOS_[[Sexo]:[Sexo]]=$B50,IF(DATOS_[[AGRUP. VALOR. PTO.]:[AGRUP. VALOR. PTO.]]=$B48,IF(DATOS_[[Check Periodo Ref.]:[Check Periodo Ref.]]="Dentro",DATOS_[Conc.Sal.26]))))),
0)</f>
        <v>0</v>
      </c>
      <c r="AF50" s="93">
        <f t="array" ref="AF50">IFERROR(
AVERAGE((IF(DATOS_[[Sexo]:[Sexo]]=$B50,IF(DATOS_[[AGRUP. VALOR. PTO.]:[AGRUP. VALOR. PTO.]]=$B48,IF(DATOS_[[Check Periodo Ref.]:[Check Periodo Ref.]]="Dentro",DATOS_[Conc.Sal.27]))))),
0)</f>
        <v>0</v>
      </c>
      <c r="AG50" s="93">
        <f t="array" ref="AG50">IFERROR(
AVERAGE((IF(DATOS_[[Sexo]:[Sexo]]=$B50,IF(DATOS_[[AGRUP. VALOR. PTO.]:[AGRUP. VALOR. PTO.]]=$B48,IF(DATOS_[[Check Periodo Ref.]:[Check Periodo Ref.]]="Dentro",DATOS_[Conc.Sal.28]))))),
0)</f>
        <v>0</v>
      </c>
      <c r="AH50" s="93">
        <f t="array" ref="AH50">IFERROR(
AVERAGE((IF(DATOS_[[Sexo]:[Sexo]]=$B50,IF(DATOS_[[AGRUP. VALOR. PTO.]:[AGRUP. VALOR. PTO.]]=$B48,IF(DATOS_[[Check Periodo Ref.]:[Check Periodo Ref.]]="Dentro",DATOS_[Conc.Sal.29]))))),
0)</f>
        <v>0</v>
      </c>
      <c r="AI50" s="93">
        <f t="array" ref="AI50">IFERROR(
AVERAGE((IF(DATOS_[[Sexo]:[Sexo]]=$B50,IF(DATOS_[[AGRUP. VALOR. PTO.]:[AGRUP. VALOR. PTO.]]=$B48,IF(DATOS_[[Check Periodo Ref.]:[Check Periodo Ref.]]="Dentro",DATOS_[Conc.Sal.30]))))),
0)</f>
        <v>0</v>
      </c>
      <c r="AJ50" s="94">
        <f t="array" ref="AJ50">IFERROR(
AVERAGE(IF(DATOS_[Sexo]=$B50,IF(DATOS_[AGRUP. VALOR. PTO.]=$B48,IF(DATOS_[Check Periodo Ref.]="Dentro",DATOS_[Tot COMPL.SAL Ef],FALSE)))),
0)</f>
        <v>0</v>
      </c>
      <c r="AK50" s="96">
        <f t="array" ref="AK50">IFERROR(
AVERAGE(IF(DATOS_[Sexo]=$B50,IF(DATOS_[AGRUP. VALOR. PTO.]=$B48,IF(DATOS_[Check Periodo Ref.]="Dentro",DATOS_[TOTAL SALARIO Ef],FALSE)))),
0)</f>
        <v>0</v>
      </c>
      <c r="AL50" s="95">
        <f t="array" ref="AL50">IFERROR(
AVERAGE((IF(DATOS_[[Sexo]:[Sexo]]=$B50,IF(DATOS_[[AGRUP. VALOR. PTO.]:[AGRUP. VALOR. PTO.]]=$B48,IF(DATOS_[[Check Periodo Ref.]:[Check Periodo Ref.]]="Dentro",DATOS_[C.Extra.01]))))),
0)</f>
        <v>0</v>
      </c>
      <c r="AM50" s="95">
        <f t="array" ref="AM50">IFERROR(
AVERAGE((IF(DATOS_[[Sexo]:[Sexo]]=$B50,IF(DATOS_[[AGRUP. VALOR. PTO.]:[AGRUP. VALOR. PTO.]]=$B48,IF(DATOS_[[Check Periodo Ref.]:[Check Periodo Ref.]]="Dentro",DATOS_[C.Extra.02]))))),
0)</f>
        <v>0</v>
      </c>
      <c r="AN50" s="95">
        <f t="array" ref="AN50">IFERROR(
AVERAGE((IF(DATOS_[[Sexo]:[Sexo]]=$B50,IF(DATOS_[[AGRUP. VALOR. PTO.]:[AGRUP. VALOR. PTO.]]=$B48,IF(DATOS_[[Check Periodo Ref.]:[Check Periodo Ref.]]="Dentro",DATOS_[C.Extra.03]))))),
0)</f>
        <v>0</v>
      </c>
      <c r="AO50" s="95">
        <f t="array" ref="AO50">IFERROR(
AVERAGE((IF(DATOS_[[Sexo]:[Sexo]]=$B50,IF(DATOS_[[AGRUP. VALOR. PTO.]:[AGRUP. VALOR. PTO.]]=$B48,IF(DATOS_[[Check Periodo Ref.]:[Check Periodo Ref.]]="Dentro",DATOS_[C.Extra.04]))))),
0)</f>
        <v>0</v>
      </c>
      <c r="AP50" s="95">
        <f t="array" ref="AP50">IFERROR(
AVERAGE((IF(DATOS_[[Sexo]:[Sexo]]=$B50,IF(DATOS_[[AGRUP. VALOR. PTO.]:[AGRUP. VALOR. PTO.]]=$B48,IF(DATOS_[[Check Periodo Ref.]:[Check Periodo Ref.]]="Dentro",DATOS_[C.Extra.05]))))),
0)</f>
        <v>0</v>
      </c>
      <c r="AQ50" s="97">
        <f t="array" ref="AQ50">IFERROR(
AVERAGE(IF(DATOS_[Sexo]=$B50,IF(DATOS_[AGRUP. VALOR. PTO.]=$B48,IF(DATOS_[Check Periodo Ref.]="Dentro",DATOS_[Tot Extrasalarial Ef],FALSE)))),
0)</f>
        <v>0</v>
      </c>
      <c r="AR50" s="98">
        <f t="array" ref="AR50">IFERROR(
AVERAGE(IF(DATOS_[Sexo]=$B50,IF(DATOS_[AGRUP. VALOR. PTO.]=$B48,IF(DATOS_[Check Periodo Ref.]="Dentro",DATOS_[TOTAL Retrib Ef],FALSE)))),
0)</f>
        <v>0</v>
      </c>
    </row>
    <row r="51" spans="1:44" ht="17.25" hidden="1" thickBot="1" x14ac:dyDescent="0.35">
      <c r="A51" s="48" t="str">
        <f t="shared" ref="A51" si="51">+A52</f>
        <v>[ocultar]</v>
      </c>
      <c r="B51" s="51" t="s">
        <v>272</v>
      </c>
      <c r="C51" s="91"/>
      <c r="D51" s="52"/>
      <c r="E51" s="139" t="str">
        <f t="shared" ref="E51:AR51" si="52">IFERROR((E52-E53)/E52,"")</f>
        <v/>
      </c>
      <c r="F51" s="179" t="str">
        <f t="shared" si="52"/>
        <v/>
      </c>
      <c r="G51" s="180" t="str">
        <f t="shared" si="52"/>
        <v/>
      </c>
      <c r="H51" s="180" t="str">
        <f t="shared" si="52"/>
        <v/>
      </c>
      <c r="I51" s="180" t="str">
        <f t="shared" si="52"/>
        <v/>
      </c>
      <c r="J51" s="181" t="str">
        <f t="shared" si="52"/>
        <v/>
      </c>
      <c r="K51" s="182" t="str">
        <f t="shared" si="52"/>
        <v/>
      </c>
      <c r="L51" s="182" t="str">
        <f t="shared" si="52"/>
        <v/>
      </c>
      <c r="M51" s="182" t="str">
        <f t="shared" si="52"/>
        <v/>
      </c>
      <c r="N51" s="182" t="str">
        <f t="shared" si="52"/>
        <v/>
      </c>
      <c r="O51" s="182" t="str">
        <f t="shared" si="52"/>
        <v/>
      </c>
      <c r="P51" s="182" t="str">
        <f t="shared" si="52"/>
        <v/>
      </c>
      <c r="Q51" s="182" t="str">
        <f t="shared" si="52"/>
        <v/>
      </c>
      <c r="R51" s="182" t="str">
        <f t="shared" si="52"/>
        <v/>
      </c>
      <c r="S51" s="182" t="str">
        <f t="shared" si="52"/>
        <v/>
      </c>
      <c r="T51" s="182" t="str">
        <f t="shared" si="52"/>
        <v/>
      </c>
      <c r="U51" s="182" t="str">
        <f t="shared" si="52"/>
        <v/>
      </c>
      <c r="V51" s="181" t="str">
        <f t="shared" si="52"/>
        <v/>
      </c>
      <c r="W51" s="181" t="str">
        <f t="shared" si="52"/>
        <v/>
      </c>
      <c r="X51" s="181" t="str">
        <f t="shared" si="52"/>
        <v/>
      </c>
      <c r="Y51" s="181" t="str">
        <f t="shared" si="52"/>
        <v/>
      </c>
      <c r="Z51" s="181" t="str">
        <f t="shared" si="52"/>
        <v/>
      </c>
      <c r="AA51" s="181" t="str">
        <f t="shared" si="52"/>
        <v/>
      </c>
      <c r="AB51" s="181" t="str">
        <f t="shared" si="52"/>
        <v/>
      </c>
      <c r="AC51" s="181" t="str">
        <f t="shared" si="52"/>
        <v/>
      </c>
      <c r="AD51" s="181" t="str">
        <f t="shared" si="52"/>
        <v/>
      </c>
      <c r="AE51" s="181" t="str">
        <f t="shared" si="52"/>
        <v/>
      </c>
      <c r="AF51" s="181" t="str">
        <f t="shared" si="52"/>
        <v/>
      </c>
      <c r="AG51" s="181" t="str">
        <f t="shared" si="52"/>
        <v/>
      </c>
      <c r="AH51" s="181" t="str">
        <f t="shared" si="52"/>
        <v/>
      </c>
      <c r="AI51" s="181" t="str">
        <f t="shared" si="52"/>
        <v/>
      </c>
      <c r="AJ51" s="140" t="str">
        <f t="shared" si="52"/>
        <v/>
      </c>
      <c r="AK51" s="143" t="str">
        <f t="shared" si="52"/>
        <v/>
      </c>
      <c r="AL51" s="184" t="str">
        <f t="shared" si="52"/>
        <v/>
      </c>
      <c r="AM51" s="184" t="str">
        <f t="shared" si="52"/>
        <v/>
      </c>
      <c r="AN51" s="184" t="str">
        <f t="shared" si="52"/>
        <v/>
      </c>
      <c r="AO51" s="184" t="str">
        <f t="shared" si="52"/>
        <v/>
      </c>
      <c r="AP51" s="184" t="str">
        <f t="shared" si="52"/>
        <v/>
      </c>
      <c r="AQ51" s="141" t="str">
        <f t="shared" si="52"/>
        <v/>
      </c>
      <c r="AR51" s="142" t="str">
        <f t="shared" si="52"/>
        <v/>
      </c>
    </row>
    <row r="52" spans="1:44" hidden="1" x14ac:dyDescent="0.3">
      <c r="A52" s="48" t="str">
        <f t="shared" ref="A52" si="53">+IF(C52+C53=0,"[ocultar]","")</f>
        <v>[ocultar]</v>
      </c>
      <c r="B52" s="46" t="s">
        <v>162</v>
      </c>
      <c r="C52" s="45">
        <f t="array" ref="C52">SUM(IF($B52=DATOS_[Sexo],
IF($B51=DATOS_[AGRUP. VALOR. PTO.],
IF("Dentro"=DATOS_[Check Periodo Ref.],
1/(COUNTIFS(DATOS_[Sexo],$B52,DATOS_[AGRUP. VALOR. PTO.],$B51,DATOS_[Check Periodo Ref.],"Dentro",DATOS_[id],DATOS_[id]))))))</f>
        <v>0</v>
      </c>
      <c r="D52" s="47">
        <f>COUNTIFS(DATOS_[AGRUP. VALOR. PTO.],$B51,DATOS_[Sexo],$B52,DATOS_[Check Periodo Ref.],"Dentro")</f>
        <v>0</v>
      </c>
      <c r="E52" s="92">
        <f t="array" ref="E52">IFERROR(
AVERAGE(IF(DATOS_[Sexo]=$B52,IF(DATOS_[AGRUP. VALOR. PTO.]=$B51,IF(DATOS_[Check Periodo Ref.]="Dentro",DATOS_[SALARIO BASE Ef],FALSE)))),
0)</f>
        <v>0</v>
      </c>
      <c r="F52" s="93">
        <f t="array" ref="F52">IFERROR(
AVERAGE((IF(DATOS_[[Sexo]:[Sexo]]=$B52,IF(DATOS_[[AGRUP. VALOR. PTO.]:[AGRUP. VALOR. PTO.]]=$B51,IF(DATOS_[[Check Periodo Ref.]:[Check Periodo Ref.]]="Dentro",DATOS_[Conc.Sal.01]))))),
0)</f>
        <v>0</v>
      </c>
      <c r="G52" s="93">
        <f t="array" ref="G52">IFERROR(
AVERAGE((IF(DATOS_[[Sexo]:[Sexo]]=$B52,IF(DATOS_[[AGRUP. VALOR. PTO.]:[AGRUP. VALOR. PTO.]]=$B51,IF(DATOS_[[Check Periodo Ref.]:[Check Periodo Ref.]]="Dentro",DATOS_[Conc.Sal.02]))))),
0)</f>
        <v>0</v>
      </c>
      <c r="H52" s="93">
        <f t="array" ref="H52">IFERROR(
AVERAGE((IF(DATOS_[[Sexo]:[Sexo]]=$B52,IF(DATOS_[[AGRUP. VALOR. PTO.]:[AGRUP. VALOR. PTO.]]=$B51,IF(DATOS_[[Check Periodo Ref.]:[Check Periodo Ref.]]="Dentro",DATOS_[Conc.Sal.03]))))),
0)</f>
        <v>0</v>
      </c>
      <c r="I52" s="93">
        <f t="array" ref="I52">IFERROR(
AVERAGE((IF(DATOS_[[Sexo]:[Sexo]]=$B52,IF(DATOS_[[AGRUP. VALOR. PTO.]:[AGRUP. VALOR. PTO.]]=$B51,IF(DATOS_[[Check Periodo Ref.]:[Check Periodo Ref.]]="Dentro",DATOS_[Conc.Sal.04]))))),
0)</f>
        <v>0</v>
      </c>
      <c r="J52" s="93">
        <f t="array" ref="J52">IFERROR(
AVERAGE((IF(DATOS_[[Sexo]:[Sexo]]=$B52,IF(DATOS_[[AGRUP. VALOR. PTO.]:[AGRUP. VALOR. PTO.]]=$B51,IF(DATOS_[[Check Periodo Ref.]:[Check Periodo Ref.]]="Dentro",DATOS_[Conc.Sal.05]))))),
0)</f>
        <v>0</v>
      </c>
      <c r="K52" s="93">
        <f t="array" ref="K52">IFERROR(
AVERAGE((IF(DATOS_[[Sexo]:[Sexo]]=$B52,IF(DATOS_[[AGRUP. VALOR. PTO.]:[AGRUP. VALOR. PTO.]]=$B51,IF(DATOS_[[Check Periodo Ref.]:[Check Periodo Ref.]]="Dentro",DATOS_[Conc.Sal.06]))))),
0)</f>
        <v>0</v>
      </c>
      <c r="L52" s="93">
        <f t="array" ref="L52">IFERROR(
AVERAGE((IF(DATOS_[[Sexo]:[Sexo]]=$B52,IF(DATOS_[[AGRUP. VALOR. PTO.]:[AGRUP. VALOR. PTO.]]=$B51,IF(DATOS_[[Check Periodo Ref.]:[Check Periodo Ref.]]="Dentro",DATOS_[Conc.Sal.07]))))),
0)</f>
        <v>0</v>
      </c>
      <c r="M52" s="93">
        <f t="array" ref="M52">IFERROR(
AVERAGE((IF(DATOS_[[Sexo]:[Sexo]]=$B52,IF(DATOS_[[AGRUP. VALOR. PTO.]:[AGRUP. VALOR. PTO.]]=$B51,IF(DATOS_[[Check Periodo Ref.]:[Check Periodo Ref.]]="Dentro",DATOS_[Conc.Sal.08]))))),
0)</f>
        <v>0</v>
      </c>
      <c r="N52" s="93">
        <f t="array" ref="N52">IFERROR(
AVERAGE((IF(DATOS_[[Sexo]:[Sexo]]=$B52,IF(DATOS_[[AGRUP. VALOR. PTO.]:[AGRUP. VALOR. PTO.]]=$B51,IF(DATOS_[[Check Periodo Ref.]:[Check Periodo Ref.]]="Dentro",DATOS_[Conc.Sal.09]))))),
0)</f>
        <v>0</v>
      </c>
      <c r="O52" s="93">
        <f t="array" ref="O52">IFERROR(
AVERAGE((IF(DATOS_[[Sexo]:[Sexo]]=$B52,IF(DATOS_[[AGRUP. VALOR. PTO.]:[AGRUP. VALOR. PTO.]]=$B51,IF(DATOS_[[Check Periodo Ref.]:[Check Periodo Ref.]]="Dentro",DATOS_[Conc.Sal.10]))))),
0)</f>
        <v>0</v>
      </c>
      <c r="P52" s="93">
        <f t="array" ref="P52">IFERROR(
AVERAGE((IF(DATOS_[[Sexo]:[Sexo]]=$B52,IF(DATOS_[[AGRUP. VALOR. PTO.]:[AGRUP. VALOR. PTO.]]=$B51,IF(DATOS_[[Check Periodo Ref.]:[Check Periodo Ref.]]="Dentro",DATOS_[Conc.Sal.11]))))),
0)</f>
        <v>0</v>
      </c>
      <c r="Q52" s="93">
        <f t="array" ref="Q52">IFERROR(
AVERAGE((IF(DATOS_[[Sexo]:[Sexo]]=$B52,IF(DATOS_[[AGRUP. VALOR. PTO.]:[AGRUP. VALOR. PTO.]]=$B51,IF(DATOS_[[Check Periodo Ref.]:[Check Periodo Ref.]]="Dentro",DATOS_[Conc.Sal.12]))))),
0)</f>
        <v>0</v>
      </c>
      <c r="R52" s="93">
        <f t="array" ref="R52">IFERROR(
AVERAGE((IF(DATOS_[[Sexo]:[Sexo]]=$B52,IF(DATOS_[[AGRUP. VALOR. PTO.]:[AGRUP. VALOR. PTO.]]=$B51,IF(DATOS_[[Check Periodo Ref.]:[Check Periodo Ref.]]="Dentro",DATOS_[Conc.Sal.13]))))),
0)</f>
        <v>0</v>
      </c>
      <c r="S52" s="93">
        <f t="array" ref="S52">IFERROR(
AVERAGE((IF(DATOS_[[Sexo]:[Sexo]]=$B52,IF(DATOS_[[AGRUP. VALOR. PTO.]:[AGRUP. VALOR. PTO.]]=$B51,IF(DATOS_[[Check Periodo Ref.]:[Check Periodo Ref.]]="Dentro",DATOS_[Conc.Sal.14]))))),
0)</f>
        <v>0</v>
      </c>
      <c r="T52" s="93">
        <f t="array" ref="T52">IFERROR(
AVERAGE((IF(DATOS_[[Sexo]:[Sexo]]=$B52,IF(DATOS_[[AGRUP. VALOR. PTO.]:[AGRUP. VALOR. PTO.]]=$B51,IF(DATOS_[[Check Periodo Ref.]:[Check Periodo Ref.]]="Dentro",DATOS_[Conc.Sal.15]))))),
0)</f>
        <v>0</v>
      </c>
      <c r="U52" s="93">
        <f t="array" ref="U52">IFERROR(
AVERAGE((IF(DATOS_[[Sexo]:[Sexo]]=$B52,IF(DATOS_[[AGRUP. VALOR. PTO.]:[AGRUP. VALOR. PTO.]]=$B51,IF(DATOS_[[Check Periodo Ref.]:[Check Periodo Ref.]]="Dentro",DATOS_[Conc.Sal.16]))))),
0)</f>
        <v>0</v>
      </c>
      <c r="V52" s="93">
        <f t="array" ref="V52">IFERROR(
AVERAGE((IF(DATOS_[[Sexo]:[Sexo]]=$B52,IF(DATOS_[[AGRUP. VALOR. PTO.]:[AGRUP. VALOR. PTO.]]=$B51,IF(DATOS_[[Check Periodo Ref.]:[Check Periodo Ref.]]="Dentro",DATOS_[Conc.Sal.17]))))),
0)</f>
        <v>0</v>
      </c>
      <c r="W52" s="93">
        <f t="array" ref="W52">IFERROR(
AVERAGE((IF(DATOS_[[Sexo]:[Sexo]]=$B52,IF(DATOS_[[AGRUP. VALOR. PTO.]:[AGRUP. VALOR. PTO.]]=$B51,IF(DATOS_[[Check Periodo Ref.]:[Check Periodo Ref.]]="Dentro",DATOS_[Conc.Sal.18]))))),
0)</f>
        <v>0</v>
      </c>
      <c r="X52" s="93">
        <f t="array" ref="X52">IFERROR(
AVERAGE((IF(DATOS_[[Sexo]:[Sexo]]=$B52,IF(DATOS_[[AGRUP. VALOR. PTO.]:[AGRUP. VALOR. PTO.]]=$B51,IF(DATOS_[[Check Periodo Ref.]:[Check Periodo Ref.]]="Dentro",DATOS_[Conc.Sal.19]))))),
0)</f>
        <v>0</v>
      </c>
      <c r="Y52" s="93">
        <f t="array" ref="Y52">IFERROR(
AVERAGE((IF(DATOS_[[Sexo]:[Sexo]]=$B52,IF(DATOS_[[AGRUP. VALOR. PTO.]:[AGRUP. VALOR. PTO.]]=$B51,IF(DATOS_[[Check Periodo Ref.]:[Check Periodo Ref.]]="Dentro",DATOS_[Conc.Sal.20]))))),
0)</f>
        <v>0</v>
      </c>
      <c r="Z52" s="93">
        <f t="array" ref="Z52">IFERROR(
AVERAGE((IF(DATOS_[[Sexo]:[Sexo]]=$B52,IF(DATOS_[[AGRUP. VALOR. PTO.]:[AGRUP. VALOR. PTO.]]=$B51,IF(DATOS_[[Check Periodo Ref.]:[Check Periodo Ref.]]="Dentro",DATOS_[Conc.Sal.21]))))),
0)</f>
        <v>0</v>
      </c>
      <c r="AA52" s="93">
        <f t="array" ref="AA52">IFERROR(
AVERAGE((IF(DATOS_[[Sexo]:[Sexo]]=$B52,IF(DATOS_[[AGRUP. VALOR. PTO.]:[AGRUP. VALOR. PTO.]]=$B51,IF(DATOS_[[Check Periodo Ref.]:[Check Periodo Ref.]]="Dentro",DATOS_[Conc.Sal.22]))))),
0)</f>
        <v>0</v>
      </c>
      <c r="AB52" s="93">
        <f t="array" ref="AB52">IFERROR(
AVERAGE((IF(DATOS_[[Sexo]:[Sexo]]=$B52,IF(DATOS_[[AGRUP. VALOR. PTO.]:[AGRUP. VALOR. PTO.]]=$B51,IF(DATOS_[[Check Periodo Ref.]:[Check Periodo Ref.]]="Dentro",DATOS_[Conc.Sal.23]))))),
0)</f>
        <v>0</v>
      </c>
      <c r="AC52" s="93">
        <f t="array" ref="AC52">IFERROR(
AVERAGE((IF(DATOS_[[Sexo]:[Sexo]]=$B52,IF(DATOS_[[AGRUP. VALOR. PTO.]:[AGRUP. VALOR. PTO.]]=$B51,IF(DATOS_[[Check Periodo Ref.]:[Check Periodo Ref.]]="Dentro",DATOS_[Conc.Sal.24]))))),
0)</f>
        <v>0</v>
      </c>
      <c r="AD52" s="93">
        <f t="array" ref="AD52">IFERROR(
AVERAGE((IF(DATOS_[[Sexo]:[Sexo]]=$B52,IF(DATOS_[[AGRUP. VALOR. PTO.]:[AGRUP. VALOR. PTO.]]=$B51,IF(DATOS_[[Check Periodo Ref.]:[Check Periodo Ref.]]="Dentro",DATOS_[Conc.Sal.25]))))),
0)</f>
        <v>0</v>
      </c>
      <c r="AE52" s="93">
        <f t="array" ref="AE52">IFERROR(
AVERAGE((IF(DATOS_[[Sexo]:[Sexo]]=$B52,IF(DATOS_[[AGRUP. VALOR. PTO.]:[AGRUP. VALOR. PTO.]]=$B51,IF(DATOS_[[Check Periodo Ref.]:[Check Periodo Ref.]]="Dentro",DATOS_[Conc.Sal.26]))))),
0)</f>
        <v>0</v>
      </c>
      <c r="AF52" s="93">
        <f t="array" ref="AF52">IFERROR(
AVERAGE((IF(DATOS_[[Sexo]:[Sexo]]=$B52,IF(DATOS_[[AGRUP. VALOR. PTO.]:[AGRUP. VALOR. PTO.]]=$B51,IF(DATOS_[[Check Periodo Ref.]:[Check Periodo Ref.]]="Dentro",DATOS_[Conc.Sal.27]))))),
0)</f>
        <v>0</v>
      </c>
      <c r="AG52" s="93">
        <f t="array" ref="AG52">IFERROR(
AVERAGE((IF(DATOS_[[Sexo]:[Sexo]]=$B52,IF(DATOS_[[AGRUP. VALOR. PTO.]:[AGRUP. VALOR. PTO.]]=$B51,IF(DATOS_[[Check Periodo Ref.]:[Check Periodo Ref.]]="Dentro",DATOS_[Conc.Sal.28]))))),
0)</f>
        <v>0</v>
      </c>
      <c r="AH52" s="93">
        <f t="array" ref="AH52">IFERROR(
AVERAGE((IF(DATOS_[[Sexo]:[Sexo]]=$B52,IF(DATOS_[[AGRUP. VALOR. PTO.]:[AGRUP. VALOR. PTO.]]=$B51,IF(DATOS_[[Check Periodo Ref.]:[Check Periodo Ref.]]="Dentro",DATOS_[Conc.Sal.29]))))),
0)</f>
        <v>0</v>
      </c>
      <c r="AI52" s="93">
        <f t="array" ref="AI52">IFERROR(
AVERAGE((IF(DATOS_[[Sexo]:[Sexo]]=$B52,IF(DATOS_[[AGRUP. VALOR. PTO.]:[AGRUP. VALOR. PTO.]]=$B51,IF(DATOS_[[Check Periodo Ref.]:[Check Periodo Ref.]]="Dentro",DATOS_[Conc.Sal.30]))))),
0)</f>
        <v>0</v>
      </c>
      <c r="AJ52" s="94">
        <f t="array" ref="AJ52">IFERROR(
AVERAGE(IF(DATOS_[Sexo]=$B52,IF(DATOS_[AGRUP. VALOR. PTO.]=$B51,IF(DATOS_[Check Periodo Ref.]="Dentro",DATOS_[Tot COMPL.SAL Ef],FALSE)))),
0)</f>
        <v>0</v>
      </c>
      <c r="AK52" s="96">
        <f t="array" ref="AK52">IFERROR(
AVERAGE(IF(DATOS_[Sexo]=$B52,IF(DATOS_[AGRUP. VALOR. PTO.]=$B51,IF(DATOS_[Check Periodo Ref.]="Dentro",DATOS_[TOTAL SALARIO Ef],FALSE)))),
0)</f>
        <v>0</v>
      </c>
      <c r="AL52" s="95">
        <f t="array" ref="AL52">IFERROR(
AVERAGE((IF(DATOS_[[Sexo]:[Sexo]]=$B52,IF(DATOS_[[AGRUP. VALOR. PTO.]:[AGRUP. VALOR. PTO.]]=$B51,IF(DATOS_[[Check Periodo Ref.]:[Check Periodo Ref.]]="Dentro",DATOS_[C.Extra.01]))))),
0)</f>
        <v>0</v>
      </c>
      <c r="AM52" s="95">
        <f t="array" ref="AM52">IFERROR(
AVERAGE((IF(DATOS_[[Sexo]:[Sexo]]=$B52,IF(DATOS_[[AGRUP. VALOR. PTO.]:[AGRUP. VALOR. PTO.]]=$B51,IF(DATOS_[[Check Periodo Ref.]:[Check Periodo Ref.]]="Dentro",DATOS_[C.Extra.02]))))),
0)</f>
        <v>0</v>
      </c>
      <c r="AN52" s="95">
        <f t="array" ref="AN52">IFERROR(
AVERAGE((IF(DATOS_[[Sexo]:[Sexo]]=$B52,IF(DATOS_[[AGRUP. VALOR. PTO.]:[AGRUP. VALOR. PTO.]]=$B51,IF(DATOS_[[Check Periodo Ref.]:[Check Periodo Ref.]]="Dentro",DATOS_[C.Extra.03]))))),
0)</f>
        <v>0</v>
      </c>
      <c r="AO52" s="95">
        <f t="array" ref="AO52">IFERROR(
AVERAGE((IF(DATOS_[[Sexo]:[Sexo]]=$B52,IF(DATOS_[[AGRUP. VALOR. PTO.]:[AGRUP. VALOR. PTO.]]=$B51,IF(DATOS_[[Check Periodo Ref.]:[Check Periodo Ref.]]="Dentro",DATOS_[C.Extra.04]))))),
0)</f>
        <v>0</v>
      </c>
      <c r="AP52" s="95">
        <f t="array" ref="AP52">IFERROR(
AVERAGE((IF(DATOS_[[Sexo]:[Sexo]]=$B52,IF(DATOS_[[AGRUP. VALOR. PTO.]:[AGRUP. VALOR. PTO.]]=$B51,IF(DATOS_[[Check Periodo Ref.]:[Check Periodo Ref.]]="Dentro",DATOS_[C.Extra.05]))))),
0)</f>
        <v>0</v>
      </c>
      <c r="AQ52" s="97">
        <f t="array" ref="AQ52">IFERROR(
AVERAGE(IF(DATOS_[Sexo]=$B52,IF(DATOS_[AGRUP. VALOR. PTO.]=$B51,IF(DATOS_[Check Periodo Ref.]="Dentro",DATOS_[Tot Extrasalarial Ef],FALSE)))),
0)</f>
        <v>0</v>
      </c>
      <c r="AR52" s="98">
        <f t="array" ref="AR52">IFERROR(
AVERAGE(IF(DATOS_[Sexo]=$B52,IF(DATOS_[AGRUP. VALOR. PTO.]=$B51,IF(DATOS_[Check Periodo Ref.]="Dentro",DATOS_[TOTAL Retrib Ef],FALSE)))),
0)</f>
        <v>0</v>
      </c>
    </row>
    <row r="53" spans="1:44" hidden="1" x14ac:dyDescent="0.3">
      <c r="A53" s="48" t="str">
        <f t="shared" ref="A53" si="54">+A52</f>
        <v>[ocultar]</v>
      </c>
      <c r="B53" s="46" t="s">
        <v>163</v>
      </c>
      <c r="C53" s="45">
        <f t="array" ref="C53">SUM(IF($B53=DATOS_[Sexo],
IF($B51=DATOS_[AGRUP. VALOR. PTO.],
IF("Dentro"=DATOS_[Check Periodo Ref.],
1/(COUNTIFS(DATOS_[Sexo],$B53,DATOS_[AGRUP. VALOR. PTO.],$B51,DATOS_[Check Periodo Ref.],"Dentro",DATOS_[id],DATOS_[id]))))))</f>
        <v>0</v>
      </c>
      <c r="D53" s="47">
        <f>COUNTIFS(DATOS_[AGRUP. VALOR. PTO.],$B51,DATOS_[Sexo],$B53,DATOS_[Check Periodo Ref.],"Dentro")</f>
        <v>0</v>
      </c>
      <c r="E53" s="92">
        <f t="array" ref="E53">IFERROR(
AVERAGE(IF(DATOS_[Sexo]=$B53,IF(DATOS_[AGRUP. VALOR. PTO.]=$B51,IF(DATOS_[Check Periodo Ref.]="Dentro",DATOS_[SALARIO BASE Ef],FALSE)))),
0)</f>
        <v>0</v>
      </c>
      <c r="F53" s="93">
        <f t="array" ref="F53">IFERROR(
AVERAGE((IF(DATOS_[[Sexo]:[Sexo]]=$B53,IF(DATOS_[[AGRUP. VALOR. PTO.]:[AGRUP. VALOR. PTO.]]=$B51,IF(DATOS_[[Check Periodo Ref.]:[Check Periodo Ref.]]="Dentro",DATOS_[Conc.Sal.01]))))),
0)</f>
        <v>0</v>
      </c>
      <c r="G53" s="93">
        <f t="array" ref="G53">IFERROR(
AVERAGE((IF(DATOS_[[Sexo]:[Sexo]]=$B53,IF(DATOS_[[AGRUP. VALOR. PTO.]:[AGRUP. VALOR. PTO.]]=$B51,IF(DATOS_[[Check Periodo Ref.]:[Check Periodo Ref.]]="Dentro",DATOS_[Conc.Sal.02]))))),
0)</f>
        <v>0</v>
      </c>
      <c r="H53" s="93">
        <f t="array" ref="H53">IFERROR(
AVERAGE((IF(DATOS_[[Sexo]:[Sexo]]=$B53,IF(DATOS_[[AGRUP. VALOR. PTO.]:[AGRUP. VALOR. PTO.]]=$B51,IF(DATOS_[[Check Periodo Ref.]:[Check Periodo Ref.]]="Dentro",DATOS_[Conc.Sal.03]))))),
0)</f>
        <v>0</v>
      </c>
      <c r="I53" s="93">
        <f t="array" ref="I53">IFERROR(
AVERAGE((IF(DATOS_[[Sexo]:[Sexo]]=$B53,IF(DATOS_[[AGRUP. VALOR. PTO.]:[AGRUP. VALOR. PTO.]]=$B51,IF(DATOS_[[Check Periodo Ref.]:[Check Periodo Ref.]]="Dentro",DATOS_[Conc.Sal.04]))))),
0)</f>
        <v>0</v>
      </c>
      <c r="J53" s="93">
        <f t="array" ref="J53">IFERROR(
AVERAGE((IF(DATOS_[[Sexo]:[Sexo]]=$B53,IF(DATOS_[[AGRUP. VALOR. PTO.]:[AGRUP. VALOR. PTO.]]=$B51,IF(DATOS_[[Check Periodo Ref.]:[Check Periodo Ref.]]="Dentro",DATOS_[Conc.Sal.05]))))),
0)</f>
        <v>0</v>
      </c>
      <c r="K53" s="93">
        <f t="array" ref="K53">IFERROR(
AVERAGE((IF(DATOS_[[Sexo]:[Sexo]]=$B53,IF(DATOS_[[AGRUP. VALOR. PTO.]:[AGRUP. VALOR. PTO.]]=$B51,IF(DATOS_[[Check Periodo Ref.]:[Check Periodo Ref.]]="Dentro",DATOS_[Conc.Sal.06]))))),
0)</f>
        <v>0</v>
      </c>
      <c r="L53" s="93">
        <f t="array" ref="L53">IFERROR(
AVERAGE((IF(DATOS_[[Sexo]:[Sexo]]=$B53,IF(DATOS_[[AGRUP. VALOR. PTO.]:[AGRUP. VALOR. PTO.]]=$B51,IF(DATOS_[[Check Periodo Ref.]:[Check Periodo Ref.]]="Dentro",DATOS_[Conc.Sal.07]))))),
0)</f>
        <v>0</v>
      </c>
      <c r="M53" s="93">
        <f t="array" ref="M53">IFERROR(
AVERAGE((IF(DATOS_[[Sexo]:[Sexo]]=$B53,IF(DATOS_[[AGRUP. VALOR. PTO.]:[AGRUP. VALOR. PTO.]]=$B51,IF(DATOS_[[Check Periodo Ref.]:[Check Periodo Ref.]]="Dentro",DATOS_[Conc.Sal.08]))))),
0)</f>
        <v>0</v>
      </c>
      <c r="N53" s="93">
        <f t="array" ref="N53">IFERROR(
AVERAGE((IF(DATOS_[[Sexo]:[Sexo]]=$B53,IF(DATOS_[[AGRUP. VALOR. PTO.]:[AGRUP. VALOR. PTO.]]=$B51,IF(DATOS_[[Check Periodo Ref.]:[Check Periodo Ref.]]="Dentro",DATOS_[Conc.Sal.09]))))),
0)</f>
        <v>0</v>
      </c>
      <c r="O53" s="93">
        <f t="array" ref="O53">IFERROR(
AVERAGE((IF(DATOS_[[Sexo]:[Sexo]]=$B53,IF(DATOS_[[AGRUP. VALOR. PTO.]:[AGRUP. VALOR. PTO.]]=$B51,IF(DATOS_[[Check Periodo Ref.]:[Check Periodo Ref.]]="Dentro",DATOS_[Conc.Sal.10]))))),
0)</f>
        <v>0</v>
      </c>
      <c r="P53" s="93">
        <f t="array" ref="P53">IFERROR(
AVERAGE((IF(DATOS_[[Sexo]:[Sexo]]=$B53,IF(DATOS_[[AGRUP. VALOR. PTO.]:[AGRUP. VALOR. PTO.]]=$B51,IF(DATOS_[[Check Periodo Ref.]:[Check Periodo Ref.]]="Dentro",DATOS_[Conc.Sal.11]))))),
0)</f>
        <v>0</v>
      </c>
      <c r="Q53" s="93">
        <f t="array" ref="Q53">IFERROR(
AVERAGE((IF(DATOS_[[Sexo]:[Sexo]]=$B53,IF(DATOS_[[AGRUP. VALOR. PTO.]:[AGRUP. VALOR. PTO.]]=$B51,IF(DATOS_[[Check Periodo Ref.]:[Check Periodo Ref.]]="Dentro",DATOS_[Conc.Sal.12]))))),
0)</f>
        <v>0</v>
      </c>
      <c r="R53" s="93">
        <f t="array" ref="R53">IFERROR(
AVERAGE((IF(DATOS_[[Sexo]:[Sexo]]=$B53,IF(DATOS_[[AGRUP. VALOR. PTO.]:[AGRUP. VALOR. PTO.]]=$B51,IF(DATOS_[[Check Periodo Ref.]:[Check Periodo Ref.]]="Dentro",DATOS_[Conc.Sal.13]))))),
0)</f>
        <v>0</v>
      </c>
      <c r="S53" s="93">
        <f t="array" ref="S53">IFERROR(
AVERAGE((IF(DATOS_[[Sexo]:[Sexo]]=$B53,IF(DATOS_[[AGRUP. VALOR. PTO.]:[AGRUP. VALOR. PTO.]]=$B51,IF(DATOS_[[Check Periodo Ref.]:[Check Periodo Ref.]]="Dentro",DATOS_[Conc.Sal.14]))))),
0)</f>
        <v>0</v>
      </c>
      <c r="T53" s="93">
        <f t="array" ref="T53">IFERROR(
AVERAGE((IF(DATOS_[[Sexo]:[Sexo]]=$B53,IF(DATOS_[[AGRUP. VALOR. PTO.]:[AGRUP. VALOR. PTO.]]=$B51,IF(DATOS_[[Check Periodo Ref.]:[Check Periodo Ref.]]="Dentro",DATOS_[Conc.Sal.15]))))),
0)</f>
        <v>0</v>
      </c>
      <c r="U53" s="93">
        <f t="array" ref="U53">IFERROR(
AVERAGE((IF(DATOS_[[Sexo]:[Sexo]]=$B53,IF(DATOS_[[AGRUP. VALOR. PTO.]:[AGRUP. VALOR. PTO.]]=$B51,IF(DATOS_[[Check Periodo Ref.]:[Check Periodo Ref.]]="Dentro",DATOS_[Conc.Sal.16]))))),
0)</f>
        <v>0</v>
      </c>
      <c r="V53" s="93">
        <f t="array" ref="V53">IFERROR(
AVERAGE((IF(DATOS_[[Sexo]:[Sexo]]=$B53,IF(DATOS_[[AGRUP. VALOR. PTO.]:[AGRUP. VALOR. PTO.]]=$B51,IF(DATOS_[[Check Periodo Ref.]:[Check Periodo Ref.]]="Dentro",DATOS_[Conc.Sal.17]))))),
0)</f>
        <v>0</v>
      </c>
      <c r="W53" s="93">
        <f t="array" ref="W53">IFERROR(
AVERAGE((IF(DATOS_[[Sexo]:[Sexo]]=$B53,IF(DATOS_[[AGRUP. VALOR. PTO.]:[AGRUP. VALOR. PTO.]]=$B51,IF(DATOS_[[Check Periodo Ref.]:[Check Periodo Ref.]]="Dentro",DATOS_[Conc.Sal.18]))))),
0)</f>
        <v>0</v>
      </c>
      <c r="X53" s="93">
        <f t="array" ref="X53">IFERROR(
AVERAGE((IF(DATOS_[[Sexo]:[Sexo]]=$B53,IF(DATOS_[[AGRUP. VALOR. PTO.]:[AGRUP. VALOR. PTO.]]=$B51,IF(DATOS_[[Check Periodo Ref.]:[Check Periodo Ref.]]="Dentro",DATOS_[Conc.Sal.19]))))),
0)</f>
        <v>0</v>
      </c>
      <c r="Y53" s="93">
        <f t="array" ref="Y53">IFERROR(
AVERAGE((IF(DATOS_[[Sexo]:[Sexo]]=$B53,IF(DATOS_[[AGRUP. VALOR. PTO.]:[AGRUP. VALOR. PTO.]]=$B51,IF(DATOS_[[Check Periodo Ref.]:[Check Periodo Ref.]]="Dentro",DATOS_[Conc.Sal.20]))))),
0)</f>
        <v>0</v>
      </c>
      <c r="Z53" s="93">
        <f t="array" ref="Z53">IFERROR(
AVERAGE((IF(DATOS_[[Sexo]:[Sexo]]=$B53,IF(DATOS_[[AGRUP. VALOR. PTO.]:[AGRUP. VALOR. PTO.]]=$B51,IF(DATOS_[[Check Periodo Ref.]:[Check Periodo Ref.]]="Dentro",DATOS_[Conc.Sal.21]))))),
0)</f>
        <v>0</v>
      </c>
      <c r="AA53" s="93">
        <f t="array" ref="AA53">IFERROR(
AVERAGE((IF(DATOS_[[Sexo]:[Sexo]]=$B53,IF(DATOS_[[AGRUP. VALOR. PTO.]:[AGRUP. VALOR. PTO.]]=$B51,IF(DATOS_[[Check Periodo Ref.]:[Check Periodo Ref.]]="Dentro",DATOS_[Conc.Sal.22]))))),
0)</f>
        <v>0</v>
      </c>
      <c r="AB53" s="93">
        <f t="array" ref="AB53">IFERROR(
AVERAGE((IF(DATOS_[[Sexo]:[Sexo]]=$B53,IF(DATOS_[[AGRUP. VALOR. PTO.]:[AGRUP. VALOR. PTO.]]=$B51,IF(DATOS_[[Check Periodo Ref.]:[Check Periodo Ref.]]="Dentro",DATOS_[Conc.Sal.23]))))),
0)</f>
        <v>0</v>
      </c>
      <c r="AC53" s="93">
        <f t="array" ref="AC53">IFERROR(
AVERAGE((IF(DATOS_[[Sexo]:[Sexo]]=$B53,IF(DATOS_[[AGRUP. VALOR. PTO.]:[AGRUP. VALOR. PTO.]]=$B51,IF(DATOS_[[Check Periodo Ref.]:[Check Periodo Ref.]]="Dentro",DATOS_[Conc.Sal.24]))))),
0)</f>
        <v>0</v>
      </c>
      <c r="AD53" s="93">
        <f t="array" ref="AD53">IFERROR(
AVERAGE((IF(DATOS_[[Sexo]:[Sexo]]=$B53,IF(DATOS_[[AGRUP. VALOR. PTO.]:[AGRUP. VALOR. PTO.]]=$B51,IF(DATOS_[[Check Periodo Ref.]:[Check Periodo Ref.]]="Dentro",DATOS_[Conc.Sal.25]))))),
0)</f>
        <v>0</v>
      </c>
      <c r="AE53" s="93">
        <f t="array" ref="AE53">IFERROR(
AVERAGE((IF(DATOS_[[Sexo]:[Sexo]]=$B53,IF(DATOS_[[AGRUP. VALOR. PTO.]:[AGRUP. VALOR. PTO.]]=$B51,IF(DATOS_[[Check Periodo Ref.]:[Check Periodo Ref.]]="Dentro",DATOS_[Conc.Sal.26]))))),
0)</f>
        <v>0</v>
      </c>
      <c r="AF53" s="93">
        <f t="array" ref="AF53">IFERROR(
AVERAGE((IF(DATOS_[[Sexo]:[Sexo]]=$B53,IF(DATOS_[[AGRUP. VALOR. PTO.]:[AGRUP. VALOR. PTO.]]=$B51,IF(DATOS_[[Check Periodo Ref.]:[Check Periodo Ref.]]="Dentro",DATOS_[Conc.Sal.27]))))),
0)</f>
        <v>0</v>
      </c>
      <c r="AG53" s="93">
        <f t="array" ref="AG53">IFERROR(
AVERAGE((IF(DATOS_[[Sexo]:[Sexo]]=$B53,IF(DATOS_[[AGRUP. VALOR. PTO.]:[AGRUP. VALOR. PTO.]]=$B51,IF(DATOS_[[Check Periodo Ref.]:[Check Periodo Ref.]]="Dentro",DATOS_[Conc.Sal.28]))))),
0)</f>
        <v>0</v>
      </c>
      <c r="AH53" s="93">
        <f t="array" ref="AH53">IFERROR(
AVERAGE((IF(DATOS_[[Sexo]:[Sexo]]=$B53,IF(DATOS_[[AGRUP. VALOR. PTO.]:[AGRUP. VALOR. PTO.]]=$B51,IF(DATOS_[[Check Periodo Ref.]:[Check Periodo Ref.]]="Dentro",DATOS_[Conc.Sal.29]))))),
0)</f>
        <v>0</v>
      </c>
      <c r="AI53" s="93">
        <f t="array" ref="AI53">IFERROR(
AVERAGE((IF(DATOS_[[Sexo]:[Sexo]]=$B53,IF(DATOS_[[AGRUP. VALOR. PTO.]:[AGRUP. VALOR. PTO.]]=$B51,IF(DATOS_[[Check Periodo Ref.]:[Check Periodo Ref.]]="Dentro",DATOS_[Conc.Sal.30]))))),
0)</f>
        <v>0</v>
      </c>
      <c r="AJ53" s="94">
        <f t="array" ref="AJ53">IFERROR(
AVERAGE(IF(DATOS_[Sexo]=$B53,IF(DATOS_[AGRUP. VALOR. PTO.]=$B51,IF(DATOS_[Check Periodo Ref.]="Dentro",DATOS_[Tot COMPL.SAL Ef],FALSE)))),
0)</f>
        <v>0</v>
      </c>
      <c r="AK53" s="96">
        <f t="array" ref="AK53">IFERROR(
AVERAGE(IF(DATOS_[Sexo]=$B53,IF(DATOS_[AGRUP. VALOR. PTO.]=$B51,IF(DATOS_[Check Periodo Ref.]="Dentro",DATOS_[TOTAL SALARIO Ef],FALSE)))),
0)</f>
        <v>0</v>
      </c>
      <c r="AL53" s="95">
        <f t="array" ref="AL53">IFERROR(
AVERAGE((IF(DATOS_[[Sexo]:[Sexo]]=$B53,IF(DATOS_[[AGRUP. VALOR. PTO.]:[AGRUP. VALOR. PTO.]]=$B51,IF(DATOS_[[Check Periodo Ref.]:[Check Periodo Ref.]]="Dentro",DATOS_[C.Extra.01]))))),
0)</f>
        <v>0</v>
      </c>
      <c r="AM53" s="95">
        <f t="array" ref="AM53">IFERROR(
AVERAGE((IF(DATOS_[[Sexo]:[Sexo]]=$B53,IF(DATOS_[[AGRUP. VALOR. PTO.]:[AGRUP. VALOR. PTO.]]=$B51,IF(DATOS_[[Check Periodo Ref.]:[Check Periodo Ref.]]="Dentro",DATOS_[C.Extra.02]))))),
0)</f>
        <v>0</v>
      </c>
      <c r="AN53" s="95">
        <f t="array" ref="AN53">IFERROR(
AVERAGE((IF(DATOS_[[Sexo]:[Sexo]]=$B53,IF(DATOS_[[AGRUP. VALOR. PTO.]:[AGRUP. VALOR. PTO.]]=$B51,IF(DATOS_[[Check Periodo Ref.]:[Check Periodo Ref.]]="Dentro",DATOS_[C.Extra.03]))))),
0)</f>
        <v>0</v>
      </c>
      <c r="AO53" s="95">
        <f t="array" ref="AO53">IFERROR(
AVERAGE((IF(DATOS_[[Sexo]:[Sexo]]=$B53,IF(DATOS_[[AGRUP. VALOR. PTO.]:[AGRUP. VALOR. PTO.]]=$B51,IF(DATOS_[[Check Periodo Ref.]:[Check Periodo Ref.]]="Dentro",DATOS_[C.Extra.04]))))),
0)</f>
        <v>0</v>
      </c>
      <c r="AP53" s="95">
        <f t="array" ref="AP53">IFERROR(
AVERAGE((IF(DATOS_[[Sexo]:[Sexo]]=$B53,IF(DATOS_[[AGRUP. VALOR. PTO.]:[AGRUP. VALOR. PTO.]]=$B51,IF(DATOS_[[Check Periodo Ref.]:[Check Periodo Ref.]]="Dentro",DATOS_[C.Extra.05]))))),
0)</f>
        <v>0</v>
      </c>
      <c r="AQ53" s="97">
        <f t="array" ref="AQ53">IFERROR(
AVERAGE(IF(DATOS_[Sexo]=$B53,IF(DATOS_[AGRUP. VALOR. PTO.]=$B51,IF(DATOS_[Check Periodo Ref.]="Dentro",DATOS_[Tot Extrasalarial Ef],FALSE)))),
0)</f>
        <v>0</v>
      </c>
      <c r="AR53" s="98">
        <f t="array" ref="AR53">IFERROR(
AVERAGE(IF(DATOS_[Sexo]=$B53,IF(DATOS_[AGRUP. VALOR. PTO.]=$B51,IF(DATOS_[Check Periodo Ref.]="Dentro",DATOS_[TOTAL Retrib Ef],FALSE)))),
0)</f>
        <v>0</v>
      </c>
    </row>
    <row r="54" spans="1:44" ht="17.25" hidden="1" thickBot="1" x14ac:dyDescent="0.35">
      <c r="A54" s="48" t="str">
        <f t="shared" ref="A54" si="55">+A55</f>
        <v>[ocultar]</v>
      </c>
      <c r="B54" s="51" t="s">
        <v>273</v>
      </c>
      <c r="C54" s="91"/>
      <c r="D54" s="52"/>
      <c r="E54" s="139" t="str">
        <f t="shared" ref="E54:AR54" si="56">IFERROR((E55-E56)/E55,"")</f>
        <v/>
      </c>
      <c r="F54" s="179" t="str">
        <f t="shared" si="56"/>
        <v/>
      </c>
      <c r="G54" s="180" t="str">
        <f t="shared" si="56"/>
        <v/>
      </c>
      <c r="H54" s="180" t="str">
        <f t="shared" si="56"/>
        <v/>
      </c>
      <c r="I54" s="180" t="str">
        <f t="shared" si="56"/>
        <v/>
      </c>
      <c r="J54" s="181" t="str">
        <f t="shared" si="56"/>
        <v/>
      </c>
      <c r="K54" s="182" t="str">
        <f t="shared" si="56"/>
        <v/>
      </c>
      <c r="L54" s="182" t="str">
        <f t="shared" si="56"/>
        <v/>
      </c>
      <c r="M54" s="182" t="str">
        <f t="shared" si="56"/>
        <v/>
      </c>
      <c r="N54" s="182" t="str">
        <f t="shared" si="56"/>
        <v/>
      </c>
      <c r="O54" s="182" t="str">
        <f t="shared" si="56"/>
        <v/>
      </c>
      <c r="P54" s="182" t="str">
        <f t="shared" si="56"/>
        <v/>
      </c>
      <c r="Q54" s="182" t="str">
        <f t="shared" si="56"/>
        <v/>
      </c>
      <c r="R54" s="182" t="str">
        <f t="shared" si="56"/>
        <v/>
      </c>
      <c r="S54" s="182" t="str">
        <f t="shared" si="56"/>
        <v/>
      </c>
      <c r="T54" s="182" t="str">
        <f t="shared" si="56"/>
        <v/>
      </c>
      <c r="U54" s="182" t="str">
        <f t="shared" si="56"/>
        <v/>
      </c>
      <c r="V54" s="181" t="str">
        <f t="shared" si="56"/>
        <v/>
      </c>
      <c r="W54" s="181" t="str">
        <f t="shared" si="56"/>
        <v/>
      </c>
      <c r="X54" s="181" t="str">
        <f t="shared" si="56"/>
        <v/>
      </c>
      <c r="Y54" s="181" t="str">
        <f t="shared" si="56"/>
        <v/>
      </c>
      <c r="Z54" s="181" t="str">
        <f t="shared" si="56"/>
        <v/>
      </c>
      <c r="AA54" s="181" t="str">
        <f t="shared" si="56"/>
        <v/>
      </c>
      <c r="AB54" s="181" t="str">
        <f t="shared" si="56"/>
        <v/>
      </c>
      <c r="AC54" s="181" t="str">
        <f t="shared" si="56"/>
        <v/>
      </c>
      <c r="AD54" s="181" t="str">
        <f t="shared" si="56"/>
        <v/>
      </c>
      <c r="AE54" s="181" t="str">
        <f t="shared" si="56"/>
        <v/>
      </c>
      <c r="AF54" s="181" t="str">
        <f t="shared" si="56"/>
        <v/>
      </c>
      <c r="AG54" s="181" t="str">
        <f t="shared" si="56"/>
        <v/>
      </c>
      <c r="AH54" s="181" t="str">
        <f t="shared" si="56"/>
        <v/>
      </c>
      <c r="AI54" s="181" t="str">
        <f t="shared" si="56"/>
        <v/>
      </c>
      <c r="AJ54" s="140" t="str">
        <f t="shared" si="56"/>
        <v/>
      </c>
      <c r="AK54" s="143" t="str">
        <f t="shared" si="56"/>
        <v/>
      </c>
      <c r="AL54" s="184" t="str">
        <f t="shared" si="56"/>
        <v/>
      </c>
      <c r="AM54" s="184" t="str">
        <f t="shared" si="56"/>
        <v/>
      </c>
      <c r="AN54" s="184" t="str">
        <f t="shared" si="56"/>
        <v/>
      </c>
      <c r="AO54" s="184" t="str">
        <f t="shared" si="56"/>
        <v/>
      </c>
      <c r="AP54" s="184" t="str">
        <f t="shared" si="56"/>
        <v/>
      </c>
      <c r="AQ54" s="141" t="str">
        <f t="shared" si="56"/>
        <v/>
      </c>
      <c r="AR54" s="142" t="str">
        <f t="shared" si="56"/>
        <v/>
      </c>
    </row>
    <row r="55" spans="1:44" hidden="1" x14ac:dyDescent="0.3">
      <c r="A55" s="48" t="str">
        <f t="shared" ref="A55" si="57">+IF(C55+C56=0,"[ocultar]","")</f>
        <v>[ocultar]</v>
      </c>
      <c r="B55" s="46" t="s">
        <v>162</v>
      </c>
      <c r="C55" s="45">
        <f t="array" ref="C55">SUM(IF($B55=DATOS_[Sexo],
IF($B54=DATOS_[AGRUP. VALOR. PTO.],
IF("Dentro"=DATOS_[Check Periodo Ref.],
1/(COUNTIFS(DATOS_[Sexo],$B55,DATOS_[AGRUP. VALOR. PTO.],$B54,DATOS_[Check Periodo Ref.],"Dentro",DATOS_[id],DATOS_[id]))))))</f>
        <v>0</v>
      </c>
      <c r="D55" s="47">
        <f>COUNTIFS(DATOS_[AGRUP. VALOR. PTO.],$B54,DATOS_[Sexo],$B55,DATOS_[Check Periodo Ref.],"Dentro")</f>
        <v>0</v>
      </c>
      <c r="E55" s="92">
        <f t="array" ref="E55">IFERROR(
AVERAGE(IF(DATOS_[Sexo]=$B55,IF(DATOS_[AGRUP. VALOR. PTO.]=$B54,IF(DATOS_[Check Periodo Ref.]="Dentro",DATOS_[SALARIO BASE Ef],FALSE)))),
0)</f>
        <v>0</v>
      </c>
      <c r="F55" s="93">
        <f t="array" ref="F55">IFERROR(
AVERAGE((IF(DATOS_[[Sexo]:[Sexo]]=$B55,IF(DATOS_[[AGRUP. VALOR. PTO.]:[AGRUP. VALOR. PTO.]]=$B54,IF(DATOS_[[Check Periodo Ref.]:[Check Periodo Ref.]]="Dentro",DATOS_[Conc.Sal.01]))))),
0)</f>
        <v>0</v>
      </c>
      <c r="G55" s="93">
        <f t="array" ref="G55">IFERROR(
AVERAGE((IF(DATOS_[[Sexo]:[Sexo]]=$B55,IF(DATOS_[[AGRUP. VALOR. PTO.]:[AGRUP. VALOR. PTO.]]=$B54,IF(DATOS_[[Check Periodo Ref.]:[Check Periodo Ref.]]="Dentro",DATOS_[Conc.Sal.02]))))),
0)</f>
        <v>0</v>
      </c>
      <c r="H55" s="93">
        <f t="array" ref="H55">IFERROR(
AVERAGE((IF(DATOS_[[Sexo]:[Sexo]]=$B55,IF(DATOS_[[AGRUP. VALOR. PTO.]:[AGRUP. VALOR. PTO.]]=$B54,IF(DATOS_[[Check Periodo Ref.]:[Check Periodo Ref.]]="Dentro",DATOS_[Conc.Sal.03]))))),
0)</f>
        <v>0</v>
      </c>
      <c r="I55" s="93">
        <f t="array" ref="I55">IFERROR(
AVERAGE((IF(DATOS_[[Sexo]:[Sexo]]=$B55,IF(DATOS_[[AGRUP. VALOR. PTO.]:[AGRUP. VALOR. PTO.]]=$B54,IF(DATOS_[[Check Periodo Ref.]:[Check Periodo Ref.]]="Dentro",DATOS_[Conc.Sal.04]))))),
0)</f>
        <v>0</v>
      </c>
      <c r="J55" s="93">
        <f t="array" ref="J55">IFERROR(
AVERAGE((IF(DATOS_[[Sexo]:[Sexo]]=$B55,IF(DATOS_[[AGRUP. VALOR. PTO.]:[AGRUP. VALOR. PTO.]]=$B54,IF(DATOS_[[Check Periodo Ref.]:[Check Periodo Ref.]]="Dentro",DATOS_[Conc.Sal.05]))))),
0)</f>
        <v>0</v>
      </c>
      <c r="K55" s="93">
        <f t="array" ref="K55">IFERROR(
AVERAGE((IF(DATOS_[[Sexo]:[Sexo]]=$B55,IF(DATOS_[[AGRUP. VALOR. PTO.]:[AGRUP. VALOR. PTO.]]=$B54,IF(DATOS_[[Check Periodo Ref.]:[Check Periodo Ref.]]="Dentro",DATOS_[Conc.Sal.06]))))),
0)</f>
        <v>0</v>
      </c>
      <c r="L55" s="93">
        <f t="array" ref="L55">IFERROR(
AVERAGE((IF(DATOS_[[Sexo]:[Sexo]]=$B55,IF(DATOS_[[AGRUP. VALOR. PTO.]:[AGRUP. VALOR. PTO.]]=$B54,IF(DATOS_[[Check Periodo Ref.]:[Check Periodo Ref.]]="Dentro",DATOS_[Conc.Sal.07]))))),
0)</f>
        <v>0</v>
      </c>
      <c r="M55" s="93">
        <f t="array" ref="M55">IFERROR(
AVERAGE((IF(DATOS_[[Sexo]:[Sexo]]=$B55,IF(DATOS_[[AGRUP. VALOR. PTO.]:[AGRUP. VALOR. PTO.]]=$B54,IF(DATOS_[[Check Periodo Ref.]:[Check Periodo Ref.]]="Dentro",DATOS_[Conc.Sal.08]))))),
0)</f>
        <v>0</v>
      </c>
      <c r="N55" s="93">
        <f t="array" ref="N55">IFERROR(
AVERAGE((IF(DATOS_[[Sexo]:[Sexo]]=$B55,IF(DATOS_[[AGRUP. VALOR. PTO.]:[AGRUP. VALOR. PTO.]]=$B54,IF(DATOS_[[Check Periodo Ref.]:[Check Periodo Ref.]]="Dentro",DATOS_[Conc.Sal.09]))))),
0)</f>
        <v>0</v>
      </c>
      <c r="O55" s="93">
        <f t="array" ref="O55">IFERROR(
AVERAGE((IF(DATOS_[[Sexo]:[Sexo]]=$B55,IF(DATOS_[[AGRUP. VALOR. PTO.]:[AGRUP. VALOR. PTO.]]=$B54,IF(DATOS_[[Check Periodo Ref.]:[Check Periodo Ref.]]="Dentro",DATOS_[Conc.Sal.10]))))),
0)</f>
        <v>0</v>
      </c>
      <c r="P55" s="93">
        <f t="array" ref="P55">IFERROR(
AVERAGE((IF(DATOS_[[Sexo]:[Sexo]]=$B55,IF(DATOS_[[AGRUP. VALOR. PTO.]:[AGRUP. VALOR. PTO.]]=$B54,IF(DATOS_[[Check Periodo Ref.]:[Check Periodo Ref.]]="Dentro",DATOS_[Conc.Sal.11]))))),
0)</f>
        <v>0</v>
      </c>
      <c r="Q55" s="93">
        <f t="array" ref="Q55">IFERROR(
AVERAGE((IF(DATOS_[[Sexo]:[Sexo]]=$B55,IF(DATOS_[[AGRUP. VALOR. PTO.]:[AGRUP. VALOR. PTO.]]=$B54,IF(DATOS_[[Check Periodo Ref.]:[Check Periodo Ref.]]="Dentro",DATOS_[Conc.Sal.12]))))),
0)</f>
        <v>0</v>
      </c>
      <c r="R55" s="93">
        <f t="array" ref="R55">IFERROR(
AVERAGE((IF(DATOS_[[Sexo]:[Sexo]]=$B55,IF(DATOS_[[AGRUP. VALOR. PTO.]:[AGRUP. VALOR. PTO.]]=$B54,IF(DATOS_[[Check Periodo Ref.]:[Check Periodo Ref.]]="Dentro",DATOS_[Conc.Sal.13]))))),
0)</f>
        <v>0</v>
      </c>
      <c r="S55" s="93">
        <f t="array" ref="S55">IFERROR(
AVERAGE((IF(DATOS_[[Sexo]:[Sexo]]=$B55,IF(DATOS_[[AGRUP. VALOR. PTO.]:[AGRUP. VALOR. PTO.]]=$B54,IF(DATOS_[[Check Periodo Ref.]:[Check Periodo Ref.]]="Dentro",DATOS_[Conc.Sal.14]))))),
0)</f>
        <v>0</v>
      </c>
      <c r="T55" s="93">
        <f t="array" ref="T55">IFERROR(
AVERAGE((IF(DATOS_[[Sexo]:[Sexo]]=$B55,IF(DATOS_[[AGRUP. VALOR. PTO.]:[AGRUP. VALOR. PTO.]]=$B54,IF(DATOS_[[Check Periodo Ref.]:[Check Periodo Ref.]]="Dentro",DATOS_[Conc.Sal.15]))))),
0)</f>
        <v>0</v>
      </c>
      <c r="U55" s="93">
        <f t="array" ref="U55">IFERROR(
AVERAGE((IF(DATOS_[[Sexo]:[Sexo]]=$B55,IF(DATOS_[[AGRUP. VALOR. PTO.]:[AGRUP. VALOR. PTO.]]=$B54,IF(DATOS_[[Check Periodo Ref.]:[Check Periodo Ref.]]="Dentro",DATOS_[Conc.Sal.16]))))),
0)</f>
        <v>0</v>
      </c>
      <c r="V55" s="93">
        <f t="array" ref="V55">IFERROR(
AVERAGE((IF(DATOS_[[Sexo]:[Sexo]]=$B55,IF(DATOS_[[AGRUP. VALOR. PTO.]:[AGRUP. VALOR. PTO.]]=$B54,IF(DATOS_[[Check Periodo Ref.]:[Check Periodo Ref.]]="Dentro",DATOS_[Conc.Sal.17]))))),
0)</f>
        <v>0</v>
      </c>
      <c r="W55" s="93">
        <f t="array" ref="W55">IFERROR(
AVERAGE((IF(DATOS_[[Sexo]:[Sexo]]=$B55,IF(DATOS_[[AGRUP. VALOR. PTO.]:[AGRUP. VALOR. PTO.]]=$B54,IF(DATOS_[[Check Periodo Ref.]:[Check Periodo Ref.]]="Dentro",DATOS_[Conc.Sal.18]))))),
0)</f>
        <v>0</v>
      </c>
      <c r="X55" s="93">
        <f t="array" ref="X55">IFERROR(
AVERAGE((IF(DATOS_[[Sexo]:[Sexo]]=$B55,IF(DATOS_[[AGRUP. VALOR. PTO.]:[AGRUP. VALOR. PTO.]]=$B54,IF(DATOS_[[Check Periodo Ref.]:[Check Periodo Ref.]]="Dentro",DATOS_[Conc.Sal.19]))))),
0)</f>
        <v>0</v>
      </c>
      <c r="Y55" s="93">
        <f t="array" ref="Y55">IFERROR(
AVERAGE((IF(DATOS_[[Sexo]:[Sexo]]=$B55,IF(DATOS_[[AGRUP. VALOR. PTO.]:[AGRUP. VALOR. PTO.]]=$B54,IF(DATOS_[[Check Periodo Ref.]:[Check Periodo Ref.]]="Dentro",DATOS_[Conc.Sal.20]))))),
0)</f>
        <v>0</v>
      </c>
      <c r="Z55" s="93">
        <f t="array" ref="Z55">IFERROR(
AVERAGE((IF(DATOS_[[Sexo]:[Sexo]]=$B55,IF(DATOS_[[AGRUP. VALOR. PTO.]:[AGRUP. VALOR. PTO.]]=$B54,IF(DATOS_[[Check Periodo Ref.]:[Check Periodo Ref.]]="Dentro",DATOS_[Conc.Sal.21]))))),
0)</f>
        <v>0</v>
      </c>
      <c r="AA55" s="93">
        <f t="array" ref="AA55">IFERROR(
AVERAGE((IF(DATOS_[[Sexo]:[Sexo]]=$B55,IF(DATOS_[[AGRUP. VALOR. PTO.]:[AGRUP. VALOR. PTO.]]=$B54,IF(DATOS_[[Check Periodo Ref.]:[Check Periodo Ref.]]="Dentro",DATOS_[Conc.Sal.22]))))),
0)</f>
        <v>0</v>
      </c>
      <c r="AB55" s="93">
        <f t="array" ref="AB55">IFERROR(
AVERAGE((IF(DATOS_[[Sexo]:[Sexo]]=$B55,IF(DATOS_[[AGRUP. VALOR. PTO.]:[AGRUP. VALOR. PTO.]]=$B54,IF(DATOS_[[Check Periodo Ref.]:[Check Periodo Ref.]]="Dentro",DATOS_[Conc.Sal.23]))))),
0)</f>
        <v>0</v>
      </c>
      <c r="AC55" s="93">
        <f t="array" ref="AC55">IFERROR(
AVERAGE((IF(DATOS_[[Sexo]:[Sexo]]=$B55,IF(DATOS_[[AGRUP. VALOR. PTO.]:[AGRUP. VALOR. PTO.]]=$B54,IF(DATOS_[[Check Periodo Ref.]:[Check Periodo Ref.]]="Dentro",DATOS_[Conc.Sal.24]))))),
0)</f>
        <v>0</v>
      </c>
      <c r="AD55" s="93">
        <f t="array" ref="AD55">IFERROR(
AVERAGE((IF(DATOS_[[Sexo]:[Sexo]]=$B55,IF(DATOS_[[AGRUP. VALOR. PTO.]:[AGRUP. VALOR. PTO.]]=$B54,IF(DATOS_[[Check Periodo Ref.]:[Check Periodo Ref.]]="Dentro",DATOS_[Conc.Sal.25]))))),
0)</f>
        <v>0</v>
      </c>
      <c r="AE55" s="93">
        <f t="array" ref="AE55">IFERROR(
AVERAGE((IF(DATOS_[[Sexo]:[Sexo]]=$B55,IF(DATOS_[[AGRUP. VALOR. PTO.]:[AGRUP. VALOR. PTO.]]=$B54,IF(DATOS_[[Check Periodo Ref.]:[Check Periodo Ref.]]="Dentro",DATOS_[Conc.Sal.26]))))),
0)</f>
        <v>0</v>
      </c>
      <c r="AF55" s="93">
        <f t="array" ref="AF55">IFERROR(
AVERAGE((IF(DATOS_[[Sexo]:[Sexo]]=$B55,IF(DATOS_[[AGRUP. VALOR. PTO.]:[AGRUP. VALOR. PTO.]]=$B54,IF(DATOS_[[Check Periodo Ref.]:[Check Periodo Ref.]]="Dentro",DATOS_[Conc.Sal.27]))))),
0)</f>
        <v>0</v>
      </c>
      <c r="AG55" s="93">
        <f t="array" ref="AG55">IFERROR(
AVERAGE((IF(DATOS_[[Sexo]:[Sexo]]=$B55,IF(DATOS_[[AGRUP. VALOR. PTO.]:[AGRUP. VALOR. PTO.]]=$B54,IF(DATOS_[[Check Periodo Ref.]:[Check Periodo Ref.]]="Dentro",DATOS_[Conc.Sal.28]))))),
0)</f>
        <v>0</v>
      </c>
      <c r="AH55" s="93">
        <f t="array" ref="AH55">IFERROR(
AVERAGE((IF(DATOS_[[Sexo]:[Sexo]]=$B55,IF(DATOS_[[AGRUP. VALOR. PTO.]:[AGRUP. VALOR. PTO.]]=$B54,IF(DATOS_[[Check Periodo Ref.]:[Check Periodo Ref.]]="Dentro",DATOS_[Conc.Sal.29]))))),
0)</f>
        <v>0</v>
      </c>
      <c r="AI55" s="93">
        <f t="array" ref="AI55">IFERROR(
AVERAGE((IF(DATOS_[[Sexo]:[Sexo]]=$B55,IF(DATOS_[[AGRUP. VALOR. PTO.]:[AGRUP. VALOR. PTO.]]=$B54,IF(DATOS_[[Check Periodo Ref.]:[Check Periodo Ref.]]="Dentro",DATOS_[Conc.Sal.30]))))),
0)</f>
        <v>0</v>
      </c>
      <c r="AJ55" s="94">
        <f t="array" ref="AJ55">IFERROR(
AVERAGE(IF(DATOS_[Sexo]=$B55,IF(DATOS_[AGRUP. VALOR. PTO.]=$B54,IF(DATOS_[Check Periodo Ref.]="Dentro",DATOS_[Tot COMPL.SAL Ef],FALSE)))),
0)</f>
        <v>0</v>
      </c>
      <c r="AK55" s="96">
        <f t="array" ref="AK55">IFERROR(
AVERAGE(IF(DATOS_[Sexo]=$B55,IF(DATOS_[AGRUP. VALOR. PTO.]=$B54,IF(DATOS_[Check Periodo Ref.]="Dentro",DATOS_[TOTAL SALARIO Ef],FALSE)))),
0)</f>
        <v>0</v>
      </c>
      <c r="AL55" s="95">
        <f t="array" ref="AL55">IFERROR(
AVERAGE((IF(DATOS_[[Sexo]:[Sexo]]=$B55,IF(DATOS_[[AGRUP. VALOR. PTO.]:[AGRUP. VALOR. PTO.]]=$B54,IF(DATOS_[[Check Periodo Ref.]:[Check Periodo Ref.]]="Dentro",DATOS_[C.Extra.01]))))),
0)</f>
        <v>0</v>
      </c>
      <c r="AM55" s="95">
        <f t="array" ref="AM55">IFERROR(
AVERAGE((IF(DATOS_[[Sexo]:[Sexo]]=$B55,IF(DATOS_[[AGRUP. VALOR. PTO.]:[AGRUP. VALOR. PTO.]]=$B54,IF(DATOS_[[Check Periodo Ref.]:[Check Periodo Ref.]]="Dentro",DATOS_[C.Extra.02]))))),
0)</f>
        <v>0</v>
      </c>
      <c r="AN55" s="95">
        <f t="array" ref="AN55">IFERROR(
AVERAGE((IF(DATOS_[[Sexo]:[Sexo]]=$B55,IF(DATOS_[[AGRUP. VALOR. PTO.]:[AGRUP. VALOR. PTO.]]=$B54,IF(DATOS_[[Check Periodo Ref.]:[Check Periodo Ref.]]="Dentro",DATOS_[C.Extra.03]))))),
0)</f>
        <v>0</v>
      </c>
      <c r="AO55" s="95">
        <f t="array" ref="AO55">IFERROR(
AVERAGE((IF(DATOS_[[Sexo]:[Sexo]]=$B55,IF(DATOS_[[AGRUP. VALOR. PTO.]:[AGRUP. VALOR. PTO.]]=$B54,IF(DATOS_[[Check Periodo Ref.]:[Check Periodo Ref.]]="Dentro",DATOS_[C.Extra.04]))))),
0)</f>
        <v>0</v>
      </c>
      <c r="AP55" s="95">
        <f t="array" ref="AP55">IFERROR(
AVERAGE((IF(DATOS_[[Sexo]:[Sexo]]=$B55,IF(DATOS_[[AGRUP. VALOR. PTO.]:[AGRUP. VALOR. PTO.]]=$B54,IF(DATOS_[[Check Periodo Ref.]:[Check Periodo Ref.]]="Dentro",DATOS_[C.Extra.05]))))),
0)</f>
        <v>0</v>
      </c>
      <c r="AQ55" s="97">
        <f t="array" ref="AQ55">IFERROR(
AVERAGE(IF(DATOS_[Sexo]=$B55,IF(DATOS_[AGRUP. VALOR. PTO.]=$B54,IF(DATOS_[Check Periodo Ref.]="Dentro",DATOS_[Tot Extrasalarial Ef],FALSE)))),
0)</f>
        <v>0</v>
      </c>
      <c r="AR55" s="98">
        <f t="array" ref="AR55">IFERROR(
AVERAGE(IF(DATOS_[Sexo]=$B55,IF(DATOS_[AGRUP. VALOR. PTO.]=$B54,IF(DATOS_[Check Periodo Ref.]="Dentro",DATOS_[TOTAL Retrib Ef],FALSE)))),
0)</f>
        <v>0</v>
      </c>
    </row>
    <row r="56" spans="1:44" hidden="1" x14ac:dyDescent="0.3">
      <c r="A56" s="48" t="str">
        <f t="shared" ref="A56" si="58">+A55</f>
        <v>[ocultar]</v>
      </c>
      <c r="B56" s="46" t="s">
        <v>163</v>
      </c>
      <c r="C56" s="45">
        <f t="array" ref="C56">SUM(IF($B56=DATOS_[Sexo],
IF($B54=DATOS_[AGRUP. VALOR. PTO.],
IF("Dentro"=DATOS_[Check Periodo Ref.],
1/(COUNTIFS(DATOS_[Sexo],$B56,DATOS_[AGRUP. VALOR. PTO.],$B54,DATOS_[Check Periodo Ref.],"Dentro",DATOS_[id],DATOS_[id]))))))</f>
        <v>0</v>
      </c>
      <c r="D56" s="47">
        <f>COUNTIFS(DATOS_[AGRUP. VALOR. PTO.],$B54,DATOS_[Sexo],$B56,DATOS_[Check Periodo Ref.],"Dentro")</f>
        <v>0</v>
      </c>
      <c r="E56" s="92">
        <f t="array" ref="E56">IFERROR(
AVERAGE(IF(DATOS_[Sexo]=$B56,IF(DATOS_[AGRUP. VALOR. PTO.]=$B54,IF(DATOS_[Check Periodo Ref.]="Dentro",DATOS_[SALARIO BASE Ef],FALSE)))),
0)</f>
        <v>0</v>
      </c>
      <c r="F56" s="93">
        <f t="array" ref="F56">IFERROR(
AVERAGE((IF(DATOS_[[Sexo]:[Sexo]]=$B56,IF(DATOS_[[AGRUP. VALOR. PTO.]:[AGRUP. VALOR. PTO.]]=$B54,IF(DATOS_[[Check Periodo Ref.]:[Check Periodo Ref.]]="Dentro",DATOS_[Conc.Sal.01]))))),
0)</f>
        <v>0</v>
      </c>
      <c r="G56" s="93">
        <f t="array" ref="G56">IFERROR(
AVERAGE((IF(DATOS_[[Sexo]:[Sexo]]=$B56,IF(DATOS_[[AGRUP. VALOR. PTO.]:[AGRUP. VALOR. PTO.]]=$B54,IF(DATOS_[[Check Periodo Ref.]:[Check Periodo Ref.]]="Dentro",DATOS_[Conc.Sal.02]))))),
0)</f>
        <v>0</v>
      </c>
      <c r="H56" s="93">
        <f t="array" ref="H56">IFERROR(
AVERAGE((IF(DATOS_[[Sexo]:[Sexo]]=$B56,IF(DATOS_[[AGRUP. VALOR. PTO.]:[AGRUP. VALOR. PTO.]]=$B54,IF(DATOS_[[Check Periodo Ref.]:[Check Periodo Ref.]]="Dentro",DATOS_[Conc.Sal.03]))))),
0)</f>
        <v>0</v>
      </c>
      <c r="I56" s="93">
        <f t="array" ref="I56">IFERROR(
AVERAGE((IF(DATOS_[[Sexo]:[Sexo]]=$B56,IF(DATOS_[[AGRUP. VALOR. PTO.]:[AGRUP. VALOR. PTO.]]=$B54,IF(DATOS_[[Check Periodo Ref.]:[Check Periodo Ref.]]="Dentro",DATOS_[Conc.Sal.04]))))),
0)</f>
        <v>0</v>
      </c>
      <c r="J56" s="93">
        <f t="array" ref="J56">IFERROR(
AVERAGE((IF(DATOS_[[Sexo]:[Sexo]]=$B56,IF(DATOS_[[AGRUP. VALOR. PTO.]:[AGRUP. VALOR. PTO.]]=$B54,IF(DATOS_[[Check Periodo Ref.]:[Check Periodo Ref.]]="Dentro",DATOS_[Conc.Sal.05]))))),
0)</f>
        <v>0</v>
      </c>
      <c r="K56" s="93">
        <f t="array" ref="K56">IFERROR(
AVERAGE((IF(DATOS_[[Sexo]:[Sexo]]=$B56,IF(DATOS_[[AGRUP. VALOR. PTO.]:[AGRUP. VALOR. PTO.]]=$B54,IF(DATOS_[[Check Periodo Ref.]:[Check Periodo Ref.]]="Dentro",DATOS_[Conc.Sal.06]))))),
0)</f>
        <v>0</v>
      </c>
      <c r="L56" s="93">
        <f t="array" ref="L56">IFERROR(
AVERAGE((IF(DATOS_[[Sexo]:[Sexo]]=$B56,IF(DATOS_[[AGRUP. VALOR. PTO.]:[AGRUP. VALOR. PTO.]]=$B54,IF(DATOS_[[Check Periodo Ref.]:[Check Periodo Ref.]]="Dentro",DATOS_[Conc.Sal.07]))))),
0)</f>
        <v>0</v>
      </c>
      <c r="M56" s="93">
        <f t="array" ref="M56">IFERROR(
AVERAGE((IF(DATOS_[[Sexo]:[Sexo]]=$B56,IF(DATOS_[[AGRUP. VALOR. PTO.]:[AGRUP. VALOR. PTO.]]=$B54,IF(DATOS_[[Check Periodo Ref.]:[Check Periodo Ref.]]="Dentro",DATOS_[Conc.Sal.08]))))),
0)</f>
        <v>0</v>
      </c>
      <c r="N56" s="93">
        <f t="array" ref="N56">IFERROR(
AVERAGE((IF(DATOS_[[Sexo]:[Sexo]]=$B56,IF(DATOS_[[AGRUP. VALOR. PTO.]:[AGRUP. VALOR. PTO.]]=$B54,IF(DATOS_[[Check Periodo Ref.]:[Check Periodo Ref.]]="Dentro",DATOS_[Conc.Sal.09]))))),
0)</f>
        <v>0</v>
      </c>
      <c r="O56" s="93">
        <f t="array" ref="O56">IFERROR(
AVERAGE((IF(DATOS_[[Sexo]:[Sexo]]=$B56,IF(DATOS_[[AGRUP. VALOR. PTO.]:[AGRUP. VALOR. PTO.]]=$B54,IF(DATOS_[[Check Periodo Ref.]:[Check Periodo Ref.]]="Dentro",DATOS_[Conc.Sal.10]))))),
0)</f>
        <v>0</v>
      </c>
      <c r="P56" s="93">
        <f t="array" ref="P56">IFERROR(
AVERAGE((IF(DATOS_[[Sexo]:[Sexo]]=$B56,IF(DATOS_[[AGRUP. VALOR. PTO.]:[AGRUP. VALOR. PTO.]]=$B54,IF(DATOS_[[Check Periodo Ref.]:[Check Periodo Ref.]]="Dentro",DATOS_[Conc.Sal.11]))))),
0)</f>
        <v>0</v>
      </c>
      <c r="Q56" s="93">
        <f t="array" ref="Q56">IFERROR(
AVERAGE((IF(DATOS_[[Sexo]:[Sexo]]=$B56,IF(DATOS_[[AGRUP. VALOR. PTO.]:[AGRUP. VALOR. PTO.]]=$B54,IF(DATOS_[[Check Periodo Ref.]:[Check Periodo Ref.]]="Dentro",DATOS_[Conc.Sal.12]))))),
0)</f>
        <v>0</v>
      </c>
      <c r="R56" s="93">
        <f t="array" ref="R56">IFERROR(
AVERAGE((IF(DATOS_[[Sexo]:[Sexo]]=$B56,IF(DATOS_[[AGRUP. VALOR. PTO.]:[AGRUP. VALOR. PTO.]]=$B54,IF(DATOS_[[Check Periodo Ref.]:[Check Periodo Ref.]]="Dentro",DATOS_[Conc.Sal.13]))))),
0)</f>
        <v>0</v>
      </c>
      <c r="S56" s="93">
        <f t="array" ref="S56">IFERROR(
AVERAGE((IF(DATOS_[[Sexo]:[Sexo]]=$B56,IF(DATOS_[[AGRUP. VALOR. PTO.]:[AGRUP. VALOR. PTO.]]=$B54,IF(DATOS_[[Check Periodo Ref.]:[Check Periodo Ref.]]="Dentro",DATOS_[Conc.Sal.14]))))),
0)</f>
        <v>0</v>
      </c>
      <c r="T56" s="93">
        <f t="array" ref="T56">IFERROR(
AVERAGE((IF(DATOS_[[Sexo]:[Sexo]]=$B56,IF(DATOS_[[AGRUP. VALOR. PTO.]:[AGRUP. VALOR. PTO.]]=$B54,IF(DATOS_[[Check Periodo Ref.]:[Check Periodo Ref.]]="Dentro",DATOS_[Conc.Sal.15]))))),
0)</f>
        <v>0</v>
      </c>
      <c r="U56" s="93">
        <f t="array" ref="U56">IFERROR(
AVERAGE((IF(DATOS_[[Sexo]:[Sexo]]=$B56,IF(DATOS_[[AGRUP. VALOR. PTO.]:[AGRUP. VALOR. PTO.]]=$B54,IF(DATOS_[[Check Periodo Ref.]:[Check Periodo Ref.]]="Dentro",DATOS_[Conc.Sal.16]))))),
0)</f>
        <v>0</v>
      </c>
      <c r="V56" s="93">
        <f t="array" ref="V56">IFERROR(
AVERAGE((IF(DATOS_[[Sexo]:[Sexo]]=$B56,IF(DATOS_[[AGRUP. VALOR. PTO.]:[AGRUP. VALOR. PTO.]]=$B54,IF(DATOS_[[Check Periodo Ref.]:[Check Periodo Ref.]]="Dentro",DATOS_[Conc.Sal.17]))))),
0)</f>
        <v>0</v>
      </c>
      <c r="W56" s="93">
        <f t="array" ref="W56">IFERROR(
AVERAGE((IF(DATOS_[[Sexo]:[Sexo]]=$B56,IF(DATOS_[[AGRUP. VALOR. PTO.]:[AGRUP. VALOR. PTO.]]=$B54,IF(DATOS_[[Check Periodo Ref.]:[Check Periodo Ref.]]="Dentro",DATOS_[Conc.Sal.18]))))),
0)</f>
        <v>0</v>
      </c>
      <c r="X56" s="93">
        <f t="array" ref="X56">IFERROR(
AVERAGE((IF(DATOS_[[Sexo]:[Sexo]]=$B56,IF(DATOS_[[AGRUP. VALOR. PTO.]:[AGRUP. VALOR. PTO.]]=$B54,IF(DATOS_[[Check Periodo Ref.]:[Check Periodo Ref.]]="Dentro",DATOS_[Conc.Sal.19]))))),
0)</f>
        <v>0</v>
      </c>
      <c r="Y56" s="93">
        <f t="array" ref="Y56">IFERROR(
AVERAGE((IF(DATOS_[[Sexo]:[Sexo]]=$B56,IF(DATOS_[[AGRUP. VALOR. PTO.]:[AGRUP. VALOR. PTO.]]=$B54,IF(DATOS_[[Check Periodo Ref.]:[Check Periodo Ref.]]="Dentro",DATOS_[Conc.Sal.20]))))),
0)</f>
        <v>0</v>
      </c>
      <c r="Z56" s="93">
        <f t="array" ref="Z56">IFERROR(
AVERAGE((IF(DATOS_[[Sexo]:[Sexo]]=$B56,IF(DATOS_[[AGRUP. VALOR. PTO.]:[AGRUP. VALOR. PTO.]]=$B54,IF(DATOS_[[Check Periodo Ref.]:[Check Periodo Ref.]]="Dentro",DATOS_[Conc.Sal.21]))))),
0)</f>
        <v>0</v>
      </c>
      <c r="AA56" s="93">
        <f t="array" ref="AA56">IFERROR(
AVERAGE((IF(DATOS_[[Sexo]:[Sexo]]=$B56,IF(DATOS_[[AGRUP. VALOR. PTO.]:[AGRUP. VALOR. PTO.]]=$B54,IF(DATOS_[[Check Periodo Ref.]:[Check Periodo Ref.]]="Dentro",DATOS_[Conc.Sal.22]))))),
0)</f>
        <v>0</v>
      </c>
      <c r="AB56" s="93">
        <f t="array" ref="AB56">IFERROR(
AVERAGE((IF(DATOS_[[Sexo]:[Sexo]]=$B56,IF(DATOS_[[AGRUP. VALOR. PTO.]:[AGRUP. VALOR. PTO.]]=$B54,IF(DATOS_[[Check Periodo Ref.]:[Check Periodo Ref.]]="Dentro",DATOS_[Conc.Sal.23]))))),
0)</f>
        <v>0</v>
      </c>
      <c r="AC56" s="93">
        <f t="array" ref="AC56">IFERROR(
AVERAGE((IF(DATOS_[[Sexo]:[Sexo]]=$B56,IF(DATOS_[[AGRUP. VALOR. PTO.]:[AGRUP. VALOR. PTO.]]=$B54,IF(DATOS_[[Check Periodo Ref.]:[Check Periodo Ref.]]="Dentro",DATOS_[Conc.Sal.24]))))),
0)</f>
        <v>0</v>
      </c>
      <c r="AD56" s="93">
        <f t="array" ref="AD56">IFERROR(
AVERAGE((IF(DATOS_[[Sexo]:[Sexo]]=$B56,IF(DATOS_[[AGRUP. VALOR. PTO.]:[AGRUP. VALOR. PTO.]]=$B54,IF(DATOS_[[Check Periodo Ref.]:[Check Periodo Ref.]]="Dentro",DATOS_[Conc.Sal.25]))))),
0)</f>
        <v>0</v>
      </c>
      <c r="AE56" s="93">
        <f t="array" ref="AE56">IFERROR(
AVERAGE((IF(DATOS_[[Sexo]:[Sexo]]=$B56,IF(DATOS_[[AGRUP. VALOR. PTO.]:[AGRUP. VALOR. PTO.]]=$B54,IF(DATOS_[[Check Periodo Ref.]:[Check Periodo Ref.]]="Dentro",DATOS_[Conc.Sal.26]))))),
0)</f>
        <v>0</v>
      </c>
      <c r="AF56" s="93">
        <f t="array" ref="AF56">IFERROR(
AVERAGE((IF(DATOS_[[Sexo]:[Sexo]]=$B56,IF(DATOS_[[AGRUP. VALOR. PTO.]:[AGRUP. VALOR. PTO.]]=$B54,IF(DATOS_[[Check Periodo Ref.]:[Check Periodo Ref.]]="Dentro",DATOS_[Conc.Sal.27]))))),
0)</f>
        <v>0</v>
      </c>
      <c r="AG56" s="93">
        <f t="array" ref="AG56">IFERROR(
AVERAGE((IF(DATOS_[[Sexo]:[Sexo]]=$B56,IF(DATOS_[[AGRUP. VALOR. PTO.]:[AGRUP. VALOR. PTO.]]=$B54,IF(DATOS_[[Check Periodo Ref.]:[Check Periodo Ref.]]="Dentro",DATOS_[Conc.Sal.28]))))),
0)</f>
        <v>0</v>
      </c>
      <c r="AH56" s="93">
        <f t="array" ref="AH56">IFERROR(
AVERAGE((IF(DATOS_[[Sexo]:[Sexo]]=$B56,IF(DATOS_[[AGRUP. VALOR. PTO.]:[AGRUP. VALOR. PTO.]]=$B54,IF(DATOS_[[Check Periodo Ref.]:[Check Periodo Ref.]]="Dentro",DATOS_[Conc.Sal.29]))))),
0)</f>
        <v>0</v>
      </c>
      <c r="AI56" s="93">
        <f t="array" ref="AI56">IFERROR(
AVERAGE((IF(DATOS_[[Sexo]:[Sexo]]=$B56,IF(DATOS_[[AGRUP. VALOR. PTO.]:[AGRUP. VALOR. PTO.]]=$B54,IF(DATOS_[[Check Periodo Ref.]:[Check Periodo Ref.]]="Dentro",DATOS_[Conc.Sal.30]))))),
0)</f>
        <v>0</v>
      </c>
      <c r="AJ56" s="94">
        <f t="array" ref="AJ56">IFERROR(
AVERAGE(IF(DATOS_[Sexo]=$B56,IF(DATOS_[AGRUP. VALOR. PTO.]=$B54,IF(DATOS_[Check Periodo Ref.]="Dentro",DATOS_[Tot COMPL.SAL Ef],FALSE)))),
0)</f>
        <v>0</v>
      </c>
      <c r="AK56" s="96">
        <f t="array" ref="AK56">IFERROR(
AVERAGE(IF(DATOS_[Sexo]=$B56,IF(DATOS_[AGRUP. VALOR. PTO.]=$B54,IF(DATOS_[Check Periodo Ref.]="Dentro",DATOS_[TOTAL SALARIO Ef],FALSE)))),
0)</f>
        <v>0</v>
      </c>
      <c r="AL56" s="95">
        <f t="array" ref="AL56">IFERROR(
AVERAGE((IF(DATOS_[[Sexo]:[Sexo]]=$B56,IF(DATOS_[[AGRUP. VALOR. PTO.]:[AGRUP. VALOR. PTO.]]=$B54,IF(DATOS_[[Check Periodo Ref.]:[Check Periodo Ref.]]="Dentro",DATOS_[C.Extra.01]))))),
0)</f>
        <v>0</v>
      </c>
      <c r="AM56" s="95">
        <f t="array" ref="AM56">IFERROR(
AVERAGE((IF(DATOS_[[Sexo]:[Sexo]]=$B56,IF(DATOS_[[AGRUP. VALOR. PTO.]:[AGRUP. VALOR. PTO.]]=$B54,IF(DATOS_[[Check Periodo Ref.]:[Check Periodo Ref.]]="Dentro",DATOS_[C.Extra.02]))))),
0)</f>
        <v>0</v>
      </c>
      <c r="AN56" s="95">
        <f t="array" ref="AN56">IFERROR(
AVERAGE((IF(DATOS_[[Sexo]:[Sexo]]=$B56,IF(DATOS_[[AGRUP. VALOR. PTO.]:[AGRUP. VALOR. PTO.]]=$B54,IF(DATOS_[[Check Periodo Ref.]:[Check Periodo Ref.]]="Dentro",DATOS_[C.Extra.03]))))),
0)</f>
        <v>0</v>
      </c>
      <c r="AO56" s="95">
        <f t="array" ref="AO56">IFERROR(
AVERAGE((IF(DATOS_[[Sexo]:[Sexo]]=$B56,IF(DATOS_[[AGRUP. VALOR. PTO.]:[AGRUP. VALOR. PTO.]]=$B54,IF(DATOS_[[Check Periodo Ref.]:[Check Periodo Ref.]]="Dentro",DATOS_[C.Extra.04]))))),
0)</f>
        <v>0</v>
      </c>
      <c r="AP56" s="95">
        <f t="array" ref="AP56">IFERROR(
AVERAGE((IF(DATOS_[[Sexo]:[Sexo]]=$B56,IF(DATOS_[[AGRUP. VALOR. PTO.]:[AGRUP. VALOR. PTO.]]=$B54,IF(DATOS_[[Check Periodo Ref.]:[Check Periodo Ref.]]="Dentro",DATOS_[C.Extra.05]))))),
0)</f>
        <v>0</v>
      </c>
      <c r="AQ56" s="97">
        <f t="array" ref="AQ56">IFERROR(
AVERAGE(IF(DATOS_[Sexo]=$B56,IF(DATOS_[AGRUP. VALOR. PTO.]=$B54,IF(DATOS_[Check Periodo Ref.]="Dentro",DATOS_[Tot Extrasalarial Ef],FALSE)))),
0)</f>
        <v>0</v>
      </c>
      <c r="AR56" s="98">
        <f t="array" ref="AR56">IFERROR(
AVERAGE(IF(DATOS_[Sexo]=$B56,IF(DATOS_[AGRUP. VALOR. PTO.]=$B54,IF(DATOS_[Check Periodo Ref.]="Dentro",DATOS_[TOTAL Retrib Ef],FALSE)))),
0)</f>
        <v>0</v>
      </c>
    </row>
    <row r="57" spans="1:44" ht="17.25" hidden="1" thickBot="1" x14ac:dyDescent="0.35">
      <c r="A57" s="48" t="str">
        <f t="shared" ref="A57" si="59">+A58</f>
        <v>[ocultar]</v>
      </c>
      <c r="B57" s="51" t="s">
        <v>274</v>
      </c>
      <c r="C57" s="91"/>
      <c r="D57" s="52"/>
      <c r="E57" s="139" t="str">
        <f t="shared" ref="E57:AR57" si="60">IFERROR((E58-E59)/E58,"")</f>
        <v/>
      </c>
      <c r="F57" s="179" t="str">
        <f t="shared" si="60"/>
        <v/>
      </c>
      <c r="G57" s="180" t="str">
        <f t="shared" si="60"/>
        <v/>
      </c>
      <c r="H57" s="180" t="str">
        <f t="shared" si="60"/>
        <v/>
      </c>
      <c r="I57" s="180" t="str">
        <f t="shared" si="60"/>
        <v/>
      </c>
      <c r="J57" s="181" t="str">
        <f t="shared" si="60"/>
        <v/>
      </c>
      <c r="K57" s="182" t="str">
        <f t="shared" si="60"/>
        <v/>
      </c>
      <c r="L57" s="182" t="str">
        <f t="shared" si="60"/>
        <v/>
      </c>
      <c r="M57" s="182" t="str">
        <f t="shared" si="60"/>
        <v/>
      </c>
      <c r="N57" s="182" t="str">
        <f t="shared" si="60"/>
        <v/>
      </c>
      <c r="O57" s="182" t="str">
        <f t="shared" si="60"/>
        <v/>
      </c>
      <c r="P57" s="182" t="str">
        <f t="shared" si="60"/>
        <v/>
      </c>
      <c r="Q57" s="182" t="str">
        <f t="shared" si="60"/>
        <v/>
      </c>
      <c r="R57" s="182" t="str">
        <f t="shared" si="60"/>
        <v/>
      </c>
      <c r="S57" s="182" t="str">
        <f t="shared" si="60"/>
        <v/>
      </c>
      <c r="T57" s="182" t="str">
        <f t="shared" si="60"/>
        <v/>
      </c>
      <c r="U57" s="182" t="str">
        <f t="shared" si="60"/>
        <v/>
      </c>
      <c r="V57" s="181" t="str">
        <f t="shared" si="60"/>
        <v/>
      </c>
      <c r="W57" s="181" t="str">
        <f t="shared" si="60"/>
        <v/>
      </c>
      <c r="X57" s="181" t="str">
        <f t="shared" si="60"/>
        <v/>
      </c>
      <c r="Y57" s="181" t="str">
        <f t="shared" si="60"/>
        <v/>
      </c>
      <c r="Z57" s="181" t="str">
        <f t="shared" si="60"/>
        <v/>
      </c>
      <c r="AA57" s="181" t="str">
        <f t="shared" si="60"/>
        <v/>
      </c>
      <c r="AB57" s="181" t="str">
        <f t="shared" si="60"/>
        <v/>
      </c>
      <c r="AC57" s="181" t="str">
        <f t="shared" si="60"/>
        <v/>
      </c>
      <c r="AD57" s="181" t="str">
        <f t="shared" si="60"/>
        <v/>
      </c>
      <c r="AE57" s="181" t="str">
        <f t="shared" si="60"/>
        <v/>
      </c>
      <c r="AF57" s="181" t="str">
        <f t="shared" si="60"/>
        <v/>
      </c>
      <c r="AG57" s="181" t="str">
        <f t="shared" si="60"/>
        <v/>
      </c>
      <c r="AH57" s="181" t="str">
        <f t="shared" si="60"/>
        <v/>
      </c>
      <c r="AI57" s="181" t="str">
        <f t="shared" si="60"/>
        <v/>
      </c>
      <c r="AJ57" s="140" t="str">
        <f t="shared" si="60"/>
        <v/>
      </c>
      <c r="AK57" s="143" t="str">
        <f t="shared" si="60"/>
        <v/>
      </c>
      <c r="AL57" s="184" t="str">
        <f t="shared" si="60"/>
        <v/>
      </c>
      <c r="AM57" s="184" t="str">
        <f t="shared" si="60"/>
        <v/>
      </c>
      <c r="AN57" s="184" t="str">
        <f t="shared" si="60"/>
        <v/>
      </c>
      <c r="AO57" s="184" t="str">
        <f t="shared" si="60"/>
        <v/>
      </c>
      <c r="AP57" s="184" t="str">
        <f t="shared" si="60"/>
        <v/>
      </c>
      <c r="AQ57" s="141" t="str">
        <f t="shared" si="60"/>
        <v/>
      </c>
      <c r="AR57" s="142" t="str">
        <f t="shared" si="60"/>
        <v/>
      </c>
    </row>
    <row r="58" spans="1:44" hidden="1" x14ac:dyDescent="0.3">
      <c r="A58" s="48" t="str">
        <f t="shared" ref="A58" si="61">+IF(C58+C59=0,"[ocultar]","")</f>
        <v>[ocultar]</v>
      </c>
      <c r="B58" s="46" t="s">
        <v>162</v>
      </c>
      <c r="C58" s="45">
        <f t="array" ref="C58">SUM(IF($B58=DATOS_[Sexo],
IF($B57=DATOS_[AGRUP. VALOR. PTO.],
IF("Dentro"=DATOS_[Check Periodo Ref.],
1/(COUNTIFS(DATOS_[Sexo],$B58,DATOS_[AGRUP. VALOR. PTO.],$B57,DATOS_[Check Periodo Ref.],"Dentro",DATOS_[id],DATOS_[id]))))))</f>
        <v>0</v>
      </c>
      <c r="D58" s="47">
        <f>COUNTIFS(DATOS_[AGRUP. VALOR. PTO.],$B57,DATOS_[Sexo],$B58,DATOS_[Check Periodo Ref.],"Dentro")</f>
        <v>0</v>
      </c>
      <c r="E58" s="92">
        <f t="array" ref="E58">IFERROR(
AVERAGE(IF(DATOS_[Sexo]=$B58,IF(DATOS_[AGRUP. VALOR. PTO.]=$B57,IF(DATOS_[Check Periodo Ref.]="Dentro",DATOS_[SALARIO BASE Ef],FALSE)))),
0)</f>
        <v>0</v>
      </c>
      <c r="F58" s="93">
        <f t="array" ref="F58">IFERROR(
AVERAGE((IF(DATOS_[[Sexo]:[Sexo]]=$B58,IF(DATOS_[[AGRUP. VALOR. PTO.]:[AGRUP. VALOR. PTO.]]=$B57,IF(DATOS_[[Check Periodo Ref.]:[Check Periodo Ref.]]="Dentro",DATOS_[Conc.Sal.01]))))),
0)</f>
        <v>0</v>
      </c>
      <c r="G58" s="93">
        <f t="array" ref="G58">IFERROR(
AVERAGE((IF(DATOS_[[Sexo]:[Sexo]]=$B58,IF(DATOS_[[AGRUP. VALOR. PTO.]:[AGRUP. VALOR. PTO.]]=$B57,IF(DATOS_[[Check Periodo Ref.]:[Check Periodo Ref.]]="Dentro",DATOS_[Conc.Sal.02]))))),
0)</f>
        <v>0</v>
      </c>
      <c r="H58" s="93">
        <f t="array" ref="H58">IFERROR(
AVERAGE((IF(DATOS_[[Sexo]:[Sexo]]=$B58,IF(DATOS_[[AGRUP. VALOR. PTO.]:[AGRUP. VALOR. PTO.]]=$B57,IF(DATOS_[[Check Periodo Ref.]:[Check Periodo Ref.]]="Dentro",DATOS_[Conc.Sal.03]))))),
0)</f>
        <v>0</v>
      </c>
      <c r="I58" s="93">
        <f t="array" ref="I58">IFERROR(
AVERAGE((IF(DATOS_[[Sexo]:[Sexo]]=$B58,IF(DATOS_[[AGRUP. VALOR. PTO.]:[AGRUP. VALOR. PTO.]]=$B57,IF(DATOS_[[Check Periodo Ref.]:[Check Periodo Ref.]]="Dentro",DATOS_[Conc.Sal.04]))))),
0)</f>
        <v>0</v>
      </c>
      <c r="J58" s="93">
        <f t="array" ref="J58">IFERROR(
AVERAGE((IF(DATOS_[[Sexo]:[Sexo]]=$B58,IF(DATOS_[[AGRUP. VALOR. PTO.]:[AGRUP. VALOR. PTO.]]=$B57,IF(DATOS_[[Check Periodo Ref.]:[Check Periodo Ref.]]="Dentro",DATOS_[Conc.Sal.05]))))),
0)</f>
        <v>0</v>
      </c>
      <c r="K58" s="93">
        <f t="array" ref="K58">IFERROR(
AVERAGE((IF(DATOS_[[Sexo]:[Sexo]]=$B58,IF(DATOS_[[AGRUP. VALOR. PTO.]:[AGRUP. VALOR. PTO.]]=$B57,IF(DATOS_[[Check Periodo Ref.]:[Check Periodo Ref.]]="Dentro",DATOS_[Conc.Sal.06]))))),
0)</f>
        <v>0</v>
      </c>
      <c r="L58" s="93">
        <f t="array" ref="L58">IFERROR(
AVERAGE((IF(DATOS_[[Sexo]:[Sexo]]=$B58,IF(DATOS_[[AGRUP. VALOR. PTO.]:[AGRUP. VALOR. PTO.]]=$B57,IF(DATOS_[[Check Periodo Ref.]:[Check Periodo Ref.]]="Dentro",DATOS_[Conc.Sal.07]))))),
0)</f>
        <v>0</v>
      </c>
      <c r="M58" s="93">
        <f t="array" ref="M58">IFERROR(
AVERAGE((IF(DATOS_[[Sexo]:[Sexo]]=$B58,IF(DATOS_[[AGRUP. VALOR. PTO.]:[AGRUP. VALOR. PTO.]]=$B57,IF(DATOS_[[Check Periodo Ref.]:[Check Periodo Ref.]]="Dentro",DATOS_[Conc.Sal.08]))))),
0)</f>
        <v>0</v>
      </c>
      <c r="N58" s="93">
        <f t="array" ref="N58">IFERROR(
AVERAGE((IF(DATOS_[[Sexo]:[Sexo]]=$B58,IF(DATOS_[[AGRUP. VALOR. PTO.]:[AGRUP. VALOR. PTO.]]=$B57,IF(DATOS_[[Check Periodo Ref.]:[Check Periodo Ref.]]="Dentro",DATOS_[Conc.Sal.09]))))),
0)</f>
        <v>0</v>
      </c>
      <c r="O58" s="93">
        <f t="array" ref="O58">IFERROR(
AVERAGE((IF(DATOS_[[Sexo]:[Sexo]]=$B58,IF(DATOS_[[AGRUP. VALOR. PTO.]:[AGRUP. VALOR. PTO.]]=$B57,IF(DATOS_[[Check Periodo Ref.]:[Check Periodo Ref.]]="Dentro",DATOS_[Conc.Sal.10]))))),
0)</f>
        <v>0</v>
      </c>
      <c r="P58" s="93">
        <f t="array" ref="P58">IFERROR(
AVERAGE((IF(DATOS_[[Sexo]:[Sexo]]=$B58,IF(DATOS_[[AGRUP. VALOR. PTO.]:[AGRUP. VALOR. PTO.]]=$B57,IF(DATOS_[[Check Periodo Ref.]:[Check Periodo Ref.]]="Dentro",DATOS_[Conc.Sal.11]))))),
0)</f>
        <v>0</v>
      </c>
      <c r="Q58" s="93">
        <f t="array" ref="Q58">IFERROR(
AVERAGE((IF(DATOS_[[Sexo]:[Sexo]]=$B58,IF(DATOS_[[AGRUP. VALOR. PTO.]:[AGRUP. VALOR. PTO.]]=$B57,IF(DATOS_[[Check Periodo Ref.]:[Check Periodo Ref.]]="Dentro",DATOS_[Conc.Sal.12]))))),
0)</f>
        <v>0</v>
      </c>
      <c r="R58" s="93">
        <f t="array" ref="R58">IFERROR(
AVERAGE((IF(DATOS_[[Sexo]:[Sexo]]=$B58,IF(DATOS_[[AGRUP. VALOR. PTO.]:[AGRUP. VALOR. PTO.]]=$B57,IF(DATOS_[[Check Periodo Ref.]:[Check Periodo Ref.]]="Dentro",DATOS_[Conc.Sal.13]))))),
0)</f>
        <v>0</v>
      </c>
      <c r="S58" s="93">
        <f t="array" ref="S58">IFERROR(
AVERAGE((IF(DATOS_[[Sexo]:[Sexo]]=$B58,IF(DATOS_[[AGRUP. VALOR. PTO.]:[AGRUP. VALOR. PTO.]]=$B57,IF(DATOS_[[Check Periodo Ref.]:[Check Periodo Ref.]]="Dentro",DATOS_[Conc.Sal.14]))))),
0)</f>
        <v>0</v>
      </c>
      <c r="T58" s="93">
        <f t="array" ref="T58">IFERROR(
AVERAGE((IF(DATOS_[[Sexo]:[Sexo]]=$B58,IF(DATOS_[[AGRUP. VALOR. PTO.]:[AGRUP. VALOR. PTO.]]=$B57,IF(DATOS_[[Check Periodo Ref.]:[Check Periodo Ref.]]="Dentro",DATOS_[Conc.Sal.15]))))),
0)</f>
        <v>0</v>
      </c>
      <c r="U58" s="93">
        <f t="array" ref="U58">IFERROR(
AVERAGE((IF(DATOS_[[Sexo]:[Sexo]]=$B58,IF(DATOS_[[AGRUP. VALOR. PTO.]:[AGRUP. VALOR. PTO.]]=$B57,IF(DATOS_[[Check Periodo Ref.]:[Check Periodo Ref.]]="Dentro",DATOS_[Conc.Sal.16]))))),
0)</f>
        <v>0</v>
      </c>
      <c r="V58" s="93">
        <f t="array" ref="V58">IFERROR(
AVERAGE((IF(DATOS_[[Sexo]:[Sexo]]=$B58,IF(DATOS_[[AGRUP. VALOR. PTO.]:[AGRUP. VALOR. PTO.]]=$B57,IF(DATOS_[[Check Periodo Ref.]:[Check Periodo Ref.]]="Dentro",DATOS_[Conc.Sal.17]))))),
0)</f>
        <v>0</v>
      </c>
      <c r="W58" s="93">
        <f t="array" ref="W58">IFERROR(
AVERAGE((IF(DATOS_[[Sexo]:[Sexo]]=$B58,IF(DATOS_[[AGRUP. VALOR. PTO.]:[AGRUP. VALOR. PTO.]]=$B57,IF(DATOS_[[Check Periodo Ref.]:[Check Periodo Ref.]]="Dentro",DATOS_[Conc.Sal.18]))))),
0)</f>
        <v>0</v>
      </c>
      <c r="X58" s="93">
        <f t="array" ref="X58">IFERROR(
AVERAGE((IF(DATOS_[[Sexo]:[Sexo]]=$B58,IF(DATOS_[[AGRUP. VALOR. PTO.]:[AGRUP. VALOR. PTO.]]=$B57,IF(DATOS_[[Check Periodo Ref.]:[Check Periodo Ref.]]="Dentro",DATOS_[Conc.Sal.19]))))),
0)</f>
        <v>0</v>
      </c>
      <c r="Y58" s="93">
        <f t="array" ref="Y58">IFERROR(
AVERAGE((IF(DATOS_[[Sexo]:[Sexo]]=$B58,IF(DATOS_[[AGRUP. VALOR. PTO.]:[AGRUP. VALOR. PTO.]]=$B57,IF(DATOS_[[Check Periodo Ref.]:[Check Periodo Ref.]]="Dentro",DATOS_[Conc.Sal.20]))))),
0)</f>
        <v>0</v>
      </c>
      <c r="Z58" s="93">
        <f t="array" ref="Z58">IFERROR(
AVERAGE((IF(DATOS_[[Sexo]:[Sexo]]=$B58,IF(DATOS_[[AGRUP. VALOR. PTO.]:[AGRUP. VALOR. PTO.]]=$B57,IF(DATOS_[[Check Periodo Ref.]:[Check Periodo Ref.]]="Dentro",DATOS_[Conc.Sal.21]))))),
0)</f>
        <v>0</v>
      </c>
      <c r="AA58" s="93">
        <f t="array" ref="AA58">IFERROR(
AVERAGE((IF(DATOS_[[Sexo]:[Sexo]]=$B58,IF(DATOS_[[AGRUP. VALOR. PTO.]:[AGRUP. VALOR. PTO.]]=$B57,IF(DATOS_[[Check Periodo Ref.]:[Check Periodo Ref.]]="Dentro",DATOS_[Conc.Sal.22]))))),
0)</f>
        <v>0</v>
      </c>
      <c r="AB58" s="93">
        <f t="array" ref="AB58">IFERROR(
AVERAGE((IF(DATOS_[[Sexo]:[Sexo]]=$B58,IF(DATOS_[[AGRUP. VALOR. PTO.]:[AGRUP. VALOR. PTO.]]=$B57,IF(DATOS_[[Check Periodo Ref.]:[Check Periodo Ref.]]="Dentro",DATOS_[Conc.Sal.23]))))),
0)</f>
        <v>0</v>
      </c>
      <c r="AC58" s="93">
        <f t="array" ref="AC58">IFERROR(
AVERAGE((IF(DATOS_[[Sexo]:[Sexo]]=$B58,IF(DATOS_[[AGRUP. VALOR. PTO.]:[AGRUP. VALOR. PTO.]]=$B57,IF(DATOS_[[Check Periodo Ref.]:[Check Periodo Ref.]]="Dentro",DATOS_[Conc.Sal.24]))))),
0)</f>
        <v>0</v>
      </c>
      <c r="AD58" s="93">
        <f t="array" ref="AD58">IFERROR(
AVERAGE((IF(DATOS_[[Sexo]:[Sexo]]=$B58,IF(DATOS_[[AGRUP. VALOR. PTO.]:[AGRUP. VALOR. PTO.]]=$B57,IF(DATOS_[[Check Periodo Ref.]:[Check Periodo Ref.]]="Dentro",DATOS_[Conc.Sal.25]))))),
0)</f>
        <v>0</v>
      </c>
      <c r="AE58" s="93">
        <f t="array" ref="AE58">IFERROR(
AVERAGE((IF(DATOS_[[Sexo]:[Sexo]]=$B58,IF(DATOS_[[AGRUP. VALOR. PTO.]:[AGRUP. VALOR. PTO.]]=$B57,IF(DATOS_[[Check Periodo Ref.]:[Check Periodo Ref.]]="Dentro",DATOS_[Conc.Sal.26]))))),
0)</f>
        <v>0</v>
      </c>
      <c r="AF58" s="93">
        <f t="array" ref="AF58">IFERROR(
AVERAGE((IF(DATOS_[[Sexo]:[Sexo]]=$B58,IF(DATOS_[[AGRUP. VALOR. PTO.]:[AGRUP. VALOR. PTO.]]=$B57,IF(DATOS_[[Check Periodo Ref.]:[Check Periodo Ref.]]="Dentro",DATOS_[Conc.Sal.27]))))),
0)</f>
        <v>0</v>
      </c>
      <c r="AG58" s="93">
        <f t="array" ref="AG58">IFERROR(
AVERAGE((IF(DATOS_[[Sexo]:[Sexo]]=$B58,IF(DATOS_[[AGRUP. VALOR. PTO.]:[AGRUP. VALOR. PTO.]]=$B57,IF(DATOS_[[Check Periodo Ref.]:[Check Periodo Ref.]]="Dentro",DATOS_[Conc.Sal.28]))))),
0)</f>
        <v>0</v>
      </c>
      <c r="AH58" s="93">
        <f t="array" ref="AH58">IFERROR(
AVERAGE((IF(DATOS_[[Sexo]:[Sexo]]=$B58,IF(DATOS_[[AGRUP. VALOR. PTO.]:[AGRUP. VALOR. PTO.]]=$B57,IF(DATOS_[[Check Periodo Ref.]:[Check Periodo Ref.]]="Dentro",DATOS_[Conc.Sal.29]))))),
0)</f>
        <v>0</v>
      </c>
      <c r="AI58" s="93">
        <f t="array" ref="AI58">IFERROR(
AVERAGE((IF(DATOS_[[Sexo]:[Sexo]]=$B58,IF(DATOS_[[AGRUP. VALOR. PTO.]:[AGRUP. VALOR. PTO.]]=$B57,IF(DATOS_[[Check Periodo Ref.]:[Check Periodo Ref.]]="Dentro",DATOS_[Conc.Sal.30]))))),
0)</f>
        <v>0</v>
      </c>
      <c r="AJ58" s="94">
        <f t="array" ref="AJ58">IFERROR(
AVERAGE(IF(DATOS_[Sexo]=$B58,IF(DATOS_[AGRUP. VALOR. PTO.]=$B57,IF(DATOS_[Check Periodo Ref.]="Dentro",DATOS_[Tot COMPL.SAL Ef],FALSE)))),
0)</f>
        <v>0</v>
      </c>
      <c r="AK58" s="96">
        <f t="array" ref="AK58">IFERROR(
AVERAGE(IF(DATOS_[Sexo]=$B58,IF(DATOS_[AGRUP. VALOR. PTO.]=$B57,IF(DATOS_[Check Periodo Ref.]="Dentro",DATOS_[TOTAL SALARIO Ef],FALSE)))),
0)</f>
        <v>0</v>
      </c>
      <c r="AL58" s="95">
        <f t="array" ref="AL58">IFERROR(
AVERAGE((IF(DATOS_[[Sexo]:[Sexo]]=$B58,IF(DATOS_[[AGRUP. VALOR. PTO.]:[AGRUP. VALOR. PTO.]]=$B57,IF(DATOS_[[Check Periodo Ref.]:[Check Periodo Ref.]]="Dentro",DATOS_[C.Extra.01]))))),
0)</f>
        <v>0</v>
      </c>
      <c r="AM58" s="95">
        <f t="array" ref="AM58">IFERROR(
AVERAGE((IF(DATOS_[[Sexo]:[Sexo]]=$B58,IF(DATOS_[[AGRUP. VALOR. PTO.]:[AGRUP. VALOR. PTO.]]=$B57,IF(DATOS_[[Check Periodo Ref.]:[Check Periodo Ref.]]="Dentro",DATOS_[C.Extra.02]))))),
0)</f>
        <v>0</v>
      </c>
      <c r="AN58" s="95">
        <f t="array" ref="AN58">IFERROR(
AVERAGE((IF(DATOS_[[Sexo]:[Sexo]]=$B58,IF(DATOS_[[AGRUP. VALOR. PTO.]:[AGRUP. VALOR. PTO.]]=$B57,IF(DATOS_[[Check Periodo Ref.]:[Check Periodo Ref.]]="Dentro",DATOS_[C.Extra.03]))))),
0)</f>
        <v>0</v>
      </c>
      <c r="AO58" s="95">
        <f t="array" ref="AO58">IFERROR(
AVERAGE((IF(DATOS_[[Sexo]:[Sexo]]=$B58,IF(DATOS_[[AGRUP. VALOR. PTO.]:[AGRUP. VALOR. PTO.]]=$B57,IF(DATOS_[[Check Periodo Ref.]:[Check Periodo Ref.]]="Dentro",DATOS_[C.Extra.04]))))),
0)</f>
        <v>0</v>
      </c>
      <c r="AP58" s="95">
        <f t="array" ref="AP58">IFERROR(
AVERAGE((IF(DATOS_[[Sexo]:[Sexo]]=$B58,IF(DATOS_[[AGRUP. VALOR. PTO.]:[AGRUP. VALOR. PTO.]]=$B57,IF(DATOS_[[Check Periodo Ref.]:[Check Periodo Ref.]]="Dentro",DATOS_[C.Extra.05]))))),
0)</f>
        <v>0</v>
      </c>
      <c r="AQ58" s="97">
        <f t="array" ref="AQ58">IFERROR(
AVERAGE(IF(DATOS_[Sexo]=$B58,IF(DATOS_[AGRUP. VALOR. PTO.]=$B57,IF(DATOS_[Check Periodo Ref.]="Dentro",DATOS_[Tot Extrasalarial Ef],FALSE)))),
0)</f>
        <v>0</v>
      </c>
      <c r="AR58" s="98">
        <f t="array" ref="AR58">IFERROR(
AVERAGE(IF(DATOS_[Sexo]=$B58,IF(DATOS_[AGRUP. VALOR. PTO.]=$B57,IF(DATOS_[Check Periodo Ref.]="Dentro",DATOS_[TOTAL Retrib Ef],FALSE)))),
0)</f>
        <v>0</v>
      </c>
    </row>
    <row r="59" spans="1:44" hidden="1" x14ac:dyDescent="0.3">
      <c r="A59" s="48" t="str">
        <f t="shared" ref="A59" si="62">+A58</f>
        <v>[ocultar]</v>
      </c>
      <c r="B59" s="46" t="s">
        <v>163</v>
      </c>
      <c r="C59" s="45">
        <f t="array" ref="C59">SUM(IF($B59=DATOS_[Sexo],
IF($B57=DATOS_[AGRUP. VALOR. PTO.],
IF("Dentro"=DATOS_[Check Periodo Ref.],
1/(COUNTIFS(DATOS_[Sexo],$B59,DATOS_[AGRUP. VALOR. PTO.],$B57,DATOS_[Check Periodo Ref.],"Dentro",DATOS_[id],DATOS_[id]))))))</f>
        <v>0</v>
      </c>
      <c r="D59" s="47">
        <f>COUNTIFS(DATOS_[AGRUP. VALOR. PTO.],$B57,DATOS_[Sexo],$B59,DATOS_[Check Periodo Ref.],"Dentro")</f>
        <v>0</v>
      </c>
      <c r="E59" s="92">
        <f t="array" ref="E59">IFERROR(
AVERAGE(IF(DATOS_[Sexo]=$B59,IF(DATOS_[AGRUP. VALOR. PTO.]=$B57,IF(DATOS_[Check Periodo Ref.]="Dentro",DATOS_[SALARIO BASE Ef],FALSE)))),
0)</f>
        <v>0</v>
      </c>
      <c r="F59" s="93">
        <f t="array" ref="F59">IFERROR(
AVERAGE((IF(DATOS_[[Sexo]:[Sexo]]=$B59,IF(DATOS_[[AGRUP. VALOR. PTO.]:[AGRUP. VALOR. PTO.]]=$B57,IF(DATOS_[[Check Periodo Ref.]:[Check Periodo Ref.]]="Dentro",DATOS_[Conc.Sal.01]))))),
0)</f>
        <v>0</v>
      </c>
      <c r="G59" s="93">
        <f t="array" ref="G59">IFERROR(
AVERAGE((IF(DATOS_[[Sexo]:[Sexo]]=$B59,IF(DATOS_[[AGRUP. VALOR. PTO.]:[AGRUP. VALOR. PTO.]]=$B57,IF(DATOS_[[Check Periodo Ref.]:[Check Periodo Ref.]]="Dentro",DATOS_[Conc.Sal.02]))))),
0)</f>
        <v>0</v>
      </c>
      <c r="H59" s="93">
        <f t="array" ref="H59">IFERROR(
AVERAGE((IF(DATOS_[[Sexo]:[Sexo]]=$B59,IF(DATOS_[[AGRUP. VALOR. PTO.]:[AGRUP. VALOR. PTO.]]=$B57,IF(DATOS_[[Check Periodo Ref.]:[Check Periodo Ref.]]="Dentro",DATOS_[Conc.Sal.03]))))),
0)</f>
        <v>0</v>
      </c>
      <c r="I59" s="93">
        <f t="array" ref="I59">IFERROR(
AVERAGE((IF(DATOS_[[Sexo]:[Sexo]]=$B59,IF(DATOS_[[AGRUP. VALOR. PTO.]:[AGRUP. VALOR. PTO.]]=$B57,IF(DATOS_[[Check Periodo Ref.]:[Check Periodo Ref.]]="Dentro",DATOS_[Conc.Sal.04]))))),
0)</f>
        <v>0</v>
      </c>
      <c r="J59" s="93">
        <f t="array" ref="J59">IFERROR(
AVERAGE((IF(DATOS_[[Sexo]:[Sexo]]=$B59,IF(DATOS_[[AGRUP. VALOR. PTO.]:[AGRUP. VALOR. PTO.]]=$B57,IF(DATOS_[[Check Periodo Ref.]:[Check Periodo Ref.]]="Dentro",DATOS_[Conc.Sal.05]))))),
0)</f>
        <v>0</v>
      </c>
      <c r="K59" s="93">
        <f t="array" ref="K59">IFERROR(
AVERAGE((IF(DATOS_[[Sexo]:[Sexo]]=$B59,IF(DATOS_[[AGRUP. VALOR. PTO.]:[AGRUP. VALOR. PTO.]]=$B57,IF(DATOS_[[Check Periodo Ref.]:[Check Periodo Ref.]]="Dentro",DATOS_[Conc.Sal.06]))))),
0)</f>
        <v>0</v>
      </c>
      <c r="L59" s="93">
        <f t="array" ref="L59">IFERROR(
AVERAGE((IF(DATOS_[[Sexo]:[Sexo]]=$B59,IF(DATOS_[[AGRUP. VALOR. PTO.]:[AGRUP. VALOR. PTO.]]=$B57,IF(DATOS_[[Check Periodo Ref.]:[Check Periodo Ref.]]="Dentro",DATOS_[Conc.Sal.07]))))),
0)</f>
        <v>0</v>
      </c>
      <c r="M59" s="93">
        <f t="array" ref="M59">IFERROR(
AVERAGE((IF(DATOS_[[Sexo]:[Sexo]]=$B59,IF(DATOS_[[AGRUP. VALOR. PTO.]:[AGRUP. VALOR. PTO.]]=$B57,IF(DATOS_[[Check Periodo Ref.]:[Check Periodo Ref.]]="Dentro",DATOS_[Conc.Sal.08]))))),
0)</f>
        <v>0</v>
      </c>
      <c r="N59" s="93">
        <f t="array" ref="N59">IFERROR(
AVERAGE((IF(DATOS_[[Sexo]:[Sexo]]=$B59,IF(DATOS_[[AGRUP. VALOR. PTO.]:[AGRUP. VALOR. PTO.]]=$B57,IF(DATOS_[[Check Periodo Ref.]:[Check Periodo Ref.]]="Dentro",DATOS_[Conc.Sal.09]))))),
0)</f>
        <v>0</v>
      </c>
      <c r="O59" s="93">
        <f t="array" ref="O59">IFERROR(
AVERAGE((IF(DATOS_[[Sexo]:[Sexo]]=$B59,IF(DATOS_[[AGRUP. VALOR. PTO.]:[AGRUP. VALOR. PTO.]]=$B57,IF(DATOS_[[Check Periodo Ref.]:[Check Periodo Ref.]]="Dentro",DATOS_[Conc.Sal.10]))))),
0)</f>
        <v>0</v>
      </c>
      <c r="P59" s="93">
        <f t="array" ref="P59">IFERROR(
AVERAGE((IF(DATOS_[[Sexo]:[Sexo]]=$B59,IF(DATOS_[[AGRUP. VALOR. PTO.]:[AGRUP. VALOR. PTO.]]=$B57,IF(DATOS_[[Check Periodo Ref.]:[Check Periodo Ref.]]="Dentro",DATOS_[Conc.Sal.11]))))),
0)</f>
        <v>0</v>
      </c>
      <c r="Q59" s="93">
        <f t="array" ref="Q59">IFERROR(
AVERAGE((IF(DATOS_[[Sexo]:[Sexo]]=$B59,IF(DATOS_[[AGRUP. VALOR. PTO.]:[AGRUP. VALOR. PTO.]]=$B57,IF(DATOS_[[Check Periodo Ref.]:[Check Periodo Ref.]]="Dentro",DATOS_[Conc.Sal.12]))))),
0)</f>
        <v>0</v>
      </c>
      <c r="R59" s="93">
        <f t="array" ref="R59">IFERROR(
AVERAGE((IF(DATOS_[[Sexo]:[Sexo]]=$B59,IF(DATOS_[[AGRUP. VALOR. PTO.]:[AGRUP. VALOR. PTO.]]=$B57,IF(DATOS_[[Check Periodo Ref.]:[Check Periodo Ref.]]="Dentro",DATOS_[Conc.Sal.13]))))),
0)</f>
        <v>0</v>
      </c>
      <c r="S59" s="93">
        <f t="array" ref="S59">IFERROR(
AVERAGE((IF(DATOS_[[Sexo]:[Sexo]]=$B59,IF(DATOS_[[AGRUP. VALOR. PTO.]:[AGRUP. VALOR. PTO.]]=$B57,IF(DATOS_[[Check Periodo Ref.]:[Check Periodo Ref.]]="Dentro",DATOS_[Conc.Sal.14]))))),
0)</f>
        <v>0</v>
      </c>
      <c r="T59" s="93">
        <f t="array" ref="T59">IFERROR(
AVERAGE((IF(DATOS_[[Sexo]:[Sexo]]=$B59,IF(DATOS_[[AGRUP. VALOR. PTO.]:[AGRUP. VALOR. PTO.]]=$B57,IF(DATOS_[[Check Periodo Ref.]:[Check Periodo Ref.]]="Dentro",DATOS_[Conc.Sal.15]))))),
0)</f>
        <v>0</v>
      </c>
      <c r="U59" s="93">
        <f t="array" ref="U59">IFERROR(
AVERAGE((IF(DATOS_[[Sexo]:[Sexo]]=$B59,IF(DATOS_[[AGRUP. VALOR. PTO.]:[AGRUP. VALOR. PTO.]]=$B57,IF(DATOS_[[Check Periodo Ref.]:[Check Periodo Ref.]]="Dentro",DATOS_[Conc.Sal.16]))))),
0)</f>
        <v>0</v>
      </c>
      <c r="V59" s="93">
        <f t="array" ref="V59">IFERROR(
AVERAGE((IF(DATOS_[[Sexo]:[Sexo]]=$B59,IF(DATOS_[[AGRUP. VALOR. PTO.]:[AGRUP. VALOR. PTO.]]=$B57,IF(DATOS_[[Check Periodo Ref.]:[Check Periodo Ref.]]="Dentro",DATOS_[Conc.Sal.17]))))),
0)</f>
        <v>0</v>
      </c>
      <c r="W59" s="93">
        <f t="array" ref="W59">IFERROR(
AVERAGE((IF(DATOS_[[Sexo]:[Sexo]]=$B59,IF(DATOS_[[AGRUP. VALOR. PTO.]:[AGRUP. VALOR. PTO.]]=$B57,IF(DATOS_[[Check Periodo Ref.]:[Check Periodo Ref.]]="Dentro",DATOS_[Conc.Sal.18]))))),
0)</f>
        <v>0</v>
      </c>
      <c r="X59" s="93">
        <f t="array" ref="X59">IFERROR(
AVERAGE((IF(DATOS_[[Sexo]:[Sexo]]=$B59,IF(DATOS_[[AGRUP. VALOR. PTO.]:[AGRUP. VALOR. PTO.]]=$B57,IF(DATOS_[[Check Periodo Ref.]:[Check Periodo Ref.]]="Dentro",DATOS_[Conc.Sal.19]))))),
0)</f>
        <v>0</v>
      </c>
      <c r="Y59" s="93">
        <f t="array" ref="Y59">IFERROR(
AVERAGE((IF(DATOS_[[Sexo]:[Sexo]]=$B59,IF(DATOS_[[AGRUP. VALOR. PTO.]:[AGRUP. VALOR. PTO.]]=$B57,IF(DATOS_[[Check Periodo Ref.]:[Check Periodo Ref.]]="Dentro",DATOS_[Conc.Sal.20]))))),
0)</f>
        <v>0</v>
      </c>
      <c r="Z59" s="93">
        <f t="array" ref="Z59">IFERROR(
AVERAGE((IF(DATOS_[[Sexo]:[Sexo]]=$B59,IF(DATOS_[[AGRUP. VALOR. PTO.]:[AGRUP. VALOR. PTO.]]=$B57,IF(DATOS_[[Check Periodo Ref.]:[Check Periodo Ref.]]="Dentro",DATOS_[Conc.Sal.21]))))),
0)</f>
        <v>0</v>
      </c>
      <c r="AA59" s="93">
        <f t="array" ref="AA59">IFERROR(
AVERAGE((IF(DATOS_[[Sexo]:[Sexo]]=$B59,IF(DATOS_[[AGRUP. VALOR. PTO.]:[AGRUP. VALOR. PTO.]]=$B57,IF(DATOS_[[Check Periodo Ref.]:[Check Periodo Ref.]]="Dentro",DATOS_[Conc.Sal.22]))))),
0)</f>
        <v>0</v>
      </c>
      <c r="AB59" s="93">
        <f t="array" ref="AB59">IFERROR(
AVERAGE((IF(DATOS_[[Sexo]:[Sexo]]=$B59,IF(DATOS_[[AGRUP. VALOR. PTO.]:[AGRUP. VALOR. PTO.]]=$B57,IF(DATOS_[[Check Periodo Ref.]:[Check Periodo Ref.]]="Dentro",DATOS_[Conc.Sal.23]))))),
0)</f>
        <v>0</v>
      </c>
      <c r="AC59" s="93">
        <f t="array" ref="AC59">IFERROR(
AVERAGE((IF(DATOS_[[Sexo]:[Sexo]]=$B59,IF(DATOS_[[AGRUP. VALOR. PTO.]:[AGRUP. VALOR. PTO.]]=$B57,IF(DATOS_[[Check Periodo Ref.]:[Check Periodo Ref.]]="Dentro",DATOS_[Conc.Sal.24]))))),
0)</f>
        <v>0</v>
      </c>
      <c r="AD59" s="93">
        <f t="array" ref="AD59">IFERROR(
AVERAGE((IF(DATOS_[[Sexo]:[Sexo]]=$B59,IF(DATOS_[[AGRUP. VALOR. PTO.]:[AGRUP. VALOR. PTO.]]=$B57,IF(DATOS_[[Check Periodo Ref.]:[Check Periodo Ref.]]="Dentro",DATOS_[Conc.Sal.25]))))),
0)</f>
        <v>0</v>
      </c>
      <c r="AE59" s="93">
        <f t="array" ref="AE59">IFERROR(
AVERAGE((IF(DATOS_[[Sexo]:[Sexo]]=$B59,IF(DATOS_[[AGRUP. VALOR. PTO.]:[AGRUP. VALOR. PTO.]]=$B57,IF(DATOS_[[Check Periodo Ref.]:[Check Periodo Ref.]]="Dentro",DATOS_[Conc.Sal.26]))))),
0)</f>
        <v>0</v>
      </c>
      <c r="AF59" s="93">
        <f t="array" ref="AF59">IFERROR(
AVERAGE((IF(DATOS_[[Sexo]:[Sexo]]=$B59,IF(DATOS_[[AGRUP. VALOR. PTO.]:[AGRUP. VALOR. PTO.]]=$B57,IF(DATOS_[[Check Periodo Ref.]:[Check Periodo Ref.]]="Dentro",DATOS_[Conc.Sal.27]))))),
0)</f>
        <v>0</v>
      </c>
      <c r="AG59" s="93">
        <f t="array" ref="AG59">IFERROR(
AVERAGE((IF(DATOS_[[Sexo]:[Sexo]]=$B59,IF(DATOS_[[AGRUP. VALOR. PTO.]:[AGRUP. VALOR. PTO.]]=$B57,IF(DATOS_[[Check Periodo Ref.]:[Check Periodo Ref.]]="Dentro",DATOS_[Conc.Sal.28]))))),
0)</f>
        <v>0</v>
      </c>
      <c r="AH59" s="93">
        <f t="array" ref="AH59">IFERROR(
AVERAGE((IF(DATOS_[[Sexo]:[Sexo]]=$B59,IF(DATOS_[[AGRUP. VALOR. PTO.]:[AGRUP. VALOR. PTO.]]=$B57,IF(DATOS_[[Check Periodo Ref.]:[Check Periodo Ref.]]="Dentro",DATOS_[Conc.Sal.29]))))),
0)</f>
        <v>0</v>
      </c>
      <c r="AI59" s="93">
        <f t="array" ref="AI59">IFERROR(
AVERAGE((IF(DATOS_[[Sexo]:[Sexo]]=$B59,IF(DATOS_[[AGRUP. VALOR. PTO.]:[AGRUP. VALOR. PTO.]]=$B57,IF(DATOS_[[Check Periodo Ref.]:[Check Periodo Ref.]]="Dentro",DATOS_[Conc.Sal.30]))))),
0)</f>
        <v>0</v>
      </c>
      <c r="AJ59" s="94">
        <f t="array" ref="AJ59">IFERROR(
AVERAGE(IF(DATOS_[Sexo]=$B59,IF(DATOS_[AGRUP. VALOR. PTO.]=$B57,IF(DATOS_[Check Periodo Ref.]="Dentro",DATOS_[Tot COMPL.SAL Ef],FALSE)))),
0)</f>
        <v>0</v>
      </c>
      <c r="AK59" s="96">
        <f t="array" ref="AK59">IFERROR(
AVERAGE(IF(DATOS_[Sexo]=$B59,IF(DATOS_[AGRUP. VALOR. PTO.]=$B57,IF(DATOS_[Check Periodo Ref.]="Dentro",DATOS_[TOTAL SALARIO Ef],FALSE)))),
0)</f>
        <v>0</v>
      </c>
      <c r="AL59" s="95">
        <f t="array" ref="AL59">IFERROR(
AVERAGE((IF(DATOS_[[Sexo]:[Sexo]]=$B59,IF(DATOS_[[AGRUP. VALOR. PTO.]:[AGRUP. VALOR. PTO.]]=$B57,IF(DATOS_[[Check Periodo Ref.]:[Check Periodo Ref.]]="Dentro",DATOS_[C.Extra.01]))))),
0)</f>
        <v>0</v>
      </c>
      <c r="AM59" s="95">
        <f t="array" ref="AM59">IFERROR(
AVERAGE((IF(DATOS_[[Sexo]:[Sexo]]=$B59,IF(DATOS_[[AGRUP. VALOR. PTO.]:[AGRUP. VALOR. PTO.]]=$B57,IF(DATOS_[[Check Periodo Ref.]:[Check Periodo Ref.]]="Dentro",DATOS_[C.Extra.02]))))),
0)</f>
        <v>0</v>
      </c>
      <c r="AN59" s="95">
        <f t="array" ref="AN59">IFERROR(
AVERAGE((IF(DATOS_[[Sexo]:[Sexo]]=$B59,IF(DATOS_[[AGRUP. VALOR. PTO.]:[AGRUP. VALOR. PTO.]]=$B57,IF(DATOS_[[Check Periodo Ref.]:[Check Periodo Ref.]]="Dentro",DATOS_[C.Extra.03]))))),
0)</f>
        <v>0</v>
      </c>
      <c r="AO59" s="95">
        <f t="array" ref="AO59">IFERROR(
AVERAGE((IF(DATOS_[[Sexo]:[Sexo]]=$B59,IF(DATOS_[[AGRUP. VALOR. PTO.]:[AGRUP. VALOR. PTO.]]=$B57,IF(DATOS_[[Check Periodo Ref.]:[Check Periodo Ref.]]="Dentro",DATOS_[C.Extra.04]))))),
0)</f>
        <v>0</v>
      </c>
      <c r="AP59" s="95">
        <f t="array" ref="AP59">IFERROR(
AVERAGE((IF(DATOS_[[Sexo]:[Sexo]]=$B59,IF(DATOS_[[AGRUP. VALOR. PTO.]:[AGRUP. VALOR. PTO.]]=$B57,IF(DATOS_[[Check Periodo Ref.]:[Check Periodo Ref.]]="Dentro",DATOS_[C.Extra.05]))))),
0)</f>
        <v>0</v>
      </c>
      <c r="AQ59" s="97">
        <f t="array" ref="AQ59">IFERROR(
AVERAGE(IF(DATOS_[Sexo]=$B59,IF(DATOS_[AGRUP. VALOR. PTO.]=$B57,IF(DATOS_[Check Periodo Ref.]="Dentro",DATOS_[Tot Extrasalarial Ef],FALSE)))),
0)</f>
        <v>0</v>
      </c>
      <c r="AR59" s="98">
        <f t="array" ref="AR59">IFERROR(
AVERAGE(IF(DATOS_[Sexo]=$B59,IF(DATOS_[AGRUP. VALOR. PTO.]=$B57,IF(DATOS_[Check Periodo Ref.]="Dentro",DATOS_[TOTAL Retrib Ef],FALSE)))),
0)</f>
        <v>0</v>
      </c>
    </row>
    <row r="60" spans="1:44" ht="17.25" hidden="1" thickBot="1" x14ac:dyDescent="0.35">
      <c r="A60" s="48" t="str">
        <f t="shared" ref="A60" si="63">+A61</f>
        <v>[ocultar]</v>
      </c>
      <c r="B60" s="51" t="s">
        <v>275</v>
      </c>
      <c r="C60" s="91"/>
      <c r="D60" s="52"/>
      <c r="E60" s="139" t="str">
        <f t="shared" ref="E60:AR60" si="64">IFERROR((E61-E62)/E61,"")</f>
        <v/>
      </c>
      <c r="F60" s="179" t="str">
        <f t="shared" si="64"/>
        <v/>
      </c>
      <c r="G60" s="180" t="str">
        <f t="shared" si="64"/>
        <v/>
      </c>
      <c r="H60" s="180" t="str">
        <f t="shared" si="64"/>
        <v/>
      </c>
      <c r="I60" s="180" t="str">
        <f t="shared" si="64"/>
        <v/>
      </c>
      <c r="J60" s="181" t="str">
        <f t="shared" si="64"/>
        <v/>
      </c>
      <c r="K60" s="182" t="str">
        <f t="shared" si="64"/>
        <v/>
      </c>
      <c r="L60" s="182" t="str">
        <f t="shared" si="64"/>
        <v/>
      </c>
      <c r="M60" s="182" t="str">
        <f t="shared" si="64"/>
        <v/>
      </c>
      <c r="N60" s="182" t="str">
        <f t="shared" si="64"/>
        <v/>
      </c>
      <c r="O60" s="182" t="str">
        <f t="shared" si="64"/>
        <v/>
      </c>
      <c r="P60" s="182" t="str">
        <f t="shared" si="64"/>
        <v/>
      </c>
      <c r="Q60" s="182" t="str">
        <f t="shared" si="64"/>
        <v/>
      </c>
      <c r="R60" s="182" t="str">
        <f t="shared" si="64"/>
        <v/>
      </c>
      <c r="S60" s="182" t="str">
        <f t="shared" si="64"/>
        <v/>
      </c>
      <c r="T60" s="182" t="str">
        <f t="shared" si="64"/>
        <v/>
      </c>
      <c r="U60" s="182" t="str">
        <f t="shared" si="64"/>
        <v/>
      </c>
      <c r="V60" s="181" t="str">
        <f t="shared" si="64"/>
        <v/>
      </c>
      <c r="W60" s="181" t="str">
        <f t="shared" si="64"/>
        <v/>
      </c>
      <c r="X60" s="181" t="str">
        <f t="shared" si="64"/>
        <v/>
      </c>
      <c r="Y60" s="181" t="str">
        <f t="shared" si="64"/>
        <v/>
      </c>
      <c r="Z60" s="181" t="str">
        <f t="shared" si="64"/>
        <v/>
      </c>
      <c r="AA60" s="181" t="str">
        <f t="shared" si="64"/>
        <v/>
      </c>
      <c r="AB60" s="181" t="str">
        <f t="shared" si="64"/>
        <v/>
      </c>
      <c r="AC60" s="181" t="str">
        <f t="shared" si="64"/>
        <v/>
      </c>
      <c r="AD60" s="181" t="str">
        <f t="shared" si="64"/>
        <v/>
      </c>
      <c r="AE60" s="181" t="str">
        <f t="shared" si="64"/>
        <v/>
      </c>
      <c r="AF60" s="181" t="str">
        <f t="shared" si="64"/>
        <v/>
      </c>
      <c r="AG60" s="181" t="str">
        <f t="shared" si="64"/>
        <v/>
      </c>
      <c r="AH60" s="181" t="str">
        <f t="shared" si="64"/>
        <v/>
      </c>
      <c r="AI60" s="181" t="str">
        <f t="shared" si="64"/>
        <v/>
      </c>
      <c r="AJ60" s="140" t="str">
        <f t="shared" si="64"/>
        <v/>
      </c>
      <c r="AK60" s="143" t="str">
        <f t="shared" si="64"/>
        <v/>
      </c>
      <c r="AL60" s="184" t="str">
        <f t="shared" si="64"/>
        <v/>
      </c>
      <c r="AM60" s="184" t="str">
        <f t="shared" si="64"/>
        <v/>
      </c>
      <c r="AN60" s="184" t="str">
        <f t="shared" si="64"/>
        <v/>
      </c>
      <c r="AO60" s="184" t="str">
        <f t="shared" si="64"/>
        <v/>
      </c>
      <c r="AP60" s="184" t="str">
        <f t="shared" si="64"/>
        <v/>
      </c>
      <c r="AQ60" s="141" t="str">
        <f t="shared" si="64"/>
        <v/>
      </c>
      <c r="AR60" s="142" t="str">
        <f t="shared" si="64"/>
        <v/>
      </c>
    </row>
    <row r="61" spans="1:44" hidden="1" x14ac:dyDescent="0.3">
      <c r="A61" s="48" t="str">
        <f t="shared" ref="A61" si="65">+IF(C61+C62=0,"[ocultar]","")</f>
        <v>[ocultar]</v>
      </c>
      <c r="B61" s="46" t="s">
        <v>162</v>
      </c>
      <c r="C61" s="45">
        <f t="array" ref="C61">SUM(IF($B61=DATOS_[Sexo],
IF($B60=DATOS_[AGRUP. VALOR. PTO.],
IF("Dentro"=DATOS_[Check Periodo Ref.],
1/(COUNTIFS(DATOS_[Sexo],$B61,DATOS_[AGRUP. VALOR. PTO.],$B60,DATOS_[Check Periodo Ref.],"Dentro",DATOS_[id],DATOS_[id]))))))</f>
        <v>0</v>
      </c>
      <c r="D61" s="47">
        <f>COUNTIFS(DATOS_[AGRUP. VALOR. PTO.],$B60,DATOS_[Sexo],$B61,DATOS_[Check Periodo Ref.],"Dentro")</f>
        <v>0</v>
      </c>
      <c r="E61" s="92">
        <f t="array" ref="E61">IFERROR(
AVERAGE(IF(DATOS_[Sexo]=$B61,IF(DATOS_[AGRUP. VALOR. PTO.]=$B60,IF(DATOS_[Check Periodo Ref.]="Dentro",DATOS_[SALARIO BASE Ef],FALSE)))),
0)</f>
        <v>0</v>
      </c>
      <c r="F61" s="93">
        <f t="array" ref="F61">IFERROR(
AVERAGE((IF(DATOS_[[Sexo]:[Sexo]]=$B61,IF(DATOS_[[AGRUP. VALOR. PTO.]:[AGRUP. VALOR. PTO.]]=$B60,IF(DATOS_[[Check Periodo Ref.]:[Check Periodo Ref.]]="Dentro",DATOS_[Conc.Sal.01]))))),
0)</f>
        <v>0</v>
      </c>
      <c r="G61" s="93">
        <f t="array" ref="G61">IFERROR(
AVERAGE((IF(DATOS_[[Sexo]:[Sexo]]=$B61,IF(DATOS_[[AGRUP. VALOR. PTO.]:[AGRUP. VALOR. PTO.]]=$B60,IF(DATOS_[[Check Periodo Ref.]:[Check Periodo Ref.]]="Dentro",DATOS_[Conc.Sal.02]))))),
0)</f>
        <v>0</v>
      </c>
      <c r="H61" s="93">
        <f t="array" ref="H61">IFERROR(
AVERAGE((IF(DATOS_[[Sexo]:[Sexo]]=$B61,IF(DATOS_[[AGRUP. VALOR. PTO.]:[AGRUP. VALOR. PTO.]]=$B60,IF(DATOS_[[Check Periodo Ref.]:[Check Periodo Ref.]]="Dentro",DATOS_[Conc.Sal.03]))))),
0)</f>
        <v>0</v>
      </c>
      <c r="I61" s="93">
        <f t="array" ref="I61">IFERROR(
AVERAGE((IF(DATOS_[[Sexo]:[Sexo]]=$B61,IF(DATOS_[[AGRUP. VALOR. PTO.]:[AGRUP. VALOR. PTO.]]=$B60,IF(DATOS_[[Check Periodo Ref.]:[Check Periodo Ref.]]="Dentro",DATOS_[Conc.Sal.04]))))),
0)</f>
        <v>0</v>
      </c>
      <c r="J61" s="93">
        <f t="array" ref="J61">IFERROR(
AVERAGE((IF(DATOS_[[Sexo]:[Sexo]]=$B61,IF(DATOS_[[AGRUP. VALOR. PTO.]:[AGRUP. VALOR. PTO.]]=$B60,IF(DATOS_[[Check Periodo Ref.]:[Check Periodo Ref.]]="Dentro",DATOS_[Conc.Sal.05]))))),
0)</f>
        <v>0</v>
      </c>
      <c r="K61" s="93">
        <f t="array" ref="K61">IFERROR(
AVERAGE((IF(DATOS_[[Sexo]:[Sexo]]=$B61,IF(DATOS_[[AGRUP. VALOR. PTO.]:[AGRUP. VALOR. PTO.]]=$B60,IF(DATOS_[[Check Periodo Ref.]:[Check Periodo Ref.]]="Dentro",DATOS_[Conc.Sal.06]))))),
0)</f>
        <v>0</v>
      </c>
      <c r="L61" s="93">
        <f t="array" ref="L61">IFERROR(
AVERAGE((IF(DATOS_[[Sexo]:[Sexo]]=$B61,IF(DATOS_[[AGRUP. VALOR. PTO.]:[AGRUP. VALOR. PTO.]]=$B60,IF(DATOS_[[Check Periodo Ref.]:[Check Periodo Ref.]]="Dentro",DATOS_[Conc.Sal.07]))))),
0)</f>
        <v>0</v>
      </c>
      <c r="M61" s="93">
        <f t="array" ref="M61">IFERROR(
AVERAGE((IF(DATOS_[[Sexo]:[Sexo]]=$B61,IF(DATOS_[[AGRUP. VALOR. PTO.]:[AGRUP. VALOR. PTO.]]=$B60,IF(DATOS_[[Check Periodo Ref.]:[Check Periodo Ref.]]="Dentro",DATOS_[Conc.Sal.08]))))),
0)</f>
        <v>0</v>
      </c>
      <c r="N61" s="93">
        <f t="array" ref="N61">IFERROR(
AVERAGE((IF(DATOS_[[Sexo]:[Sexo]]=$B61,IF(DATOS_[[AGRUP. VALOR. PTO.]:[AGRUP. VALOR. PTO.]]=$B60,IF(DATOS_[[Check Periodo Ref.]:[Check Periodo Ref.]]="Dentro",DATOS_[Conc.Sal.09]))))),
0)</f>
        <v>0</v>
      </c>
      <c r="O61" s="93">
        <f t="array" ref="O61">IFERROR(
AVERAGE((IF(DATOS_[[Sexo]:[Sexo]]=$B61,IF(DATOS_[[AGRUP. VALOR. PTO.]:[AGRUP. VALOR. PTO.]]=$B60,IF(DATOS_[[Check Periodo Ref.]:[Check Periodo Ref.]]="Dentro",DATOS_[Conc.Sal.10]))))),
0)</f>
        <v>0</v>
      </c>
      <c r="P61" s="93">
        <f t="array" ref="P61">IFERROR(
AVERAGE((IF(DATOS_[[Sexo]:[Sexo]]=$B61,IF(DATOS_[[AGRUP. VALOR. PTO.]:[AGRUP. VALOR. PTO.]]=$B60,IF(DATOS_[[Check Periodo Ref.]:[Check Periodo Ref.]]="Dentro",DATOS_[Conc.Sal.11]))))),
0)</f>
        <v>0</v>
      </c>
      <c r="Q61" s="93">
        <f t="array" ref="Q61">IFERROR(
AVERAGE((IF(DATOS_[[Sexo]:[Sexo]]=$B61,IF(DATOS_[[AGRUP. VALOR. PTO.]:[AGRUP. VALOR. PTO.]]=$B60,IF(DATOS_[[Check Periodo Ref.]:[Check Periodo Ref.]]="Dentro",DATOS_[Conc.Sal.12]))))),
0)</f>
        <v>0</v>
      </c>
      <c r="R61" s="93">
        <f t="array" ref="R61">IFERROR(
AVERAGE((IF(DATOS_[[Sexo]:[Sexo]]=$B61,IF(DATOS_[[AGRUP. VALOR. PTO.]:[AGRUP. VALOR. PTO.]]=$B60,IF(DATOS_[[Check Periodo Ref.]:[Check Periodo Ref.]]="Dentro",DATOS_[Conc.Sal.13]))))),
0)</f>
        <v>0</v>
      </c>
      <c r="S61" s="93">
        <f t="array" ref="S61">IFERROR(
AVERAGE((IF(DATOS_[[Sexo]:[Sexo]]=$B61,IF(DATOS_[[AGRUP. VALOR. PTO.]:[AGRUP. VALOR. PTO.]]=$B60,IF(DATOS_[[Check Periodo Ref.]:[Check Periodo Ref.]]="Dentro",DATOS_[Conc.Sal.14]))))),
0)</f>
        <v>0</v>
      </c>
      <c r="T61" s="93">
        <f t="array" ref="T61">IFERROR(
AVERAGE((IF(DATOS_[[Sexo]:[Sexo]]=$B61,IF(DATOS_[[AGRUP. VALOR. PTO.]:[AGRUP. VALOR. PTO.]]=$B60,IF(DATOS_[[Check Periodo Ref.]:[Check Periodo Ref.]]="Dentro",DATOS_[Conc.Sal.15]))))),
0)</f>
        <v>0</v>
      </c>
      <c r="U61" s="93">
        <f t="array" ref="U61">IFERROR(
AVERAGE((IF(DATOS_[[Sexo]:[Sexo]]=$B61,IF(DATOS_[[AGRUP. VALOR. PTO.]:[AGRUP. VALOR. PTO.]]=$B60,IF(DATOS_[[Check Periodo Ref.]:[Check Periodo Ref.]]="Dentro",DATOS_[Conc.Sal.16]))))),
0)</f>
        <v>0</v>
      </c>
      <c r="V61" s="93">
        <f t="array" ref="V61">IFERROR(
AVERAGE((IF(DATOS_[[Sexo]:[Sexo]]=$B61,IF(DATOS_[[AGRUP. VALOR. PTO.]:[AGRUP. VALOR. PTO.]]=$B60,IF(DATOS_[[Check Periodo Ref.]:[Check Periodo Ref.]]="Dentro",DATOS_[Conc.Sal.17]))))),
0)</f>
        <v>0</v>
      </c>
      <c r="W61" s="93">
        <f t="array" ref="W61">IFERROR(
AVERAGE((IF(DATOS_[[Sexo]:[Sexo]]=$B61,IF(DATOS_[[AGRUP. VALOR. PTO.]:[AGRUP. VALOR. PTO.]]=$B60,IF(DATOS_[[Check Periodo Ref.]:[Check Periodo Ref.]]="Dentro",DATOS_[Conc.Sal.18]))))),
0)</f>
        <v>0</v>
      </c>
      <c r="X61" s="93">
        <f t="array" ref="X61">IFERROR(
AVERAGE((IF(DATOS_[[Sexo]:[Sexo]]=$B61,IF(DATOS_[[AGRUP. VALOR. PTO.]:[AGRUP. VALOR. PTO.]]=$B60,IF(DATOS_[[Check Periodo Ref.]:[Check Periodo Ref.]]="Dentro",DATOS_[Conc.Sal.19]))))),
0)</f>
        <v>0</v>
      </c>
      <c r="Y61" s="93">
        <f t="array" ref="Y61">IFERROR(
AVERAGE((IF(DATOS_[[Sexo]:[Sexo]]=$B61,IF(DATOS_[[AGRUP. VALOR. PTO.]:[AGRUP. VALOR. PTO.]]=$B60,IF(DATOS_[[Check Periodo Ref.]:[Check Periodo Ref.]]="Dentro",DATOS_[Conc.Sal.20]))))),
0)</f>
        <v>0</v>
      </c>
      <c r="Z61" s="93">
        <f t="array" ref="Z61">IFERROR(
AVERAGE((IF(DATOS_[[Sexo]:[Sexo]]=$B61,IF(DATOS_[[AGRUP. VALOR. PTO.]:[AGRUP. VALOR. PTO.]]=$B60,IF(DATOS_[[Check Periodo Ref.]:[Check Periodo Ref.]]="Dentro",DATOS_[Conc.Sal.21]))))),
0)</f>
        <v>0</v>
      </c>
      <c r="AA61" s="93">
        <f t="array" ref="AA61">IFERROR(
AVERAGE((IF(DATOS_[[Sexo]:[Sexo]]=$B61,IF(DATOS_[[AGRUP. VALOR. PTO.]:[AGRUP. VALOR. PTO.]]=$B60,IF(DATOS_[[Check Periodo Ref.]:[Check Periodo Ref.]]="Dentro",DATOS_[Conc.Sal.22]))))),
0)</f>
        <v>0</v>
      </c>
      <c r="AB61" s="93">
        <f t="array" ref="AB61">IFERROR(
AVERAGE((IF(DATOS_[[Sexo]:[Sexo]]=$B61,IF(DATOS_[[AGRUP. VALOR. PTO.]:[AGRUP. VALOR. PTO.]]=$B60,IF(DATOS_[[Check Periodo Ref.]:[Check Periodo Ref.]]="Dentro",DATOS_[Conc.Sal.23]))))),
0)</f>
        <v>0</v>
      </c>
      <c r="AC61" s="93">
        <f t="array" ref="AC61">IFERROR(
AVERAGE((IF(DATOS_[[Sexo]:[Sexo]]=$B61,IF(DATOS_[[AGRUP. VALOR. PTO.]:[AGRUP. VALOR. PTO.]]=$B60,IF(DATOS_[[Check Periodo Ref.]:[Check Periodo Ref.]]="Dentro",DATOS_[Conc.Sal.24]))))),
0)</f>
        <v>0</v>
      </c>
      <c r="AD61" s="93">
        <f t="array" ref="AD61">IFERROR(
AVERAGE((IF(DATOS_[[Sexo]:[Sexo]]=$B61,IF(DATOS_[[AGRUP. VALOR. PTO.]:[AGRUP. VALOR. PTO.]]=$B60,IF(DATOS_[[Check Periodo Ref.]:[Check Periodo Ref.]]="Dentro",DATOS_[Conc.Sal.25]))))),
0)</f>
        <v>0</v>
      </c>
      <c r="AE61" s="93">
        <f t="array" ref="AE61">IFERROR(
AVERAGE((IF(DATOS_[[Sexo]:[Sexo]]=$B61,IF(DATOS_[[AGRUP. VALOR. PTO.]:[AGRUP. VALOR. PTO.]]=$B60,IF(DATOS_[[Check Periodo Ref.]:[Check Periodo Ref.]]="Dentro",DATOS_[Conc.Sal.26]))))),
0)</f>
        <v>0</v>
      </c>
      <c r="AF61" s="93">
        <f t="array" ref="AF61">IFERROR(
AVERAGE((IF(DATOS_[[Sexo]:[Sexo]]=$B61,IF(DATOS_[[AGRUP. VALOR. PTO.]:[AGRUP. VALOR. PTO.]]=$B60,IF(DATOS_[[Check Periodo Ref.]:[Check Periodo Ref.]]="Dentro",DATOS_[Conc.Sal.27]))))),
0)</f>
        <v>0</v>
      </c>
      <c r="AG61" s="93">
        <f t="array" ref="AG61">IFERROR(
AVERAGE((IF(DATOS_[[Sexo]:[Sexo]]=$B61,IF(DATOS_[[AGRUP. VALOR. PTO.]:[AGRUP. VALOR. PTO.]]=$B60,IF(DATOS_[[Check Periodo Ref.]:[Check Periodo Ref.]]="Dentro",DATOS_[Conc.Sal.28]))))),
0)</f>
        <v>0</v>
      </c>
      <c r="AH61" s="93">
        <f t="array" ref="AH61">IFERROR(
AVERAGE((IF(DATOS_[[Sexo]:[Sexo]]=$B61,IF(DATOS_[[AGRUP. VALOR. PTO.]:[AGRUP. VALOR. PTO.]]=$B60,IF(DATOS_[[Check Periodo Ref.]:[Check Periodo Ref.]]="Dentro",DATOS_[Conc.Sal.29]))))),
0)</f>
        <v>0</v>
      </c>
      <c r="AI61" s="93">
        <f t="array" ref="AI61">IFERROR(
AVERAGE((IF(DATOS_[[Sexo]:[Sexo]]=$B61,IF(DATOS_[[AGRUP. VALOR. PTO.]:[AGRUP. VALOR. PTO.]]=$B60,IF(DATOS_[[Check Periodo Ref.]:[Check Periodo Ref.]]="Dentro",DATOS_[Conc.Sal.30]))))),
0)</f>
        <v>0</v>
      </c>
      <c r="AJ61" s="94">
        <f t="array" ref="AJ61">IFERROR(
AVERAGE(IF(DATOS_[Sexo]=$B61,IF(DATOS_[AGRUP. VALOR. PTO.]=$B60,IF(DATOS_[Check Periodo Ref.]="Dentro",DATOS_[Tot COMPL.SAL Ef],FALSE)))),
0)</f>
        <v>0</v>
      </c>
      <c r="AK61" s="96">
        <f t="array" ref="AK61">IFERROR(
AVERAGE(IF(DATOS_[Sexo]=$B61,IF(DATOS_[AGRUP. VALOR. PTO.]=$B60,IF(DATOS_[Check Periodo Ref.]="Dentro",DATOS_[TOTAL SALARIO Ef],FALSE)))),
0)</f>
        <v>0</v>
      </c>
      <c r="AL61" s="95">
        <f t="array" ref="AL61">IFERROR(
AVERAGE((IF(DATOS_[[Sexo]:[Sexo]]=$B61,IF(DATOS_[[AGRUP. VALOR. PTO.]:[AGRUP. VALOR. PTO.]]=$B60,IF(DATOS_[[Check Periodo Ref.]:[Check Periodo Ref.]]="Dentro",DATOS_[C.Extra.01]))))),
0)</f>
        <v>0</v>
      </c>
      <c r="AM61" s="95">
        <f t="array" ref="AM61">IFERROR(
AVERAGE((IF(DATOS_[[Sexo]:[Sexo]]=$B61,IF(DATOS_[[AGRUP. VALOR. PTO.]:[AGRUP. VALOR. PTO.]]=$B60,IF(DATOS_[[Check Periodo Ref.]:[Check Periodo Ref.]]="Dentro",DATOS_[C.Extra.02]))))),
0)</f>
        <v>0</v>
      </c>
      <c r="AN61" s="95">
        <f t="array" ref="AN61">IFERROR(
AVERAGE((IF(DATOS_[[Sexo]:[Sexo]]=$B61,IF(DATOS_[[AGRUP. VALOR. PTO.]:[AGRUP. VALOR. PTO.]]=$B60,IF(DATOS_[[Check Periodo Ref.]:[Check Periodo Ref.]]="Dentro",DATOS_[C.Extra.03]))))),
0)</f>
        <v>0</v>
      </c>
      <c r="AO61" s="95">
        <f t="array" ref="AO61">IFERROR(
AVERAGE((IF(DATOS_[[Sexo]:[Sexo]]=$B61,IF(DATOS_[[AGRUP. VALOR. PTO.]:[AGRUP. VALOR. PTO.]]=$B60,IF(DATOS_[[Check Periodo Ref.]:[Check Periodo Ref.]]="Dentro",DATOS_[C.Extra.04]))))),
0)</f>
        <v>0</v>
      </c>
      <c r="AP61" s="95">
        <f t="array" ref="AP61">IFERROR(
AVERAGE((IF(DATOS_[[Sexo]:[Sexo]]=$B61,IF(DATOS_[[AGRUP. VALOR. PTO.]:[AGRUP. VALOR. PTO.]]=$B60,IF(DATOS_[[Check Periodo Ref.]:[Check Periodo Ref.]]="Dentro",DATOS_[C.Extra.05]))))),
0)</f>
        <v>0</v>
      </c>
      <c r="AQ61" s="97">
        <f t="array" ref="AQ61">IFERROR(
AVERAGE(IF(DATOS_[Sexo]=$B61,IF(DATOS_[AGRUP. VALOR. PTO.]=$B60,IF(DATOS_[Check Periodo Ref.]="Dentro",DATOS_[Tot Extrasalarial Ef],FALSE)))),
0)</f>
        <v>0</v>
      </c>
      <c r="AR61" s="98">
        <f t="array" ref="AR61">IFERROR(
AVERAGE(IF(DATOS_[Sexo]=$B61,IF(DATOS_[AGRUP. VALOR. PTO.]=$B60,IF(DATOS_[Check Periodo Ref.]="Dentro",DATOS_[TOTAL Retrib Ef],FALSE)))),
0)</f>
        <v>0</v>
      </c>
    </row>
    <row r="62" spans="1:44" hidden="1" x14ac:dyDescent="0.3">
      <c r="A62" s="48" t="str">
        <f t="shared" ref="A62" si="66">+A61</f>
        <v>[ocultar]</v>
      </c>
      <c r="B62" s="46" t="s">
        <v>163</v>
      </c>
      <c r="C62" s="45">
        <f t="array" ref="C62">SUM(IF($B62=DATOS_[Sexo],
IF($B60=DATOS_[AGRUP. VALOR. PTO.],
IF("Dentro"=DATOS_[Check Periodo Ref.],
1/(COUNTIFS(DATOS_[Sexo],$B62,DATOS_[AGRUP. VALOR. PTO.],$B60,DATOS_[Check Periodo Ref.],"Dentro",DATOS_[id],DATOS_[id]))))))</f>
        <v>0</v>
      </c>
      <c r="D62" s="47">
        <f>COUNTIFS(DATOS_[AGRUP. VALOR. PTO.],$B60,DATOS_[Sexo],$B62,DATOS_[Check Periodo Ref.],"Dentro")</f>
        <v>0</v>
      </c>
      <c r="E62" s="92">
        <f t="array" ref="E62">IFERROR(
AVERAGE(IF(DATOS_[Sexo]=$B62,IF(DATOS_[AGRUP. VALOR. PTO.]=$B60,IF(DATOS_[Check Periodo Ref.]="Dentro",DATOS_[SALARIO BASE Ef],FALSE)))),
0)</f>
        <v>0</v>
      </c>
      <c r="F62" s="93">
        <f t="array" ref="F62">IFERROR(
AVERAGE((IF(DATOS_[[Sexo]:[Sexo]]=$B62,IF(DATOS_[[AGRUP. VALOR. PTO.]:[AGRUP. VALOR. PTO.]]=$B60,IF(DATOS_[[Check Periodo Ref.]:[Check Periodo Ref.]]="Dentro",DATOS_[Conc.Sal.01]))))),
0)</f>
        <v>0</v>
      </c>
      <c r="G62" s="93">
        <f t="array" ref="G62">IFERROR(
AVERAGE((IF(DATOS_[[Sexo]:[Sexo]]=$B62,IF(DATOS_[[AGRUP. VALOR. PTO.]:[AGRUP. VALOR. PTO.]]=$B60,IF(DATOS_[[Check Periodo Ref.]:[Check Periodo Ref.]]="Dentro",DATOS_[Conc.Sal.02]))))),
0)</f>
        <v>0</v>
      </c>
      <c r="H62" s="93">
        <f t="array" ref="H62">IFERROR(
AVERAGE((IF(DATOS_[[Sexo]:[Sexo]]=$B62,IF(DATOS_[[AGRUP. VALOR. PTO.]:[AGRUP. VALOR. PTO.]]=$B60,IF(DATOS_[[Check Periodo Ref.]:[Check Periodo Ref.]]="Dentro",DATOS_[Conc.Sal.03]))))),
0)</f>
        <v>0</v>
      </c>
      <c r="I62" s="93">
        <f t="array" ref="I62">IFERROR(
AVERAGE((IF(DATOS_[[Sexo]:[Sexo]]=$B62,IF(DATOS_[[AGRUP. VALOR. PTO.]:[AGRUP. VALOR. PTO.]]=$B60,IF(DATOS_[[Check Periodo Ref.]:[Check Periodo Ref.]]="Dentro",DATOS_[Conc.Sal.04]))))),
0)</f>
        <v>0</v>
      </c>
      <c r="J62" s="93">
        <f t="array" ref="J62">IFERROR(
AVERAGE((IF(DATOS_[[Sexo]:[Sexo]]=$B62,IF(DATOS_[[AGRUP. VALOR. PTO.]:[AGRUP. VALOR. PTO.]]=$B60,IF(DATOS_[[Check Periodo Ref.]:[Check Periodo Ref.]]="Dentro",DATOS_[Conc.Sal.05]))))),
0)</f>
        <v>0</v>
      </c>
      <c r="K62" s="93">
        <f t="array" ref="K62">IFERROR(
AVERAGE((IF(DATOS_[[Sexo]:[Sexo]]=$B62,IF(DATOS_[[AGRUP. VALOR. PTO.]:[AGRUP. VALOR. PTO.]]=$B60,IF(DATOS_[[Check Periodo Ref.]:[Check Periodo Ref.]]="Dentro",DATOS_[Conc.Sal.06]))))),
0)</f>
        <v>0</v>
      </c>
      <c r="L62" s="93">
        <f t="array" ref="L62">IFERROR(
AVERAGE((IF(DATOS_[[Sexo]:[Sexo]]=$B62,IF(DATOS_[[AGRUP. VALOR. PTO.]:[AGRUP. VALOR. PTO.]]=$B60,IF(DATOS_[[Check Periodo Ref.]:[Check Periodo Ref.]]="Dentro",DATOS_[Conc.Sal.07]))))),
0)</f>
        <v>0</v>
      </c>
      <c r="M62" s="93">
        <f t="array" ref="M62">IFERROR(
AVERAGE((IF(DATOS_[[Sexo]:[Sexo]]=$B62,IF(DATOS_[[AGRUP. VALOR. PTO.]:[AGRUP. VALOR. PTO.]]=$B60,IF(DATOS_[[Check Periodo Ref.]:[Check Periodo Ref.]]="Dentro",DATOS_[Conc.Sal.08]))))),
0)</f>
        <v>0</v>
      </c>
      <c r="N62" s="93">
        <f t="array" ref="N62">IFERROR(
AVERAGE((IF(DATOS_[[Sexo]:[Sexo]]=$B62,IF(DATOS_[[AGRUP. VALOR. PTO.]:[AGRUP. VALOR. PTO.]]=$B60,IF(DATOS_[[Check Periodo Ref.]:[Check Periodo Ref.]]="Dentro",DATOS_[Conc.Sal.09]))))),
0)</f>
        <v>0</v>
      </c>
      <c r="O62" s="93">
        <f t="array" ref="O62">IFERROR(
AVERAGE((IF(DATOS_[[Sexo]:[Sexo]]=$B62,IF(DATOS_[[AGRUP. VALOR. PTO.]:[AGRUP. VALOR. PTO.]]=$B60,IF(DATOS_[[Check Periodo Ref.]:[Check Periodo Ref.]]="Dentro",DATOS_[Conc.Sal.10]))))),
0)</f>
        <v>0</v>
      </c>
      <c r="P62" s="93">
        <f t="array" ref="P62">IFERROR(
AVERAGE((IF(DATOS_[[Sexo]:[Sexo]]=$B62,IF(DATOS_[[AGRUP. VALOR. PTO.]:[AGRUP. VALOR. PTO.]]=$B60,IF(DATOS_[[Check Periodo Ref.]:[Check Periodo Ref.]]="Dentro",DATOS_[Conc.Sal.11]))))),
0)</f>
        <v>0</v>
      </c>
      <c r="Q62" s="93">
        <f t="array" ref="Q62">IFERROR(
AVERAGE((IF(DATOS_[[Sexo]:[Sexo]]=$B62,IF(DATOS_[[AGRUP. VALOR. PTO.]:[AGRUP. VALOR. PTO.]]=$B60,IF(DATOS_[[Check Periodo Ref.]:[Check Periodo Ref.]]="Dentro",DATOS_[Conc.Sal.12]))))),
0)</f>
        <v>0</v>
      </c>
      <c r="R62" s="93">
        <f t="array" ref="R62">IFERROR(
AVERAGE((IF(DATOS_[[Sexo]:[Sexo]]=$B62,IF(DATOS_[[AGRUP. VALOR. PTO.]:[AGRUP. VALOR. PTO.]]=$B60,IF(DATOS_[[Check Periodo Ref.]:[Check Periodo Ref.]]="Dentro",DATOS_[Conc.Sal.13]))))),
0)</f>
        <v>0</v>
      </c>
      <c r="S62" s="93">
        <f t="array" ref="S62">IFERROR(
AVERAGE((IF(DATOS_[[Sexo]:[Sexo]]=$B62,IF(DATOS_[[AGRUP. VALOR. PTO.]:[AGRUP. VALOR. PTO.]]=$B60,IF(DATOS_[[Check Periodo Ref.]:[Check Periodo Ref.]]="Dentro",DATOS_[Conc.Sal.14]))))),
0)</f>
        <v>0</v>
      </c>
      <c r="T62" s="93">
        <f t="array" ref="T62">IFERROR(
AVERAGE((IF(DATOS_[[Sexo]:[Sexo]]=$B62,IF(DATOS_[[AGRUP. VALOR. PTO.]:[AGRUP. VALOR. PTO.]]=$B60,IF(DATOS_[[Check Periodo Ref.]:[Check Periodo Ref.]]="Dentro",DATOS_[Conc.Sal.15]))))),
0)</f>
        <v>0</v>
      </c>
      <c r="U62" s="93">
        <f t="array" ref="U62">IFERROR(
AVERAGE((IF(DATOS_[[Sexo]:[Sexo]]=$B62,IF(DATOS_[[AGRUP. VALOR. PTO.]:[AGRUP. VALOR. PTO.]]=$B60,IF(DATOS_[[Check Periodo Ref.]:[Check Periodo Ref.]]="Dentro",DATOS_[Conc.Sal.16]))))),
0)</f>
        <v>0</v>
      </c>
      <c r="V62" s="93">
        <f t="array" ref="V62">IFERROR(
AVERAGE((IF(DATOS_[[Sexo]:[Sexo]]=$B62,IF(DATOS_[[AGRUP. VALOR. PTO.]:[AGRUP. VALOR. PTO.]]=$B60,IF(DATOS_[[Check Periodo Ref.]:[Check Periodo Ref.]]="Dentro",DATOS_[Conc.Sal.17]))))),
0)</f>
        <v>0</v>
      </c>
      <c r="W62" s="93">
        <f t="array" ref="W62">IFERROR(
AVERAGE((IF(DATOS_[[Sexo]:[Sexo]]=$B62,IF(DATOS_[[AGRUP. VALOR. PTO.]:[AGRUP. VALOR. PTO.]]=$B60,IF(DATOS_[[Check Periodo Ref.]:[Check Periodo Ref.]]="Dentro",DATOS_[Conc.Sal.18]))))),
0)</f>
        <v>0</v>
      </c>
      <c r="X62" s="93">
        <f t="array" ref="X62">IFERROR(
AVERAGE((IF(DATOS_[[Sexo]:[Sexo]]=$B62,IF(DATOS_[[AGRUP. VALOR. PTO.]:[AGRUP. VALOR. PTO.]]=$B60,IF(DATOS_[[Check Periodo Ref.]:[Check Periodo Ref.]]="Dentro",DATOS_[Conc.Sal.19]))))),
0)</f>
        <v>0</v>
      </c>
      <c r="Y62" s="93">
        <f t="array" ref="Y62">IFERROR(
AVERAGE((IF(DATOS_[[Sexo]:[Sexo]]=$B62,IF(DATOS_[[AGRUP. VALOR. PTO.]:[AGRUP. VALOR. PTO.]]=$B60,IF(DATOS_[[Check Periodo Ref.]:[Check Periodo Ref.]]="Dentro",DATOS_[Conc.Sal.20]))))),
0)</f>
        <v>0</v>
      </c>
      <c r="Z62" s="93">
        <f t="array" ref="Z62">IFERROR(
AVERAGE((IF(DATOS_[[Sexo]:[Sexo]]=$B62,IF(DATOS_[[AGRUP. VALOR. PTO.]:[AGRUP. VALOR. PTO.]]=$B60,IF(DATOS_[[Check Periodo Ref.]:[Check Periodo Ref.]]="Dentro",DATOS_[Conc.Sal.21]))))),
0)</f>
        <v>0</v>
      </c>
      <c r="AA62" s="93">
        <f t="array" ref="AA62">IFERROR(
AVERAGE((IF(DATOS_[[Sexo]:[Sexo]]=$B62,IF(DATOS_[[AGRUP. VALOR. PTO.]:[AGRUP. VALOR. PTO.]]=$B60,IF(DATOS_[[Check Periodo Ref.]:[Check Periodo Ref.]]="Dentro",DATOS_[Conc.Sal.22]))))),
0)</f>
        <v>0</v>
      </c>
      <c r="AB62" s="93">
        <f t="array" ref="AB62">IFERROR(
AVERAGE((IF(DATOS_[[Sexo]:[Sexo]]=$B62,IF(DATOS_[[AGRUP. VALOR. PTO.]:[AGRUP. VALOR. PTO.]]=$B60,IF(DATOS_[[Check Periodo Ref.]:[Check Periodo Ref.]]="Dentro",DATOS_[Conc.Sal.23]))))),
0)</f>
        <v>0</v>
      </c>
      <c r="AC62" s="93">
        <f t="array" ref="AC62">IFERROR(
AVERAGE((IF(DATOS_[[Sexo]:[Sexo]]=$B62,IF(DATOS_[[AGRUP. VALOR. PTO.]:[AGRUP. VALOR. PTO.]]=$B60,IF(DATOS_[[Check Periodo Ref.]:[Check Periodo Ref.]]="Dentro",DATOS_[Conc.Sal.24]))))),
0)</f>
        <v>0</v>
      </c>
      <c r="AD62" s="93">
        <f t="array" ref="AD62">IFERROR(
AVERAGE((IF(DATOS_[[Sexo]:[Sexo]]=$B62,IF(DATOS_[[AGRUP. VALOR. PTO.]:[AGRUP. VALOR. PTO.]]=$B60,IF(DATOS_[[Check Periodo Ref.]:[Check Periodo Ref.]]="Dentro",DATOS_[Conc.Sal.25]))))),
0)</f>
        <v>0</v>
      </c>
      <c r="AE62" s="93">
        <f t="array" ref="AE62">IFERROR(
AVERAGE((IF(DATOS_[[Sexo]:[Sexo]]=$B62,IF(DATOS_[[AGRUP. VALOR. PTO.]:[AGRUP. VALOR. PTO.]]=$B60,IF(DATOS_[[Check Periodo Ref.]:[Check Periodo Ref.]]="Dentro",DATOS_[Conc.Sal.26]))))),
0)</f>
        <v>0</v>
      </c>
      <c r="AF62" s="93">
        <f t="array" ref="AF62">IFERROR(
AVERAGE((IF(DATOS_[[Sexo]:[Sexo]]=$B62,IF(DATOS_[[AGRUP. VALOR. PTO.]:[AGRUP. VALOR. PTO.]]=$B60,IF(DATOS_[[Check Periodo Ref.]:[Check Periodo Ref.]]="Dentro",DATOS_[Conc.Sal.27]))))),
0)</f>
        <v>0</v>
      </c>
      <c r="AG62" s="93">
        <f t="array" ref="AG62">IFERROR(
AVERAGE((IF(DATOS_[[Sexo]:[Sexo]]=$B62,IF(DATOS_[[AGRUP. VALOR. PTO.]:[AGRUP. VALOR. PTO.]]=$B60,IF(DATOS_[[Check Periodo Ref.]:[Check Periodo Ref.]]="Dentro",DATOS_[Conc.Sal.28]))))),
0)</f>
        <v>0</v>
      </c>
      <c r="AH62" s="93">
        <f t="array" ref="AH62">IFERROR(
AVERAGE((IF(DATOS_[[Sexo]:[Sexo]]=$B62,IF(DATOS_[[AGRUP. VALOR. PTO.]:[AGRUP. VALOR. PTO.]]=$B60,IF(DATOS_[[Check Periodo Ref.]:[Check Periodo Ref.]]="Dentro",DATOS_[Conc.Sal.29]))))),
0)</f>
        <v>0</v>
      </c>
      <c r="AI62" s="93">
        <f t="array" ref="AI62">IFERROR(
AVERAGE((IF(DATOS_[[Sexo]:[Sexo]]=$B62,IF(DATOS_[[AGRUP. VALOR. PTO.]:[AGRUP. VALOR. PTO.]]=$B60,IF(DATOS_[[Check Periodo Ref.]:[Check Periodo Ref.]]="Dentro",DATOS_[Conc.Sal.30]))))),
0)</f>
        <v>0</v>
      </c>
      <c r="AJ62" s="94">
        <f t="array" ref="AJ62">IFERROR(
AVERAGE(IF(DATOS_[Sexo]=$B62,IF(DATOS_[AGRUP. VALOR. PTO.]=$B60,IF(DATOS_[Check Periodo Ref.]="Dentro",DATOS_[Tot COMPL.SAL Ef],FALSE)))),
0)</f>
        <v>0</v>
      </c>
      <c r="AK62" s="96">
        <f t="array" ref="AK62">IFERROR(
AVERAGE(IF(DATOS_[Sexo]=$B62,IF(DATOS_[AGRUP. VALOR. PTO.]=$B60,IF(DATOS_[Check Periodo Ref.]="Dentro",DATOS_[TOTAL SALARIO Ef],FALSE)))),
0)</f>
        <v>0</v>
      </c>
      <c r="AL62" s="95">
        <f t="array" ref="AL62">IFERROR(
AVERAGE((IF(DATOS_[[Sexo]:[Sexo]]=$B62,IF(DATOS_[[AGRUP. VALOR. PTO.]:[AGRUP. VALOR. PTO.]]=$B60,IF(DATOS_[[Check Periodo Ref.]:[Check Periodo Ref.]]="Dentro",DATOS_[C.Extra.01]))))),
0)</f>
        <v>0</v>
      </c>
      <c r="AM62" s="95">
        <f t="array" ref="AM62">IFERROR(
AVERAGE((IF(DATOS_[[Sexo]:[Sexo]]=$B62,IF(DATOS_[[AGRUP. VALOR. PTO.]:[AGRUP. VALOR. PTO.]]=$B60,IF(DATOS_[[Check Periodo Ref.]:[Check Periodo Ref.]]="Dentro",DATOS_[C.Extra.02]))))),
0)</f>
        <v>0</v>
      </c>
      <c r="AN62" s="95">
        <f t="array" ref="AN62">IFERROR(
AVERAGE((IF(DATOS_[[Sexo]:[Sexo]]=$B62,IF(DATOS_[[AGRUP. VALOR. PTO.]:[AGRUP. VALOR. PTO.]]=$B60,IF(DATOS_[[Check Periodo Ref.]:[Check Periodo Ref.]]="Dentro",DATOS_[C.Extra.03]))))),
0)</f>
        <v>0</v>
      </c>
      <c r="AO62" s="95">
        <f t="array" ref="AO62">IFERROR(
AVERAGE((IF(DATOS_[[Sexo]:[Sexo]]=$B62,IF(DATOS_[[AGRUP. VALOR. PTO.]:[AGRUP. VALOR. PTO.]]=$B60,IF(DATOS_[[Check Periodo Ref.]:[Check Periodo Ref.]]="Dentro",DATOS_[C.Extra.04]))))),
0)</f>
        <v>0</v>
      </c>
      <c r="AP62" s="95">
        <f t="array" ref="AP62">IFERROR(
AVERAGE((IF(DATOS_[[Sexo]:[Sexo]]=$B62,IF(DATOS_[[AGRUP. VALOR. PTO.]:[AGRUP. VALOR. PTO.]]=$B60,IF(DATOS_[[Check Periodo Ref.]:[Check Periodo Ref.]]="Dentro",DATOS_[C.Extra.05]))))),
0)</f>
        <v>0</v>
      </c>
      <c r="AQ62" s="97">
        <f t="array" ref="AQ62">IFERROR(
AVERAGE(IF(DATOS_[Sexo]=$B62,IF(DATOS_[AGRUP. VALOR. PTO.]=$B60,IF(DATOS_[Check Periodo Ref.]="Dentro",DATOS_[Tot Extrasalarial Ef],FALSE)))),
0)</f>
        <v>0</v>
      </c>
      <c r="AR62" s="98">
        <f t="array" ref="AR62">IFERROR(
AVERAGE(IF(DATOS_[Sexo]=$B62,IF(DATOS_[AGRUP. VALOR. PTO.]=$B60,IF(DATOS_[Check Periodo Ref.]="Dentro",DATOS_[TOTAL Retrib Ef],FALSE)))),
0)</f>
        <v>0</v>
      </c>
    </row>
    <row r="63" spans="1:44" ht="17.25" hidden="1" thickBot="1" x14ac:dyDescent="0.35">
      <c r="A63" s="48" t="str">
        <f t="shared" ref="A63" si="67">+A64</f>
        <v>[ocultar]</v>
      </c>
      <c r="B63" s="51" t="s">
        <v>276</v>
      </c>
      <c r="C63" s="91"/>
      <c r="D63" s="52"/>
      <c r="E63" s="139" t="str">
        <f t="shared" ref="E63:AR63" si="68">IFERROR((E64-E65)/E64,"")</f>
        <v/>
      </c>
      <c r="F63" s="179" t="str">
        <f t="shared" si="68"/>
        <v/>
      </c>
      <c r="G63" s="180" t="str">
        <f t="shared" si="68"/>
        <v/>
      </c>
      <c r="H63" s="180" t="str">
        <f t="shared" si="68"/>
        <v/>
      </c>
      <c r="I63" s="180" t="str">
        <f t="shared" si="68"/>
        <v/>
      </c>
      <c r="J63" s="181" t="str">
        <f t="shared" si="68"/>
        <v/>
      </c>
      <c r="K63" s="182" t="str">
        <f t="shared" si="68"/>
        <v/>
      </c>
      <c r="L63" s="182" t="str">
        <f t="shared" si="68"/>
        <v/>
      </c>
      <c r="M63" s="182" t="str">
        <f t="shared" si="68"/>
        <v/>
      </c>
      <c r="N63" s="182" t="str">
        <f t="shared" si="68"/>
        <v/>
      </c>
      <c r="O63" s="182" t="str">
        <f t="shared" si="68"/>
        <v/>
      </c>
      <c r="P63" s="182" t="str">
        <f t="shared" si="68"/>
        <v/>
      </c>
      <c r="Q63" s="182" t="str">
        <f t="shared" si="68"/>
        <v/>
      </c>
      <c r="R63" s="182" t="str">
        <f t="shared" si="68"/>
        <v/>
      </c>
      <c r="S63" s="182" t="str">
        <f t="shared" si="68"/>
        <v/>
      </c>
      <c r="T63" s="182" t="str">
        <f t="shared" si="68"/>
        <v/>
      </c>
      <c r="U63" s="182" t="str">
        <f t="shared" si="68"/>
        <v/>
      </c>
      <c r="V63" s="181" t="str">
        <f t="shared" si="68"/>
        <v/>
      </c>
      <c r="W63" s="181" t="str">
        <f t="shared" si="68"/>
        <v/>
      </c>
      <c r="X63" s="181" t="str">
        <f t="shared" si="68"/>
        <v/>
      </c>
      <c r="Y63" s="181" t="str">
        <f t="shared" si="68"/>
        <v/>
      </c>
      <c r="Z63" s="181" t="str">
        <f t="shared" si="68"/>
        <v/>
      </c>
      <c r="AA63" s="181" t="str">
        <f t="shared" si="68"/>
        <v/>
      </c>
      <c r="AB63" s="181" t="str">
        <f t="shared" si="68"/>
        <v/>
      </c>
      <c r="AC63" s="181" t="str">
        <f t="shared" si="68"/>
        <v/>
      </c>
      <c r="AD63" s="181" t="str">
        <f t="shared" si="68"/>
        <v/>
      </c>
      <c r="AE63" s="181" t="str">
        <f t="shared" si="68"/>
        <v/>
      </c>
      <c r="AF63" s="181" t="str">
        <f t="shared" si="68"/>
        <v/>
      </c>
      <c r="AG63" s="181" t="str">
        <f t="shared" si="68"/>
        <v/>
      </c>
      <c r="AH63" s="181" t="str">
        <f t="shared" si="68"/>
        <v/>
      </c>
      <c r="AI63" s="181" t="str">
        <f t="shared" si="68"/>
        <v/>
      </c>
      <c r="AJ63" s="140" t="str">
        <f t="shared" si="68"/>
        <v/>
      </c>
      <c r="AK63" s="143" t="str">
        <f t="shared" si="68"/>
        <v/>
      </c>
      <c r="AL63" s="184" t="str">
        <f t="shared" si="68"/>
        <v/>
      </c>
      <c r="AM63" s="184" t="str">
        <f t="shared" si="68"/>
        <v/>
      </c>
      <c r="AN63" s="184" t="str">
        <f t="shared" si="68"/>
        <v/>
      </c>
      <c r="AO63" s="184" t="str">
        <f t="shared" si="68"/>
        <v/>
      </c>
      <c r="AP63" s="184" t="str">
        <f t="shared" si="68"/>
        <v/>
      </c>
      <c r="AQ63" s="141" t="str">
        <f t="shared" si="68"/>
        <v/>
      </c>
      <c r="AR63" s="142" t="str">
        <f t="shared" si="68"/>
        <v/>
      </c>
    </row>
    <row r="64" spans="1:44" hidden="1" x14ac:dyDescent="0.3">
      <c r="A64" s="48" t="str">
        <f t="shared" ref="A64" si="69">+IF(C64+C65=0,"[ocultar]","")</f>
        <v>[ocultar]</v>
      </c>
      <c r="B64" s="46" t="s">
        <v>162</v>
      </c>
      <c r="C64" s="45">
        <f t="array" ref="C64">SUM(IF($B64=DATOS_[Sexo],
IF($B63=DATOS_[AGRUP. VALOR. PTO.],
IF("Dentro"=DATOS_[Check Periodo Ref.],
1/(COUNTIFS(DATOS_[Sexo],$B64,DATOS_[AGRUP. VALOR. PTO.],$B63,DATOS_[Check Periodo Ref.],"Dentro",DATOS_[id],DATOS_[id]))))))</f>
        <v>0</v>
      </c>
      <c r="D64" s="47">
        <f>COUNTIFS(DATOS_[AGRUP. VALOR. PTO.],$B63,DATOS_[Sexo],$B64,DATOS_[Check Periodo Ref.],"Dentro")</f>
        <v>0</v>
      </c>
      <c r="E64" s="92">
        <f t="array" ref="E64">IFERROR(
AVERAGE(IF(DATOS_[Sexo]=$B64,IF(DATOS_[AGRUP. VALOR. PTO.]=$B63,IF(DATOS_[Check Periodo Ref.]="Dentro",DATOS_[SALARIO BASE Ef],FALSE)))),
0)</f>
        <v>0</v>
      </c>
      <c r="F64" s="93">
        <f t="array" ref="F64">IFERROR(
AVERAGE((IF(DATOS_[[Sexo]:[Sexo]]=$B64,IF(DATOS_[[AGRUP. VALOR. PTO.]:[AGRUP. VALOR. PTO.]]=$B63,IF(DATOS_[[Check Periodo Ref.]:[Check Periodo Ref.]]="Dentro",DATOS_[Conc.Sal.01]))))),
0)</f>
        <v>0</v>
      </c>
      <c r="G64" s="93">
        <f t="array" ref="G64">IFERROR(
AVERAGE((IF(DATOS_[[Sexo]:[Sexo]]=$B64,IF(DATOS_[[AGRUP. VALOR. PTO.]:[AGRUP. VALOR. PTO.]]=$B63,IF(DATOS_[[Check Periodo Ref.]:[Check Periodo Ref.]]="Dentro",DATOS_[Conc.Sal.02]))))),
0)</f>
        <v>0</v>
      </c>
      <c r="H64" s="93">
        <f t="array" ref="H64">IFERROR(
AVERAGE((IF(DATOS_[[Sexo]:[Sexo]]=$B64,IF(DATOS_[[AGRUP. VALOR. PTO.]:[AGRUP. VALOR. PTO.]]=$B63,IF(DATOS_[[Check Periodo Ref.]:[Check Periodo Ref.]]="Dentro",DATOS_[Conc.Sal.03]))))),
0)</f>
        <v>0</v>
      </c>
      <c r="I64" s="93">
        <f t="array" ref="I64">IFERROR(
AVERAGE((IF(DATOS_[[Sexo]:[Sexo]]=$B64,IF(DATOS_[[AGRUP. VALOR. PTO.]:[AGRUP. VALOR. PTO.]]=$B63,IF(DATOS_[[Check Periodo Ref.]:[Check Periodo Ref.]]="Dentro",DATOS_[Conc.Sal.04]))))),
0)</f>
        <v>0</v>
      </c>
      <c r="J64" s="93">
        <f t="array" ref="J64">IFERROR(
AVERAGE((IF(DATOS_[[Sexo]:[Sexo]]=$B64,IF(DATOS_[[AGRUP. VALOR. PTO.]:[AGRUP. VALOR. PTO.]]=$B63,IF(DATOS_[[Check Periodo Ref.]:[Check Periodo Ref.]]="Dentro",DATOS_[Conc.Sal.05]))))),
0)</f>
        <v>0</v>
      </c>
      <c r="K64" s="93">
        <f t="array" ref="K64">IFERROR(
AVERAGE((IF(DATOS_[[Sexo]:[Sexo]]=$B64,IF(DATOS_[[AGRUP. VALOR. PTO.]:[AGRUP. VALOR. PTO.]]=$B63,IF(DATOS_[[Check Periodo Ref.]:[Check Periodo Ref.]]="Dentro",DATOS_[Conc.Sal.06]))))),
0)</f>
        <v>0</v>
      </c>
      <c r="L64" s="93">
        <f t="array" ref="L64">IFERROR(
AVERAGE((IF(DATOS_[[Sexo]:[Sexo]]=$B64,IF(DATOS_[[AGRUP. VALOR. PTO.]:[AGRUP. VALOR. PTO.]]=$B63,IF(DATOS_[[Check Periodo Ref.]:[Check Periodo Ref.]]="Dentro",DATOS_[Conc.Sal.07]))))),
0)</f>
        <v>0</v>
      </c>
      <c r="M64" s="93">
        <f t="array" ref="M64">IFERROR(
AVERAGE((IF(DATOS_[[Sexo]:[Sexo]]=$B64,IF(DATOS_[[AGRUP. VALOR. PTO.]:[AGRUP. VALOR. PTO.]]=$B63,IF(DATOS_[[Check Periodo Ref.]:[Check Periodo Ref.]]="Dentro",DATOS_[Conc.Sal.08]))))),
0)</f>
        <v>0</v>
      </c>
      <c r="N64" s="93">
        <f t="array" ref="N64">IFERROR(
AVERAGE((IF(DATOS_[[Sexo]:[Sexo]]=$B64,IF(DATOS_[[AGRUP. VALOR. PTO.]:[AGRUP. VALOR. PTO.]]=$B63,IF(DATOS_[[Check Periodo Ref.]:[Check Periodo Ref.]]="Dentro",DATOS_[Conc.Sal.09]))))),
0)</f>
        <v>0</v>
      </c>
      <c r="O64" s="93">
        <f t="array" ref="O64">IFERROR(
AVERAGE((IF(DATOS_[[Sexo]:[Sexo]]=$B64,IF(DATOS_[[AGRUP. VALOR. PTO.]:[AGRUP. VALOR. PTO.]]=$B63,IF(DATOS_[[Check Periodo Ref.]:[Check Periodo Ref.]]="Dentro",DATOS_[Conc.Sal.10]))))),
0)</f>
        <v>0</v>
      </c>
      <c r="P64" s="93">
        <f t="array" ref="P64">IFERROR(
AVERAGE((IF(DATOS_[[Sexo]:[Sexo]]=$B64,IF(DATOS_[[AGRUP. VALOR. PTO.]:[AGRUP. VALOR. PTO.]]=$B63,IF(DATOS_[[Check Periodo Ref.]:[Check Periodo Ref.]]="Dentro",DATOS_[Conc.Sal.11]))))),
0)</f>
        <v>0</v>
      </c>
      <c r="Q64" s="93">
        <f t="array" ref="Q64">IFERROR(
AVERAGE((IF(DATOS_[[Sexo]:[Sexo]]=$B64,IF(DATOS_[[AGRUP. VALOR. PTO.]:[AGRUP. VALOR. PTO.]]=$B63,IF(DATOS_[[Check Periodo Ref.]:[Check Periodo Ref.]]="Dentro",DATOS_[Conc.Sal.12]))))),
0)</f>
        <v>0</v>
      </c>
      <c r="R64" s="93">
        <f t="array" ref="R64">IFERROR(
AVERAGE((IF(DATOS_[[Sexo]:[Sexo]]=$B64,IF(DATOS_[[AGRUP. VALOR. PTO.]:[AGRUP. VALOR. PTO.]]=$B63,IF(DATOS_[[Check Periodo Ref.]:[Check Periodo Ref.]]="Dentro",DATOS_[Conc.Sal.13]))))),
0)</f>
        <v>0</v>
      </c>
      <c r="S64" s="93">
        <f t="array" ref="S64">IFERROR(
AVERAGE((IF(DATOS_[[Sexo]:[Sexo]]=$B64,IF(DATOS_[[AGRUP. VALOR. PTO.]:[AGRUP. VALOR. PTO.]]=$B63,IF(DATOS_[[Check Periodo Ref.]:[Check Periodo Ref.]]="Dentro",DATOS_[Conc.Sal.14]))))),
0)</f>
        <v>0</v>
      </c>
      <c r="T64" s="93">
        <f t="array" ref="T64">IFERROR(
AVERAGE((IF(DATOS_[[Sexo]:[Sexo]]=$B64,IF(DATOS_[[AGRUP. VALOR. PTO.]:[AGRUP. VALOR. PTO.]]=$B63,IF(DATOS_[[Check Periodo Ref.]:[Check Periodo Ref.]]="Dentro",DATOS_[Conc.Sal.15]))))),
0)</f>
        <v>0</v>
      </c>
      <c r="U64" s="93">
        <f t="array" ref="U64">IFERROR(
AVERAGE((IF(DATOS_[[Sexo]:[Sexo]]=$B64,IF(DATOS_[[AGRUP. VALOR. PTO.]:[AGRUP. VALOR. PTO.]]=$B63,IF(DATOS_[[Check Periodo Ref.]:[Check Periodo Ref.]]="Dentro",DATOS_[Conc.Sal.16]))))),
0)</f>
        <v>0</v>
      </c>
      <c r="V64" s="93">
        <f t="array" ref="V64">IFERROR(
AVERAGE((IF(DATOS_[[Sexo]:[Sexo]]=$B64,IF(DATOS_[[AGRUP. VALOR. PTO.]:[AGRUP. VALOR. PTO.]]=$B63,IF(DATOS_[[Check Periodo Ref.]:[Check Periodo Ref.]]="Dentro",DATOS_[Conc.Sal.17]))))),
0)</f>
        <v>0</v>
      </c>
      <c r="W64" s="93">
        <f t="array" ref="W64">IFERROR(
AVERAGE((IF(DATOS_[[Sexo]:[Sexo]]=$B64,IF(DATOS_[[AGRUP. VALOR. PTO.]:[AGRUP. VALOR. PTO.]]=$B63,IF(DATOS_[[Check Periodo Ref.]:[Check Periodo Ref.]]="Dentro",DATOS_[Conc.Sal.18]))))),
0)</f>
        <v>0</v>
      </c>
      <c r="X64" s="93">
        <f t="array" ref="X64">IFERROR(
AVERAGE((IF(DATOS_[[Sexo]:[Sexo]]=$B64,IF(DATOS_[[AGRUP. VALOR. PTO.]:[AGRUP. VALOR. PTO.]]=$B63,IF(DATOS_[[Check Periodo Ref.]:[Check Periodo Ref.]]="Dentro",DATOS_[Conc.Sal.19]))))),
0)</f>
        <v>0</v>
      </c>
      <c r="Y64" s="93">
        <f t="array" ref="Y64">IFERROR(
AVERAGE((IF(DATOS_[[Sexo]:[Sexo]]=$B64,IF(DATOS_[[AGRUP. VALOR. PTO.]:[AGRUP. VALOR. PTO.]]=$B63,IF(DATOS_[[Check Periodo Ref.]:[Check Periodo Ref.]]="Dentro",DATOS_[Conc.Sal.20]))))),
0)</f>
        <v>0</v>
      </c>
      <c r="Z64" s="93">
        <f t="array" ref="Z64">IFERROR(
AVERAGE((IF(DATOS_[[Sexo]:[Sexo]]=$B64,IF(DATOS_[[AGRUP. VALOR. PTO.]:[AGRUP. VALOR. PTO.]]=$B63,IF(DATOS_[[Check Periodo Ref.]:[Check Periodo Ref.]]="Dentro",DATOS_[Conc.Sal.21]))))),
0)</f>
        <v>0</v>
      </c>
      <c r="AA64" s="93">
        <f t="array" ref="AA64">IFERROR(
AVERAGE((IF(DATOS_[[Sexo]:[Sexo]]=$B64,IF(DATOS_[[AGRUP. VALOR. PTO.]:[AGRUP. VALOR. PTO.]]=$B63,IF(DATOS_[[Check Periodo Ref.]:[Check Periodo Ref.]]="Dentro",DATOS_[Conc.Sal.22]))))),
0)</f>
        <v>0</v>
      </c>
      <c r="AB64" s="93">
        <f t="array" ref="AB64">IFERROR(
AVERAGE((IF(DATOS_[[Sexo]:[Sexo]]=$B64,IF(DATOS_[[AGRUP. VALOR. PTO.]:[AGRUP. VALOR. PTO.]]=$B63,IF(DATOS_[[Check Periodo Ref.]:[Check Periodo Ref.]]="Dentro",DATOS_[Conc.Sal.23]))))),
0)</f>
        <v>0</v>
      </c>
      <c r="AC64" s="93">
        <f t="array" ref="AC64">IFERROR(
AVERAGE((IF(DATOS_[[Sexo]:[Sexo]]=$B64,IF(DATOS_[[AGRUP. VALOR. PTO.]:[AGRUP. VALOR. PTO.]]=$B63,IF(DATOS_[[Check Periodo Ref.]:[Check Periodo Ref.]]="Dentro",DATOS_[Conc.Sal.24]))))),
0)</f>
        <v>0</v>
      </c>
      <c r="AD64" s="93">
        <f t="array" ref="AD64">IFERROR(
AVERAGE((IF(DATOS_[[Sexo]:[Sexo]]=$B64,IF(DATOS_[[AGRUP. VALOR. PTO.]:[AGRUP. VALOR. PTO.]]=$B63,IF(DATOS_[[Check Periodo Ref.]:[Check Periodo Ref.]]="Dentro",DATOS_[Conc.Sal.25]))))),
0)</f>
        <v>0</v>
      </c>
      <c r="AE64" s="93">
        <f t="array" ref="AE64">IFERROR(
AVERAGE((IF(DATOS_[[Sexo]:[Sexo]]=$B64,IF(DATOS_[[AGRUP. VALOR. PTO.]:[AGRUP. VALOR. PTO.]]=$B63,IF(DATOS_[[Check Periodo Ref.]:[Check Periodo Ref.]]="Dentro",DATOS_[Conc.Sal.26]))))),
0)</f>
        <v>0</v>
      </c>
      <c r="AF64" s="93">
        <f t="array" ref="AF64">IFERROR(
AVERAGE((IF(DATOS_[[Sexo]:[Sexo]]=$B64,IF(DATOS_[[AGRUP. VALOR. PTO.]:[AGRUP. VALOR. PTO.]]=$B63,IF(DATOS_[[Check Periodo Ref.]:[Check Periodo Ref.]]="Dentro",DATOS_[Conc.Sal.27]))))),
0)</f>
        <v>0</v>
      </c>
      <c r="AG64" s="93">
        <f t="array" ref="AG64">IFERROR(
AVERAGE((IF(DATOS_[[Sexo]:[Sexo]]=$B64,IF(DATOS_[[AGRUP. VALOR. PTO.]:[AGRUP. VALOR. PTO.]]=$B63,IF(DATOS_[[Check Periodo Ref.]:[Check Periodo Ref.]]="Dentro",DATOS_[Conc.Sal.28]))))),
0)</f>
        <v>0</v>
      </c>
      <c r="AH64" s="93">
        <f t="array" ref="AH64">IFERROR(
AVERAGE((IF(DATOS_[[Sexo]:[Sexo]]=$B64,IF(DATOS_[[AGRUP. VALOR. PTO.]:[AGRUP. VALOR. PTO.]]=$B63,IF(DATOS_[[Check Periodo Ref.]:[Check Periodo Ref.]]="Dentro",DATOS_[Conc.Sal.29]))))),
0)</f>
        <v>0</v>
      </c>
      <c r="AI64" s="93">
        <f t="array" ref="AI64">IFERROR(
AVERAGE((IF(DATOS_[[Sexo]:[Sexo]]=$B64,IF(DATOS_[[AGRUP. VALOR. PTO.]:[AGRUP. VALOR. PTO.]]=$B63,IF(DATOS_[[Check Periodo Ref.]:[Check Periodo Ref.]]="Dentro",DATOS_[Conc.Sal.30]))))),
0)</f>
        <v>0</v>
      </c>
      <c r="AJ64" s="94">
        <f t="array" ref="AJ64">IFERROR(
AVERAGE(IF(DATOS_[Sexo]=$B64,IF(DATOS_[AGRUP. VALOR. PTO.]=$B63,IF(DATOS_[Check Periodo Ref.]="Dentro",DATOS_[Tot COMPL.SAL Ef],FALSE)))),
0)</f>
        <v>0</v>
      </c>
      <c r="AK64" s="96">
        <f t="array" ref="AK64">IFERROR(
AVERAGE(IF(DATOS_[Sexo]=$B64,IF(DATOS_[AGRUP. VALOR. PTO.]=$B63,IF(DATOS_[Check Periodo Ref.]="Dentro",DATOS_[TOTAL SALARIO Ef],FALSE)))),
0)</f>
        <v>0</v>
      </c>
      <c r="AL64" s="95">
        <f t="array" ref="AL64">IFERROR(
AVERAGE((IF(DATOS_[[Sexo]:[Sexo]]=$B64,IF(DATOS_[[AGRUP. VALOR. PTO.]:[AGRUP. VALOR. PTO.]]=$B63,IF(DATOS_[[Check Periodo Ref.]:[Check Periodo Ref.]]="Dentro",DATOS_[C.Extra.01]))))),
0)</f>
        <v>0</v>
      </c>
      <c r="AM64" s="95">
        <f t="array" ref="AM64">IFERROR(
AVERAGE((IF(DATOS_[[Sexo]:[Sexo]]=$B64,IF(DATOS_[[AGRUP. VALOR. PTO.]:[AGRUP. VALOR. PTO.]]=$B63,IF(DATOS_[[Check Periodo Ref.]:[Check Periodo Ref.]]="Dentro",DATOS_[C.Extra.02]))))),
0)</f>
        <v>0</v>
      </c>
      <c r="AN64" s="95">
        <f t="array" ref="AN64">IFERROR(
AVERAGE((IF(DATOS_[[Sexo]:[Sexo]]=$B64,IF(DATOS_[[AGRUP. VALOR. PTO.]:[AGRUP. VALOR. PTO.]]=$B63,IF(DATOS_[[Check Periodo Ref.]:[Check Periodo Ref.]]="Dentro",DATOS_[C.Extra.03]))))),
0)</f>
        <v>0</v>
      </c>
      <c r="AO64" s="95">
        <f t="array" ref="AO64">IFERROR(
AVERAGE((IF(DATOS_[[Sexo]:[Sexo]]=$B64,IF(DATOS_[[AGRUP. VALOR. PTO.]:[AGRUP. VALOR. PTO.]]=$B63,IF(DATOS_[[Check Periodo Ref.]:[Check Periodo Ref.]]="Dentro",DATOS_[C.Extra.04]))))),
0)</f>
        <v>0</v>
      </c>
      <c r="AP64" s="95">
        <f t="array" ref="AP64">IFERROR(
AVERAGE((IF(DATOS_[[Sexo]:[Sexo]]=$B64,IF(DATOS_[[AGRUP. VALOR. PTO.]:[AGRUP. VALOR. PTO.]]=$B63,IF(DATOS_[[Check Periodo Ref.]:[Check Periodo Ref.]]="Dentro",DATOS_[C.Extra.05]))))),
0)</f>
        <v>0</v>
      </c>
      <c r="AQ64" s="97">
        <f t="array" ref="AQ64">IFERROR(
AVERAGE(IF(DATOS_[Sexo]=$B64,IF(DATOS_[AGRUP. VALOR. PTO.]=$B63,IF(DATOS_[Check Periodo Ref.]="Dentro",DATOS_[Tot Extrasalarial Ef],FALSE)))),
0)</f>
        <v>0</v>
      </c>
      <c r="AR64" s="98">
        <f t="array" ref="AR64">IFERROR(
AVERAGE(IF(DATOS_[Sexo]=$B64,IF(DATOS_[AGRUP. VALOR. PTO.]=$B63,IF(DATOS_[Check Periodo Ref.]="Dentro",DATOS_[TOTAL Retrib Ef],FALSE)))),
0)</f>
        <v>0</v>
      </c>
    </row>
    <row r="65" spans="1:44" hidden="1" x14ac:dyDescent="0.3">
      <c r="A65" s="48" t="str">
        <f t="shared" ref="A65" si="70">+A64</f>
        <v>[ocultar]</v>
      </c>
      <c r="B65" s="46" t="s">
        <v>163</v>
      </c>
      <c r="C65" s="45">
        <f t="array" ref="C65">SUM(IF($B65=DATOS_[Sexo],
IF($B63=DATOS_[AGRUP. VALOR. PTO.],
IF("Dentro"=DATOS_[Check Periodo Ref.],
1/(COUNTIFS(DATOS_[Sexo],$B65,DATOS_[AGRUP. VALOR. PTO.],$B63,DATOS_[Check Periodo Ref.],"Dentro",DATOS_[id],DATOS_[id]))))))</f>
        <v>0</v>
      </c>
      <c r="D65" s="47">
        <f>COUNTIFS(DATOS_[AGRUP. VALOR. PTO.],$B63,DATOS_[Sexo],$B65,DATOS_[Check Periodo Ref.],"Dentro")</f>
        <v>0</v>
      </c>
      <c r="E65" s="92">
        <f t="array" ref="E65">IFERROR(
AVERAGE(IF(DATOS_[Sexo]=$B65,IF(DATOS_[AGRUP. VALOR. PTO.]=$B63,IF(DATOS_[Check Periodo Ref.]="Dentro",DATOS_[SALARIO BASE Ef],FALSE)))),
0)</f>
        <v>0</v>
      </c>
      <c r="F65" s="93">
        <f t="array" ref="F65">IFERROR(
AVERAGE((IF(DATOS_[[Sexo]:[Sexo]]=$B65,IF(DATOS_[[AGRUP. VALOR. PTO.]:[AGRUP. VALOR. PTO.]]=$B63,IF(DATOS_[[Check Periodo Ref.]:[Check Periodo Ref.]]="Dentro",DATOS_[Conc.Sal.01]))))),
0)</f>
        <v>0</v>
      </c>
      <c r="G65" s="93">
        <f t="array" ref="G65">IFERROR(
AVERAGE((IF(DATOS_[[Sexo]:[Sexo]]=$B65,IF(DATOS_[[AGRUP. VALOR. PTO.]:[AGRUP. VALOR. PTO.]]=$B63,IF(DATOS_[[Check Periodo Ref.]:[Check Periodo Ref.]]="Dentro",DATOS_[Conc.Sal.02]))))),
0)</f>
        <v>0</v>
      </c>
      <c r="H65" s="93">
        <f t="array" ref="H65">IFERROR(
AVERAGE((IF(DATOS_[[Sexo]:[Sexo]]=$B65,IF(DATOS_[[AGRUP. VALOR. PTO.]:[AGRUP. VALOR. PTO.]]=$B63,IF(DATOS_[[Check Periodo Ref.]:[Check Periodo Ref.]]="Dentro",DATOS_[Conc.Sal.03]))))),
0)</f>
        <v>0</v>
      </c>
      <c r="I65" s="93">
        <f t="array" ref="I65">IFERROR(
AVERAGE((IF(DATOS_[[Sexo]:[Sexo]]=$B65,IF(DATOS_[[AGRUP. VALOR. PTO.]:[AGRUP. VALOR. PTO.]]=$B63,IF(DATOS_[[Check Periodo Ref.]:[Check Periodo Ref.]]="Dentro",DATOS_[Conc.Sal.04]))))),
0)</f>
        <v>0</v>
      </c>
      <c r="J65" s="93">
        <f t="array" ref="J65">IFERROR(
AVERAGE((IF(DATOS_[[Sexo]:[Sexo]]=$B65,IF(DATOS_[[AGRUP. VALOR. PTO.]:[AGRUP. VALOR. PTO.]]=$B63,IF(DATOS_[[Check Periodo Ref.]:[Check Periodo Ref.]]="Dentro",DATOS_[Conc.Sal.05]))))),
0)</f>
        <v>0</v>
      </c>
      <c r="K65" s="93">
        <f t="array" ref="K65">IFERROR(
AVERAGE((IF(DATOS_[[Sexo]:[Sexo]]=$B65,IF(DATOS_[[AGRUP. VALOR. PTO.]:[AGRUP. VALOR. PTO.]]=$B63,IF(DATOS_[[Check Periodo Ref.]:[Check Periodo Ref.]]="Dentro",DATOS_[Conc.Sal.06]))))),
0)</f>
        <v>0</v>
      </c>
      <c r="L65" s="93">
        <f t="array" ref="L65">IFERROR(
AVERAGE((IF(DATOS_[[Sexo]:[Sexo]]=$B65,IF(DATOS_[[AGRUP. VALOR. PTO.]:[AGRUP. VALOR. PTO.]]=$B63,IF(DATOS_[[Check Periodo Ref.]:[Check Periodo Ref.]]="Dentro",DATOS_[Conc.Sal.07]))))),
0)</f>
        <v>0</v>
      </c>
      <c r="M65" s="93">
        <f t="array" ref="M65">IFERROR(
AVERAGE((IF(DATOS_[[Sexo]:[Sexo]]=$B65,IF(DATOS_[[AGRUP. VALOR. PTO.]:[AGRUP. VALOR. PTO.]]=$B63,IF(DATOS_[[Check Periodo Ref.]:[Check Periodo Ref.]]="Dentro",DATOS_[Conc.Sal.08]))))),
0)</f>
        <v>0</v>
      </c>
      <c r="N65" s="93">
        <f t="array" ref="N65">IFERROR(
AVERAGE((IF(DATOS_[[Sexo]:[Sexo]]=$B65,IF(DATOS_[[AGRUP. VALOR. PTO.]:[AGRUP. VALOR. PTO.]]=$B63,IF(DATOS_[[Check Periodo Ref.]:[Check Periodo Ref.]]="Dentro",DATOS_[Conc.Sal.09]))))),
0)</f>
        <v>0</v>
      </c>
      <c r="O65" s="93">
        <f t="array" ref="O65">IFERROR(
AVERAGE((IF(DATOS_[[Sexo]:[Sexo]]=$B65,IF(DATOS_[[AGRUP. VALOR. PTO.]:[AGRUP. VALOR. PTO.]]=$B63,IF(DATOS_[[Check Periodo Ref.]:[Check Periodo Ref.]]="Dentro",DATOS_[Conc.Sal.10]))))),
0)</f>
        <v>0</v>
      </c>
      <c r="P65" s="93">
        <f t="array" ref="P65">IFERROR(
AVERAGE((IF(DATOS_[[Sexo]:[Sexo]]=$B65,IF(DATOS_[[AGRUP. VALOR. PTO.]:[AGRUP. VALOR. PTO.]]=$B63,IF(DATOS_[[Check Periodo Ref.]:[Check Periodo Ref.]]="Dentro",DATOS_[Conc.Sal.11]))))),
0)</f>
        <v>0</v>
      </c>
      <c r="Q65" s="93">
        <f t="array" ref="Q65">IFERROR(
AVERAGE((IF(DATOS_[[Sexo]:[Sexo]]=$B65,IF(DATOS_[[AGRUP. VALOR. PTO.]:[AGRUP. VALOR. PTO.]]=$B63,IF(DATOS_[[Check Periodo Ref.]:[Check Periodo Ref.]]="Dentro",DATOS_[Conc.Sal.12]))))),
0)</f>
        <v>0</v>
      </c>
      <c r="R65" s="93">
        <f t="array" ref="R65">IFERROR(
AVERAGE((IF(DATOS_[[Sexo]:[Sexo]]=$B65,IF(DATOS_[[AGRUP. VALOR. PTO.]:[AGRUP. VALOR. PTO.]]=$B63,IF(DATOS_[[Check Periodo Ref.]:[Check Periodo Ref.]]="Dentro",DATOS_[Conc.Sal.13]))))),
0)</f>
        <v>0</v>
      </c>
      <c r="S65" s="93">
        <f t="array" ref="S65">IFERROR(
AVERAGE((IF(DATOS_[[Sexo]:[Sexo]]=$B65,IF(DATOS_[[AGRUP. VALOR. PTO.]:[AGRUP. VALOR. PTO.]]=$B63,IF(DATOS_[[Check Periodo Ref.]:[Check Periodo Ref.]]="Dentro",DATOS_[Conc.Sal.14]))))),
0)</f>
        <v>0</v>
      </c>
      <c r="T65" s="93">
        <f t="array" ref="T65">IFERROR(
AVERAGE((IF(DATOS_[[Sexo]:[Sexo]]=$B65,IF(DATOS_[[AGRUP. VALOR. PTO.]:[AGRUP. VALOR. PTO.]]=$B63,IF(DATOS_[[Check Periodo Ref.]:[Check Periodo Ref.]]="Dentro",DATOS_[Conc.Sal.15]))))),
0)</f>
        <v>0</v>
      </c>
      <c r="U65" s="93">
        <f t="array" ref="U65">IFERROR(
AVERAGE((IF(DATOS_[[Sexo]:[Sexo]]=$B65,IF(DATOS_[[AGRUP. VALOR. PTO.]:[AGRUP. VALOR. PTO.]]=$B63,IF(DATOS_[[Check Periodo Ref.]:[Check Periodo Ref.]]="Dentro",DATOS_[Conc.Sal.16]))))),
0)</f>
        <v>0</v>
      </c>
      <c r="V65" s="93">
        <f t="array" ref="V65">IFERROR(
AVERAGE((IF(DATOS_[[Sexo]:[Sexo]]=$B65,IF(DATOS_[[AGRUP. VALOR. PTO.]:[AGRUP. VALOR. PTO.]]=$B63,IF(DATOS_[[Check Periodo Ref.]:[Check Periodo Ref.]]="Dentro",DATOS_[Conc.Sal.17]))))),
0)</f>
        <v>0</v>
      </c>
      <c r="W65" s="93">
        <f t="array" ref="W65">IFERROR(
AVERAGE((IF(DATOS_[[Sexo]:[Sexo]]=$B65,IF(DATOS_[[AGRUP. VALOR. PTO.]:[AGRUP. VALOR. PTO.]]=$B63,IF(DATOS_[[Check Periodo Ref.]:[Check Periodo Ref.]]="Dentro",DATOS_[Conc.Sal.18]))))),
0)</f>
        <v>0</v>
      </c>
      <c r="X65" s="93">
        <f t="array" ref="X65">IFERROR(
AVERAGE((IF(DATOS_[[Sexo]:[Sexo]]=$B65,IF(DATOS_[[AGRUP. VALOR. PTO.]:[AGRUP. VALOR. PTO.]]=$B63,IF(DATOS_[[Check Periodo Ref.]:[Check Periodo Ref.]]="Dentro",DATOS_[Conc.Sal.19]))))),
0)</f>
        <v>0</v>
      </c>
      <c r="Y65" s="93">
        <f t="array" ref="Y65">IFERROR(
AVERAGE((IF(DATOS_[[Sexo]:[Sexo]]=$B65,IF(DATOS_[[AGRUP. VALOR. PTO.]:[AGRUP. VALOR. PTO.]]=$B63,IF(DATOS_[[Check Periodo Ref.]:[Check Periodo Ref.]]="Dentro",DATOS_[Conc.Sal.20]))))),
0)</f>
        <v>0</v>
      </c>
      <c r="Z65" s="93">
        <f t="array" ref="Z65">IFERROR(
AVERAGE((IF(DATOS_[[Sexo]:[Sexo]]=$B65,IF(DATOS_[[AGRUP. VALOR. PTO.]:[AGRUP. VALOR. PTO.]]=$B63,IF(DATOS_[[Check Periodo Ref.]:[Check Periodo Ref.]]="Dentro",DATOS_[Conc.Sal.21]))))),
0)</f>
        <v>0</v>
      </c>
      <c r="AA65" s="93">
        <f t="array" ref="AA65">IFERROR(
AVERAGE((IF(DATOS_[[Sexo]:[Sexo]]=$B65,IF(DATOS_[[AGRUP. VALOR. PTO.]:[AGRUP. VALOR. PTO.]]=$B63,IF(DATOS_[[Check Periodo Ref.]:[Check Periodo Ref.]]="Dentro",DATOS_[Conc.Sal.22]))))),
0)</f>
        <v>0</v>
      </c>
      <c r="AB65" s="93">
        <f t="array" ref="AB65">IFERROR(
AVERAGE((IF(DATOS_[[Sexo]:[Sexo]]=$B65,IF(DATOS_[[AGRUP. VALOR. PTO.]:[AGRUP. VALOR. PTO.]]=$B63,IF(DATOS_[[Check Periodo Ref.]:[Check Periodo Ref.]]="Dentro",DATOS_[Conc.Sal.23]))))),
0)</f>
        <v>0</v>
      </c>
      <c r="AC65" s="93">
        <f t="array" ref="AC65">IFERROR(
AVERAGE((IF(DATOS_[[Sexo]:[Sexo]]=$B65,IF(DATOS_[[AGRUP. VALOR. PTO.]:[AGRUP. VALOR. PTO.]]=$B63,IF(DATOS_[[Check Periodo Ref.]:[Check Periodo Ref.]]="Dentro",DATOS_[Conc.Sal.24]))))),
0)</f>
        <v>0</v>
      </c>
      <c r="AD65" s="93">
        <f t="array" ref="AD65">IFERROR(
AVERAGE((IF(DATOS_[[Sexo]:[Sexo]]=$B65,IF(DATOS_[[AGRUP. VALOR. PTO.]:[AGRUP. VALOR. PTO.]]=$B63,IF(DATOS_[[Check Periodo Ref.]:[Check Periodo Ref.]]="Dentro",DATOS_[Conc.Sal.25]))))),
0)</f>
        <v>0</v>
      </c>
      <c r="AE65" s="93">
        <f t="array" ref="AE65">IFERROR(
AVERAGE((IF(DATOS_[[Sexo]:[Sexo]]=$B65,IF(DATOS_[[AGRUP. VALOR. PTO.]:[AGRUP. VALOR. PTO.]]=$B63,IF(DATOS_[[Check Periodo Ref.]:[Check Periodo Ref.]]="Dentro",DATOS_[Conc.Sal.26]))))),
0)</f>
        <v>0</v>
      </c>
      <c r="AF65" s="93">
        <f t="array" ref="AF65">IFERROR(
AVERAGE((IF(DATOS_[[Sexo]:[Sexo]]=$B65,IF(DATOS_[[AGRUP. VALOR. PTO.]:[AGRUP. VALOR. PTO.]]=$B63,IF(DATOS_[[Check Periodo Ref.]:[Check Periodo Ref.]]="Dentro",DATOS_[Conc.Sal.27]))))),
0)</f>
        <v>0</v>
      </c>
      <c r="AG65" s="93">
        <f t="array" ref="AG65">IFERROR(
AVERAGE((IF(DATOS_[[Sexo]:[Sexo]]=$B65,IF(DATOS_[[AGRUP. VALOR. PTO.]:[AGRUP. VALOR. PTO.]]=$B63,IF(DATOS_[[Check Periodo Ref.]:[Check Periodo Ref.]]="Dentro",DATOS_[Conc.Sal.28]))))),
0)</f>
        <v>0</v>
      </c>
      <c r="AH65" s="93">
        <f t="array" ref="AH65">IFERROR(
AVERAGE((IF(DATOS_[[Sexo]:[Sexo]]=$B65,IF(DATOS_[[AGRUP. VALOR. PTO.]:[AGRUP. VALOR. PTO.]]=$B63,IF(DATOS_[[Check Periodo Ref.]:[Check Periodo Ref.]]="Dentro",DATOS_[Conc.Sal.29]))))),
0)</f>
        <v>0</v>
      </c>
      <c r="AI65" s="93">
        <f t="array" ref="AI65">IFERROR(
AVERAGE((IF(DATOS_[[Sexo]:[Sexo]]=$B65,IF(DATOS_[[AGRUP. VALOR. PTO.]:[AGRUP. VALOR. PTO.]]=$B63,IF(DATOS_[[Check Periodo Ref.]:[Check Periodo Ref.]]="Dentro",DATOS_[Conc.Sal.30]))))),
0)</f>
        <v>0</v>
      </c>
      <c r="AJ65" s="94">
        <f t="array" ref="AJ65">IFERROR(
AVERAGE(IF(DATOS_[Sexo]=$B65,IF(DATOS_[AGRUP. VALOR. PTO.]=$B63,IF(DATOS_[Check Periodo Ref.]="Dentro",DATOS_[Tot COMPL.SAL Ef],FALSE)))),
0)</f>
        <v>0</v>
      </c>
      <c r="AK65" s="96">
        <f t="array" ref="AK65">IFERROR(
AVERAGE(IF(DATOS_[Sexo]=$B65,IF(DATOS_[AGRUP. VALOR. PTO.]=$B63,IF(DATOS_[Check Periodo Ref.]="Dentro",DATOS_[TOTAL SALARIO Ef],FALSE)))),
0)</f>
        <v>0</v>
      </c>
      <c r="AL65" s="95">
        <f t="array" ref="AL65">IFERROR(
AVERAGE((IF(DATOS_[[Sexo]:[Sexo]]=$B65,IF(DATOS_[[AGRUP. VALOR. PTO.]:[AGRUP. VALOR. PTO.]]=$B63,IF(DATOS_[[Check Periodo Ref.]:[Check Periodo Ref.]]="Dentro",DATOS_[C.Extra.01]))))),
0)</f>
        <v>0</v>
      </c>
      <c r="AM65" s="95">
        <f t="array" ref="AM65">IFERROR(
AVERAGE((IF(DATOS_[[Sexo]:[Sexo]]=$B65,IF(DATOS_[[AGRUP. VALOR. PTO.]:[AGRUP. VALOR. PTO.]]=$B63,IF(DATOS_[[Check Periodo Ref.]:[Check Periodo Ref.]]="Dentro",DATOS_[C.Extra.02]))))),
0)</f>
        <v>0</v>
      </c>
      <c r="AN65" s="95">
        <f t="array" ref="AN65">IFERROR(
AVERAGE((IF(DATOS_[[Sexo]:[Sexo]]=$B65,IF(DATOS_[[AGRUP. VALOR. PTO.]:[AGRUP. VALOR. PTO.]]=$B63,IF(DATOS_[[Check Periodo Ref.]:[Check Periodo Ref.]]="Dentro",DATOS_[C.Extra.03]))))),
0)</f>
        <v>0</v>
      </c>
      <c r="AO65" s="95">
        <f t="array" ref="AO65">IFERROR(
AVERAGE((IF(DATOS_[[Sexo]:[Sexo]]=$B65,IF(DATOS_[[AGRUP. VALOR. PTO.]:[AGRUP. VALOR. PTO.]]=$B63,IF(DATOS_[[Check Periodo Ref.]:[Check Periodo Ref.]]="Dentro",DATOS_[C.Extra.04]))))),
0)</f>
        <v>0</v>
      </c>
      <c r="AP65" s="95">
        <f t="array" ref="AP65">IFERROR(
AVERAGE((IF(DATOS_[[Sexo]:[Sexo]]=$B65,IF(DATOS_[[AGRUP. VALOR. PTO.]:[AGRUP. VALOR. PTO.]]=$B63,IF(DATOS_[[Check Periodo Ref.]:[Check Periodo Ref.]]="Dentro",DATOS_[C.Extra.05]))))),
0)</f>
        <v>0</v>
      </c>
      <c r="AQ65" s="97">
        <f t="array" ref="AQ65">IFERROR(
AVERAGE(IF(DATOS_[Sexo]=$B65,IF(DATOS_[AGRUP. VALOR. PTO.]=$B63,IF(DATOS_[Check Periodo Ref.]="Dentro",DATOS_[Tot Extrasalarial Ef],FALSE)))),
0)</f>
        <v>0</v>
      </c>
      <c r="AR65" s="98">
        <f t="array" ref="AR65">IFERROR(
AVERAGE(IF(DATOS_[Sexo]=$B65,IF(DATOS_[AGRUP. VALOR. PTO.]=$B63,IF(DATOS_[Check Periodo Ref.]="Dentro",DATOS_[TOTAL Retrib Ef],FALSE)))),
0)</f>
        <v>0</v>
      </c>
    </row>
    <row r="66" spans="1:44" ht="17.25" hidden="1" thickBot="1" x14ac:dyDescent="0.35">
      <c r="A66" s="48" t="str">
        <f t="shared" ref="A66" si="71">+A67</f>
        <v>[ocultar]</v>
      </c>
      <c r="B66" s="51" t="s">
        <v>277</v>
      </c>
      <c r="C66" s="91"/>
      <c r="D66" s="52"/>
      <c r="E66" s="139" t="str">
        <f t="shared" ref="E66:AR66" si="72">IFERROR((E67-E68)/E67,"")</f>
        <v/>
      </c>
      <c r="F66" s="179" t="str">
        <f t="shared" si="72"/>
        <v/>
      </c>
      <c r="G66" s="180" t="str">
        <f t="shared" si="72"/>
        <v/>
      </c>
      <c r="H66" s="180" t="str">
        <f t="shared" si="72"/>
        <v/>
      </c>
      <c r="I66" s="180" t="str">
        <f t="shared" si="72"/>
        <v/>
      </c>
      <c r="J66" s="181" t="str">
        <f t="shared" si="72"/>
        <v/>
      </c>
      <c r="K66" s="182" t="str">
        <f t="shared" si="72"/>
        <v/>
      </c>
      <c r="L66" s="182" t="str">
        <f t="shared" si="72"/>
        <v/>
      </c>
      <c r="M66" s="182" t="str">
        <f t="shared" si="72"/>
        <v/>
      </c>
      <c r="N66" s="182" t="str">
        <f t="shared" si="72"/>
        <v/>
      </c>
      <c r="O66" s="182" t="str">
        <f t="shared" si="72"/>
        <v/>
      </c>
      <c r="P66" s="182" t="str">
        <f t="shared" si="72"/>
        <v/>
      </c>
      <c r="Q66" s="182" t="str">
        <f t="shared" si="72"/>
        <v/>
      </c>
      <c r="R66" s="182" t="str">
        <f t="shared" si="72"/>
        <v/>
      </c>
      <c r="S66" s="182" t="str">
        <f t="shared" si="72"/>
        <v/>
      </c>
      <c r="T66" s="182" t="str">
        <f t="shared" si="72"/>
        <v/>
      </c>
      <c r="U66" s="182" t="str">
        <f t="shared" si="72"/>
        <v/>
      </c>
      <c r="V66" s="181" t="str">
        <f t="shared" si="72"/>
        <v/>
      </c>
      <c r="W66" s="181" t="str">
        <f t="shared" si="72"/>
        <v/>
      </c>
      <c r="X66" s="181" t="str">
        <f t="shared" si="72"/>
        <v/>
      </c>
      <c r="Y66" s="181" t="str">
        <f t="shared" si="72"/>
        <v/>
      </c>
      <c r="Z66" s="181" t="str">
        <f t="shared" si="72"/>
        <v/>
      </c>
      <c r="AA66" s="181" t="str">
        <f t="shared" si="72"/>
        <v/>
      </c>
      <c r="AB66" s="181" t="str">
        <f t="shared" si="72"/>
        <v/>
      </c>
      <c r="AC66" s="181" t="str">
        <f t="shared" si="72"/>
        <v/>
      </c>
      <c r="AD66" s="181" t="str">
        <f t="shared" si="72"/>
        <v/>
      </c>
      <c r="AE66" s="181" t="str">
        <f t="shared" si="72"/>
        <v/>
      </c>
      <c r="AF66" s="181" t="str">
        <f t="shared" si="72"/>
        <v/>
      </c>
      <c r="AG66" s="181" t="str">
        <f t="shared" si="72"/>
        <v/>
      </c>
      <c r="AH66" s="181" t="str">
        <f t="shared" si="72"/>
        <v/>
      </c>
      <c r="AI66" s="181" t="str">
        <f t="shared" si="72"/>
        <v/>
      </c>
      <c r="AJ66" s="140" t="str">
        <f t="shared" si="72"/>
        <v/>
      </c>
      <c r="AK66" s="143" t="str">
        <f t="shared" si="72"/>
        <v/>
      </c>
      <c r="AL66" s="184" t="str">
        <f t="shared" si="72"/>
        <v/>
      </c>
      <c r="AM66" s="184" t="str">
        <f t="shared" si="72"/>
        <v/>
      </c>
      <c r="AN66" s="184" t="str">
        <f t="shared" si="72"/>
        <v/>
      </c>
      <c r="AO66" s="184" t="str">
        <f t="shared" si="72"/>
        <v/>
      </c>
      <c r="AP66" s="184" t="str">
        <f t="shared" si="72"/>
        <v/>
      </c>
      <c r="AQ66" s="141" t="str">
        <f t="shared" si="72"/>
        <v/>
      </c>
      <c r="AR66" s="142" t="str">
        <f t="shared" si="72"/>
        <v/>
      </c>
    </row>
    <row r="67" spans="1:44" hidden="1" x14ac:dyDescent="0.3">
      <c r="A67" s="48" t="str">
        <f t="shared" ref="A67" si="73">+IF(C67+C68=0,"[ocultar]","")</f>
        <v>[ocultar]</v>
      </c>
      <c r="B67" s="46" t="s">
        <v>162</v>
      </c>
      <c r="C67" s="45">
        <f t="array" ref="C67">SUM(IF($B67=DATOS_[Sexo],
IF($B66=DATOS_[AGRUP. VALOR. PTO.],
IF("Dentro"=DATOS_[Check Periodo Ref.],
1/(COUNTIFS(DATOS_[Sexo],$B67,DATOS_[AGRUP. VALOR. PTO.],$B66,DATOS_[Check Periodo Ref.],"Dentro",DATOS_[id],DATOS_[id]))))))</f>
        <v>0</v>
      </c>
      <c r="D67" s="47">
        <f>COUNTIFS(DATOS_[AGRUP. VALOR. PTO.],$B66,DATOS_[Sexo],$B67,DATOS_[Check Periodo Ref.],"Dentro")</f>
        <v>0</v>
      </c>
      <c r="E67" s="92">
        <f t="array" ref="E67">IFERROR(
AVERAGE(IF(DATOS_[Sexo]=$B67,IF(DATOS_[AGRUP. VALOR. PTO.]=$B66,IF(DATOS_[Check Periodo Ref.]="Dentro",DATOS_[SALARIO BASE Ef],FALSE)))),
0)</f>
        <v>0</v>
      </c>
      <c r="F67" s="93">
        <f t="array" ref="F67">IFERROR(
AVERAGE((IF(DATOS_[[Sexo]:[Sexo]]=$B67,IF(DATOS_[[AGRUP. VALOR. PTO.]:[AGRUP. VALOR. PTO.]]=$B66,IF(DATOS_[[Check Periodo Ref.]:[Check Periodo Ref.]]="Dentro",DATOS_[Conc.Sal.01]))))),
0)</f>
        <v>0</v>
      </c>
      <c r="G67" s="93">
        <f t="array" ref="G67">IFERROR(
AVERAGE((IF(DATOS_[[Sexo]:[Sexo]]=$B67,IF(DATOS_[[AGRUP. VALOR. PTO.]:[AGRUP. VALOR. PTO.]]=$B66,IF(DATOS_[[Check Periodo Ref.]:[Check Periodo Ref.]]="Dentro",DATOS_[Conc.Sal.02]))))),
0)</f>
        <v>0</v>
      </c>
      <c r="H67" s="93">
        <f t="array" ref="H67">IFERROR(
AVERAGE((IF(DATOS_[[Sexo]:[Sexo]]=$B67,IF(DATOS_[[AGRUP. VALOR. PTO.]:[AGRUP. VALOR. PTO.]]=$B66,IF(DATOS_[[Check Periodo Ref.]:[Check Periodo Ref.]]="Dentro",DATOS_[Conc.Sal.03]))))),
0)</f>
        <v>0</v>
      </c>
      <c r="I67" s="93">
        <f t="array" ref="I67">IFERROR(
AVERAGE((IF(DATOS_[[Sexo]:[Sexo]]=$B67,IF(DATOS_[[AGRUP. VALOR. PTO.]:[AGRUP. VALOR. PTO.]]=$B66,IF(DATOS_[[Check Periodo Ref.]:[Check Periodo Ref.]]="Dentro",DATOS_[Conc.Sal.04]))))),
0)</f>
        <v>0</v>
      </c>
      <c r="J67" s="93">
        <f t="array" ref="J67">IFERROR(
AVERAGE((IF(DATOS_[[Sexo]:[Sexo]]=$B67,IF(DATOS_[[AGRUP. VALOR. PTO.]:[AGRUP. VALOR. PTO.]]=$B66,IF(DATOS_[[Check Periodo Ref.]:[Check Periodo Ref.]]="Dentro",DATOS_[Conc.Sal.05]))))),
0)</f>
        <v>0</v>
      </c>
      <c r="K67" s="93">
        <f t="array" ref="K67">IFERROR(
AVERAGE((IF(DATOS_[[Sexo]:[Sexo]]=$B67,IF(DATOS_[[AGRUP. VALOR. PTO.]:[AGRUP. VALOR. PTO.]]=$B66,IF(DATOS_[[Check Periodo Ref.]:[Check Periodo Ref.]]="Dentro",DATOS_[Conc.Sal.06]))))),
0)</f>
        <v>0</v>
      </c>
      <c r="L67" s="93">
        <f t="array" ref="L67">IFERROR(
AVERAGE((IF(DATOS_[[Sexo]:[Sexo]]=$B67,IF(DATOS_[[AGRUP. VALOR. PTO.]:[AGRUP. VALOR. PTO.]]=$B66,IF(DATOS_[[Check Periodo Ref.]:[Check Periodo Ref.]]="Dentro",DATOS_[Conc.Sal.07]))))),
0)</f>
        <v>0</v>
      </c>
      <c r="M67" s="93">
        <f t="array" ref="M67">IFERROR(
AVERAGE((IF(DATOS_[[Sexo]:[Sexo]]=$B67,IF(DATOS_[[AGRUP. VALOR. PTO.]:[AGRUP. VALOR. PTO.]]=$B66,IF(DATOS_[[Check Periodo Ref.]:[Check Periodo Ref.]]="Dentro",DATOS_[Conc.Sal.08]))))),
0)</f>
        <v>0</v>
      </c>
      <c r="N67" s="93">
        <f t="array" ref="N67">IFERROR(
AVERAGE((IF(DATOS_[[Sexo]:[Sexo]]=$B67,IF(DATOS_[[AGRUP. VALOR. PTO.]:[AGRUP. VALOR. PTO.]]=$B66,IF(DATOS_[[Check Periodo Ref.]:[Check Periodo Ref.]]="Dentro",DATOS_[Conc.Sal.09]))))),
0)</f>
        <v>0</v>
      </c>
      <c r="O67" s="93">
        <f t="array" ref="O67">IFERROR(
AVERAGE((IF(DATOS_[[Sexo]:[Sexo]]=$B67,IF(DATOS_[[AGRUP. VALOR. PTO.]:[AGRUP. VALOR. PTO.]]=$B66,IF(DATOS_[[Check Periodo Ref.]:[Check Periodo Ref.]]="Dentro",DATOS_[Conc.Sal.10]))))),
0)</f>
        <v>0</v>
      </c>
      <c r="P67" s="93">
        <f t="array" ref="P67">IFERROR(
AVERAGE((IF(DATOS_[[Sexo]:[Sexo]]=$B67,IF(DATOS_[[AGRUP. VALOR. PTO.]:[AGRUP. VALOR. PTO.]]=$B66,IF(DATOS_[[Check Periodo Ref.]:[Check Periodo Ref.]]="Dentro",DATOS_[Conc.Sal.11]))))),
0)</f>
        <v>0</v>
      </c>
      <c r="Q67" s="93">
        <f t="array" ref="Q67">IFERROR(
AVERAGE((IF(DATOS_[[Sexo]:[Sexo]]=$B67,IF(DATOS_[[AGRUP. VALOR. PTO.]:[AGRUP. VALOR. PTO.]]=$B66,IF(DATOS_[[Check Periodo Ref.]:[Check Periodo Ref.]]="Dentro",DATOS_[Conc.Sal.12]))))),
0)</f>
        <v>0</v>
      </c>
      <c r="R67" s="93">
        <f t="array" ref="R67">IFERROR(
AVERAGE((IF(DATOS_[[Sexo]:[Sexo]]=$B67,IF(DATOS_[[AGRUP. VALOR. PTO.]:[AGRUP. VALOR. PTO.]]=$B66,IF(DATOS_[[Check Periodo Ref.]:[Check Periodo Ref.]]="Dentro",DATOS_[Conc.Sal.13]))))),
0)</f>
        <v>0</v>
      </c>
      <c r="S67" s="93">
        <f t="array" ref="S67">IFERROR(
AVERAGE((IF(DATOS_[[Sexo]:[Sexo]]=$B67,IF(DATOS_[[AGRUP. VALOR. PTO.]:[AGRUP. VALOR. PTO.]]=$B66,IF(DATOS_[[Check Periodo Ref.]:[Check Periodo Ref.]]="Dentro",DATOS_[Conc.Sal.14]))))),
0)</f>
        <v>0</v>
      </c>
      <c r="T67" s="93">
        <f t="array" ref="T67">IFERROR(
AVERAGE((IF(DATOS_[[Sexo]:[Sexo]]=$B67,IF(DATOS_[[AGRUP. VALOR. PTO.]:[AGRUP. VALOR. PTO.]]=$B66,IF(DATOS_[[Check Periodo Ref.]:[Check Periodo Ref.]]="Dentro",DATOS_[Conc.Sal.15]))))),
0)</f>
        <v>0</v>
      </c>
      <c r="U67" s="93">
        <f t="array" ref="U67">IFERROR(
AVERAGE((IF(DATOS_[[Sexo]:[Sexo]]=$B67,IF(DATOS_[[AGRUP. VALOR. PTO.]:[AGRUP. VALOR. PTO.]]=$B66,IF(DATOS_[[Check Periodo Ref.]:[Check Periodo Ref.]]="Dentro",DATOS_[Conc.Sal.16]))))),
0)</f>
        <v>0</v>
      </c>
      <c r="V67" s="93">
        <f t="array" ref="V67">IFERROR(
AVERAGE((IF(DATOS_[[Sexo]:[Sexo]]=$B67,IF(DATOS_[[AGRUP. VALOR. PTO.]:[AGRUP. VALOR. PTO.]]=$B66,IF(DATOS_[[Check Periodo Ref.]:[Check Periodo Ref.]]="Dentro",DATOS_[Conc.Sal.17]))))),
0)</f>
        <v>0</v>
      </c>
      <c r="W67" s="93">
        <f t="array" ref="W67">IFERROR(
AVERAGE((IF(DATOS_[[Sexo]:[Sexo]]=$B67,IF(DATOS_[[AGRUP. VALOR. PTO.]:[AGRUP. VALOR. PTO.]]=$B66,IF(DATOS_[[Check Periodo Ref.]:[Check Periodo Ref.]]="Dentro",DATOS_[Conc.Sal.18]))))),
0)</f>
        <v>0</v>
      </c>
      <c r="X67" s="93">
        <f t="array" ref="X67">IFERROR(
AVERAGE((IF(DATOS_[[Sexo]:[Sexo]]=$B67,IF(DATOS_[[AGRUP. VALOR. PTO.]:[AGRUP. VALOR. PTO.]]=$B66,IF(DATOS_[[Check Periodo Ref.]:[Check Periodo Ref.]]="Dentro",DATOS_[Conc.Sal.19]))))),
0)</f>
        <v>0</v>
      </c>
      <c r="Y67" s="93">
        <f t="array" ref="Y67">IFERROR(
AVERAGE((IF(DATOS_[[Sexo]:[Sexo]]=$B67,IF(DATOS_[[AGRUP. VALOR. PTO.]:[AGRUP. VALOR. PTO.]]=$B66,IF(DATOS_[[Check Periodo Ref.]:[Check Periodo Ref.]]="Dentro",DATOS_[Conc.Sal.20]))))),
0)</f>
        <v>0</v>
      </c>
      <c r="Z67" s="93">
        <f t="array" ref="Z67">IFERROR(
AVERAGE((IF(DATOS_[[Sexo]:[Sexo]]=$B67,IF(DATOS_[[AGRUP. VALOR. PTO.]:[AGRUP. VALOR. PTO.]]=$B66,IF(DATOS_[[Check Periodo Ref.]:[Check Periodo Ref.]]="Dentro",DATOS_[Conc.Sal.21]))))),
0)</f>
        <v>0</v>
      </c>
      <c r="AA67" s="93">
        <f t="array" ref="AA67">IFERROR(
AVERAGE((IF(DATOS_[[Sexo]:[Sexo]]=$B67,IF(DATOS_[[AGRUP. VALOR. PTO.]:[AGRUP. VALOR. PTO.]]=$B66,IF(DATOS_[[Check Periodo Ref.]:[Check Periodo Ref.]]="Dentro",DATOS_[Conc.Sal.22]))))),
0)</f>
        <v>0</v>
      </c>
      <c r="AB67" s="93">
        <f t="array" ref="AB67">IFERROR(
AVERAGE((IF(DATOS_[[Sexo]:[Sexo]]=$B67,IF(DATOS_[[AGRUP. VALOR. PTO.]:[AGRUP. VALOR. PTO.]]=$B66,IF(DATOS_[[Check Periodo Ref.]:[Check Periodo Ref.]]="Dentro",DATOS_[Conc.Sal.23]))))),
0)</f>
        <v>0</v>
      </c>
      <c r="AC67" s="93">
        <f t="array" ref="AC67">IFERROR(
AVERAGE((IF(DATOS_[[Sexo]:[Sexo]]=$B67,IF(DATOS_[[AGRUP. VALOR. PTO.]:[AGRUP. VALOR. PTO.]]=$B66,IF(DATOS_[[Check Periodo Ref.]:[Check Periodo Ref.]]="Dentro",DATOS_[Conc.Sal.24]))))),
0)</f>
        <v>0</v>
      </c>
      <c r="AD67" s="93">
        <f t="array" ref="AD67">IFERROR(
AVERAGE((IF(DATOS_[[Sexo]:[Sexo]]=$B67,IF(DATOS_[[AGRUP. VALOR. PTO.]:[AGRUP. VALOR. PTO.]]=$B66,IF(DATOS_[[Check Periodo Ref.]:[Check Periodo Ref.]]="Dentro",DATOS_[Conc.Sal.25]))))),
0)</f>
        <v>0</v>
      </c>
      <c r="AE67" s="93">
        <f t="array" ref="AE67">IFERROR(
AVERAGE((IF(DATOS_[[Sexo]:[Sexo]]=$B67,IF(DATOS_[[AGRUP. VALOR. PTO.]:[AGRUP. VALOR. PTO.]]=$B66,IF(DATOS_[[Check Periodo Ref.]:[Check Periodo Ref.]]="Dentro",DATOS_[Conc.Sal.26]))))),
0)</f>
        <v>0</v>
      </c>
      <c r="AF67" s="93">
        <f t="array" ref="AF67">IFERROR(
AVERAGE((IF(DATOS_[[Sexo]:[Sexo]]=$B67,IF(DATOS_[[AGRUP. VALOR. PTO.]:[AGRUP. VALOR. PTO.]]=$B66,IF(DATOS_[[Check Periodo Ref.]:[Check Periodo Ref.]]="Dentro",DATOS_[Conc.Sal.27]))))),
0)</f>
        <v>0</v>
      </c>
      <c r="AG67" s="93">
        <f t="array" ref="AG67">IFERROR(
AVERAGE((IF(DATOS_[[Sexo]:[Sexo]]=$B67,IF(DATOS_[[AGRUP. VALOR. PTO.]:[AGRUP. VALOR. PTO.]]=$B66,IF(DATOS_[[Check Periodo Ref.]:[Check Periodo Ref.]]="Dentro",DATOS_[Conc.Sal.28]))))),
0)</f>
        <v>0</v>
      </c>
      <c r="AH67" s="93">
        <f t="array" ref="AH67">IFERROR(
AVERAGE((IF(DATOS_[[Sexo]:[Sexo]]=$B67,IF(DATOS_[[AGRUP. VALOR. PTO.]:[AGRUP. VALOR. PTO.]]=$B66,IF(DATOS_[[Check Periodo Ref.]:[Check Periodo Ref.]]="Dentro",DATOS_[Conc.Sal.29]))))),
0)</f>
        <v>0</v>
      </c>
      <c r="AI67" s="93">
        <f t="array" ref="AI67">IFERROR(
AVERAGE((IF(DATOS_[[Sexo]:[Sexo]]=$B67,IF(DATOS_[[AGRUP. VALOR. PTO.]:[AGRUP. VALOR. PTO.]]=$B66,IF(DATOS_[[Check Periodo Ref.]:[Check Periodo Ref.]]="Dentro",DATOS_[Conc.Sal.30]))))),
0)</f>
        <v>0</v>
      </c>
      <c r="AJ67" s="94">
        <f t="array" ref="AJ67">IFERROR(
AVERAGE(IF(DATOS_[Sexo]=$B67,IF(DATOS_[AGRUP. VALOR. PTO.]=$B66,IF(DATOS_[Check Periodo Ref.]="Dentro",DATOS_[Tot COMPL.SAL Ef],FALSE)))),
0)</f>
        <v>0</v>
      </c>
      <c r="AK67" s="96">
        <f t="array" ref="AK67">IFERROR(
AVERAGE(IF(DATOS_[Sexo]=$B67,IF(DATOS_[AGRUP. VALOR. PTO.]=$B66,IF(DATOS_[Check Periodo Ref.]="Dentro",DATOS_[TOTAL SALARIO Ef],FALSE)))),
0)</f>
        <v>0</v>
      </c>
      <c r="AL67" s="95">
        <f t="array" ref="AL67">IFERROR(
AVERAGE((IF(DATOS_[[Sexo]:[Sexo]]=$B67,IF(DATOS_[[AGRUP. VALOR. PTO.]:[AGRUP. VALOR. PTO.]]=$B66,IF(DATOS_[[Check Periodo Ref.]:[Check Periodo Ref.]]="Dentro",DATOS_[C.Extra.01]))))),
0)</f>
        <v>0</v>
      </c>
      <c r="AM67" s="95">
        <f t="array" ref="AM67">IFERROR(
AVERAGE((IF(DATOS_[[Sexo]:[Sexo]]=$B67,IF(DATOS_[[AGRUP. VALOR. PTO.]:[AGRUP. VALOR. PTO.]]=$B66,IF(DATOS_[[Check Periodo Ref.]:[Check Periodo Ref.]]="Dentro",DATOS_[C.Extra.02]))))),
0)</f>
        <v>0</v>
      </c>
      <c r="AN67" s="95">
        <f t="array" ref="AN67">IFERROR(
AVERAGE((IF(DATOS_[[Sexo]:[Sexo]]=$B67,IF(DATOS_[[AGRUP. VALOR. PTO.]:[AGRUP. VALOR. PTO.]]=$B66,IF(DATOS_[[Check Periodo Ref.]:[Check Periodo Ref.]]="Dentro",DATOS_[C.Extra.03]))))),
0)</f>
        <v>0</v>
      </c>
      <c r="AO67" s="95">
        <f t="array" ref="AO67">IFERROR(
AVERAGE((IF(DATOS_[[Sexo]:[Sexo]]=$B67,IF(DATOS_[[AGRUP. VALOR. PTO.]:[AGRUP. VALOR. PTO.]]=$B66,IF(DATOS_[[Check Periodo Ref.]:[Check Periodo Ref.]]="Dentro",DATOS_[C.Extra.04]))))),
0)</f>
        <v>0</v>
      </c>
      <c r="AP67" s="95">
        <f t="array" ref="AP67">IFERROR(
AVERAGE((IF(DATOS_[[Sexo]:[Sexo]]=$B67,IF(DATOS_[[AGRUP. VALOR. PTO.]:[AGRUP. VALOR. PTO.]]=$B66,IF(DATOS_[[Check Periodo Ref.]:[Check Periodo Ref.]]="Dentro",DATOS_[C.Extra.05]))))),
0)</f>
        <v>0</v>
      </c>
      <c r="AQ67" s="97">
        <f t="array" ref="AQ67">IFERROR(
AVERAGE(IF(DATOS_[Sexo]=$B67,IF(DATOS_[AGRUP. VALOR. PTO.]=$B66,IF(DATOS_[Check Periodo Ref.]="Dentro",DATOS_[Tot Extrasalarial Ef],FALSE)))),
0)</f>
        <v>0</v>
      </c>
      <c r="AR67" s="98">
        <f t="array" ref="AR67">IFERROR(
AVERAGE(IF(DATOS_[Sexo]=$B67,IF(DATOS_[AGRUP. VALOR. PTO.]=$B66,IF(DATOS_[Check Periodo Ref.]="Dentro",DATOS_[TOTAL Retrib Ef],FALSE)))),
0)</f>
        <v>0</v>
      </c>
    </row>
    <row r="68" spans="1:44" hidden="1" x14ac:dyDescent="0.3">
      <c r="A68" s="48" t="str">
        <f t="shared" ref="A68" si="74">+A67</f>
        <v>[ocultar]</v>
      </c>
      <c r="B68" s="46" t="s">
        <v>163</v>
      </c>
      <c r="C68" s="45">
        <f t="array" ref="C68">SUM(IF($B68=DATOS_[Sexo],
IF($B66=DATOS_[AGRUP. VALOR. PTO.],
IF("Dentro"=DATOS_[Check Periodo Ref.],
1/(COUNTIFS(DATOS_[Sexo],$B68,DATOS_[AGRUP. VALOR. PTO.],$B66,DATOS_[Check Periodo Ref.],"Dentro",DATOS_[id],DATOS_[id]))))))</f>
        <v>0</v>
      </c>
      <c r="D68" s="47">
        <f>COUNTIFS(DATOS_[AGRUP. VALOR. PTO.],$B66,DATOS_[Sexo],$B68,DATOS_[Check Periodo Ref.],"Dentro")</f>
        <v>0</v>
      </c>
      <c r="E68" s="92">
        <f t="array" ref="E68">IFERROR(
AVERAGE(IF(DATOS_[Sexo]=$B68,IF(DATOS_[AGRUP. VALOR. PTO.]=$B66,IF(DATOS_[Check Periodo Ref.]="Dentro",DATOS_[SALARIO BASE Ef],FALSE)))),
0)</f>
        <v>0</v>
      </c>
      <c r="F68" s="93">
        <f t="array" ref="F68">IFERROR(
AVERAGE((IF(DATOS_[[Sexo]:[Sexo]]=$B68,IF(DATOS_[[AGRUP. VALOR. PTO.]:[AGRUP. VALOR. PTO.]]=$B66,IF(DATOS_[[Check Periodo Ref.]:[Check Periodo Ref.]]="Dentro",DATOS_[Conc.Sal.01]))))),
0)</f>
        <v>0</v>
      </c>
      <c r="G68" s="93">
        <f t="array" ref="G68">IFERROR(
AVERAGE((IF(DATOS_[[Sexo]:[Sexo]]=$B68,IF(DATOS_[[AGRUP. VALOR. PTO.]:[AGRUP. VALOR. PTO.]]=$B66,IF(DATOS_[[Check Periodo Ref.]:[Check Periodo Ref.]]="Dentro",DATOS_[Conc.Sal.02]))))),
0)</f>
        <v>0</v>
      </c>
      <c r="H68" s="93">
        <f t="array" ref="H68">IFERROR(
AVERAGE((IF(DATOS_[[Sexo]:[Sexo]]=$B68,IF(DATOS_[[AGRUP. VALOR. PTO.]:[AGRUP. VALOR. PTO.]]=$B66,IF(DATOS_[[Check Periodo Ref.]:[Check Periodo Ref.]]="Dentro",DATOS_[Conc.Sal.03]))))),
0)</f>
        <v>0</v>
      </c>
      <c r="I68" s="93">
        <f t="array" ref="I68">IFERROR(
AVERAGE((IF(DATOS_[[Sexo]:[Sexo]]=$B68,IF(DATOS_[[AGRUP. VALOR. PTO.]:[AGRUP. VALOR. PTO.]]=$B66,IF(DATOS_[[Check Periodo Ref.]:[Check Periodo Ref.]]="Dentro",DATOS_[Conc.Sal.04]))))),
0)</f>
        <v>0</v>
      </c>
      <c r="J68" s="93">
        <f t="array" ref="J68">IFERROR(
AVERAGE((IF(DATOS_[[Sexo]:[Sexo]]=$B68,IF(DATOS_[[AGRUP. VALOR. PTO.]:[AGRUP. VALOR. PTO.]]=$B66,IF(DATOS_[[Check Periodo Ref.]:[Check Periodo Ref.]]="Dentro",DATOS_[Conc.Sal.05]))))),
0)</f>
        <v>0</v>
      </c>
      <c r="K68" s="93">
        <f t="array" ref="K68">IFERROR(
AVERAGE((IF(DATOS_[[Sexo]:[Sexo]]=$B68,IF(DATOS_[[AGRUP. VALOR. PTO.]:[AGRUP. VALOR. PTO.]]=$B66,IF(DATOS_[[Check Periodo Ref.]:[Check Periodo Ref.]]="Dentro",DATOS_[Conc.Sal.06]))))),
0)</f>
        <v>0</v>
      </c>
      <c r="L68" s="93">
        <f t="array" ref="L68">IFERROR(
AVERAGE((IF(DATOS_[[Sexo]:[Sexo]]=$B68,IF(DATOS_[[AGRUP. VALOR. PTO.]:[AGRUP. VALOR. PTO.]]=$B66,IF(DATOS_[[Check Periodo Ref.]:[Check Periodo Ref.]]="Dentro",DATOS_[Conc.Sal.07]))))),
0)</f>
        <v>0</v>
      </c>
      <c r="M68" s="93">
        <f t="array" ref="M68">IFERROR(
AVERAGE((IF(DATOS_[[Sexo]:[Sexo]]=$B68,IF(DATOS_[[AGRUP. VALOR. PTO.]:[AGRUP. VALOR. PTO.]]=$B66,IF(DATOS_[[Check Periodo Ref.]:[Check Periodo Ref.]]="Dentro",DATOS_[Conc.Sal.08]))))),
0)</f>
        <v>0</v>
      </c>
      <c r="N68" s="93">
        <f t="array" ref="N68">IFERROR(
AVERAGE((IF(DATOS_[[Sexo]:[Sexo]]=$B68,IF(DATOS_[[AGRUP. VALOR. PTO.]:[AGRUP. VALOR. PTO.]]=$B66,IF(DATOS_[[Check Periodo Ref.]:[Check Periodo Ref.]]="Dentro",DATOS_[Conc.Sal.09]))))),
0)</f>
        <v>0</v>
      </c>
      <c r="O68" s="93">
        <f t="array" ref="O68">IFERROR(
AVERAGE((IF(DATOS_[[Sexo]:[Sexo]]=$B68,IF(DATOS_[[AGRUP. VALOR. PTO.]:[AGRUP. VALOR. PTO.]]=$B66,IF(DATOS_[[Check Periodo Ref.]:[Check Periodo Ref.]]="Dentro",DATOS_[Conc.Sal.10]))))),
0)</f>
        <v>0</v>
      </c>
      <c r="P68" s="93">
        <f t="array" ref="P68">IFERROR(
AVERAGE((IF(DATOS_[[Sexo]:[Sexo]]=$B68,IF(DATOS_[[AGRUP. VALOR. PTO.]:[AGRUP. VALOR. PTO.]]=$B66,IF(DATOS_[[Check Periodo Ref.]:[Check Periodo Ref.]]="Dentro",DATOS_[Conc.Sal.11]))))),
0)</f>
        <v>0</v>
      </c>
      <c r="Q68" s="93">
        <f t="array" ref="Q68">IFERROR(
AVERAGE((IF(DATOS_[[Sexo]:[Sexo]]=$B68,IF(DATOS_[[AGRUP. VALOR. PTO.]:[AGRUP. VALOR. PTO.]]=$B66,IF(DATOS_[[Check Periodo Ref.]:[Check Periodo Ref.]]="Dentro",DATOS_[Conc.Sal.12]))))),
0)</f>
        <v>0</v>
      </c>
      <c r="R68" s="93">
        <f t="array" ref="R68">IFERROR(
AVERAGE((IF(DATOS_[[Sexo]:[Sexo]]=$B68,IF(DATOS_[[AGRUP. VALOR. PTO.]:[AGRUP. VALOR. PTO.]]=$B66,IF(DATOS_[[Check Periodo Ref.]:[Check Periodo Ref.]]="Dentro",DATOS_[Conc.Sal.13]))))),
0)</f>
        <v>0</v>
      </c>
      <c r="S68" s="93">
        <f t="array" ref="S68">IFERROR(
AVERAGE((IF(DATOS_[[Sexo]:[Sexo]]=$B68,IF(DATOS_[[AGRUP. VALOR. PTO.]:[AGRUP. VALOR. PTO.]]=$B66,IF(DATOS_[[Check Periodo Ref.]:[Check Periodo Ref.]]="Dentro",DATOS_[Conc.Sal.14]))))),
0)</f>
        <v>0</v>
      </c>
      <c r="T68" s="93">
        <f t="array" ref="T68">IFERROR(
AVERAGE((IF(DATOS_[[Sexo]:[Sexo]]=$B68,IF(DATOS_[[AGRUP. VALOR. PTO.]:[AGRUP. VALOR. PTO.]]=$B66,IF(DATOS_[[Check Periodo Ref.]:[Check Periodo Ref.]]="Dentro",DATOS_[Conc.Sal.15]))))),
0)</f>
        <v>0</v>
      </c>
      <c r="U68" s="93">
        <f t="array" ref="U68">IFERROR(
AVERAGE((IF(DATOS_[[Sexo]:[Sexo]]=$B68,IF(DATOS_[[AGRUP. VALOR. PTO.]:[AGRUP. VALOR. PTO.]]=$B66,IF(DATOS_[[Check Periodo Ref.]:[Check Periodo Ref.]]="Dentro",DATOS_[Conc.Sal.16]))))),
0)</f>
        <v>0</v>
      </c>
      <c r="V68" s="93">
        <f t="array" ref="V68">IFERROR(
AVERAGE((IF(DATOS_[[Sexo]:[Sexo]]=$B68,IF(DATOS_[[AGRUP. VALOR. PTO.]:[AGRUP. VALOR. PTO.]]=$B66,IF(DATOS_[[Check Periodo Ref.]:[Check Periodo Ref.]]="Dentro",DATOS_[Conc.Sal.17]))))),
0)</f>
        <v>0</v>
      </c>
      <c r="W68" s="93">
        <f t="array" ref="W68">IFERROR(
AVERAGE((IF(DATOS_[[Sexo]:[Sexo]]=$B68,IF(DATOS_[[AGRUP. VALOR. PTO.]:[AGRUP. VALOR. PTO.]]=$B66,IF(DATOS_[[Check Periodo Ref.]:[Check Periodo Ref.]]="Dentro",DATOS_[Conc.Sal.18]))))),
0)</f>
        <v>0</v>
      </c>
      <c r="X68" s="93">
        <f t="array" ref="X68">IFERROR(
AVERAGE((IF(DATOS_[[Sexo]:[Sexo]]=$B68,IF(DATOS_[[AGRUP. VALOR. PTO.]:[AGRUP. VALOR. PTO.]]=$B66,IF(DATOS_[[Check Periodo Ref.]:[Check Periodo Ref.]]="Dentro",DATOS_[Conc.Sal.19]))))),
0)</f>
        <v>0</v>
      </c>
      <c r="Y68" s="93">
        <f t="array" ref="Y68">IFERROR(
AVERAGE((IF(DATOS_[[Sexo]:[Sexo]]=$B68,IF(DATOS_[[AGRUP. VALOR. PTO.]:[AGRUP. VALOR. PTO.]]=$B66,IF(DATOS_[[Check Periodo Ref.]:[Check Periodo Ref.]]="Dentro",DATOS_[Conc.Sal.20]))))),
0)</f>
        <v>0</v>
      </c>
      <c r="Z68" s="93">
        <f t="array" ref="Z68">IFERROR(
AVERAGE((IF(DATOS_[[Sexo]:[Sexo]]=$B68,IF(DATOS_[[AGRUP. VALOR. PTO.]:[AGRUP. VALOR. PTO.]]=$B66,IF(DATOS_[[Check Periodo Ref.]:[Check Periodo Ref.]]="Dentro",DATOS_[Conc.Sal.21]))))),
0)</f>
        <v>0</v>
      </c>
      <c r="AA68" s="93">
        <f t="array" ref="AA68">IFERROR(
AVERAGE((IF(DATOS_[[Sexo]:[Sexo]]=$B68,IF(DATOS_[[AGRUP. VALOR. PTO.]:[AGRUP. VALOR. PTO.]]=$B66,IF(DATOS_[[Check Periodo Ref.]:[Check Periodo Ref.]]="Dentro",DATOS_[Conc.Sal.22]))))),
0)</f>
        <v>0</v>
      </c>
      <c r="AB68" s="93">
        <f t="array" ref="AB68">IFERROR(
AVERAGE((IF(DATOS_[[Sexo]:[Sexo]]=$B68,IF(DATOS_[[AGRUP. VALOR. PTO.]:[AGRUP. VALOR. PTO.]]=$B66,IF(DATOS_[[Check Periodo Ref.]:[Check Periodo Ref.]]="Dentro",DATOS_[Conc.Sal.23]))))),
0)</f>
        <v>0</v>
      </c>
      <c r="AC68" s="93">
        <f t="array" ref="AC68">IFERROR(
AVERAGE((IF(DATOS_[[Sexo]:[Sexo]]=$B68,IF(DATOS_[[AGRUP. VALOR. PTO.]:[AGRUP. VALOR. PTO.]]=$B66,IF(DATOS_[[Check Periodo Ref.]:[Check Periodo Ref.]]="Dentro",DATOS_[Conc.Sal.24]))))),
0)</f>
        <v>0</v>
      </c>
      <c r="AD68" s="93">
        <f t="array" ref="AD68">IFERROR(
AVERAGE((IF(DATOS_[[Sexo]:[Sexo]]=$B68,IF(DATOS_[[AGRUP. VALOR. PTO.]:[AGRUP. VALOR. PTO.]]=$B66,IF(DATOS_[[Check Periodo Ref.]:[Check Periodo Ref.]]="Dentro",DATOS_[Conc.Sal.25]))))),
0)</f>
        <v>0</v>
      </c>
      <c r="AE68" s="93">
        <f t="array" ref="AE68">IFERROR(
AVERAGE((IF(DATOS_[[Sexo]:[Sexo]]=$B68,IF(DATOS_[[AGRUP. VALOR. PTO.]:[AGRUP. VALOR. PTO.]]=$B66,IF(DATOS_[[Check Periodo Ref.]:[Check Periodo Ref.]]="Dentro",DATOS_[Conc.Sal.26]))))),
0)</f>
        <v>0</v>
      </c>
      <c r="AF68" s="93">
        <f t="array" ref="AF68">IFERROR(
AVERAGE((IF(DATOS_[[Sexo]:[Sexo]]=$B68,IF(DATOS_[[AGRUP. VALOR. PTO.]:[AGRUP. VALOR. PTO.]]=$B66,IF(DATOS_[[Check Periodo Ref.]:[Check Periodo Ref.]]="Dentro",DATOS_[Conc.Sal.27]))))),
0)</f>
        <v>0</v>
      </c>
      <c r="AG68" s="93">
        <f t="array" ref="AG68">IFERROR(
AVERAGE((IF(DATOS_[[Sexo]:[Sexo]]=$B68,IF(DATOS_[[AGRUP. VALOR. PTO.]:[AGRUP. VALOR. PTO.]]=$B66,IF(DATOS_[[Check Periodo Ref.]:[Check Periodo Ref.]]="Dentro",DATOS_[Conc.Sal.28]))))),
0)</f>
        <v>0</v>
      </c>
      <c r="AH68" s="93">
        <f t="array" ref="AH68">IFERROR(
AVERAGE((IF(DATOS_[[Sexo]:[Sexo]]=$B68,IF(DATOS_[[AGRUP. VALOR. PTO.]:[AGRUP. VALOR. PTO.]]=$B66,IF(DATOS_[[Check Periodo Ref.]:[Check Periodo Ref.]]="Dentro",DATOS_[Conc.Sal.29]))))),
0)</f>
        <v>0</v>
      </c>
      <c r="AI68" s="93">
        <f t="array" ref="AI68">IFERROR(
AVERAGE((IF(DATOS_[[Sexo]:[Sexo]]=$B68,IF(DATOS_[[AGRUP. VALOR. PTO.]:[AGRUP. VALOR. PTO.]]=$B66,IF(DATOS_[[Check Periodo Ref.]:[Check Periodo Ref.]]="Dentro",DATOS_[Conc.Sal.30]))))),
0)</f>
        <v>0</v>
      </c>
      <c r="AJ68" s="94">
        <f t="array" ref="AJ68">IFERROR(
AVERAGE(IF(DATOS_[Sexo]=$B68,IF(DATOS_[AGRUP. VALOR. PTO.]=$B66,IF(DATOS_[Check Periodo Ref.]="Dentro",DATOS_[Tot COMPL.SAL Ef],FALSE)))),
0)</f>
        <v>0</v>
      </c>
      <c r="AK68" s="96">
        <f t="array" ref="AK68">IFERROR(
AVERAGE(IF(DATOS_[Sexo]=$B68,IF(DATOS_[AGRUP. VALOR. PTO.]=$B66,IF(DATOS_[Check Periodo Ref.]="Dentro",DATOS_[TOTAL SALARIO Ef],FALSE)))),
0)</f>
        <v>0</v>
      </c>
      <c r="AL68" s="95">
        <f t="array" ref="AL68">IFERROR(
AVERAGE((IF(DATOS_[[Sexo]:[Sexo]]=$B68,IF(DATOS_[[AGRUP. VALOR. PTO.]:[AGRUP. VALOR. PTO.]]=$B66,IF(DATOS_[[Check Periodo Ref.]:[Check Periodo Ref.]]="Dentro",DATOS_[C.Extra.01]))))),
0)</f>
        <v>0</v>
      </c>
      <c r="AM68" s="95">
        <f t="array" ref="AM68">IFERROR(
AVERAGE((IF(DATOS_[[Sexo]:[Sexo]]=$B68,IF(DATOS_[[AGRUP. VALOR. PTO.]:[AGRUP. VALOR. PTO.]]=$B66,IF(DATOS_[[Check Periodo Ref.]:[Check Periodo Ref.]]="Dentro",DATOS_[C.Extra.02]))))),
0)</f>
        <v>0</v>
      </c>
      <c r="AN68" s="95">
        <f t="array" ref="AN68">IFERROR(
AVERAGE((IF(DATOS_[[Sexo]:[Sexo]]=$B68,IF(DATOS_[[AGRUP. VALOR. PTO.]:[AGRUP. VALOR. PTO.]]=$B66,IF(DATOS_[[Check Periodo Ref.]:[Check Periodo Ref.]]="Dentro",DATOS_[C.Extra.03]))))),
0)</f>
        <v>0</v>
      </c>
      <c r="AO68" s="95">
        <f t="array" ref="AO68">IFERROR(
AVERAGE((IF(DATOS_[[Sexo]:[Sexo]]=$B68,IF(DATOS_[[AGRUP. VALOR. PTO.]:[AGRUP. VALOR. PTO.]]=$B66,IF(DATOS_[[Check Periodo Ref.]:[Check Periodo Ref.]]="Dentro",DATOS_[C.Extra.04]))))),
0)</f>
        <v>0</v>
      </c>
      <c r="AP68" s="95">
        <f t="array" ref="AP68">IFERROR(
AVERAGE((IF(DATOS_[[Sexo]:[Sexo]]=$B68,IF(DATOS_[[AGRUP. VALOR. PTO.]:[AGRUP. VALOR. PTO.]]=$B66,IF(DATOS_[[Check Periodo Ref.]:[Check Periodo Ref.]]="Dentro",DATOS_[C.Extra.05]))))),
0)</f>
        <v>0</v>
      </c>
      <c r="AQ68" s="97">
        <f t="array" ref="AQ68">IFERROR(
AVERAGE(IF(DATOS_[Sexo]=$B68,IF(DATOS_[AGRUP. VALOR. PTO.]=$B66,IF(DATOS_[Check Periodo Ref.]="Dentro",DATOS_[Tot Extrasalarial Ef],FALSE)))),
0)</f>
        <v>0</v>
      </c>
      <c r="AR68" s="98">
        <f t="array" ref="AR68">IFERROR(
AVERAGE(IF(DATOS_[Sexo]=$B68,IF(DATOS_[AGRUP. VALOR. PTO.]=$B66,IF(DATOS_[Check Periodo Ref.]="Dentro",DATOS_[TOTAL Retrib Ef],FALSE)))),
0)</f>
        <v>0</v>
      </c>
    </row>
    <row r="69" spans="1:44" ht="17.25" hidden="1" thickBot="1" x14ac:dyDescent="0.35">
      <c r="A69" s="48" t="str">
        <f t="shared" ref="A69" si="75">+A70</f>
        <v>[ocultar]</v>
      </c>
      <c r="B69" s="51" t="s">
        <v>278</v>
      </c>
      <c r="C69" s="91"/>
      <c r="D69" s="52"/>
      <c r="E69" s="139" t="str">
        <f t="shared" ref="E69:AR69" si="76">IFERROR((E70-E71)/E70,"")</f>
        <v/>
      </c>
      <c r="F69" s="179" t="str">
        <f t="shared" si="76"/>
        <v/>
      </c>
      <c r="G69" s="180" t="str">
        <f t="shared" si="76"/>
        <v/>
      </c>
      <c r="H69" s="180" t="str">
        <f t="shared" si="76"/>
        <v/>
      </c>
      <c r="I69" s="180" t="str">
        <f t="shared" si="76"/>
        <v/>
      </c>
      <c r="J69" s="181" t="str">
        <f t="shared" si="76"/>
        <v/>
      </c>
      <c r="K69" s="182" t="str">
        <f t="shared" si="76"/>
        <v/>
      </c>
      <c r="L69" s="182" t="str">
        <f t="shared" si="76"/>
        <v/>
      </c>
      <c r="M69" s="182" t="str">
        <f t="shared" si="76"/>
        <v/>
      </c>
      <c r="N69" s="182" t="str">
        <f t="shared" si="76"/>
        <v/>
      </c>
      <c r="O69" s="182" t="str">
        <f t="shared" si="76"/>
        <v/>
      </c>
      <c r="P69" s="182" t="str">
        <f t="shared" si="76"/>
        <v/>
      </c>
      <c r="Q69" s="182" t="str">
        <f t="shared" si="76"/>
        <v/>
      </c>
      <c r="R69" s="182" t="str">
        <f t="shared" si="76"/>
        <v/>
      </c>
      <c r="S69" s="182" t="str">
        <f t="shared" si="76"/>
        <v/>
      </c>
      <c r="T69" s="182" t="str">
        <f t="shared" si="76"/>
        <v/>
      </c>
      <c r="U69" s="182" t="str">
        <f t="shared" si="76"/>
        <v/>
      </c>
      <c r="V69" s="181" t="str">
        <f t="shared" si="76"/>
        <v/>
      </c>
      <c r="W69" s="181" t="str">
        <f t="shared" si="76"/>
        <v/>
      </c>
      <c r="X69" s="181" t="str">
        <f t="shared" si="76"/>
        <v/>
      </c>
      <c r="Y69" s="181" t="str">
        <f t="shared" si="76"/>
        <v/>
      </c>
      <c r="Z69" s="181" t="str">
        <f t="shared" si="76"/>
        <v/>
      </c>
      <c r="AA69" s="181" t="str">
        <f t="shared" si="76"/>
        <v/>
      </c>
      <c r="AB69" s="181" t="str">
        <f t="shared" si="76"/>
        <v/>
      </c>
      <c r="AC69" s="181" t="str">
        <f t="shared" si="76"/>
        <v/>
      </c>
      <c r="AD69" s="181" t="str">
        <f t="shared" si="76"/>
        <v/>
      </c>
      <c r="AE69" s="181" t="str">
        <f t="shared" si="76"/>
        <v/>
      </c>
      <c r="AF69" s="181" t="str">
        <f t="shared" si="76"/>
        <v/>
      </c>
      <c r="AG69" s="181" t="str">
        <f t="shared" si="76"/>
        <v/>
      </c>
      <c r="AH69" s="181" t="str">
        <f t="shared" si="76"/>
        <v/>
      </c>
      <c r="AI69" s="181" t="str">
        <f t="shared" si="76"/>
        <v/>
      </c>
      <c r="AJ69" s="140" t="str">
        <f t="shared" si="76"/>
        <v/>
      </c>
      <c r="AK69" s="143" t="str">
        <f t="shared" si="76"/>
        <v/>
      </c>
      <c r="AL69" s="184" t="str">
        <f t="shared" si="76"/>
        <v/>
      </c>
      <c r="AM69" s="184" t="str">
        <f t="shared" si="76"/>
        <v/>
      </c>
      <c r="AN69" s="184" t="str">
        <f t="shared" si="76"/>
        <v/>
      </c>
      <c r="AO69" s="184" t="str">
        <f t="shared" si="76"/>
        <v/>
      </c>
      <c r="AP69" s="184" t="str">
        <f t="shared" si="76"/>
        <v/>
      </c>
      <c r="AQ69" s="141" t="str">
        <f t="shared" si="76"/>
        <v/>
      </c>
      <c r="AR69" s="142" t="str">
        <f t="shared" si="76"/>
        <v/>
      </c>
    </row>
    <row r="70" spans="1:44" hidden="1" x14ac:dyDescent="0.3">
      <c r="A70" s="48" t="str">
        <f t="shared" ref="A70" si="77">+IF(C70+C71=0,"[ocultar]","")</f>
        <v>[ocultar]</v>
      </c>
      <c r="B70" s="46" t="s">
        <v>162</v>
      </c>
      <c r="C70" s="45">
        <f t="array" ref="C70">SUM(IF($B70=DATOS_[Sexo],
IF($B69=DATOS_[AGRUP. VALOR. PTO.],
IF("Dentro"=DATOS_[Check Periodo Ref.],
1/(COUNTIFS(DATOS_[Sexo],$B70,DATOS_[AGRUP. VALOR. PTO.],$B69,DATOS_[Check Periodo Ref.],"Dentro",DATOS_[id],DATOS_[id]))))))</f>
        <v>0</v>
      </c>
      <c r="D70" s="47">
        <f>COUNTIFS(DATOS_[AGRUP. VALOR. PTO.],$B69,DATOS_[Sexo],$B70,DATOS_[Check Periodo Ref.],"Dentro")</f>
        <v>0</v>
      </c>
      <c r="E70" s="92">
        <f t="array" ref="E70">IFERROR(
AVERAGE(IF(DATOS_[Sexo]=$B70,IF(DATOS_[AGRUP. VALOR. PTO.]=$B69,IF(DATOS_[Check Periodo Ref.]="Dentro",DATOS_[SALARIO BASE Ef],FALSE)))),
0)</f>
        <v>0</v>
      </c>
      <c r="F70" s="93">
        <f t="array" ref="F70">IFERROR(
AVERAGE((IF(DATOS_[[Sexo]:[Sexo]]=$B70,IF(DATOS_[[AGRUP. VALOR. PTO.]:[AGRUP. VALOR. PTO.]]=$B69,IF(DATOS_[[Check Periodo Ref.]:[Check Periodo Ref.]]="Dentro",DATOS_[Conc.Sal.01]))))),
0)</f>
        <v>0</v>
      </c>
      <c r="G70" s="93">
        <f t="array" ref="G70">IFERROR(
AVERAGE((IF(DATOS_[[Sexo]:[Sexo]]=$B70,IF(DATOS_[[AGRUP. VALOR. PTO.]:[AGRUP. VALOR. PTO.]]=$B69,IF(DATOS_[[Check Periodo Ref.]:[Check Periodo Ref.]]="Dentro",DATOS_[Conc.Sal.02]))))),
0)</f>
        <v>0</v>
      </c>
      <c r="H70" s="93">
        <f t="array" ref="H70">IFERROR(
AVERAGE((IF(DATOS_[[Sexo]:[Sexo]]=$B70,IF(DATOS_[[AGRUP. VALOR. PTO.]:[AGRUP. VALOR. PTO.]]=$B69,IF(DATOS_[[Check Periodo Ref.]:[Check Periodo Ref.]]="Dentro",DATOS_[Conc.Sal.03]))))),
0)</f>
        <v>0</v>
      </c>
      <c r="I70" s="93">
        <f t="array" ref="I70">IFERROR(
AVERAGE((IF(DATOS_[[Sexo]:[Sexo]]=$B70,IF(DATOS_[[AGRUP. VALOR. PTO.]:[AGRUP. VALOR. PTO.]]=$B69,IF(DATOS_[[Check Periodo Ref.]:[Check Periodo Ref.]]="Dentro",DATOS_[Conc.Sal.04]))))),
0)</f>
        <v>0</v>
      </c>
      <c r="J70" s="93">
        <f t="array" ref="J70">IFERROR(
AVERAGE((IF(DATOS_[[Sexo]:[Sexo]]=$B70,IF(DATOS_[[AGRUP. VALOR. PTO.]:[AGRUP. VALOR. PTO.]]=$B69,IF(DATOS_[[Check Periodo Ref.]:[Check Periodo Ref.]]="Dentro",DATOS_[Conc.Sal.05]))))),
0)</f>
        <v>0</v>
      </c>
      <c r="K70" s="93">
        <f t="array" ref="K70">IFERROR(
AVERAGE((IF(DATOS_[[Sexo]:[Sexo]]=$B70,IF(DATOS_[[AGRUP. VALOR. PTO.]:[AGRUP. VALOR. PTO.]]=$B69,IF(DATOS_[[Check Periodo Ref.]:[Check Periodo Ref.]]="Dentro",DATOS_[Conc.Sal.06]))))),
0)</f>
        <v>0</v>
      </c>
      <c r="L70" s="93">
        <f t="array" ref="L70">IFERROR(
AVERAGE((IF(DATOS_[[Sexo]:[Sexo]]=$B70,IF(DATOS_[[AGRUP. VALOR. PTO.]:[AGRUP. VALOR. PTO.]]=$B69,IF(DATOS_[[Check Periodo Ref.]:[Check Periodo Ref.]]="Dentro",DATOS_[Conc.Sal.07]))))),
0)</f>
        <v>0</v>
      </c>
      <c r="M70" s="93">
        <f t="array" ref="M70">IFERROR(
AVERAGE((IF(DATOS_[[Sexo]:[Sexo]]=$B70,IF(DATOS_[[AGRUP. VALOR. PTO.]:[AGRUP. VALOR. PTO.]]=$B69,IF(DATOS_[[Check Periodo Ref.]:[Check Periodo Ref.]]="Dentro",DATOS_[Conc.Sal.08]))))),
0)</f>
        <v>0</v>
      </c>
      <c r="N70" s="93">
        <f t="array" ref="N70">IFERROR(
AVERAGE((IF(DATOS_[[Sexo]:[Sexo]]=$B70,IF(DATOS_[[AGRUP. VALOR. PTO.]:[AGRUP. VALOR. PTO.]]=$B69,IF(DATOS_[[Check Periodo Ref.]:[Check Periodo Ref.]]="Dentro",DATOS_[Conc.Sal.09]))))),
0)</f>
        <v>0</v>
      </c>
      <c r="O70" s="93">
        <f t="array" ref="O70">IFERROR(
AVERAGE((IF(DATOS_[[Sexo]:[Sexo]]=$B70,IF(DATOS_[[AGRUP. VALOR. PTO.]:[AGRUP. VALOR. PTO.]]=$B69,IF(DATOS_[[Check Periodo Ref.]:[Check Periodo Ref.]]="Dentro",DATOS_[Conc.Sal.10]))))),
0)</f>
        <v>0</v>
      </c>
      <c r="P70" s="93">
        <f t="array" ref="P70">IFERROR(
AVERAGE((IF(DATOS_[[Sexo]:[Sexo]]=$B70,IF(DATOS_[[AGRUP. VALOR. PTO.]:[AGRUP. VALOR. PTO.]]=$B69,IF(DATOS_[[Check Periodo Ref.]:[Check Periodo Ref.]]="Dentro",DATOS_[Conc.Sal.11]))))),
0)</f>
        <v>0</v>
      </c>
      <c r="Q70" s="93">
        <f t="array" ref="Q70">IFERROR(
AVERAGE((IF(DATOS_[[Sexo]:[Sexo]]=$B70,IF(DATOS_[[AGRUP. VALOR. PTO.]:[AGRUP. VALOR. PTO.]]=$B69,IF(DATOS_[[Check Periodo Ref.]:[Check Periodo Ref.]]="Dentro",DATOS_[Conc.Sal.12]))))),
0)</f>
        <v>0</v>
      </c>
      <c r="R70" s="93">
        <f t="array" ref="R70">IFERROR(
AVERAGE((IF(DATOS_[[Sexo]:[Sexo]]=$B70,IF(DATOS_[[AGRUP. VALOR. PTO.]:[AGRUP. VALOR. PTO.]]=$B69,IF(DATOS_[[Check Periodo Ref.]:[Check Periodo Ref.]]="Dentro",DATOS_[Conc.Sal.13]))))),
0)</f>
        <v>0</v>
      </c>
      <c r="S70" s="93">
        <f t="array" ref="S70">IFERROR(
AVERAGE((IF(DATOS_[[Sexo]:[Sexo]]=$B70,IF(DATOS_[[AGRUP. VALOR. PTO.]:[AGRUP. VALOR. PTO.]]=$B69,IF(DATOS_[[Check Periodo Ref.]:[Check Periodo Ref.]]="Dentro",DATOS_[Conc.Sal.14]))))),
0)</f>
        <v>0</v>
      </c>
      <c r="T70" s="93">
        <f t="array" ref="T70">IFERROR(
AVERAGE((IF(DATOS_[[Sexo]:[Sexo]]=$B70,IF(DATOS_[[AGRUP. VALOR. PTO.]:[AGRUP. VALOR. PTO.]]=$B69,IF(DATOS_[[Check Periodo Ref.]:[Check Periodo Ref.]]="Dentro",DATOS_[Conc.Sal.15]))))),
0)</f>
        <v>0</v>
      </c>
      <c r="U70" s="93">
        <f t="array" ref="U70">IFERROR(
AVERAGE((IF(DATOS_[[Sexo]:[Sexo]]=$B70,IF(DATOS_[[AGRUP. VALOR. PTO.]:[AGRUP. VALOR. PTO.]]=$B69,IF(DATOS_[[Check Periodo Ref.]:[Check Periodo Ref.]]="Dentro",DATOS_[Conc.Sal.16]))))),
0)</f>
        <v>0</v>
      </c>
      <c r="V70" s="93">
        <f t="array" ref="V70">IFERROR(
AVERAGE((IF(DATOS_[[Sexo]:[Sexo]]=$B70,IF(DATOS_[[AGRUP. VALOR. PTO.]:[AGRUP. VALOR. PTO.]]=$B69,IF(DATOS_[[Check Periodo Ref.]:[Check Periodo Ref.]]="Dentro",DATOS_[Conc.Sal.17]))))),
0)</f>
        <v>0</v>
      </c>
      <c r="W70" s="93">
        <f t="array" ref="W70">IFERROR(
AVERAGE((IF(DATOS_[[Sexo]:[Sexo]]=$B70,IF(DATOS_[[AGRUP. VALOR. PTO.]:[AGRUP. VALOR. PTO.]]=$B69,IF(DATOS_[[Check Periodo Ref.]:[Check Periodo Ref.]]="Dentro",DATOS_[Conc.Sal.18]))))),
0)</f>
        <v>0</v>
      </c>
      <c r="X70" s="93">
        <f t="array" ref="X70">IFERROR(
AVERAGE((IF(DATOS_[[Sexo]:[Sexo]]=$B70,IF(DATOS_[[AGRUP. VALOR. PTO.]:[AGRUP. VALOR. PTO.]]=$B69,IF(DATOS_[[Check Periodo Ref.]:[Check Periodo Ref.]]="Dentro",DATOS_[Conc.Sal.19]))))),
0)</f>
        <v>0</v>
      </c>
      <c r="Y70" s="93">
        <f t="array" ref="Y70">IFERROR(
AVERAGE((IF(DATOS_[[Sexo]:[Sexo]]=$B70,IF(DATOS_[[AGRUP. VALOR. PTO.]:[AGRUP. VALOR. PTO.]]=$B69,IF(DATOS_[[Check Periodo Ref.]:[Check Periodo Ref.]]="Dentro",DATOS_[Conc.Sal.20]))))),
0)</f>
        <v>0</v>
      </c>
      <c r="Z70" s="93">
        <f t="array" ref="Z70">IFERROR(
AVERAGE((IF(DATOS_[[Sexo]:[Sexo]]=$B70,IF(DATOS_[[AGRUP. VALOR. PTO.]:[AGRUP. VALOR. PTO.]]=$B69,IF(DATOS_[[Check Periodo Ref.]:[Check Periodo Ref.]]="Dentro",DATOS_[Conc.Sal.21]))))),
0)</f>
        <v>0</v>
      </c>
      <c r="AA70" s="93">
        <f t="array" ref="AA70">IFERROR(
AVERAGE((IF(DATOS_[[Sexo]:[Sexo]]=$B70,IF(DATOS_[[AGRUP. VALOR. PTO.]:[AGRUP. VALOR. PTO.]]=$B69,IF(DATOS_[[Check Periodo Ref.]:[Check Periodo Ref.]]="Dentro",DATOS_[Conc.Sal.22]))))),
0)</f>
        <v>0</v>
      </c>
      <c r="AB70" s="93">
        <f t="array" ref="AB70">IFERROR(
AVERAGE((IF(DATOS_[[Sexo]:[Sexo]]=$B70,IF(DATOS_[[AGRUP. VALOR. PTO.]:[AGRUP. VALOR. PTO.]]=$B69,IF(DATOS_[[Check Periodo Ref.]:[Check Periodo Ref.]]="Dentro",DATOS_[Conc.Sal.23]))))),
0)</f>
        <v>0</v>
      </c>
      <c r="AC70" s="93">
        <f t="array" ref="AC70">IFERROR(
AVERAGE((IF(DATOS_[[Sexo]:[Sexo]]=$B70,IF(DATOS_[[AGRUP. VALOR. PTO.]:[AGRUP. VALOR. PTO.]]=$B69,IF(DATOS_[[Check Periodo Ref.]:[Check Periodo Ref.]]="Dentro",DATOS_[Conc.Sal.24]))))),
0)</f>
        <v>0</v>
      </c>
      <c r="AD70" s="93">
        <f t="array" ref="AD70">IFERROR(
AVERAGE((IF(DATOS_[[Sexo]:[Sexo]]=$B70,IF(DATOS_[[AGRUP. VALOR. PTO.]:[AGRUP. VALOR. PTO.]]=$B69,IF(DATOS_[[Check Periodo Ref.]:[Check Periodo Ref.]]="Dentro",DATOS_[Conc.Sal.25]))))),
0)</f>
        <v>0</v>
      </c>
      <c r="AE70" s="93">
        <f t="array" ref="AE70">IFERROR(
AVERAGE((IF(DATOS_[[Sexo]:[Sexo]]=$B70,IF(DATOS_[[AGRUP. VALOR. PTO.]:[AGRUP. VALOR. PTO.]]=$B69,IF(DATOS_[[Check Periodo Ref.]:[Check Periodo Ref.]]="Dentro",DATOS_[Conc.Sal.26]))))),
0)</f>
        <v>0</v>
      </c>
      <c r="AF70" s="93">
        <f t="array" ref="AF70">IFERROR(
AVERAGE((IF(DATOS_[[Sexo]:[Sexo]]=$B70,IF(DATOS_[[AGRUP. VALOR. PTO.]:[AGRUP. VALOR. PTO.]]=$B69,IF(DATOS_[[Check Periodo Ref.]:[Check Periodo Ref.]]="Dentro",DATOS_[Conc.Sal.27]))))),
0)</f>
        <v>0</v>
      </c>
      <c r="AG70" s="93">
        <f t="array" ref="AG70">IFERROR(
AVERAGE((IF(DATOS_[[Sexo]:[Sexo]]=$B70,IF(DATOS_[[AGRUP. VALOR. PTO.]:[AGRUP. VALOR. PTO.]]=$B69,IF(DATOS_[[Check Periodo Ref.]:[Check Periodo Ref.]]="Dentro",DATOS_[Conc.Sal.28]))))),
0)</f>
        <v>0</v>
      </c>
      <c r="AH70" s="93">
        <f t="array" ref="AH70">IFERROR(
AVERAGE((IF(DATOS_[[Sexo]:[Sexo]]=$B70,IF(DATOS_[[AGRUP. VALOR. PTO.]:[AGRUP. VALOR. PTO.]]=$B69,IF(DATOS_[[Check Periodo Ref.]:[Check Periodo Ref.]]="Dentro",DATOS_[Conc.Sal.29]))))),
0)</f>
        <v>0</v>
      </c>
      <c r="AI70" s="93">
        <f t="array" ref="AI70">IFERROR(
AVERAGE((IF(DATOS_[[Sexo]:[Sexo]]=$B70,IF(DATOS_[[AGRUP. VALOR. PTO.]:[AGRUP. VALOR. PTO.]]=$B69,IF(DATOS_[[Check Periodo Ref.]:[Check Periodo Ref.]]="Dentro",DATOS_[Conc.Sal.30]))))),
0)</f>
        <v>0</v>
      </c>
      <c r="AJ70" s="94">
        <f t="array" ref="AJ70">IFERROR(
AVERAGE(IF(DATOS_[Sexo]=$B70,IF(DATOS_[AGRUP. VALOR. PTO.]=$B69,IF(DATOS_[Check Periodo Ref.]="Dentro",DATOS_[Tot COMPL.SAL Ef],FALSE)))),
0)</f>
        <v>0</v>
      </c>
      <c r="AK70" s="96">
        <f t="array" ref="AK70">IFERROR(
AVERAGE(IF(DATOS_[Sexo]=$B70,IF(DATOS_[AGRUP. VALOR. PTO.]=$B69,IF(DATOS_[Check Periodo Ref.]="Dentro",DATOS_[TOTAL SALARIO Ef],FALSE)))),
0)</f>
        <v>0</v>
      </c>
      <c r="AL70" s="95">
        <f t="array" ref="AL70">IFERROR(
AVERAGE((IF(DATOS_[[Sexo]:[Sexo]]=$B70,IF(DATOS_[[AGRUP. VALOR. PTO.]:[AGRUP. VALOR. PTO.]]=$B69,IF(DATOS_[[Check Periodo Ref.]:[Check Periodo Ref.]]="Dentro",DATOS_[C.Extra.01]))))),
0)</f>
        <v>0</v>
      </c>
      <c r="AM70" s="95">
        <f t="array" ref="AM70">IFERROR(
AVERAGE((IF(DATOS_[[Sexo]:[Sexo]]=$B70,IF(DATOS_[[AGRUP. VALOR. PTO.]:[AGRUP. VALOR. PTO.]]=$B69,IF(DATOS_[[Check Periodo Ref.]:[Check Periodo Ref.]]="Dentro",DATOS_[C.Extra.02]))))),
0)</f>
        <v>0</v>
      </c>
      <c r="AN70" s="95">
        <f t="array" ref="AN70">IFERROR(
AVERAGE((IF(DATOS_[[Sexo]:[Sexo]]=$B70,IF(DATOS_[[AGRUP. VALOR. PTO.]:[AGRUP. VALOR. PTO.]]=$B69,IF(DATOS_[[Check Periodo Ref.]:[Check Periodo Ref.]]="Dentro",DATOS_[C.Extra.03]))))),
0)</f>
        <v>0</v>
      </c>
      <c r="AO70" s="95">
        <f t="array" ref="AO70">IFERROR(
AVERAGE((IF(DATOS_[[Sexo]:[Sexo]]=$B70,IF(DATOS_[[AGRUP. VALOR. PTO.]:[AGRUP. VALOR. PTO.]]=$B69,IF(DATOS_[[Check Periodo Ref.]:[Check Periodo Ref.]]="Dentro",DATOS_[C.Extra.04]))))),
0)</f>
        <v>0</v>
      </c>
      <c r="AP70" s="95">
        <f t="array" ref="AP70">IFERROR(
AVERAGE((IF(DATOS_[[Sexo]:[Sexo]]=$B70,IF(DATOS_[[AGRUP. VALOR. PTO.]:[AGRUP. VALOR. PTO.]]=$B69,IF(DATOS_[[Check Periodo Ref.]:[Check Periodo Ref.]]="Dentro",DATOS_[C.Extra.05]))))),
0)</f>
        <v>0</v>
      </c>
      <c r="AQ70" s="97">
        <f t="array" ref="AQ70">IFERROR(
AVERAGE(IF(DATOS_[Sexo]=$B70,IF(DATOS_[AGRUP. VALOR. PTO.]=$B69,IF(DATOS_[Check Periodo Ref.]="Dentro",DATOS_[Tot Extrasalarial Ef],FALSE)))),
0)</f>
        <v>0</v>
      </c>
      <c r="AR70" s="98">
        <f t="array" ref="AR70">IFERROR(
AVERAGE(IF(DATOS_[Sexo]=$B70,IF(DATOS_[AGRUP. VALOR. PTO.]=$B69,IF(DATOS_[Check Periodo Ref.]="Dentro",DATOS_[TOTAL Retrib Ef],FALSE)))),
0)</f>
        <v>0</v>
      </c>
    </row>
    <row r="71" spans="1:44" hidden="1" x14ac:dyDescent="0.3">
      <c r="A71" s="48" t="str">
        <f t="shared" ref="A71" si="78">+A70</f>
        <v>[ocultar]</v>
      </c>
      <c r="B71" s="46" t="s">
        <v>163</v>
      </c>
      <c r="C71" s="45">
        <f t="array" ref="C71">SUM(IF($B71=DATOS_[Sexo],
IF($B69=DATOS_[AGRUP. VALOR. PTO.],
IF("Dentro"=DATOS_[Check Periodo Ref.],
1/(COUNTIFS(DATOS_[Sexo],$B71,DATOS_[AGRUP. VALOR. PTO.],$B69,DATOS_[Check Periodo Ref.],"Dentro",DATOS_[id],DATOS_[id]))))))</f>
        <v>0</v>
      </c>
      <c r="D71" s="47">
        <f>COUNTIFS(DATOS_[AGRUP. VALOR. PTO.],$B69,DATOS_[Sexo],$B71,DATOS_[Check Periodo Ref.],"Dentro")</f>
        <v>0</v>
      </c>
      <c r="E71" s="92">
        <f t="array" ref="E71">IFERROR(
AVERAGE(IF(DATOS_[Sexo]=$B71,IF(DATOS_[AGRUP. VALOR. PTO.]=$B69,IF(DATOS_[Check Periodo Ref.]="Dentro",DATOS_[SALARIO BASE Ef],FALSE)))),
0)</f>
        <v>0</v>
      </c>
      <c r="F71" s="93">
        <f t="array" ref="F71">IFERROR(
AVERAGE((IF(DATOS_[[Sexo]:[Sexo]]=$B71,IF(DATOS_[[AGRUP. VALOR. PTO.]:[AGRUP. VALOR. PTO.]]=$B69,IF(DATOS_[[Check Periodo Ref.]:[Check Periodo Ref.]]="Dentro",DATOS_[Conc.Sal.01]))))),
0)</f>
        <v>0</v>
      </c>
      <c r="G71" s="93">
        <f t="array" ref="G71">IFERROR(
AVERAGE((IF(DATOS_[[Sexo]:[Sexo]]=$B71,IF(DATOS_[[AGRUP. VALOR. PTO.]:[AGRUP. VALOR. PTO.]]=$B69,IF(DATOS_[[Check Periodo Ref.]:[Check Periodo Ref.]]="Dentro",DATOS_[Conc.Sal.02]))))),
0)</f>
        <v>0</v>
      </c>
      <c r="H71" s="93">
        <f t="array" ref="H71">IFERROR(
AVERAGE((IF(DATOS_[[Sexo]:[Sexo]]=$B71,IF(DATOS_[[AGRUP. VALOR. PTO.]:[AGRUP. VALOR. PTO.]]=$B69,IF(DATOS_[[Check Periodo Ref.]:[Check Periodo Ref.]]="Dentro",DATOS_[Conc.Sal.03]))))),
0)</f>
        <v>0</v>
      </c>
      <c r="I71" s="93">
        <f t="array" ref="I71">IFERROR(
AVERAGE((IF(DATOS_[[Sexo]:[Sexo]]=$B71,IF(DATOS_[[AGRUP. VALOR. PTO.]:[AGRUP. VALOR. PTO.]]=$B69,IF(DATOS_[[Check Periodo Ref.]:[Check Periodo Ref.]]="Dentro",DATOS_[Conc.Sal.04]))))),
0)</f>
        <v>0</v>
      </c>
      <c r="J71" s="93">
        <f t="array" ref="J71">IFERROR(
AVERAGE((IF(DATOS_[[Sexo]:[Sexo]]=$B71,IF(DATOS_[[AGRUP. VALOR. PTO.]:[AGRUP. VALOR. PTO.]]=$B69,IF(DATOS_[[Check Periodo Ref.]:[Check Periodo Ref.]]="Dentro",DATOS_[Conc.Sal.05]))))),
0)</f>
        <v>0</v>
      </c>
      <c r="K71" s="93">
        <f t="array" ref="K71">IFERROR(
AVERAGE((IF(DATOS_[[Sexo]:[Sexo]]=$B71,IF(DATOS_[[AGRUP. VALOR. PTO.]:[AGRUP. VALOR. PTO.]]=$B69,IF(DATOS_[[Check Periodo Ref.]:[Check Periodo Ref.]]="Dentro",DATOS_[Conc.Sal.06]))))),
0)</f>
        <v>0</v>
      </c>
      <c r="L71" s="93">
        <f t="array" ref="L71">IFERROR(
AVERAGE((IF(DATOS_[[Sexo]:[Sexo]]=$B71,IF(DATOS_[[AGRUP. VALOR. PTO.]:[AGRUP. VALOR. PTO.]]=$B69,IF(DATOS_[[Check Periodo Ref.]:[Check Periodo Ref.]]="Dentro",DATOS_[Conc.Sal.07]))))),
0)</f>
        <v>0</v>
      </c>
      <c r="M71" s="93">
        <f t="array" ref="M71">IFERROR(
AVERAGE((IF(DATOS_[[Sexo]:[Sexo]]=$B71,IF(DATOS_[[AGRUP. VALOR. PTO.]:[AGRUP. VALOR. PTO.]]=$B69,IF(DATOS_[[Check Periodo Ref.]:[Check Periodo Ref.]]="Dentro",DATOS_[Conc.Sal.08]))))),
0)</f>
        <v>0</v>
      </c>
      <c r="N71" s="93">
        <f t="array" ref="N71">IFERROR(
AVERAGE((IF(DATOS_[[Sexo]:[Sexo]]=$B71,IF(DATOS_[[AGRUP. VALOR. PTO.]:[AGRUP. VALOR. PTO.]]=$B69,IF(DATOS_[[Check Periodo Ref.]:[Check Periodo Ref.]]="Dentro",DATOS_[Conc.Sal.09]))))),
0)</f>
        <v>0</v>
      </c>
      <c r="O71" s="93">
        <f t="array" ref="O71">IFERROR(
AVERAGE((IF(DATOS_[[Sexo]:[Sexo]]=$B71,IF(DATOS_[[AGRUP. VALOR. PTO.]:[AGRUP. VALOR. PTO.]]=$B69,IF(DATOS_[[Check Periodo Ref.]:[Check Periodo Ref.]]="Dentro",DATOS_[Conc.Sal.10]))))),
0)</f>
        <v>0</v>
      </c>
      <c r="P71" s="93">
        <f t="array" ref="P71">IFERROR(
AVERAGE((IF(DATOS_[[Sexo]:[Sexo]]=$B71,IF(DATOS_[[AGRUP. VALOR. PTO.]:[AGRUP. VALOR. PTO.]]=$B69,IF(DATOS_[[Check Periodo Ref.]:[Check Periodo Ref.]]="Dentro",DATOS_[Conc.Sal.11]))))),
0)</f>
        <v>0</v>
      </c>
      <c r="Q71" s="93">
        <f t="array" ref="Q71">IFERROR(
AVERAGE((IF(DATOS_[[Sexo]:[Sexo]]=$B71,IF(DATOS_[[AGRUP. VALOR. PTO.]:[AGRUP. VALOR. PTO.]]=$B69,IF(DATOS_[[Check Periodo Ref.]:[Check Periodo Ref.]]="Dentro",DATOS_[Conc.Sal.12]))))),
0)</f>
        <v>0</v>
      </c>
      <c r="R71" s="93">
        <f t="array" ref="R71">IFERROR(
AVERAGE((IF(DATOS_[[Sexo]:[Sexo]]=$B71,IF(DATOS_[[AGRUP. VALOR. PTO.]:[AGRUP. VALOR. PTO.]]=$B69,IF(DATOS_[[Check Periodo Ref.]:[Check Periodo Ref.]]="Dentro",DATOS_[Conc.Sal.13]))))),
0)</f>
        <v>0</v>
      </c>
      <c r="S71" s="93">
        <f t="array" ref="S71">IFERROR(
AVERAGE((IF(DATOS_[[Sexo]:[Sexo]]=$B71,IF(DATOS_[[AGRUP. VALOR. PTO.]:[AGRUP. VALOR. PTO.]]=$B69,IF(DATOS_[[Check Periodo Ref.]:[Check Periodo Ref.]]="Dentro",DATOS_[Conc.Sal.14]))))),
0)</f>
        <v>0</v>
      </c>
      <c r="T71" s="93">
        <f t="array" ref="T71">IFERROR(
AVERAGE((IF(DATOS_[[Sexo]:[Sexo]]=$B71,IF(DATOS_[[AGRUP. VALOR. PTO.]:[AGRUP. VALOR. PTO.]]=$B69,IF(DATOS_[[Check Periodo Ref.]:[Check Periodo Ref.]]="Dentro",DATOS_[Conc.Sal.15]))))),
0)</f>
        <v>0</v>
      </c>
      <c r="U71" s="93">
        <f t="array" ref="U71">IFERROR(
AVERAGE((IF(DATOS_[[Sexo]:[Sexo]]=$B71,IF(DATOS_[[AGRUP. VALOR. PTO.]:[AGRUP. VALOR. PTO.]]=$B69,IF(DATOS_[[Check Periodo Ref.]:[Check Periodo Ref.]]="Dentro",DATOS_[Conc.Sal.16]))))),
0)</f>
        <v>0</v>
      </c>
      <c r="V71" s="93">
        <f t="array" ref="V71">IFERROR(
AVERAGE((IF(DATOS_[[Sexo]:[Sexo]]=$B71,IF(DATOS_[[AGRUP. VALOR. PTO.]:[AGRUP. VALOR. PTO.]]=$B69,IF(DATOS_[[Check Periodo Ref.]:[Check Periodo Ref.]]="Dentro",DATOS_[Conc.Sal.17]))))),
0)</f>
        <v>0</v>
      </c>
      <c r="W71" s="93">
        <f t="array" ref="W71">IFERROR(
AVERAGE((IF(DATOS_[[Sexo]:[Sexo]]=$B71,IF(DATOS_[[AGRUP. VALOR. PTO.]:[AGRUP. VALOR. PTO.]]=$B69,IF(DATOS_[[Check Periodo Ref.]:[Check Periodo Ref.]]="Dentro",DATOS_[Conc.Sal.18]))))),
0)</f>
        <v>0</v>
      </c>
      <c r="X71" s="93">
        <f t="array" ref="X71">IFERROR(
AVERAGE((IF(DATOS_[[Sexo]:[Sexo]]=$B71,IF(DATOS_[[AGRUP. VALOR. PTO.]:[AGRUP. VALOR. PTO.]]=$B69,IF(DATOS_[[Check Periodo Ref.]:[Check Periodo Ref.]]="Dentro",DATOS_[Conc.Sal.19]))))),
0)</f>
        <v>0</v>
      </c>
      <c r="Y71" s="93">
        <f t="array" ref="Y71">IFERROR(
AVERAGE((IF(DATOS_[[Sexo]:[Sexo]]=$B71,IF(DATOS_[[AGRUP. VALOR. PTO.]:[AGRUP. VALOR. PTO.]]=$B69,IF(DATOS_[[Check Periodo Ref.]:[Check Periodo Ref.]]="Dentro",DATOS_[Conc.Sal.20]))))),
0)</f>
        <v>0</v>
      </c>
      <c r="Z71" s="93">
        <f t="array" ref="Z71">IFERROR(
AVERAGE((IF(DATOS_[[Sexo]:[Sexo]]=$B71,IF(DATOS_[[AGRUP. VALOR. PTO.]:[AGRUP. VALOR. PTO.]]=$B69,IF(DATOS_[[Check Periodo Ref.]:[Check Periodo Ref.]]="Dentro",DATOS_[Conc.Sal.21]))))),
0)</f>
        <v>0</v>
      </c>
      <c r="AA71" s="93">
        <f t="array" ref="AA71">IFERROR(
AVERAGE((IF(DATOS_[[Sexo]:[Sexo]]=$B71,IF(DATOS_[[AGRUP. VALOR. PTO.]:[AGRUP. VALOR. PTO.]]=$B69,IF(DATOS_[[Check Periodo Ref.]:[Check Periodo Ref.]]="Dentro",DATOS_[Conc.Sal.22]))))),
0)</f>
        <v>0</v>
      </c>
      <c r="AB71" s="93">
        <f t="array" ref="AB71">IFERROR(
AVERAGE((IF(DATOS_[[Sexo]:[Sexo]]=$B71,IF(DATOS_[[AGRUP. VALOR. PTO.]:[AGRUP. VALOR. PTO.]]=$B69,IF(DATOS_[[Check Periodo Ref.]:[Check Periodo Ref.]]="Dentro",DATOS_[Conc.Sal.23]))))),
0)</f>
        <v>0</v>
      </c>
      <c r="AC71" s="93">
        <f t="array" ref="AC71">IFERROR(
AVERAGE((IF(DATOS_[[Sexo]:[Sexo]]=$B71,IF(DATOS_[[AGRUP. VALOR. PTO.]:[AGRUP. VALOR. PTO.]]=$B69,IF(DATOS_[[Check Periodo Ref.]:[Check Periodo Ref.]]="Dentro",DATOS_[Conc.Sal.24]))))),
0)</f>
        <v>0</v>
      </c>
      <c r="AD71" s="93">
        <f t="array" ref="AD71">IFERROR(
AVERAGE((IF(DATOS_[[Sexo]:[Sexo]]=$B71,IF(DATOS_[[AGRUP. VALOR. PTO.]:[AGRUP. VALOR. PTO.]]=$B69,IF(DATOS_[[Check Periodo Ref.]:[Check Periodo Ref.]]="Dentro",DATOS_[Conc.Sal.25]))))),
0)</f>
        <v>0</v>
      </c>
      <c r="AE71" s="93">
        <f t="array" ref="AE71">IFERROR(
AVERAGE((IF(DATOS_[[Sexo]:[Sexo]]=$B71,IF(DATOS_[[AGRUP. VALOR. PTO.]:[AGRUP. VALOR. PTO.]]=$B69,IF(DATOS_[[Check Periodo Ref.]:[Check Periodo Ref.]]="Dentro",DATOS_[Conc.Sal.26]))))),
0)</f>
        <v>0</v>
      </c>
      <c r="AF71" s="93">
        <f t="array" ref="AF71">IFERROR(
AVERAGE((IF(DATOS_[[Sexo]:[Sexo]]=$B71,IF(DATOS_[[AGRUP. VALOR. PTO.]:[AGRUP. VALOR. PTO.]]=$B69,IF(DATOS_[[Check Periodo Ref.]:[Check Periodo Ref.]]="Dentro",DATOS_[Conc.Sal.27]))))),
0)</f>
        <v>0</v>
      </c>
      <c r="AG71" s="93">
        <f t="array" ref="AG71">IFERROR(
AVERAGE((IF(DATOS_[[Sexo]:[Sexo]]=$B71,IF(DATOS_[[AGRUP. VALOR. PTO.]:[AGRUP. VALOR. PTO.]]=$B69,IF(DATOS_[[Check Periodo Ref.]:[Check Periodo Ref.]]="Dentro",DATOS_[Conc.Sal.28]))))),
0)</f>
        <v>0</v>
      </c>
      <c r="AH71" s="93">
        <f t="array" ref="AH71">IFERROR(
AVERAGE((IF(DATOS_[[Sexo]:[Sexo]]=$B71,IF(DATOS_[[AGRUP. VALOR. PTO.]:[AGRUP. VALOR. PTO.]]=$B69,IF(DATOS_[[Check Periodo Ref.]:[Check Periodo Ref.]]="Dentro",DATOS_[Conc.Sal.29]))))),
0)</f>
        <v>0</v>
      </c>
      <c r="AI71" s="93">
        <f t="array" ref="AI71">IFERROR(
AVERAGE((IF(DATOS_[[Sexo]:[Sexo]]=$B71,IF(DATOS_[[AGRUP. VALOR. PTO.]:[AGRUP. VALOR. PTO.]]=$B69,IF(DATOS_[[Check Periodo Ref.]:[Check Periodo Ref.]]="Dentro",DATOS_[Conc.Sal.30]))))),
0)</f>
        <v>0</v>
      </c>
      <c r="AJ71" s="94">
        <f t="array" ref="AJ71">IFERROR(
AVERAGE(IF(DATOS_[Sexo]=$B71,IF(DATOS_[AGRUP. VALOR. PTO.]=$B69,IF(DATOS_[Check Periodo Ref.]="Dentro",DATOS_[Tot COMPL.SAL Ef],FALSE)))),
0)</f>
        <v>0</v>
      </c>
      <c r="AK71" s="96">
        <f t="array" ref="AK71">IFERROR(
AVERAGE(IF(DATOS_[Sexo]=$B71,IF(DATOS_[AGRUP. VALOR. PTO.]=$B69,IF(DATOS_[Check Periodo Ref.]="Dentro",DATOS_[TOTAL SALARIO Ef],FALSE)))),
0)</f>
        <v>0</v>
      </c>
      <c r="AL71" s="95">
        <f t="array" ref="AL71">IFERROR(
AVERAGE((IF(DATOS_[[Sexo]:[Sexo]]=$B71,IF(DATOS_[[AGRUP. VALOR. PTO.]:[AGRUP. VALOR. PTO.]]=$B69,IF(DATOS_[[Check Periodo Ref.]:[Check Periodo Ref.]]="Dentro",DATOS_[C.Extra.01]))))),
0)</f>
        <v>0</v>
      </c>
      <c r="AM71" s="95">
        <f t="array" ref="AM71">IFERROR(
AVERAGE((IF(DATOS_[[Sexo]:[Sexo]]=$B71,IF(DATOS_[[AGRUP. VALOR. PTO.]:[AGRUP. VALOR. PTO.]]=$B69,IF(DATOS_[[Check Periodo Ref.]:[Check Periodo Ref.]]="Dentro",DATOS_[C.Extra.02]))))),
0)</f>
        <v>0</v>
      </c>
      <c r="AN71" s="95">
        <f t="array" ref="AN71">IFERROR(
AVERAGE((IF(DATOS_[[Sexo]:[Sexo]]=$B71,IF(DATOS_[[AGRUP. VALOR. PTO.]:[AGRUP. VALOR. PTO.]]=$B69,IF(DATOS_[[Check Periodo Ref.]:[Check Periodo Ref.]]="Dentro",DATOS_[C.Extra.03]))))),
0)</f>
        <v>0</v>
      </c>
      <c r="AO71" s="95">
        <f t="array" ref="AO71">IFERROR(
AVERAGE((IF(DATOS_[[Sexo]:[Sexo]]=$B71,IF(DATOS_[[AGRUP. VALOR. PTO.]:[AGRUP. VALOR. PTO.]]=$B69,IF(DATOS_[[Check Periodo Ref.]:[Check Periodo Ref.]]="Dentro",DATOS_[C.Extra.04]))))),
0)</f>
        <v>0</v>
      </c>
      <c r="AP71" s="95">
        <f t="array" ref="AP71">IFERROR(
AVERAGE((IF(DATOS_[[Sexo]:[Sexo]]=$B71,IF(DATOS_[[AGRUP. VALOR. PTO.]:[AGRUP. VALOR. PTO.]]=$B69,IF(DATOS_[[Check Periodo Ref.]:[Check Periodo Ref.]]="Dentro",DATOS_[C.Extra.05]))))),
0)</f>
        <v>0</v>
      </c>
      <c r="AQ71" s="97">
        <f t="array" ref="AQ71">IFERROR(
AVERAGE(IF(DATOS_[Sexo]=$B71,IF(DATOS_[AGRUP. VALOR. PTO.]=$B69,IF(DATOS_[Check Periodo Ref.]="Dentro",DATOS_[Tot Extrasalarial Ef],FALSE)))),
0)</f>
        <v>0</v>
      </c>
      <c r="AR71" s="98">
        <f t="array" ref="AR71">IFERROR(
AVERAGE(IF(DATOS_[Sexo]=$B71,IF(DATOS_[AGRUP. VALOR. PTO.]=$B69,IF(DATOS_[Check Periodo Ref.]="Dentro",DATOS_[TOTAL Retrib Ef],FALSE)))),
0)</f>
        <v>0</v>
      </c>
    </row>
    <row r="72" spans="1:44" ht="17.25" hidden="1" thickBot="1" x14ac:dyDescent="0.35">
      <c r="A72" s="48" t="str">
        <f t="shared" ref="A72" si="79">+A73</f>
        <v>[ocultar]</v>
      </c>
      <c r="B72" s="51" t="s">
        <v>279</v>
      </c>
      <c r="C72" s="91"/>
      <c r="D72" s="52"/>
      <c r="E72" s="139" t="str">
        <f t="shared" ref="E72:AR72" si="80">IFERROR((E73-E74)/E73,"")</f>
        <v/>
      </c>
      <c r="F72" s="179" t="str">
        <f t="shared" si="80"/>
        <v/>
      </c>
      <c r="G72" s="180" t="str">
        <f t="shared" si="80"/>
        <v/>
      </c>
      <c r="H72" s="180" t="str">
        <f t="shared" si="80"/>
        <v/>
      </c>
      <c r="I72" s="180" t="str">
        <f t="shared" si="80"/>
        <v/>
      </c>
      <c r="J72" s="181" t="str">
        <f t="shared" si="80"/>
        <v/>
      </c>
      <c r="K72" s="182" t="str">
        <f t="shared" si="80"/>
        <v/>
      </c>
      <c r="L72" s="182" t="str">
        <f t="shared" si="80"/>
        <v/>
      </c>
      <c r="M72" s="182" t="str">
        <f t="shared" si="80"/>
        <v/>
      </c>
      <c r="N72" s="182" t="str">
        <f t="shared" si="80"/>
        <v/>
      </c>
      <c r="O72" s="182" t="str">
        <f t="shared" si="80"/>
        <v/>
      </c>
      <c r="P72" s="182" t="str">
        <f t="shared" si="80"/>
        <v/>
      </c>
      <c r="Q72" s="182" t="str">
        <f t="shared" si="80"/>
        <v/>
      </c>
      <c r="R72" s="182" t="str">
        <f t="shared" si="80"/>
        <v/>
      </c>
      <c r="S72" s="182" t="str">
        <f t="shared" si="80"/>
        <v/>
      </c>
      <c r="T72" s="182" t="str">
        <f t="shared" si="80"/>
        <v/>
      </c>
      <c r="U72" s="182" t="str">
        <f t="shared" si="80"/>
        <v/>
      </c>
      <c r="V72" s="181" t="str">
        <f t="shared" si="80"/>
        <v/>
      </c>
      <c r="W72" s="181" t="str">
        <f t="shared" si="80"/>
        <v/>
      </c>
      <c r="X72" s="181" t="str">
        <f t="shared" si="80"/>
        <v/>
      </c>
      <c r="Y72" s="181" t="str">
        <f t="shared" si="80"/>
        <v/>
      </c>
      <c r="Z72" s="181" t="str">
        <f t="shared" si="80"/>
        <v/>
      </c>
      <c r="AA72" s="181" t="str">
        <f t="shared" si="80"/>
        <v/>
      </c>
      <c r="AB72" s="181" t="str">
        <f t="shared" si="80"/>
        <v/>
      </c>
      <c r="AC72" s="181" t="str">
        <f t="shared" si="80"/>
        <v/>
      </c>
      <c r="AD72" s="181" t="str">
        <f t="shared" si="80"/>
        <v/>
      </c>
      <c r="AE72" s="181" t="str">
        <f t="shared" si="80"/>
        <v/>
      </c>
      <c r="AF72" s="181" t="str">
        <f t="shared" si="80"/>
        <v/>
      </c>
      <c r="AG72" s="181" t="str">
        <f t="shared" si="80"/>
        <v/>
      </c>
      <c r="AH72" s="181" t="str">
        <f t="shared" si="80"/>
        <v/>
      </c>
      <c r="AI72" s="181" t="str">
        <f t="shared" si="80"/>
        <v/>
      </c>
      <c r="AJ72" s="140" t="str">
        <f t="shared" si="80"/>
        <v/>
      </c>
      <c r="AK72" s="143" t="str">
        <f t="shared" si="80"/>
        <v/>
      </c>
      <c r="AL72" s="184" t="str">
        <f t="shared" si="80"/>
        <v/>
      </c>
      <c r="AM72" s="184" t="str">
        <f t="shared" si="80"/>
        <v/>
      </c>
      <c r="AN72" s="184" t="str">
        <f t="shared" si="80"/>
        <v/>
      </c>
      <c r="AO72" s="184" t="str">
        <f t="shared" si="80"/>
        <v/>
      </c>
      <c r="AP72" s="184" t="str">
        <f t="shared" si="80"/>
        <v/>
      </c>
      <c r="AQ72" s="141" t="str">
        <f t="shared" si="80"/>
        <v/>
      </c>
      <c r="AR72" s="142" t="str">
        <f t="shared" si="80"/>
        <v/>
      </c>
    </row>
    <row r="73" spans="1:44" hidden="1" x14ac:dyDescent="0.3">
      <c r="A73" s="48" t="str">
        <f t="shared" ref="A73" si="81">+IF(C73+C74=0,"[ocultar]","")</f>
        <v>[ocultar]</v>
      </c>
      <c r="B73" s="46" t="s">
        <v>162</v>
      </c>
      <c r="C73" s="45">
        <f t="array" ref="C73">SUM(IF($B73=DATOS_[Sexo],
IF($B72=DATOS_[AGRUP. VALOR. PTO.],
IF("Dentro"=DATOS_[Check Periodo Ref.],
1/(COUNTIFS(DATOS_[Sexo],$B73,DATOS_[AGRUP. VALOR. PTO.],$B72,DATOS_[Check Periodo Ref.],"Dentro",DATOS_[id],DATOS_[id]))))))</f>
        <v>0</v>
      </c>
      <c r="D73" s="47">
        <f>COUNTIFS(DATOS_[AGRUP. VALOR. PTO.],$B72,DATOS_[Sexo],$B73,DATOS_[Check Periodo Ref.],"Dentro")</f>
        <v>0</v>
      </c>
      <c r="E73" s="92">
        <f t="array" ref="E73">IFERROR(
AVERAGE(IF(DATOS_[Sexo]=$B73,IF(DATOS_[AGRUP. VALOR. PTO.]=$B72,IF(DATOS_[Check Periodo Ref.]="Dentro",DATOS_[SALARIO BASE Ef],FALSE)))),
0)</f>
        <v>0</v>
      </c>
      <c r="F73" s="93">
        <f t="array" ref="F73">IFERROR(
AVERAGE((IF(DATOS_[[Sexo]:[Sexo]]=$B73,IF(DATOS_[[AGRUP. VALOR. PTO.]:[AGRUP. VALOR. PTO.]]=$B72,IF(DATOS_[[Check Periodo Ref.]:[Check Periodo Ref.]]="Dentro",DATOS_[Conc.Sal.01]))))),
0)</f>
        <v>0</v>
      </c>
      <c r="G73" s="93">
        <f t="array" ref="G73">IFERROR(
AVERAGE((IF(DATOS_[[Sexo]:[Sexo]]=$B73,IF(DATOS_[[AGRUP. VALOR. PTO.]:[AGRUP. VALOR. PTO.]]=$B72,IF(DATOS_[[Check Periodo Ref.]:[Check Periodo Ref.]]="Dentro",DATOS_[Conc.Sal.02]))))),
0)</f>
        <v>0</v>
      </c>
      <c r="H73" s="93">
        <f t="array" ref="H73">IFERROR(
AVERAGE((IF(DATOS_[[Sexo]:[Sexo]]=$B73,IF(DATOS_[[AGRUP. VALOR. PTO.]:[AGRUP. VALOR. PTO.]]=$B72,IF(DATOS_[[Check Periodo Ref.]:[Check Periodo Ref.]]="Dentro",DATOS_[Conc.Sal.03]))))),
0)</f>
        <v>0</v>
      </c>
      <c r="I73" s="93">
        <f t="array" ref="I73">IFERROR(
AVERAGE((IF(DATOS_[[Sexo]:[Sexo]]=$B73,IF(DATOS_[[AGRUP. VALOR. PTO.]:[AGRUP. VALOR. PTO.]]=$B72,IF(DATOS_[[Check Periodo Ref.]:[Check Periodo Ref.]]="Dentro",DATOS_[Conc.Sal.04]))))),
0)</f>
        <v>0</v>
      </c>
      <c r="J73" s="93">
        <f t="array" ref="J73">IFERROR(
AVERAGE((IF(DATOS_[[Sexo]:[Sexo]]=$B73,IF(DATOS_[[AGRUP. VALOR. PTO.]:[AGRUP. VALOR. PTO.]]=$B72,IF(DATOS_[[Check Periodo Ref.]:[Check Periodo Ref.]]="Dentro",DATOS_[Conc.Sal.05]))))),
0)</f>
        <v>0</v>
      </c>
      <c r="K73" s="93">
        <f t="array" ref="K73">IFERROR(
AVERAGE((IF(DATOS_[[Sexo]:[Sexo]]=$B73,IF(DATOS_[[AGRUP. VALOR. PTO.]:[AGRUP. VALOR. PTO.]]=$B72,IF(DATOS_[[Check Periodo Ref.]:[Check Periodo Ref.]]="Dentro",DATOS_[Conc.Sal.06]))))),
0)</f>
        <v>0</v>
      </c>
      <c r="L73" s="93">
        <f t="array" ref="L73">IFERROR(
AVERAGE((IF(DATOS_[[Sexo]:[Sexo]]=$B73,IF(DATOS_[[AGRUP. VALOR. PTO.]:[AGRUP. VALOR. PTO.]]=$B72,IF(DATOS_[[Check Periodo Ref.]:[Check Periodo Ref.]]="Dentro",DATOS_[Conc.Sal.07]))))),
0)</f>
        <v>0</v>
      </c>
      <c r="M73" s="93">
        <f t="array" ref="M73">IFERROR(
AVERAGE((IF(DATOS_[[Sexo]:[Sexo]]=$B73,IF(DATOS_[[AGRUP. VALOR. PTO.]:[AGRUP. VALOR. PTO.]]=$B72,IF(DATOS_[[Check Periodo Ref.]:[Check Periodo Ref.]]="Dentro",DATOS_[Conc.Sal.08]))))),
0)</f>
        <v>0</v>
      </c>
      <c r="N73" s="93">
        <f t="array" ref="N73">IFERROR(
AVERAGE((IF(DATOS_[[Sexo]:[Sexo]]=$B73,IF(DATOS_[[AGRUP. VALOR. PTO.]:[AGRUP. VALOR. PTO.]]=$B72,IF(DATOS_[[Check Periodo Ref.]:[Check Periodo Ref.]]="Dentro",DATOS_[Conc.Sal.09]))))),
0)</f>
        <v>0</v>
      </c>
      <c r="O73" s="93">
        <f t="array" ref="O73">IFERROR(
AVERAGE((IF(DATOS_[[Sexo]:[Sexo]]=$B73,IF(DATOS_[[AGRUP. VALOR. PTO.]:[AGRUP. VALOR. PTO.]]=$B72,IF(DATOS_[[Check Periodo Ref.]:[Check Periodo Ref.]]="Dentro",DATOS_[Conc.Sal.10]))))),
0)</f>
        <v>0</v>
      </c>
      <c r="P73" s="93">
        <f t="array" ref="P73">IFERROR(
AVERAGE((IF(DATOS_[[Sexo]:[Sexo]]=$B73,IF(DATOS_[[AGRUP. VALOR. PTO.]:[AGRUP. VALOR. PTO.]]=$B72,IF(DATOS_[[Check Periodo Ref.]:[Check Periodo Ref.]]="Dentro",DATOS_[Conc.Sal.11]))))),
0)</f>
        <v>0</v>
      </c>
      <c r="Q73" s="93">
        <f t="array" ref="Q73">IFERROR(
AVERAGE((IF(DATOS_[[Sexo]:[Sexo]]=$B73,IF(DATOS_[[AGRUP. VALOR. PTO.]:[AGRUP. VALOR. PTO.]]=$B72,IF(DATOS_[[Check Periodo Ref.]:[Check Periodo Ref.]]="Dentro",DATOS_[Conc.Sal.12]))))),
0)</f>
        <v>0</v>
      </c>
      <c r="R73" s="93">
        <f t="array" ref="R73">IFERROR(
AVERAGE((IF(DATOS_[[Sexo]:[Sexo]]=$B73,IF(DATOS_[[AGRUP. VALOR. PTO.]:[AGRUP. VALOR. PTO.]]=$B72,IF(DATOS_[[Check Periodo Ref.]:[Check Periodo Ref.]]="Dentro",DATOS_[Conc.Sal.13]))))),
0)</f>
        <v>0</v>
      </c>
      <c r="S73" s="93">
        <f t="array" ref="S73">IFERROR(
AVERAGE((IF(DATOS_[[Sexo]:[Sexo]]=$B73,IF(DATOS_[[AGRUP. VALOR. PTO.]:[AGRUP. VALOR. PTO.]]=$B72,IF(DATOS_[[Check Periodo Ref.]:[Check Periodo Ref.]]="Dentro",DATOS_[Conc.Sal.14]))))),
0)</f>
        <v>0</v>
      </c>
      <c r="T73" s="93">
        <f t="array" ref="T73">IFERROR(
AVERAGE((IF(DATOS_[[Sexo]:[Sexo]]=$B73,IF(DATOS_[[AGRUP. VALOR. PTO.]:[AGRUP. VALOR. PTO.]]=$B72,IF(DATOS_[[Check Periodo Ref.]:[Check Periodo Ref.]]="Dentro",DATOS_[Conc.Sal.15]))))),
0)</f>
        <v>0</v>
      </c>
      <c r="U73" s="93">
        <f t="array" ref="U73">IFERROR(
AVERAGE((IF(DATOS_[[Sexo]:[Sexo]]=$B73,IF(DATOS_[[AGRUP. VALOR. PTO.]:[AGRUP. VALOR. PTO.]]=$B72,IF(DATOS_[[Check Periodo Ref.]:[Check Periodo Ref.]]="Dentro",DATOS_[Conc.Sal.16]))))),
0)</f>
        <v>0</v>
      </c>
      <c r="V73" s="93">
        <f t="array" ref="V73">IFERROR(
AVERAGE((IF(DATOS_[[Sexo]:[Sexo]]=$B73,IF(DATOS_[[AGRUP. VALOR. PTO.]:[AGRUP. VALOR. PTO.]]=$B72,IF(DATOS_[[Check Periodo Ref.]:[Check Periodo Ref.]]="Dentro",DATOS_[Conc.Sal.17]))))),
0)</f>
        <v>0</v>
      </c>
      <c r="W73" s="93">
        <f t="array" ref="W73">IFERROR(
AVERAGE((IF(DATOS_[[Sexo]:[Sexo]]=$B73,IF(DATOS_[[AGRUP. VALOR. PTO.]:[AGRUP. VALOR. PTO.]]=$B72,IF(DATOS_[[Check Periodo Ref.]:[Check Periodo Ref.]]="Dentro",DATOS_[Conc.Sal.18]))))),
0)</f>
        <v>0</v>
      </c>
      <c r="X73" s="93">
        <f t="array" ref="X73">IFERROR(
AVERAGE((IF(DATOS_[[Sexo]:[Sexo]]=$B73,IF(DATOS_[[AGRUP. VALOR. PTO.]:[AGRUP. VALOR. PTO.]]=$B72,IF(DATOS_[[Check Periodo Ref.]:[Check Periodo Ref.]]="Dentro",DATOS_[Conc.Sal.19]))))),
0)</f>
        <v>0</v>
      </c>
      <c r="Y73" s="93">
        <f t="array" ref="Y73">IFERROR(
AVERAGE((IF(DATOS_[[Sexo]:[Sexo]]=$B73,IF(DATOS_[[AGRUP. VALOR. PTO.]:[AGRUP. VALOR. PTO.]]=$B72,IF(DATOS_[[Check Periodo Ref.]:[Check Periodo Ref.]]="Dentro",DATOS_[Conc.Sal.20]))))),
0)</f>
        <v>0</v>
      </c>
      <c r="Z73" s="93">
        <f t="array" ref="Z73">IFERROR(
AVERAGE((IF(DATOS_[[Sexo]:[Sexo]]=$B73,IF(DATOS_[[AGRUP. VALOR. PTO.]:[AGRUP. VALOR. PTO.]]=$B72,IF(DATOS_[[Check Periodo Ref.]:[Check Periodo Ref.]]="Dentro",DATOS_[Conc.Sal.21]))))),
0)</f>
        <v>0</v>
      </c>
      <c r="AA73" s="93">
        <f t="array" ref="AA73">IFERROR(
AVERAGE((IF(DATOS_[[Sexo]:[Sexo]]=$B73,IF(DATOS_[[AGRUP. VALOR. PTO.]:[AGRUP. VALOR. PTO.]]=$B72,IF(DATOS_[[Check Periodo Ref.]:[Check Periodo Ref.]]="Dentro",DATOS_[Conc.Sal.22]))))),
0)</f>
        <v>0</v>
      </c>
      <c r="AB73" s="93">
        <f t="array" ref="AB73">IFERROR(
AVERAGE((IF(DATOS_[[Sexo]:[Sexo]]=$B73,IF(DATOS_[[AGRUP. VALOR. PTO.]:[AGRUP. VALOR. PTO.]]=$B72,IF(DATOS_[[Check Periodo Ref.]:[Check Periodo Ref.]]="Dentro",DATOS_[Conc.Sal.23]))))),
0)</f>
        <v>0</v>
      </c>
      <c r="AC73" s="93">
        <f t="array" ref="AC73">IFERROR(
AVERAGE((IF(DATOS_[[Sexo]:[Sexo]]=$B73,IF(DATOS_[[AGRUP. VALOR. PTO.]:[AGRUP. VALOR. PTO.]]=$B72,IF(DATOS_[[Check Periodo Ref.]:[Check Periodo Ref.]]="Dentro",DATOS_[Conc.Sal.24]))))),
0)</f>
        <v>0</v>
      </c>
      <c r="AD73" s="93">
        <f t="array" ref="AD73">IFERROR(
AVERAGE((IF(DATOS_[[Sexo]:[Sexo]]=$B73,IF(DATOS_[[AGRUP. VALOR. PTO.]:[AGRUP. VALOR. PTO.]]=$B72,IF(DATOS_[[Check Periodo Ref.]:[Check Periodo Ref.]]="Dentro",DATOS_[Conc.Sal.25]))))),
0)</f>
        <v>0</v>
      </c>
      <c r="AE73" s="93">
        <f t="array" ref="AE73">IFERROR(
AVERAGE((IF(DATOS_[[Sexo]:[Sexo]]=$B73,IF(DATOS_[[AGRUP. VALOR. PTO.]:[AGRUP. VALOR. PTO.]]=$B72,IF(DATOS_[[Check Periodo Ref.]:[Check Periodo Ref.]]="Dentro",DATOS_[Conc.Sal.26]))))),
0)</f>
        <v>0</v>
      </c>
      <c r="AF73" s="93">
        <f t="array" ref="AF73">IFERROR(
AVERAGE((IF(DATOS_[[Sexo]:[Sexo]]=$B73,IF(DATOS_[[AGRUP. VALOR. PTO.]:[AGRUP. VALOR. PTO.]]=$B72,IF(DATOS_[[Check Periodo Ref.]:[Check Periodo Ref.]]="Dentro",DATOS_[Conc.Sal.27]))))),
0)</f>
        <v>0</v>
      </c>
      <c r="AG73" s="93">
        <f t="array" ref="AG73">IFERROR(
AVERAGE((IF(DATOS_[[Sexo]:[Sexo]]=$B73,IF(DATOS_[[AGRUP. VALOR. PTO.]:[AGRUP. VALOR. PTO.]]=$B72,IF(DATOS_[[Check Periodo Ref.]:[Check Periodo Ref.]]="Dentro",DATOS_[Conc.Sal.28]))))),
0)</f>
        <v>0</v>
      </c>
      <c r="AH73" s="93">
        <f t="array" ref="AH73">IFERROR(
AVERAGE((IF(DATOS_[[Sexo]:[Sexo]]=$B73,IF(DATOS_[[AGRUP. VALOR. PTO.]:[AGRUP. VALOR. PTO.]]=$B72,IF(DATOS_[[Check Periodo Ref.]:[Check Periodo Ref.]]="Dentro",DATOS_[Conc.Sal.29]))))),
0)</f>
        <v>0</v>
      </c>
      <c r="AI73" s="93">
        <f t="array" ref="AI73">IFERROR(
AVERAGE((IF(DATOS_[[Sexo]:[Sexo]]=$B73,IF(DATOS_[[AGRUP. VALOR. PTO.]:[AGRUP. VALOR. PTO.]]=$B72,IF(DATOS_[[Check Periodo Ref.]:[Check Periodo Ref.]]="Dentro",DATOS_[Conc.Sal.30]))))),
0)</f>
        <v>0</v>
      </c>
      <c r="AJ73" s="94">
        <f t="array" ref="AJ73">IFERROR(
AVERAGE(IF(DATOS_[Sexo]=$B73,IF(DATOS_[AGRUP. VALOR. PTO.]=$B72,IF(DATOS_[Check Periodo Ref.]="Dentro",DATOS_[Tot COMPL.SAL Ef],FALSE)))),
0)</f>
        <v>0</v>
      </c>
      <c r="AK73" s="96">
        <f t="array" ref="AK73">IFERROR(
AVERAGE(IF(DATOS_[Sexo]=$B73,IF(DATOS_[AGRUP. VALOR. PTO.]=$B72,IF(DATOS_[Check Periodo Ref.]="Dentro",DATOS_[TOTAL SALARIO Ef],FALSE)))),
0)</f>
        <v>0</v>
      </c>
      <c r="AL73" s="95">
        <f t="array" ref="AL73">IFERROR(
AVERAGE((IF(DATOS_[[Sexo]:[Sexo]]=$B73,IF(DATOS_[[AGRUP. VALOR. PTO.]:[AGRUP. VALOR. PTO.]]=$B72,IF(DATOS_[[Check Periodo Ref.]:[Check Periodo Ref.]]="Dentro",DATOS_[C.Extra.01]))))),
0)</f>
        <v>0</v>
      </c>
      <c r="AM73" s="95">
        <f t="array" ref="AM73">IFERROR(
AVERAGE((IF(DATOS_[[Sexo]:[Sexo]]=$B73,IF(DATOS_[[AGRUP. VALOR. PTO.]:[AGRUP. VALOR. PTO.]]=$B72,IF(DATOS_[[Check Periodo Ref.]:[Check Periodo Ref.]]="Dentro",DATOS_[C.Extra.02]))))),
0)</f>
        <v>0</v>
      </c>
      <c r="AN73" s="95">
        <f t="array" ref="AN73">IFERROR(
AVERAGE((IF(DATOS_[[Sexo]:[Sexo]]=$B73,IF(DATOS_[[AGRUP. VALOR. PTO.]:[AGRUP. VALOR. PTO.]]=$B72,IF(DATOS_[[Check Periodo Ref.]:[Check Periodo Ref.]]="Dentro",DATOS_[C.Extra.03]))))),
0)</f>
        <v>0</v>
      </c>
      <c r="AO73" s="95">
        <f t="array" ref="AO73">IFERROR(
AVERAGE((IF(DATOS_[[Sexo]:[Sexo]]=$B73,IF(DATOS_[[AGRUP. VALOR. PTO.]:[AGRUP. VALOR. PTO.]]=$B72,IF(DATOS_[[Check Periodo Ref.]:[Check Periodo Ref.]]="Dentro",DATOS_[C.Extra.04]))))),
0)</f>
        <v>0</v>
      </c>
      <c r="AP73" s="95">
        <f t="array" ref="AP73">IFERROR(
AVERAGE((IF(DATOS_[[Sexo]:[Sexo]]=$B73,IF(DATOS_[[AGRUP. VALOR. PTO.]:[AGRUP. VALOR. PTO.]]=$B72,IF(DATOS_[[Check Periodo Ref.]:[Check Periodo Ref.]]="Dentro",DATOS_[C.Extra.05]))))),
0)</f>
        <v>0</v>
      </c>
      <c r="AQ73" s="97">
        <f t="array" ref="AQ73">IFERROR(
AVERAGE(IF(DATOS_[Sexo]=$B73,IF(DATOS_[AGRUP. VALOR. PTO.]=$B72,IF(DATOS_[Check Periodo Ref.]="Dentro",DATOS_[Tot Extrasalarial Ef],FALSE)))),
0)</f>
        <v>0</v>
      </c>
      <c r="AR73" s="98">
        <f t="array" ref="AR73">IFERROR(
AVERAGE(IF(DATOS_[Sexo]=$B73,IF(DATOS_[AGRUP. VALOR. PTO.]=$B72,IF(DATOS_[Check Periodo Ref.]="Dentro",DATOS_[TOTAL Retrib Ef],FALSE)))),
0)</f>
        <v>0</v>
      </c>
    </row>
    <row r="74" spans="1:44" hidden="1" x14ac:dyDescent="0.3">
      <c r="A74" s="48" t="str">
        <f t="shared" ref="A74" si="82">+A73</f>
        <v>[ocultar]</v>
      </c>
      <c r="B74" s="46" t="s">
        <v>163</v>
      </c>
      <c r="C74" s="45">
        <f t="array" ref="C74">SUM(IF($B74=DATOS_[Sexo],
IF($B72=DATOS_[AGRUP. VALOR. PTO.],
IF("Dentro"=DATOS_[Check Periodo Ref.],
1/(COUNTIFS(DATOS_[Sexo],$B74,DATOS_[AGRUP. VALOR. PTO.],$B72,DATOS_[Check Periodo Ref.],"Dentro",DATOS_[id],DATOS_[id]))))))</f>
        <v>0</v>
      </c>
      <c r="D74" s="47">
        <f>COUNTIFS(DATOS_[AGRUP. VALOR. PTO.],$B72,DATOS_[Sexo],$B74,DATOS_[Check Periodo Ref.],"Dentro")</f>
        <v>0</v>
      </c>
      <c r="E74" s="92">
        <f t="array" ref="E74">IFERROR(
AVERAGE(IF(DATOS_[Sexo]=$B74,IF(DATOS_[AGRUP. VALOR. PTO.]=$B72,IF(DATOS_[Check Periodo Ref.]="Dentro",DATOS_[SALARIO BASE Ef],FALSE)))),
0)</f>
        <v>0</v>
      </c>
      <c r="F74" s="93">
        <f t="array" ref="F74">IFERROR(
AVERAGE((IF(DATOS_[[Sexo]:[Sexo]]=$B74,IF(DATOS_[[AGRUP. VALOR. PTO.]:[AGRUP. VALOR. PTO.]]=$B72,IF(DATOS_[[Check Periodo Ref.]:[Check Periodo Ref.]]="Dentro",DATOS_[Conc.Sal.01]))))),
0)</f>
        <v>0</v>
      </c>
      <c r="G74" s="93">
        <f t="array" ref="G74">IFERROR(
AVERAGE((IF(DATOS_[[Sexo]:[Sexo]]=$B74,IF(DATOS_[[AGRUP. VALOR. PTO.]:[AGRUP. VALOR. PTO.]]=$B72,IF(DATOS_[[Check Periodo Ref.]:[Check Periodo Ref.]]="Dentro",DATOS_[Conc.Sal.02]))))),
0)</f>
        <v>0</v>
      </c>
      <c r="H74" s="93">
        <f t="array" ref="H74">IFERROR(
AVERAGE((IF(DATOS_[[Sexo]:[Sexo]]=$B74,IF(DATOS_[[AGRUP. VALOR. PTO.]:[AGRUP. VALOR. PTO.]]=$B72,IF(DATOS_[[Check Periodo Ref.]:[Check Periodo Ref.]]="Dentro",DATOS_[Conc.Sal.03]))))),
0)</f>
        <v>0</v>
      </c>
      <c r="I74" s="93">
        <f t="array" ref="I74">IFERROR(
AVERAGE((IF(DATOS_[[Sexo]:[Sexo]]=$B74,IF(DATOS_[[AGRUP. VALOR. PTO.]:[AGRUP. VALOR. PTO.]]=$B72,IF(DATOS_[[Check Periodo Ref.]:[Check Periodo Ref.]]="Dentro",DATOS_[Conc.Sal.04]))))),
0)</f>
        <v>0</v>
      </c>
      <c r="J74" s="93">
        <f t="array" ref="J74">IFERROR(
AVERAGE((IF(DATOS_[[Sexo]:[Sexo]]=$B74,IF(DATOS_[[AGRUP. VALOR. PTO.]:[AGRUP. VALOR. PTO.]]=$B72,IF(DATOS_[[Check Periodo Ref.]:[Check Periodo Ref.]]="Dentro",DATOS_[Conc.Sal.05]))))),
0)</f>
        <v>0</v>
      </c>
      <c r="K74" s="93">
        <f t="array" ref="K74">IFERROR(
AVERAGE((IF(DATOS_[[Sexo]:[Sexo]]=$B74,IF(DATOS_[[AGRUP. VALOR. PTO.]:[AGRUP. VALOR. PTO.]]=$B72,IF(DATOS_[[Check Periodo Ref.]:[Check Periodo Ref.]]="Dentro",DATOS_[Conc.Sal.06]))))),
0)</f>
        <v>0</v>
      </c>
      <c r="L74" s="93">
        <f t="array" ref="L74">IFERROR(
AVERAGE((IF(DATOS_[[Sexo]:[Sexo]]=$B74,IF(DATOS_[[AGRUP. VALOR. PTO.]:[AGRUP. VALOR. PTO.]]=$B72,IF(DATOS_[[Check Periodo Ref.]:[Check Periodo Ref.]]="Dentro",DATOS_[Conc.Sal.07]))))),
0)</f>
        <v>0</v>
      </c>
      <c r="M74" s="93">
        <f t="array" ref="M74">IFERROR(
AVERAGE((IF(DATOS_[[Sexo]:[Sexo]]=$B74,IF(DATOS_[[AGRUP. VALOR. PTO.]:[AGRUP. VALOR. PTO.]]=$B72,IF(DATOS_[[Check Periodo Ref.]:[Check Periodo Ref.]]="Dentro",DATOS_[Conc.Sal.08]))))),
0)</f>
        <v>0</v>
      </c>
      <c r="N74" s="93">
        <f t="array" ref="N74">IFERROR(
AVERAGE((IF(DATOS_[[Sexo]:[Sexo]]=$B74,IF(DATOS_[[AGRUP. VALOR. PTO.]:[AGRUP. VALOR. PTO.]]=$B72,IF(DATOS_[[Check Periodo Ref.]:[Check Periodo Ref.]]="Dentro",DATOS_[Conc.Sal.09]))))),
0)</f>
        <v>0</v>
      </c>
      <c r="O74" s="93">
        <f t="array" ref="O74">IFERROR(
AVERAGE((IF(DATOS_[[Sexo]:[Sexo]]=$B74,IF(DATOS_[[AGRUP. VALOR. PTO.]:[AGRUP. VALOR. PTO.]]=$B72,IF(DATOS_[[Check Periodo Ref.]:[Check Periodo Ref.]]="Dentro",DATOS_[Conc.Sal.10]))))),
0)</f>
        <v>0</v>
      </c>
      <c r="P74" s="93">
        <f t="array" ref="P74">IFERROR(
AVERAGE((IF(DATOS_[[Sexo]:[Sexo]]=$B74,IF(DATOS_[[AGRUP. VALOR. PTO.]:[AGRUP. VALOR. PTO.]]=$B72,IF(DATOS_[[Check Periodo Ref.]:[Check Periodo Ref.]]="Dentro",DATOS_[Conc.Sal.11]))))),
0)</f>
        <v>0</v>
      </c>
      <c r="Q74" s="93">
        <f t="array" ref="Q74">IFERROR(
AVERAGE((IF(DATOS_[[Sexo]:[Sexo]]=$B74,IF(DATOS_[[AGRUP. VALOR. PTO.]:[AGRUP. VALOR. PTO.]]=$B72,IF(DATOS_[[Check Periodo Ref.]:[Check Periodo Ref.]]="Dentro",DATOS_[Conc.Sal.12]))))),
0)</f>
        <v>0</v>
      </c>
      <c r="R74" s="93">
        <f t="array" ref="R74">IFERROR(
AVERAGE((IF(DATOS_[[Sexo]:[Sexo]]=$B74,IF(DATOS_[[AGRUP. VALOR. PTO.]:[AGRUP. VALOR. PTO.]]=$B72,IF(DATOS_[[Check Periodo Ref.]:[Check Periodo Ref.]]="Dentro",DATOS_[Conc.Sal.13]))))),
0)</f>
        <v>0</v>
      </c>
      <c r="S74" s="93">
        <f t="array" ref="S74">IFERROR(
AVERAGE((IF(DATOS_[[Sexo]:[Sexo]]=$B74,IF(DATOS_[[AGRUP. VALOR. PTO.]:[AGRUP. VALOR. PTO.]]=$B72,IF(DATOS_[[Check Periodo Ref.]:[Check Periodo Ref.]]="Dentro",DATOS_[Conc.Sal.14]))))),
0)</f>
        <v>0</v>
      </c>
      <c r="T74" s="93">
        <f t="array" ref="T74">IFERROR(
AVERAGE((IF(DATOS_[[Sexo]:[Sexo]]=$B74,IF(DATOS_[[AGRUP. VALOR. PTO.]:[AGRUP. VALOR. PTO.]]=$B72,IF(DATOS_[[Check Periodo Ref.]:[Check Periodo Ref.]]="Dentro",DATOS_[Conc.Sal.15]))))),
0)</f>
        <v>0</v>
      </c>
      <c r="U74" s="93">
        <f t="array" ref="U74">IFERROR(
AVERAGE((IF(DATOS_[[Sexo]:[Sexo]]=$B74,IF(DATOS_[[AGRUP. VALOR. PTO.]:[AGRUP. VALOR. PTO.]]=$B72,IF(DATOS_[[Check Periodo Ref.]:[Check Periodo Ref.]]="Dentro",DATOS_[Conc.Sal.16]))))),
0)</f>
        <v>0</v>
      </c>
      <c r="V74" s="93">
        <f t="array" ref="V74">IFERROR(
AVERAGE((IF(DATOS_[[Sexo]:[Sexo]]=$B74,IF(DATOS_[[AGRUP. VALOR. PTO.]:[AGRUP. VALOR. PTO.]]=$B72,IF(DATOS_[[Check Periodo Ref.]:[Check Periodo Ref.]]="Dentro",DATOS_[Conc.Sal.17]))))),
0)</f>
        <v>0</v>
      </c>
      <c r="W74" s="93">
        <f t="array" ref="W74">IFERROR(
AVERAGE((IF(DATOS_[[Sexo]:[Sexo]]=$B74,IF(DATOS_[[AGRUP. VALOR. PTO.]:[AGRUP. VALOR. PTO.]]=$B72,IF(DATOS_[[Check Periodo Ref.]:[Check Periodo Ref.]]="Dentro",DATOS_[Conc.Sal.18]))))),
0)</f>
        <v>0</v>
      </c>
      <c r="X74" s="93">
        <f t="array" ref="X74">IFERROR(
AVERAGE((IF(DATOS_[[Sexo]:[Sexo]]=$B74,IF(DATOS_[[AGRUP. VALOR. PTO.]:[AGRUP. VALOR. PTO.]]=$B72,IF(DATOS_[[Check Periodo Ref.]:[Check Periodo Ref.]]="Dentro",DATOS_[Conc.Sal.19]))))),
0)</f>
        <v>0</v>
      </c>
      <c r="Y74" s="93">
        <f t="array" ref="Y74">IFERROR(
AVERAGE((IF(DATOS_[[Sexo]:[Sexo]]=$B74,IF(DATOS_[[AGRUP. VALOR. PTO.]:[AGRUP. VALOR. PTO.]]=$B72,IF(DATOS_[[Check Periodo Ref.]:[Check Periodo Ref.]]="Dentro",DATOS_[Conc.Sal.20]))))),
0)</f>
        <v>0</v>
      </c>
      <c r="Z74" s="93">
        <f t="array" ref="Z74">IFERROR(
AVERAGE((IF(DATOS_[[Sexo]:[Sexo]]=$B74,IF(DATOS_[[AGRUP. VALOR. PTO.]:[AGRUP. VALOR. PTO.]]=$B72,IF(DATOS_[[Check Periodo Ref.]:[Check Periodo Ref.]]="Dentro",DATOS_[Conc.Sal.21]))))),
0)</f>
        <v>0</v>
      </c>
      <c r="AA74" s="93">
        <f t="array" ref="AA74">IFERROR(
AVERAGE((IF(DATOS_[[Sexo]:[Sexo]]=$B74,IF(DATOS_[[AGRUP. VALOR. PTO.]:[AGRUP. VALOR. PTO.]]=$B72,IF(DATOS_[[Check Periodo Ref.]:[Check Periodo Ref.]]="Dentro",DATOS_[Conc.Sal.22]))))),
0)</f>
        <v>0</v>
      </c>
      <c r="AB74" s="93">
        <f t="array" ref="AB74">IFERROR(
AVERAGE((IF(DATOS_[[Sexo]:[Sexo]]=$B74,IF(DATOS_[[AGRUP. VALOR. PTO.]:[AGRUP. VALOR. PTO.]]=$B72,IF(DATOS_[[Check Periodo Ref.]:[Check Periodo Ref.]]="Dentro",DATOS_[Conc.Sal.23]))))),
0)</f>
        <v>0</v>
      </c>
      <c r="AC74" s="93">
        <f t="array" ref="AC74">IFERROR(
AVERAGE((IF(DATOS_[[Sexo]:[Sexo]]=$B74,IF(DATOS_[[AGRUP. VALOR. PTO.]:[AGRUP. VALOR. PTO.]]=$B72,IF(DATOS_[[Check Periodo Ref.]:[Check Periodo Ref.]]="Dentro",DATOS_[Conc.Sal.24]))))),
0)</f>
        <v>0</v>
      </c>
      <c r="AD74" s="93">
        <f t="array" ref="AD74">IFERROR(
AVERAGE((IF(DATOS_[[Sexo]:[Sexo]]=$B74,IF(DATOS_[[AGRUP. VALOR. PTO.]:[AGRUP. VALOR. PTO.]]=$B72,IF(DATOS_[[Check Periodo Ref.]:[Check Periodo Ref.]]="Dentro",DATOS_[Conc.Sal.25]))))),
0)</f>
        <v>0</v>
      </c>
      <c r="AE74" s="93">
        <f t="array" ref="AE74">IFERROR(
AVERAGE((IF(DATOS_[[Sexo]:[Sexo]]=$B74,IF(DATOS_[[AGRUP. VALOR. PTO.]:[AGRUP. VALOR. PTO.]]=$B72,IF(DATOS_[[Check Periodo Ref.]:[Check Periodo Ref.]]="Dentro",DATOS_[Conc.Sal.26]))))),
0)</f>
        <v>0</v>
      </c>
      <c r="AF74" s="93">
        <f t="array" ref="AF74">IFERROR(
AVERAGE((IF(DATOS_[[Sexo]:[Sexo]]=$B74,IF(DATOS_[[AGRUP. VALOR. PTO.]:[AGRUP. VALOR. PTO.]]=$B72,IF(DATOS_[[Check Periodo Ref.]:[Check Periodo Ref.]]="Dentro",DATOS_[Conc.Sal.27]))))),
0)</f>
        <v>0</v>
      </c>
      <c r="AG74" s="93">
        <f t="array" ref="AG74">IFERROR(
AVERAGE((IF(DATOS_[[Sexo]:[Sexo]]=$B74,IF(DATOS_[[AGRUP. VALOR. PTO.]:[AGRUP. VALOR. PTO.]]=$B72,IF(DATOS_[[Check Periodo Ref.]:[Check Periodo Ref.]]="Dentro",DATOS_[Conc.Sal.28]))))),
0)</f>
        <v>0</v>
      </c>
      <c r="AH74" s="93">
        <f t="array" ref="AH74">IFERROR(
AVERAGE((IF(DATOS_[[Sexo]:[Sexo]]=$B74,IF(DATOS_[[AGRUP. VALOR. PTO.]:[AGRUP. VALOR. PTO.]]=$B72,IF(DATOS_[[Check Periodo Ref.]:[Check Periodo Ref.]]="Dentro",DATOS_[Conc.Sal.29]))))),
0)</f>
        <v>0</v>
      </c>
      <c r="AI74" s="93">
        <f t="array" ref="AI74">IFERROR(
AVERAGE((IF(DATOS_[[Sexo]:[Sexo]]=$B74,IF(DATOS_[[AGRUP. VALOR. PTO.]:[AGRUP. VALOR. PTO.]]=$B72,IF(DATOS_[[Check Periodo Ref.]:[Check Periodo Ref.]]="Dentro",DATOS_[Conc.Sal.30]))))),
0)</f>
        <v>0</v>
      </c>
      <c r="AJ74" s="94">
        <f t="array" ref="AJ74">IFERROR(
AVERAGE(IF(DATOS_[Sexo]=$B74,IF(DATOS_[AGRUP. VALOR. PTO.]=$B72,IF(DATOS_[Check Periodo Ref.]="Dentro",DATOS_[Tot COMPL.SAL Ef],FALSE)))),
0)</f>
        <v>0</v>
      </c>
      <c r="AK74" s="96">
        <f t="array" ref="AK74">IFERROR(
AVERAGE(IF(DATOS_[Sexo]=$B74,IF(DATOS_[AGRUP. VALOR. PTO.]=$B72,IF(DATOS_[Check Periodo Ref.]="Dentro",DATOS_[TOTAL SALARIO Ef],FALSE)))),
0)</f>
        <v>0</v>
      </c>
      <c r="AL74" s="95">
        <f t="array" ref="AL74">IFERROR(
AVERAGE((IF(DATOS_[[Sexo]:[Sexo]]=$B74,IF(DATOS_[[AGRUP. VALOR. PTO.]:[AGRUP. VALOR. PTO.]]=$B72,IF(DATOS_[[Check Periodo Ref.]:[Check Periodo Ref.]]="Dentro",DATOS_[C.Extra.01]))))),
0)</f>
        <v>0</v>
      </c>
      <c r="AM74" s="95">
        <f t="array" ref="AM74">IFERROR(
AVERAGE((IF(DATOS_[[Sexo]:[Sexo]]=$B74,IF(DATOS_[[AGRUP. VALOR. PTO.]:[AGRUP. VALOR. PTO.]]=$B72,IF(DATOS_[[Check Periodo Ref.]:[Check Periodo Ref.]]="Dentro",DATOS_[C.Extra.02]))))),
0)</f>
        <v>0</v>
      </c>
      <c r="AN74" s="95">
        <f t="array" ref="AN74">IFERROR(
AVERAGE((IF(DATOS_[[Sexo]:[Sexo]]=$B74,IF(DATOS_[[AGRUP. VALOR. PTO.]:[AGRUP. VALOR. PTO.]]=$B72,IF(DATOS_[[Check Periodo Ref.]:[Check Periodo Ref.]]="Dentro",DATOS_[C.Extra.03]))))),
0)</f>
        <v>0</v>
      </c>
      <c r="AO74" s="95">
        <f t="array" ref="AO74">IFERROR(
AVERAGE((IF(DATOS_[[Sexo]:[Sexo]]=$B74,IF(DATOS_[[AGRUP. VALOR. PTO.]:[AGRUP. VALOR. PTO.]]=$B72,IF(DATOS_[[Check Periodo Ref.]:[Check Periodo Ref.]]="Dentro",DATOS_[C.Extra.04]))))),
0)</f>
        <v>0</v>
      </c>
      <c r="AP74" s="95">
        <f t="array" ref="AP74">IFERROR(
AVERAGE((IF(DATOS_[[Sexo]:[Sexo]]=$B74,IF(DATOS_[[AGRUP. VALOR. PTO.]:[AGRUP. VALOR. PTO.]]=$B72,IF(DATOS_[[Check Periodo Ref.]:[Check Periodo Ref.]]="Dentro",DATOS_[C.Extra.05]))))),
0)</f>
        <v>0</v>
      </c>
      <c r="AQ74" s="97">
        <f t="array" ref="AQ74">IFERROR(
AVERAGE(IF(DATOS_[Sexo]=$B74,IF(DATOS_[AGRUP. VALOR. PTO.]=$B72,IF(DATOS_[Check Periodo Ref.]="Dentro",DATOS_[Tot Extrasalarial Ef],FALSE)))),
0)</f>
        <v>0</v>
      </c>
      <c r="AR74" s="98">
        <f t="array" ref="AR74">IFERROR(
AVERAGE(IF(DATOS_[Sexo]=$B74,IF(DATOS_[AGRUP. VALOR. PTO.]=$B72,IF(DATOS_[Check Periodo Ref.]="Dentro",DATOS_[TOTAL Retrib Ef],FALSE)))),
0)</f>
        <v>0</v>
      </c>
    </row>
    <row r="75" spans="1:44" ht="17.25" hidden="1" thickBot="1" x14ac:dyDescent="0.35">
      <c r="A75" s="48" t="str">
        <f t="shared" ref="A75" si="83">+A76</f>
        <v>[ocultar]</v>
      </c>
      <c r="B75" s="51" t="s">
        <v>280</v>
      </c>
      <c r="C75" s="91"/>
      <c r="D75" s="52"/>
      <c r="E75" s="139" t="str">
        <f t="shared" ref="E75:AR75" si="84">IFERROR((E76-E77)/E76,"")</f>
        <v/>
      </c>
      <c r="F75" s="179" t="str">
        <f t="shared" si="84"/>
        <v/>
      </c>
      <c r="G75" s="180" t="str">
        <f t="shared" si="84"/>
        <v/>
      </c>
      <c r="H75" s="180" t="str">
        <f t="shared" si="84"/>
        <v/>
      </c>
      <c r="I75" s="180" t="str">
        <f t="shared" si="84"/>
        <v/>
      </c>
      <c r="J75" s="181" t="str">
        <f t="shared" si="84"/>
        <v/>
      </c>
      <c r="K75" s="182" t="str">
        <f t="shared" si="84"/>
        <v/>
      </c>
      <c r="L75" s="182" t="str">
        <f t="shared" si="84"/>
        <v/>
      </c>
      <c r="M75" s="182" t="str">
        <f t="shared" si="84"/>
        <v/>
      </c>
      <c r="N75" s="182" t="str">
        <f t="shared" si="84"/>
        <v/>
      </c>
      <c r="O75" s="182" t="str">
        <f t="shared" si="84"/>
        <v/>
      </c>
      <c r="P75" s="182" t="str">
        <f t="shared" si="84"/>
        <v/>
      </c>
      <c r="Q75" s="182" t="str">
        <f t="shared" si="84"/>
        <v/>
      </c>
      <c r="R75" s="182" t="str">
        <f t="shared" si="84"/>
        <v/>
      </c>
      <c r="S75" s="182" t="str">
        <f t="shared" si="84"/>
        <v/>
      </c>
      <c r="T75" s="182" t="str">
        <f t="shared" si="84"/>
        <v/>
      </c>
      <c r="U75" s="182" t="str">
        <f t="shared" si="84"/>
        <v/>
      </c>
      <c r="V75" s="181" t="str">
        <f t="shared" si="84"/>
        <v/>
      </c>
      <c r="W75" s="181" t="str">
        <f t="shared" si="84"/>
        <v/>
      </c>
      <c r="X75" s="181" t="str">
        <f t="shared" si="84"/>
        <v/>
      </c>
      <c r="Y75" s="181" t="str">
        <f t="shared" si="84"/>
        <v/>
      </c>
      <c r="Z75" s="181" t="str">
        <f t="shared" si="84"/>
        <v/>
      </c>
      <c r="AA75" s="181" t="str">
        <f t="shared" si="84"/>
        <v/>
      </c>
      <c r="AB75" s="181" t="str">
        <f t="shared" si="84"/>
        <v/>
      </c>
      <c r="AC75" s="181" t="str">
        <f t="shared" si="84"/>
        <v/>
      </c>
      <c r="AD75" s="181" t="str">
        <f t="shared" si="84"/>
        <v/>
      </c>
      <c r="AE75" s="181" t="str">
        <f t="shared" si="84"/>
        <v/>
      </c>
      <c r="AF75" s="181" t="str">
        <f t="shared" si="84"/>
        <v/>
      </c>
      <c r="AG75" s="181" t="str">
        <f t="shared" si="84"/>
        <v/>
      </c>
      <c r="AH75" s="181" t="str">
        <f t="shared" si="84"/>
        <v/>
      </c>
      <c r="AI75" s="181" t="str">
        <f t="shared" si="84"/>
        <v/>
      </c>
      <c r="AJ75" s="140" t="str">
        <f t="shared" si="84"/>
        <v/>
      </c>
      <c r="AK75" s="143" t="str">
        <f t="shared" si="84"/>
        <v/>
      </c>
      <c r="AL75" s="184" t="str">
        <f t="shared" si="84"/>
        <v/>
      </c>
      <c r="AM75" s="184" t="str">
        <f t="shared" si="84"/>
        <v/>
      </c>
      <c r="AN75" s="184" t="str">
        <f t="shared" si="84"/>
        <v/>
      </c>
      <c r="AO75" s="184" t="str">
        <f t="shared" si="84"/>
        <v/>
      </c>
      <c r="AP75" s="184" t="str">
        <f t="shared" si="84"/>
        <v/>
      </c>
      <c r="AQ75" s="141" t="str">
        <f t="shared" si="84"/>
        <v/>
      </c>
      <c r="AR75" s="142" t="str">
        <f t="shared" si="84"/>
        <v/>
      </c>
    </row>
    <row r="76" spans="1:44" hidden="1" x14ac:dyDescent="0.3">
      <c r="A76" s="48" t="str">
        <f t="shared" ref="A76" si="85">+IF(C76+C77=0,"[ocultar]","")</f>
        <v>[ocultar]</v>
      </c>
      <c r="B76" s="46" t="s">
        <v>162</v>
      </c>
      <c r="C76" s="45">
        <f t="array" ref="C76">SUM(IF($B76=DATOS_[Sexo],
IF($B75=DATOS_[AGRUP. VALOR. PTO.],
IF("Dentro"=DATOS_[Check Periodo Ref.],
1/(COUNTIFS(DATOS_[Sexo],$B76,DATOS_[AGRUP. VALOR. PTO.],$B75,DATOS_[Check Periodo Ref.],"Dentro",DATOS_[id],DATOS_[id]))))))</f>
        <v>0</v>
      </c>
      <c r="D76" s="47">
        <f>COUNTIFS(DATOS_[AGRUP. VALOR. PTO.],$B75,DATOS_[Sexo],$B76,DATOS_[Check Periodo Ref.],"Dentro")</f>
        <v>0</v>
      </c>
      <c r="E76" s="92">
        <f t="array" ref="E76">IFERROR(
AVERAGE(IF(DATOS_[Sexo]=$B76,IF(DATOS_[AGRUP. VALOR. PTO.]=$B75,IF(DATOS_[Check Periodo Ref.]="Dentro",DATOS_[SALARIO BASE Ef],FALSE)))),
0)</f>
        <v>0</v>
      </c>
      <c r="F76" s="93">
        <f t="array" ref="F76">IFERROR(
AVERAGE((IF(DATOS_[[Sexo]:[Sexo]]=$B76,IF(DATOS_[[AGRUP. VALOR. PTO.]:[AGRUP. VALOR. PTO.]]=$B75,IF(DATOS_[[Check Periodo Ref.]:[Check Periodo Ref.]]="Dentro",DATOS_[Conc.Sal.01]))))),
0)</f>
        <v>0</v>
      </c>
      <c r="G76" s="93">
        <f t="array" ref="G76">IFERROR(
AVERAGE((IF(DATOS_[[Sexo]:[Sexo]]=$B76,IF(DATOS_[[AGRUP. VALOR. PTO.]:[AGRUP. VALOR. PTO.]]=$B75,IF(DATOS_[[Check Periodo Ref.]:[Check Periodo Ref.]]="Dentro",DATOS_[Conc.Sal.02]))))),
0)</f>
        <v>0</v>
      </c>
      <c r="H76" s="93">
        <f t="array" ref="H76">IFERROR(
AVERAGE((IF(DATOS_[[Sexo]:[Sexo]]=$B76,IF(DATOS_[[AGRUP. VALOR. PTO.]:[AGRUP. VALOR. PTO.]]=$B75,IF(DATOS_[[Check Periodo Ref.]:[Check Periodo Ref.]]="Dentro",DATOS_[Conc.Sal.03]))))),
0)</f>
        <v>0</v>
      </c>
      <c r="I76" s="93">
        <f t="array" ref="I76">IFERROR(
AVERAGE((IF(DATOS_[[Sexo]:[Sexo]]=$B76,IF(DATOS_[[AGRUP. VALOR. PTO.]:[AGRUP. VALOR. PTO.]]=$B75,IF(DATOS_[[Check Periodo Ref.]:[Check Periodo Ref.]]="Dentro",DATOS_[Conc.Sal.04]))))),
0)</f>
        <v>0</v>
      </c>
      <c r="J76" s="93">
        <f t="array" ref="J76">IFERROR(
AVERAGE((IF(DATOS_[[Sexo]:[Sexo]]=$B76,IF(DATOS_[[AGRUP. VALOR. PTO.]:[AGRUP. VALOR. PTO.]]=$B75,IF(DATOS_[[Check Periodo Ref.]:[Check Periodo Ref.]]="Dentro",DATOS_[Conc.Sal.05]))))),
0)</f>
        <v>0</v>
      </c>
      <c r="K76" s="93">
        <f t="array" ref="K76">IFERROR(
AVERAGE((IF(DATOS_[[Sexo]:[Sexo]]=$B76,IF(DATOS_[[AGRUP. VALOR. PTO.]:[AGRUP. VALOR. PTO.]]=$B75,IF(DATOS_[[Check Periodo Ref.]:[Check Periodo Ref.]]="Dentro",DATOS_[Conc.Sal.06]))))),
0)</f>
        <v>0</v>
      </c>
      <c r="L76" s="93">
        <f t="array" ref="L76">IFERROR(
AVERAGE((IF(DATOS_[[Sexo]:[Sexo]]=$B76,IF(DATOS_[[AGRUP. VALOR. PTO.]:[AGRUP. VALOR. PTO.]]=$B75,IF(DATOS_[[Check Periodo Ref.]:[Check Periodo Ref.]]="Dentro",DATOS_[Conc.Sal.07]))))),
0)</f>
        <v>0</v>
      </c>
      <c r="M76" s="93">
        <f t="array" ref="M76">IFERROR(
AVERAGE((IF(DATOS_[[Sexo]:[Sexo]]=$B76,IF(DATOS_[[AGRUP. VALOR. PTO.]:[AGRUP. VALOR. PTO.]]=$B75,IF(DATOS_[[Check Periodo Ref.]:[Check Periodo Ref.]]="Dentro",DATOS_[Conc.Sal.08]))))),
0)</f>
        <v>0</v>
      </c>
      <c r="N76" s="93">
        <f t="array" ref="N76">IFERROR(
AVERAGE((IF(DATOS_[[Sexo]:[Sexo]]=$B76,IF(DATOS_[[AGRUP. VALOR. PTO.]:[AGRUP. VALOR. PTO.]]=$B75,IF(DATOS_[[Check Periodo Ref.]:[Check Periodo Ref.]]="Dentro",DATOS_[Conc.Sal.09]))))),
0)</f>
        <v>0</v>
      </c>
      <c r="O76" s="93">
        <f t="array" ref="O76">IFERROR(
AVERAGE((IF(DATOS_[[Sexo]:[Sexo]]=$B76,IF(DATOS_[[AGRUP. VALOR. PTO.]:[AGRUP. VALOR. PTO.]]=$B75,IF(DATOS_[[Check Periodo Ref.]:[Check Periodo Ref.]]="Dentro",DATOS_[Conc.Sal.10]))))),
0)</f>
        <v>0</v>
      </c>
      <c r="P76" s="93">
        <f t="array" ref="P76">IFERROR(
AVERAGE((IF(DATOS_[[Sexo]:[Sexo]]=$B76,IF(DATOS_[[AGRUP. VALOR. PTO.]:[AGRUP. VALOR. PTO.]]=$B75,IF(DATOS_[[Check Periodo Ref.]:[Check Periodo Ref.]]="Dentro",DATOS_[Conc.Sal.11]))))),
0)</f>
        <v>0</v>
      </c>
      <c r="Q76" s="93">
        <f t="array" ref="Q76">IFERROR(
AVERAGE((IF(DATOS_[[Sexo]:[Sexo]]=$B76,IF(DATOS_[[AGRUP. VALOR. PTO.]:[AGRUP. VALOR. PTO.]]=$B75,IF(DATOS_[[Check Periodo Ref.]:[Check Periodo Ref.]]="Dentro",DATOS_[Conc.Sal.12]))))),
0)</f>
        <v>0</v>
      </c>
      <c r="R76" s="93">
        <f t="array" ref="R76">IFERROR(
AVERAGE((IF(DATOS_[[Sexo]:[Sexo]]=$B76,IF(DATOS_[[AGRUP. VALOR. PTO.]:[AGRUP. VALOR. PTO.]]=$B75,IF(DATOS_[[Check Periodo Ref.]:[Check Periodo Ref.]]="Dentro",DATOS_[Conc.Sal.13]))))),
0)</f>
        <v>0</v>
      </c>
      <c r="S76" s="93">
        <f t="array" ref="S76">IFERROR(
AVERAGE((IF(DATOS_[[Sexo]:[Sexo]]=$B76,IF(DATOS_[[AGRUP. VALOR. PTO.]:[AGRUP. VALOR. PTO.]]=$B75,IF(DATOS_[[Check Periodo Ref.]:[Check Periodo Ref.]]="Dentro",DATOS_[Conc.Sal.14]))))),
0)</f>
        <v>0</v>
      </c>
      <c r="T76" s="93">
        <f t="array" ref="T76">IFERROR(
AVERAGE((IF(DATOS_[[Sexo]:[Sexo]]=$B76,IF(DATOS_[[AGRUP. VALOR. PTO.]:[AGRUP. VALOR. PTO.]]=$B75,IF(DATOS_[[Check Periodo Ref.]:[Check Periodo Ref.]]="Dentro",DATOS_[Conc.Sal.15]))))),
0)</f>
        <v>0</v>
      </c>
      <c r="U76" s="93">
        <f t="array" ref="U76">IFERROR(
AVERAGE((IF(DATOS_[[Sexo]:[Sexo]]=$B76,IF(DATOS_[[AGRUP. VALOR. PTO.]:[AGRUP. VALOR. PTO.]]=$B75,IF(DATOS_[[Check Periodo Ref.]:[Check Periodo Ref.]]="Dentro",DATOS_[Conc.Sal.16]))))),
0)</f>
        <v>0</v>
      </c>
      <c r="V76" s="93">
        <f t="array" ref="V76">IFERROR(
AVERAGE((IF(DATOS_[[Sexo]:[Sexo]]=$B76,IF(DATOS_[[AGRUP. VALOR. PTO.]:[AGRUP. VALOR. PTO.]]=$B75,IF(DATOS_[[Check Periodo Ref.]:[Check Periodo Ref.]]="Dentro",DATOS_[Conc.Sal.17]))))),
0)</f>
        <v>0</v>
      </c>
      <c r="W76" s="93">
        <f t="array" ref="W76">IFERROR(
AVERAGE((IF(DATOS_[[Sexo]:[Sexo]]=$B76,IF(DATOS_[[AGRUP. VALOR. PTO.]:[AGRUP. VALOR. PTO.]]=$B75,IF(DATOS_[[Check Periodo Ref.]:[Check Periodo Ref.]]="Dentro",DATOS_[Conc.Sal.18]))))),
0)</f>
        <v>0</v>
      </c>
      <c r="X76" s="93">
        <f t="array" ref="X76">IFERROR(
AVERAGE((IF(DATOS_[[Sexo]:[Sexo]]=$B76,IF(DATOS_[[AGRUP. VALOR. PTO.]:[AGRUP. VALOR. PTO.]]=$B75,IF(DATOS_[[Check Periodo Ref.]:[Check Periodo Ref.]]="Dentro",DATOS_[Conc.Sal.19]))))),
0)</f>
        <v>0</v>
      </c>
      <c r="Y76" s="93">
        <f t="array" ref="Y76">IFERROR(
AVERAGE((IF(DATOS_[[Sexo]:[Sexo]]=$B76,IF(DATOS_[[AGRUP. VALOR. PTO.]:[AGRUP. VALOR. PTO.]]=$B75,IF(DATOS_[[Check Periodo Ref.]:[Check Periodo Ref.]]="Dentro",DATOS_[Conc.Sal.20]))))),
0)</f>
        <v>0</v>
      </c>
      <c r="Z76" s="93">
        <f t="array" ref="Z76">IFERROR(
AVERAGE((IF(DATOS_[[Sexo]:[Sexo]]=$B76,IF(DATOS_[[AGRUP. VALOR. PTO.]:[AGRUP. VALOR. PTO.]]=$B75,IF(DATOS_[[Check Periodo Ref.]:[Check Periodo Ref.]]="Dentro",DATOS_[Conc.Sal.21]))))),
0)</f>
        <v>0</v>
      </c>
      <c r="AA76" s="93">
        <f t="array" ref="AA76">IFERROR(
AVERAGE((IF(DATOS_[[Sexo]:[Sexo]]=$B76,IF(DATOS_[[AGRUP. VALOR. PTO.]:[AGRUP. VALOR. PTO.]]=$B75,IF(DATOS_[[Check Periodo Ref.]:[Check Periodo Ref.]]="Dentro",DATOS_[Conc.Sal.22]))))),
0)</f>
        <v>0</v>
      </c>
      <c r="AB76" s="93">
        <f t="array" ref="AB76">IFERROR(
AVERAGE((IF(DATOS_[[Sexo]:[Sexo]]=$B76,IF(DATOS_[[AGRUP. VALOR. PTO.]:[AGRUP. VALOR. PTO.]]=$B75,IF(DATOS_[[Check Periodo Ref.]:[Check Periodo Ref.]]="Dentro",DATOS_[Conc.Sal.23]))))),
0)</f>
        <v>0</v>
      </c>
      <c r="AC76" s="93">
        <f t="array" ref="AC76">IFERROR(
AVERAGE((IF(DATOS_[[Sexo]:[Sexo]]=$B76,IF(DATOS_[[AGRUP. VALOR. PTO.]:[AGRUP. VALOR. PTO.]]=$B75,IF(DATOS_[[Check Periodo Ref.]:[Check Periodo Ref.]]="Dentro",DATOS_[Conc.Sal.24]))))),
0)</f>
        <v>0</v>
      </c>
      <c r="AD76" s="93">
        <f t="array" ref="AD76">IFERROR(
AVERAGE((IF(DATOS_[[Sexo]:[Sexo]]=$B76,IF(DATOS_[[AGRUP. VALOR. PTO.]:[AGRUP. VALOR. PTO.]]=$B75,IF(DATOS_[[Check Periodo Ref.]:[Check Periodo Ref.]]="Dentro",DATOS_[Conc.Sal.25]))))),
0)</f>
        <v>0</v>
      </c>
      <c r="AE76" s="93">
        <f t="array" ref="AE76">IFERROR(
AVERAGE((IF(DATOS_[[Sexo]:[Sexo]]=$B76,IF(DATOS_[[AGRUP. VALOR. PTO.]:[AGRUP. VALOR. PTO.]]=$B75,IF(DATOS_[[Check Periodo Ref.]:[Check Periodo Ref.]]="Dentro",DATOS_[Conc.Sal.26]))))),
0)</f>
        <v>0</v>
      </c>
      <c r="AF76" s="93">
        <f t="array" ref="AF76">IFERROR(
AVERAGE((IF(DATOS_[[Sexo]:[Sexo]]=$B76,IF(DATOS_[[AGRUP. VALOR. PTO.]:[AGRUP. VALOR. PTO.]]=$B75,IF(DATOS_[[Check Periodo Ref.]:[Check Periodo Ref.]]="Dentro",DATOS_[Conc.Sal.27]))))),
0)</f>
        <v>0</v>
      </c>
      <c r="AG76" s="93">
        <f t="array" ref="AG76">IFERROR(
AVERAGE((IF(DATOS_[[Sexo]:[Sexo]]=$B76,IF(DATOS_[[AGRUP. VALOR. PTO.]:[AGRUP. VALOR. PTO.]]=$B75,IF(DATOS_[[Check Periodo Ref.]:[Check Periodo Ref.]]="Dentro",DATOS_[Conc.Sal.28]))))),
0)</f>
        <v>0</v>
      </c>
      <c r="AH76" s="93">
        <f t="array" ref="AH76">IFERROR(
AVERAGE((IF(DATOS_[[Sexo]:[Sexo]]=$B76,IF(DATOS_[[AGRUP. VALOR. PTO.]:[AGRUP. VALOR. PTO.]]=$B75,IF(DATOS_[[Check Periodo Ref.]:[Check Periodo Ref.]]="Dentro",DATOS_[Conc.Sal.29]))))),
0)</f>
        <v>0</v>
      </c>
      <c r="AI76" s="93">
        <f t="array" ref="AI76">IFERROR(
AVERAGE((IF(DATOS_[[Sexo]:[Sexo]]=$B76,IF(DATOS_[[AGRUP. VALOR. PTO.]:[AGRUP. VALOR. PTO.]]=$B75,IF(DATOS_[[Check Periodo Ref.]:[Check Periodo Ref.]]="Dentro",DATOS_[Conc.Sal.30]))))),
0)</f>
        <v>0</v>
      </c>
      <c r="AJ76" s="94">
        <f t="array" ref="AJ76">IFERROR(
AVERAGE(IF(DATOS_[Sexo]=$B76,IF(DATOS_[AGRUP. VALOR. PTO.]=$B75,IF(DATOS_[Check Periodo Ref.]="Dentro",DATOS_[Tot COMPL.SAL Ef],FALSE)))),
0)</f>
        <v>0</v>
      </c>
      <c r="AK76" s="96">
        <f t="array" ref="AK76">IFERROR(
AVERAGE(IF(DATOS_[Sexo]=$B76,IF(DATOS_[AGRUP. VALOR. PTO.]=$B75,IF(DATOS_[Check Periodo Ref.]="Dentro",DATOS_[TOTAL SALARIO Ef],FALSE)))),
0)</f>
        <v>0</v>
      </c>
      <c r="AL76" s="95">
        <f t="array" ref="AL76">IFERROR(
AVERAGE((IF(DATOS_[[Sexo]:[Sexo]]=$B76,IF(DATOS_[[AGRUP. VALOR. PTO.]:[AGRUP. VALOR. PTO.]]=$B75,IF(DATOS_[[Check Periodo Ref.]:[Check Periodo Ref.]]="Dentro",DATOS_[C.Extra.01]))))),
0)</f>
        <v>0</v>
      </c>
      <c r="AM76" s="95">
        <f t="array" ref="AM76">IFERROR(
AVERAGE((IF(DATOS_[[Sexo]:[Sexo]]=$B76,IF(DATOS_[[AGRUP. VALOR. PTO.]:[AGRUP. VALOR. PTO.]]=$B75,IF(DATOS_[[Check Periodo Ref.]:[Check Periodo Ref.]]="Dentro",DATOS_[C.Extra.02]))))),
0)</f>
        <v>0</v>
      </c>
      <c r="AN76" s="95">
        <f t="array" ref="AN76">IFERROR(
AVERAGE((IF(DATOS_[[Sexo]:[Sexo]]=$B76,IF(DATOS_[[AGRUP. VALOR. PTO.]:[AGRUP. VALOR. PTO.]]=$B75,IF(DATOS_[[Check Periodo Ref.]:[Check Periodo Ref.]]="Dentro",DATOS_[C.Extra.03]))))),
0)</f>
        <v>0</v>
      </c>
      <c r="AO76" s="95">
        <f t="array" ref="AO76">IFERROR(
AVERAGE((IF(DATOS_[[Sexo]:[Sexo]]=$B76,IF(DATOS_[[AGRUP. VALOR. PTO.]:[AGRUP. VALOR. PTO.]]=$B75,IF(DATOS_[[Check Periodo Ref.]:[Check Periodo Ref.]]="Dentro",DATOS_[C.Extra.04]))))),
0)</f>
        <v>0</v>
      </c>
      <c r="AP76" s="95">
        <f t="array" ref="AP76">IFERROR(
AVERAGE((IF(DATOS_[[Sexo]:[Sexo]]=$B76,IF(DATOS_[[AGRUP. VALOR. PTO.]:[AGRUP. VALOR. PTO.]]=$B75,IF(DATOS_[[Check Periodo Ref.]:[Check Periodo Ref.]]="Dentro",DATOS_[C.Extra.05]))))),
0)</f>
        <v>0</v>
      </c>
      <c r="AQ76" s="97">
        <f t="array" ref="AQ76">IFERROR(
AVERAGE(IF(DATOS_[Sexo]=$B76,IF(DATOS_[AGRUP. VALOR. PTO.]=$B75,IF(DATOS_[Check Periodo Ref.]="Dentro",DATOS_[Tot Extrasalarial Ef],FALSE)))),
0)</f>
        <v>0</v>
      </c>
      <c r="AR76" s="98">
        <f t="array" ref="AR76">IFERROR(
AVERAGE(IF(DATOS_[Sexo]=$B76,IF(DATOS_[AGRUP. VALOR. PTO.]=$B75,IF(DATOS_[Check Periodo Ref.]="Dentro",DATOS_[TOTAL Retrib Ef],FALSE)))),
0)</f>
        <v>0</v>
      </c>
    </row>
    <row r="77" spans="1:44" hidden="1" x14ac:dyDescent="0.3">
      <c r="A77" s="48" t="str">
        <f t="shared" ref="A77" si="86">+A76</f>
        <v>[ocultar]</v>
      </c>
      <c r="B77" s="46" t="s">
        <v>163</v>
      </c>
      <c r="C77" s="45">
        <f t="array" ref="C77">SUM(IF($B77=DATOS_[Sexo],
IF($B75=DATOS_[AGRUP. VALOR. PTO.],
IF("Dentro"=DATOS_[Check Periodo Ref.],
1/(COUNTIFS(DATOS_[Sexo],$B77,DATOS_[AGRUP. VALOR. PTO.],$B75,DATOS_[Check Periodo Ref.],"Dentro",DATOS_[id],DATOS_[id]))))))</f>
        <v>0</v>
      </c>
      <c r="D77" s="47">
        <f>COUNTIFS(DATOS_[AGRUP. VALOR. PTO.],$B75,DATOS_[Sexo],$B77,DATOS_[Check Periodo Ref.],"Dentro")</f>
        <v>0</v>
      </c>
      <c r="E77" s="92">
        <f t="array" ref="E77">IFERROR(
AVERAGE(IF(DATOS_[Sexo]=$B77,IF(DATOS_[AGRUP. VALOR. PTO.]=$B75,IF(DATOS_[Check Periodo Ref.]="Dentro",DATOS_[SALARIO BASE Ef],FALSE)))),
0)</f>
        <v>0</v>
      </c>
      <c r="F77" s="93">
        <f t="array" ref="F77">IFERROR(
AVERAGE((IF(DATOS_[[Sexo]:[Sexo]]=$B77,IF(DATOS_[[AGRUP. VALOR. PTO.]:[AGRUP. VALOR. PTO.]]=$B75,IF(DATOS_[[Check Periodo Ref.]:[Check Periodo Ref.]]="Dentro",DATOS_[Conc.Sal.01]))))),
0)</f>
        <v>0</v>
      </c>
      <c r="G77" s="93">
        <f t="array" ref="G77">IFERROR(
AVERAGE((IF(DATOS_[[Sexo]:[Sexo]]=$B77,IF(DATOS_[[AGRUP. VALOR. PTO.]:[AGRUP. VALOR. PTO.]]=$B75,IF(DATOS_[[Check Periodo Ref.]:[Check Periodo Ref.]]="Dentro",DATOS_[Conc.Sal.02]))))),
0)</f>
        <v>0</v>
      </c>
      <c r="H77" s="93">
        <f t="array" ref="H77">IFERROR(
AVERAGE((IF(DATOS_[[Sexo]:[Sexo]]=$B77,IF(DATOS_[[AGRUP. VALOR. PTO.]:[AGRUP. VALOR. PTO.]]=$B75,IF(DATOS_[[Check Periodo Ref.]:[Check Periodo Ref.]]="Dentro",DATOS_[Conc.Sal.03]))))),
0)</f>
        <v>0</v>
      </c>
      <c r="I77" s="93">
        <f t="array" ref="I77">IFERROR(
AVERAGE((IF(DATOS_[[Sexo]:[Sexo]]=$B77,IF(DATOS_[[AGRUP. VALOR. PTO.]:[AGRUP. VALOR. PTO.]]=$B75,IF(DATOS_[[Check Periodo Ref.]:[Check Periodo Ref.]]="Dentro",DATOS_[Conc.Sal.04]))))),
0)</f>
        <v>0</v>
      </c>
      <c r="J77" s="93">
        <f t="array" ref="J77">IFERROR(
AVERAGE((IF(DATOS_[[Sexo]:[Sexo]]=$B77,IF(DATOS_[[AGRUP. VALOR. PTO.]:[AGRUP. VALOR. PTO.]]=$B75,IF(DATOS_[[Check Periodo Ref.]:[Check Periodo Ref.]]="Dentro",DATOS_[Conc.Sal.05]))))),
0)</f>
        <v>0</v>
      </c>
      <c r="K77" s="93">
        <f t="array" ref="K77">IFERROR(
AVERAGE((IF(DATOS_[[Sexo]:[Sexo]]=$B77,IF(DATOS_[[AGRUP. VALOR. PTO.]:[AGRUP. VALOR. PTO.]]=$B75,IF(DATOS_[[Check Periodo Ref.]:[Check Periodo Ref.]]="Dentro",DATOS_[Conc.Sal.06]))))),
0)</f>
        <v>0</v>
      </c>
      <c r="L77" s="93">
        <f t="array" ref="L77">IFERROR(
AVERAGE((IF(DATOS_[[Sexo]:[Sexo]]=$B77,IF(DATOS_[[AGRUP. VALOR. PTO.]:[AGRUP. VALOR. PTO.]]=$B75,IF(DATOS_[[Check Periodo Ref.]:[Check Periodo Ref.]]="Dentro",DATOS_[Conc.Sal.07]))))),
0)</f>
        <v>0</v>
      </c>
      <c r="M77" s="93">
        <f t="array" ref="M77">IFERROR(
AVERAGE((IF(DATOS_[[Sexo]:[Sexo]]=$B77,IF(DATOS_[[AGRUP. VALOR. PTO.]:[AGRUP. VALOR. PTO.]]=$B75,IF(DATOS_[[Check Periodo Ref.]:[Check Periodo Ref.]]="Dentro",DATOS_[Conc.Sal.08]))))),
0)</f>
        <v>0</v>
      </c>
      <c r="N77" s="93">
        <f t="array" ref="N77">IFERROR(
AVERAGE((IF(DATOS_[[Sexo]:[Sexo]]=$B77,IF(DATOS_[[AGRUP. VALOR. PTO.]:[AGRUP. VALOR. PTO.]]=$B75,IF(DATOS_[[Check Periodo Ref.]:[Check Periodo Ref.]]="Dentro",DATOS_[Conc.Sal.09]))))),
0)</f>
        <v>0</v>
      </c>
      <c r="O77" s="93">
        <f t="array" ref="O77">IFERROR(
AVERAGE((IF(DATOS_[[Sexo]:[Sexo]]=$B77,IF(DATOS_[[AGRUP. VALOR. PTO.]:[AGRUP. VALOR. PTO.]]=$B75,IF(DATOS_[[Check Periodo Ref.]:[Check Periodo Ref.]]="Dentro",DATOS_[Conc.Sal.10]))))),
0)</f>
        <v>0</v>
      </c>
      <c r="P77" s="93">
        <f t="array" ref="P77">IFERROR(
AVERAGE((IF(DATOS_[[Sexo]:[Sexo]]=$B77,IF(DATOS_[[AGRUP. VALOR. PTO.]:[AGRUP. VALOR. PTO.]]=$B75,IF(DATOS_[[Check Periodo Ref.]:[Check Periodo Ref.]]="Dentro",DATOS_[Conc.Sal.11]))))),
0)</f>
        <v>0</v>
      </c>
      <c r="Q77" s="93">
        <f t="array" ref="Q77">IFERROR(
AVERAGE((IF(DATOS_[[Sexo]:[Sexo]]=$B77,IF(DATOS_[[AGRUP. VALOR. PTO.]:[AGRUP. VALOR. PTO.]]=$B75,IF(DATOS_[[Check Periodo Ref.]:[Check Periodo Ref.]]="Dentro",DATOS_[Conc.Sal.12]))))),
0)</f>
        <v>0</v>
      </c>
      <c r="R77" s="93">
        <f t="array" ref="R77">IFERROR(
AVERAGE((IF(DATOS_[[Sexo]:[Sexo]]=$B77,IF(DATOS_[[AGRUP. VALOR. PTO.]:[AGRUP. VALOR. PTO.]]=$B75,IF(DATOS_[[Check Periodo Ref.]:[Check Periodo Ref.]]="Dentro",DATOS_[Conc.Sal.13]))))),
0)</f>
        <v>0</v>
      </c>
      <c r="S77" s="93">
        <f t="array" ref="S77">IFERROR(
AVERAGE((IF(DATOS_[[Sexo]:[Sexo]]=$B77,IF(DATOS_[[AGRUP. VALOR. PTO.]:[AGRUP. VALOR. PTO.]]=$B75,IF(DATOS_[[Check Periodo Ref.]:[Check Periodo Ref.]]="Dentro",DATOS_[Conc.Sal.14]))))),
0)</f>
        <v>0</v>
      </c>
      <c r="T77" s="93">
        <f t="array" ref="T77">IFERROR(
AVERAGE((IF(DATOS_[[Sexo]:[Sexo]]=$B77,IF(DATOS_[[AGRUP. VALOR. PTO.]:[AGRUP. VALOR. PTO.]]=$B75,IF(DATOS_[[Check Periodo Ref.]:[Check Periodo Ref.]]="Dentro",DATOS_[Conc.Sal.15]))))),
0)</f>
        <v>0</v>
      </c>
      <c r="U77" s="93">
        <f t="array" ref="U77">IFERROR(
AVERAGE((IF(DATOS_[[Sexo]:[Sexo]]=$B77,IF(DATOS_[[AGRUP. VALOR. PTO.]:[AGRUP. VALOR. PTO.]]=$B75,IF(DATOS_[[Check Periodo Ref.]:[Check Periodo Ref.]]="Dentro",DATOS_[Conc.Sal.16]))))),
0)</f>
        <v>0</v>
      </c>
      <c r="V77" s="93">
        <f t="array" ref="V77">IFERROR(
AVERAGE((IF(DATOS_[[Sexo]:[Sexo]]=$B77,IF(DATOS_[[AGRUP. VALOR. PTO.]:[AGRUP. VALOR. PTO.]]=$B75,IF(DATOS_[[Check Periodo Ref.]:[Check Periodo Ref.]]="Dentro",DATOS_[Conc.Sal.17]))))),
0)</f>
        <v>0</v>
      </c>
      <c r="W77" s="93">
        <f t="array" ref="W77">IFERROR(
AVERAGE((IF(DATOS_[[Sexo]:[Sexo]]=$B77,IF(DATOS_[[AGRUP. VALOR. PTO.]:[AGRUP. VALOR. PTO.]]=$B75,IF(DATOS_[[Check Periodo Ref.]:[Check Periodo Ref.]]="Dentro",DATOS_[Conc.Sal.18]))))),
0)</f>
        <v>0</v>
      </c>
      <c r="X77" s="93">
        <f t="array" ref="X77">IFERROR(
AVERAGE((IF(DATOS_[[Sexo]:[Sexo]]=$B77,IF(DATOS_[[AGRUP. VALOR. PTO.]:[AGRUP. VALOR. PTO.]]=$B75,IF(DATOS_[[Check Periodo Ref.]:[Check Periodo Ref.]]="Dentro",DATOS_[Conc.Sal.19]))))),
0)</f>
        <v>0</v>
      </c>
      <c r="Y77" s="93">
        <f t="array" ref="Y77">IFERROR(
AVERAGE((IF(DATOS_[[Sexo]:[Sexo]]=$B77,IF(DATOS_[[AGRUP. VALOR. PTO.]:[AGRUP. VALOR. PTO.]]=$B75,IF(DATOS_[[Check Periodo Ref.]:[Check Periodo Ref.]]="Dentro",DATOS_[Conc.Sal.20]))))),
0)</f>
        <v>0</v>
      </c>
      <c r="Z77" s="93">
        <f t="array" ref="Z77">IFERROR(
AVERAGE((IF(DATOS_[[Sexo]:[Sexo]]=$B77,IF(DATOS_[[AGRUP. VALOR. PTO.]:[AGRUP. VALOR. PTO.]]=$B75,IF(DATOS_[[Check Periodo Ref.]:[Check Periodo Ref.]]="Dentro",DATOS_[Conc.Sal.21]))))),
0)</f>
        <v>0</v>
      </c>
      <c r="AA77" s="93">
        <f t="array" ref="AA77">IFERROR(
AVERAGE((IF(DATOS_[[Sexo]:[Sexo]]=$B77,IF(DATOS_[[AGRUP. VALOR. PTO.]:[AGRUP. VALOR. PTO.]]=$B75,IF(DATOS_[[Check Periodo Ref.]:[Check Periodo Ref.]]="Dentro",DATOS_[Conc.Sal.22]))))),
0)</f>
        <v>0</v>
      </c>
      <c r="AB77" s="93">
        <f t="array" ref="AB77">IFERROR(
AVERAGE((IF(DATOS_[[Sexo]:[Sexo]]=$B77,IF(DATOS_[[AGRUP. VALOR. PTO.]:[AGRUP. VALOR. PTO.]]=$B75,IF(DATOS_[[Check Periodo Ref.]:[Check Periodo Ref.]]="Dentro",DATOS_[Conc.Sal.23]))))),
0)</f>
        <v>0</v>
      </c>
      <c r="AC77" s="93">
        <f t="array" ref="AC77">IFERROR(
AVERAGE((IF(DATOS_[[Sexo]:[Sexo]]=$B77,IF(DATOS_[[AGRUP. VALOR. PTO.]:[AGRUP. VALOR. PTO.]]=$B75,IF(DATOS_[[Check Periodo Ref.]:[Check Periodo Ref.]]="Dentro",DATOS_[Conc.Sal.24]))))),
0)</f>
        <v>0</v>
      </c>
      <c r="AD77" s="93">
        <f t="array" ref="AD77">IFERROR(
AVERAGE((IF(DATOS_[[Sexo]:[Sexo]]=$B77,IF(DATOS_[[AGRUP. VALOR. PTO.]:[AGRUP. VALOR. PTO.]]=$B75,IF(DATOS_[[Check Periodo Ref.]:[Check Periodo Ref.]]="Dentro",DATOS_[Conc.Sal.25]))))),
0)</f>
        <v>0</v>
      </c>
      <c r="AE77" s="93">
        <f t="array" ref="AE77">IFERROR(
AVERAGE((IF(DATOS_[[Sexo]:[Sexo]]=$B77,IF(DATOS_[[AGRUP. VALOR. PTO.]:[AGRUP. VALOR. PTO.]]=$B75,IF(DATOS_[[Check Periodo Ref.]:[Check Periodo Ref.]]="Dentro",DATOS_[Conc.Sal.26]))))),
0)</f>
        <v>0</v>
      </c>
      <c r="AF77" s="93">
        <f t="array" ref="AF77">IFERROR(
AVERAGE((IF(DATOS_[[Sexo]:[Sexo]]=$B77,IF(DATOS_[[AGRUP. VALOR. PTO.]:[AGRUP. VALOR. PTO.]]=$B75,IF(DATOS_[[Check Periodo Ref.]:[Check Periodo Ref.]]="Dentro",DATOS_[Conc.Sal.27]))))),
0)</f>
        <v>0</v>
      </c>
      <c r="AG77" s="93">
        <f t="array" ref="AG77">IFERROR(
AVERAGE((IF(DATOS_[[Sexo]:[Sexo]]=$B77,IF(DATOS_[[AGRUP. VALOR. PTO.]:[AGRUP. VALOR. PTO.]]=$B75,IF(DATOS_[[Check Periodo Ref.]:[Check Periodo Ref.]]="Dentro",DATOS_[Conc.Sal.28]))))),
0)</f>
        <v>0</v>
      </c>
      <c r="AH77" s="93">
        <f t="array" ref="AH77">IFERROR(
AVERAGE((IF(DATOS_[[Sexo]:[Sexo]]=$B77,IF(DATOS_[[AGRUP. VALOR. PTO.]:[AGRUP. VALOR. PTO.]]=$B75,IF(DATOS_[[Check Periodo Ref.]:[Check Periodo Ref.]]="Dentro",DATOS_[Conc.Sal.29]))))),
0)</f>
        <v>0</v>
      </c>
      <c r="AI77" s="93">
        <f t="array" ref="AI77">IFERROR(
AVERAGE((IF(DATOS_[[Sexo]:[Sexo]]=$B77,IF(DATOS_[[AGRUP. VALOR. PTO.]:[AGRUP. VALOR. PTO.]]=$B75,IF(DATOS_[[Check Periodo Ref.]:[Check Periodo Ref.]]="Dentro",DATOS_[Conc.Sal.30]))))),
0)</f>
        <v>0</v>
      </c>
      <c r="AJ77" s="94">
        <f t="array" ref="AJ77">IFERROR(
AVERAGE(IF(DATOS_[Sexo]=$B77,IF(DATOS_[AGRUP. VALOR. PTO.]=$B75,IF(DATOS_[Check Periodo Ref.]="Dentro",DATOS_[Tot COMPL.SAL Ef],FALSE)))),
0)</f>
        <v>0</v>
      </c>
      <c r="AK77" s="96">
        <f t="array" ref="AK77">IFERROR(
AVERAGE(IF(DATOS_[Sexo]=$B77,IF(DATOS_[AGRUP. VALOR. PTO.]=$B75,IF(DATOS_[Check Periodo Ref.]="Dentro",DATOS_[TOTAL SALARIO Ef],FALSE)))),
0)</f>
        <v>0</v>
      </c>
      <c r="AL77" s="95">
        <f t="array" ref="AL77">IFERROR(
AVERAGE((IF(DATOS_[[Sexo]:[Sexo]]=$B77,IF(DATOS_[[AGRUP. VALOR. PTO.]:[AGRUP. VALOR. PTO.]]=$B75,IF(DATOS_[[Check Periodo Ref.]:[Check Periodo Ref.]]="Dentro",DATOS_[C.Extra.01]))))),
0)</f>
        <v>0</v>
      </c>
      <c r="AM77" s="95">
        <f t="array" ref="AM77">IFERROR(
AVERAGE((IF(DATOS_[[Sexo]:[Sexo]]=$B77,IF(DATOS_[[AGRUP. VALOR. PTO.]:[AGRUP. VALOR. PTO.]]=$B75,IF(DATOS_[[Check Periodo Ref.]:[Check Periodo Ref.]]="Dentro",DATOS_[C.Extra.02]))))),
0)</f>
        <v>0</v>
      </c>
      <c r="AN77" s="95">
        <f t="array" ref="AN77">IFERROR(
AVERAGE((IF(DATOS_[[Sexo]:[Sexo]]=$B77,IF(DATOS_[[AGRUP. VALOR. PTO.]:[AGRUP. VALOR. PTO.]]=$B75,IF(DATOS_[[Check Periodo Ref.]:[Check Periodo Ref.]]="Dentro",DATOS_[C.Extra.03]))))),
0)</f>
        <v>0</v>
      </c>
      <c r="AO77" s="95">
        <f t="array" ref="AO77">IFERROR(
AVERAGE((IF(DATOS_[[Sexo]:[Sexo]]=$B77,IF(DATOS_[[AGRUP. VALOR. PTO.]:[AGRUP. VALOR. PTO.]]=$B75,IF(DATOS_[[Check Periodo Ref.]:[Check Periodo Ref.]]="Dentro",DATOS_[C.Extra.04]))))),
0)</f>
        <v>0</v>
      </c>
      <c r="AP77" s="95">
        <f t="array" ref="AP77">IFERROR(
AVERAGE((IF(DATOS_[[Sexo]:[Sexo]]=$B77,IF(DATOS_[[AGRUP. VALOR. PTO.]:[AGRUP. VALOR. PTO.]]=$B75,IF(DATOS_[[Check Periodo Ref.]:[Check Periodo Ref.]]="Dentro",DATOS_[C.Extra.05]))))),
0)</f>
        <v>0</v>
      </c>
      <c r="AQ77" s="97">
        <f t="array" ref="AQ77">IFERROR(
AVERAGE(IF(DATOS_[Sexo]=$B77,IF(DATOS_[AGRUP. VALOR. PTO.]=$B75,IF(DATOS_[Check Periodo Ref.]="Dentro",DATOS_[Tot Extrasalarial Ef],FALSE)))),
0)</f>
        <v>0</v>
      </c>
      <c r="AR77" s="98">
        <f t="array" ref="AR77">IFERROR(
AVERAGE(IF(DATOS_[Sexo]=$B77,IF(DATOS_[AGRUP. VALOR. PTO.]=$B75,IF(DATOS_[Check Periodo Ref.]="Dentro",DATOS_[TOTAL Retrib Ef],FALSE)))),
0)</f>
        <v>0</v>
      </c>
    </row>
    <row r="78" spans="1:44" ht="17.25" hidden="1" thickBot="1" x14ac:dyDescent="0.35">
      <c r="A78" s="48" t="str">
        <f t="shared" ref="A78" si="87">+A79</f>
        <v>[ocultar]</v>
      </c>
      <c r="B78" s="51" t="s">
        <v>281</v>
      </c>
      <c r="C78" s="91"/>
      <c r="D78" s="52"/>
      <c r="E78" s="139" t="str">
        <f t="shared" ref="E78:AR78" si="88">IFERROR((E79-E80)/E79,"")</f>
        <v/>
      </c>
      <c r="F78" s="179" t="str">
        <f t="shared" si="88"/>
        <v/>
      </c>
      <c r="G78" s="180" t="str">
        <f t="shared" si="88"/>
        <v/>
      </c>
      <c r="H78" s="180" t="str">
        <f t="shared" si="88"/>
        <v/>
      </c>
      <c r="I78" s="180" t="str">
        <f t="shared" si="88"/>
        <v/>
      </c>
      <c r="J78" s="181" t="str">
        <f t="shared" si="88"/>
        <v/>
      </c>
      <c r="K78" s="182" t="str">
        <f t="shared" si="88"/>
        <v/>
      </c>
      <c r="L78" s="182" t="str">
        <f t="shared" si="88"/>
        <v/>
      </c>
      <c r="M78" s="182" t="str">
        <f t="shared" si="88"/>
        <v/>
      </c>
      <c r="N78" s="182" t="str">
        <f t="shared" si="88"/>
        <v/>
      </c>
      <c r="O78" s="182" t="str">
        <f t="shared" si="88"/>
        <v/>
      </c>
      <c r="P78" s="182" t="str">
        <f t="shared" si="88"/>
        <v/>
      </c>
      <c r="Q78" s="182" t="str">
        <f t="shared" si="88"/>
        <v/>
      </c>
      <c r="R78" s="182" t="str">
        <f t="shared" si="88"/>
        <v/>
      </c>
      <c r="S78" s="182" t="str">
        <f t="shared" si="88"/>
        <v/>
      </c>
      <c r="T78" s="182" t="str">
        <f t="shared" si="88"/>
        <v/>
      </c>
      <c r="U78" s="182" t="str">
        <f t="shared" si="88"/>
        <v/>
      </c>
      <c r="V78" s="181" t="str">
        <f t="shared" si="88"/>
        <v/>
      </c>
      <c r="W78" s="181" t="str">
        <f t="shared" si="88"/>
        <v/>
      </c>
      <c r="X78" s="181" t="str">
        <f t="shared" si="88"/>
        <v/>
      </c>
      <c r="Y78" s="181" t="str">
        <f t="shared" si="88"/>
        <v/>
      </c>
      <c r="Z78" s="181" t="str">
        <f t="shared" si="88"/>
        <v/>
      </c>
      <c r="AA78" s="181" t="str">
        <f t="shared" si="88"/>
        <v/>
      </c>
      <c r="AB78" s="181" t="str">
        <f t="shared" si="88"/>
        <v/>
      </c>
      <c r="AC78" s="181" t="str">
        <f t="shared" si="88"/>
        <v/>
      </c>
      <c r="AD78" s="181" t="str">
        <f t="shared" si="88"/>
        <v/>
      </c>
      <c r="AE78" s="181" t="str">
        <f t="shared" si="88"/>
        <v/>
      </c>
      <c r="AF78" s="181" t="str">
        <f t="shared" si="88"/>
        <v/>
      </c>
      <c r="AG78" s="181" t="str">
        <f t="shared" si="88"/>
        <v/>
      </c>
      <c r="AH78" s="181" t="str">
        <f t="shared" si="88"/>
        <v/>
      </c>
      <c r="AI78" s="181" t="str">
        <f t="shared" si="88"/>
        <v/>
      </c>
      <c r="AJ78" s="140" t="str">
        <f t="shared" si="88"/>
        <v/>
      </c>
      <c r="AK78" s="143" t="str">
        <f t="shared" si="88"/>
        <v/>
      </c>
      <c r="AL78" s="184" t="str">
        <f t="shared" si="88"/>
        <v/>
      </c>
      <c r="AM78" s="184" t="str">
        <f t="shared" si="88"/>
        <v/>
      </c>
      <c r="AN78" s="184" t="str">
        <f t="shared" si="88"/>
        <v/>
      </c>
      <c r="AO78" s="184" t="str">
        <f t="shared" si="88"/>
        <v/>
      </c>
      <c r="AP78" s="184" t="str">
        <f t="shared" si="88"/>
        <v/>
      </c>
      <c r="AQ78" s="141" t="str">
        <f t="shared" si="88"/>
        <v/>
      </c>
      <c r="AR78" s="142" t="str">
        <f t="shared" si="88"/>
        <v/>
      </c>
    </row>
    <row r="79" spans="1:44" hidden="1" x14ac:dyDescent="0.3">
      <c r="A79" s="48" t="str">
        <f t="shared" ref="A79" si="89">+IF(C79+C80=0,"[ocultar]","")</f>
        <v>[ocultar]</v>
      </c>
      <c r="B79" s="46" t="s">
        <v>162</v>
      </c>
      <c r="C79" s="45">
        <f t="array" ref="C79">SUM(IF($B79=DATOS_[Sexo],
IF($B78=DATOS_[AGRUP. VALOR. PTO.],
IF("Dentro"=DATOS_[Check Periodo Ref.],
1/(COUNTIFS(DATOS_[Sexo],$B79,DATOS_[AGRUP. VALOR. PTO.],$B78,DATOS_[Check Periodo Ref.],"Dentro",DATOS_[id],DATOS_[id]))))))</f>
        <v>0</v>
      </c>
      <c r="D79" s="47">
        <f>COUNTIFS(DATOS_[AGRUP. VALOR. PTO.],$B78,DATOS_[Sexo],$B79,DATOS_[Check Periodo Ref.],"Dentro")</f>
        <v>0</v>
      </c>
      <c r="E79" s="92">
        <f t="array" ref="E79">IFERROR(
AVERAGE(IF(DATOS_[Sexo]=$B79,IF(DATOS_[AGRUP. VALOR. PTO.]=$B78,IF(DATOS_[Check Periodo Ref.]="Dentro",DATOS_[SALARIO BASE Ef],FALSE)))),
0)</f>
        <v>0</v>
      </c>
      <c r="F79" s="93">
        <f t="array" ref="F79">IFERROR(
AVERAGE((IF(DATOS_[[Sexo]:[Sexo]]=$B79,IF(DATOS_[[AGRUP. VALOR. PTO.]:[AGRUP. VALOR. PTO.]]=$B78,IF(DATOS_[[Check Periodo Ref.]:[Check Periodo Ref.]]="Dentro",DATOS_[Conc.Sal.01]))))),
0)</f>
        <v>0</v>
      </c>
      <c r="G79" s="93">
        <f t="array" ref="G79">IFERROR(
AVERAGE((IF(DATOS_[[Sexo]:[Sexo]]=$B79,IF(DATOS_[[AGRUP. VALOR. PTO.]:[AGRUP. VALOR. PTO.]]=$B78,IF(DATOS_[[Check Periodo Ref.]:[Check Periodo Ref.]]="Dentro",DATOS_[Conc.Sal.02]))))),
0)</f>
        <v>0</v>
      </c>
      <c r="H79" s="93">
        <f t="array" ref="H79">IFERROR(
AVERAGE((IF(DATOS_[[Sexo]:[Sexo]]=$B79,IF(DATOS_[[AGRUP. VALOR. PTO.]:[AGRUP. VALOR. PTO.]]=$B78,IF(DATOS_[[Check Periodo Ref.]:[Check Periodo Ref.]]="Dentro",DATOS_[Conc.Sal.03]))))),
0)</f>
        <v>0</v>
      </c>
      <c r="I79" s="93">
        <f t="array" ref="I79">IFERROR(
AVERAGE((IF(DATOS_[[Sexo]:[Sexo]]=$B79,IF(DATOS_[[AGRUP. VALOR. PTO.]:[AGRUP. VALOR. PTO.]]=$B78,IF(DATOS_[[Check Periodo Ref.]:[Check Periodo Ref.]]="Dentro",DATOS_[Conc.Sal.04]))))),
0)</f>
        <v>0</v>
      </c>
      <c r="J79" s="93">
        <f t="array" ref="J79">IFERROR(
AVERAGE((IF(DATOS_[[Sexo]:[Sexo]]=$B79,IF(DATOS_[[AGRUP. VALOR. PTO.]:[AGRUP. VALOR. PTO.]]=$B78,IF(DATOS_[[Check Periodo Ref.]:[Check Periodo Ref.]]="Dentro",DATOS_[Conc.Sal.05]))))),
0)</f>
        <v>0</v>
      </c>
      <c r="K79" s="93">
        <f t="array" ref="K79">IFERROR(
AVERAGE((IF(DATOS_[[Sexo]:[Sexo]]=$B79,IF(DATOS_[[AGRUP. VALOR. PTO.]:[AGRUP. VALOR. PTO.]]=$B78,IF(DATOS_[[Check Periodo Ref.]:[Check Periodo Ref.]]="Dentro",DATOS_[Conc.Sal.06]))))),
0)</f>
        <v>0</v>
      </c>
      <c r="L79" s="93">
        <f t="array" ref="L79">IFERROR(
AVERAGE((IF(DATOS_[[Sexo]:[Sexo]]=$B79,IF(DATOS_[[AGRUP. VALOR. PTO.]:[AGRUP. VALOR. PTO.]]=$B78,IF(DATOS_[[Check Periodo Ref.]:[Check Periodo Ref.]]="Dentro",DATOS_[Conc.Sal.07]))))),
0)</f>
        <v>0</v>
      </c>
      <c r="M79" s="93">
        <f t="array" ref="M79">IFERROR(
AVERAGE((IF(DATOS_[[Sexo]:[Sexo]]=$B79,IF(DATOS_[[AGRUP. VALOR. PTO.]:[AGRUP. VALOR. PTO.]]=$B78,IF(DATOS_[[Check Periodo Ref.]:[Check Periodo Ref.]]="Dentro",DATOS_[Conc.Sal.08]))))),
0)</f>
        <v>0</v>
      </c>
      <c r="N79" s="93">
        <f t="array" ref="N79">IFERROR(
AVERAGE((IF(DATOS_[[Sexo]:[Sexo]]=$B79,IF(DATOS_[[AGRUP. VALOR. PTO.]:[AGRUP. VALOR. PTO.]]=$B78,IF(DATOS_[[Check Periodo Ref.]:[Check Periodo Ref.]]="Dentro",DATOS_[Conc.Sal.09]))))),
0)</f>
        <v>0</v>
      </c>
      <c r="O79" s="93">
        <f t="array" ref="O79">IFERROR(
AVERAGE((IF(DATOS_[[Sexo]:[Sexo]]=$B79,IF(DATOS_[[AGRUP. VALOR. PTO.]:[AGRUP. VALOR. PTO.]]=$B78,IF(DATOS_[[Check Periodo Ref.]:[Check Periodo Ref.]]="Dentro",DATOS_[Conc.Sal.10]))))),
0)</f>
        <v>0</v>
      </c>
      <c r="P79" s="93">
        <f t="array" ref="P79">IFERROR(
AVERAGE((IF(DATOS_[[Sexo]:[Sexo]]=$B79,IF(DATOS_[[AGRUP. VALOR. PTO.]:[AGRUP. VALOR. PTO.]]=$B78,IF(DATOS_[[Check Periodo Ref.]:[Check Periodo Ref.]]="Dentro",DATOS_[Conc.Sal.11]))))),
0)</f>
        <v>0</v>
      </c>
      <c r="Q79" s="93">
        <f t="array" ref="Q79">IFERROR(
AVERAGE((IF(DATOS_[[Sexo]:[Sexo]]=$B79,IF(DATOS_[[AGRUP. VALOR. PTO.]:[AGRUP. VALOR. PTO.]]=$B78,IF(DATOS_[[Check Periodo Ref.]:[Check Periodo Ref.]]="Dentro",DATOS_[Conc.Sal.12]))))),
0)</f>
        <v>0</v>
      </c>
      <c r="R79" s="93">
        <f t="array" ref="R79">IFERROR(
AVERAGE((IF(DATOS_[[Sexo]:[Sexo]]=$B79,IF(DATOS_[[AGRUP. VALOR. PTO.]:[AGRUP. VALOR. PTO.]]=$B78,IF(DATOS_[[Check Periodo Ref.]:[Check Periodo Ref.]]="Dentro",DATOS_[Conc.Sal.13]))))),
0)</f>
        <v>0</v>
      </c>
      <c r="S79" s="93">
        <f t="array" ref="S79">IFERROR(
AVERAGE((IF(DATOS_[[Sexo]:[Sexo]]=$B79,IF(DATOS_[[AGRUP. VALOR. PTO.]:[AGRUP. VALOR. PTO.]]=$B78,IF(DATOS_[[Check Periodo Ref.]:[Check Periodo Ref.]]="Dentro",DATOS_[Conc.Sal.14]))))),
0)</f>
        <v>0</v>
      </c>
      <c r="T79" s="93">
        <f t="array" ref="T79">IFERROR(
AVERAGE((IF(DATOS_[[Sexo]:[Sexo]]=$B79,IF(DATOS_[[AGRUP. VALOR. PTO.]:[AGRUP. VALOR. PTO.]]=$B78,IF(DATOS_[[Check Periodo Ref.]:[Check Periodo Ref.]]="Dentro",DATOS_[Conc.Sal.15]))))),
0)</f>
        <v>0</v>
      </c>
      <c r="U79" s="93">
        <f t="array" ref="U79">IFERROR(
AVERAGE((IF(DATOS_[[Sexo]:[Sexo]]=$B79,IF(DATOS_[[AGRUP. VALOR. PTO.]:[AGRUP. VALOR. PTO.]]=$B78,IF(DATOS_[[Check Periodo Ref.]:[Check Periodo Ref.]]="Dentro",DATOS_[Conc.Sal.16]))))),
0)</f>
        <v>0</v>
      </c>
      <c r="V79" s="93">
        <f t="array" ref="V79">IFERROR(
AVERAGE((IF(DATOS_[[Sexo]:[Sexo]]=$B79,IF(DATOS_[[AGRUP. VALOR. PTO.]:[AGRUP. VALOR. PTO.]]=$B78,IF(DATOS_[[Check Periodo Ref.]:[Check Periodo Ref.]]="Dentro",DATOS_[Conc.Sal.17]))))),
0)</f>
        <v>0</v>
      </c>
      <c r="W79" s="93">
        <f t="array" ref="W79">IFERROR(
AVERAGE((IF(DATOS_[[Sexo]:[Sexo]]=$B79,IF(DATOS_[[AGRUP. VALOR. PTO.]:[AGRUP. VALOR. PTO.]]=$B78,IF(DATOS_[[Check Periodo Ref.]:[Check Periodo Ref.]]="Dentro",DATOS_[Conc.Sal.18]))))),
0)</f>
        <v>0</v>
      </c>
      <c r="X79" s="93">
        <f t="array" ref="X79">IFERROR(
AVERAGE((IF(DATOS_[[Sexo]:[Sexo]]=$B79,IF(DATOS_[[AGRUP. VALOR. PTO.]:[AGRUP. VALOR. PTO.]]=$B78,IF(DATOS_[[Check Periodo Ref.]:[Check Periodo Ref.]]="Dentro",DATOS_[Conc.Sal.19]))))),
0)</f>
        <v>0</v>
      </c>
      <c r="Y79" s="93">
        <f t="array" ref="Y79">IFERROR(
AVERAGE((IF(DATOS_[[Sexo]:[Sexo]]=$B79,IF(DATOS_[[AGRUP. VALOR. PTO.]:[AGRUP. VALOR. PTO.]]=$B78,IF(DATOS_[[Check Periodo Ref.]:[Check Periodo Ref.]]="Dentro",DATOS_[Conc.Sal.20]))))),
0)</f>
        <v>0</v>
      </c>
      <c r="Z79" s="93">
        <f t="array" ref="Z79">IFERROR(
AVERAGE((IF(DATOS_[[Sexo]:[Sexo]]=$B79,IF(DATOS_[[AGRUP. VALOR. PTO.]:[AGRUP. VALOR. PTO.]]=$B78,IF(DATOS_[[Check Periodo Ref.]:[Check Periodo Ref.]]="Dentro",DATOS_[Conc.Sal.21]))))),
0)</f>
        <v>0</v>
      </c>
      <c r="AA79" s="93">
        <f t="array" ref="AA79">IFERROR(
AVERAGE((IF(DATOS_[[Sexo]:[Sexo]]=$B79,IF(DATOS_[[AGRUP. VALOR. PTO.]:[AGRUP. VALOR. PTO.]]=$B78,IF(DATOS_[[Check Periodo Ref.]:[Check Periodo Ref.]]="Dentro",DATOS_[Conc.Sal.22]))))),
0)</f>
        <v>0</v>
      </c>
      <c r="AB79" s="93">
        <f t="array" ref="AB79">IFERROR(
AVERAGE((IF(DATOS_[[Sexo]:[Sexo]]=$B79,IF(DATOS_[[AGRUP. VALOR. PTO.]:[AGRUP. VALOR. PTO.]]=$B78,IF(DATOS_[[Check Periodo Ref.]:[Check Periodo Ref.]]="Dentro",DATOS_[Conc.Sal.23]))))),
0)</f>
        <v>0</v>
      </c>
      <c r="AC79" s="93">
        <f t="array" ref="AC79">IFERROR(
AVERAGE((IF(DATOS_[[Sexo]:[Sexo]]=$B79,IF(DATOS_[[AGRUP. VALOR. PTO.]:[AGRUP. VALOR. PTO.]]=$B78,IF(DATOS_[[Check Periodo Ref.]:[Check Periodo Ref.]]="Dentro",DATOS_[Conc.Sal.24]))))),
0)</f>
        <v>0</v>
      </c>
      <c r="AD79" s="93">
        <f t="array" ref="AD79">IFERROR(
AVERAGE((IF(DATOS_[[Sexo]:[Sexo]]=$B79,IF(DATOS_[[AGRUP. VALOR. PTO.]:[AGRUP. VALOR. PTO.]]=$B78,IF(DATOS_[[Check Periodo Ref.]:[Check Periodo Ref.]]="Dentro",DATOS_[Conc.Sal.25]))))),
0)</f>
        <v>0</v>
      </c>
      <c r="AE79" s="93">
        <f t="array" ref="AE79">IFERROR(
AVERAGE((IF(DATOS_[[Sexo]:[Sexo]]=$B79,IF(DATOS_[[AGRUP. VALOR. PTO.]:[AGRUP. VALOR. PTO.]]=$B78,IF(DATOS_[[Check Periodo Ref.]:[Check Periodo Ref.]]="Dentro",DATOS_[Conc.Sal.26]))))),
0)</f>
        <v>0</v>
      </c>
      <c r="AF79" s="93">
        <f t="array" ref="AF79">IFERROR(
AVERAGE((IF(DATOS_[[Sexo]:[Sexo]]=$B79,IF(DATOS_[[AGRUP. VALOR. PTO.]:[AGRUP. VALOR. PTO.]]=$B78,IF(DATOS_[[Check Periodo Ref.]:[Check Periodo Ref.]]="Dentro",DATOS_[Conc.Sal.27]))))),
0)</f>
        <v>0</v>
      </c>
      <c r="AG79" s="93">
        <f t="array" ref="AG79">IFERROR(
AVERAGE((IF(DATOS_[[Sexo]:[Sexo]]=$B79,IF(DATOS_[[AGRUP. VALOR. PTO.]:[AGRUP. VALOR. PTO.]]=$B78,IF(DATOS_[[Check Periodo Ref.]:[Check Periodo Ref.]]="Dentro",DATOS_[Conc.Sal.28]))))),
0)</f>
        <v>0</v>
      </c>
      <c r="AH79" s="93">
        <f t="array" ref="AH79">IFERROR(
AVERAGE((IF(DATOS_[[Sexo]:[Sexo]]=$B79,IF(DATOS_[[AGRUP. VALOR. PTO.]:[AGRUP. VALOR. PTO.]]=$B78,IF(DATOS_[[Check Periodo Ref.]:[Check Periodo Ref.]]="Dentro",DATOS_[Conc.Sal.29]))))),
0)</f>
        <v>0</v>
      </c>
      <c r="AI79" s="93">
        <f t="array" ref="AI79">IFERROR(
AVERAGE((IF(DATOS_[[Sexo]:[Sexo]]=$B79,IF(DATOS_[[AGRUP. VALOR. PTO.]:[AGRUP. VALOR. PTO.]]=$B78,IF(DATOS_[[Check Periodo Ref.]:[Check Periodo Ref.]]="Dentro",DATOS_[Conc.Sal.30]))))),
0)</f>
        <v>0</v>
      </c>
      <c r="AJ79" s="94">
        <f t="array" ref="AJ79">IFERROR(
AVERAGE(IF(DATOS_[Sexo]=$B79,IF(DATOS_[AGRUP. VALOR. PTO.]=$B78,IF(DATOS_[Check Periodo Ref.]="Dentro",DATOS_[Tot COMPL.SAL Ef],FALSE)))),
0)</f>
        <v>0</v>
      </c>
      <c r="AK79" s="96">
        <f t="array" ref="AK79">IFERROR(
AVERAGE(IF(DATOS_[Sexo]=$B79,IF(DATOS_[AGRUP. VALOR. PTO.]=$B78,IF(DATOS_[Check Periodo Ref.]="Dentro",DATOS_[TOTAL SALARIO Ef],FALSE)))),
0)</f>
        <v>0</v>
      </c>
      <c r="AL79" s="95">
        <f t="array" ref="AL79">IFERROR(
AVERAGE((IF(DATOS_[[Sexo]:[Sexo]]=$B79,IF(DATOS_[[AGRUP. VALOR. PTO.]:[AGRUP. VALOR. PTO.]]=$B78,IF(DATOS_[[Check Periodo Ref.]:[Check Periodo Ref.]]="Dentro",DATOS_[C.Extra.01]))))),
0)</f>
        <v>0</v>
      </c>
      <c r="AM79" s="95">
        <f t="array" ref="AM79">IFERROR(
AVERAGE((IF(DATOS_[[Sexo]:[Sexo]]=$B79,IF(DATOS_[[AGRUP. VALOR. PTO.]:[AGRUP. VALOR. PTO.]]=$B78,IF(DATOS_[[Check Periodo Ref.]:[Check Periodo Ref.]]="Dentro",DATOS_[C.Extra.02]))))),
0)</f>
        <v>0</v>
      </c>
      <c r="AN79" s="95">
        <f t="array" ref="AN79">IFERROR(
AVERAGE((IF(DATOS_[[Sexo]:[Sexo]]=$B79,IF(DATOS_[[AGRUP. VALOR. PTO.]:[AGRUP. VALOR. PTO.]]=$B78,IF(DATOS_[[Check Periodo Ref.]:[Check Periodo Ref.]]="Dentro",DATOS_[C.Extra.03]))))),
0)</f>
        <v>0</v>
      </c>
      <c r="AO79" s="95">
        <f t="array" ref="AO79">IFERROR(
AVERAGE((IF(DATOS_[[Sexo]:[Sexo]]=$B79,IF(DATOS_[[AGRUP. VALOR. PTO.]:[AGRUP. VALOR. PTO.]]=$B78,IF(DATOS_[[Check Periodo Ref.]:[Check Periodo Ref.]]="Dentro",DATOS_[C.Extra.04]))))),
0)</f>
        <v>0</v>
      </c>
      <c r="AP79" s="95">
        <f t="array" ref="AP79">IFERROR(
AVERAGE((IF(DATOS_[[Sexo]:[Sexo]]=$B79,IF(DATOS_[[AGRUP. VALOR. PTO.]:[AGRUP. VALOR. PTO.]]=$B78,IF(DATOS_[[Check Periodo Ref.]:[Check Periodo Ref.]]="Dentro",DATOS_[C.Extra.05]))))),
0)</f>
        <v>0</v>
      </c>
      <c r="AQ79" s="97">
        <f t="array" ref="AQ79">IFERROR(
AVERAGE(IF(DATOS_[Sexo]=$B79,IF(DATOS_[AGRUP. VALOR. PTO.]=$B78,IF(DATOS_[Check Periodo Ref.]="Dentro",DATOS_[Tot Extrasalarial Ef],FALSE)))),
0)</f>
        <v>0</v>
      </c>
      <c r="AR79" s="98">
        <f t="array" ref="AR79">IFERROR(
AVERAGE(IF(DATOS_[Sexo]=$B79,IF(DATOS_[AGRUP. VALOR. PTO.]=$B78,IF(DATOS_[Check Periodo Ref.]="Dentro",DATOS_[TOTAL Retrib Ef],FALSE)))),
0)</f>
        <v>0</v>
      </c>
    </row>
    <row r="80" spans="1:44" hidden="1" x14ac:dyDescent="0.3">
      <c r="A80" s="48" t="str">
        <f t="shared" ref="A80" si="90">+A79</f>
        <v>[ocultar]</v>
      </c>
      <c r="B80" s="46" t="s">
        <v>163</v>
      </c>
      <c r="C80" s="45">
        <f t="array" ref="C80">SUM(IF($B80=DATOS_[Sexo],
IF($B78=DATOS_[AGRUP. VALOR. PTO.],
IF("Dentro"=DATOS_[Check Periodo Ref.],
1/(COUNTIFS(DATOS_[Sexo],$B80,DATOS_[AGRUP. VALOR. PTO.],$B78,DATOS_[Check Periodo Ref.],"Dentro",DATOS_[id],DATOS_[id]))))))</f>
        <v>0</v>
      </c>
      <c r="D80" s="47">
        <f>COUNTIFS(DATOS_[AGRUP. VALOR. PTO.],$B78,DATOS_[Sexo],$B80,DATOS_[Check Periodo Ref.],"Dentro")</f>
        <v>0</v>
      </c>
      <c r="E80" s="92">
        <f t="array" ref="E80">IFERROR(
AVERAGE(IF(DATOS_[Sexo]=$B80,IF(DATOS_[AGRUP. VALOR. PTO.]=$B78,IF(DATOS_[Check Periodo Ref.]="Dentro",DATOS_[SALARIO BASE Ef],FALSE)))),
0)</f>
        <v>0</v>
      </c>
      <c r="F80" s="93">
        <f t="array" ref="F80">IFERROR(
AVERAGE((IF(DATOS_[[Sexo]:[Sexo]]=$B80,IF(DATOS_[[AGRUP. VALOR. PTO.]:[AGRUP. VALOR. PTO.]]=$B78,IF(DATOS_[[Check Periodo Ref.]:[Check Periodo Ref.]]="Dentro",DATOS_[Conc.Sal.01]))))),
0)</f>
        <v>0</v>
      </c>
      <c r="G80" s="93">
        <f t="array" ref="G80">IFERROR(
AVERAGE((IF(DATOS_[[Sexo]:[Sexo]]=$B80,IF(DATOS_[[AGRUP. VALOR. PTO.]:[AGRUP. VALOR. PTO.]]=$B78,IF(DATOS_[[Check Periodo Ref.]:[Check Periodo Ref.]]="Dentro",DATOS_[Conc.Sal.02]))))),
0)</f>
        <v>0</v>
      </c>
      <c r="H80" s="93">
        <f t="array" ref="H80">IFERROR(
AVERAGE((IF(DATOS_[[Sexo]:[Sexo]]=$B80,IF(DATOS_[[AGRUP. VALOR. PTO.]:[AGRUP. VALOR. PTO.]]=$B78,IF(DATOS_[[Check Periodo Ref.]:[Check Periodo Ref.]]="Dentro",DATOS_[Conc.Sal.03]))))),
0)</f>
        <v>0</v>
      </c>
      <c r="I80" s="93">
        <f t="array" ref="I80">IFERROR(
AVERAGE((IF(DATOS_[[Sexo]:[Sexo]]=$B80,IF(DATOS_[[AGRUP. VALOR. PTO.]:[AGRUP. VALOR. PTO.]]=$B78,IF(DATOS_[[Check Periodo Ref.]:[Check Periodo Ref.]]="Dentro",DATOS_[Conc.Sal.04]))))),
0)</f>
        <v>0</v>
      </c>
      <c r="J80" s="93">
        <f t="array" ref="J80">IFERROR(
AVERAGE((IF(DATOS_[[Sexo]:[Sexo]]=$B80,IF(DATOS_[[AGRUP. VALOR. PTO.]:[AGRUP. VALOR. PTO.]]=$B78,IF(DATOS_[[Check Periodo Ref.]:[Check Periodo Ref.]]="Dentro",DATOS_[Conc.Sal.05]))))),
0)</f>
        <v>0</v>
      </c>
      <c r="K80" s="93">
        <f t="array" ref="K80">IFERROR(
AVERAGE((IF(DATOS_[[Sexo]:[Sexo]]=$B80,IF(DATOS_[[AGRUP. VALOR. PTO.]:[AGRUP. VALOR. PTO.]]=$B78,IF(DATOS_[[Check Periodo Ref.]:[Check Periodo Ref.]]="Dentro",DATOS_[Conc.Sal.06]))))),
0)</f>
        <v>0</v>
      </c>
      <c r="L80" s="93">
        <f t="array" ref="L80">IFERROR(
AVERAGE((IF(DATOS_[[Sexo]:[Sexo]]=$B80,IF(DATOS_[[AGRUP. VALOR. PTO.]:[AGRUP. VALOR. PTO.]]=$B78,IF(DATOS_[[Check Periodo Ref.]:[Check Periodo Ref.]]="Dentro",DATOS_[Conc.Sal.07]))))),
0)</f>
        <v>0</v>
      </c>
      <c r="M80" s="93">
        <f t="array" ref="M80">IFERROR(
AVERAGE((IF(DATOS_[[Sexo]:[Sexo]]=$B80,IF(DATOS_[[AGRUP. VALOR. PTO.]:[AGRUP. VALOR. PTO.]]=$B78,IF(DATOS_[[Check Periodo Ref.]:[Check Periodo Ref.]]="Dentro",DATOS_[Conc.Sal.08]))))),
0)</f>
        <v>0</v>
      </c>
      <c r="N80" s="93">
        <f t="array" ref="N80">IFERROR(
AVERAGE((IF(DATOS_[[Sexo]:[Sexo]]=$B80,IF(DATOS_[[AGRUP. VALOR. PTO.]:[AGRUP. VALOR. PTO.]]=$B78,IF(DATOS_[[Check Periodo Ref.]:[Check Periodo Ref.]]="Dentro",DATOS_[Conc.Sal.09]))))),
0)</f>
        <v>0</v>
      </c>
      <c r="O80" s="93">
        <f t="array" ref="O80">IFERROR(
AVERAGE((IF(DATOS_[[Sexo]:[Sexo]]=$B80,IF(DATOS_[[AGRUP. VALOR. PTO.]:[AGRUP. VALOR. PTO.]]=$B78,IF(DATOS_[[Check Periodo Ref.]:[Check Periodo Ref.]]="Dentro",DATOS_[Conc.Sal.10]))))),
0)</f>
        <v>0</v>
      </c>
      <c r="P80" s="93">
        <f t="array" ref="P80">IFERROR(
AVERAGE((IF(DATOS_[[Sexo]:[Sexo]]=$B80,IF(DATOS_[[AGRUP. VALOR. PTO.]:[AGRUP. VALOR. PTO.]]=$B78,IF(DATOS_[[Check Periodo Ref.]:[Check Periodo Ref.]]="Dentro",DATOS_[Conc.Sal.11]))))),
0)</f>
        <v>0</v>
      </c>
      <c r="Q80" s="93">
        <f t="array" ref="Q80">IFERROR(
AVERAGE((IF(DATOS_[[Sexo]:[Sexo]]=$B80,IF(DATOS_[[AGRUP. VALOR. PTO.]:[AGRUP. VALOR. PTO.]]=$B78,IF(DATOS_[[Check Periodo Ref.]:[Check Periodo Ref.]]="Dentro",DATOS_[Conc.Sal.12]))))),
0)</f>
        <v>0</v>
      </c>
      <c r="R80" s="93">
        <f t="array" ref="R80">IFERROR(
AVERAGE((IF(DATOS_[[Sexo]:[Sexo]]=$B80,IF(DATOS_[[AGRUP. VALOR. PTO.]:[AGRUP. VALOR. PTO.]]=$B78,IF(DATOS_[[Check Periodo Ref.]:[Check Periodo Ref.]]="Dentro",DATOS_[Conc.Sal.13]))))),
0)</f>
        <v>0</v>
      </c>
      <c r="S80" s="93">
        <f t="array" ref="S80">IFERROR(
AVERAGE((IF(DATOS_[[Sexo]:[Sexo]]=$B80,IF(DATOS_[[AGRUP. VALOR. PTO.]:[AGRUP. VALOR. PTO.]]=$B78,IF(DATOS_[[Check Periodo Ref.]:[Check Periodo Ref.]]="Dentro",DATOS_[Conc.Sal.14]))))),
0)</f>
        <v>0</v>
      </c>
      <c r="T80" s="93">
        <f t="array" ref="T80">IFERROR(
AVERAGE((IF(DATOS_[[Sexo]:[Sexo]]=$B80,IF(DATOS_[[AGRUP. VALOR. PTO.]:[AGRUP. VALOR. PTO.]]=$B78,IF(DATOS_[[Check Periodo Ref.]:[Check Periodo Ref.]]="Dentro",DATOS_[Conc.Sal.15]))))),
0)</f>
        <v>0</v>
      </c>
      <c r="U80" s="93">
        <f t="array" ref="U80">IFERROR(
AVERAGE((IF(DATOS_[[Sexo]:[Sexo]]=$B80,IF(DATOS_[[AGRUP. VALOR. PTO.]:[AGRUP. VALOR. PTO.]]=$B78,IF(DATOS_[[Check Periodo Ref.]:[Check Periodo Ref.]]="Dentro",DATOS_[Conc.Sal.16]))))),
0)</f>
        <v>0</v>
      </c>
      <c r="V80" s="93">
        <f t="array" ref="V80">IFERROR(
AVERAGE((IF(DATOS_[[Sexo]:[Sexo]]=$B80,IF(DATOS_[[AGRUP. VALOR. PTO.]:[AGRUP. VALOR. PTO.]]=$B78,IF(DATOS_[[Check Periodo Ref.]:[Check Periodo Ref.]]="Dentro",DATOS_[Conc.Sal.17]))))),
0)</f>
        <v>0</v>
      </c>
      <c r="W80" s="93">
        <f t="array" ref="W80">IFERROR(
AVERAGE((IF(DATOS_[[Sexo]:[Sexo]]=$B80,IF(DATOS_[[AGRUP. VALOR. PTO.]:[AGRUP. VALOR. PTO.]]=$B78,IF(DATOS_[[Check Periodo Ref.]:[Check Periodo Ref.]]="Dentro",DATOS_[Conc.Sal.18]))))),
0)</f>
        <v>0</v>
      </c>
      <c r="X80" s="93">
        <f t="array" ref="X80">IFERROR(
AVERAGE((IF(DATOS_[[Sexo]:[Sexo]]=$B80,IF(DATOS_[[AGRUP. VALOR. PTO.]:[AGRUP. VALOR. PTO.]]=$B78,IF(DATOS_[[Check Periodo Ref.]:[Check Periodo Ref.]]="Dentro",DATOS_[Conc.Sal.19]))))),
0)</f>
        <v>0</v>
      </c>
      <c r="Y80" s="93">
        <f t="array" ref="Y80">IFERROR(
AVERAGE((IF(DATOS_[[Sexo]:[Sexo]]=$B80,IF(DATOS_[[AGRUP. VALOR. PTO.]:[AGRUP. VALOR. PTO.]]=$B78,IF(DATOS_[[Check Periodo Ref.]:[Check Periodo Ref.]]="Dentro",DATOS_[Conc.Sal.20]))))),
0)</f>
        <v>0</v>
      </c>
      <c r="Z80" s="93">
        <f t="array" ref="Z80">IFERROR(
AVERAGE((IF(DATOS_[[Sexo]:[Sexo]]=$B80,IF(DATOS_[[AGRUP. VALOR. PTO.]:[AGRUP. VALOR. PTO.]]=$B78,IF(DATOS_[[Check Periodo Ref.]:[Check Periodo Ref.]]="Dentro",DATOS_[Conc.Sal.21]))))),
0)</f>
        <v>0</v>
      </c>
      <c r="AA80" s="93">
        <f t="array" ref="AA80">IFERROR(
AVERAGE((IF(DATOS_[[Sexo]:[Sexo]]=$B80,IF(DATOS_[[AGRUP. VALOR. PTO.]:[AGRUP. VALOR. PTO.]]=$B78,IF(DATOS_[[Check Periodo Ref.]:[Check Periodo Ref.]]="Dentro",DATOS_[Conc.Sal.22]))))),
0)</f>
        <v>0</v>
      </c>
      <c r="AB80" s="93">
        <f t="array" ref="AB80">IFERROR(
AVERAGE((IF(DATOS_[[Sexo]:[Sexo]]=$B80,IF(DATOS_[[AGRUP. VALOR. PTO.]:[AGRUP. VALOR. PTO.]]=$B78,IF(DATOS_[[Check Periodo Ref.]:[Check Periodo Ref.]]="Dentro",DATOS_[Conc.Sal.23]))))),
0)</f>
        <v>0</v>
      </c>
      <c r="AC80" s="93">
        <f t="array" ref="AC80">IFERROR(
AVERAGE((IF(DATOS_[[Sexo]:[Sexo]]=$B80,IF(DATOS_[[AGRUP. VALOR. PTO.]:[AGRUP. VALOR. PTO.]]=$B78,IF(DATOS_[[Check Periodo Ref.]:[Check Periodo Ref.]]="Dentro",DATOS_[Conc.Sal.24]))))),
0)</f>
        <v>0</v>
      </c>
      <c r="AD80" s="93">
        <f t="array" ref="AD80">IFERROR(
AVERAGE((IF(DATOS_[[Sexo]:[Sexo]]=$B80,IF(DATOS_[[AGRUP. VALOR. PTO.]:[AGRUP. VALOR. PTO.]]=$B78,IF(DATOS_[[Check Periodo Ref.]:[Check Periodo Ref.]]="Dentro",DATOS_[Conc.Sal.25]))))),
0)</f>
        <v>0</v>
      </c>
      <c r="AE80" s="93">
        <f t="array" ref="AE80">IFERROR(
AVERAGE((IF(DATOS_[[Sexo]:[Sexo]]=$B80,IF(DATOS_[[AGRUP. VALOR. PTO.]:[AGRUP. VALOR. PTO.]]=$B78,IF(DATOS_[[Check Periodo Ref.]:[Check Periodo Ref.]]="Dentro",DATOS_[Conc.Sal.26]))))),
0)</f>
        <v>0</v>
      </c>
      <c r="AF80" s="93">
        <f t="array" ref="AF80">IFERROR(
AVERAGE((IF(DATOS_[[Sexo]:[Sexo]]=$B80,IF(DATOS_[[AGRUP. VALOR. PTO.]:[AGRUP. VALOR. PTO.]]=$B78,IF(DATOS_[[Check Periodo Ref.]:[Check Periodo Ref.]]="Dentro",DATOS_[Conc.Sal.27]))))),
0)</f>
        <v>0</v>
      </c>
      <c r="AG80" s="93">
        <f t="array" ref="AG80">IFERROR(
AVERAGE((IF(DATOS_[[Sexo]:[Sexo]]=$B80,IF(DATOS_[[AGRUP. VALOR. PTO.]:[AGRUP. VALOR. PTO.]]=$B78,IF(DATOS_[[Check Periodo Ref.]:[Check Periodo Ref.]]="Dentro",DATOS_[Conc.Sal.28]))))),
0)</f>
        <v>0</v>
      </c>
      <c r="AH80" s="93">
        <f t="array" ref="AH80">IFERROR(
AVERAGE((IF(DATOS_[[Sexo]:[Sexo]]=$B80,IF(DATOS_[[AGRUP. VALOR. PTO.]:[AGRUP. VALOR. PTO.]]=$B78,IF(DATOS_[[Check Periodo Ref.]:[Check Periodo Ref.]]="Dentro",DATOS_[Conc.Sal.29]))))),
0)</f>
        <v>0</v>
      </c>
      <c r="AI80" s="93">
        <f t="array" ref="AI80">IFERROR(
AVERAGE((IF(DATOS_[[Sexo]:[Sexo]]=$B80,IF(DATOS_[[AGRUP. VALOR. PTO.]:[AGRUP. VALOR. PTO.]]=$B78,IF(DATOS_[[Check Periodo Ref.]:[Check Periodo Ref.]]="Dentro",DATOS_[Conc.Sal.30]))))),
0)</f>
        <v>0</v>
      </c>
      <c r="AJ80" s="94">
        <f t="array" ref="AJ80">IFERROR(
AVERAGE(IF(DATOS_[Sexo]=$B80,IF(DATOS_[AGRUP. VALOR. PTO.]=$B78,IF(DATOS_[Check Periodo Ref.]="Dentro",DATOS_[Tot COMPL.SAL Ef],FALSE)))),
0)</f>
        <v>0</v>
      </c>
      <c r="AK80" s="96">
        <f t="array" ref="AK80">IFERROR(
AVERAGE(IF(DATOS_[Sexo]=$B80,IF(DATOS_[AGRUP. VALOR. PTO.]=$B78,IF(DATOS_[Check Periodo Ref.]="Dentro",DATOS_[TOTAL SALARIO Ef],FALSE)))),
0)</f>
        <v>0</v>
      </c>
      <c r="AL80" s="95">
        <f t="array" ref="AL80">IFERROR(
AVERAGE((IF(DATOS_[[Sexo]:[Sexo]]=$B80,IF(DATOS_[[AGRUP. VALOR. PTO.]:[AGRUP. VALOR. PTO.]]=$B78,IF(DATOS_[[Check Periodo Ref.]:[Check Periodo Ref.]]="Dentro",DATOS_[C.Extra.01]))))),
0)</f>
        <v>0</v>
      </c>
      <c r="AM80" s="95">
        <f t="array" ref="AM80">IFERROR(
AVERAGE((IF(DATOS_[[Sexo]:[Sexo]]=$B80,IF(DATOS_[[AGRUP. VALOR. PTO.]:[AGRUP. VALOR. PTO.]]=$B78,IF(DATOS_[[Check Periodo Ref.]:[Check Periodo Ref.]]="Dentro",DATOS_[C.Extra.02]))))),
0)</f>
        <v>0</v>
      </c>
      <c r="AN80" s="95">
        <f t="array" ref="AN80">IFERROR(
AVERAGE((IF(DATOS_[[Sexo]:[Sexo]]=$B80,IF(DATOS_[[AGRUP. VALOR. PTO.]:[AGRUP. VALOR. PTO.]]=$B78,IF(DATOS_[[Check Periodo Ref.]:[Check Periodo Ref.]]="Dentro",DATOS_[C.Extra.03]))))),
0)</f>
        <v>0</v>
      </c>
      <c r="AO80" s="95">
        <f t="array" ref="AO80">IFERROR(
AVERAGE((IF(DATOS_[[Sexo]:[Sexo]]=$B80,IF(DATOS_[[AGRUP. VALOR. PTO.]:[AGRUP. VALOR. PTO.]]=$B78,IF(DATOS_[[Check Periodo Ref.]:[Check Periodo Ref.]]="Dentro",DATOS_[C.Extra.04]))))),
0)</f>
        <v>0</v>
      </c>
      <c r="AP80" s="95">
        <f t="array" ref="AP80">IFERROR(
AVERAGE((IF(DATOS_[[Sexo]:[Sexo]]=$B80,IF(DATOS_[[AGRUP. VALOR. PTO.]:[AGRUP. VALOR. PTO.]]=$B78,IF(DATOS_[[Check Periodo Ref.]:[Check Periodo Ref.]]="Dentro",DATOS_[C.Extra.05]))))),
0)</f>
        <v>0</v>
      </c>
      <c r="AQ80" s="97">
        <f t="array" ref="AQ80">IFERROR(
AVERAGE(IF(DATOS_[Sexo]=$B80,IF(DATOS_[AGRUP. VALOR. PTO.]=$B78,IF(DATOS_[Check Periodo Ref.]="Dentro",DATOS_[Tot Extrasalarial Ef],FALSE)))),
0)</f>
        <v>0</v>
      </c>
      <c r="AR80" s="98">
        <f t="array" ref="AR80">IFERROR(
AVERAGE(IF(DATOS_[Sexo]=$B80,IF(DATOS_[AGRUP. VALOR. PTO.]=$B78,IF(DATOS_[Check Periodo Ref.]="Dentro",DATOS_[TOTAL Retrib Ef],FALSE)))),
0)</f>
        <v>0</v>
      </c>
    </row>
    <row r="81" spans="1:44" ht="17.25" hidden="1" thickBot="1" x14ac:dyDescent="0.35">
      <c r="A81" s="48" t="str">
        <f t="shared" ref="A81" si="91">+A82</f>
        <v>[ocultar]</v>
      </c>
      <c r="B81" s="51" t="s">
        <v>282</v>
      </c>
      <c r="C81" s="91"/>
      <c r="D81" s="52"/>
      <c r="E81" s="139" t="str">
        <f t="shared" ref="E81:AR81" si="92">IFERROR((E82-E83)/E82,"")</f>
        <v/>
      </c>
      <c r="F81" s="179" t="str">
        <f t="shared" si="92"/>
        <v/>
      </c>
      <c r="G81" s="180" t="str">
        <f t="shared" si="92"/>
        <v/>
      </c>
      <c r="H81" s="180" t="str">
        <f t="shared" si="92"/>
        <v/>
      </c>
      <c r="I81" s="180" t="str">
        <f t="shared" si="92"/>
        <v/>
      </c>
      <c r="J81" s="181" t="str">
        <f t="shared" si="92"/>
        <v/>
      </c>
      <c r="K81" s="182" t="str">
        <f t="shared" si="92"/>
        <v/>
      </c>
      <c r="L81" s="182" t="str">
        <f t="shared" si="92"/>
        <v/>
      </c>
      <c r="M81" s="182" t="str">
        <f t="shared" si="92"/>
        <v/>
      </c>
      <c r="N81" s="182" t="str">
        <f t="shared" si="92"/>
        <v/>
      </c>
      <c r="O81" s="182" t="str">
        <f t="shared" si="92"/>
        <v/>
      </c>
      <c r="P81" s="182" t="str">
        <f t="shared" si="92"/>
        <v/>
      </c>
      <c r="Q81" s="182" t="str">
        <f t="shared" si="92"/>
        <v/>
      </c>
      <c r="R81" s="182" t="str">
        <f t="shared" si="92"/>
        <v/>
      </c>
      <c r="S81" s="182" t="str">
        <f t="shared" si="92"/>
        <v/>
      </c>
      <c r="T81" s="182" t="str">
        <f t="shared" si="92"/>
        <v/>
      </c>
      <c r="U81" s="182" t="str">
        <f t="shared" si="92"/>
        <v/>
      </c>
      <c r="V81" s="181" t="str">
        <f t="shared" si="92"/>
        <v/>
      </c>
      <c r="W81" s="181" t="str">
        <f t="shared" si="92"/>
        <v/>
      </c>
      <c r="X81" s="181" t="str">
        <f t="shared" si="92"/>
        <v/>
      </c>
      <c r="Y81" s="181" t="str">
        <f t="shared" si="92"/>
        <v/>
      </c>
      <c r="Z81" s="181" t="str">
        <f t="shared" si="92"/>
        <v/>
      </c>
      <c r="AA81" s="181" t="str">
        <f t="shared" si="92"/>
        <v/>
      </c>
      <c r="AB81" s="181" t="str">
        <f t="shared" si="92"/>
        <v/>
      </c>
      <c r="AC81" s="181" t="str">
        <f t="shared" si="92"/>
        <v/>
      </c>
      <c r="AD81" s="181" t="str">
        <f t="shared" si="92"/>
        <v/>
      </c>
      <c r="AE81" s="181" t="str">
        <f t="shared" si="92"/>
        <v/>
      </c>
      <c r="AF81" s="181" t="str">
        <f t="shared" si="92"/>
        <v/>
      </c>
      <c r="AG81" s="181" t="str">
        <f t="shared" si="92"/>
        <v/>
      </c>
      <c r="AH81" s="181" t="str">
        <f t="shared" si="92"/>
        <v/>
      </c>
      <c r="AI81" s="181" t="str">
        <f t="shared" si="92"/>
        <v/>
      </c>
      <c r="AJ81" s="140" t="str">
        <f t="shared" si="92"/>
        <v/>
      </c>
      <c r="AK81" s="143" t="str">
        <f t="shared" si="92"/>
        <v/>
      </c>
      <c r="AL81" s="184" t="str">
        <f t="shared" si="92"/>
        <v/>
      </c>
      <c r="AM81" s="184" t="str">
        <f t="shared" si="92"/>
        <v/>
      </c>
      <c r="AN81" s="184" t="str">
        <f t="shared" si="92"/>
        <v/>
      </c>
      <c r="AO81" s="184" t="str">
        <f t="shared" si="92"/>
        <v/>
      </c>
      <c r="AP81" s="184" t="str">
        <f t="shared" si="92"/>
        <v/>
      </c>
      <c r="AQ81" s="141" t="str">
        <f t="shared" si="92"/>
        <v/>
      </c>
      <c r="AR81" s="142" t="str">
        <f t="shared" si="92"/>
        <v/>
      </c>
    </row>
    <row r="82" spans="1:44" hidden="1" x14ac:dyDescent="0.3">
      <c r="A82" s="48" t="str">
        <f t="shared" ref="A82" si="93">+IF(C82+C83=0,"[ocultar]","")</f>
        <v>[ocultar]</v>
      </c>
      <c r="B82" s="46" t="s">
        <v>162</v>
      </c>
      <c r="C82" s="45">
        <f t="array" ref="C82">SUM(IF($B82=DATOS_[Sexo],
IF($B81=DATOS_[AGRUP. VALOR. PTO.],
IF("Dentro"=DATOS_[Check Periodo Ref.],
1/(COUNTIFS(DATOS_[Sexo],$B82,DATOS_[AGRUP. VALOR. PTO.],$B81,DATOS_[Check Periodo Ref.],"Dentro",DATOS_[id],DATOS_[id]))))))</f>
        <v>0</v>
      </c>
      <c r="D82" s="47">
        <f>COUNTIFS(DATOS_[AGRUP. VALOR. PTO.],$B81,DATOS_[Sexo],$B82,DATOS_[Check Periodo Ref.],"Dentro")</f>
        <v>0</v>
      </c>
      <c r="E82" s="92">
        <f t="array" ref="E82">IFERROR(
AVERAGE(IF(DATOS_[Sexo]=$B82,IF(DATOS_[AGRUP. VALOR. PTO.]=$B81,IF(DATOS_[Check Periodo Ref.]="Dentro",DATOS_[SALARIO BASE Ef],FALSE)))),
0)</f>
        <v>0</v>
      </c>
      <c r="F82" s="93">
        <f t="array" ref="F82">IFERROR(
AVERAGE((IF(DATOS_[[Sexo]:[Sexo]]=$B82,IF(DATOS_[[AGRUP. VALOR. PTO.]:[AGRUP. VALOR. PTO.]]=$B81,IF(DATOS_[[Check Periodo Ref.]:[Check Periodo Ref.]]="Dentro",DATOS_[Conc.Sal.01]))))),
0)</f>
        <v>0</v>
      </c>
      <c r="G82" s="93">
        <f t="array" ref="G82">IFERROR(
AVERAGE((IF(DATOS_[[Sexo]:[Sexo]]=$B82,IF(DATOS_[[AGRUP. VALOR. PTO.]:[AGRUP. VALOR. PTO.]]=$B81,IF(DATOS_[[Check Periodo Ref.]:[Check Periodo Ref.]]="Dentro",DATOS_[Conc.Sal.02]))))),
0)</f>
        <v>0</v>
      </c>
      <c r="H82" s="93">
        <f t="array" ref="H82">IFERROR(
AVERAGE((IF(DATOS_[[Sexo]:[Sexo]]=$B82,IF(DATOS_[[AGRUP. VALOR. PTO.]:[AGRUP. VALOR. PTO.]]=$B81,IF(DATOS_[[Check Periodo Ref.]:[Check Periodo Ref.]]="Dentro",DATOS_[Conc.Sal.03]))))),
0)</f>
        <v>0</v>
      </c>
      <c r="I82" s="93">
        <f t="array" ref="I82">IFERROR(
AVERAGE((IF(DATOS_[[Sexo]:[Sexo]]=$B82,IF(DATOS_[[AGRUP. VALOR. PTO.]:[AGRUP. VALOR. PTO.]]=$B81,IF(DATOS_[[Check Periodo Ref.]:[Check Periodo Ref.]]="Dentro",DATOS_[Conc.Sal.04]))))),
0)</f>
        <v>0</v>
      </c>
      <c r="J82" s="93">
        <f t="array" ref="J82">IFERROR(
AVERAGE((IF(DATOS_[[Sexo]:[Sexo]]=$B82,IF(DATOS_[[AGRUP. VALOR. PTO.]:[AGRUP. VALOR. PTO.]]=$B81,IF(DATOS_[[Check Periodo Ref.]:[Check Periodo Ref.]]="Dentro",DATOS_[Conc.Sal.05]))))),
0)</f>
        <v>0</v>
      </c>
      <c r="K82" s="93">
        <f t="array" ref="K82">IFERROR(
AVERAGE((IF(DATOS_[[Sexo]:[Sexo]]=$B82,IF(DATOS_[[AGRUP. VALOR. PTO.]:[AGRUP. VALOR. PTO.]]=$B81,IF(DATOS_[[Check Periodo Ref.]:[Check Periodo Ref.]]="Dentro",DATOS_[Conc.Sal.06]))))),
0)</f>
        <v>0</v>
      </c>
      <c r="L82" s="93">
        <f t="array" ref="L82">IFERROR(
AVERAGE((IF(DATOS_[[Sexo]:[Sexo]]=$B82,IF(DATOS_[[AGRUP. VALOR. PTO.]:[AGRUP. VALOR. PTO.]]=$B81,IF(DATOS_[[Check Periodo Ref.]:[Check Periodo Ref.]]="Dentro",DATOS_[Conc.Sal.07]))))),
0)</f>
        <v>0</v>
      </c>
      <c r="M82" s="93">
        <f t="array" ref="M82">IFERROR(
AVERAGE((IF(DATOS_[[Sexo]:[Sexo]]=$B82,IF(DATOS_[[AGRUP. VALOR. PTO.]:[AGRUP. VALOR. PTO.]]=$B81,IF(DATOS_[[Check Periodo Ref.]:[Check Periodo Ref.]]="Dentro",DATOS_[Conc.Sal.08]))))),
0)</f>
        <v>0</v>
      </c>
      <c r="N82" s="93">
        <f t="array" ref="N82">IFERROR(
AVERAGE((IF(DATOS_[[Sexo]:[Sexo]]=$B82,IF(DATOS_[[AGRUP. VALOR. PTO.]:[AGRUP. VALOR. PTO.]]=$B81,IF(DATOS_[[Check Periodo Ref.]:[Check Periodo Ref.]]="Dentro",DATOS_[Conc.Sal.09]))))),
0)</f>
        <v>0</v>
      </c>
      <c r="O82" s="93">
        <f t="array" ref="O82">IFERROR(
AVERAGE((IF(DATOS_[[Sexo]:[Sexo]]=$B82,IF(DATOS_[[AGRUP. VALOR. PTO.]:[AGRUP. VALOR. PTO.]]=$B81,IF(DATOS_[[Check Periodo Ref.]:[Check Periodo Ref.]]="Dentro",DATOS_[Conc.Sal.10]))))),
0)</f>
        <v>0</v>
      </c>
      <c r="P82" s="93">
        <f t="array" ref="P82">IFERROR(
AVERAGE((IF(DATOS_[[Sexo]:[Sexo]]=$B82,IF(DATOS_[[AGRUP. VALOR. PTO.]:[AGRUP. VALOR. PTO.]]=$B81,IF(DATOS_[[Check Periodo Ref.]:[Check Periodo Ref.]]="Dentro",DATOS_[Conc.Sal.11]))))),
0)</f>
        <v>0</v>
      </c>
      <c r="Q82" s="93">
        <f t="array" ref="Q82">IFERROR(
AVERAGE((IF(DATOS_[[Sexo]:[Sexo]]=$B82,IF(DATOS_[[AGRUP. VALOR. PTO.]:[AGRUP. VALOR. PTO.]]=$B81,IF(DATOS_[[Check Periodo Ref.]:[Check Periodo Ref.]]="Dentro",DATOS_[Conc.Sal.12]))))),
0)</f>
        <v>0</v>
      </c>
      <c r="R82" s="93">
        <f t="array" ref="R82">IFERROR(
AVERAGE((IF(DATOS_[[Sexo]:[Sexo]]=$B82,IF(DATOS_[[AGRUP. VALOR. PTO.]:[AGRUP. VALOR. PTO.]]=$B81,IF(DATOS_[[Check Periodo Ref.]:[Check Periodo Ref.]]="Dentro",DATOS_[Conc.Sal.13]))))),
0)</f>
        <v>0</v>
      </c>
      <c r="S82" s="93">
        <f t="array" ref="S82">IFERROR(
AVERAGE((IF(DATOS_[[Sexo]:[Sexo]]=$B82,IF(DATOS_[[AGRUP. VALOR. PTO.]:[AGRUP. VALOR. PTO.]]=$B81,IF(DATOS_[[Check Periodo Ref.]:[Check Periodo Ref.]]="Dentro",DATOS_[Conc.Sal.14]))))),
0)</f>
        <v>0</v>
      </c>
      <c r="T82" s="93">
        <f t="array" ref="T82">IFERROR(
AVERAGE((IF(DATOS_[[Sexo]:[Sexo]]=$B82,IF(DATOS_[[AGRUP. VALOR. PTO.]:[AGRUP. VALOR. PTO.]]=$B81,IF(DATOS_[[Check Periodo Ref.]:[Check Periodo Ref.]]="Dentro",DATOS_[Conc.Sal.15]))))),
0)</f>
        <v>0</v>
      </c>
      <c r="U82" s="93">
        <f t="array" ref="U82">IFERROR(
AVERAGE((IF(DATOS_[[Sexo]:[Sexo]]=$B82,IF(DATOS_[[AGRUP. VALOR. PTO.]:[AGRUP. VALOR. PTO.]]=$B81,IF(DATOS_[[Check Periodo Ref.]:[Check Periodo Ref.]]="Dentro",DATOS_[Conc.Sal.16]))))),
0)</f>
        <v>0</v>
      </c>
      <c r="V82" s="93">
        <f t="array" ref="V82">IFERROR(
AVERAGE((IF(DATOS_[[Sexo]:[Sexo]]=$B82,IF(DATOS_[[AGRUP. VALOR. PTO.]:[AGRUP. VALOR. PTO.]]=$B81,IF(DATOS_[[Check Periodo Ref.]:[Check Periodo Ref.]]="Dentro",DATOS_[Conc.Sal.17]))))),
0)</f>
        <v>0</v>
      </c>
      <c r="W82" s="93">
        <f t="array" ref="W82">IFERROR(
AVERAGE((IF(DATOS_[[Sexo]:[Sexo]]=$B82,IF(DATOS_[[AGRUP. VALOR. PTO.]:[AGRUP. VALOR. PTO.]]=$B81,IF(DATOS_[[Check Periodo Ref.]:[Check Periodo Ref.]]="Dentro",DATOS_[Conc.Sal.18]))))),
0)</f>
        <v>0</v>
      </c>
      <c r="X82" s="93">
        <f t="array" ref="X82">IFERROR(
AVERAGE((IF(DATOS_[[Sexo]:[Sexo]]=$B82,IF(DATOS_[[AGRUP. VALOR. PTO.]:[AGRUP. VALOR. PTO.]]=$B81,IF(DATOS_[[Check Periodo Ref.]:[Check Periodo Ref.]]="Dentro",DATOS_[Conc.Sal.19]))))),
0)</f>
        <v>0</v>
      </c>
      <c r="Y82" s="93">
        <f t="array" ref="Y82">IFERROR(
AVERAGE((IF(DATOS_[[Sexo]:[Sexo]]=$B82,IF(DATOS_[[AGRUP. VALOR. PTO.]:[AGRUP. VALOR. PTO.]]=$B81,IF(DATOS_[[Check Periodo Ref.]:[Check Periodo Ref.]]="Dentro",DATOS_[Conc.Sal.20]))))),
0)</f>
        <v>0</v>
      </c>
      <c r="Z82" s="93">
        <f t="array" ref="Z82">IFERROR(
AVERAGE((IF(DATOS_[[Sexo]:[Sexo]]=$B82,IF(DATOS_[[AGRUP. VALOR. PTO.]:[AGRUP. VALOR. PTO.]]=$B81,IF(DATOS_[[Check Periodo Ref.]:[Check Periodo Ref.]]="Dentro",DATOS_[Conc.Sal.21]))))),
0)</f>
        <v>0</v>
      </c>
      <c r="AA82" s="93">
        <f t="array" ref="AA82">IFERROR(
AVERAGE((IF(DATOS_[[Sexo]:[Sexo]]=$B82,IF(DATOS_[[AGRUP. VALOR. PTO.]:[AGRUP. VALOR. PTO.]]=$B81,IF(DATOS_[[Check Periodo Ref.]:[Check Periodo Ref.]]="Dentro",DATOS_[Conc.Sal.22]))))),
0)</f>
        <v>0</v>
      </c>
      <c r="AB82" s="93">
        <f t="array" ref="AB82">IFERROR(
AVERAGE((IF(DATOS_[[Sexo]:[Sexo]]=$B82,IF(DATOS_[[AGRUP. VALOR. PTO.]:[AGRUP. VALOR. PTO.]]=$B81,IF(DATOS_[[Check Periodo Ref.]:[Check Periodo Ref.]]="Dentro",DATOS_[Conc.Sal.23]))))),
0)</f>
        <v>0</v>
      </c>
      <c r="AC82" s="93">
        <f t="array" ref="AC82">IFERROR(
AVERAGE((IF(DATOS_[[Sexo]:[Sexo]]=$B82,IF(DATOS_[[AGRUP. VALOR. PTO.]:[AGRUP. VALOR. PTO.]]=$B81,IF(DATOS_[[Check Periodo Ref.]:[Check Periodo Ref.]]="Dentro",DATOS_[Conc.Sal.24]))))),
0)</f>
        <v>0</v>
      </c>
      <c r="AD82" s="93">
        <f t="array" ref="AD82">IFERROR(
AVERAGE((IF(DATOS_[[Sexo]:[Sexo]]=$B82,IF(DATOS_[[AGRUP. VALOR. PTO.]:[AGRUP. VALOR. PTO.]]=$B81,IF(DATOS_[[Check Periodo Ref.]:[Check Periodo Ref.]]="Dentro",DATOS_[Conc.Sal.25]))))),
0)</f>
        <v>0</v>
      </c>
      <c r="AE82" s="93">
        <f t="array" ref="AE82">IFERROR(
AVERAGE((IF(DATOS_[[Sexo]:[Sexo]]=$B82,IF(DATOS_[[AGRUP. VALOR. PTO.]:[AGRUP. VALOR. PTO.]]=$B81,IF(DATOS_[[Check Periodo Ref.]:[Check Periodo Ref.]]="Dentro",DATOS_[Conc.Sal.26]))))),
0)</f>
        <v>0</v>
      </c>
      <c r="AF82" s="93">
        <f t="array" ref="AF82">IFERROR(
AVERAGE((IF(DATOS_[[Sexo]:[Sexo]]=$B82,IF(DATOS_[[AGRUP. VALOR. PTO.]:[AGRUP. VALOR. PTO.]]=$B81,IF(DATOS_[[Check Periodo Ref.]:[Check Periodo Ref.]]="Dentro",DATOS_[Conc.Sal.27]))))),
0)</f>
        <v>0</v>
      </c>
      <c r="AG82" s="93">
        <f t="array" ref="AG82">IFERROR(
AVERAGE((IF(DATOS_[[Sexo]:[Sexo]]=$B82,IF(DATOS_[[AGRUP. VALOR. PTO.]:[AGRUP. VALOR. PTO.]]=$B81,IF(DATOS_[[Check Periodo Ref.]:[Check Periodo Ref.]]="Dentro",DATOS_[Conc.Sal.28]))))),
0)</f>
        <v>0</v>
      </c>
      <c r="AH82" s="93">
        <f t="array" ref="AH82">IFERROR(
AVERAGE((IF(DATOS_[[Sexo]:[Sexo]]=$B82,IF(DATOS_[[AGRUP. VALOR. PTO.]:[AGRUP. VALOR. PTO.]]=$B81,IF(DATOS_[[Check Periodo Ref.]:[Check Periodo Ref.]]="Dentro",DATOS_[Conc.Sal.29]))))),
0)</f>
        <v>0</v>
      </c>
      <c r="AI82" s="93">
        <f t="array" ref="AI82">IFERROR(
AVERAGE((IF(DATOS_[[Sexo]:[Sexo]]=$B82,IF(DATOS_[[AGRUP. VALOR. PTO.]:[AGRUP. VALOR. PTO.]]=$B81,IF(DATOS_[[Check Periodo Ref.]:[Check Periodo Ref.]]="Dentro",DATOS_[Conc.Sal.30]))))),
0)</f>
        <v>0</v>
      </c>
      <c r="AJ82" s="94">
        <f t="array" ref="AJ82">IFERROR(
AVERAGE(IF(DATOS_[Sexo]=$B82,IF(DATOS_[AGRUP. VALOR. PTO.]=$B81,IF(DATOS_[Check Periodo Ref.]="Dentro",DATOS_[Tot COMPL.SAL Ef],FALSE)))),
0)</f>
        <v>0</v>
      </c>
      <c r="AK82" s="96">
        <f t="array" ref="AK82">IFERROR(
AVERAGE(IF(DATOS_[Sexo]=$B82,IF(DATOS_[AGRUP. VALOR. PTO.]=$B81,IF(DATOS_[Check Periodo Ref.]="Dentro",DATOS_[TOTAL SALARIO Ef],FALSE)))),
0)</f>
        <v>0</v>
      </c>
      <c r="AL82" s="95">
        <f t="array" ref="AL82">IFERROR(
AVERAGE((IF(DATOS_[[Sexo]:[Sexo]]=$B82,IF(DATOS_[[AGRUP. VALOR. PTO.]:[AGRUP. VALOR. PTO.]]=$B81,IF(DATOS_[[Check Periodo Ref.]:[Check Periodo Ref.]]="Dentro",DATOS_[C.Extra.01]))))),
0)</f>
        <v>0</v>
      </c>
      <c r="AM82" s="95">
        <f t="array" ref="AM82">IFERROR(
AVERAGE((IF(DATOS_[[Sexo]:[Sexo]]=$B82,IF(DATOS_[[AGRUP. VALOR. PTO.]:[AGRUP. VALOR. PTO.]]=$B81,IF(DATOS_[[Check Periodo Ref.]:[Check Periodo Ref.]]="Dentro",DATOS_[C.Extra.02]))))),
0)</f>
        <v>0</v>
      </c>
      <c r="AN82" s="95">
        <f t="array" ref="AN82">IFERROR(
AVERAGE((IF(DATOS_[[Sexo]:[Sexo]]=$B82,IF(DATOS_[[AGRUP. VALOR. PTO.]:[AGRUP. VALOR. PTO.]]=$B81,IF(DATOS_[[Check Periodo Ref.]:[Check Periodo Ref.]]="Dentro",DATOS_[C.Extra.03]))))),
0)</f>
        <v>0</v>
      </c>
      <c r="AO82" s="95">
        <f t="array" ref="AO82">IFERROR(
AVERAGE((IF(DATOS_[[Sexo]:[Sexo]]=$B82,IF(DATOS_[[AGRUP. VALOR. PTO.]:[AGRUP. VALOR. PTO.]]=$B81,IF(DATOS_[[Check Periodo Ref.]:[Check Periodo Ref.]]="Dentro",DATOS_[C.Extra.04]))))),
0)</f>
        <v>0</v>
      </c>
      <c r="AP82" s="95">
        <f t="array" ref="AP82">IFERROR(
AVERAGE((IF(DATOS_[[Sexo]:[Sexo]]=$B82,IF(DATOS_[[AGRUP. VALOR. PTO.]:[AGRUP. VALOR. PTO.]]=$B81,IF(DATOS_[[Check Periodo Ref.]:[Check Periodo Ref.]]="Dentro",DATOS_[C.Extra.05]))))),
0)</f>
        <v>0</v>
      </c>
      <c r="AQ82" s="97">
        <f t="array" ref="AQ82">IFERROR(
AVERAGE(IF(DATOS_[Sexo]=$B82,IF(DATOS_[AGRUP. VALOR. PTO.]=$B81,IF(DATOS_[Check Periodo Ref.]="Dentro",DATOS_[Tot Extrasalarial Ef],FALSE)))),
0)</f>
        <v>0</v>
      </c>
      <c r="AR82" s="98">
        <f t="array" ref="AR82">IFERROR(
AVERAGE(IF(DATOS_[Sexo]=$B82,IF(DATOS_[AGRUP. VALOR. PTO.]=$B81,IF(DATOS_[Check Periodo Ref.]="Dentro",DATOS_[TOTAL Retrib Ef],FALSE)))),
0)</f>
        <v>0</v>
      </c>
    </row>
    <row r="83" spans="1:44" hidden="1" x14ac:dyDescent="0.3">
      <c r="A83" s="48" t="str">
        <f t="shared" ref="A83" si="94">+A82</f>
        <v>[ocultar]</v>
      </c>
      <c r="B83" s="46" t="s">
        <v>163</v>
      </c>
      <c r="C83" s="45">
        <f t="array" ref="C83">SUM(IF($B83=DATOS_[Sexo],
IF($B81=DATOS_[AGRUP. VALOR. PTO.],
IF("Dentro"=DATOS_[Check Periodo Ref.],
1/(COUNTIFS(DATOS_[Sexo],$B83,DATOS_[AGRUP. VALOR. PTO.],$B81,DATOS_[Check Periodo Ref.],"Dentro",DATOS_[id],DATOS_[id]))))))</f>
        <v>0</v>
      </c>
      <c r="D83" s="47">
        <f>COUNTIFS(DATOS_[AGRUP. VALOR. PTO.],$B81,DATOS_[Sexo],$B83,DATOS_[Check Periodo Ref.],"Dentro")</f>
        <v>0</v>
      </c>
      <c r="E83" s="92">
        <f t="array" ref="E83">IFERROR(
AVERAGE(IF(DATOS_[Sexo]=$B83,IF(DATOS_[AGRUP. VALOR. PTO.]=$B81,IF(DATOS_[Check Periodo Ref.]="Dentro",DATOS_[SALARIO BASE Ef],FALSE)))),
0)</f>
        <v>0</v>
      </c>
      <c r="F83" s="93">
        <f t="array" ref="F83">IFERROR(
AVERAGE((IF(DATOS_[[Sexo]:[Sexo]]=$B83,IF(DATOS_[[AGRUP. VALOR. PTO.]:[AGRUP. VALOR. PTO.]]=$B81,IF(DATOS_[[Check Periodo Ref.]:[Check Periodo Ref.]]="Dentro",DATOS_[Conc.Sal.01]))))),
0)</f>
        <v>0</v>
      </c>
      <c r="G83" s="93">
        <f t="array" ref="G83">IFERROR(
AVERAGE((IF(DATOS_[[Sexo]:[Sexo]]=$B83,IF(DATOS_[[AGRUP. VALOR. PTO.]:[AGRUP. VALOR. PTO.]]=$B81,IF(DATOS_[[Check Periodo Ref.]:[Check Periodo Ref.]]="Dentro",DATOS_[Conc.Sal.02]))))),
0)</f>
        <v>0</v>
      </c>
      <c r="H83" s="93">
        <f t="array" ref="H83">IFERROR(
AVERAGE((IF(DATOS_[[Sexo]:[Sexo]]=$B83,IF(DATOS_[[AGRUP. VALOR. PTO.]:[AGRUP. VALOR. PTO.]]=$B81,IF(DATOS_[[Check Periodo Ref.]:[Check Periodo Ref.]]="Dentro",DATOS_[Conc.Sal.03]))))),
0)</f>
        <v>0</v>
      </c>
      <c r="I83" s="93">
        <f t="array" ref="I83">IFERROR(
AVERAGE((IF(DATOS_[[Sexo]:[Sexo]]=$B83,IF(DATOS_[[AGRUP. VALOR. PTO.]:[AGRUP. VALOR. PTO.]]=$B81,IF(DATOS_[[Check Periodo Ref.]:[Check Periodo Ref.]]="Dentro",DATOS_[Conc.Sal.04]))))),
0)</f>
        <v>0</v>
      </c>
      <c r="J83" s="93">
        <f t="array" ref="J83">IFERROR(
AVERAGE((IF(DATOS_[[Sexo]:[Sexo]]=$B83,IF(DATOS_[[AGRUP. VALOR. PTO.]:[AGRUP. VALOR. PTO.]]=$B81,IF(DATOS_[[Check Periodo Ref.]:[Check Periodo Ref.]]="Dentro",DATOS_[Conc.Sal.05]))))),
0)</f>
        <v>0</v>
      </c>
      <c r="K83" s="93">
        <f t="array" ref="K83">IFERROR(
AVERAGE((IF(DATOS_[[Sexo]:[Sexo]]=$B83,IF(DATOS_[[AGRUP. VALOR. PTO.]:[AGRUP. VALOR. PTO.]]=$B81,IF(DATOS_[[Check Periodo Ref.]:[Check Periodo Ref.]]="Dentro",DATOS_[Conc.Sal.06]))))),
0)</f>
        <v>0</v>
      </c>
      <c r="L83" s="93">
        <f t="array" ref="L83">IFERROR(
AVERAGE((IF(DATOS_[[Sexo]:[Sexo]]=$B83,IF(DATOS_[[AGRUP. VALOR. PTO.]:[AGRUP. VALOR. PTO.]]=$B81,IF(DATOS_[[Check Periodo Ref.]:[Check Periodo Ref.]]="Dentro",DATOS_[Conc.Sal.07]))))),
0)</f>
        <v>0</v>
      </c>
      <c r="M83" s="93">
        <f t="array" ref="M83">IFERROR(
AVERAGE((IF(DATOS_[[Sexo]:[Sexo]]=$B83,IF(DATOS_[[AGRUP. VALOR. PTO.]:[AGRUP. VALOR. PTO.]]=$B81,IF(DATOS_[[Check Periodo Ref.]:[Check Periodo Ref.]]="Dentro",DATOS_[Conc.Sal.08]))))),
0)</f>
        <v>0</v>
      </c>
      <c r="N83" s="93">
        <f t="array" ref="N83">IFERROR(
AVERAGE((IF(DATOS_[[Sexo]:[Sexo]]=$B83,IF(DATOS_[[AGRUP. VALOR. PTO.]:[AGRUP. VALOR. PTO.]]=$B81,IF(DATOS_[[Check Periodo Ref.]:[Check Periodo Ref.]]="Dentro",DATOS_[Conc.Sal.09]))))),
0)</f>
        <v>0</v>
      </c>
      <c r="O83" s="93">
        <f t="array" ref="O83">IFERROR(
AVERAGE((IF(DATOS_[[Sexo]:[Sexo]]=$B83,IF(DATOS_[[AGRUP. VALOR. PTO.]:[AGRUP. VALOR. PTO.]]=$B81,IF(DATOS_[[Check Periodo Ref.]:[Check Periodo Ref.]]="Dentro",DATOS_[Conc.Sal.10]))))),
0)</f>
        <v>0</v>
      </c>
      <c r="P83" s="93">
        <f t="array" ref="P83">IFERROR(
AVERAGE((IF(DATOS_[[Sexo]:[Sexo]]=$B83,IF(DATOS_[[AGRUP. VALOR. PTO.]:[AGRUP. VALOR. PTO.]]=$B81,IF(DATOS_[[Check Periodo Ref.]:[Check Periodo Ref.]]="Dentro",DATOS_[Conc.Sal.11]))))),
0)</f>
        <v>0</v>
      </c>
      <c r="Q83" s="93">
        <f t="array" ref="Q83">IFERROR(
AVERAGE((IF(DATOS_[[Sexo]:[Sexo]]=$B83,IF(DATOS_[[AGRUP. VALOR. PTO.]:[AGRUP. VALOR. PTO.]]=$B81,IF(DATOS_[[Check Periodo Ref.]:[Check Periodo Ref.]]="Dentro",DATOS_[Conc.Sal.12]))))),
0)</f>
        <v>0</v>
      </c>
      <c r="R83" s="93">
        <f t="array" ref="R83">IFERROR(
AVERAGE((IF(DATOS_[[Sexo]:[Sexo]]=$B83,IF(DATOS_[[AGRUP. VALOR. PTO.]:[AGRUP. VALOR. PTO.]]=$B81,IF(DATOS_[[Check Periodo Ref.]:[Check Periodo Ref.]]="Dentro",DATOS_[Conc.Sal.13]))))),
0)</f>
        <v>0</v>
      </c>
      <c r="S83" s="93">
        <f t="array" ref="S83">IFERROR(
AVERAGE((IF(DATOS_[[Sexo]:[Sexo]]=$B83,IF(DATOS_[[AGRUP. VALOR. PTO.]:[AGRUP. VALOR. PTO.]]=$B81,IF(DATOS_[[Check Periodo Ref.]:[Check Periodo Ref.]]="Dentro",DATOS_[Conc.Sal.14]))))),
0)</f>
        <v>0</v>
      </c>
      <c r="T83" s="93">
        <f t="array" ref="T83">IFERROR(
AVERAGE((IF(DATOS_[[Sexo]:[Sexo]]=$B83,IF(DATOS_[[AGRUP. VALOR. PTO.]:[AGRUP. VALOR. PTO.]]=$B81,IF(DATOS_[[Check Periodo Ref.]:[Check Periodo Ref.]]="Dentro",DATOS_[Conc.Sal.15]))))),
0)</f>
        <v>0</v>
      </c>
      <c r="U83" s="93">
        <f t="array" ref="U83">IFERROR(
AVERAGE((IF(DATOS_[[Sexo]:[Sexo]]=$B83,IF(DATOS_[[AGRUP. VALOR. PTO.]:[AGRUP. VALOR. PTO.]]=$B81,IF(DATOS_[[Check Periodo Ref.]:[Check Periodo Ref.]]="Dentro",DATOS_[Conc.Sal.16]))))),
0)</f>
        <v>0</v>
      </c>
      <c r="V83" s="93">
        <f t="array" ref="V83">IFERROR(
AVERAGE((IF(DATOS_[[Sexo]:[Sexo]]=$B83,IF(DATOS_[[AGRUP. VALOR. PTO.]:[AGRUP. VALOR. PTO.]]=$B81,IF(DATOS_[[Check Periodo Ref.]:[Check Periodo Ref.]]="Dentro",DATOS_[Conc.Sal.17]))))),
0)</f>
        <v>0</v>
      </c>
      <c r="W83" s="93">
        <f t="array" ref="W83">IFERROR(
AVERAGE((IF(DATOS_[[Sexo]:[Sexo]]=$B83,IF(DATOS_[[AGRUP. VALOR. PTO.]:[AGRUP. VALOR. PTO.]]=$B81,IF(DATOS_[[Check Periodo Ref.]:[Check Periodo Ref.]]="Dentro",DATOS_[Conc.Sal.18]))))),
0)</f>
        <v>0</v>
      </c>
      <c r="X83" s="93">
        <f t="array" ref="X83">IFERROR(
AVERAGE((IF(DATOS_[[Sexo]:[Sexo]]=$B83,IF(DATOS_[[AGRUP. VALOR. PTO.]:[AGRUP. VALOR. PTO.]]=$B81,IF(DATOS_[[Check Periodo Ref.]:[Check Periodo Ref.]]="Dentro",DATOS_[Conc.Sal.19]))))),
0)</f>
        <v>0</v>
      </c>
      <c r="Y83" s="93">
        <f t="array" ref="Y83">IFERROR(
AVERAGE((IF(DATOS_[[Sexo]:[Sexo]]=$B83,IF(DATOS_[[AGRUP. VALOR. PTO.]:[AGRUP. VALOR. PTO.]]=$B81,IF(DATOS_[[Check Periodo Ref.]:[Check Periodo Ref.]]="Dentro",DATOS_[Conc.Sal.20]))))),
0)</f>
        <v>0</v>
      </c>
      <c r="Z83" s="93">
        <f t="array" ref="Z83">IFERROR(
AVERAGE((IF(DATOS_[[Sexo]:[Sexo]]=$B83,IF(DATOS_[[AGRUP. VALOR. PTO.]:[AGRUP. VALOR. PTO.]]=$B81,IF(DATOS_[[Check Periodo Ref.]:[Check Periodo Ref.]]="Dentro",DATOS_[Conc.Sal.21]))))),
0)</f>
        <v>0</v>
      </c>
      <c r="AA83" s="93">
        <f t="array" ref="AA83">IFERROR(
AVERAGE((IF(DATOS_[[Sexo]:[Sexo]]=$B83,IF(DATOS_[[AGRUP. VALOR. PTO.]:[AGRUP. VALOR. PTO.]]=$B81,IF(DATOS_[[Check Periodo Ref.]:[Check Periodo Ref.]]="Dentro",DATOS_[Conc.Sal.22]))))),
0)</f>
        <v>0</v>
      </c>
      <c r="AB83" s="93">
        <f t="array" ref="AB83">IFERROR(
AVERAGE((IF(DATOS_[[Sexo]:[Sexo]]=$B83,IF(DATOS_[[AGRUP. VALOR. PTO.]:[AGRUP. VALOR. PTO.]]=$B81,IF(DATOS_[[Check Periodo Ref.]:[Check Periodo Ref.]]="Dentro",DATOS_[Conc.Sal.23]))))),
0)</f>
        <v>0</v>
      </c>
      <c r="AC83" s="93">
        <f t="array" ref="AC83">IFERROR(
AVERAGE((IF(DATOS_[[Sexo]:[Sexo]]=$B83,IF(DATOS_[[AGRUP. VALOR. PTO.]:[AGRUP. VALOR. PTO.]]=$B81,IF(DATOS_[[Check Periodo Ref.]:[Check Periodo Ref.]]="Dentro",DATOS_[Conc.Sal.24]))))),
0)</f>
        <v>0</v>
      </c>
      <c r="AD83" s="93">
        <f t="array" ref="AD83">IFERROR(
AVERAGE((IF(DATOS_[[Sexo]:[Sexo]]=$B83,IF(DATOS_[[AGRUP. VALOR. PTO.]:[AGRUP. VALOR. PTO.]]=$B81,IF(DATOS_[[Check Periodo Ref.]:[Check Periodo Ref.]]="Dentro",DATOS_[Conc.Sal.25]))))),
0)</f>
        <v>0</v>
      </c>
      <c r="AE83" s="93">
        <f t="array" ref="AE83">IFERROR(
AVERAGE((IF(DATOS_[[Sexo]:[Sexo]]=$B83,IF(DATOS_[[AGRUP. VALOR. PTO.]:[AGRUP. VALOR. PTO.]]=$B81,IF(DATOS_[[Check Periodo Ref.]:[Check Periodo Ref.]]="Dentro",DATOS_[Conc.Sal.26]))))),
0)</f>
        <v>0</v>
      </c>
      <c r="AF83" s="93">
        <f t="array" ref="AF83">IFERROR(
AVERAGE((IF(DATOS_[[Sexo]:[Sexo]]=$B83,IF(DATOS_[[AGRUP. VALOR. PTO.]:[AGRUP. VALOR. PTO.]]=$B81,IF(DATOS_[[Check Periodo Ref.]:[Check Periodo Ref.]]="Dentro",DATOS_[Conc.Sal.27]))))),
0)</f>
        <v>0</v>
      </c>
      <c r="AG83" s="93">
        <f t="array" ref="AG83">IFERROR(
AVERAGE((IF(DATOS_[[Sexo]:[Sexo]]=$B83,IF(DATOS_[[AGRUP. VALOR. PTO.]:[AGRUP. VALOR. PTO.]]=$B81,IF(DATOS_[[Check Periodo Ref.]:[Check Periodo Ref.]]="Dentro",DATOS_[Conc.Sal.28]))))),
0)</f>
        <v>0</v>
      </c>
      <c r="AH83" s="93">
        <f t="array" ref="AH83">IFERROR(
AVERAGE((IF(DATOS_[[Sexo]:[Sexo]]=$B83,IF(DATOS_[[AGRUP. VALOR. PTO.]:[AGRUP. VALOR. PTO.]]=$B81,IF(DATOS_[[Check Periodo Ref.]:[Check Periodo Ref.]]="Dentro",DATOS_[Conc.Sal.29]))))),
0)</f>
        <v>0</v>
      </c>
      <c r="AI83" s="93">
        <f t="array" ref="AI83">IFERROR(
AVERAGE((IF(DATOS_[[Sexo]:[Sexo]]=$B83,IF(DATOS_[[AGRUP. VALOR. PTO.]:[AGRUP. VALOR. PTO.]]=$B81,IF(DATOS_[[Check Periodo Ref.]:[Check Periodo Ref.]]="Dentro",DATOS_[Conc.Sal.30]))))),
0)</f>
        <v>0</v>
      </c>
      <c r="AJ83" s="94">
        <f t="array" ref="AJ83">IFERROR(
AVERAGE(IF(DATOS_[Sexo]=$B83,IF(DATOS_[AGRUP. VALOR. PTO.]=$B81,IF(DATOS_[Check Periodo Ref.]="Dentro",DATOS_[Tot COMPL.SAL Ef],FALSE)))),
0)</f>
        <v>0</v>
      </c>
      <c r="AK83" s="96">
        <f t="array" ref="AK83">IFERROR(
AVERAGE(IF(DATOS_[Sexo]=$B83,IF(DATOS_[AGRUP. VALOR. PTO.]=$B81,IF(DATOS_[Check Periodo Ref.]="Dentro",DATOS_[TOTAL SALARIO Ef],FALSE)))),
0)</f>
        <v>0</v>
      </c>
      <c r="AL83" s="95">
        <f t="array" ref="AL83">IFERROR(
AVERAGE((IF(DATOS_[[Sexo]:[Sexo]]=$B83,IF(DATOS_[[AGRUP. VALOR. PTO.]:[AGRUP. VALOR. PTO.]]=$B81,IF(DATOS_[[Check Periodo Ref.]:[Check Periodo Ref.]]="Dentro",DATOS_[C.Extra.01]))))),
0)</f>
        <v>0</v>
      </c>
      <c r="AM83" s="95">
        <f t="array" ref="AM83">IFERROR(
AVERAGE((IF(DATOS_[[Sexo]:[Sexo]]=$B83,IF(DATOS_[[AGRUP. VALOR. PTO.]:[AGRUP. VALOR. PTO.]]=$B81,IF(DATOS_[[Check Periodo Ref.]:[Check Periodo Ref.]]="Dentro",DATOS_[C.Extra.02]))))),
0)</f>
        <v>0</v>
      </c>
      <c r="AN83" s="95">
        <f t="array" ref="AN83">IFERROR(
AVERAGE((IF(DATOS_[[Sexo]:[Sexo]]=$B83,IF(DATOS_[[AGRUP. VALOR. PTO.]:[AGRUP. VALOR. PTO.]]=$B81,IF(DATOS_[[Check Periodo Ref.]:[Check Periodo Ref.]]="Dentro",DATOS_[C.Extra.03]))))),
0)</f>
        <v>0</v>
      </c>
      <c r="AO83" s="95">
        <f t="array" ref="AO83">IFERROR(
AVERAGE((IF(DATOS_[[Sexo]:[Sexo]]=$B83,IF(DATOS_[[AGRUP. VALOR. PTO.]:[AGRUP. VALOR. PTO.]]=$B81,IF(DATOS_[[Check Periodo Ref.]:[Check Periodo Ref.]]="Dentro",DATOS_[C.Extra.04]))))),
0)</f>
        <v>0</v>
      </c>
      <c r="AP83" s="95">
        <f t="array" ref="AP83">IFERROR(
AVERAGE((IF(DATOS_[[Sexo]:[Sexo]]=$B83,IF(DATOS_[[AGRUP. VALOR. PTO.]:[AGRUP. VALOR. PTO.]]=$B81,IF(DATOS_[[Check Periodo Ref.]:[Check Periodo Ref.]]="Dentro",DATOS_[C.Extra.05]))))),
0)</f>
        <v>0</v>
      </c>
      <c r="AQ83" s="97">
        <f t="array" ref="AQ83">IFERROR(
AVERAGE(IF(DATOS_[Sexo]=$B83,IF(DATOS_[AGRUP. VALOR. PTO.]=$B81,IF(DATOS_[Check Periodo Ref.]="Dentro",DATOS_[Tot Extrasalarial Ef],FALSE)))),
0)</f>
        <v>0</v>
      </c>
      <c r="AR83" s="98">
        <f t="array" ref="AR83">IFERROR(
AVERAGE(IF(DATOS_[Sexo]=$B83,IF(DATOS_[AGRUP. VALOR. PTO.]=$B81,IF(DATOS_[Check Periodo Ref.]="Dentro",DATOS_[TOTAL Retrib Ef],FALSE)))),
0)</f>
        <v>0</v>
      </c>
    </row>
    <row r="84" spans="1:44" ht="17.25" hidden="1" thickBot="1" x14ac:dyDescent="0.35">
      <c r="A84" s="48" t="str">
        <f t="shared" ref="A84" si="95">+A85</f>
        <v>[ocultar]</v>
      </c>
      <c r="B84" s="51" t="s">
        <v>283</v>
      </c>
      <c r="C84" s="91"/>
      <c r="D84" s="52"/>
      <c r="E84" s="139" t="str">
        <f t="shared" ref="E84:AR84" si="96">IFERROR((E85-E86)/E85,"")</f>
        <v/>
      </c>
      <c r="F84" s="179" t="str">
        <f t="shared" si="96"/>
        <v/>
      </c>
      <c r="G84" s="180" t="str">
        <f t="shared" si="96"/>
        <v/>
      </c>
      <c r="H84" s="180" t="str">
        <f t="shared" si="96"/>
        <v/>
      </c>
      <c r="I84" s="180" t="str">
        <f t="shared" si="96"/>
        <v/>
      </c>
      <c r="J84" s="181" t="str">
        <f t="shared" si="96"/>
        <v/>
      </c>
      <c r="K84" s="182" t="str">
        <f t="shared" si="96"/>
        <v/>
      </c>
      <c r="L84" s="182" t="str">
        <f t="shared" si="96"/>
        <v/>
      </c>
      <c r="M84" s="182" t="str">
        <f t="shared" si="96"/>
        <v/>
      </c>
      <c r="N84" s="182" t="str">
        <f t="shared" si="96"/>
        <v/>
      </c>
      <c r="O84" s="182" t="str">
        <f t="shared" si="96"/>
        <v/>
      </c>
      <c r="P84" s="182" t="str">
        <f t="shared" si="96"/>
        <v/>
      </c>
      <c r="Q84" s="182" t="str">
        <f t="shared" si="96"/>
        <v/>
      </c>
      <c r="R84" s="182" t="str">
        <f t="shared" si="96"/>
        <v/>
      </c>
      <c r="S84" s="182" t="str">
        <f t="shared" si="96"/>
        <v/>
      </c>
      <c r="T84" s="182" t="str">
        <f t="shared" si="96"/>
        <v/>
      </c>
      <c r="U84" s="182" t="str">
        <f t="shared" si="96"/>
        <v/>
      </c>
      <c r="V84" s="181" t="str">
        <f t="shared" si="96"/>
        <v/>
      </c>
      <c r="W84" s="181" t="str">
        <f t="shared" si="96"/>
        <v/>
      </c>
      <c r="X84" s="181" t="str">
        <f t="shared" si="96"/>
        <v/>
      </c>
      <c r="Y84" s="181" t="str">
        <f t="shared" si="96"/>
        <v/>
      </c>
      <c r="Z84" s="181" t="str">
        <f t="shared" si="96"/>
        <v/>
      </c>
      <c r="AA84" s="181" t="str">
        <f t="shared" si="96"/>
        <v/>
      </c>
      <c r="AB84" s="181" t="str">
        <f t="shared" si="96"/>
        <v/>
      </c>
      <c r="AC84" s="181" t="str">
        <f t="shared" si="96"/>
        <v/>
      </c>
      <c r="AD84" s="181" t="str">
        <f t="shared" si="96"/>
        <v/>
      </c>
      <c r="AE84" s="181" t="str">
        <f t="shared" si="96"/>
        <v/>
      </c>
      <c r="AF84" s="181" t="str">
        <f t="shared" si="96"/>
        <v/>
      </c>
      <c r="AG84" s="181" t="str">
        <f t="shared" si="96"/>
        <v/>
      </c>
      <c r="AH84" s="181" t="str">
        <f t="shared" si="96"/>
        <v/>
      </c>
      <c r="AI84" s="181" t="str">
        <f t="shared" si="96"/>
        <v/>
      </c>
      <c r="AJ84" s="140" t="str">
        <f t="shared" si="96"/>
        <v/>
      </c>
      <c r="AK84" s="143" t="str">
        <f t="shared" si="96"/>
        <v/>
      </c>
      <c r="AL84" s="184" t="str">
        <f t="shared" si="96"/>
        <v/>
      </c>
      <c r="AM84" s="184" t="str">
        <f t="shared" si="96"/>
        <v/>
      </c>
      <c r="AN84" s="184" t="str">
        <f t="shared" si="96"/>
        <v/>
      </c>
      <c r="AO84" s="184" t="str">
        <f t="shared" si="96"/>
        <v/>
      </c>
      <c r="AP84" s="184" t="str">
        <f t="shared" si="96"/>
        <v/>
      </c>
      <c r="AQ84" s="141" t="str">
        <f t="shared" si="96"/>
        <v/>
      </c>
      <c r="AR84" s="142" t="str">
        <f t="shared" si="96"/>
        <v/>
      </c>
    </row>
    <row r="85" spans="1:44" hidden="1" x14ac:dyDescent="0.3">
      <c r="A85" s="48" t="str">
        <f t="shared" ref="A85" si="97">+IF(C85+C86=0,"[ocultar]","")</f>
        <v>[ocultar]</v>
      </c>
      <c r="B85" s="46" t="s">
        <v>162</v>
      </c>
      <c r="C85" s="45">
        <f t="array" ref="C85">SUM(IF($B85=DATOS_[Sexo],
IF($B84=DATOS_[AGRUP. VALOR. PTO.],
IF("Dentro"=DATOS_[Check Periodo Ref.],
1/(COUNTIFS(DATOS_[Sexo],$B85,DATOS_[AGRUP. VALOR. PTO.],$B84,DATOS_[Check Periodo Ref.],"Dentro",DATOS_[id],DATOS_[id]))))))</f>
        <v>0</v>
      </c>
      <c r="D85" s="47">
        <f>COUNTIFS(DATOS_[AGRUP. VALOR. PTO.],$B84,DATOS_[Sexo],$B85,DATOS_[Check Periodo Ref.],"Dentro")</f>
        <v>0</v>
      </c>
      <c r="E85" s="92">
        <f t="array" ref="E85">IFERROR(
AVERAGE(IF(DATOS_[Sexo]=$B85,IF(DATOS_[AGRUP. VALOR. PTO.]=$B84,IF(DATOS_[Check Periodo Ref.]="Dentro",DATOS_[SALARIO BASE Ef],FALSE)))),
0)</f>
        <v>0</v>
      </c>
      <c r="F85" s="93">
        <f t="array" ref="F85">IFERROR(
AVERAGE((IF(DATOS_[[Sexo]:[Sexo]]=$B85,IF(DATOS_[[AGRUP. VALOR. PTO.]:[AGRUP. VALOR. PTO.]]=$B84,IF(DATOS_[[Check Periodo Ref.]:[Check Periodo Ref.]]="Dentro",DATOS_[Conc.Sal.01]))))),
0)</f>
        <v>0</v>
      </c>
      <c r="G85" s="93">
        <f t="array" ref="G85">IFERROR(
AVERAGE((IF(DATOS_[[Sexo]:[Sexo]]=$B85,IF(DATOS_[[AGRUP. VALOR. PTO.]:[AGRUP. VALOR. PTO.]]=$B84,IF(DATOS_[[Check Periodo Ref.]:[Check Periodo Ref.]]="Dentro",DATOS_[Conc.Sal.02]))))),
0)</f>
        <v>0</v>
      </c>
      <c r="H85" s="93">
        <f t="array" ref="H85">IFERROR(
AVERAGE((IF(DATOS_[[Sexo]:[Sexo]]=$B85,IF(DATOS_[[AGRUP. VALOR. PTO.]:[AGRUP. VALOR. PTO.]]=$B84,IF(DATOS_[[Check Periodo Ref.]:[Check Periodo Ref.]]="Dentro",DATOS_[Conc.Sal.03]))))),
0)</f>
        <v>0</v>
      </c>
      <c r="I85" s="93">
        <f t="array" ref="I85">IFERROR(
AVERAGE((IF(DATOS_[[Sexo]:[Sexo]]=$B85,IF(DATOS_[[AGRUP. VALOR. PTO.]:[AGRUP. VALOR. PTO.]]=$B84,IF(DATOS_[[Check Periodo Ref.]:[Check Periodo Ref.]]="Dentro",DATOS_[Conc.Sal.04]))))),
0)</f>
        <v>0</v>
      </c>
      <c r="J85" s="93">
        <f t="array" ref="J85">IFERROR(
AVERAGE((IF(DATOS_[[Sexo]:[Sexo]]=$B85,IF(DATOS_[[AGRUP. VALOR. PTO.]:[AGRUP. VALOR. PTO.]]=$B84,IF(DATOS_[[Check Periodo Ref.]:[Check Periodo Ref.]]="Dentro",DATOS_[Conc.Sal.05]))))),
0)</f>
        <v>0</v>
      </c>
      <c r="K85" s="93">
        <f t="array" ref="K85">IFERROR(
AVERAGE((IF(DATOS_[[Sexo]:[Sexo]]=$B85,IF(DATOS_[[AGRUP. VALOR. PTO.]:[AGRUP. VALOR. PTO.]]=$B84,IF(DATOS_[[Check Periodo Ref.]:[Check Periodo Ref.]]="Dentro",DATOS_[Conc.Sal.06]))))),
0)</f>
        <v>0</v>
      </c>
      <c r="L85" s="93">
        <f t="array" ref="L85">IFERROR(
AVERAGE((IF(DATOS_[[Sexo]:[Sexo]]=$B85,IF(DATOS_[[AGRUP. VALOR. PTO.]:[AGRUP. VALOR. PTO.]]=$B84,IF(DATOS_[[Check Periodo Ref.]:[Check Periodo Ref.]]="Dentro",DATOS_[Conc.Sal.07]))))),
0)</f>
        <v>0</v>
      </c>
      <c r="M85" s="93">
        <f t="array" ref="M85">IFERROR(
AVERAGE((IF(DATOS_[[Sexo]:[Sexo]]=$B85,IF(DATOS_[[AGRUP. VALOR. PTO.]:[AGRUP. VALOR. PTO.]]=$B84,IF(DATOS_[[Check Periodo Ref.]:[Check Periodo Ref.]]="Dentro",DATOS_[Conc.Sal.08]))))),
0)</f>
        <v>0</v>
      </c>
      <c r="N85" s="93">
        <f t="array" ref="N85">IFERROR(
AVERAGE((IF(DATOS_[[Sexo]:[Sexo]]=$B85,IF(DATOS_[[AGRUP. VALOR. PTO.]:[AGRUP. VALOR. PTO.]]=$B84,IF(DATOS_[[Check Periodo Ref.]:[Check Periodo Ref.]]="Dentro",DATOS_[Conc.Sal.09]))))),
0)</f>
        <v>0</v>
      </c>
      <c r="O85" s="93">
        <f t="array" ref="O85">IFERROR(
AVERAGE((IF(DATOS_[[Sexo]:[Sexo]]=$B85,IF(DATOS_[[AGRUP. VALOR. PTO.]:[AGRUP. VALOR. PTO.]]=$B84,IF(DATOS_[[Check Periodo Ref.]:[Check Periodo Ref.]]="Dentro",DATOS_[Conc.Sal.10]))))),
0)</f>
        <v>0</v>
      </c>
      <c r="P85" s="93">
        <f t="array" ref="P85">IFERROR(
AVERAGE((IF(DATOS_[[Sexo]:[Sexo]]=$B85,IF(DATOS_[[AGRUP. VALOR. PTO.]:[AGRUP. VALOR. PTO.]]=$B84,IF(DATOS_[[Check Periodo Ref.]:[Check Periodo Ref.]]="Dentro",DATOS_[Conc.Sal.11]))))),
0)</f>
        <v>0</v>
      </c>
      <c r="Q85" s="93">
        <f t="array" ref="Q85">IFERROR(
AVERAGE((IF(DATOS_[[Sexo]:[Sexo]]=$B85,IF(DATOS_[[AGRUP. VALOR. PTO.]:[AGRUP. VALOR. PTO.]]=$B84,IF(DATOS_[[Check Periodo Ref.]:[Check Periodo Ref.]]="Dentro",DATOS_[Conc.Sal.12]))))),
0)</f>
        <v>0</v>
      </c>
      <c r="R85" s="93">
        <f t="array" ref="R85">IFERROR(
AVERAGE((IF(DATOS_[[Sexo]:[Sexo]]=$B85,IF(DATOS_[[AGRUP. VALOR. PTO.]:[AGRUP. VALOR. PTO.]]=$B84,IF(DATOS_[[Check Periodo Ref.]:[Check Periodo Ref.]]="Dentro",DATOS_[Conc.Sal.13]))))),
0)</f>
        <v>0</v>
      </c>
      <c r="S85" s="93">
        <f t="array" ref="S85">IFERROR(
AVERAGE((IF(DATOS_[[Sexo]:[Sexo]]=$B85,IF(DATOS_[[AGRUP. VALOR. PTO.]:[AGRUP. VALOR. PTO.]]=$B84,IF(DATOS_[[Check Periodo Ref.]:[Check Periodo Ref.]]="Dentro",DATOS_[Conc.Sal.14]))))),
0)</f>
        <v>0</v>
      </c>
      <c r="T85" s="93">
        <f t="array" ref="T85">IFERROR(
AVERAGE((IF(DATOS_[[Sexo]:[Sexo]]=$B85,IF(DATOS_[[AGRUP. VALOR. PTO.]:[AGRUP. VALOR. PTO.]]=$B84,IF(DATOS_[[Check Periodo Ref.]:[Check Periodo Ref.]]="Dentro",DATOS_[Conc.Sal.15]))))),
0)</f>
        <v>0</v>
      </c>
      <c r="U85" s="93">
        <f t="array" ref="U85">IFERROR(
AVERAGE((IF(DATOS_[[Sexo]:[Sexo]]=$B85,IF(DATOS_[[AGRUP. VALOR. PTO.]:[AGRUP. VALOR. PTO.]]=$B84,IF(DATOS_[[Check Periodo Ref.]:[Check Periodo Ref.]]="Dentro",DATOS_[Conc.Sal.16]))))),
0)</f>
        <v>0</v>
      </c>
      <c r="V85" s="93">
        <f t="array" ref="V85">IFERROR(
AVERAGE((IF(DATOS_[[Sexo]:[Sexo]]=$B85,IF(DATOS_[[AGRUP. VALOR. PTO.]:[AGRUP. VALOR. PTO.]]=$B84,IF(DATOS_[[Check Periodo Ref.]:[Check Periodo Ref.]]="Dentro",DATOS_[Conc.Sal.17]))))),
0)</f>
        <v>0</v>
      </c>
      <c r="W85" s="93">
        <f t="array" ref="W85">IFERROR(
AVERAGE((IF(DATOS_[[Sexo]:[Sexo]]=$B85,IF(DATOS_[[AGRUP. VALOR. PTO.]:[AGRUP. VALOR. PTO.]]=$B84,IF(DATOS_[[Check Periodo Ref.]:[Check Periodo Ref.]]="Dentro",DATOS_[Conc.Sal.18]))))),
0)</f>
        <v>0</v>
      </c>
      <c r="X85" s="93">
        <f t="array" ref="X85">IFERROR(
AVERAGE((IF(DATOS_[[Sexo]:[Sexo]]=$B85,IF(DATOS_[[AGRUP. VALOR. PTO.]:[AGRUP. VALOR. PTO.]]=$B84,IF(DATOS_[[Check Periodo Ref.]:[Check Periodo Ref.]]="Dentro",DATOS_[Conc.Sal.19]))))),
0)</f>
        <v>0</v>
      </c>
      <c r="Y85" s="93">
        <f t="array" ref="Y85">IFERROR(
AVERAGE((IF(DATOS_[[Sexo]:[Sexo]]=$B85,IF(DATOS_[[AGRUP. VALOR. PTO.]:[AGRUP. VALOR. PTO.]]=$B84,IF(DATOS_[[Check Periodo Ref.]:[Check Periodo Ref.]]="Dentro",DATOS_[Conc.Sal.20]))))),
0)</f>
        <v>0</v>
      </c>
      <c r="Z85" s="93">
        <f t="array" ref="Z85">IFERROR(
AVERAGE((IF(DATOS_[[Sexo]:[Sexo]]=$B85,IF(DATOS_[[AGRUP. VALOR. PTO.]:[AGRUP. VALOR. PTO.]]=$B84,IF(DATOS_[[Check Periodo Ref.]:[Check Periodo Ref.]]="Dentro",DATOS_[Conc.Sal.21]))))),
0)</f>
        <v>0</v>
      </c>
      <c r="AA85" s="93">
        <f t="array" ref="AA85">IFERROR(
AVERAGE((IF(DATOS_[[Sexo]:[Sexo]]=$B85,IF(DATOS_[[AGRUP. VALOR. PTO.]:[AGRUP. VALOR. PTO.]]=$B84,IF(DATOS_[[Check Periodo Ref.]:[Check Periodo Ref.]]="Dentro",DATOS_[Conc.Sal.22]))))),
0)</f>
        <v>0</v>
      </c>
      <c r="AB85" s="93">
        <f t="array" ref="AB85">IFERROR(
AVERAGE((IF(DATOS_[[Sexo]:[Sexo]]=$B85,IF(DATOS_[[AGRUP. VALOR. PTO.]:[AGRUP. VALOR. PTO.]]=$B84,IF(DATOS_[[Check Periodo Ref.]:[Check Periodo Ref.]]="Dentro",DATOS_[Conc.Sal.23]))))),
0)</f>
        <v>0</v>
      </c>
      <c r="AC85" s="93">
        <f t="array" ref="AC85">IFERROR(
AVERAGE((IF(DATOS_[[Sexo]:[Sexo]]=$B85,IF(DATOS_[[AGRUP. VALOR. PTO.]:[AGRUP. VALOR. PTO.]]=$B84,IF(DATOS_[[Check Periodo Ref.]:[Check Periodo Ref.]]="Dentro",DATOS_[Conc.Sal.24]))))),
0)</f>
        <v>0</v>
      </c>
      <c r="AD85" s="93">
        <f t="array" ref="AD85">IFERROR(
AVERAGE((IF(DATOS_[[Sexo]:[Sexo]]=$B85,IF(DATOS_[[AGRUP. VALOR. PTO.]:[AGRUP. VALOR. PTO.]]=$B84,IF(DATOS_[[Check Periodo Ref.]:[Check Periodo Ref.]]="Dentro",DATOS_[Conc.Sal.25]))))),
0)</f>
        <v>0</v>
      </c>
      <c r="AE85" s="93">
        <f t="array" ref="AE85">IFERROR(
AVERAGE((IF(DATOS_[[Sexo]:[Sexo]]=$B85,IF(DATOS_[[AGRUP. VALOR. PTO.]:[AGRUP. VALOR. PTO.]]=$B84,IF(DATOS_[[Check Periodo Ref.]:[Check Periodo Ref.]]="Dentro",DATOS_[Conc.Sal.26]))))),
0)</f>
        <v>0</v>
      </c>
      <c r="AF85" s="93">
        <f t="array" ref="AF85">IFERROR(
AVERAGE((IF(DATOS_[[Sexo]:[Sexo]]=$B85,IF(DATOS_[[AGRUP. VALOR. PTO.]:[AGRUP. VALOR. PTO.]]=$B84,IF(DATOS_[[Check Periodo Ref.]:[Check Periodo Ref.]]="Dentro",DATOS_[Conc.Sal.27]))))),
0)</f>
        <v>0</v>
      </c>
      <c r="AG85" s="93">
        <f t="array" ref="AG85">IFERROR(
AVERAGE((IF(DATOS_[[Sexo]:[Sexo]]=$B85,IF(DATOS_[[AGRUP. VALOR. PTO.]:[AGRUP. VALOR. PTO.]]=$B84,IF(DATOS_[[Check Periodo Ref.]:[Check Periodo Ref.]]="Dentro",DATOS_[Conc.Sal.28]))))),
0)</f>
        <v>0</v>
      </c>
      <c r="AH85" s="93">
        <f t="array" ref="AH85">IFERROR(
AVERAGE((IF(DATOS_[[Sexo]:[Sexo]]=$B85,IF(DATOS_[[AGRUP. VALOR. PTO.]:[AGRUP. VALOR. PTO.]]=$B84,IF(DATOS_[[Check Periodo Ref.]:[Check Periodo Ref.]]="Dentro",DATOS_[Conc.Sal.29]))))),
0)</f>
        <v>0</v>
      </c>
      <c r="AI85" s="93">
        <f t="array" ref="AI85">IFERROR(
AVERAGE((IF(DATOS_[[Sexo]:[Sexo]]=$B85,IF(DATOS_[[AGRUP. VALOR. PTO.]:[AGRUP. VALOR. PTO.]]=$B84,IF(DATOS_[[Check Periodo Ref.]:[Check Periodo Ref.]]="Dentro",DATOS_[Conc.Sal.30]))))),
0)</f>
        <v>0</v>
      </c>
      <c r="AJ85" s="94">
        <f t="array" ref="AJ85">IFERROR(
AVERAGE(IF(DATOS_[Sexo]=$B85,IF(DATOS_[AGRUP. VALOR. PTO.]=$B84,IF(DATOS_[Check Periodo Ref.]="Dentro",DATOS_[Tot COMPL.SAL Ef],FALSE)))),
0)</f>
        <v>0</v>
      </c>
      <c r="AK85" s="96">
        <f t="array" ref="AK85">IFERROR(
AVERAGE(IF(DATOS_[Sexo]=$B85,IF(DATOS_[AGRUP. VALOR. PTO.]=$B84,IF(DATOS_[Check Periodo Ref.]="Dentro",DATOS_[TOTAL SALARIO Ef],FALSE)))),
0)</f>
        <v>0</v>
      </c>
      <c r="AL85" s="95">
        <f t="array" ref="AL85">IFERROR(
AVERAGE((IF(DATOS_[[Sexo]:[Sexo]]=$B85,IF(DATOS_[[AGRUP. VALOR. PTO.]:[AGRUP. VALOR. PTO.]]=$B84,IF(DATOS_[[Check Periodo Ref.]:[Check Periodo Ref.]]="Dentro",DATOS_[C.Extra.01]))))),
0)</f>
        <v>0</v>
      </c>
      <c r="AM85" s="95">
        <f t="array" ref="AM85">IFERROR(
AVERAGE((IF(DATOS_[[Sexo]:[Sexo]]=$B85,IF(DATOS_[[AGRUP. VALOR. PTO.]:[AGRUP. VALOR. PTO.]]=$B84,IF(DATOS_[[Check Periodo Ref.]:[Check Periodo Ref.]]="Dentro",DATOS_[C.Extra.02]))))),
0)</f>
        <v>0</v>
      </c>
      <c r="AN85" s="95">
        <f t="array" ref="AN85">IFERROR(
AVERAGE((IF(DATOS_[[Sexo]:[Sexo]]=$B85,IF(DATOS_[[AGRUP. VALOR. PTO.]:[AGRUP. VALOR. PTO.]]=$B84,IF(DATOS_[[Check Periodo Ref.]:[Check Periodo Ref.]]="Dentro",DATOS_[C.Extra.03]))))),
0)</f>
        <v>0</v>
      </c>
      <c r="AO85" s="95">
        <f t="array" ref="AO85">IFERROR(
AVERAGE((IF(DATOS_[[Sexo]:[Sexo]]=$B85,IF(DATOS_[[AGRUP. VALOR. PTO.]:[AGRUP. VALOR. PTO.]]=$B84,IF(DATOS_[[Check Periodo Ref.]:[Check Periodo Ref.]]="Dentro",DATOS_[C.Extra.04]))))),
0)</f>
        <v>0</v>
      </c>
      <c r="AP85" s="95">
        <f t="array" ref="AP85">IFERROR(
AVERAGE((IF(DATOS_[[Sexo]:[Sexo]]=$B85,IF(DATOS_[[AGRUP. VALOR. PTO.]:[AGRUP. VALOR. PTO.]]=$B84,IF(DATOS_[[Check Periodo Ref.]:[Check Periodo Ref.]]="Dentro",DATOS_[C.Extra.05]))))),
0)</f>
        <v>0</v>
      </c>
      <c r="AQ85" s="97">
        <f t="array" ref="AQ85">IFERROR(
AVERAGE(IF(DATOS_[Sexo]=$B85,IF(DATOS_[AGRUP. VALOR. PTO.]=$B84,IF(DATOS_[Check Periodo Ref.]="Dentro",DATOS_[Tot Extrasalarial Ef],FALSE)))),
0)</f>
        <v>0</v>
      </c>
      <c r="AR85" s="98">
        <f t="array" ref="AR85">IFERROR(
AVERAGE(IF(DATOS_[Sexo]=$B85,IF(DATOS_[AGRUP. VALOR. PTO.]=$B84,IF(DATOS_[Check Periodo Ref.]="Dentro",DATOS_[TOTAL Retrib Ef],FALSE)))),
0)</f>
        <v>0</v>
      </c>
    </row>
    <row r="86" spans="1:44" hidden="1" x14ac:dyDescent="0.3">
      <c r="A86" s="48" t="str">
        <f t="shared" ref="A86" si="98">+A85</f>
        <v>[ocultar]</v>
      </c>
      <c r="B86" s="46" t="s">
        <v>163</v>
      </c>
      <c r="C86" s="45">
        <f t="array" ref="C86">SUM(IF($B86=DATOS_[Sexo],
IF($B84=DATOS_[AGRUP. VALOR. PTO.],
IF("Dentro"=DATOS_[Check Periodo Ref.],
1/(COUNTIFS(DATOS_[Sexo],$B86,DATOS_[AGRUP. VALOR. PTO.],$B84,DATOS_[Check Periodo Ref.],"Dentro",DATOS_[id],DATOS_[id]))))))</f>
        <v>0</v>
      </c>
      <c r="D86" s="47">
        <f>COUNTIFS(DATOS_[AGRUP. VALOR. PTO.],$B84,DATOS_[Sexo],$B86,DATOS_[Check Periodo Ref.],"Dentro")</f>
        <v>0</v>
      </c>
      <c r="E86" s="92">
        <f t="array" ref="E86">IFERROR(
AVERAGE(IF(DATOS_[Sexo]=$B86,IF(DATOS_[AGRUP. VALOR. PTO.]=$B84,IF(DATOS_[Check Periodo Ref.]="Dentro",DATOS_[SALARIO BASE Ef],FALSE)))),
0)</f>
        <v>0</v>
      </c>
      <c r="F86" s="93">
        <f t="array" ref="F86">IFERROR(
AVERAGE((IF(DATOS_[[Sexo]:[Sexo]]=$B86,IF(DATOS_[[AGRUP. VALOR. PTO.]:[AGRUP. VALOR. PTO.]]=$B84,IF(DATOS_[[Check Periodo Ref.]:[Check Periodo Ref.]]="Dentro",DATOS_[Conc.Sal.01]))))),
0)</f>
        <v>0</v>
      </c>
      <c r="G86" s="93">
        <f t="array" ref="G86">IFERROR(
AVERAGE((IF(DATOS_[[Sexo]:[Sexo]]=$B86,IF(DATOS_[[AGRUP. VALOR. PTO.]:[AGRUP. VALOR. PTO.]]=$B84,IF(DATOS_[[Check Periodo Ref.]:[Check Periodo Ref.]]="Dentro",DATOS_[Conc.Sal.02]))))),
0)</f>
        <v>0</v>
      </c>
      <c r="H86" s="93">
        <f t="array" ref="H86">IFERROR(
AVERAGE((IF(DATOS_[[Sexo]:[Sexo]]=$B86,IF(DATOS_[[AGRUP. VALOR. PTO.]:[AGRUP. VALOR. PTO.]]=$B84,IF(DATOS_[[Check Periodo Ref.]:[Check Periodo Ref.]]="Dentro",DATOS_[Conc.Sal.03]))))),
0)</f>
        <v>0</v>
      </c>
      <c r="I86" s="93">
        <f t="array" ref="I86">IFERROR(
AVERAGE((IF(DATOS_[[Sexo]:[Sexo]]=$B86,IF(DATOS_[[AGRUP. VALOR. PTO.]:[AGRUP. VALOR. PTO.]]=$B84,IF(DATOS_[[Check Periodo Ref.]:[Check Periodo Ref.]]="Dentro",DATOS_[Conc.Sal.04]))))),
0)</f>
        <v>0</v>
      </c>
      <c r="J86" s="93">
        <f t="array" ref="J86">IFERROR(
AVERAGE((IF(DATOS_[[Sexo]:[Sexo]]=$B86,IF(DATOS_[[AGRUP. VALOR. PTO.]:[AGRUP. VALOR. PTO.]]=$B84,IF(DATOS_[[Check Periodo Ref.]:[Check Periodo Ref.]]="Dentro",DATOS_[Conc.Sal.05]))))),
0)</f>
        <v>0</v>
      </c>
      <c r="K86" s="93">
        <f t="array" ref="K86">IFERROR(
AVERAGE((IF(DATOS_[[Sexo]:[Sexo]]=$B86,IF(DATOS_[[AGRUP. VALOR. PTO.]:[AGRUP. VALOR. PTO.]]=$B84,IF(DATOS_[[Check Periodo Ref.]:[Check Periodo Ref.]]="Dentro",DATOS_[Conc.Sal.06]))))),
0)</f>
        <v>0</v>
      </c>
      <c r="L86" s="93">
        <f t="array" ref="L86">IFERROR(
AVERAGE((IF(DATOS_[[Sexo]:[Sexo]]=$B86,IF(DATOS_[[AGRUP. VALOR. PTO.]:[AGRUP. VALOR. PTO.]]=$B84,IF(DATOS_[[Check Periodo Ref.]:[Check Periodo Ref.]]="Dentro",DATOS_[Conc.Sal.07]))))),
0)</f>
        <v>0</v>
      </c>
      <c r="M86" s="93">
        <f t="array" ref="M86">IFERROR(
AVERAGE((IF(DATOS_[[Sexo]:[Sexo]]=$B86,IF(DATOS_[[AGRUP. VALOR. PTO.]:[AGRUP. VALOR. PTO.]]=$B84,IF(DATOS_[[Check Periodo Ref.]:[Check Periodo Ref.]]="Dentro",DATOS_[Conc.Sal.08]))))),
0)</f>
        <v>0</v>
      </c>
      <c r="N86" s="93">
        <f t="array" ref="N86">IFERROR(
AVERAGE((IF(DATOS_[[Sexo]:[Sexo]]=$B86,IF(DATOS_[[AGRUP. VALOR. PTO.]:[AGRUP. VALOR. PTO.]]=$B84,IF(DATOS_[[Check Periodo Ref.]:[Check Periodo Ref.]]="Dentro",DATOS_[Conc.Sal.09]))))),
0)</f>
        <v>0</v>
      </c>
      <c r="O86" s="93">
        <f t="array" ref="O86">IFERROR(
AVERAGE((IF(DATOS_[[Sexo]:[Sexo]]=$B86,IF(DATOS_[[AGRUP. VALOR. PTO.]:[AGRUP. VALOR. PTO.]]=$B84,IF(DATOS_[[Check Periodo Ref.]:[Check Periodo Ref.]]="Dentro",DATOS_[Conc.Sal.10]))))),
0)</f>
        <v>0</v>
      </c>
      <c r="P86" s="93">
        <f t="array" ref="P86">IFERROR(
AVERAGE((IF(DATOS_[[Sexo]:[Sexo]]=$B86,IF(DATOS_[[AGRUP. VALOR. PTO.]:[AGRUP. VALOR. PTO.]]=$B84,IF(DATOS_[[Check Periodo Ref.]:[Check Periodo Ref.]]="Dentro",DATOS_[Conc.Sal.11]))))),
0)</f>
        <v>0</v>
      </c>
      <c r="Q86" s="93">
        <f t="array" ref="Q86">IFERROR(
AVERAGE((IF(DATOS_[[Sexo]:[Sexo]]=$B86,IF(DATOS_[[AGRUP. VALOR. PTO.]:[AGRUP. VALOR. PTO.]]=$B84,IF(DATOS_[[Check Periodo Ref.]:[Check Periodo Ref.]]="Dentro",DATOS_[Conc.Sal.12]))))),
0)</f>
        <v>0</v>
      </c>
      <c r="R86" s="93">
        <f t="array" ref="R86">IFERROR(
AVERAGE((IF(DATOS_[[Sexo]:[Sexo]]=$B86,IF(DATOS_[[AGRUP. VALOR. PTO.]:[AGRUP. VALOR. PTO.]]=$B84,IF(DATOS_[[Check Periodo Ref.]:[Check Periodo Ref.]]="Dentro",DATOS_[Conc.Sal.13]))))),
0)</f>
        <v>0</v>
      </c>
      <c r="S86" s="93">
        <f t="array" ref="S86">IFERROR(
AVERAGE((IF(DATOS_[[Sexo]:[Sexo]]=$B86,IF(DATOS_[[AGRUP. VALOR. PTO.]:[AGRUP. VALOR. PTO.]]=$B84,IF(DATOS_[[Check Periodo Ref.]:[Check Periodo Ref.]]="Dentro",DATOS_[Conc.Sal.14]))))),
0)</f>
        <v>0</v>
      </c>
      <c r="T86" s="93">
        <f t="array" ref="T86">IFERROR(
AVERAGE((IF(DATOS_[[Sexo]:[Sexo]]=$B86,IF(DATOS_[[AGRUP. VALOR. PTO.]:[AGRUP. VALOR. PTO.]]=$B84,IF(DATOS_[[Check Periodo Ref.]:[Check Periodo Ref.]]="Dentro",DATOS_[Conc.Sal.15]))))),
0)</f>
        <v>0</v>
      </c>
      <c r="U86" s="93">
        <f t="array" ref="U86">IFERROR(
AVERAGE((IF(DATOS_[[Sexo]:[Sexo]]=$B86,IF(DATOS_[[AGRUP. VALOR. PTO.]:[AGRUP. VALOR. PTO.]]=$B84,IF(DATOS_[[Check Periodo Ref.]:[Check Periodo Ref.]]="Dentro",DATOS_[Conc.Sal.16]))))),
0)</f>
        <v>0</v>
      </c>
      <c r="V86" s="93">
        <f t="array" ref="V86">IFERROR(
AVERAGE((IF(DATOS_[[Sexo]:[Sexo]]=$B86,IF(DATOS_[[AGRUP. VALOR. PTO.]:[AGRUP. VALOR. PTO.]]=$B84,IF(DATOS_[[Check Periodo Ref.]:[Check Periodo Ref.]]="Dentro",DATOS_[Conc.Sal.17]))))),
0)</f>
        <v>0</v>
      </c>
      <c r="W86" s="93">
        <f t="array" ref="W86">IFERROR(
AVERAGE((IF(DATOS_[[Sexo]:[Sexo]]=$B86,IF(DATOS_[[AGRUP. VALOR. PTO.]:[AGRUP. VALOR. PTO.]]=$B84,IF(DATOS_[[Check Periodo Ref.]:[Check Periodo Ref.]]="Dentro",DATOS_[Conc.Sal.18]))))),
0)</f>
        <v>0</v>
      </c>
      <c r="X86" s="93">
        <f t="array" ref="X86">IFERROR(
AVERAGE((IF(DATOS_[[Sexo]:[Sexo]]=$B86,IF(DATOS_[[AGRUP. VALOR. PTO.]:[AGRUP. VALOR. PTO.]]=$B84,IF(DATOS_[[Check Periodo Ref.]:[Check Periodo Ref.]]="Dentro",DATOS_[Conc.Sal.19]))))),
0)</f>
        <v>0</v>
      </c>
      <c r="Y86" s="93">
        <f t="array" ref="Y86">IFERROR(
AVERAGE((IF(DATOS_[[Sexo]:[Sexo]]=$B86,IF(DATOS_[[AGRUP. VALOR. PTO.]:[AGRUP. VALOR. PTO.]]=$B84,IF(DATOS_[[Check Periodo Ref.]:[Check Periodo Ref.]]="Dentro",DATOS_[Conc.Sal.20]))))),
0)</f>
        <v>0</v>
      </c>
      <c r="Z86" s="93">
        <f t="array" ref="Z86">IFERROR(
AVERAGE((IF(DATOS_[[Sexo]:[Sexo]]=$B86,IF(DATOS_[[AGRUP. VALOR. PTO.]:[AGRUP. VALOR. PTO.]]=$B84,IF(DATOS_[[Check Periodo Ref.]:[Check Periodo Ref.]]="Dentro",DATOS_[Conc.Sal.21]))))),
0)</f>
        <v>0</v>
      </c>
      <c r="AA86" s="93">
        <f t="array" ref="AA86">IFERROR(
AVERAGE((IF(DATOS_[[Sexo]:[Sexo]]=$B86,IF(DATOS_[[AGRUP. VALOR. PTO.]:[AGRUP. VALOR. PTO.]]=$B84,IF(DATOS_[[Check Periodo Ref.]:[Check Periodo Ref.]]="Dentro",DATOS_[Conc.Sal.22]))))),
0)</f>
        <v>0</v>
      </c>
      <c r="AB86" s="93">
        <f t="array" ref="AB86">IFERROR(
AVERAGE((IF(DATOS_[[Sexo]:[Sexo]]=$B86,IF(DATOS_[[AGRUP. VALOR. PTO.]:[AGRUP. VALOR. PTO.]]=$B84,IF(DATOS_[[Check Periodo Ref.]:[Check Periodo Ref.]]="Dentro",DATOS_[Conc.Sal.23]))))),
0)</f>
        <v>0</v>
      </c>
      <c r="AC86" s="93">
        <f t="array" ref="AC86">IFERROR(
AVERAGE((IF(DATOS_[[Sexo]:[Sexo]]=$B86,IF(DATOS_[[AGRUP. VALOR. PTO.]:[AGRUP. VALOR. PTO.]]=$B84,IF(DATOS_[[Check Periodo Ref.]:[Check Periodo Ref.]]="Dentro",DATOS_[Conc.Sal.24]))))),
0)</f>
        <v>0</v>
      </c>
      <c r="AD86" s="93">
        <f t="array" ref="AD86">IFERROR(
AVERAGE((IF(DATOS_[[Sexo]:[Sexo]]=$B86,IF(DATOS_[[AGRUP. VALOR. PTO.]:[AGRUP. VALOR. PTO.]]=$B84,IF(DATOS_[[Check Periodo Ref.]:[Check Periodo Ref.]]="Dentro",DATOS_[Conc.Sal.25]))))),
0)</f>
        <v>0</v>
      </c>
      <c r="AE86" s="93">
        <f t="array" ref="AE86">IFERROR(
AVERAGE((IF(DATOS_[[Sexo]:[Sexo]]=$B86,IF(DATOS_[[AGRUP. VALOR. PTO.]:[AGRUP. VALOR. PTO.]]=$B84,IF(DATOS_[[Check Periodo Ref.]:[Check Periodo Ref.]]="Dentro",DATOS_[Conc.Sal.26]))))),
0)</f>
        <v>0</v>
      </c>
      <c r="AF86" s="93">
        <f t="array" ref="AF86">IFERROR(
AVERAGE((IF(DATOS_[[Sexo]:[Sexo]]=$B86,IF(DATOS_[[AGRUP. VALOR. PTO.]:[AGRUP. VALOR. PTO.]]=$B84,IF(DATOS_[[Check Periodo Ref.]:[Check Periodo Ref.]]="Dentro",DATOS_[Conc.Sal.27]))))),
0)</f>
        <v>0</v>
      </c>
      <c r="AG86" s="93">
        <f t="array" ref="AG86">IFERROR(
AVERAGE((IF(DATOS_[[Sexo]:[Sexo]]=$B86,IF(DATOS_[[AGRUP. VALOR. PTO.]:[AGRUP. VALOR. PTO.]]=$B84,IF(DATOS_[[Check Periodo Ref.]:[Check Periodo Ref.]]="Dentro",DATOS_[Conc.Sal.28]))))),
0)</f>
        <v>0</v>
      </c>
      <c r="AH86" s="93">
        <f t="array" ref="AH86">IFERROR(
AVERAGE((IF(DATOS_[[Sexo]:[Sexo]]=$B86,IF(DATOS_[[AGRUP. VALOR. PTO.]:[AGRUP. VALOR. PTO.]]=$B84,IF(DATOS_[[Check Periodo Ref.]:[Check Periodo Ref.]]="Dentro",DATOS_[Conc.Sal.29]))))),
0)</f>
        <v>0</v>
      </c>
      <c r="AI86" s="93">
        <f t="array" ref="AI86">IFERROR(
AVERAGE((IF(DATOS_[[Sexo]:[Sexo]]=$B86,IF(DATOS_[[AGRUP. VALOR. PTO.]:[AGRUP. VALOR. PTO.]]=$B84,IF(DATOS_[[Check Periodo Ref.]:[Check Periodo Ref.]]="Dentro",DATOS_[Conc.Sal.30]))))),
0)</f>
        <v>0</v>
      </c>
      <c r="AJ86" s="94">
        <f t="array" ref="AJ86">IFERROR(
AVERAGE(IF(DATOS_[Sexo]=$B86,IF(DATOS_[AGRUP. VALOR. PTO.]=$B84,IF(DATOS_[Check Periodo Ref.]="Dentro",DATOS_[Tot COMPL.SAL Ef],FALSE)))),
0)</f>
        <v>0</v>
      </c>
      <c r="AK86" s="96">
        <f t="array" ref="AK86">IFERROR(
AVERAGE(IF(DATOS_[Sexo]=$B86,IF(DATOS_[AGRUP. VALOR. PTO.]=$B84,IF(DATOS_[Check Periodo Ref.]="Dentro",DATOS_[TOTAL SALARIO Ef],FALSE)))),
0)</f>
        <v>0</v>
      </c>
      <c r="AL86" s="95">
        <f t="array" ref="AL86">IFERROR(
AVERAGE((IF(DATOS_[[Sexo]:[Sexo]]=$B86,IF(DATOS_[[AGRUP. VALOR. PTO.]:[AGRUP. VALOR. PTO.]]=$B84,IF(DATOS_[[Check Periodo Ref.]:[Check Periodo Ref.]]="Dentro",DATOS_[C.Extra.01]))))),
0)</f>
        <v>0</v>
      </c>
      <c r="AM86" s="95">
        <f t="array" ref="AM86">IFERROR(
AVERAGE((IF(DATOS_[[Sexo]:[Sexo]]=$B86,IF(DATOS_[[AGRUP. VALOR. PTO.]:[AGRUP. VALOR. PTO.]]=$B84,IF(DATOS_[[Check Periodo Ref.]:[Check Periodo Ref.]]="Dentro",DATOS_[C.Extra.02]))))),
0)</f>
        <v>0</v>
      </c>
      <c r="AN86" s="95">
        <f t="array" ref="AN86">IFERROR(
AVERAGE((IF(DATOS_[[Sexo]:[Sexo]]=$B86,IF(DATOS_[[AGRUP. VALOR. PTO.]:[AGRUP. VALOR. PTO.]]=$B84,IF(DATOS_[[Check Periodo Ref.]:[Check Periodo Ref.]]="Dentro",DATOS_[C.Extra.03]))))),
0)</f>
        <v>0</v>
      </c>
      <c r="AO86" s="95">
        <f t="array" ref="AO86">IFERROR(
AVERAGE((IF(DATOS_[[Sexo]:[Sexo]]=$B86,IF(DATOS_[[AGRUP. VALOR. PTO.]:[AGRUP. VALOR. PTO.]]=$B84,IF(DATOS_[[Check Periodo Ref.]:[Check Periodo Ref.]]="Dentro",DATOS_[C.Extra.04]))))),
0)</f>
        <v>0</v>
      </c>
      <c r="AP86" s="95">
        <f t="array" ref="AP86">IFERROR(
AVERAGE((IF(DATOS_[[Sexo]:[Sexo]]=$B86,IF(DATOS_[[AGRUP. VALOR. PTO.]:[AGRUP. VALOR. PTO.]]=$B84,IF(DATOS_[[Check Periodo Ref.]:[Check Periodo Ref.]]="Dentro",DATOS_[C.Extra.05]))))),
0)</f>
        <v>0</v>
      </c>
      <c r="AQ86" s="97">
        <f t="array" ref="AQ86">IFERROR(
AVERAGE(IF(DATOS_[Sexo]=$B86,IF(DATOS_[AGRUP. VALOR. PTO.]=$B84,IF(DATOS_[Check Periodo Ref.]="Dentro",DATOS_[Tot Extrasalarial Ef],FALSE)))),
0)</f>
        <v>0</v>
      </c>
      <c r="AR86" s="98">
        <f t="array" ref="AR86">IFERROR(
AVERAGE(IF(DATOS_[Sexo]=$B86,IF(DATOS_[AGRUP. VALOR. PTO.]=$B84,IF(DATOS_[Check Periodo Ref.]="Dentro",DATOS_[TOTAL Retrib Ef],FALSE)))),
0)</f>
        <v>0</v>
      </c>
    </row>
    <row r="87" spans="1:44" ht="17.25" hidden="1" thickBot="1" x14ac:dyDescent="0.35">
      <c r="A87" s="48" t="str">
        <f t="shared" ref="A87" si="99">+A88</f>
        <v>[ocultar]</v>
      </c>
      <c r="B87" s="51" t="s">
        <v>284</v>
      </c>
      <c r="C87" s="91"/>
      <c r="D87" s="52"/>
      <c r="E87" s="139" t="str">
        <f t="shared" ref="E87:AR87" si="100">IFERROR((E88-E89)/E88,"")</f>
        <v/>
      </c>
      <c r="F87" s="179" t="str">
        <f t="shared" si="100"/>
        <v/>
      </c>
      <c r="G87" s="180" t="str">
        <f t="shared" si="100"/>
        <v/>
      </c>
      <c r="H87" s="180" t="str">
        <f t="shared" si="100"/>
        <v/>
      </c>
      <c r="I87" s="180" t="str">
        <f t="shared" si="100"/>
        <v/>
      </c>
      <c r="J87" s="181" t="str">
        <f t="shared" si="100"/>
        <v/>
      </c>
      <c r="K87" s="182" t="str">
        <f t="shared" si="100"/>
        <v/>
      </c>
      <c r="L87" s="182" t="str">
        <f t="shared" si="100"/>
        <v/>
      </c>
      <c r="M87" s="182" t="str">
        <f t="shared" si="100"/>
        <v/>
      </c>
      <c r="N87" s="182" t="str">
        <f t="shared" si="100"/>
        <v/>
      </c>
      <c r="O87" s="182" t="str">
        <f t="shared" si="100"/>
        <v/>
      </c>
      <c r="P87" s="182" t="str">
        <f t="shared" si="100"/>
        <v/>
      </c>
      <c r="Q87" s="182" t="str">
        <f t="shared" si="100"/>
        <v/>
      </c>
      <c r="R87" s="182" t="str">
        <f t="shared" si="100"/>
        <v/>
      </c>
      <c r="S87" s="182" t="str">
        <f t="shared" si="100"/>
        <v/>
      </c>
      <c r="T87" s="182" t="str">
        <f t="shared" si="100"/>
        <v/>
      </c>
      <c r="U87" s="182" t="str">
        <f t="shared" si="100"/>
        <v/>
      </c>
      <c r="V87" s="181" t="str">
        <f t="shared" si="100"/>
        <v/>
      </c>
      <c r="W87" s="181" t="str">
        <f t="shared" si="100"/>
        <v/>
      </c>
      <c r="X87" s="181" t="str">
        <f t="shared" si="100"/>
        <v/>
      </c>
      <c r="Y87" s="181" t="str">
        <f t="shared" si="100"/>
        <v/>
      </c>
      <c r="Z87" s="181" t="str">
        <f t="shared" si="100"/>
        <v/>
      </c>
      <c r="AA87" s="181" t="str">
        <f t="shared" si="100"/>
        <v/>
      </c>
      <c r="AB87" s="181" t="str">
        <f t="shared" si="100"/>
        <v/>
      </c>
      <c r="AC87" s="181" t="str">
        <f t="shared" si="100"/>
        <v/>
      </c>
      <c r="AD87" s="181" t="str">
        <f t="shared" si="100"/>
        <v/>
      </c>
      <c r="AE87" s="181" t="str">
        <f t="shared" si="100"/>
        <v/>
      </c>
      <c r="AF87" s="181" t="str">
        <f t="shared" si="100"/>
        <v/>
      </c>
      <c r="AG87" s="181" t="str">
        <f t="shared" si="100"/>
        <v/>
      </c>
      <c r="AH87" s="181" t="str">
        <f t="shared" si="100"/>
        <v/>
      </c>
      <c r="AI87" s="181" t="str">
        <f t="shared" si="100"/>
        <v/>
      </c>
      <c r="AJ87" s="140" t="str">
        <f t="shared" si="100"/>
        <v/>
      </c>
      <c r="AK87" s="143" t="str">
        <f t="shared" si="100"/>
        <v/>
      </c>
      <c r="AL87" s="184" t="str">
        <f t="shared" si="100"/>
        <v/>
      </c>
      <c r="AM87" s="184" t="str">
        <f t="shared" si="100"/>
        <v/>
      </c>
      <c r="AN87" s="184" t="str">
        <f t="shared" si="100"/>
        <v/>
      </c>
      <c r="AO87" s="184" t="str">
        <f t="shared" si="100"/>
        <v/>
      </c>
      <c r="AP87" s="184" t="str">
        <f t="shared" si="100"/>
        <v/>
      </c>
      <c r="AQ87" s="141" t="str">
        <f t="shared" si="100"/>
        <v/>
      </c>
      <c r="AR87" s="142" t="str">
        <f t="shared" si="100"/>
        <v/>
      </c>
    </row>
    <row r="88" spans="1:44" hidden="1" x14ac:dyDescent="0.3">
      <c r="A88" s="48" t="str">
        <f t="shared" ref="A88" si="101">+IF(C88+C89=0,"[ocultar]","")</f>
        <v>[ocultar]</v>
      </c>
      <c r="B88" s="46" t="s">
        <v>162</v>
      </c>
      <c r="C88" s="45">
        <f t="array" ref="C88">SUM(IF($B88=DATOS_[Sexo],
IF($B87=DATOS_[AGRUP. VALOR. PTO.],
IF("Dentro"=DATOS_[Check Periodo Ref.],
1/(COUNTIFS(DATOS_[Sexo],$B88,DATOS_[AGRUP. VALOR. PTO.],$B87,DATOS_[Check Periodo Ref.],"Dentro",DATOS_[id],DATOS_[id]))))))</f>
        <v>0</v>
      </c>
      <c r="D88" s="47">
        <f>COUNTIFS(DATOS_[AGRUP. VALOR. PTO.],$B87,DATOS_[Sexo],$B88,DATOS_[Check Periodo Ref.],"Dentro")</f>
        <v>0</v>
      </c>
      <c r="E88" s="92">
        <f t="array" ref="E88">IFERROR(
AVERAGE(IF(DATOS_[Sexo]=$B88,IF(DATOS_[AGRUP. VALOR. PTO.]=$B87,IF(DATOS_[Check Periodo Ref.]="Dentro",DATOS_[SALARIO BASE Ef],FALSE)))),
0)</f>
        <v>0</v>
      </c>
      <c r="F88" s="93">
        <f t="array" ref="F88">IFERROR(
AVERAGE((IF(DATOS_[[Sexo]:[Sexo]]=$B88,IF(DATOS_[[AGRUP. VALOR. PTO.]:[AGRUP. VALOR. PTO.]]=$B87,IF(DATOS_[[Check Periodo Ref.]:[Check Periodo Ref.]]="Dentro",DATOS_[Conc.Sal.01]))))),
0)</f>
        <v>0</v>
      </c>
      <c r="G88" s="93">
        <f t="array" ref="G88">IFERROR(
AVERAGE((IF(DATOS_[[Sexo]:[Sexo]]=$B88,IF(DATOS_[[AGRUP. VALOR. PTO.]:[AGRUP. VALOR. PTO.]]=$B87,IF(DATOS_[[Check Periodo Ref.]:[Check Periodo Ref.]]="Dentro",DATOS_[Conc.Sal.02]))))),
0)</f>
        <v>0</v>
      </c>
      <c r="H88" s="93">
        <f t="array" ref="H88">IFERROR(
AVERAGE((IF(DATOS_[[Sexo]:[Sexo]]=$B88,IF(DATOS_[[AGRUP. VALOR. PTO.]:[AGRUP. VALOR. PTO.]]=$B87,IF(DATOS_[[Check Periodo Ref.]:[Check Periodo Ref.]]="Dentro",DATOS_[Conc.Sal.03]))))),
0)</f>
        <v>0</v>
      </c>
      <c r="I88" s="93">
        <f t="array" ref="I88">IFERROR(
AVERAGE((IF(DATOS_[[Sexo]:[Sexo]]=$B88,IF(DATOS_[[AGRUP. VALOR. PTO.]:[AGRUP. VALOR. PTO.]]=$B87,IF(DATOS_[[Check Periodo Ref.]:[Check Periodo Ref.]]="Dentro",DATOS_[Conc.Sal.04]))))),
0)</f>
        <v>0</v>
      </c>
      <c r="J88" s="93">
        <f t="array" ref="J88">IFERROR(
AVERAGE((IF(DATOS_[[Sexo]:[Sexo]]=$B88,IF(DATOS_[[AGRUP. VALOR. PTO.]:[AGRUP. VALOR. PTO.]]=$B87,IF(DATOS_[[Check Periodo Ref.]:[Check Periodo Ref.]]="Dentro",DATOS_[Conc.Sal.05]))))),
0)</f>
        <v>0</v>
      </c>
      <c r="K88" s="93">
        <f t="array" ref="K88">IFERROR(
AVERAGE((IF(DATOS_[[Sexo]:[Sexo]]=$B88,IF(DATOS_[[AGRUP. VALOR. PTO.]:[AGRUP. VALOR. PTO.]]=$B87,IF(DATOS_[[Check Periodo Ref.]:[Check Periodo Ref.]]="Dentro",DATOS_[Conc.Sal.06]))))),
0)</f>
        <v>0</v>
      </c>
      <c r="L88" s="93">
        <f t="array" ref="L88">IFERROR(
AVERAGE((IF(DATOS_[[Sexo]:[Sexo]]=$B88,IF(DATOS_[[AGRUP. VALOR. PTO.]:[AGRUP. VALOR. PTO.]]=$B87,IF(DATOS_[[Check Periodo Ref.]:[Check Periodo Ref.]]="Dentro",DATOS_[Conc.Sal.07]))))),
0)</f>
        <v>0</v>
      </c>
      <c r="M88" s="93">
        <f t="array" ref="M88">IFERROR(
AVERAGE((IF(DATOS_[[Sexo]:[Sexo]]=$B88,IF(DATOS_[[AGRUP. VALOR. PTO.]:[AGRUP. VALOR. PTO.]]=$B87,IF(DATOS_[[Check Periodo Ref.]:[Check Periodo Ref.]]="Dentro",DATOS_[Conc.Sal.08]))))),
0)</f>
        <v>0</v>
      </c>
      <c r="N88" s="93">
        <f t="array" ref="N88">IFERROR(
AVERAGE((IF(DATOS_[[Sexo]:[Sexo]]=$B88,IF(DATOS_[[AGRUP. VALOR. PTO.]:[AGRUP. VALOR. PTO.]]=$B87,IF(DATOS_[[Check Periodo Ref.]:[Check Periodo Ref.]]="Dentro",DATOS_[Conc.Sal.09]))))),
0)</f>
        <v>0</v>
      </c>
      <c r="O88" s="93">
        <f t="array" ref="O88">IFERROR(
AVERAGE((IF(DATOS_[[Sexo]:[Sexo]]=$B88,IF(DATOS_[[AGRUP. VALOR. PTO.]:[AGRUP. VALOR. PTO.]]=$B87,IF(DATOS_[[Check Periodo Ref.]:[Check Periodo Ref.]]="Dentro",DATOS_[Conc.Sal.10]))))),
0)</f>
        <v>0</v>
      </c>
      <c r="P88" s="93">
        <f t="array" ref="P88">IFERROR(
AVERAGE((IF(DATOS_[[Sexo]:[Sexo]]=$B88,IF(DATOS_[[AGRUP. VALOR. PTO.]:[AGRUP. VALOR. PTO.]]=$B87,IF(DATOS_[[Check Periodo Ref.]:[Check Periodo Ref.]]="Dentro",DATOS_[Conc.Sal.11]))))),
0)</f>
        <v>0</v>
      </c>
      <c r="Q88" s="93">
        <f t="array" ref="Q88">IFERROR(
AVERAGE((IF(DATOS_[[Sexo]:[Sexo]]=$B88,IF(DATOS_[[AGRUP. VALOR. PTO.]:[AGRUP. VALOR. PTO.]]=$B87,IF(DATOS_[[Check Periodo Ref.]:[Check Periodo Ref.]]="Dentro",DATOS_[Conc.Sal.12]))))),
0)</f>
        <v>0</v>
      </c>
      <c r="R88" s="93">
        <f t="array" ref="R88">IFERROR(
AVERAGE((IF(DATOS_[[Sexo]:[Sexo]]=$B88,IF(DATOS_[[AGRUP. VALOR. PTO.]:[AGRUP. VALOR. PTO.]]=$B87,IF(DATOS_[[Check Periodo Ref.]:[Check Periodo Ref.]]="Dentro",DATOS_[Conc.Sal.13]))))),
0)</f>
        <v>0</v>
      </c>
      <c r="S88" s="93">
        <f t="array" ref="S88">IFERROR(
AVERAGE((IF(DATOS_[[Sexo]:[Sexo]]=$B88,IF(DATOS_[[AGRUP. VALOR. PTO.]:[AGRUP. VALOR. PTO.]]=$B87,IF(DATOS_[[Check Periodo Ref.]:[Check Periodo Ref.]]="Dentro",DATOS_[Conc.Sal.14]))))),
0)</f>
        <v>0</v>
      </c>
      <c r="T88" s="93">
        <f t="array" ref="T88">IFERROR(
AVERAGE((IF(DATOS_[[Sexo]:[Sexo]]=$B88,IF(DATOS_[[AGRUP. VALOR. PTO.]:[AGRUP. VALOR. PTO.]]=$B87,IF(DATOS_[[Check Periodo Ref.]:[Check Periodo Ref.]]="Dentro",DATOS_[Conc.Sal.15]))))),
0)</f>
        <v>0</v>
      </c>
      <c r="U88" s="93">
        <f t="array" ref="U88">IFERROR(
AVERAGE((IF(DATOS_[[Sexo]:[Sexo]]=$B88,IF(DATOS_[[AGRUP. VALOR. PTO.]:[AGRUP. VALOR. PTO.]]=$B87,IF(DATOS_[[Check Periodo Ref.]:[Check Periodo Ref.]]="Dentro",DATOS_[Conc.Sal.16]))))),
0)</f>
        <v>0</v>
      </c>
      <c r="V88" s="93">
        <f t="array" ref="V88">IFERROR(
AVERAGE((IF(DATOS_[[Sexo]:[Sexo]]=$B88,IF(DATOS_[[AGRUP. VALOR. PTO.]:[AGRUP. VALOR. PTO.]]=$B87,IF(DATOS_[[Check Periodo Ref.]:[Check Periodo Ref.]]="Dentro",DATOS_[Conc.Sal.17]))))),
0)</f>
        <v>0</v>
      </c>
      <c r="W88" s="93">
        <f t="array" ref="W88">IFERROR(
AVERAGE((IF(DATOS_[[Sexo]:[Sexo]]=$B88,IF(DATOS_[[AGRUP. VALOR. PTO.]:[AGRUP. VALOR. PTO.]]=$B87,IF(DATOS_[[Check Periodo Ref.]:[Check Periodo Ref.]]="Dentro",DATOS_[Conc.Sal.18]))))),
0)</f>
        <v>0</v>
      </c>
      <c r="X88" s="93">
        <f t="array" ref="X88">IFERROR(
AVERAGE((IF(DATOS_[[Sexo]:[Sexo]]=$B88,IF(DATOS_[[AGRUP. VALOR. PTO.]:[AGRUP. VALOR. PTO.]]=$B87,IF(DATOS_[[Check Periodo Ref.]:[Check Periodo Ref.]]="Dentro",DATOS_[Conc.Sal.19]))))),
0)</f>
        <v>0</v>
      </c>
      <c r="Y88" s="93">
        <f t="array" ref="Y88">IFERROR(
AVERAGE((IF(DATOS_[[Sexo]:[Sexo]]=$B88,IF(DATOS_[[AGRUP. VALOR. PTO.]:[AGRUP. VALOR. PTO.]]=$B87,IF(DATOS_[[Check Periodo Ref.]:[Check Periodo Ref.]]="Dentro",DATOS_[Conc.Sal.20]))))),
0)</f>
        <v>0</v>
      </c>
      <c r="Z88" s="93">
        <f t="array" ref="Z88">IFERROR(
AVERAGE((IF(DATOS_[[Sexo]:[Sexo]]=$B88,IF(DATOS_[[AGRUP. VALOR. PTO.]:[AGRUP. VALOR. PTO.]]=$B87,IF(DATOS_[[Check Periodo Ref.]:[Check Periodo Ref.]]="Dentro",DATOS_[Conc.Sal.21]))))),
0)</f>
        <v>0</v>
      </c>
      <c r="AA88" s="93">
        <f t="array" ref="AA88">IFERROR(
AVERAGE((IF(DATOS_[[Sexo]:[Sexo]]=$B88,IF(DATOS_[[AGRUP. VALOR. PTO.]:[AGRUP. VALOR. PTO.]]=$B87,IF(DATOS_[[Check Periodo Ref.]:[Check Periodo Ref.]]="Dentro",DATOS_[Conc.Sal.22]))))),
0)</f>
        <v>0</v>
      </c>
      <c r="AB88" s="93">
        <f t="array" ref="AB88">IFERROR(
AVERAGE((IF(DATOS_[[Sexo]:[Sexo]]=$B88,IF(DATOS_[[AGRUP. VALOR. PTO.]:[AGRUP. VALOR. PTO.]]=$B87,IF(DATOS_[[Check Periodo Ref.]:[Check Periodo Ref.]]="Dentro",DATOS_[Conc.Sal.23]))))),
0)</f>
        <v>0</v>
      </c>
      <c r="AC88" s="93">
        <f t="array" ref="AC88">IFERROR(
AVERAGE((IF(DATOS_[[Sexo]:[Sexo]]=$B88,IF(DATOS_[[AGRUP. VALOR. PTO.]:[AGRUP. VALOR. PTO.]]=$B87,IF(DATOS_[[Check Periodo Ref.]:[Check Periodo Ref.]]="Dentro",DATOS_[Conc.Sal.24]))))),
0)</f>
        <v>0</v>
      </c>
      <c r="AD88" s="93">
        <f t="array" ref="AD88">IFERROR(
AVERAGE((IF(DATOS_[[Sexo]:[Sexo]]=$B88,IF(DATOS_[[AGRUP. VALOR. PTO.]:[AGRUP. VALOR. PTO.]]=$B87,IF(DATOS_[[Check Periodo Ref.]:[Check Periodo Ref.]]="Dentro",DATOS_[Conc.Sal.25]))))),
0)</f>
        <v>0</v>
      </c>
      <c r="AE88" s="93">
        <f t="array" ref="AE88">IFERROR(
AVERAGE((IF(DATOS_[[Sexo]:[Sexo]]=$B88,IF(DATOS_[[AGRUP. VALOR. PTO.]:[AGRUP. VALOR. PTO.]]=$B87,IF(DATOS_[[Check Periodo Ref.]:[Check Periodo Ref.]]="Dentro",DATOS_[Conc.Sal.26]))))),
0)</f>
        <v>0</v>
      </c>
      <c r="AF88" s="93">
        <f t="array" ref="AF88">IFERROR(
AVERAGE((IF(DATOS_[[Sexo]:[Sexo]]=$B88,IF(DATOS_[[AGRUP. VALOR. PTO.]:[AGRUP. VALOR. PTO.]]=$B87,IF(DATOS_[[Check Periodo Ref.]:[Check Periodo Ref.]]="Dentro",DATOS_[Conc.Sal.27]))))),
0)</f>
        <v>0</v>
      </c>
      <c r="AG88" s="93">
        <f t="array" ref="AG88">IFERROR(
AVERAGE((IF(DATOS_[[Sexo]:[Sexo]]=$B88,IF(DATOS_[[AGRUP. VALOR. PTO.]:[AGRUP. VALOR. PTO.]]=$B87,IF(DATOS_[[Check Periodo Ref.]:[Check Periodo Ref.]]="Dentro",DATOS_[Conc.Sal.28]))))),
0)</f>
        <v>0</v>
      </c>
      <c r="AH88" s="93">
        <f t="array" ref="AH88">IFERROR(
AVERAGE((IF(DATOS_[[Sexo]:[Sexo]]=$B88,IF(DATOS_[[AGRUP. VALOR. PTO.]:[AGRUP. VALOR. PTO.]]=$B87,IF(DATOS_[[Check Periodo Ref.]:[Check Periodo Ref.]]="Dentro",DATOS_[Conc.Sal.29]))))),
0)</f>
        <v>0</v>
      </c>
      <c r="AI88" s="93">
        <f t="array" ref="AI88">IFERROR(
AVERAGE((IF(DATOS_[[Sexo]:[Sexo]]=$B88,IF(DATOS_[[AGRUP. VALOR. PTO.]:[AGRUP. VALOR. PTO.]]=$B87,IF(DATOS_[[Check Periodo Ref.]:[Check Periodo Ref.]]="Dentro",DATOS_[Conc.Sal.30]))))),
0)</f>
        <v>0</v>
      </c>
      <c r="AJ88" s="94">
        <f t="array" ref="AJ88">IFERROR(
AVERAGE(IF(DATOS_[Sexo]=$B88,IF(DATOS_[AGRUP. VALOR. PTO.]=$B87,IF(DATOS_[Check Periodo Ref.]="Dentro",DATOS_[Tot COMPL.SAL Ef],FALSE)))),
0)</f>
        <v>0</v>
      </c>
      <c r="AK88" s="96">
        <f t="array" ref="AK88">IFERROR(
AVERAGE(IF(DATOS_[Sexo]=$B88,IF(DATOS_[AGRUP. VALOR. PTO.]=$B87,IF(DATOS_[Check Periodo Ref.]="Dentro",DATOS_[TOTAL SALARIO Ef],FALSE)))),
0)</f>
        <v>0</v>
      </c>
      <c r="AL88" s="95">
        <f t="array" ref="AL88">IFERROR(
AVERAGE((IF(DATOS_[[Sexo]:[Sexo]]=$B88,IF(DATOS_[[AGRUP. VALOR. PTO.]:[AGRUP. VALOR. PTO.]]=$B87,IF(DATOS_[[Check Periodo Ref.]:[Check Periodo Ref.]]="Dentro",DATOS_[C.Extra.01]))))),
0)</f>
        <v>0</v>
      </c>
      <c r="AM88" s="95">
        <f t="array" ref="AM88">IFERROR(
AVERAGE((IF(DATOS_[[Sexo]:[Sexo]]=$B88,IF(DATOS_[[AGRUP. VALOR. PTO.]:[AGRUP. VALOR. PTO.]]=$B87,IF(DATOS_[[Check Periodo Ref.]:[Check Periodo Ref.]]="Dentro",DATOS_[C.Extra.02]))))),
0)</f>
        <v>0</v>
      </c>
      <c r="AN88" s="95">
        <f t="array" ref="AN88">IFERROR(
AVERAGE((IF(DATOS_[[Sexo]:[Sexo]]=$B88,IF(DATOS_[[AGRUP. VALOR. PTO.]:[AGRUP. VALOR. PTO.]]=$B87,IF(DATOS_[[Check Periodo Ref.]:[Check Periodo Ref.]]="Dentro",DATOS_[C.Extra.03]))))),
0)</f>
        <v>0</v>
      </c>
      <c r="AO88" s="95">
        <f t="array" ref="AO88">IFERROR(
AVERAGE((IF(DATOS_[[Sexo]:[Sexo]]=$B88,IF(DATOS_[[AGRUP. VALOR. PTO.]:[AGRUP. VALOR. PTO.]]=$B87,IF(DATOS_[[Check Periodo Ref.]:[Check Periodo Ref.]]="Dentro",DATOS_[C.Extra.04]))))),
0)</f>
        <v>0</v>
      </c>
      <c r="AP88" s="95">
        <f t="array" ref="AP88">IFERROR(
AVERAGE((IF(DATOS_[[Sexo]:[Sexo]]=$B88,IF(DATOS_[[AGRUP. VALOR. PTO.]:[AGRUP. VALOR. PTO.]]=$B87,IF(DATOS_[[Check Periodo Ref.]:[Check Periodo Ref.]]="Dentro",DATOS_[C.Extra.05]))))),
0)</f>
        <v>0</v>
      </c>
      <c r="AQ88" s="97">
        <f t="array" ref="AQ88">IFERROR(
AVERAGE(IF(DATOS_[Sexo]=$B88,IF(DATOS_[AGRUP. VALOR. PTO.]=$B87,IF(DATOS_[Check Periodo Ref.]="Dentro",DATOS_[Tot Extrasalarial Ef],FALSE)))),
0)</f>
        <v>0</v>
      </c>
      <c r="AR88" s="98">
        <f t="array" ref="AR88">IFERROR(
AVERAGE(IF(DATOS_[Sexo]=$B88,IF(DATOS_[AGRUP. VALOR. PTO.]=$B87,IF(DATOS_[Check Periodo Ref.]="Dentro",DATOS_[TOTAL Retrib Ef],FALSE)))),
0)</f>
        <v>0</v>
      </c>
    </row>
    <row r="89" spans="1:44" hidden="1" x14ac:dyDescent="0.3">
      <c r="A89" s="48" t="str">
        <f t="shared" ref="A89" si="102">+A88</f>
        <v>[ocultar]</v>
      </c>
      <c r="B89" s="46" t="s">
        <v>163</v>
      </c>
      <c r="C89" s="45">
        <f t="array" ref="C89">SUM(IF($B89=DATOS_[Sexo],
IF($B87=DATOS_[AGRUP. VALOR. PTO.],
IF("Dentro"=DATOS_[Check Periodo Ref.],
1/(COUNTIFS(DATOS_[Sexo],$B89,DATOS_[AGRUP. VALOR. PTO.],$B87,DATOS_[Check Periodo Ref.],"Dentro",DATOS_[id],DATOS_[id]))))))</f>
        <v>0</v>
      </c>
      <c r="D89" s="47">
        <f>COUNTIFS(DATOS_[AGRUP. VALOR. PTO.],$B87,DATOS_[Sexo],$B89,DATOS_[Check Periodo Ref.],"Dentro")</f>
        <v>0</v>
      </c>
      <c r="E89" s="92">
        <f t="array" ref="E89">IFERROR(
AVERAGE(IF(DATOS_[Sexo]=$B89,IF(DATOS_[AGRUP. VALOR. PTO.]=$B87,IF(DATOS_[Check Periodo Ref.]="Dentro",DATOS_[SALARIO BASE Ef],FALSE)))),
0)</f>
        <v>0</v>
      </c>
      <c r="F89" s="93">
        <f t="array" ref="F89">IFERROR(
AVERAGE((IF(DATOS_[[Sexo]:[Sexo]]=$B89,IF(DATOS_[[AGRUP. VALOR. PTO.]:[AGRUP. VALOR. PTO.]]=$B87,IF(DATOS_[[Check Periodo Ref.]:[Check Periodo Ref.]]="Dentro",DATOS_[Conc.Sal.01]))))),
0)</f>
        <v>0</v>
      </c>
      <c r="G89" s="93">
        <f t="array" ref="G89">IFERROR(
AVERAGE((IF(DATOS_[[Sexo]:[Sexo]]=$B89,IF(DATOS_[[AGRUP. VALOR. PTO.]:[AGRUP. VALOR. PTO.]]=$B87,IF(DATOS_[[Check Periodo Ref.]:[Check Periodo Ref.]]="Dentro",DATOS_[Conc.Sal.02]))))),
0)</f>
        <v>0</v>
      </c>
      <c r="H89" s="93">
        <f t="array" ref="H89">IFERROR(
AVERAGE((IF(DATOS_[[Sexo]:[Sexo]]=$B89,IF(DATOS_[[AGRUP. VALOR. PTO.]:[AGRUP. VALOR. PTO.]]=$B87,IF(DATOS_[[Check Periodo Ref.]:[Check Periodo Ref.]]="Dentro",DATOS_[Conc.Sal.03]))))),
0)</f>
        <v>0</v>
      </c>
      <c r="I89" s="93">
        <f t="array" ref="I89">IFERROR(
AVERAGE((IF(DATOS_[[Sexo]:[Sexo]]=$B89,IF(DATOS_[[AGRUP. VALOR. PTO.]:[AGRUP. VALOR. PTO.]]=$B87,IF(DATOS_[[Check Periodo Ref.]:[Check Periodo Ref.]]="Dentro",DATOS_[Conc.Sal.04]))))),
0)</f>
        <v>0</v>
      </c>
      <c r="J89" s="93">
        <f t="array" ref="J89">IFERROR(
AVERAGE((IF(DATOS_[[Sexo]:[Sexo]]=$B89,IF(DATOS_[[AGRUP. VALOR. PTO.]:[AGRUP. VALOR. PTO.]]=$B87,IF(DATOS_[[Check Periodo Ref.]:[Check Periodo Ref.]]="Dentro",DATOS_[Conc.Sal.05]))))),
0)</f>
        <v>0</v>
      </c>
      <c r="K89" s="93">
        <f t="array" ref="K89">IFERROR(
AVERAGE((IF(DATOS_[[Sexo]:[Sexo]]=$B89,IF(DATOS_[[AGRUP. VALOR. PTO.]:[AGRUP. VALOR. PTO.]]=$B87,IF(DATOS_[[Check Periodo Ref.]:[Check Periodo Ref.]]="Dentro",DATOS_[Conc.Sal.06]))))),
0)</f>
        <v>0</v>
      </c>
      <c r="L89" s="93">
        <f t="array" ref="L89">IFERROR(
AVERAGE((IF(DATOS_[[Sexo]:[Sexo]]=$B89,IF(DATOS_[[AGRUP. VALOR. PTO.]:[AGRUP. VALOR. PTO.]]=$B87,IF(DATOS_[[Check Periodo Ref.]:[Check Periodo Ref.]]="Dentro",DATOS_[Conc.Sal.07]))))),
0)</f>
        <v>0</v>
      </c>
      <c r="M89" s="93">
        <f t="array" ref="M89">IFERROR(
AVERAGE((IF(DATOS_[[Sexo]:[Sexo]]=$B89,IF(DATOS_[[AGRUP. VALOR. PTO.]:[AGRUP. VALOR. PTO.]]=$B87,IF(DATOS_[[Check Periodo Ref.]:[Check Periodo Ref.]]="Dentro",DATOS_[Conc.Sal.08]))))),
0)</f>
        <v>0</v>
      </c>
      <c r="N89" s="93">
        <f t="array" ref="N89">IFERROR(
AVERAGE((IF(DATOS_[[Sexo]:[Sexo]]=$B89,IF(DATOS_[[AGRUP. VALOR. PTO.]:[AGRUP. VALOR. PTO.]]=$B87,IF(DATOS_[[Check Periodo Ref.]:[Check Periodo Ref.]]="Dentro",DATOS_[Conc.Sal.09]))))),
0)</f>
        <v>0</v>
      </c>
      <c r="O89" s="93">
        <f t="array" ref="O89">IFERROR(
AVERAGE((IF(DATOS_[[Sexo]:[Sexo]]=$B89,IF(DATOS_[[AGRUP. VALOR. PTO.]:[AGRUP. VALOR. PTO.]]=$B87,IF(DATOS_[[Check Periodo Ref.]:[Check Periodo Ref.]]="Dentro",DATOS_[Conc.Sal.10]))))),
0)</f>
        <v>0</v>
      </c>
      <c r="P89" s="93">
        <f t="array" ref="P89">IFERROR(
AVERAGE((IF(DATOS_[[Sexo]:[Sexo]]=$B89,IF(DATOS_[[AGRUP. VALOR. PTO.]:[AGRUP. VALOR. PTO.]]=$B87,IF(DATOS_[[Check Periodo Ref.]:[Check Periodo Ref.]]="Dentro",DATOS_[Conc.Sal.11]))))),
0)</f>
        <v>0</v>
      </c>
      <c r="Q89" s="93">
        <f t="array" ref="Q89">IFERROR(
AVERAGE((IF(DATOS_[[Sexo]:[Sexo]]=$B89,IF(DATOS_[[AGRUP. VALOR. PTO.]:[AGRUP. VALOR. PTO.]]=$B87,IF(DATOS_[[Check Periodo Ref.]:[Check Periodo Ref.]]="Dentro",DATOS_[Conc.Sal.12]))))),
0)</f>
        <v>0</v>
      </c>
      <c r="R89" s="93">
        <f t="array" ref="R89">IFERROR(
AVERAGE((IF(DATOS_[[Sexo]:[Sexo]]=$B89,IF(DATOS_[[AGRUP. VALOR. PTO.]:[AGRUP. VALOR. PTO.]]=$B87,IF(DATOS_[[Check Periodo Ref.]:[Check Periodo Ref.]]="Dentro",DATOS_[Conc.Sal.13]))))),
0)</f>
        <v>0</v>
      </c>
      <c r="S89" s="93">
        <f t="array" ref="S89">IFERROR(
AVERAGE((IF(DATOS_[[Sexo]:[Sexo]]=$B89,IF(DATOS_[[AGRUP. VALOR. PTO.]:[AGRUP. VALOR. PTO.]]=$B87,IF(DATOS_[[Check Periodo Ref.]:[Check Periodo Ref.]]="Dentro",DATOS_[Conc.Sal.14]))))),
0)</f>
        <v>0</v>
      </c>
      <c r="T89" s="93">
        <f t="array" ref="T89">IFERROR(
AVERAGE((IF(DATOS_[[Sexo]:[Sexo]]=$B89,IF(DATOS_[[AGRUP. VALOR. PTO.]:[AGRUP. VALOR. PTO.]]=$B87,IF(DATOS_[[Check Periodo Ref.]:[Check Periodo Ref.]]="Dentro",DATOS_[Conc.Sal.15]))))),
0)</f>
        <v>0</v>
      </c>
      <c r="U89" s="93">
        <f t="array" ref="U89">IFERROR(
AVERAGE((IF(DATOS_[[Sexo]:[Sexo]]=$B89,IF(DATOS_[[AGRUP. VALOR. PTO.]:[AGRUP. VALOR. PTO.]]=$B87,IF(DATOS_[[Check Periodo Ref.]:[Check Periodo Ref.]]="Dentro",DATOS_[Conc.Sal.16]))))),
0)</f>
        <v>0</v>
      </c>
      <c r="V89" s="93">
        <f t="array" ref="V89">IFERROR(
AVERAGE((IF(DATOS_[[Sexo]:[Sexo]]=$B89,IF(DATOS_[[AGRUP. VALOR. PTO.]:[AGRUP. VALOR. PTO.]]=$B87,IF(DATOS_[[Check Periodo Ref.]:[Check Periodo Ref.]]="Dentro",DATOS_[Conc.Sal.17]))))),
0)</f>
        <v>0</v>
      </c>
      <c r="W89" s="93">
        <f t="array" ref="W89">IFERROR(
AVERAGE((IF(DATOS_[[Sexo]:[Sexo]]=$B89,IF(DATOS_[[AGRUP. VALOR. PTO.]:[AGRUP. VALOR. PTO.]]=$B87,IF(DATOS_[[Check Periodo Ref.]:[Check Periodo Ref.]]="Dentro",DATOS_[Conc.Sal.18]))))),
0)</f>
        <v>0</v>
      </c>
      <c r="X89" s="93">
        <f t="array" ref="X89">IFERROR(
AVERAGE((IF(DATOS_[[Sexo]:[Sexo]]=$B89,IF(DATOS_[[AGRUP. VALOR. PTO.]:[AGRUP. VALOR. PTO.]]=$B87,IF(DATOS_[[Check Periodo Ref.]:[Check Periodo Ref.]]="Dentro",DATOS_[Conc.Sal.19]))))),
0)</f>
        <v>0</v>
      </c>
      <c r="Y89" s="93">
        <f t="array" ref="Y89">IFERROR(
AVERAGE((IF(DATOS_[[Sexo]:[Sexo]]=$B89,IF(DATOS_[[AGRUP. VALOR. PTO.]:[AGRUP. VALOR. PTO.]]=$B87,IF(DATOS_[[Check Periodo Ref.]:[Check Periodo Ref.]]="Dentro",DATOS_[Conc.Sal.20]))))),
0)</f>
        <v>0</v>
      </c>
      <c r="Z89" s="93">
        <f t="array" ref="Z89">IFERROR(
AVERAGE((IF(DATOS_[[Sexo]:[Sexo]]=$B89,IF(DATOS_[[AGRUP. VALOR. PTO.]:[AGRUP. VALOR. PTO.]]=$B87,IF(DATOS_[[Check Periodo Ref.]:[Check Periodo Ref.]]="Dentro",DATOS_[Conc.Sal.21]))))),
0)</f>
        <v>0</v>
      </c>
      <c r="AA89" s="93">
        <f t="array" ref="AA89">IFERROR(
AVERAGE((IF(DATOS_[[Sexo]:[Sexo]]=$B89,IF(DATOS_[[AGRUP. VALOR. PTO.]:[AGRUP. VALOR. PTO.]]=$B87,IF(DATOS_[[Check Periodo Ref.]:[Check Periodo Ref.]]="Dentro",DATOS_[Conc.Sal.22]))))),
0)</f>
        <v>0</v>
      </c>
      <c r="AB89" s="93">
        <f t="array" ref="AB89">IFERROR(
AVERAGE((IF(DATOS_[[Sexo]:[Sexo]]=$B89,IF(DATOS_[[AGRUP. VALOR. PTO.]:[AGRUP. VALOR. PTO.]]=$B87,IF(DATOS_[[Check Periodo Ref.]:[Check Periodo Ref.]]="Dentro",DATOS_[Conc.Sal.23]))))),
0)</f>
        <v>0</v>
      </c>
      <c r="AC89" s="93">
        <f t="array" ref="AC89">IFERROR(
AVERAGE((IF(DATOS_[[Sexo]:[Sexo]]=$B89,IF(DATOS_[[AGRUP. VALOR. PTO.]:[AGRUP. VALOR. PTO.]]=$B87,IF(DATOS_[[Check Periodo Ref.]:[Check Periodo Ref.]]="Dentro",DATOS_[Conc.Sal.24]))))),
0)</f>
        <v>0</v>
      </c>
      <c r="AD89" s="93">
        <f t="array" ref="AD89">IFERROR(
AVERAGE((IF(DATOS_[[Sexo]:[Sexo]]=$B89,IF(DATOS_[[AGRUP. VALOR. PTO.]:[AGRUP. VALOR. PTO.]]=$B87,IF(DATOS_[[Check Periodo Ref.]:[Check Periodo Ref.]]="Dentro",DATOS_[Conc.Sal.25]))))),
0)</f>
        <v>0</v>
      </c>
      <c r="AE89" s="93">
        <f t="array" ref="AE89">IFERROR(
AVERAGE((IF(DATOS_[[Sexo]:[Sexo]]=$B89,IF(DATOS_[[AGRUP. VALOR. PTO.]:[AGRUP. VALOR. PTO.]]=$B87,IF(DATOS_[[Check Periodo Ref.]:[Check Periodo Ref.]]="Dentro",DATOS_[Conc.Sal.26]))))),
0)</f>
        <v>0</v>
      </c>
      <c r="AF89" s="93">
        <f t="array" ref="AF89">IFERROR(
AVERAGE((IF(DATOS_[[Sexo]:[Sexo]]=$B89,IF(DATOS_[[AGRUP. VALOR. PTO.]:[AGRUP. VALOR. PTO.]]=$B87,IF(DATOS_[[Check Periodo Ref.]:[Check Periodo Ref.]]="Dentro",DATOS_[Conc.Sal.27]))))),
0)</f>
        <v>0</v>
      </c>
      <c r="AG89" s="93">
        <f t="array" ref="AG89">IFERROR(
AVERAGE((IF(DATOS_[[Sexo]:[Sexo]]=$B89,IF(DATOS_[[AGRUP. VALOR. PTO.]:[AGRUP. VALOR. PTO.]]=$B87,IF(DATOS_[[Check Periodo Ref.]:[Check Periodo Ref.]]="Dentro",DATOS_[Conc.Sal.28]))))),
0)</f>
        <v>0</v>
      </c>
      <c r="AH89" s="93">
        <f t="array" ref="AH89">IFERROR(
AVERAGE((IF(DATOS_[[Sexo]:[Sexo]]=$B89,IF(DATOS_[[AGRUP. VALOR. PTO.]:[AGRUP. VALOR. PTO.]]=$B87,IF(DATOS_[[Check Periodo Ref.]:[Check Periodo Ref.]]="Dentro",DATOS_[Conc.Sal.29]))))),
0)</f>
        <v>0</v>
      </c>
      <c r="AI89" s="93">
        <f t="array" ref="AI89">IFERROR(
AVERAGE((IF(DATOS_[[Sexo]:[Sexo]]=$B89,IF(DATOS_[[AGRUP. VALOR. PTO.]:[AGRUP. VALOR. PTO.]]=$B87,IF(DATOS_[[Check Periodo Ref.]:[Check Periodo Ref.]]="Dentro",DATOS_[Conc.Sal.30]))))),
0)</f>
        <v>0</v>
      </c>
      <c r="AJ89" s="94">
        <f t="array" ref="AJ89">IFERROR(
AVERAGE(IF(DATOS_[Sexo]=$B89,IF(DATOS_[AGRUP. VALOR. PTO.]=$B87,IF(DATOS_[Check Periodo Ref.]="Dentro",DATOS_[Tot COMPL.SAL Ef],FALSE)))),
0)</f>
        <v>0</v>
      </c>
      <c r="AK89" s="96">
        <f t="array" ref="AK89">IFERROR(
AVERAGE(IF(DATOS_[Sexo]=$B89,IF(DATOS_[AGRUP. VALOR. PTO.]=$B87,IF(DATOS_[Check Periodo Ref.]="Dentro",DATOS_[TOTAL SALARIO Ef],FALSE)))),
0)</f>
        <v>0</v>
      </c>
      <c r="AL89" s="95">
        <f t="array" ref="AL89">IFERROR(
AVERAGE((IF(DATOS_[[Sexo]:[Sexo]]=$B89,IF(DATOS_[[AGRUP. VALOR. PTO.]:[AGRUP. VALOR. PTO.]]=$B87,IF(DATOS_[[Check Periodo Ref.]:[Check Periodo Ref.]]="Dentro",DATOS_[C.Extra.01]))))),
0)</f>
        <v>0</v>
      </c>
      <c r="AM89" s="95">
        <f t="array" ref="AM89">IFERROR(
AVERAGE((IF(DATOS_[[Sexo]:[Sexo]]=$B89,IF(DATOS_[[AGRUP. VALOR. PTO.]:[AGRUP. VALOR. PTO.]]=$B87,IF(DATOS_[[Check Periodo Ref.]:[Check Periodo Ref.]]="Dentro",DATOS_[C.Extra.02]))))),
0)</f>
        <v>0</v>
      </c>
      <c r="AN89" s="95">
        <f t="array" ref="AN89">IFERROR(
AVERAGE((IF(DATOS_[[Sexo]:[Sexo]]=$B89,IF(DATOS_[[AGRUP. VALOR. PTO.]:[AGRUP. VALOR. PTO.]]=$B87,IF(DATOS_[[Check Periodo Ref.]:[Check Periodo Ref.]]="Dentro",DATOS_[C.Extra.03]))))),
0)</f>
        <v>0</v>
      </c>
      <c r="AO89" s="95">
        <f t="array" ref="AO89">IFERROR(
AVERAGE((IF(DATOS_[[Sexo]:[Sexo]]=$B89,IF(DATOS_[[AGRUP. VALOR. PTO.]:[AGRUP. VALOR. PTO.]]=$B87,IF(DATOS_[[Check Periodo Ref.]:[Check Periodo Ref.]]="Dentro",DATOS_[C.Extra.04]))))),
0)</f>
        <v>0</v>
      </c>
      <c r="AP89" s="95">
        <f t="array" ref="AP89">IFERROR(
AVERAGE((IF(DATOS_[[Sexo]:[Sexo]]=$B89,IF(DATOS_[[AGRUP. VALOR. PTO.]:[AGRUP. VALOR. PTO.]]=$B87,IF(DATOS_[[Check Periodo Ref.]:[Check Periodo Ref.]]="Dentro",DATOS_[C.Extra.05]))))),
0)</f>
        <v>0</v>
      </c>
      <c r="AQ89" s="97">
        <f t="array" ref="AQ89">IFERROR(
AVERAGE(IF(DATOS_[Sexo]=$B89,IF(DATOS_[AGRUP. VALOR. PTO.]=$B87,IF(DATOS_[Check Periodo Ref.]="Dentro",DATOS_[Tot Extrasalarial Ef],FALSE)))),
0)</f>
        <v>0</v>
      </c>
      <c r="AR89" s="98">
        <f t="array" ref="AR89">IFERROR(
AVERAGE(IF(DATOS_[Sexo]=$B89,IF(DATOS_[AGRUP. VALOR. PTO.]=$B87,IF(DATOS_[Check Periodo Ref.]="Dentro",DATOS_[TOTAL Retrib Ef],FALSE)))),
0)</f>
        <v>0</v>
      </c>
    </row>
    <row r="90" spans="1:44" ht="17.25" hidden="1" thickBot="1" x14ac:dyDescent="0.35">
      <c r="A90" s="48" t="str">
        <f t="shared" ref="A90" si="103">+A91</f>
        <v>[ocultar]</v>
      </c>
      <c r="B90" s="51" t="s">
        <v>285</v>
      </c>
      <c r="C90" s="91"/>
      <c r="D90" s="52"/>
      <c r="E90" s="139" t="str">
        <f t="shared" ref="E90:AR90" si="104">IFERROR((E91-E92)/E91,"")</f>
        <v/>
      </c>
      <c r="F90" s="179" t="str">
        <f t="shared" si="104"/>
        <v/>
      </c>
      <c r="G90" s="180" t="str">
        <f t="shared" si="104"/>
        <v/>
      </c>
      <c r="H90" s="180" t="str">
        <f t="shared" si="104"/>
        <v/>
      </c>
      <c r="I90" s="180" t="str">
        <f t="shared" si="104"/>
        <v/>
      </c>
      <c r="J90" s="181" t="str">
        <f t="shared" si="104"/>
        <v/>
      </c>
      <c r="K90" s="182" t="str">
        <f t="shared" si="104"/>
        <v/>
      </c>
      <c r="L90" s="182" t="str">
        <f t="shared" si="104"/>
        <v/>
      </c>
      <c r="M90" s="182" t="str">
        <f t="shared" si="104"/>
        <v/>
      </c>
      <c r="N90" s="182" t="str">
        <f t="shared" si="104"/>
        <v/>
      </c>
      <c r="O90" s="182" t="str">
        <f t="shared" si="104"/>
        <v/>
      </c>
      <c r="P90" s="182" t="str">
        <f t="shared" si="104"/>
        <v/>
      </c>
      <c r="Q90" s="182" t="str">
        <f t="shared" si="104"/>
        <v/>
      </c>
      <c r="R90" s="182" t="str">
        <f t="shared" si="104"/>
        <v/>
      </c>
      <c r="S90" s="182" t="str">
        <f t="shared" si="104"/>
        <v/>
      </c>
      <c r="T90" s="182" t="str">
        <f t="shared" si="104"/>
        <v/>
      </c>
      <c r="U90" s="182" t="str">
        <f t="shared" si="104"/>
        <v/>
      </c>
      <c r="V90" s="181" t="str">
        <f t="shared" si="104"/>
        <v/>
      </c>
      <c r="W90" s="181" t="str">
        <f t="shared" si="104"/>
        <v/>
      </c>
      <c r="X90" s="181" t="str">
        <f t="shared" si="104"/>
        <v/>
      </c>
      <c r="Y90" s="181" t="str">
        <f t="shared" si="104"/>
        <v/>
      </c>
      <c r="Z90" s="181" t="str">
        <f t="shared" si="104"/>
        <v/>
      </c>
      <c r="AA90" s="181" t="str">
        <f t="shared" si="104"/>
        <v/>
      </c>
      <c r="AB90" s="181" t="str">
        <f t="shared" si="104"/>
        <v/>
      </c>
      <c r="AC90" s="181" t="str">
        <f t="shared" si="104"/>
        <v/>
      </c>
      <c r="AD90" s="181" t="str">
        <f t="shared" si="104"/>
        <v/>
      </c>
      <c r="AE90" s="181" t="str">
        <f t="shared" si="104"/>
        <v/>
      </c>
      <c r="AF90" s="181" t="str">
        <f t="shared" si="104"/>
        <v/>
      </c>
      <c r="AG90" s="181" t="str">
        <f t="shared" si="104"/>
        <v/>
      </c>
      <c r="AH90" s="181" t="str">
        <f t="shared" si="104"/>
        <v/>
      </c>
      <c r="AI90" s="181" t="str">
        <f t="shared" si="104"/>
        <v/>
      </c>
      <c r="AJ90" s="140" t="str">
        <f t="shared" si="104"/>
        <v/>
      </c>
      <c r="AK90" s="143" t="str">
        <f t="shared" si="104"/>
        <v/>
      </c>
      <c r="AL90" s="184" t="str">
        <f t="shared" si="104"/>
        <v/>
      </c>
      <c r="AM90" s="184" t="str">
        <f t="shared" si="104"/>
        <v/>
      </c>
      <c r="AN90" s="184" t="str">
        <f t="shared" si="104"/>
        <v/>
      </c>
      <c r="AO90" s="184" t="str">
        <f t="shared" si="104"/>
        <v/>
      </c>
      <c r="AP90" s="184" t="str">
        <f t="shared" si="104"/>
        <v/>
      </c>
      <c r="AQ90" s="141" t="str">
        <f t="shared" si="104"/>
        <v/>
      </c>
      <c r="AR90" s="142" t="str">
        <f t="shared" si="104"/>
        <v/>
      </c>
    </row>
    <row r="91" spans="1:44" hidden="1" x14ac:dyDescent="0.3">
      <c r="A91" s="48" t="str">
        <f t="shared" ref="A91" si="105">+IF(C91+C92=0,"[ocultar]","")</f>
        <v>[ocultar]</v>
      </c>
      <c r="B91" s="46" t="s">
        <v>162</v>
      </c>
      <c r="C91" s="45">
        <f t="array" ref="C91">SUM(IF($B91=DATOS_[Sexo],
IF($B90=DATOS_[AGRUP. VALOR. PTO.],
IF("Dentro"=DATOS_[Check Periodo Ref.],
1/(COUNTIFS(DATOS_[Sexo],$B91,DATOS_[AGRUP. VALOR. PTO.],$B90,DATOS_[Check Periodo Ref.],"Dentro",DATOS_[id],DATOS_[id]))))))</f>
        <v>0</v>
      </c>
      <c r="D91" s="47">
        <f>COUNTIFS(DATOS_[AGRUP. VALOR. PTO.],$B90,DATOS_[Sexo],$B91,DATOS_[Check Periodo Ref.],"Dentro")</f>
        <v>0</v>
      </c>
      <c r="E91" s="92">
        <f t="array" ref="E91">IFERROR(
AVERAGE(IF(DATOS_[Sexo]=$B91,IF(DATOS_[AGRUP. VALOR. PTO.]=$B90,IF(DATOS_[Check Periodo Ref.]="Dentro",DATOS_[SALARIO BASE Ef],FALSE)))),
0)</f>
        <v>0</v>
      </c>
      <c r="F91" s="93">
        <f t="array" ref="F91">IFERROR(
AVERAGE((IF(DATOS_[[Sexo]:[Sexo]]=$B91,IF(DATOS_[[AGRUP. VALOR. PTO.]:[AGRUP. VALOR. PTO.]]=$B90,IF(DATOS_[[Check Periodo Ref.]:[Check Periodo Ref.]]="Dentro",DATOS_[Conc.Sal.01]))))),
0)</f>
        <v>0</v>
      </c>
      <c r="G91" s="93">
        <f t="array" ref="G91">IFERROR(
AVERAGE((IF(DATOS_[[Sexo]:[Sexo]]=$B91,IF(DATOS_[[AGRUP. VALOR. PTO.]:[AGRUP. VALOR. PTO.]]=$B90,IF(DATOS_[[Check Periodo Ref.]:[Check Periodo Ref.]]="Dentro",DATOS_[Conc.Sal.02]))))),
0)</f>
        <v>0</v>
      </c>
      <c r="H91" s="93">
        <f t="array" ref="H91">IFERROR(
AVERAGE((IF(DATOS_[[Sexo]:[Sexo]]=$B91,IF(DATOS_[[AGRUP. VALOR. PTO.]:[AGRUP. VALOR. PTO.]]=$B90,IF(DATOS_[[Check Periodo Ref.]:[Check Periodo Ref.]]="Dentro",DATOS_[Conc.Sal.03]))))),
0)</f>
        <v>0</v>
      </c>
      <c r="I91" s="93">
        <f t="array" ref="I91">IFERROR(
AVERAGE((IF(DATOS_[[Sexo]:[Sexo]]=$B91,IF(DATOS_[[AGRUP. VALOR. PTO.]:[AGRUP. VALOR. PTO.]]=$B90,IF(DATOS_[[Check Periodo Ref.]:[Check Periodo Ref.]]="Dentro",DATOS_[Conc.Sal.04]))))),
0)</f>
        <v>0</v>
      </c>
      <c r="J91" s="93">
        <f t="array" ref="J91">IFERROR(
AVERAGE((IF(DATOS_[[Sexo]:[Sexo]]=$B91,IF(DATOS_[[AGRUP. VALOR. PTO.]:[AGRUP. VALOR. PTO.]]=$B90,IF(DATOS_[[Check Periodo Ref.]:[Check Periodo Ref.]]="Dentro",DATOS_[Conc.Sal.05]))))),
0)</f>
        <v>0</v>
      </c>
      <c r="K91" s="93">
        <f t="array" ref="K91">IFERROR(
AVERAGE((IF(DATOS_[[Sexo]:[Sexo]]=$B91,IF(DATOS_[[AGRUP. VALOR. PTO.]:[AGRUP. VALOR. PTO.]]=$B90,IF(DATOS_[[Check Periodo Ref.]:[Check Periodo Ref.]]="Dentro",DATOS_[Conc.Sal.06]))))),
0)</f>
        <v>0</v>
      </c>
      <c r="L91" s="93">
        <f t="array" ref="L91">IFERROR(
AVERAGE((IF(DATOS_[[Sexo]:[Sexo]]=$B91,IF(DATOS_[[AGRUP. VALOR. PTO.]:[AGRUP. VALOR. PTO.]]=$B90,IF(DATOS_[[Check Periodo Ref.]:[Check Periodo Ref.]]="Dentro",DATOS_[Conc.Sal.07]))))),
0)</f>
        <v>0</v>
      </c>
      <c r="M91" s="93">
        <f t="array" ref="M91">IFERROR(
AVERAGE((IF(DATOS_[[Sexo]:[Sexo]]=$B91,IF(DATOS_[[AGRUP. VALOR. PTO.]:[AGRUP. VALOR. PTO.]]=$B90,IF(DATOS_[[Check Periodo Ref.]:[Check Periodo Ref.]]="Dentro",DATOS_[Conc.Sal.08]))))),
0)</f>
        <v>0</v>
      </c>
      <c r="N91" s="93">
        <f t="array" ref="N91">IFERROR(
AVERAGE((IF(DATOS_[[Sexo]:[Sexo]]=$B91,IF(DATOS_[[AGRUP. VALOR. PTO.]:[AGRUP. VALOR. PTO.]]=$B90,IF(DATOS_[[Check Periodo Ref.]:[Check Periodo Ref.]]="Dentro",DATOS_[Conc.Sal.09]))))),
0)</f>
        <v>0</v>
      </c>
      <c r="O91" s="93">
        <f t="array" ref="O91">IFERROR(
AVERAGE((IF(DATOS_[[Sexo]:[Sexo]]=$B91,IF(DATOS_[[AGRUP. VALOR. PTO.]:[AGRUP. VALOR. PTO.]]=$B90,IF(DATOS_[[Check Periodo Ref.]:[Check Periodo Ref.]]="Dentro",DATOS_[Conc.Sal.10]))))),
0)</f>
        <v>0</v>
      </c>
      <c r="P91" s="93">
        <f t="array" ref="P91">IFERROR(
AVERAGE((IF(DATOS_[[Sexo]:[Sexo]]=$B91,IF(DATOS_[[AGRUP. VALOR. PTO.]:[AGRUP. VALOR. PTO.]]=$B90,IF(DATOS_[[Check Periodo Ref.]:[Check Periodo Ref.]]="Dentro",DATOS_[Conc.Sal.11]))))),
0)</f>
        <v>0</v>
      </c>
      <c r="Q91" s="93">
        <f t="array" ref="Q91">IFERROR(
AVERAGE((IF(DATOS_[[Sexo]:[Sexo]]=$B91,IF(DATOS_[[AGRUP. VALOR. PTO.]:[AGRUP. VALOR. PTO.]]=$B90,IF(DATOS_[[Check Periodo Ref.]:[Check Periodo Ref.]]="Dentro",DATOS_[Conc.Sal.12]))))),
0)</f>
        <v>0</v>
      </c>
      <c r="R91" s="93">
        <f t="array" ref="R91">IFERROR(
AVERAGE((IF(DATOS_[[Sexo]:[Sexo]]=$B91,IF(DATOS_[[AGRUP. VALOR. PTO.]:[AGRUP. VALOR. PTO.]]=$B90,IF(DATOS_[[Check Periodo Ref.]:[Check Periodo Ref.]]="Dentro",DATOS_[Conc.Sal.13]))))),
0)</f>
        <v>0</v>
      </c>
      <c r="S91" s="93">
        <f t="array" ref="S91">IFERROR(
AVERAGE((IF(DATOS_[[Sexo]:[Sexo]]=$B91,IF(DATOS_[[AGRUP. VALOR. PTO.]:[AGRUP. VALOR. PTO.]]=$B90,IF(DATOS_[[Check Periodo Ref.]:[Check Periodo Ref.]]="Dentro",DATOS_[Conc.Sal.14]))))),
0)</f>
        <v>0</v>
      </c>
      <c r="T91" s="93">
        <f t="array" ref="T91">IFERROR(
AVERAGE((IF(DATOS_[[Sexo]:[Sexo]]=$B91,IF(DATOS_[[AGRUP. VALOR. PTO.]:[AGRUP. VALOR. PTO.]]=$B90,IF(DATOS_[[Check Periodo Ref.]:[Check Periodo Ref.]]="Dentro",DATOS_[Conc.Sal.15]))))),
0)</f>
        <v>0</v>
      </c>
      <c r="U91" s="93">
        <f t="array" ref="U91">IFERROR(
AVERAGE((IF(DATOS_[[Sexo]:[Sexo]]=$B91,IF(DATOS_[[AGRUP. VALOR. PTO.]:[AGRUP. VALOR. PTO.]]=$B90,IF(DATOS_[[Check Periodo Ref.]:[Check Periodo Ref.]]="Dentro",DATOS_[Conc.Sal.16]))))),
0)</f>
        <v>0</v>
      </c>
      <c r="V91" s="93">
        <f t="array" ref="V91">IFERROR(
AVERAGE((IF(DATOS_[[Sexo]:[Sexo]]=$B91,IF(DATOS_[[AGRUP. VALOR. PTO.]:[AGRUP. VALOR. PTO.]]=$B90,IF(DATOS_[[Check Periodo Ref.]:[Check Periodo Ref.]]="Dentro",DATOS_[Conc.Sal.17]))))),
0)</f>
        <v>0</v>
      </c>
      <c r="W91" s="93">
        <f t="array" ref="W91">IFERROR(
AVERAGE((IF(DATOS_[[Sexo]:[Sexo]]=$B91,IF(DATOS_[[AGRUP. VALOR. PTO.]:[AGRUP. VALOR. PTO.]]=$B90,IF(DATOS_[[Check Periodo Ref.]:[Check Periodo Ref.]]="Dentro",DATOS_[Conc.Sal.18]))))),
0)</f>
        <v>0</v>
      </c>
      <c r="X91" s="93">
        <f t="array" ref="X91">IFERROR(
AVERAGE((IF(DATOS_[[Sexo]:[Sexo]]=$B91,IF(DATOS_[[AGRUP. VALOR. PTO.]:[AGRUP. VALOR. PTO.]]=$B90,IF(DATOS_[[Check Periodo Ref.]:[Check Periodo Ref.]]="Dentro",DATOS_[Conc.Sal.19]))))),
0)</f>
        <v>0</v>
      </c>
      <c r="Y91" s="93">
        <f t="array" ref="Y91">IFERROR(
AVERAGE((IF(DATOS_[[Sexo]:[Sexo]]=$B91,IF(DATOS_[[AGRUP. VALOR. PTO.]:[AGRUP. VALOR. PTO.]]=$B90,IF(DATOS_[[Check Periodo Ref.]:[Check Periodo Ref.]]="Dentro",DATOS_[Conc.Sal.20]))))),
0)</f>
        <v>0</v>
      </c>
      <c r="Z91" s="93">
        <f t="array" ref="Z91">IFERROR(
AVERAGE((IF(DATOS_[[Sexo]:[Sexo]]=$B91,IF(DATOS_[[AGRUP. VALOR. PTO.]:[AGRUP. VALOR. PTO.]]=$B90,IF(DATOS_[[Check Periodo Ref.]:[Check Periodo Ref.]]="Dentro",DATOS_[Conc.Sal.21]))))),
0)</f>
        <v>0</v>
      </c>
      <c r="AA91" s="93">
        <f t="array" ref="AA91">IFERROR(
AVERAGE((IF(DATOS_[[Sexo]:[Sexo]]=$B91,IF(DATOS_[[AGRUP. VALOR. PTO.]:[AGRUP. VALOR. PTO.]]=$B90,IF(DATOS_[[Check Periodo Ref.]:[Check Periodo Ref.]]="Dentro",DATOS_[Conc.Sal.22]))))),
0)</f>
        <v>0</v>
      </c>
      <c r="AB91" s="93">
        <f t="array" ref="AB91">IFERROR(
AVERAGE((IF(DATOS_[[Sexo]:[Sexo]]=$B91,IF(DATOS_[[AGRUP. VALOR. PTO.]:[AGRUP. VALOR. PTO.]]=$B90,IF(DATOS_[[Check Periodo Ref.]:[Check Periodo Ref.]]="Dentro",DATOS_[Conc.Sal.23]))))),
0)</f>
        <v>0</v>
      </c>
      <c r="AC91" s="93">
        <f t="array" ref="AC91">IFERROR(
AVERAGE((IF(DATOS_[[Sexo]:[Sexo]]=$B91,IF(DATOS_[[AGRUP. VALOR. PTO.]:[AGRUP. VALOR. PTO.]]=$B90,IF(DATOS_[[Check Periodo Ref.]:[Check Periodo Ref.]]="Dentro",DATOS_[Conc.Sal.24]))))),
0)</f>
        <v>0</v>
      </c>
      <c r="AD91" s="93">
        <f t="array" ref="AD91">IFERROR(
AVERAGE((IF(DATOS_[[Sexo]:[Sexo]]=$B91,IF(DATOS_[[AGRUP. VALOR. PTO.]:[AGRUP. VALOR. PTO.]]=$B90,IF(DATOS_[[Check Periodo Ref.]:[Check Periodo Ref.]]="Dentro",DATOS_[Conc.Sal.25]))))),
0)</f>
        <v>0</v>
      </c>
      <c r="AE91" s="93">
        <f t="array" ref="AE91">IFERROR(
AVERAGE((IF(DATOS_[[Sexo]:[Sexo]]=$B91,IF(DATOS_[[AGRUP. VALOR. PTO.]:[AGRUP. VALOR. PTO.]]=$B90,IF(DATOS_[[Check Periodo Ref.]:[Check Periodo Ref.]]="Dentro",DATOS_[Conc.Sal.26]))))),
0)</f>
        <v>0</v>
      </c>
      <c r="AF91" s="93">
        <f t="array" ref="AF91">IFERROR(
AVERAGE((IF(DATOS_[[Sexo]:[Sexo]]=$B91,IF(DATOS_[[AGRUP. VALOR. PTO.]:[AGRUP. VALOR. PTO.]]=$B90,IF(DATOS_[[Check Periodo Ref.]:[Check Periodo Ref.]]="Dentro",DATOS_[Conc.Sal.27]))))),
0)</f>
        <v>0</v>
      </c>
      <c r="AG91" s="93">
        <f t="array" ref="AG91">IFERROR(
AVERAGE((IF(DATOS_[[Sexo]:[Sexo]]=$B91,IF(DATOS_[[AGRUP. VALOR. PTO.]:[AGRUP. VALOR. PTO.]]=$B90,IF(DATOS_[[Check Periodo Ref.]:[Check Periodo Ref.]]="Dentro",DATOS_[Conc.Sal.28]))))),
0)</f>
        <v>0</v>
      </c>
      <c r="AH91" s="93">
        <f t="array" ref="AH91">IFERROR(
AVERAGE((IF(DATOS_[[Sexo]:[Sexo]]=$B91,IF(DATOS_[[AGRUP. VALOR. PTO.]:[AGRUP. VALOR. PTO.]]=$B90,IF(DATOS_[[Check Periodo Ref.]:[Check Periodo Ref.]]="Dentro",DATOS_[Conc.Sal.29]))))),
0)</f>
        <v>0</v>
      </c>
      <c r="AI91" s="93">
        <f t="array" ref="AI91">IFERROR(
AVERAGE((IF(DATOS_[[Sexo]:[Sexo]]=$B91,IF(DATOS_[[AGRUP. VALOR. PTO.]:[AGRUP. VALOR. PTO.]]=$B90,IF(DATOS_[[Check Periodo Ref.]:[Check Periodo Ref.]]="Dentro",DATOS_[Conc.Sal.30]))))),
0)</f>
        <v>0</v>
      </c>
      <c r="AJ91" s="94">
        <f t="array" ref="AJ91">IFERROR(
AVERAGE(IF(DATOS_[Sexo]=$B91,IF(DATOS_[AGRUP. VALOR. PTO.]=$B90,IF(DATOS_[Check Periodo Ref.]="Dentro",DATOS_[Tot COMPL.SAL Ef],FALSE)))),
0)</f>
        <v>0</v>
      </c>
      <c r="AK91" s="96">
        <f t="array" ref="AK91">IFERROR(
AVERAGE(IF(DATOS_[Sexo]=$B91,IF(DATOS_[AGRUP. VALOR. PTO.]=$B90,IF(DATOS_[Check Periodo Ref.]="Dentro",DATOS_[TOTAL SALARIO Ef],FALSE)))),
0)</f>
        <v>0</v>
      </c>
      <c r="AL91" s="95">
        <f t="array" ref="AL91">IFERROR(
AVERAGE((IF(DATOS_[[Sexo]:[Sexo]]=$B91,IF(DATOS_[[AGRUP. VALOR. PTO.]:[AGRUP. VALOR. PTO.]]=$B90,IF(DATOS_[[Check Periodo Ref.]:[Check Periodo Ref.]]="Dentro",DATOS_[C.Extra.01]))))),
0)</f>
        <v>0</v>
      </c>
      <c r="AM91" s="95">
        <f t="array" ref="AM91">IFERROR(
AVERAGE((IF(DATOS_[[Sexo]:[Sexo]]=$B91,IF(DATOS_[[AGRUP. VALOR. PTO.]:[AGRUP. VALOR. PTO.]]=$B90,IF(DATOS_[[Check Periodo Ref.]:[Check Periodo Ref.]]="Dentro",DATOS_[C.Extra.02]))))),
0)</f>
        <v>0</v>
      </c>
      <c r="AN91" s="95">
        <f t="array" ref="AN91">IFERROR(
AVERAGE((IF(DATOS_[[Sexo]:[Sexo]]=$B91,IF(DATOS_[[AGRUP. VALOR. PTO.]:[AGRUP. VALOR. PTO.]]=$B90,IF(DATOS_[[Check Periodo Ref.]:[Check Periodo Ref.]]="Dentro",DATOS_[C.Extra.03]))))),
0)</f>
        <v>0</v>
      </c>
      <c r="AO91" s="95">
        <f t="array" ref="AO91">IFERROR(
AVERAGE((IF(DATOS_[[Sexo]:[Sexo]]=$B91,IF(DATOS_[[AGRUP. VALOR. PTO.]:[AGRUP. VALOR. PTO.]]=$B90,IF(DATOS_[[Check Periodo Ref.]:[Check Periodo Ref.]]="Dentro",DATOS_[C.Extra.04]))))),
0)</f>
        <v>0</v>
      </c>
      <c r="AP91" s="95">
        <f t="array" ref="AP91">IFERROR(
AVERAGE((IF(DATOS_[[Sexo]:[Sexo]]=$B91,IF(DATOS_[[AGRUP. VALOR. PTO.]:[AGRUP. VALOR. PTO.]]=$B90,IF(DATOS_[[Check Periodo Ref.]:[Check Periodo Ref.]]="Dentro",DATOS_[C.Extra.05]))))),
0)</f>
        <v>0</v>
      </c>
      <c r="AQ91" s="97">
        <f t="array" ref="AQ91">IFERROR(
AVERAGE(IF(DATOS_[Sexo]=$B91,IF(DATOS_[AGRUP. VALOR. PTO.]=$B90,IF(DATOS_[Check Periodo Ref.]="Dentro",DATOS_[Tot Extrasalarial Ef],FALSE)))),
0)</f>
        <v>0</v>
      </c>
      <c r="AR91" s="98">
        <f t="array" ref="AR91">IFERROR(
AVERAGE(IF(DATOS_[Sexo]=$B91,IF(DATOS_[AGRUP. VALOR. PTO.]=$B90,IF(DATOS_[Check Periodo Ref.]="Dentro",DATOS_[TOTAL Retrib Ef],FALSE)))),
0)</f>
        <v>0</v>
      </c>
    </row>
    <row r="92" spans="1:44" hidden="1" x14ac:dyDescent="0.3">
      <c r="A92" s="48" t="str">
        <f t="shared" ref="A92" si="106">+A91</f>
        <v>[ocultar]</v>
      </c>
      <c r="B92" s="46" t="s">
        <v>163</v>
      </c>
      <c r="C92" s="45">
        <f t="array" ref="C92">SUM(IF($B92=DATOS_[Sexo],
IF($B90=DATOS_[AGRUP. VALOR. PTO.],
IF("Dentro"=DATOS_[Check Periodo Ref.],
1/(COUNTIFS(DATOS_[Sexo],$B92,DATOS_[AGRUP. VALOR. PTO.],$B90,DATOS_[Check Periodo Ref.],"Dentro",DATOS_[id],DATOS_[id]))))))</f>
        <v>0</v>
      </c>
      <c r="D92" s="47">
        <f>COUNTIFS(DATOS_[AGRUP. VALOR. PTO.],$B90,DATOS_[Sexo],$B92,DATOS_[Check Periodo Ref.],"Dentro")</f>
        <v>0</v>
      </c>
      <c r="E92" s="92">
        <f t="array" ref="E92">IFERROR(
AVERAGE(IF(DATOS_[Sexo]=$B92,IF(DATOS_[AGRUP. VALOR. PTO.]=$B90,IF(DATOS_[Check Periodo Ref.]="Dentro",DATOS_[SALARIO BASE Ef],FALSE)))),
0)</f>
        <v>0</v>
      </c>
      <c r="F92" s="93">
        <f t="array" ref="F92">IFERROR(
AVERAGE((IF(DATOS_[[Sexo]:[Sexo]]=$B92,IF(DATOS_[[AGRUP. VALOR. PTO.]:[AGRUP. VALOR. PTO.]]=$B90,IF(DATOS_[[Check Periodo Ref.]:[Check Periodo Ref.]]="Dentro",DATOS_[Conc.Sal.01]))))),
0)</f>
        <v>0</v>
      </c>
      <c r="G92" s="93">
        <f t="array" ref="G92">IFERROR(
AVERAGE((IF(DATOS_[[Sexo]:[Sexo]]=$B92,IF(DATOS_[[AGRUP. VALOR. PTO.]:[AGRUP. VALOR. PTO.]]=$B90,IF(DATOS_[[Check Periodo Ref.]:[Check Periodo Ref.]]="Dentro",DATOS_[Conc.Sal.02]))))),
0)</f>
        <v>0</v>
      </c>
      <c r="H92" s="93">
        <f t="array" ref="H92">IFERROR(
AVERAGE((IF(DATOS_[[Sexo]:[Sexo]]=$B92,IF(DATOS_[[AGRUP. VALOR. PTO.]:[AGRUP. VALOR. PTO.]]=$B90,IF(DATOS_[[Check Periodo Ref.]:[Check Periodo Ref.]]="Dentro",DATOS_[Conc.Sal.03]))))),
0)</f>
        <v>0</v>
      </c>
      <c r="I92" s="93">
        <f t="array" ref="I92">IFERROR(
AVERAGE((IF(DATOS_[[Sexo]:[Sexo]]=$B92,IF(DATOS_[[AGRUP. VALOR. PTO.]:[AGRUP. VALOR. PTO.]]=$B90,IF(DATOS_[[Check Periodo Ref.]:[Check Periodo Ref.]]="Dentro",DATOS_[Conc.Sal.04]))))),
0)</f>
        <v>0</v>
      </c>
      <c r="J92" s="93">
        <f t="array" ref="J92">IFERROR(
AVERAGE((IF(DATOS_[[Sexo]:[Sexo]]=$B92,IF(DATOS_[[AGRUP. VALOR. PTO.]:[AGRUP. VALOR. PTO.]]=$B90,IF(DATOS_[[Check Periodo Ref.]:[Check Periodo Ref.]]="Dentro",DATOS_[Conc.Sal.05]))))),
0)</f>
        <v>0</v>
      </c>
      <c r="K92" s="93">
        <f t="array" ref="K92">IFERROR(
AVERAGE((IF(DATOS_[[Sexo]:[Sexo]]=$B92,IF(DATOS_[[AGRUP. VALOR. PTO.]:[AGRUP. VALOR. PTO.]]=$B90,IF(DATOS_[[Check Periodo Ref.]:[Check Periodo Ref.]]="Dentro",DATOS_[Conc.Sal.06]))))),
0)</f>
        <v>0</v>
      </c>
      <c r="L92" s="93">
        <f t="array" ref="L92">IFERROR(
AVERAGE((IF(DATOS_[[Sexo]:[Sexo]]=$B92,IF(DATOS_[[AGRUP. VALOR. PTO.]:[AGRUP. VALOR. PTO.]]=$B90,IF(DATOS_[[Check Periodo Ref.]:[Check Periodo Ref.]]="Dentro",DATOS_[Conc.Sal.07]))))),
0)</f>
        <v>0</v>
      </c>
      <c r="M92" s="93">
        <f t="array" ref="M92">IFERROR(
AVERAGE((IF(DATOS_[[Sexo]:[Sexo]]=$B92,IF(DATOS_[[AGRUP. VALOR. PTO.]:[AGRUP. VALOR. PTO.]]=$B90,IF(DATOS_[[Check Periodo Ref.]:[Check Periodo Ref.]]="Dentro",DATOS_[Conc.Sal.08]))))),
0)</f>
        <v>0</v>
      </c>
      <c r="N92" s="93">
        <f t="array" ref="N92">IFERROR(
AVERAGE((IF(DATOS_[[Sexo]:[Sexo]]=$B92,IF(DATOS_[[AGRUP. VALOR. PTO.]:[AGRUP. VALOR. PTO.]]=$B90,IF(DATOS_[[Check Periodo Ref.]:[Check Periodo Ref.]]="Dentro",DATOS_[Conc.Sal.09]))))),
0)</f>
        <v>0</v>
      </c>
      <c r="O92" s="93">
        <f t="array" ref="O92">IFERROR(
AVERAGE((IF(DATOS_[[Sexo]:[Sexo]]=$B92,IF(DATOS_[[AGRUP. VALOR. PTO.]:[AGRUP. VALOR. PTO.]]=$B90,IF(DATOS_[[Check Periodo Ref.]:[Check Periodo Ref.]]="Dentro",DATOS_[Conc.Sal.10]))))),
0)</f>
        <v>0</v>
      </c>
      <c r="P92" s="93">
        <f t="array" ref="P92">IFERROR(
AVERAGE((IF(DATOS_[[Sexo]:[Sexo]]=$B92,IF(DATOS_[[AGRUP. VALOR. PTO.]:[AGRUP. VALOR. PTO.]]=$B90,IF(DATOS_[[Check Periodo Ref.]:[Check Periodo Ref.]]="Dentro",DATOS_[Conc.Sal.11]))))),
0)</f>
        <v>0</v>
      </c>
      <c r="Q92" s="93">
        <f t="array" ref="Q92">IFERROR(
AVERAGE((IF(DATOS_[[Sexo]:[Sexo]]=$B92,IF(DATOS_[[AGRUP. VALOR. PTO.]:[AGRUP. VALOR. PTO.]]=$B90,IF(DATOS_[[Check Periodo Ref.]:[Check Periodo Ref.]]="Dentro",DATOS_[Conc.Sal.12]))))),
0)</f>
        <v>0</v>
      </c>
      <c r="R92" s="93">
        <f t="array" ref="R92">IFERROR(
AVERAGE((IF(DATOS_[[Sexo]:[Sexo]]=$B92,IF(DATOS_[[AGRUP. VALOR. PTO.]:[AGRUP. VALOR. PTO.]]=$B90,IF(DATOS_[[Check Periodo Ref.]:[Check Periodo Ref.]]="Dentro",DATOS_[Conc.Sal.13]))))),
0)</f>
        <v>0</v>
      </c>
      <c r="S92" s="93">
        <f t="array" ref="S92">IFERROR(
AVERAGE((IF(DATOS_[[Sexo]:[Sexo]]=$B92,IF(DATOS_[[AGRUP. VALOR. PTO.]:[AGRUP. VALOR. PTO.]]=$B90,IF(DATOS_[[Check Periodo Ref.]:[Check Periodo Ref.]]="Dentro",DATOS_[Conc.Sal.14]))))),
0)</f>
        <v>0</v>
      </c>
      <c r="T92" s="93">
        <f t="array" ref="T92">IFERROR(
AVERAGE((IF(DATOS_[[Sexo]:[Sexo]]=$B92,IF(DATOS_[[AGRUP. VALOR. PTO.]:[AGRUP. VALOR. PTO.]]=$B90,IF(DATOS_[[Check Periodo Ref.]:[Check Periodo Ref.]]="Dentro",DATOS_[Conc.Sal.15]))))),
0)</f>
        <v>0</v>
      </c>
      <c r="U92" s="93">
        <f t="array" ref="U92">IFERROR(
AVERAGE((IF(DATOS_[[Sexo]:[Sexo]]=$B92,IF(DATOS_[[AGRUP. VALOR. PTO.]:[AGRUP. VALOR. PTO.]]=$B90,IF(DATOS_[[Check Periodo Ref.]:[Check Periodo Ref.]]="Dentro",DATOS_[Conc.Sal.16]))))),
0)</f>
        <v>0</v>
      </c>
      <c r="V92" s="93">
        <f t="array" ref="V92">IFERROR(
AVERAGE((IF(DATOS_[[Sexo]:[Sexo]]=$B92,IF(DATOS_[[AGRUP. VALOR. PTO.]:[AGRUP. VALOR. PTO.]]=$B90,IF(DATOS_[[Check Periodo Ref.]:[Check Periodo Ref.]]="Dentro",DATOS_[Conc.Sal.17]))))),
0)</f>
        <v>0</v>
      </c>
      <c r="W92" s="93">
        <f t="array" ref="W92">IFERROR(
AVERAGE((IF(DATOS_[[Sexo]:[Sexo]]=$B92,IF(DATOS_[[AGRUP. VALOR. PTO.]:[AGRUP. VALOR. PTO.]]=$B90,IF(DATOS_[[Check Periodo Ref.]:[Check Periodo Ref.]]="Dentro",DATOS_[Conc.Sal.18]))))),
0)</f>
        <v>0</v>
      </c>
      <c r="X92" s="93">
        <f t="array" ref="X92">IFERROR(
AVERAGE((IF(DATOS_[[Sexo]:[Sexo]]=$B92,IF(DATOS_[[AGRUP. VALOR. PTO.]:[AGRUP. VALOR. PTO.]]=$B90,IF(DATOS_[[Check Periodo Ref.]:[Check Periodo Ref.]]="Dentro",DATOS_[Conc.Sal.19]))))),
0)</f>
        <v>0</v>
      </c>
      <c r="Y92" s="93">
        <f t="array" ref="Y92">IFERROR(
AVERAGE((IF(DATOS_[[Sexo]:[Sexo]]=$B92,IF(DATOS_[[AGRUP. VALOR. PTO.]:[AGRUP. VALOR. PTO.]]=$B90,IF(DATOS_[[Check Periodo Ref.]:[Check Periodo Ref.]]="Dentro",DATOS_[Conc.Sal.20]))))),
0)</f>
        <v>0</v>
      </c>
      <c r="Z92" s="93">
        <f t="array" ref="Z92">IFERROR(
AVERAGE((IF(DATOS_[[Sexo]:[Sexo]]=$B92,IF(DATOS_[[AGRUP. VALOR. PTO.]:[AGRUP. VALOR. PTO.]]=$B90,IF(DATOS_[[Check Periodo Ref.]:[Check Periodo Ref.]]="Dentro",DATOS_[Conc.Sal.21]))))),
0)</f>
        <v>0</v>
      </c>
      <c r="AA92" s="93">
        <f t="array" ref="AA92">IFERROR(
AVERAGE((IF(DATOS_[[Sexo]:[Sexo]]=$B92,IF(DATOS_[[AGRUP. VALOR. PTO.]:[AGRUP. VALOR. PTO.]]=$B90,IF(DATOS_[[Check Periodo Ref.]:[Check Periodo Ref.]]="Dentro",DATOS_[Conc.Sal.22]))))),
0)</f>
        <v>0</v>
      </c>
      <c r="AB92" s="93">
        <f t="array" ref="AB92">IFERROR(
AVERAGE((IF(DATOS_[[Sexo]:[Sexo]]=$B92,IF(DATOS_[[AGRUP. VALOR. PTO.]:[AGRUP. VALOR. PTO.]]=$B90,IF(DATOS_[[Check Periodo Ref.]:[Check Periodo Ref.]]="Dentro",DATOS_[Conc.Sal.23]))))),
0)</f>
        <v>0</v>
      </c>
      <c r="AC92" s="93">
        <f t="array" ref="AC92">IFERROR(
AVERAGE((IF(DATOS_[[Sexo]:[Sexo]]=$B92,IF(DATOS_[[AGRUP. VALOR. PTO.]:[AGRUP. VALOR. PTO.]]=$B90,IF(DATOS_[[Check Periodo Ref.]:[Check Periodo Ref.]]="Dentro",DATOS_[Conc.Sal.24]))))),
0)</f>
        <v>0</v>
      </c>
      <c r="AD92" s="93">
        <f t="array" ref="AD92">IFERROR(
AVERAGE((IF(DATOS_[[Sexo]:[Sexo]]=$B92,IF(DATOS_[[AGRUP. VALOR. PTO.]:[AGRUP. VALOR. PTO.]]=$B90,IF(DATOS_[[Check Periodo Ref.]:[Check Periodo Ref.]]="Dentro",DATOS_[Conc.Sal.25]))))),
0)</f>
        <v>0</v>
      </c>
      <c r="AE92" s="93">
        <f t="array" ref="AE92">IFERROR(
AVERAGE((IF(DATOS_[[Sexo]:[Sexo]]=$B92,IF(DATOS_[[AGRUP. VALOR. PTO.]:[AGRUP. VALOR. PTO.]]=$B90,IF(DATOS_[[Check Periodo Ref.]:[Check Periodo Ref.]]="Dentro",DATOS_[Conc.Sal.26]))))),
0)</f>
        <v>0</v>
      </c>
      <c r="AF92" s="93">
        <f t="array" ref="AF92">IFERROR(
AVERAGE((IF(DATOS_[[Sexo]:[Sexo]]=$B92,IF(DATOS_[[AGRUP. VALOR. PTO.]:[AGRUP. VALOR. PTO.]]=$B90,IF(DATOS_[[Check Periodo Ref.]:[Check Periodo Ref.]]="Dentro",DATOS_[Conc.Sal.27]))))),
0)</f>
        <v>0</v>
      </c>
      <c r="AG92" s="93">
        <f t="array" ref="AG92">IFERROR(
AVERAGE((IF(DATOS_[[Sexo]:[Sexo]]=$B92,IF(DATOS_[[AGRUP. VALOR. PTO.]:[AGRUP. VALOR. PTO.]]=$B90,IF(DATOS_[[Check Periodo Ref.]:[Check Periodo Ref.]]="Dentro",DATOS_[Conc.Sal.28]))))),
0)</f>
        <v>0</v>
      </c>
      <c r="AH92" s="93">
        <f t="array" ref="AH92">IFERROR(
AVERAGE((IF(DATOS_[[Sexo]:[Sexo]]=$B92,IF(DATOS_[[AGRUP. VALOR. PTO.]:[AGRUP. VALOR. PTO.]]=$B90,IF(DATOS_[[Check Periodo Ref.]:[Check Periodo Ref.]]="Dentro",DATOS_[Conc.Sal.29]))))),
0)</f>
        <v>0</v>
      </c>
      <c r="AI92" s="93">
        <f t="array" ref="AI92">IFERROR(
AVERAGE((IF(DATOS_[[Sexo]:[Sexo]]=$B92,IF(DATOS_[[AGRUP. VALOR. PTO.]:[AGRUP. VALOR. PTO.]]=$B90,IF(DATOS_[[Check Periodo Ref.]:[Check Periodo Ref.]]="Dentro",DATOS_[Conc.Sal.30]))))),
0)</f>
        <v>0</v>
      </c>
      <c r="AJ92" s="94">
        <f t="array" ref="AJ92">IFERROR(
AVERAGE(IF(DATOS_[Sexo]=$B92,IF(DATOS_[AGRUP. VALOR. PTO.]=$B90,IF(DATOS_[Check Periodo Ref.]="Dentro",DATOS_[Tot COMPL.SAL Ef],FALSE)))),
0)</f>
        <v>0</v>
      </c>
      <c r="AK92" s="96">
        <f t="array" ref="AK92">IFERROR(
AVERAGE(IF(DATOS_[Sexo]=$B92,IF(DATOS_[AGRUP. VALOR. PTO.]=$B90,IF(DATOS_[Check Periodo Ref.]="Dentro",DATOS_[TOTAL SALARIO Ef],FALSE)))),
0)</f>
        <v>0</v>
      </c>
      <c r="AL92" s="95">
        <f t="array" ref="AL92">IFERROR(
AVERAGE((IF(DATOS_[[Sexo]:[Sexo]]=$B92,IF(DATOS_[[AGRUP. VALOR. PTO.]:[AGRUP. VALOR. PTO.]]=$B90,IF(DATOS_[[Check Periodo Ref.]:[Check Periodo Ref.]]="Dentro",DATOS_[C.Extra.01]))))),
0)</f>
        <v>0</v>
      </c>
      <c r="AM92" s="95">
        <f t="array" ref="AM92">IFERROR(
AVERAGE((IF(DATOS_[[Sexo]:[Sexo]]=$B92,IF(DATOS_[[AGRUP. VALOR. PTO.]:[AGRUP. VALOR. PTO.]]=$B90,IF(DATOS_[[Check Periodo Ref.]:[Check Periodo Ref.]]="Dentro",DATOS_[C.Extra.02]))))),
0)</f>
        <v>0</v>
      </c>
      <c r="AN92" s="95">
        <f t="array" ref="AN92">IFERROR(
AVERAGE((IF(DATOS_[[Sexo]:[Sexo]]=$B92,IF(DATOS_[[AGRUP. VALOR. PTO.]:[AGRUP. VALOR. PTO.]]=$B90,IF(DATOS_[[Check Periodo Ref.]:[Check Periodo Ref.]]="Dentro",DATOS_[C.Extra.03]))))),
0)</f>
        <v>0</v>
      </c>
      <c r="AO92" s="95">
        <f t="array" ref="AO92">IFERROR(
AVERAGE((IF(DATOS_[[Sexo]:[Sexo]]=$B92,IF(DATOS_[[AGRUP. VALOR. PTO.]:[AGRUP. VALOR. PTO.]]=$B90,IF(DATOS_[[Check Periodo Ref.]:[Check Periodo Ref.]]="Dentro",DATOS_[C.Extra.04]))))),
0)</f>
        <v>0</v>
      </c>
      <c r="AP92" s="95">
        <f t="array" ref="AP92">IFERROR(
AVERAGE((IF(DATOS_[[Sexo]:[Sexo]]=$B92,IF(DATOS_[[AGRUP. VALOR. PTO.]:[AGRUP. VALOR. PTO.]]=$B90,IF(DATOS_[[Check Periodo Ref.]:[Check Periodo Ref.]]="Dentro",DATOS_[C.Extra.05]))))),
0)</f>
        <v>0</v>
      </c>
      <c r="AQ92" s="97">
        <f t="array" ref="AQ92">IFERROR(
AVERAGE(IF(DATOS_[Sexo]=$B92,IF(DATOS_[AGRUP. VALOR. PTO.]=$B90,IF(DATOS_[Check Periodo Ref.]="Dentro",DATOS_[Tot Extrasalarial Ef],FALSE)))),
0)</f>
        <v>0</v>
      </c>
      <c r="AR92" s="98">
        <f t="array" ref="AR92">IFERROR(
AVERAGE(IF(DATOS_[Sexo]=$B92,IF(DATOS_[AGRUP. VALOR. PTO.]=$B90,IF(DATOS_[Check Periodo Ref.]="Dentro",DATOS_[TOTAL Retrib Ef],FALSE)))),
0)</f>
        <v>0</v>
      </c>
    </row>
    <row r="93" spans="1:44" ht="17.25" hidden="1" thickBot="1" x14ac:dyDescent="0.35">
      <c r="A93" s="48" t="str">
        <f t="shared" ref="A93" si="107">+A94</f>
        <v>[ocultar]</v>
      </c>
      <c r="B93" s="51" t="s">
        <v>286</v>
      </c>
      <c r="C93" s="91"/>
      <c r="D93" s="52"/>
      <c r="E93" s="139" t="str">
        <f t="shared" ref="E93:AR93" si="108">IFERROR((E94-E95)/E94,"")</f>
        <v/>
      </c>
      <c r="F93" s="179" t="str">
        <f t="shared" si="108"/>
        <v/>
      </c>
      <c r="G93" s="180" t="str">
        <f t="shared" si="108"/>
        <v/>
      </c>
      <c r="H93" s="180" t="str">
        <f t="shared" si="108"/>
        <v/>
      </c>
      <c r="I93" s="180" t="str">
        <f t="shared" si="108"/>
        <v/>
      </c>
      <c r="J93" s="181" t="str">
        <f t="shared" si="108"/>
        <v/>
      </c>
      <c r="K93" s="182" t="str">
        <f t="shared" si="108"/>
        <v/>
      </c>
      <c r="L93" s="182" t="str">
        <f t="shared" si="108"/>
        <v/>
      </c>
      <c r="M93" s="182" t="str">
        <f t="shared" si="108"/>
        <v/>
      </c>
      <c r="N93" s="182" t="str">
        <f t="shared" si="108"/>
        <v/>
      </c>
      <c r="O93" s="182" t="str">
        <f t="shared" si="108"/>
        <v/>
      </c>
      <c r="P93" s="182" t="str">
        <f t="shared" si="108"/>
        <v/>
      </c>
      <c r="Q93" s="182" t="str">
        <f t="shared" si="108"/>
        <v/>
      </c>
      <c r="R93" s="182" t="str">
        <f t="shared" si="108"/>
        <v/>
      </c>
      <c r="S93" s="182" t="str">
        <f t="shared" si="108"/>
        <v/>
      </c>
      <c r="T93" s="182" t="str">
        <f t="shared" si="108"/>
        <v/>
      </c>
      <c r="U93" s="182" t="str">
        <f t="shared" si="108"/>
        <v/>
      </c>
      <c r="V93" s="181" t="str">
        <f t="shared" si="108"/>
        <v/>
      </c>
      <c r="W93" s="181" t="str">
        <f t="shared" si="108"/>
        <v/>
      </c>
      <c r="X93" s="181" t="str">
        <f t="shared" si="108"/>
        <v/>
      </c>
      <c r="Y93" s="181" t="str">
        <f t="shared" si="108"/>
        <v/>
      </c>
      <c r="Z93" s="181" t="str">
        <f t="shared" si="108"/>
        <v/>
      </c>
      <c r="AA93" s="181" t="str">
        <f t="shared" si="108"/>
        <v/>
      </c>
      <c r="AB93" s="181" t="str">
        <f t="shared" si="108"/>
        <v/>
      </c>
      <c r="AC93" s="181" t="str">
        <f t="shared" si="108"/>
        <v/>
      </c>
      <c r="AD93" s="181" t="str">
        <f t="shared" si="108"/>
        <v/>
      </c>
      <c r="AE93" s="181" t="str">
        <f t="shared" si="108"/>
        <v/>
      </c>
      <c r="AF93" s="181" t="str">
        <f t="shared" si="108"/>
        <v/>
      </c>
      <c r="AG93" s="181" t="str">
        <f t="shared" si="108"/>
        <v/>
      </c>
      <c r="AH93" s="181" t="str">
        <f t="shared" si="108"/>
        <v/>
      </c>
      <c r="AI93" s="181" t="str">
        <f t="shared" si="108"/>
        <v/>
      </c>
      <c r="AJ93" s="140" t="str">
        <f t="shared" si="108"/>
        <v/>
      </c>
      <c r="AK93" s="143" t="str">
        <f t="shared" si="108"/>
        <v/>
      </c>
      <c r="AL93" s="184" t="str">
        <f t="shared" si="108"/>
        <v/>
      </c>
      <c r="AM93" s="184" t="str">
        <f t="shared" si="108"/>
        <v/>
      </c>
      <c r="AN93" s="184" t="str">
        <f t="shared" si="108"/>
        <v/>
      </c>
      <c r="AO93" s="184" t="str">
        <f t="shared" si="108"/>
        <v/>
      </c>
      <c r="AP93" s="184" t="str">
        <f t="shared" si="108"/>
        <v/>
      </c>
      <c r="AQ93" s="141" t="str">
        <f t="shared" si="108"/>
        <v/>
      </c>
      <c r="AR93" s="142" t="str">
        <f t="shared" si="108"/>
        <v/>
      </c>
    </row>
    <row r="94" spans="1:44" hidden="1" x14ac:dyDescent="0.3">
      <c r="A94" s="48" t="str">
        <f t="shared" ref="A94" si="109">+IF(C94+C95=0,"[ocultar]","")</f>
        <v>[ocultar]</v>
      </c>
      <c r="B94" s="46" t="s">
        <v>162</v>
      </c>
      <c r="C94" s="45">
        <f t="array" ref="C94">SUM(IF($B94=DATOS_[Sexo],
IF($B93=DATOS_[AGRUP. VALOR. PTO.],
IF("Dentro"=DATOS_[Check Periodo Ref.],
1/(COUNTIFS(DATOS_[Sexo],$B94,DATOS_[AGRUP. VALOR. PTO.],$B93,DATOS_[Check Periodo Ref.],"Dentro",DATOS_[id],DATOS_[id]))))))</f>
        <v>0</v>
      </c>
      <c r="D94" s="47">
        <f>COUNTIFS(DATOS_[AGRUP. VALOR. PTO.],$B93,DATOS_[Sexo],$B94,DATOS_[Check Periodo Ref.],"Dentro")</f>
        <v>0</v>
      </c>
      <c r="E94" s="92">
        <f t="array" ref="E94">IFERROR(
AVERAGE(IF(DATOS_[Sexo]=$B94,IF(DATOS_[AGRUP. VALOR. PTO.]=$B93,IF(DATOS_[Check Periodo Ref.]="Dentro",DATOS_[SALARIO BASE Ef],FALSE)))),
0)</f>
        <v>0</v>
      </c>
      <c r="F94" s="93">
        <f t="array" ref="F94">IFERROR(
AVERAGE((IF(DATOS_[[Sexo]:[Sexo]]=$B94,IF(DATOS_[[AGRUP. VALOR. PTO.]:[AGRUP. VALOR. PTO.]]=$B93,IF(DATOS_[[Check Periodo Ref.]:[Check Periodo Ref.]]="Dentro",DATOS_[Conc.Sal.01]))))),
0)</f>
        <v>0</v>
      </c>
      <c r="G94" s="93">
        <f t="array" ref="G94">IFERROR(
AVERAGE((IF(DATOS_[[Sexo]:[Sexo]]=$B94,IF(DATOS_[[AGRUP. VALOR. PTO.]:[AGRUP. VALOR. PTO.]]=$B93,IF(DATOS_[[Check Periodo Ref.]:[Check Periodo Ref.]]="Dentro",DATOS_[Conc.Sal.02]))))),
0)</f>
        <v>0</v>
      </c>
      <c r="H94" s="93">
        <f t="array" ref="H94">IFERROR(
AVERAGE((IF(DATOS_[[Sexo]:[Sexo]]=$B94,IF(DATOS_[[AGRUP. VALOR. PTO.]:[AGRUP. VALOR. PTO.]]=$B93,IF(DATOS_[[Check Periodo Ref.]:[Check Periodo Ref.]]="Dentro",DATOS_[Conc.Sal.03]))))),
0)</f>
        <v>0</v>
      </c>
      <c r="I94" s="93">
        <f t="array" ref="I94">IFERROR(
AVERAGE((IF(DATOS_[[Sexo]:[Sexo]]=$B94,IF(DATOS_[[AGRUP. VALOR. PTO.]:[AGRUP. VALOR. PTO.]]=$B93,IF(DATOS_[[Check Periodo Ref.]:[Check Periodo Ref.]]="Dentro",DATOS_[Conc.Sal.04]))))),
0)</f>
        <v>0</v>
      </c>
      <c r="J94" s="93">
        <f t="array" ref="J94">IFERROR(
AVERAGE((IF(DATOS_[[Sexo]:[Sexo]]=$B94,IF(DATOS_[[AGRUP. VALOR. PTO.]:[AGRUP. VALOR. PTO.]]=$B93,IF(DATOS_[[Check Periodo Ref.]:[Check Periodo Ref.]]="Dentro",DATOS_[Conc.Sal.05]))))),
0)</f>
        <v>0</v>
      </c>
      <c r="K94" s="93">
        <f t="array" ref="K94">IFERROR(
AVERAGE((IF(DATOS_[[Sexo]:[Sexo]]=$B94,IF(DATOS_[[AGRUP. VALOR. PTO.]:[AGRUP. VALOR. PTO.]]=$B93,IF(DATOS_[[Check Periodo Ref.]:[Check Periodo Ref.]]="Dentro",DATOS_[Conc.Sal.06]))))),
0)</f>
        <v>0</v>
      </c>
      <c r="L94" s="93">
        <f t="array" ref="L94">IFERROR(
AVERAGE((IF(DATOS_[[Sexo]:[Sexo]]=$B94,IF(DATOS_[[AGRUP. VALOR. PTO.]:[AGRUP. VALOR. PTO.]]=$B93,IF(DATOS_[[Check Periodo Ref.]:[Check Periodo Ref.]]="Dentro",DATOS_[Conc.Sal.07]))))),
0)</f>
        <v>0</v>
      </c>
      <c r="M94" s="93">
        <f t="array" ref="M94">IFERROR(
AVERAGE((IF(DATOS_[[Sexo]:[Sexo]]=$B94,IF(DATOS_[[AGRUP. VALOR. PTO.]:[AGRUP. VALOR. PTO.]]=$B93,IF(DATOS_[[Check Periodo Ref.]:[Check Periodo Ref.]]="Dentro",DATOS_[Conc.Sal.08]))))),
0)</f>
        <v>0</v>
      </c>
      <c r="N94" s="93">
        <f t="array" ref="N94">IFERROR(
AVERAGE((IF(DATOS_[[Sexo]:[Sexo]]=$B94,IF(DATOS_[[AGRUP. VALOR. PTO.]:[AGRUP. VALOR. PTO.]]=$B93,IF(DATOS_[[Check Periodo Ref.]:[Check Periodo Ref.]]="Dentro",DATOS_[Conc.Sal.09]))))),
0)</f>
        <v>0</v>
      </c>
      <c r="O94" s="93">
        <f t="array" ref="O94">IFERROR(
AVERAGE((IF(DATOS_[[Sexo]:[Sexo]]=$B94,IF(DATOS_[[AGRUP. VALOR. PTO.]:[AGRUP. VALOR. PTO.]]=$B93,IF(DATOS_[[Check Periodo Ref.]:[Check Periodo Ref.]]="Dentro",DATOS_[Conc.Sal.10]))))),
0)</f>
        <v>0</v>
      </c>
      <c r="P94" s="93">
        <f t="array" ref="P94">IFERROR(
AVERAGE((IF(DATOS_[[Sexo]:[Sexo]]=$B94,IF(DATOS_[[AGRUP. VALOR. PTO.]:[AGRUP. VALOR. PTO.]]=$B93,IF(DATOS_[[Check Periodo Ref.]:[Check Periodo Ref.]]="Dentro",DATOS_[Conc.Sal.11]))))),
0)</f>
        <v>0</v>
      </c>
      <c r="Q94" s="93">
        <f t="array" ref="Q94">IFERROR(
AVERAGE((IF(DATOS_[[Sexo]:[Sexo]]=$B94,IF(DATOS_[[AGRUP. VALOR. PTO.]:[AGRUP. VALOR. PTO.]]=$B93,IF(DATOS_[[Check Periodo Ref.]:[Check Periodo Ref.]]="Dentro",DATOS_[Conc.Sal.12]))))),
0)</f>
        <v>0</v>
      </c>
      <c r="R94" s="93">
        <f t="array" ref="R94">IFERROR(
AVERAGE((IF(DATOS_[[Sexo]:[Sexo]]=$B94,IF(DATOS_[[AGRUP. VALOR. PTO.]:[AGRUP. VALOR. PTO.]]=$B93,IF(DATOS_[[Check Periodo Ref.]:[Check Periodo Ref.]]="Dentro",DATOS_[Conc.Sal.13]))))),
0)</f>
        <v>0</v>
      </c>
      <c r="S94" s="93">
        <f t="array" ref="S94">IFERROR(
AVERAGE((IF(DATOS_[[Sexo]:[Sexo]]=$B94,IF(DATOS_[[AGRUP. VALOR. PTO.]:[AGRUP. VALOR. PTO.]]=$B93,IF(DATOS_[[Check Periodo Ref.]:[Check Periodo Ref.]]="Dentro",DATOS_[Conc.Sal.14]))))),
0)</f>
        <v>0</v>
      </c>
      <c r="T94" s="93">
        <f t="array" ref="T94">IFERROR(
AVERAGE((IF(DATOS_[[Sexo]:[Sexo]]=$B94,IF(DATOS_[[AGRUP. VALOR. PTO.]:[AGRUP. VALOR. PTO.]]=$B93,IF(DATOS_[[Check Periodo Ref.]:[Check Periodo Ref.]]="Dentro",DATOS_[Conc.Sal.15]))))),
0)</f>
        <v>0</v>
      </c>
      <c r="U94" s="93">
        <f t="array" ref="U94">IFERROR(
AVERAGE((IF(DATOS_[[Sexo]:[Sexo]]=$B94,IF(DATOS_[[AGRUP. VALOR. PTO.]:[AGRUP. VALOR. PTO.]]=$B93,IF(DATOS_[[Check Periodo Ref.]:[Check Periodo Ref.]]="Dentro",DATOS_[Conc.Sal.16]))))),
0)</f>
        <v>0</v>
      </c>
      <c r="V94" s="93">
        <f t="array" ref="V94">IFERROR(
AVERAGE((IF(DATOS_[[Sexo]:[Sexo]]=$B94,IF(DATOS_[[AGRUP. VALOR. PTO.]:[AGRUP. VALOR. PTO.]]=$B93,IF(DATOS_[[Check Periodo Ref.]:[Check Periodo Ref.]]="Dentro",DATOS_[Conc.Sal.17]))))),
0)</f>
        <v>0</v>
      </c>
      <c r="W94" s="93">
        <f t="array" ref="W94">IFERROR(
AVERAGE((IF(DATOS_[[Sexo]:[Sexo]]=$B94,IF(DATOS_[[AGRUP. VALOR. PTO.]:[AGRUP. VALOR. PTO.]]=$B93,IF(DATOS_[[Check Periodo Ref.]:[Check Periodo Ref.]]="Dentro",DATOS_[Conc.Sal.18]))))),
0)</f>
        <v>0</v>
      </c>
      <c r="X94" s="93">
        <f t="array" ref="X94">IFERROR(
AVERAGE((IF(DATOS_[[Sexo]:[Sexo]]=$B94,IF(DATOS_[[AGRUP. VALOR. PTO.]:[AGRUP. VALOR. PTO.]]=$B93,IF(DATOS_[[Check Periodo Ref.]:[Check Periodo Ref.]]="Dentro",DATOS_[Conc.Sal.19]))))),
0)</f>
        <v>0</v>
      </c>
      <c r="Y94" s="93">
        <f t="array" ref="Y94">IFERROR(
AVERAGE((IF(DATOS_[[Sexo]:[Sexo]]=$B94,IF(DATOS_[[AGRUP. VALOR. PTO.]:[AGRUP. VALOR. PTO.]]=$B93,IF(DATOS_[[Check Periodo Ref.]:[Check Periodo Ref.]]="Dentro",DATOS_[Conc.Sal.20]))))),
0)</f>
        <v>0</v>
      </c>
      <c r="Z94" s="93">
        <f t="array" ref="Z94">IFERROR(
AVERAGE((IF(DATOS_[[Sexo]:[Sexo]]=$B94,IF(DATOS_[[AGRUP. VALOR. PTO.]:[AGRUP. VALOR. PTO.]]=$B93,IF(DATOS_[[Check Periodo Ref.]:[Check Periodo Ref.]]="Dentro",DATOS_[Conc.Sal.21]))))),
0)</f>
        <v>0</v>
      </c>
      <c r="AA94" s="93">
        <f t="array" ref="AA94">IFERROR(
AVERAGE((IF(DATOS_[[Sexo]:[Sexo]]=$B94,IF(DATOS_[[AGRUP. VALOR. PTO.]:[AGRUP. VALOR. PTO.]]=$B93,IF(DATOS_[[Check Periodo Ref.]:[Check Periodo Ref.]]="Dentro",DATOS_[Conc.Sal.22]))))),
0)</f>
        <v>0</v>
      </c>
      <c r="AB94" s="93">
        <f t="array" ref="AB94">IFERROR(
AVERAGE((IF(DATOS_[[Sexo]:[Sexo]]=$B94,IF(DATOS_[[AGRUP. VALOR. PTO.]:[AGRUP. VALOR. PTO.]]=$B93,IF(DATOS_[[Check Periodo Ref.]:[Check Periodo Ref.]]="Dentro",DATOS_[Conc.Sal.23]))))),
0)</f>
        <v>0</v>
      </c>
      <c r="AC94" s="93">
        <f t="array" ref="AC94">IFERROR(
AVERAGE((IF(DATOS_[[Sexo]:[Sexo]]=$B94,IF(DATOS_[[AGRUP. VALOR. PTO.]:[AGRUP. VALOR. PTO.]]=$B93,IF(DATOS_[[Check Periodo Ref.]:[Check Periodo Ref.]]="Dentro",DATOS_[Conc.Sal.24]))))),
0)</f>
        <v>0</v>
      </c>
      <c r="AD94" s="93">
        <f t="array" ref="AD94">IFERROR(
AVERAGE((IF(DATOS_[[Sexo]:[Sexo]]=$B94,IF(DATOS_[[AGRUP. VALOR. PTO.]:[AGRUP. VALOR. PTO.]]=$B93,IF(DATOS_[[Check Periodo Ref.]:[Check Periodo Ref.]]="Dentro",DATOS_[Conc.Sal.25]))))),
0)</f>
        <v>0</v>
      </c>
      <c r="AE94" s="93">
        <f t="array" ref="AE94">IFERROR(
AVERAGE((IF(DATOS_[[Sexo]:[Sexo]]=$B94,IF(DATOS_[[AGRUP. VALOR. PTO.]:[AGRUP. VALOR. PTO.]]=$B93,IF(DATOS_[[Check Periodo Ref.]:[Check Periodo Ref.]]="Dentro",DATOS_[Conc.Sal.26]))))),
0)</f>
        <v>0</v>
      </c>
      <c r="AF94" s="93">
        <f t="array" ref="AF94">IFERROR(
AVERAGE((IF(DATOS_[[Sexo]:[Sexo]]=$B94,IF(DATOS_[[AGRUP. VALOR. PTO.]:[AGRUP. VALOR. PTO.]]=$B93,IF(DATOS_[[Check Periodo Ref.]:[Check Periodo Ref.]]="Dentro",DATOS_[Conc.Sal.27]))))),
0)</f>
        <v>0</v>
      </c>
      <c r="AG94" s="93">
        <f t="array" ref="AG94">IFERROR(
AVERAGE((IF(DATOS_[[Sexo]:[Sexo]]=$B94,IF(DATOS_[[AGRUP. VALOR. PTO.]:[AGRUP. VALOR. PTO.]]=$B93,IF(DATOS_[[Check Periodo Ref.]:[Check Periodo Ref.]]="Dentro",DATOS_[Conc.Sal.28]))))),
0)</f>
        <v>0</v>
      </c>
      <c r="AH94" s="93">
        <f t="array" ref="AH94">IFERROR(
AVERAGE((IF(DATOS_[[Sexo]:[Sexo]]=$B94,IF(DATOS_[[AGRUP. VALOR. PTO.]:[AGRUP. VALOR. PTO.]]=$B93,IF(DATOS_[[Check Periodo Ref.]:[Check Periodo Ref.]]="Dentro",DATOS_[Conc.Sal.29]))))),
0)</f>
        <v>0</v>
      </c>
      <c r="AI94" s="93">
        <f t="array" ref="AI94">IFERROR(
AVERAGE((IF(DATOS_[[Sexo]:[Sexo]]=$B94,IF(DATOS_[[AGRUP. VALOR. PTO.]:[AGRUP. VALOR. PTO.]]=$B93,IF(DATOS_[[Check Periodo Ref.]:[Check Periodo Ref.]]="Dentro",DATOS_[Conc.Sal.30]))))),
0)</f>
        <v>0</v>
      </c>
      <c r="AJ94" s="94">
        <f t="array" ref="AJ94">IFERROR(
AVERAGE(IF(DATOS_[Sexo]=$B94,IF(DATOS_[AGRUP. VALOR. PTO.]=$B93,IF(DATOS_[Check Periodo Ref.]="Dentro",DATOS_[Tot COMPL.SAL Ef],FALSE)))),
0)</f>
        <v>0</v>
      </c>
      <c r="AK94" s="96">
        <f t="array" ref="AK94">IFERROR(
AVERAGE(IF(DATOS_[Sexo]=$B94,IF(DATOS_[AGRUP. VALOR. PTO.]=$B93,IF(DATOS_[Check Periodo Ref.]="Dentro",DATOS_[TOTAL SALARIO Ef],FALSE)))),
0)</f>
        <v>0</v>
      </c>
      <c r="AL94" s="95">
        <f t="array" ref="AL94">IFERROR(
AVERAGE((IF(DATOS_[[Sexo]:[Sexo]]=$B94,IF(DATOS_[[AGRUP. VALOR. PTO.]:[AGRUP. VALOR. PTO.]]=$B93,IF(DATOS_[[Check Periodo Ref.]:[Check Periodo Ref.]]="Dentro",DATOS_[C.Extra.01]))))),
0)</f>
        <v>0</v>
      </c>
      <c r="AM94" s="95">
        <f t="array" ref="AM94">IFERROR(
AVERAGE((IF(DATOS_[[Sexo]:[Sexo]]=$B94,IF(DATOS_[[AGRUP. VALOR. PTO.]:[AGRUP. VALOR. PTO.]]=$B93,IF(DATOS_[[Check Periodo Ref.]:[Check Periodo Ref.]]="Dentro",DATOS_[C.Extra.02]))))),
0)</f>
        <v>0</v>
      </c>
      <c r="AN94" s="95">
        <f t="array" ref="AN94">IFERROR(
AVERAGE((IF(DATOS_[[Sexo]:[Sexo]]=$B94,IF(DATOS_[[AGRUP. VALOR. PTO.]:[AGRUP. VALOR. PTO.]]=$B93,IF(DATOS_[[Check Periodo Ref.]:[Check Periodo Ref.]]="Dentro",DATOS_[C.Extra.03]))))),
0)</f>
        <v>0</v>
      </c>
      <c r="AO94" s="95">
        <f t="array" ref="AO94">IFERROR(
AVERAGE((IF(DATOS_[[Sexo]:[Sexo]]=$B94,IF(DATOS_[[AGRUP. VALOR. PTO.]:[AGRUP. VALOR. PTO.]]=$B93,IF(DATOS_[[Check Periodo Ref.]:[Check Periodo Ref.]]="Dentro",DATOS_[C.Extra.04]))))),
0)</f>
        <v>0</v>
      </c>
      <c r="AP94" s="95">
        <f t="array" ref="AP94">IFERROR(
AVERAGE((IF(DATOS_[[Sexo]:[Sexo]]=$B94,IF(DATOS_[[AGRUP. VALOR. PTO.]:[AGRUP. VALOR. PTO.]]=$B93,IF(DATOS_[[Check Periodo Ref.]:[Check Periodo Ref.]]="Dentro",DATOS_[C.Extra.05]))))),
0)</f>
        <v>0</v>
      </c>
      <c r="AQ94" s="97">
        <f t="array" ref="AQ94">IFERROR(
AVERAGE(IF(DATOS_[Sexo]=$B94,IF(DATOS_[AGRUP. VALOR. PTO.]=$B93,IF(DATOS_[Check Periodo Ref.]="Dentro",DATOS_[Tot Extrasalarial Ef],FALSE)))),
0)</f>
        <v>0</v>
      </c>
      <c r="AR94" s="98">
        <f t="array" ref="AR94">IFERROR(
AVERAGE(IF(DATOS_[Sexo]=$B94,IF(DATOS_[AGRUP. VALOR. PTO.]=$B93,IF(DATOS_[Check Periodo Ref.]="Dentro",DATOS_[TOTAL Retrib Ef],FALSE)))),
0)</f>
        <v>0</v>
      </c>
    </row>
    <row r="95" spans="1:44" hidden="1" x14ac:dyDescent="0.3">
      <c r="A95" s="48" t="str">
        <f t="shared" ref="A95" si="110">+A94</f>
        <v>[ocultar]</v>
      </c>
      <c r="B95" s="46" t="s">
        <v>163</v>
      </c>
      <c r="C95" s="45">
        <f t="array" ref="C95">SUM(IF($B95=DATOS_[Sexo],
IF($B93=DATOS_[AGRUP. VALOR. PTO.],
IF("Dentro"=DATOS_[Check Periodo Ref.],
1/(COUNTIFS(DATOS_[Sexo],$B95,DATOS_[AGRUP. VALOR. PTO.],$B93,DATOS_[Check Periodo Ref.],"Dentro",DATOS_[id],DATOS_[id]))))))</f>
        <v>0</v>
      </c>
      <c r="D95" s="47">
        <f>COUNTIFS(DATOS_[AGRUP. VALOR. PTO.],$B93,DATOS_[Sexo],$B95,DATOS_[Check Periodo Ref.],"Dentro")</f>
        <v>0</v>
      </c>
      <c r="E95" s="92">
        <f t="array" ref="E95">IFERROR(
AVERAGE(IF(DATOS_[Sexo]=$B95,IF(DATOS_[AGRUP. VALOR. PTO.]=$B93,IF(DATOS_[Check Periodo Ref.]="Dentro",DATOS_[SALARIO BASE Ef],FALSE)))),
0)</f>
        <v>0</v>
      </c>
      <c r="F95" s="93">
        <f t="array" ref="F95">IFERROR(
AVERAGE((IF(DATOS_[[Sexo]:[Sexo]]=$B95,IF(DATOS_[[AGRUP. VALOR. PTO.]:[AGRUP. VALOR. PTO.]]=$B93,IF(DATOS_[[Check Periodo Ref.]:[Check Periodo Ref.]]="Dentro",DATOS_[Conc.Sal.01]))))),
0)</f>
        <v>0</v>
      </c>
      <c r="G95" s="93">
        <f t="array" ref="G95">IFERROR(
AVERAGE((IF(DATOS_[[Sexo]:[Sexo]]=$B95,IF(DATOS_[[AGRUP. VALOR. PTO.]:[AGRUP. VALOR. PTO.]]=$B93,IF(DATOS_[[Check Periodo Ref.]:[Check Periodo Ref.]]="Dentro",DATOS_[Conc.Sal.02]))))),
0)</f>
        <v>0</v>
      </c>
      <c r="H95" s="93">
        <f t="array" ref="H95">IFERROR(
AVERAGE((IF(DATOS_[[Sexo]:[Sexo]]=$B95,IF(DATOS_[[AGRUP. VALOR. PTO.]:[AGRUP. VALOR. PTO.]]=$B93,IF(DATOS_[[Check Periodo Ref.]:[Check Periodo Ref.]]="Dentro",DATOS_[Conc.Sal.03]))))),
0)</f>
        <v>0</v>
      </c>
      <c r="I95" s="93">
        <f t="array" ref="I95">IFERROR(
AVERAGE((IF(DATOS_[[Sexo]:[Sexo]]=$B95,IF(DATOS_[[AGRUP. VALOR. PTO.]:[AGRUP. VALOR. PTO.]]=$B93,IF(DATOS_[[Check Periodo Ref.]:[Check Periodo Ref.]]="Dentro",DATOS_[Conc.Sal.04]))))),
0)</f>
        <v>0</v>
      </c>
      <c r="J95" s="93">
        <f t="array" ref="J95">IFERROR(
AVERAGE((IF(DATOS_[[Sexo]:[Sexo]]=$B95,IF(DATOS_[[AGRUP. VALOR. PTO.]:[AGRUP. VALOR. PTO.]]=$B93,IF(DATOS_[[Check Periodo Ref.]:[Check Periodo Ref.]]="Dentro",DATOS_[Conc.Sal.05]))))),
0)</f>
        <v>0</v>
      </c>
      <c r="K95" s="93">
        <f t="array" ref="K95">IFERROR(
AVERAGE((IF(DATOS_[[Sexo]:[Sexo]]=$B95,IF(DATOS_[[AGRUP. VALOR. PTO.]:[AGRUP. VALOR. PTO.]]=$B93,IF(DATOS_[[Check Periodo Ref.]:[Check Periodo Ref.]]="Dentro",DATOS_[Conc.Sal.06]))))),
0)</f>
        <v>0</v>
      </c>
      <c r="L95" s="93">
        <f t="array" ref="L95">IFERROR(
AVERAGE((IF(DATOS_[[Sexo]:[Sexo]]=$B95,IF(DATOS_[[AGRUP. VALOR. PTO.]:[AGRUP. VALOR. PTO.]]=$B93,IF(DATOS_[[Check Periodo Ref.]:[Check Periodo Ref.]]="Dentro",DATOS_[Conc.Sal.07]))))),
0)</f>
        <v>0</v>
      </c>
      <c r="M95" s="93">
        <f t="array" ref="M95">IFERROR(
AVERAGE((IF(DATOS_[[Sexo]:[Sexo]]=$B95,IF(DATOS_[[AGRUP. VALOR. PTO.]:[AGRUP. VALOR. PTO.]]=$B93,IF(DATOS_[[Check Periodo Ref.]:[Check Periodo Ref.]]="Dentro",DATOS_[Conc.Sal.08]))))),
0)</f>
        <v>0</v>
      </c>
      <c r="N95" s="93">
        <f t="array" ref="N95">IFERROR(
AVERAGE((IF(DATOS_[[Sexo]:[Sexo]]=$B95,IF(DATOS_[[AGRUP. VALOR. PTO.]:[AGRUP. VALOR. PTO.]]=$B93,IF(DATOS_[[Check Periodo Ref.]:[Check Periodo Ref.]]="Dentro",DATOS_[Conc.Sal.09]))))),
0)</f>
        <v>0</v>
      </c>
      <c r="O95" s="93">
        <f t="array" ref="O95">IFERROR(
AVERAGE((IF(DATOS_[[Sexo]:[Sexo]]=$B95,IF(DATOS_[[AGRUP. VALOR. PTO.]:[AGRUP. VALOR. PTO.]]=$B93,IF(DATOS_[[Check Periodo Ref.]:[Check Periodo Ref.]]="Dentro",DATOS_[Conc.Sal.10]))))),
0)</f>
        <v>0</v>
      </c>
      <c r="P95" s="93">
        <f t="array" ref="P95">IFERROR(
AVERAGE((IF(DATOS_[[Sexo]:[Sexo]]=$B95,IF(DATOS_[[AGRUP. VALOR. PTO.]:[AGRUP. VALOR. PTO.]]=$B93,IF(DATOS_[[Check Periodo Ref.]:[Check Periodo Ref.]]="Dentro",DATOS_[Conc.Sal.11]))))),
0)</f>
        <v>0</v>
      </c>
      <c r="Q95" s="93">
        <f t="array" ref="Q95">IFERROR(
AVERAGE((IF(DATOS_[[Sexo]:[Sexo]]=$B95,IF(DATOS_[[AGRUP. VALOR. PTO.]:[AGRUP. VALOR. PTO.]]=$B93,IF(DATOS_[[Check Periodo Ref.]:[Check Periodo Ref.]]="Dentro",DATOS_[Conc.Sal.12]))))),
0)</f>
        <v>0</v>
      </c>
      <c r="R95" s="93">
        <f t="array" ref="R95">IFERROR(
AVERAGE((IF(DATOS_[[Sexo]:[Sexo]]=$B95,IF(DATOS_[[AGRUP. VALOR. PTO.]:[AGRUP. VALOR. PTO.]]=$B93,IF(DATOS_[[Check Periodo Ref.]:[Check Periodo Ref.]]="Dentro",DATOS_[Conc.Sal.13]))))),
0)</f>
        <v>0</v>
      </c>
      <c r="S95" s="93">
        <f t="array" ref="S95">IFERROR(
AVERAGE((IF(DATOS_[[Sexo]:[Sexo]]=$B95,IF(DATOS_[[AGRUP. VALOR. PTO.]:[AGRUP. VALOR. PTO.]]=$B93,IF(DATOS_[[Check Periodo Ref.]:[Check Periodo Ref.]]="Dentro",DATOS_[Conc.Sal.14]))))),
0)</f>
        <v>0</v>
      </c>
      <c r="T95" s="93">
        <f t="array" ref="T95">IFERROR(
AVERAGE((IF(DATOS_[[Sexo]:[Sexo]]=$B95,IF(DATOS_[[AGRUP. VALOR. PTO.]:[AGRUP. VALOR. PTO.]]=$B93,IF(DATOS_[[Check Periodo Ref.]:[Check Periodo Ref.]]="Dentro",DATOS_[Conc.Sal.15]))))),
0)</f>
        <v>0</v>
      </c>
      <c r="U95" s="93">
        <f t="array" ref="U95">IFERROR(
AVERAGE((IF(DATOS_[[Sexo]:[Sexo]]=$B95,IF(DATOS_[[AGRUP. VALOR. PTO.]:[AGRUP. VALOR. PTO.]]=$B93,IF(DATOS_[[Check Periodo Ref.]:[Check Periodo Ref.]]="Dentro",DATOS_[Conc.Sal.16]))))),
0)</f>
        <v>0</v>
      </c>
      <c r="V95" s="93">
        <f t="array" ref="V95">IFERROR(
AVERAGE((IF(DATOS_[[Sexo]:[Sexo]]=$B95,IF(DATOS_[[AGRUP. VALOR. PTO.]:[AGRUP. VALOR. PTO.]]=$B93,IF(DATOS_[[Check Periodo Ref.]:[Check Periodo Ref.]]="Dentro",DATOS_[Conc.Sal.17]))))),
0)</f>
        <v>0</v>
      </c>
      <c r="W95" s="93">
        <f t="array" ref="W95">IFERROR(
AVERAGE((IF(DATOS_[[Sexo]:[Sexo]]=$B95,IF(DATOS_[[AGRUP. VALOR. PTO.]:[AGRUP. VALOR. PTO.]]=$B93,IF(DATOS_[[Check Periodo Ref.]:[Check Periodo Ref.]]="Dentro",DATOS_[Conc.Sal.18]))))),
0)</f>
        <v>0</v>
      </c>
      <c r="X95" s="93">
        <f t="array" ref="X95">IFERROR(
AVERAGE((IF(DATOS_[[Sexo]:[Sexo]]=$B95,IF(DATOS_[[AGRUP. VALOR. PTO.]:[AGRUP. VALOR. PTO.]]=$B93,IF(DATOS_[[Check Periodo Ref.]:[Check Periodo Ref.]]="Dentro",DATOS_[Conc.Sal.19]))))),
0)</f>
        <v>0</v>
      </c>
      <c r="Y95" s="93">
        <f t="array" ref="Y95">IFERROR(
AVERAGE((IF(DATOS_[[Sexo]:[Sexo]]=$B95,IF(DATOS_[[AGRUP. VALOR. PTO.]:[AGRUP. VALOR. PTO.]]=$B93,IF(DATOS_[[Check Periodo Ref.]:[Check Periodo Ref.]]="Dentro",DATOS_[Conc.Sal.20]))))),
0)</f>
        <v>0</v>
      </c>
      <c r="Z95" s="93">
        <f t="array" ref="Z95">IFERROR(
AVERAGE((IF(DATOS_[[Sexo]:[Sexo]]=$B95,IF(DATOS_[[AGRUP. VALOR. PTO.]:[AGRUP. VALOR. PTO.]]=$B93,IF(DATOS_[[Check Periodo Ref.]:[Check Periodo Ref.]]="Dentro",DATOS_[Conc.Sal.21]))))),
0)</f>
        <v>0</v>
      </c>
      <c r="AA95" s="93">
        <f t="array" ref="AA95">IFERROR(
AVERAGE((IF(DATOS_[[Sexo]:[Sexo]]=$B95,IF(DATOS_[[AGRUP. VALOR. PTO.]:[AGRUP. VALOR. PTO.]]=$B93,IF(DATOS_[[Check Periodo Ref.]:[Check Periodo Ref.]]="Dentro",DATOS_[Conc.Sal.22]))))),
0)</f>
        <v>0</v>
      </c>
      <c r="AB95" s="93">
        <f t="array" ref="AB95">IFERROR(
AVERAGE((IF(DATOS_[[Sexo]:[Sexo]]=$B95,IF(DATOS_[[AGRUP. VALOR. PTO.]:[AGRUP. VALOR. PTO.]]=$B93,IF(DATOS_[[Check Periodo Ref.]:[Check Periodo Ref.]]="Dentro",DATOS_[Conc.Sal.23]))))),
0)</f>
        <v>0</v>
      </c>
      <c r="AC95" s="93">
        <f t="array" ref="AC95">IFERROR(
AVERAGE((IF(DATOS_[[Sexo]:[Sexo]]=$B95,IF(DATOS_[[AGRUP. VALOR. PTO.]:[AGRUP. VALOR. PTO.]]=$B93,IF(DATOS_[[Check Periodo Ref.]:[Check Periodo Ref.]]="Dentro",DATOS_[Conc.Sal.24]))))),
0)</f>
        <v>0</v>
      </c>
      <c r="AD95" s="93">
        <f t="array" ref="AD95">IFERROR(
AVERAGE((IF(DATOS_[[Sexo]:[Sexo]]=$B95,IF(DATOS_[[AGRUP. VALOR. PTO.]:[AGRUP. VALOR. PTO.]]=$B93,IF(DATOS_[[Check Periodo Ref.]:[Check Periodo Ref.]]="Dentro",DATOS_[Conc.Sal.25]))))),
0)</f>
        <v>0</v>
      </c>
      <c r="AE95" s="93">
        <f t="array" ref="AE95">IFERROR(
AVERAGE((IF(DATOS_[[Sexo]:[Sexo]]=$B95,IF(DATOS_[[AGRUP. VALOR. PTO.]:[AGRUP. VALOR. PTO.]]=$B93,IF(DATOS_[[Check Periodo Ref.]:[Check Periodo Ref.]]="Dentro",DATOS_[Conc.Sal.26]))))),
0)</f>
        <v>0</v>
      </c>
      <c r="AF95" s="93">
        <f t="array" ref="AF95">IFERROR(
AVERAGE((IF(DATOS_[[Sexo]:[Sexo]]=$B95,IF(DATOS_[[AGRUP. VALOR. PTO.]:[AGRUP. VALOR. PTO.]]=$B93,IF(DATOS_[[Check Periodo Ref.]:[Check Periodo Ref.]]="Dentro",DATOS_[Conc.Sal.27]))))),
0)</f>
        <v>0</v>
      </c>
      <c r="AG95" s="93">
        <f t="array" ref="AG95">IFERROR(
AVERAGE((IF(DATOS_[[Sexo]:[Sexo]]=$B95,IF(DATOS_[[AGRUP. VALOR. PTO.]:[AGRUP. VALOR. PTO.]]=$B93,IF(DATOS_[[Check Periodo Ref.]:[Check Periodo Ref.]]="Dentro",DATOS_[Conc.Sal.28]))))),
0)</f>
        <v>0</v>
      </c>
      <c r="AH95" s="93">
        <f t="array" ref="AH95">IFERROR(
AVERAGE((IF(DATOS_[[Sexo]:[Sexo]]=$B95,IF(DATOS_[[AGRUP. VALOR. PTO.]:[AGRUP. VALOR. PTO.]]=$B93,IF(DATOS_[[Check Periodo Ref.]:[Check Periodo Ref.]]="Dentro",DATOS_[Conc.Sal.29]))))),
0)</f>
        <v>0</v>
      </c>
      <c r="AI95" s="93">
        <f t="array" ref="AI95">IFERROR(
AVERAGE((IF(DATOS_[[Sexo]:[Sexo]]=$B95,IF(DATOS_[[AGRUP. VALOR. PTO.]:[AGRUP. VALOR. PTO.]]=$B93,IF(DATOS_[[Check Periodo Ref.]:[Check Periodo Ref.]]="Dentro",DATOS_[Conc.Sal.30]))))),
0)</f>
        <v>0</v>
      </c>
      <c r="AJ95" s="94">
        <f t="array" ref="AJ95">IFERROR(
AVERAGE(IF(DATOS_[Sexo]=$B95,IF(DATOS_[AGRUP. VALOR. PTO.]=$B93,IF(DATOS_[Check Periodo Ref.]="Dentro",DATOS_[Tot COMPL.SAL Ef],FALSE)))),
0)</f>
        <v>0</v>
      </c>
      <c r="AK95" s="96">
        <f t="array" ref="AK95">IFERROR(
AVERAGE(IF(DATOS_[Sexo]=$B95,IF(DATOS_[AGRUP. VALOR. PTO.]=$B93,IF(DATOS_[Check Periodo Ref.]="Dentro",DATOS_[TOTAL SALARIO Ef],FALSE)))),
0)</f>
        <v>0</v>
      </c>
      <c r="AL95" s="95">
        <f t="array" ref="AL95">IFERROR(
AVERAGE((IF(DATOS_[[Sexo]:[Sexo]]=$B95,IF(DATOS_[[AGRUP. VALOR. PTO.]:[AGRUP. VALOR. PTO.]]=$B93,IF(DATOS_[[Check Periodo Ref.]:[Check Periodo Ref.]]="Dentro",DATOS_[C.Extra.01]))))),
0)</f>
        <v>0</v>
      </c>
      <c r="AM95" s="95">
        <f t="array" ref="AM95">IFERROR(
AVERAGE((IF(DATOS_[[Sexo]:[Sexo]]=$B95,IF(DATOS_[[AGRUP. VALOR. PTO.]:[AGRUP. VALOR. PTO.]]=$B93,IF(DATOS_[[Check Periodo Ref.]:[Check Periodo Ref.]]="Dentro",DATOS_[C.Extra.02]))))),
0)</f>
        <v>0</v>
      </c>
      <c r="AN95" s="95">
        <f t="array" ref="AN95">IFERROR(
AVERAGE((IF(DATOS_[[Sexo]:[Sexo]]=$B95,IF(DATOS_[[AGRUP. VALOR. PTO.]:[AGRUP. VALOR. PTO.]]=$B93,IF(DATOS_[[Check Periodo Ref.]:[Check Periodo Ref.]]="Dentro",DATOS_[C.Extra.03]))))),
0)</f>
        <v>0</v>
      </c>
      <c r="AO95" s="95">
        <f t="array" ref="AO95">IFERROR(
AVERAGE((IF(DATOS_[[Sexo]:[Sexo]]=$B95,IF(DATOS_[[AGRUP. VALOR. PTO.]:[AGRUP. VALOR. PTO.]]=$B93,IF(DATOS_[[Check Periodo Ref.]:[Check Periodo Ref.]]="Dentro",DATOS_[C.Extra.04]))))),
0)</f>
        <v>0</v>
      </c>
      <c r="AP95" s="95">
        <f t="array" ref="AP95">IFERROR(
AVERAGE((IF(DATOS_[[Sexo]:[Sexo]]=$B95,IF(DATOS_[[AGRUP. VALOR. PTO.]:[AGRUP. VALOR. PTO.]]=$B93,IF(DATOS_[[Check Periodo Ref.]:[Check Periodo Ref.]]="Dentro",DATOS_[C.Extra.05]))))),
0)</f>
        <v>0</v>
      </c>
      <c r="AQ95" s="97">
        <f t="array" ref="AQ95">IFERROR(
AVERAGE(IF(DATOS_[Sexo]=$B95,IF(DATOS_[AGRUP. VALOR. PTO.]=$B93,IF(DATOS_[Check Periodo Ref.]="Dentro",DATOS_[Tot Extrasalarial Ef],FALSE)))),
0)</f>
        <v>0</v>
      </c>
      <c r="AR95" s="98">
        <f t="array" ref="AR95">IFERROR(
AVERAGE(IF(DATOS_[Sexo]=$B95,IF(DATOS_[AGRUP. VALOR. PTO.]=$B93,IF(DATOS_[Check Periodo Ref.]="Dentro",DATOS_[TOTAL Retrib Ef],FALSE)))),
0)</f>
        <v>0</v>
      </c>
    </row>
    <row r="96" spans="1:44" ht="17.25" hidden="1" thickBot="1" x14ac:dyDescent="0.35">
      <c r="A96" s="48" t="str">
        <f t="shared" ref="A96" si="111">+A97</f>
        <v>[ocultar]</v>
      </c>
      <c r="B96" s="51" t="s">
        <v>287</v>
      </c>
      <c r="C96" s="91"/>
      <c r="D96" s="52"/>
      <c r="E96" s="139" t="str">
        <f t="shared" ref="E96:AR96" si="112">IFERROR((E97-E98)/E97,"")</f>
        <v/>
      </c>
      <c r="F96" s="179" t="str">
        <f t="shared" si="112"/>
        <v/>
      </c>
      <c r="G96" s="180" t="str">
        <f t="shared" si="112"/>
        <v/>
      </c>
      <c r="H96" s="180" t="str">
        <f t="shared" si="112"/>
        <v/>
      </c>
      <c r="I96" s="180" t="str">
        <f t="shared" si="112"/>
        <v/>
      </c>
      <c r="J96" s="181" t="str">
        <f t="shared" si="112"/>
        <v/>
      </c>
      <c r="K96" s="182" t="str">
        <f t="shared" si="112"/>
        <v/>
      </c>
      <c r="L96" s="182" t="str">
        <f t="shared" si="112"/>
        <v/>
      </c>
      <c r="M96" s="182" t="str">
        <f t="shared" si="112"/>
        <v/>
      </c>
      <c r="N96" s="182" t="str">
        <f t="shared" si="112"/>
        <v/>
      </c>
      <c r="O96" s="182" t="str">
        <f t="shared" si="112"/>
        <v/>
      </c>
      <c r="P96" s="182" t="str">
        <f t="shared" si="112"/>
        <v/>
      </c>
      <c r="Q96" s="182" t="str">
        <f t="shared" si="112"/>
        <v/>
      </c>
      <c r="R96" s="182" t="str">
        <f t="shared" si="112"/>
        <v/>
      </c>
      <c r="S96" s="182" t="str">
        <f t="shared" si="112"/>
        <v/>
      </c>
      <c r="T96" s="182" t="str">
        <f t="shared" si="112"/>
        <v/>
      </c>
      <c r="U96" s="182" t="str">
        <f t="shared" si="112"/>
        <v/>
      </c>
      <c r="V96" s="181" t="str">
        <f t="shared" si="112"/>
        <v/>
      </c>
      <c r="W96" s="181" t="str">
        <f t="shared" si="112"/>
        <v/>
      </c>
      <c r="X96" s="181" t="str">
        <f t="shared" si="112"/>
        <v/>
      </c>
      <c r="Y96" s="181" t="str">
        <f t="shared" si="112"/>
        <v/>
      </c>
      <c r="Z96" s="181" t="str">
        <f t="shared" si="112"/>
        <v/>
      </c>
      <c r="AA96" s="181" t="str">
        <f t="shared" si="112"/>
        <v/>
      </c>
      <c r="AB96" s="181" t="str">
        <f t="shared" si="112"/>
        <v/>
      </c>
      <c r="AC96" s="181" t="str">
        <f t="shared" si="112"/>
        <v/>
      </c>
      <c r="AD96" s="181" t="str">
        <f t="shared" si="112"/>
        <v/>
      </c>
      <c r="AE96" s="181" t="str">
        <f t="shared" si="112"/>
        <v/>
      </c>
      <c r="AF96" s="181" t="str">
        <f t="shared" si="112"/>
        <v/>
      </c>
      <c r="AG96" s="181" t="str">
        <f t="shared" si="112"/>
        <v/>
      </c>
      <c r="AH96" s="181" t="str">
        <f t="shared" si="112"/>
        <v/>
      </c>
      <c r="AI96" s="181" t="str">
        <f t="shared" si="112"/>
        <v/>
      </c>
      <c r="AJ96" s="140" t="str">
        <f t="shared" si="112"/>
        <v/>
      </c>
      <c r="AK96" s="143" t="str">
        <f t="shared" si="112"/>
        <v/>
      </c>
      <c r="AL96" s="184" t="str">
        <f t="shared" si="112"/>
        <v/>
      </c>
      <c r="AM96" s="184" t="str">
        <f t="shared" si="112"/>
        <v/>
      </c>
      <c r="AN96" s="184" t="str">
        <f t="shared" si="112"/>
        <v/>
      </c>
      <c r="AO96" s="184" t="str">
        <f t="shared" si="112"/>
        <v/>
      </c>
      <c r="AP96" s="184" t="str">
        <f t="shared" si="112"/>
        <v/>
      </c>
      <c r="AQ96" s="141" t="str">
        <f t="shared" si="112"/>
        <v/>
      </c>
      <c r="AR96" s="142" t="str">
        <f t="shared" si="112"/>
        <v/>
      </c>
    </row>
    <row r="97" spans="1:44" hidden="1" x14ac:dyDescent="0.3">
      <c r="A97" s="48" t="str">
        <f t="shared" ref="A97" si="113">+IF(C97+C98=0,"[ocultar]","")</f>
        <v>[ocultar]</v>
      </c>
      <c r="B97" s="46" t="s">
        <v>162</v>
      </c>
      <c r="C97" s="45">
        <f t="array" ref="C97">SUM(IF($B97=DATOS_[Sexo],
IF($B96=DATOS_[AGRUP. VALOR. PTO.],
IF("Dentro"=DATOS_[Check Periodo Ref.],
1/(COUNTIFS(DATOS_[Sexo],$B97,DATOS_[AGRUP. VALOR. PTO.],$B96,DATOS_[Check Periodo Ref.],"Dentro",DATOS_[id],DATOS_[id]))))))</f>
        <v>0</v>
      </c>
      <c r="D97" s="47">
        <f>COUNTIFS(DATOS_[AGRUP. VALOR. PTO.],$B96,DATOS_[Sexo],$B97,DATOS_[Check Periodo Ref.],"Dentro")</f>
        <v>0</v>
      </c>
      <c r="E97" s="92">
        <f t="array" ref="E97">IFERROR(
AVERAGE(IF(DATOS_[Sexo]=$B97,IF(DATOS_[AGRUP. VALOR. PTO.]=$B96,IF(DATOS_[Check Periodo Ref.]="Dentro",DATOS_[SALARIO BASE Ef],FALSE)))),
0)</f>
        <v>0</v>
      </c>
      <c r="F97" s="93">
        <f t="array" ref="F97">IFERROR(
AVERAGE((IF(DATOS_[[Sexo]:[Sexo]]=$B97,IF(DATOS_[[AGRUP. VALOR. PTO.]:[AGRUP. VALOR. PTO.]]=$B96,IF(DATOS_[[Check Periodo Ref.]:[Check Periodo Ref.]]="Dentro",DATOS_[Conc.Sal.01]))))),
0)</f>
        <v>0</v>
      </c>
      <c r="G97" s="93">
        <f t="array" ref="G97">IFERROR(
AVERAGE((IF(DATOS_[[Sexo]:[Sexo]]=$B97,IF(DATOS_[[AGRUP. VALOR. PTO.]:[AGRUP. VALOR. PTO.]]=$B96,IF(DATOS_[[Check Periodo Ref.]:[Check Periodo Ref.]]="Dentro",DATOS_[Conc.Sal.02]))))),
0)</f>
        <v>0</v>
      </c>
      <c r="H97" s="93">
        <f t="array" ref="H97">IFERROR(
AVERAGE((IF(DATOS_[[Sexo]:[Sexo]]=$B97,IF(DATOS_[[AGRUP. VALOR. PTO.]:[AGRUP. VALOR. PTO.]]=$B96,IF(DATOS_[[Check Periodo Ref.]:[Check Periodo Ref.]]="Dentro",DATOS_[Conc.Sal.03]))))),
0)</f>
        <v>0</v>
      </c>
      <c r="I97" s="93">
        <f t="array" ref="I97">IFERROR(
AVERAGE((IF(DATOS_[[Sexo]:[Sexo]]=$B97,IF(DATOS_[[AGRUP. VALOR. PTO.]:[AGRUP. VALOR. PTO.]]=$B96,IF(DATOS_[[Check Periodo Ref.]:[Check Periodo Ref.]]="Dentro",DATOS_[Conc.Sal.04]))))),
0)</f>
        <v>0</v>
      </c>
      <c r="J97" s="93">
        <f t="array" ref="J97">IFERROR(
AVERAGE((IF(DATOS_[[Sexo]:[Sexo]]=$B97,IF(DATOS_[[AGRUP. VALOR. PTO.]:[AGRUP. VALOR. PTO.]]=$B96,IF(DATOS_[[Check Periodo Ref.]:[Check Periodo Ref.]]="Dentro",DATOS_[Conc.Sal.05]))))),
0)</f>
        <v>0</v>
      </c>
      <c r="K97" s="93">
        <f t="array" ref="K97">IFERROR(
AVERAGE((IF(DATOS_[[Sexo]:[Sexo]]=$B97,IF(DATOS_[[AGRUP. VALOR. PTO.]:[AGRUP. VALOR. PTO.]]=$B96,IF(DATOS_[[Check Periodo Ref.]:[Check Periodo Ref.]]="Dentro",DATOS_[Conc.Sal.06]))))),
0)</f>
        <v>0</v>
      </c>
      <c r="L97" s="93">
        <f t="array" ref="L97">IFERROR(
AVERAGE((IF(DATOS_[[Sexo]:[Sexo]]=$B97,IF(DATOS_[[AGRUP. VALOR. PTO.]:[AGRUP. VALOR. PTO.]]=$B96,IF(DATOS_[[Check Periodo Ref.]:[Check Periodo Ref.]]="Dentro",DATOS_[Conc.Sal.07]))))),
0)</f>
        <v>0</v>
      </c>
      <c r="M97" s="93">
        <f t="array" ref="M97">IFERROR(
AVERAGE((IF(DATOS_[[Sexo]:[Sexo]]=$B97,IF(DATOS_[[AGRUP. VALOR. PTO.]:[AGRUP. VALOR. PTO.]]=$B96,IF(DATOS_[[Check Periodo Ref.]:[Check Periodo Ref.]]="Dentro",DATOS_[Conc.Sal.08]))))),
0)</f>
        <v>0</v>
      </c>
      <c r="N97" s="93">
        <f t="array" ref="N97">IFERROR(
AVERAGE((IF(DATOS_[[Sexo]:[Sexo]]=$B97,IF(DATOS_[[AGRUP. VALOR. PTO.]:[AGRUP. VALOR. PTO.]]=$B96,IF(DATOS_[[Check Periodo Ref.]:[Check Periodo Ref.]]="Dentro",DATOS_[Conc.Sal.09]))))),
0)</f>
        <v>0</v>
      </c>
      <c r="O97" s="93">
        <f t="array" ref="O97">IFERROR(
AVERAGE((IF(DATOS_[[Sexo]:[Sexo]]=$B97,IF(DATOS_[[AGRUP. VALOR. PTO.]:[AGRUP. VALOR. PTO.]]=$B96,IF(DATOS_[[Check Periodo Ref.]:[Check Periodo Ref.]]="Dentro",DATOS_[Conc.Sal.10]))))),
0)</f>
        <v>0</v>
      </c>
      <c r="P97" s="93">
        <f t="array" ref="P97">IFERROR(
AVERAGE((IF(DATOS_[[Sexo]:[Sexo]]=$B97,IF(DATOS_[[AGRUP. VALOR. PTO.]:[AGRUP. VALOR. PTO.]]=$B96,IF(DATOS_[[Check Periodo Ref.]:[Check Periodo Ref.]]="Dentro",DATOS_[Conc.Sal.11]))))),
0)</f>
        <v>0</v>
      </c>
      <c r="Q97" s="93">
        <f t="array" ref="Q97">IFERROR(
AVERAGE((IF(DATOS_[[Sexo]:[Sexo]]=$B97,IF(DATOS_[[AGRUP. VALOR. PTO.]:[AGRUP. VALOR. PTO.]]=$B96,IF(DATOS_[[Check Periodo Ref.]:[Check Periodo Ref.]]="Dentro",DATOS_[Conc.Sal.12]))))),
0)</f>
        <v>0</v>
      </c>
      <c r="R97" s="93">
        <f t="array" ref="R97">IFERROR(
AVERAGE((IF(DATOS_[[Sexo]:[Sexo]]=$B97,IF(DATOS_[[AGRUP. VALOR. PTO.]:[AGRUP. VALOR. PTO.]]=$B96,IF(DATOS_[[Check Periodo Ref.]:[Check Periodo Ref.]]="Dentro",DATOS_[Conc.Sal.13]))))),
0)</f>
        <v>0</v>
      </c>
      <c r="S97" s="93">
        <f t="array" ref="S97">IFERROR(
AVERAGE((IF(DATOS_[[Sexo]:[Sexo]]=$B97,IF(DATOS_[[AGRUP. VALOR. PTO.]:[AGRUP. VALOR. PTO.]]=$B96,IF(DATOS_[[Check Periodo Ref.]:[Check Periodo Ref.]]="Dentro",DATOS_[Conc.Sal.14]))))),
0)</f>
        <v>0</v>
      </c>
      <c r="T97" s="93">
        <f t="array" ref="T97">IFERROR(
AVERAGE((IF(DATOS_[[Sexo]:[Sexo]]=$B97,IF(DATOS_[[AGRUP. VALOR. PTO.]:[AGRUP. VALOR. PTO.]]=$B96,IF(DATOS_[[Check Periodo Ref.]:[Check Periodo Ref.]]="Dentro",DATOS_[Conc.Sal.15]))))),
0)</f>
        <v>0</v>
      </c>
      <c r="U97" s="93">
        <f t="array" ref="U97">IFERROR(
AVERAGE((IF(DATOS_[[Sexo]:[Sexo]]=$B97,IF(DATOS_[[AGRUP. VALOR. PTO.]:[AGRUP. VALOR. PTO.]]=$B96,IF(DATOS_[[Check Periodo Ref.]:[Check Periodo Ref.]]="Dentro",DATOS_[Conc.Sal.16]))))),
0)</f>
        <v>0</v>
      </c>
      <c r="V97" s="93">
        <f t="array" ref="V97">IFERROR(
AVERAGE((IF(DATOS_[[Sexo]:[Sexo]]=$B97,IF(DATOS_[[AGRUP. VALOR. PTO.]:[AGRUP. VALOR. PTO.]]=$B96,IF(DATOS_[[Check Periodo Ref.]:[Check Periodo Ref.]]="Dentro",DATOS_[Conc.Sal.17]))))),
0)</f>
        <v>0</v>
      </c>
      <c r="W97" s="93">
        <f t="array" ref="W97">IFERROR(
AVERAGE((IF(DATOS_[[Sexo]:[Sexo]]=$B97,IF(DATOS_[[AGRUP. VALOR. PTO.]:[AGRUP. VALOR. PTO.]]=$B96,IF(DATOS_[[Check Periodo Ref.]:[Check Periodo Ref.]]="Dentro",DATOS_[Conc.Sal.18]))))),
0)</f>
        <v>0</v>
      </c>
      <c r="X97" s="93">
        <f t="array" ref="X97">IFERROR(
AVERAGE((IF(DATOS_[[Sexo]:[Sexo]]=$B97,IF(DATOS_[[AGRUP. VALOR. PTO.]:[AGRUP. VALOR. PTO.]]=$B96,IF(DATOS_[[Check Periodo Ref.]:[Check Periodo Ref.]]="Dentro",DATOS_[Conc.Sal.19]))))),
0)</f>
        <v>0</v>
      </c>
      <c r="Y97" s="93">
        <f t="array" ref="Y97">IFERROR(
AVERAGE((IF(DATOS_[[Sexo]:[Sexo]]=$B97,IF(DATOS_[[AGRUP. VALOR. PTO.]:[AGRUP. VALOR. PTO.]]=$B96,IF(DATOS_[[Check Periodo Ref.]:[Check Periodo Ref.]]="Dentro",DATOS_[Conc.Sal.20]))))),
0)</f>
        <v>0</v>
      </c>
      <c r="Z97" s="93">
        <f t="array" ref="Z97">IFERROR(
AVERAGE((IF(DATOS_[[Sexo]:[Sexo]]=$B97,IF(DATOS_[[AGRUP. VALOR. PTO.]:[AGRUP. VALOR. PTO.]]=$B96,IF(DATOS_[[Check Periodo Ref.]:[Check Periodo Ref.]]="Dentro",DATOS_[Conc.Sal.21]))))),
0)</f>
        <v>0</v>
      </c>
      <c r="AA97" s="93">
        <f t="array" ref="AA97">IFERROR(
AVERAGE((IF(DATOS_[[Sexo]:[Sexo]]=$B97,IF(DATOS_[[AGRUP. VALOR. PTO.]:[AGRUP. VALOR. PTO.]]=$B96,IF(DATOS_[[Check Periodo Ref.]:[Check Periodo Ref.]]="Dentro",DATOS_[Conc.Sal.22]))))),
0)</f>
        <v>0</v>
      </c>
      <c r="AB97" s="93">
        <f t="array" ref="AB97">IFERROR(
AVERAGE((IF(DATOS_[[Sexo]:[Sexo]]=$B97,IF(DATOS_[[AGRUP. VALOR. PTO.]:[AGRUP. VALOR. PTO.]]=$B96,IF(DATOS_[[Check Periodo Ref.]:[Check Periodo Ref.]]="Dentro",DATOS_[Conc.Sal.23]))))),
0)</f>
        <v>0</v>
      </c>
      <c r="AC97" s="93">
        <f t="array" ref="AC97">IFERROR(
AVERAGE((IF(DATOS_[[Sexo]:[Sexo]]=$B97,IF(DATOS_[[AGRUP. VALOR. PTO.]:[AGRUP. VALOR. PTO.]]=$B96,IF(DATOS_[[Check Periodo Ref.]:[Check Periodo Ref.]]="Dentro",DATOS_[Conc.Sal.24]))))),
0)</f>
        <v>0</v>
      </c>
      <c r="AD97" s="93">
        <f t="array" ref="AD97">IFERROR(
AVERAGE((IF(DATOS_[[Sexo]:[Sexo]]=$B97,IF(DATOS_[[AGRUP. VALOR. PTO.]:[AGRUP. VALOR. PTO.]]=$B96,IF(DATOS_[[Check Periodo Ref.]:[Check Periodo Ref.]]="Dentro",DATOS_[Conc.Sal.25]))))),
0)</f>
        <v>0</v>
      </c>
      <c r="AE97" s="93">
        <f t="array" ref="AE97">IFERROR(
AVERAGE((IF(DATOS_[[Sexo]:[Sexo]]=$B97,IF(DATOS_[[AGRUP. VALOR. PTO.]:[AGRUP. VALOR. PTO.]]=$B96,IF(DATOS_[[Check Periodo Ref.]:[Check Periodo Ref.]]="Dentro",DATOS_[Conc.Sal.26]))))),
0)</f>
        <v>0</v>
      </c>
      <c r="AF97" s="93">
        <f t="array" ref="AF97">IFERROR(
AVERAGE((IF(DATOS_[[Sexo]:[Sexo]]=$B97,IF(DATOS_[[AGRUP. VALOR. PTO.]:[AGRUP. VALOR. PTO.]]=$B96,IF(DATOS_[[Check Periodo Ref.]:[Check Periodo Ref.]]="Dentro",DATOS_[Conc.Sal.27]))))),
0)</f>
        <v>0</v>
      </c>
      <c r="AG97" s="93">
        <f t="array" ref="AG97">IFERROR(
AVERAGE((IF(DATOS_[[Sexo]:[Sexo]]=$B97,IF(DATOS_[[AGRUP. VALOR. PTO.]:[AGRUP. VALOR. PTO.]]=$B96,IF(DATOS_[[Check Periodo Ref.]:[Check Periodo Ref.]]="Dentro",DATOS_[Conc.Sal.28]))))),
0)</f>
        <v>0</v>
      </c>
      <c r="AH97" s="93">
        <f t="array" ref="AH97">IFERROR(
AVERAGE((IF(DATOS_[[Sexo]:[Sexo]]=$B97,IF(DATOS_[[AGRUP. VALOR. PTO.]:[AGRUP. VALOR. PTO.]]=$B96,IF(DATOS_[[Check Periodo Ref.]:[Check Periodo Ref.]]="Dentro",DATOS_[Conc.Sal.29]))))),
0)</f>
        <v>0</v>
      </c>
      <c r="AI97" s="93">
        <f t="array" ref="AI97">IFERROR(
AVERAGE((IF(DATOS_[[Sexo]:[Sexo]]=$B97,IF(DATOS_[[AGRUP. VALOR. PTO.]:[AGRUP. VALOR. PTO.]]=$B96,IF(DATOS_[[Check Periodo Ref.]:[Check Periodo Ref.]]="Dentro",DATOS_[Conc.Sal.30]))))),
0)</f>
        <v>0</v>
      </c>
      <c r="AJ97" s="94">
        <f t="array" ref="AJ97">IFERROR(
AVERAGE(IF(DATOS_[Sexo]=$B97,IF(DATOS_[AGRUP. VALOR. PTO.]=$B96,IF(DATOS_[Check Periodo Ref.]="Dentro",DATOS_[Tot COMPL.SAL Ef],FALSE)))),
0)</f>
        <v>0</v>
      </c>
      <c r="AK97" s="96">
        <f t="array" ref="AK97">IFERROR(
AVERAGE(IF(DATOS_[Sexo]=$B97,IF(DATOS_[AGRUP. VALOR. PTO.]=$B96,IF(DATOS_[Check Periodo Ref.]="Dentro",DATOS_[TOTAL SALARIO Ef],FALSE)))),
0)</f>
        <v>0</v>
      </c>
      <c r="AL97" s="95">
        <f t="array" ref="AL97">IFERROR(
AVERAGE((IF(DATOS_[[Sexo]:[Sexo]]=$B97,IF(DATOS_[[AGRUP. VALOR. PTO.]:[AGRUP. VALOR. PTO.]]=$B96,IF(DATOS_[[Check Periodo Ref.]:[Check Periodo Ref.]]="Dentro",DATOS_[C.Extra.01]))))),
0)</f>
        <v>0</v>
      </c>
      <c r="AM97" s="95">
        <f t="array" ref="AM97">IFERROR(
AVERAGE((IF(DATOS_[[Sexo]:[Sexo]]=$B97,IF(DATOS_[[AGRUP. VALOR. PTO.]:[AGRUP. VALOR. PTO.]]=$B96,IF(DATOS_[[Check Periodo Ref.]:[Check Periodo Ref.]]="Dentro",DATOS_[C.Extra.02]))))),
0)</f>
        <v>0</v>
      </c>
      <c r="AN97" s="95">
        <f t="array" ref="AN97">IFERROR(
AVERAGE((IF(DATOS_[[Sexo]:[Sexo]]=$B97,IF(DATOS_[[AGRUP. VALOR. PTO.]:[AGRUP. VALOR. PTO.]]=$B96,IF(DATOS_[[Check Periodo Ref.]:[Check Periodo Ref.]]="Dentro",DATOS_[C.Extra.03]))))),
0)</f>
        <v>0</v>
      </c>
      <c r="AO97" s="95">
        <f t="array" ref="AO97">IFERROR(
AVERAGE((IF(DATOS_[[Sexo]:[Sexo]]=$B97,IF(DATOS_[[AGRUP. VALOR. PTO.]:[AGRUP. VALOR. PTO.]]=$B96,IF(DATOS_[[Check Periodo Ref.]:[Check Periodo Ref.]]="Dentro",DATOS_[C.Extra.04]))))),
0)</f>
        <v>0</v>
      </c>
      <c r="AP97" s="95">
        <f t="array" ref="AP97">IFERROR(
AVERAGE((IF(DATOS_[[Sexo]:[Sexo]]=$B97,IF(DATOS_[[AGRUP. VALOR. PTO.]:[AGRUP. VALOR. PTO.]]=$B96,IF(DATOS_[[Check Periodo Ref.]:[Check Periodo Ref.]]="Dentro",DATOS_[C.Extra.05]))))),
0)</f>
        <v>0</v>
      </c>
      <c r="AQ97" s="97">
        <f t="array" ref="AQ97">IFERROR(
AVERAGE(IF(DATOS_[Sexo]=$B97,IF(DATOS_[AGRUP. VALOR. PTO.]=$B96,IF(DATOS_[Check Periodo Ref.]="Dentro",DATOS_[Tot Extrasalarial Ef],FALSE)))),
0)</f>
        <v>0</v>
      </c>
      <c r="AR97" s="98">
        <f t="array" ref="AR97">IFERROR(
AVERAGE(IF(DATOS_[Sexo]=$B97,IF(DATOS_[AGRUP. VALOR. PTO.]=$B96,IF(DATOS_[Check Periodo Ref.]="Dentro",DATOS_[TOTAL Retrib Ef],FALSE)))),
0)</f>
        <v>0</v>
      </c>
    </row>
    <row r="98" spans="1:44" hidden="1" x14ac:dyDescent="0.3">
      <c r="A98" s="48" t="str">
        <f t="shared" ref="A98" si="114">+A97</f>
        <v>[ocultar]</v>
      </c>
      <c r="B98" s="46" t="s">
        <v>163</v>
      </c>
      <c r="C98" s="45">
        <f t="array" ref="C98">SUM(IF($B98=DATOS_[Sexo],
IF($B96=DATOS_[AGRUP. VALOR. PTO.],
IF("Dentro"=DATOS_[Check Periodo Ref.],
1/(COUNTIFS(DATOS_[Sexo],$B98,DATOS_[AGRUP. VALOR. PTO.],$B96,DATOS_[Check Periodo Ref.],"Dentro",DATOS_[id],DATOS_[id]))))))</f>
        <v>0</v>
      </c>
      <c r="D98" s="47">
        <f>COUNTIFS(DATOS_[AGRUP. VALOR. PTO.],$B96,DATOS_[Sexo],$B98,DATOS_[Check Periodo Ref.],"Dentro")</f>
        <v>0</v>
      </c>
      <c r="E98" s="92">
        <f t="array" ref="E98">IFERROR(
AVERAGE(IF(DATOS_[Sexo]=$B98,IF(DATOS_[AGRUP. VALOR. PTO.]=$B96,IF(DATOS_[Check Periodo Ref.]="Dentro",DATOS_[SALARIO BASE Ef],FALSE)))),
0)</f>
        <v>0</v>
      </c>
      <c r="F98" s="93">
        <f t="array" ref="F98">IFERROR(
AVERAGE((IF(DATOS_[[Sexo]:[Sexo]]=$B98,IF(DATOS_[[AGRUP. VALOR. PTO.]:[AGRUP. VALOR. PTO.]]=$B96,IF(DATOS_[[Check Periodo Ref.]:[Check Periodo Ref.]]="Dentro",DATOS_[Conc.Sal.01]))))),
0)</f>
        <v>0</v>
      </c>
      <c r="G98" s="93">
        <f t="array" ref="G98">IFERROR(
AVERAGE((IF(DATOS_[[Sexo]:[Sexo]]=$B98,IF(DATOS_[[AGRUP. VALOR. PTO.]:[AGRUP. VALOR. PTO.]]=$B96,IF(DATOS_[[Check Periodo Ref.]:[Check Periodo Ref.]]="Dentro",DATOS_[Conc.Sal.02]))))),
0)</f>
        <v>0</v>
      </c>
      <c r="H98" s="93">
        <f t="array" ref="H98">IFERROR(
AVERAGE((IF(DATOS_[[Sexo]:[Sexo]]=$B98,IF(DATOS_[[AGRUP. VALOR. PTO.]:[AGRUP. VALOR. PTO.]]=$B96,IF(DATOS_[[Check Periodo Ref.]:[Check Periodo Ref.]]="Dentro",DATOS_[Conc.Sal.03]))))),
0)</f>
        <v>0</v>
      </c>
      <c r="I98" s="93">
        <f t="array" ref="I98">IFERROR(
AVERAGE((IF(DATOS_[[Sexo]:[Sexo]]=$B98,IF(DATOS_[[AGRUP. VALOR. PTO.]:[AGRUP. VALOR. PTO.]]=$B96,IF(DATOS_[[Check Periodo Ref.]:[Check Periodo Ref.]]="Dentro",DATOS_[Conc.Sal.04]))))),
0)</f>
        <v>0</v>
      </c>
      <c r="J98" s="93">
        <f t="array" ref="J98">IFERROR(
AVERAGE((IF(DATOS_[[Sexo]:[Sexo]]=$B98,IF(DATOS_[[AGRUP. VALOR. PTO.]:[AGRUP. VALOR. PTO.]]=$B96,IF(DATOS_[[Check Periodo Ref.]:[Check Periodo Ref.]]="Dentro",DATOS_[Conc.Sal.05]))))),
0)</f>
        <v>0</v>
      </c>
      <c r="K98" s="93">
        <f t="array" ref="K98">IFERROR(
AVERAGE((IF(DATOS_[[Sexo]:[Sexo]]=$B98,IF(DATOS_[[AGRUP. VALOR. PTO.]:[AGRUP. VALOR. PTO.]]=$B96,IF(DATOS_[[Check Periodo Ref.]:[Check Periodo Ref.]]="Dentro",DATOS_[Conc.Sal.06]))))),
0)</f>
        <v>0</v>
      </c>
      <c r="L98" s="93">
        <f t="array" ref="L98">IFERROR(
AVERAGE((IF(DATOS_[[Sexo]:[Sexo]]=$B98,IF(DATOS_[[AGRUP. VALOR. PTO.]:[AGRUP. VALOR. PTO.]]=$B96,IF(DATOS_[[Check Periodo Ref.]:[Check Periodo Ref.]]="Dentro",DATOS_[Conc.Sal.07]))))),
0)</f>
        <v>0</v>
      </c>
      <c r="M98" s="93">
        <f t="array" ref="M98">IFERROR(
AVERAGE((IF(DATOS_[[Sexo]:[Sexo]]=$B98,IF(DATOS_[[AGRUP. VALOR. PTO.]:[AGRUP. VALOR. PTO.]]=$B96,IF(DATOS_[[Check Periodo Ref.]:[Check Periodo Ref.]]="Dentro",DATOS_[Conc.Sal.08]))))),
0)</f>
        <v>0</v>
      </c>
      <c r="N98" s="93">
        <f t="array" ref="N98">IFERROR(
AVERAGE((IF(DATOS_[[Sexo]:[Sexo]]=$B98,IF(DATOS_[[AGRUP. VALOR. PTO.]:[AGRUP. VALOR. PTO.]]=$B96,IF(DATOS_[[Check Periodo Ref.]:[Check Periodo Ref.]]="Dentro",DATOS_[Conc.Sal.09]))))),
0)</f>
        <v>0</v>
      </c>
      <c r="O98" s="93">
        <f t="array" ref="O98">IFERROR(
AVERAGE((IF(DATOS_[[Sexo]:[Sexo]]=$B98,IF(DATOS_[[AGRUP. VALOR. PTO.]:[AGRUP. VALOR. PTO.]]=$B96,IF(DATOS_[[Check Periodo Ref.]:[Check Periodo Ref.]]="Dentro",DATOS_[Conc.Sal.10]))))),
0)</f>
        <v>0</v>
      </c>
      <c r="P98" s="93">
        <f t="array" ref="P98">IFERROR(
AVERAGE((IF(DATOS_[[Sexo]:[Sexo]]=$B98,IF(DATOS_[[AGRUP. VALOR. PTO.]:[AGRUP. VALOR. PTO.]]=$B96,IF(DATOS_[[Check Periodo Ref.]:[Check Periodo Ref.]]="Dentro",DATOS_[Conc.Sal.11]))))),
0)</f>
        <v>0</v>
      </c>
      <c r="Q98" s="93">
        <f t="array" ref="Q98">IFERROR(
AVERAGE((IF(DATOS_[[Sexo]:[Sexo]]=$B98,IF(DATOS_[[AGRUP. VALOR. PTO.]:[AGRUP. VALOR. PTO.]]=$B96,IF(DATOS_[[Check Periodo Ref.]:[Check Periodo Ref.]]="Dentro",DATOS_[Conc.Sal.12]))))),
0)</f>
        <v>0</v>
      </c>
      <c r="R98" s="93">
        <f t="array" ref="R98">IFERROR(
AVERAGE((IF(DATOS_[[Sexo]:[Sexo]]=$B98,IF(DATOS_[[AGRUP. VALOR. PTO.]:[AGRUP. VALOR. PTO.]]=$B96,IF(DATOS_[[Check Periodo Ref.]:[Check Periodo Ref.]]="Dentro",DATOS_[Conc.Sal.13]))))),
0)</f>
        <v>0</v>
      </c>
      <c r="S98" s="93">
        <f t="array" ref="S98">IFERROR(
AVERAGE((IF(DATOS_[[Sexo]:[Sexo]]=$B98,IF(DATOS_[[AGRUP. VALOR. PTO.]:[AGRUP. VALOR. PTO.]]=$B96,IF(DATOS_[[Check Periodo Ref.]:[Check Periodo Ref.]]="Dentro",DATOS_[Conc.Sal.14]))))),
0)</f>
        <v>0</v>
      </c>
      <c r="T98" s="93">
        <f t="array" ref="T98">IFERROR(
AVERAGE((IF(DATOS_[[Sexo]:[Sexo]]=$B98,IF(DATOS_[[AGRUP. VALOR. PTO.]:[AGRUP. VALOR. PTO.]]=$B96,IF(DATOS_[[Check Periodo Ref.]:[Check Periodo Ref.]]="Dentro",DATOS_[Conc.Sal.15]))))),
0)</f>
        <v>0</v>
      </c>
      <c r="U98" s="93">
        <f t="array" ref="U98">IFERROR(
AVERAGE((IF(DATOS_[[Sexo]:[Sexo]]=$B98,IF(DATOS_[[AGRUP. VALOR. PTO.]:[AGRUP. VALOR. PTO.]]=$B96,IF(DATOS_[[Check Periodo Ref.]:[Check Periodo Ref.]]="Dentro",DATOS_[Conc.Sal.16]))))),
0)</f>
        <v>0</v>
      </c>
      <c r="V98" s="93">
        <f t="array" ref="V98">IFERROR(
AVERAGE((IF(DATOS_[[Sexo]:[Sexo]]=$B98,IF(DATOS_[[AGRUP. VALOR. PTO.]:[AGRUP. VALOR. PTO.]]=$B96,IF(DATOS_[[Check Periodo Ref.]:[Check Periodo Ref.]]="Dentro",DATOS_[Conc.Sal.17]))))),
0)</f>
        <v>0</v>
      </c>
      <c r="W98" s="93">
        <f t="array" ref="W98">IFERROR(
AVERAGE((IF(DATOS_[[Sexo]:[Sexo]]=$B98,IF(DATOS_[[AGRUP. VALOR. PTO.]:[AGRUP. VALOR. PTO.]]=$B96,IF(DATOS_[[Check Periodo Ref.]:[Check Periodo Ref.]]="Dentro",DATOS_[Conc.Sal.18]))))),
0)</f>
        <v>0</v>
      </c>
      <c r="X98" s="93">
        <f t="array" ref="X98">IFERROR(
AVERAGE((IF(DATOS_[[Sexo]:[Sexo]]=$B98,IF(DATOS_[[AGRUP. VALOR. PTO.]:[AGRUP. VALOR. PTO.]]=$B96,IF(DATOS_[[Check Periodo Ref.]:[Check Periodo Ref.]]="Dentro",DATOS_[Conc.Sal.19]))))),
0)</f>
        <v>0</v>
      </c>
      <c r="Y98" s="93">
        <f t="array" ref="Y98">IFERROR(
AVERAGE((IF(DATOS_[[Sexo]:[Sexo]]=$B98,IF(DATOS_[[AGRUP. VALOR. PTO.]:[AGRUP. VALOR. PTO.]]=$B96,IF(DATOS_[[Check Periodo Ref.]:[Check Periodo Ref.]]="Dentro",DATOS_[Conc.Sal.20]))))),
0)</f>
        <v>0</v>
      </c>
      <c r="Z98" s="93">
        <f t="array" ref="Z98">IFERROR(
AVERAGE((IF(DATOS_[[Sexo]:[Sexo]]=$B98,IF(DATOS_[[AGRUP. VALOR. PTO.]:[AGRUP. VALOR. PTO.]]=$B96,IF(DATOS_[[Check Periodo Ref.]:[Check Periodo Ref.]]="Dentro",DATOS_[Conc.Sal.21]))))),
0)</f>
        <v>0</v>
      </c>
      <c r="AA98" s="93">
        <f t="array" ref="AA98">IFERROR(
AVERAGE((IF(DATOS_[[Sexo]:[Sexo]]=$B98,IF(DATOS_[[AGRUP. VALOR. PTO.]:[AGRUP. VALOR. PTO.]]=$B96,IF(DATOS_[[Check Periodo Ref.]:[Check Periodo Ref.]]="Dentro",DATOS_[Conc.Sal.22]))))),
0)</f>
        <v>0</v>
      </c>
      <c r="AB98" s="93">
        <f t="array" ref="AB98">IFERROR(
AVERAGE((IF(DATOS_[[Sexo]:[Sexo]]=$B98,IF(DATOS_[[AGRUP. VALOR. PTO.]:[AGRUP. VALOR. PTO.]]=$B96,IF(DATOS_[[Check Periodo Ref.]:[Check Periodo Ref.]]="Dentro",DATOS_[Conc.Sal.23]))))),
0)</f>
        <v>0</v>
      </c>
      <c r="AC98" s="93">
        <f t="array" ref="AC98">IFERROR(
AVERAGE((IF(DATOS_[[Sexo]:[Sexo]]=$B98,IF(DATOS_[[AGRUP. VALOR. PTO.]:[AGRUP. VALOR. PTO.]]=$B96,IF(DATOS_[[Check Periodo Ref.]:[Check Periodo Ref.]]="Dentro",DATOS_[Conc.Sal.24]))))),
0)</f>
        <v>0</v>
      </c>
      <c r="AD98" s="93">
        <f t="array" ref="AD98">IFERROR(
AVERAGE((IF(DATOS_[[Sexo]:[Sexo]]=$B98,IF(DATOS_[[AGRUP. VALOR. PTO.]:[AGRUP. VALOR. PTO.]]=$B96,IF(DATOS_[[Check Periodo Ref.]:[Check Periodo Ref.]]="Dentro",DATOS_[Conc.Sal.25]))))),
0)</f>
        <v>0</v>
      </c>
      <c r="AE98" s="93">
        <f t="array" ref="AE98">IFERROR(
AVERAGE((IF(DATOS_[[Sexo]:[Sexo]]=$B98,IF(DATOS_[[AGRUP. VALOR. PTO.]:[AGRUP. VALOR. PTO.]]=$B96,IF(DATOS_[[Check Periodo Ref.]:[Check Periodo Ref.]]="Dentro",DATOS_[Conc.Sal.26]))))),
0)</f>
        <v>0</v>
      </c>
      <c r="AF98" s="93">
        <f t="array" ref="AF98">IFERROR(
AVERAGE((IF(DATOS_[[Sexo]:[Sexo]]=$B98,IF(DATOS_[[AGRUP. VALOR. PTO.]:[AGRUP. VALOR. PTO.]]=$B96,IF(DATOS_[[Check Periodo Ref.]:[Check Periodo Ref.]]="Dentro",DATOS_[Conc.Sal.27]))))),
0)</f>
        <v>0</v>
      </c>
      <c r="AG98" s="93">
        <f t="array" ref="AG98">IFERROR(
AVERAGE((IF(DATOS_[[Sexo]:[Sexo]]=$B98,IF(DATOS_[[AGRUP. VALOR. PTO.]:[AGRUP. VALOR. PTO.]]=$B96,IF(DATOS_[[Check Periodo Ref.]:[Check Periodo Ref.]]="Dentro",DATOS_[Conc.Sal.28]))))),
0)</f>
        <v>0</v>
      </c>
      <c r="AH98" s="93">
        <f t="array" ref="AH98">IFERROR(
AVERAGE((IF(DATOS_[[Sexo]:[Sexo]]=$B98,IF(DATOS_[[AGRUP. VALOR. PTO.]:[AGRUP. VALOR. PTO.]]=$B96,IF(DATOS_[[Check Periodo Ref.]:[Check Periodo Ref.]]="Dentro",DATOS_[Conc.Sal.29]))))),
0)</f>
        <v>0</v>
      </c>
      <c r="AI98" s="93">
        <f t="array" ref="AI98">IFERROR(
AVERAGE((IF(DATOS_[[Sexo]:[Sexo]]=$B98,IF(DATOS_[[AGRUP. VALOR. PTO.]:[AGRUP. VALOR. PTO.]]=$B96,IF(DATOS_[[Check Periodo Ref.]:[Check Periodo Ref.]]="Dentro",DATOS_[Conc.Sal.30]))))),
0)</f>
        <v>0</v>
      </c>
      <c r="AJ98" s="94">
        <f t="array" ref="AJ98">IFERROR(
AVERAGE(IF(DATOS_[Sexo]=$B98,IF(DATOS_[AGRUP. VALOR. PTO.]=$B96,IF(DATOS_[Check Periodo Ref.]="Dentro",DATOS_[Tot COMPL.SAL Ef],FALSE)))),
0)</f>
        <v>0</v>
      </c>
      <c r="AK98" s="96">
        <f t="array" ref="AK98">IFERROR(
AVERAGE(IF(DATOS_[Sexo]=$B98,IF(DATOS_[AGRUP. VALOR. PTO.]=$B96,IF(DATOS_[Check Periodo Ref.]="Dentro",DATOS_[TOTAL SALARIO Ef],FALSE)))),
0)</f>
        <v>0</v>
      </c>
      <c r="AL98" s="95">
        <f t="array" ref="AL98">IFERROR(
AVERAGE((IF(DATOS_[[Sexo]:[Sexo]]=$B98,IF(DATOS_[[AGRUP. VALOR. PTO.]:[AGRUP. VALOR. PTO.]]=$B96,IF(DATOS_[[Check Periodo Ref.]:[Check Periodo Ref.]]="Dentro",DATOS_[C.Extra.01]))))),
0)</f>
        <v>0</v>
      </c>
      <c r="AM98" s="95">
        <f t="array" ref="AM98">IFERROR(
AVERAGE((IF(DATOS_[[Sexo]:[Sexo]]=$B98,IF(DATOS_[[AGRUP. VALOR. PTO.]:[AGRUP. VALOR. PTO.]]=$B96,IF(DATOS_[[Check Periodo Ref.]:[Check Periodo Ref.]]="Dentro",DATOS_[C.Extra.02]))))),
0)</f>
        <v>0</v>
      </c>
      <c r="AN98" s="95">
        <f t="array" ref="AN98">IFERROR(
AVERAGE((IF(DATOS_[[Sexo]:[Sexo]]=$B98,IF(DATOS_[[AGRUP. VALOR. PTO.]:[AGRUP. VALOR. PTO.]]=$B96,IF(DATOS_[[Check Periodo Ref.]:[Check Periodo Ref.]]="Dentro",DATOS_[C.Extra.03]))))),
0)</f>
        <v>0</v>
      </c>
      <c r="AO98" s="95">
        <f t="array" ref="AO98">IFERROR(
AVERAGE((IF(DATOS_[[Sexo]:[Sexo]]=$B98,IF(DATOS_[[AGRUP. VALOR. PTO.]:[AGRUP. VALOR. PTO.]]=$B96,IF(DATOS_[[Check Periodo Ref.]:[Check Periodo Ref.]]="Dentro",DATOS_[C.Extra.04]))))),
0)</f>
        <v>0</v>
      </c>
      <c r="AP98" s="95">
        <f t="array" ref="AP98">IFERROR(
AVERAGE((IF(DATOS_[[Sexo]:[Sexo]]=$B98,IF(DATOS_[[AGRUP. VALOR. PTO.]:[AGRUP. VALOR. PTO.]]=$B96,IF(DATOS_[[Check Periodo Ref.]:[Check Periodo Ref.]]="Dentro",DATOS_[C.Extra.05]))))),
0)</f>
        <v>0</v>
      </c>
      <c r="AQ98" s="97">
        <f t="array" ref="AQ98">IFERROR(
AVERAGE(IF(DATOS_[Sexo]=$B98,IF(DATOS_[AGRUP. VALOR. PTO.]=$B96,IF(DATOS_[Check Periodo Ref.]="Dentro",DATOS_[Tot Extrasalarial Ef],FALSE)))),
0)</f>
        <v>0</v>
      </c>
      <c r="AR98" s="98">
        <f t="array" ref="AR98">IFERROR(
AVERAGE(IF(DATOS_[Sexo]=$B98,IF(DATOS_[AGRUP. VALOR. PTO.]=$B96,IF(DATOS_[Check Periodo Ref.]="Dentro",DATOS_[TOTAL Retrib Ef],FALSE)))),
0)</f>
        <v>0</v>
      </c>
    </row>
    <row r="99" spans="1:44" ht="17.25" hidden="1" thickBot="1" x14ac:dyDescent="0.35">
      <c r="A99" s="48" t="str">
        <f t="shared" ref="A99" si="115">+A100</f>
        <v>[ocultar]</v>
      </c>
      <c r="B99" s="51" t="s">
        <v>288</v>
      </c>
      <c r="C99" s="91"/>
      <c r="D99" s="52"/>
      <c r="E99" s="139" t="str">
        <f t="shared" ref="E99:AR99" si="116">IFERROR((E100-E101)/E100,"")</f>
        <v/>
      </c>
      <c r="F99" s="179" t="str">
        <f t="shared" si="116"/>
        <v/>
      </c>
      <c r="G99" s="180" t="str">
        <f t="shared" si="116"/>
        <v/>
      </c>
      <c r="H99" s="180" t="str">
        <f t="shared" si="116"/>
        <v/>
      </c>
      <c r="I99" s="180" t="str">
        <f t="shared" si="116"/>
        <v/>
      </c>
      <c r="J99" s="181" t="str">
        <f t="shared" si="116"/>
        <v/>
      </c>
      <c r="K99" s="182" t="str">
        <f t="shared" si="116"/>
        <v/>
      </c>
      <c r="L99" s="182" t="str">
        <f t="shared" si="116"/>
        <v/>
      </c>
      <c r="M99" s="182" t="str">
        <f t="shared" si="116"/>
        <v/>
      </c>
      <c r="N99" s="182" t="str">
        <f t="shared" si="116"/>
        <v/>
      </c>
      <c r="O99" s="182" t="str">
        <f t="shared" si="116"/>
        <v/>
      </c>
      <c r="P99" s="182" t="str">
        <f t="shared" si="116"/>
        <v/>
      </c>
      <c r="Q99" s="182" t="str">
        <f t="shared" si="116"/>
        <v/>
      </c>
      <c r="R99" s="182" t="str">
        <f t="shared" si="116"/>
        <v/>
      </c>
      <c r="S99" s="182" t="str">
        <f t="shared" si="116"/>
        <v/>
      </c>
      <c r="T99" s="182" t="str">
        <f t="shared" si="116"/>
        <v/>
      </c>
      <c r="U99" s="182" t="str">
        <f t="shared" si="116"/>
        <v/>
      </c>
      <c r="V99" s="181" t="str">
        <f t="shared" si="116"/>
        <v/>
      </c>
      <c r="W99" s="181" t="str">
        <f t="shared" si="116"/>
        <v/>
      </c>
      <c r="X99" s="181" t="str">
        <f t="shared" si="116"/>
        <v/>
      </c>
      <c r="Y99" s="181" t="str">
        <f t="shared" si="116"/>
        <v/>
      </c>
      <c r="Z99" s="181" t="str">
        <f t="shared" si="116"/>
        <v/>
      </c>
      <c r="AA99" s="181" t="str">
        <f t="shared" si="116"/>
        <v/>
      </c>
      <c r="AB99" s="181" t="str">
        <f t="shared" si="116"/>
        <v/>
      </c>
      <c r="AC99" s="181" t="str">
        <f t="shared" si="116"/>
        <v/>
      </c>
      <c r="AD99" s="181" t="str">
        <f t="shared" si="116"/>
        <v/>
      </c>
      <c r="AE99" s="181" t="str">
        <f t="shared" si="116"/>
        <v/>
      </c>
      <c r="AF99" s="181" t="str">
        <f t="shared" si="116"/>
        <v/>
      </c>
      <c r="AG99" s="181" t="str">
        <f t="shared" si="116"/>
        <v/>
      </c>
      <c r="AH99" s="181" t="str">
        <f t="shared" si="116"/>
        <v/>
      </c>
      <c r="AI99" s="181" t="str">
        <f t="shared" si="116"/>
        <v/>
      </c>
      <c r="AJ99" s="140" t="str">
        <f t="shared" si="116"/>
        <v/>
      </c>
      <c r="AK99" s="143" t="str">
        <f t="shared" si="116"/>
        <v/>
      </c>
      <c r="AL99" s="184" t="str">
        <f t="shared" si="116"/>
        <v/>
      </c>
      <c r="AM99" s="184" t="str">
        <f t="shared" si="116"/>
        <v/>
      </c>
      <c r="AN99" s="184" t="str">
        <f t="shared" si="116"/>
        <v/>
      </c>
      <c r="AO99" s="184" t="str">
        <f t="shared" si="116"/>
        <v/>
      </c>
      <c r="AP99" s="184" t="str">
        <f t="shared" si="116"/>
        <v/>
      </c>
      <c r="AQ99" s="141" t="str">
        <f t="shared" si="116"/>
        <v/>
      </c>
      <c r="AR99" s="142" t="str">
        <f t="shared" si="116"/>
        <v/>
      </c>
    </row>
    <row r="100" spans="1:44" hidden="1" x14ac:dyDescent="0.3">
      <c r="A100" s="48" t="str">
        <f t="shared" ref="A100" si="117">+IF(C100+C101=0,"[ocultar]","")</f>
        <v>[ocultar]</v>
      </c>
      <c r="B100" s="46" t="s">
        <v>162</v>
      </c>
      <c r="C100" s="45">
        <f t="array" ref="C100">SUM(IF($B100=DATOS_[Sexo],
IF($B99=DATOS_[AGRUP. VALOR. PTO.],
IF("Dentro"=DATOS_[Check Periodo Ref.],
1/(COUNTIFS(DATOS_[Sexo],$B100,DATOS_[AGRUP. VALOR. PTO.],$B99,DATOS_[Check Periodo Ref.],"Dentro",DATOS_[id],DATOS_[id]))))))</f>
        <v>0</v>
      </c>
      <c r="D100" s="47">
        <f>COUNTIFS(DATOS_[AGRUP. VALOR. PTO.],$B99,DATOS_[Sexo],$B100,DATOS_[Check Periodo Ref.],"Dentro")</f>
        <v>0</v>
      </c>
      <c r="E100" s="92">
        <f t="array" ref="E100">IFERROR(
AVERAGE(IF(DATOS_[Sexo]=$B100,IF(DATOS_[AGRUP. VALOR. PTO.]=$B99,IF(DATOS_[Check Periodo Ref.]="Dentro",DATOS_[SALARIO BASE Ef],FALSE)))),
0)</f>
        <v>0</v>
      </c>
      <c r="F100" s="93">
        <f t="array" ref="F100">IFERROR(
AVERAGE((IF(DATOS_[[Sexo]:[Sexo]]=$B100,IF(DATOS_[[AGRUP. VALOR. PTO.]:[AGRUP. VALOR. PTO.]]=$B99,IF(DATOS_[[Check Periodo Ref.]:[Check Periodo Ref.]]="Dentro",DATOS_[Conc.Sal.01]))))),
0)</f>
        <v>0</v>
      </c>
      <c r="G100" s="93">
        <f t="array" ref="G100">IFERROR(
AVERAGE((IF(DATOS_[[Sexo]:[Sexo]]=$B100,IF(DATOS_[[AGRUP. VALOR. PTO.]:[AGRUP. VALOR. PTO.]]=$B99,IF(DATOS_[[Check Periodo Ref.]:[Check Periodo Ref.]]="Dentro",DATOS_[Conc.Sal.02]))))),
0)</f>
        <v>0</v>
      </c>
      <c r="H100" s="93">
        <f t="array" ref="H100">IFERROR(
AVERAGE((IF(DATOS_[[Sexo]:[Sexo]]=$B100,IF(DATOS_[[AGRUP. VALOR. PTO.]:[AGRUP. VALOR. PTO.]]=$B99,IF(DATOS_[[Check Periodo Ref.]:[Check Periodo Ref.]]="Dentro",DATOS_[Conc.Sal.03]))))),
0)</f>
        <v>0</v>
      </c>
      <c r="I100" s="93">
        <f t="array" ref="I100">IFERROR(
AVERAGE((IF(DATOS_[[Sexo]:[Sexo]]=$B100,IF(DATOS_[[AGRUP. VALOR. PTO.]:[AGRUP. VALOR. PTO.]]=$B99,IF(DATOS_[[Check Periodo Ref.]:[Check Periodo Ref.]]="Dentro",DATOS_[Conc.Sal.04]))))),
0)</f>
        <v>0</v>
      </c>
      <c r="J100" s="93">
        <f t="array" ref="J100">IFERROR(
AVERAGE((IF(DATOS_[[Sexo]:[Sexo]]=$B100,IF(DATOS_[[AGRUP. VALOR. PTO.]:[AGRUP. VALOR. PTO.]]=$B99,IF(DATOS_[[Check Periodo Ref.]:[Check Periodo Ref.]]="Dentro",DATOS_[Conc.Sal.05]))))),
0)</f>
        <v>0</v>
      </c>
      <c r="K100" s="93">
        <f t="array" ref="K100">IFERROR(
AVERAGE((IF(DATOS_[[Sexo]:[Sexo]]=$B100,IF(DATOS_[[AGRUP. VALOR. PTO.]:[AGRUP. VALOR. PTO.]]=$B99,IF(DATOS_[[Check Periodo Ref.]:[Check Periodo Ref.]]="Dentro",DATOS_[Conc.Sal.06]))))),
0)</f>
        <v>0</v>
      </c>
      <c r="L100" s="93">
        <f t="array" ref="L100">IFERROR(
AVERAGE((IF(DATOS_[[Sexo]:[Sexo]]=$B100,IF(DATOS_[[AGRUP. VALOR. PTO.]:[AGRUP. VALOR. PTO.]]=$B99,IF(DATOS_[[Check Periodo Ref.]:[Check Periodo Ref.]]="Dentro",DATOS_[Conc.Sal.07]))))),
0)</f>
        <v>0</v>
      </c>
      <c r="M100" s="93">
        <f t="array" ref="M100">IFERROR(
AVERAGE((IF(DATOS_[[Sexo]:[Sexo]]=$B100,IF(DATOS_[[AGRUP. VALOR. PTO.]:[AGRUP. VALOR. PTO.]]=$B99,IF(DATOS_[[Check Periodo Ref.]:[Check Periodo Ref.]]="Dentro",DATOS_[Conc.Sal.08]))))),
0)</f>
        <v>0</v>
      </c>
      <c r="N100" s="93">
        <f t="array" ref="N100">IFERROR(
AVERAGE((IF(DATOS_[[Sexo]:[Sexo]]=$B100,IF(DATOS_[[AGRUP. VALOR. PTO.]:[AGRUP. VALOR. PTO.]]=$B99,IF(DATOS_[[Check Periodo Ref.]:[Check Periodo Ref.]]="Dentro",DATOS_[Conc.Sal.09]))))),
0)</f>
        <v>0</v>
      </c>
      <c r="O100" s="93">
        <f t="array" ref="O100">IFERROR(
AVERAGE((IF(DATOS_[[Sexo]:[Sexo]]=$B100,IF(DATOS_[[AGRUP. VALOR. PTO.]:[AGRUP. VALOR. PTO.]]=$B99,IF(DATOS_[[Check Periodo Ref.]:[Check Periodo Ref.]]="Dentro",DATOS_[Conc.Sal.10]))))),
0)</f>
        <v>0</v>
      </c>
      <c r="P100" s="93">
        <f t="array" ref="P100">IFERROR(
AVERAGE((IF(DATOS_[[Sexo]:[Sexo]]=$B100,IF(DATOS_[[AGRUP. VALOR. PTO.]:[AGRUP. VALOR. PTO.]]=$B99,IF(DATOS_[[Check Periodo Ref.]:[Check Periodo Ref.]]="Dentro",DATOS_[Conc.Sal.11]))))),
0)</f>
        <v>0</v>
      </c>
      <c r="Q100" s="93">
        <f t="array" ref="Q100">IFERROR(
AVERAGE((IF(DATOS_[[Sexo]:[Sexo]]=$B100,IF(DATOS_[[AGRUP. VALOR. PTO.]:[AGRUP. VALOR. PTO.]]=$B99,IF(DATOS_[[Check Periodo Ref.]:[Check Periodo Ref.]]="Dentro",DATOS_[Conc.Sal.12]))))),
0)</f>
        <v>0</v>
      </c>
      <c r="R100" s="93">
        <f t="array" ref="R100">IFERROR(
AVERAGE((IF(DATOS_[[Sexo]:[Sexo]]=$B100,IF(DATOS_[[AGRUP. VALOR. PTO.]:[AGRUP. VALOR. PTO.]]=$B99,IF(DATOS_[[Check Periodo Ref.]:[Check Periodo Ref.]]="Dentro",DATOS_[Conc.Sal.13]))))),
0)</f>
        <v>0</v>
      </c>
      <c r="S100" s="93">
        <f t="array" ref="S100">IFERROR(
AVERAGE((IF(DATOS_[[Sexo]:[Sexo]]=$B100,IF(DATOS_[[AGRUP. VALOR. PTO.]:[AGRUP. VALOR. PTO.]]=$B99,IF(DATOS_[[Check Periodo Ref.]:[Check Periodo Ref.]]="Dentro",DATOS_[Conc.Sal.14]))))),
0)</f>
        <v>0</v>
      </c>
      <c r="T100" s="93">
        <f t="array" ref="T100">IFERROR(
AVERAGE((IF(DATOS_[[Sexo]:[Sexo]]=$B100,IF(DATOS_[[AGRUP. VALOR. PTO.]:[AGRUP. VALOR. PTO.]]=$B99,IF(DATOS_[[Check Periodo Ref.]:[Check Periodo Ref.]]="Dentro",DATOS_[Conc.Sal.15]))))),
0)</f>
        <v>0</v>
      </c>
      <c r="U100" s="93">
        <f t="array" ref="U100">IFERROR(
AVERAGE((IF(DATOS_[[Sexo]:[Sexo]]=$B100,IF(DATOS_[[AGRUP. VALOR. PTO.]:[AGRUP. VALOR. PTO.]]=$B99,IF(DATOS_[[Check Periodo Ref.]:[Check Periodo Ref.]]="Dentro",DATOS_[Conc.Sal.16]))))),
0)</f>
        <v>0</v>
      </c>
      <c r="V100" s="93">
        <f t="array" ref="V100">IFERROR(
AVERAGE((IF(DATOS_[[Sexo]:[Sexo]]=$B100,IF(DATOS_[[AGRUP. VALOR. PTO.]:[AGRUP. VALOR. PTO.]]=$B99,IF(DATOS_[[Check Periodo Ref.]:[Check Periodo Ref.]]="Dentro",DATOS_[Conc.Sal.17]))))),
0)</f>
        <v>0</v>
      </c>
      <c r="W100" s="93">
        <f t="array" ref="W100">IFERROR(
AVERAGE((IF(DATOS_[[Sexo]:[Sexo]]=$B100,IF(DATOS_[[AGRUP. VALOR. PTO.]:[AGRUP. VALOR. PTO.]]=$B99,IF(DATOS_[[Check Periodo Ref.]:[Check Periodo Ref.]]="Dentro",DATOS_[Conc.Sal.18]))))),
0)</f>
        <v>0</v>
      </c>
      <c r="X100" s="93">
        <f t="array" ref="X100">IFERROR(
AVERAGE((IF(DATOS_[[Sexo]:[Sexo]]=$B100,IF(DATOS_[[AGRUP. VALOR. PTO.]:[AGRUP. VALOR. PTO.]]=$B99,IF(DATOS_[[Check Periodo Ref.]:[Check Periodo Ref.]]="Dentro",DATOS_[Conc.Sal.19]))))),
0)</f>
        <v>0</v>
      </c>
      <c r="Y100" s="93">
        <f t="array" ref="Y100">IFERROR(
AVERAGE((IF(DATOS_[[Sexo]:[Sexo]]=$B100,IF(DATOS_[[AGRUP. VALOR. PTO.]:[AGRUP. VALOR. PTO.]]=$B99,IF(DATOS_[[Check Periodo Ref.]:[Check Periodo Ref.]]="Dentro",DATOS_[Conc.Sal.20]))))),
0)</f>
        <v>0</v>
      </c>
      <c r="Z100" s="93">
        <f t="array" ref="Z100">IFERROR(
AVERAGE((IF(DATOS_[[Sexo]:[Sexo]]=$B100,IF(DATOS_[[AGRUP. VALOR. PTO.]:[AGRUP. VALOR. PTO.]]=$B99,IF(DATOS_[[Check Periodo Ref.]:[Check Periodo Ref.]]="Dentro",DATOS_[Conc.Sal.21]))))),
0)</f>
        <v>0</v>
      </c>
      <c r="AA100" s="93">
        <f t="array" ref="AA100">IFERROR(
AVERAGE((IF(DATOS_[[Sexo]:[Sexo]]=$B100,IF(DATOS_[[AGRUP. VALOR. PTO.]:[AGRUP. VALOR. PTO.]]=$B99,IF(DATOS_[[Check Periodo Ref.]:[Check Periodo Ref.]]="Dentro",DATOS_[Conc.Sal.22]))))),
0)</f>
        <v>0</v>
      </c>
      <c r="AB100" s="93">
        <f t="array" ref="AB100">IFERROR(
AVERAGE((IF(DATOS_[[Sexo]:[Sexo]]=$B100,IF(DATOS_[[AGRUP. VALOR. PTO.]:[AGRUP. VALOR. PTO.]]=$B99,IF(DATOS_[[Check Periodo Ref.]:[Check Periodo Ref.]]="Dentro",DATOS_[Conc.Sal.23]))))),
0)</f>
        <v>0</v>
      </c>
      <c r="AC100" s="93">
        <f t="array" ref="AC100">IFERROR(
AVERAGE((IF(DATOS_[[Sexo]:[Sexo]]=$B100,IF(DATOS_[[AGRUP. VALOR. PTO.]:[AGRUP. VALOR. PTO.]]=$B99,IF(DATOS_[[Check Periodo Ref.]:[Check Periodo Ref.]]="Dentro",DATOS_[Conc.Sal.24]))))),
0)</f>
        <v>0</v>
      </c>
      <c r="AD100" s="93">
        <f t="array" ref="AD100">IFERROR(
AVERAGE((IF(DATOS_[[Sexo]:[Sexo]]=$B100,IF(DATOS_[[AGRUP. VALOR. PTO.]:[AGRUP. VALOR. PTO.]]=$B99,IF(DATOS_[[Check Periodo Ref.]:[Check Periodo Ref.]]="Dentro",DATOS_[Conc.Sal.25]))))),
0)</f>
        <v>0</v>
      </c>
      <c r="AE100" s="93">
        <f t="array" ref="AE100">IFERROR(
AVERAGE((IF(DATOS_[[Sexo]:[Sexo]]=$B100,IF(DATOS_[[AGRUP. VALOR. PTO.]:[AGRUP. VALOR. PTO.]]=$B99,IF(DATOS_[[Check Periodo Ref.]:[Check Periodo Ref.]]="Dentro",DATOS_[Conc.Sal.26]))))),
0)</f>
        <v>0</v>
      </c>
      <c r="AF100" s="93">
        <f t="array" ref="AF100">IFERROR(
AVERAGE((IF(DATOS_[[Sexo]:[Sexo]]=$B100,IF(DATOS_[[AGRUP. VALOR. PTO.]:[AGRUP. VALOR. PTO.]]=$B99,IF(DATOS_[[Check Periodo Ref.]:[Check Periodo Ref.]]="Dentro",DATOS_[Conc.Sal.27]))))),
0)</f>
        <v>0</v>
      </c>
      <c r="AG100" s="93">
        <f t="array" ref="AG100">IFERROR(
AVERAGE((IF(DATOS_[[Sexo]:[Sexo]]=$B100,IF(DATOS_[[AGRUP. VALOR. PTO.]:[AGRUP. VALOR. PTO.]]=$B99,IF(DATOS_[[Check Periodo Ref.]:[Check Periodo Ref.]]="Dentro",DATOS_[Conc.Sal.28]))))),
0)</f>
        <v>0</v>
      </c>
      <c r="AH100" s="93">
        <f t="array" ref="AH100">IFERROR(
AVERAGE((IF(DATOS_[[Sexo]:[Sexo]]=$B100,IF(DATOS_[[AGRUP. VALOR. PTO.]:[AGRUP. VALOR. PTO.]]=$B99,IF(DATOS_[[Check Periodo Ref.]:[Check Periodo Ref.]]="Dentro",DATOS_[Conc.Sal.29]))))),
0)</f>
        <v>0</v>
      </c>
      <c r="AI100" s="93">
        <f t="array" ref="AI100">IFERROR(
AVERAGE((IF(DATOS_[[Sexo]:[Sexo]]=$B100,IF(DATOS_[[AGRUP. VALOR. PTO.]:[AGRUP. VALOR. PTO.]]=$B99,IF(DATOS_[[Check Periodo Ref.]:[Check Periodo Ref.]]="Dentro",DATOS_[Conc.Sal.30]))))),
0)</f>
        <v>0</v>
      </c>
      <c r="AJ100" s="94">
        <f t="array" ref="AJ100">IFERROR(
AVERAGE(IF(DATOS_[Sexo]=$B100,IF(DATOS_[AGRUP. VALOR. PTO.]=$B99,IF(DATOS_[Check Periodo Ref.]="Dentro",DATOS_[Tot COMPL.SAL Ef],FALSE)))),
0)</f>
        <v>0</v>
      </c>
      <c r="AK100" s="96">
        <f t="array" ref="AK100">IFERROR(
AVERAGE(IF(DATOS_[Sexo]=$B100,IF(DATOS_[AGRUP. VALOR. PTO.]=$B99,IF(DATOS_[Check Periodo Ref.]="Dentro",DATOS_[TOTAL SALARIO Ef],FALSE)))),
0)</f>
        <v>0</v>
      </c>
      <c r="AL100" s="95">
        <f t="array" ref="AL100">IFERROR(
AVERAGE((IF(DATOS_[[Sexo]:[Sexo]]=$B100,IF(DATOS_[[AGRUP. VALOR. PTO.]:[AGRUP. VALOR. PTO.]]=$B99,IF(DATOS_[[Check Periodo Ref.]:[Check Periodo Ref.]]="Dentro",DATOS_[C.Extra.01]))))),
0)</f>
        <v>0</v>
      </c>
      <c r="AM100" s="95">
        <f t="array" ref="AM100">IFERROR(
AVERAGE((IF(DATOS_[[Sexo]:[Sexo]]=$B100,IF(DATOS_[[AGRUP. VALOR. PTO.]:[AGRUP. VALOR. PTO.]]=$B99,IF(DATOS_[[Check Periodo Ref.]:[Check Periodo Ref.]]="Dentro",DATOS_[C.Extra.02]))))),
0)</f>
        <v>0</v>
      </c>
      <c r="AN100" s="95">
        <f t="array" ref="AN100">IFERROR(
AVERAGE((IF(DATOS_[[Sexo]:[Sexo]]=$B100,IF(DATOS_[[AGRUP. VALOR. PTO.]:[AGRUP. VALOR. PTO.]]=$B99,IF(DATOS_[[Check Periodo Ref.]:[Check Periodo Ref.]]="Dentro",DATOS_[C.Extra.03]))))),
0)</f>
        <v>0</v>
      </c>
      <c r="AO100" s="95">
        <f t="array" ref="AO100">IFERROR(
AVERAGE((IF(DATOS_[[Sexo]:[Sexo]]=$B100,IF(DATOS_[[AGRUP. VALOR. PTO.]:[AGRUP. VALOR. PTO.]]=$B99,IF(DATOS_[[Check Periodo Ref.]:[Check Periodo Ref.]]="Dentro",DATOS_[C.Extra.04]))))),
0)</f>
        <v>0</v>
      </c>
      <c r="AP100" s="95">
        <f t="array" ref="AP100">IFERROR(
AVERAGE((IF(DATOS_[[Sexo]:[Sexo]]=$B100,IF(DATOS_[[AGRUP. VALOR. PTO.]:[AGRUP. VALOR. PTO.]]=$B99,IF(DATOS_[[Check Periodo Ref.]:[Check Periodo Ref.]]="Dentro",DATOS_[C.Extra.05]))))),
0)</f>
        <v>0</v>
      </c>
      <c r="AQ100" s="97">
        <f t="array" ref="AQ100">IFERROR(
AVERAGE(IF(DATOS_[Sexo]=$B100,IF(DATOS_[AGRUP. VALOR. PTO.]=$B99,IF(DATOS_[Check Periodo Ref.]="Dentro",DATOS_[Tot Extrasalarial Ef],FALSE)))),
0)</f>
        <v>0</v>
      </c>
      <c r="AR100" s="98">
        <f t="array" ref="AR100">IFERROR(
AVERAGE(IF(DATOS_[Sexo]=$B100,IF(DATOS_[AGRUP. VALOR. PTO.]=$B99,IF(DATOS_[Check Periodo Ref.]="Dentro",DATOS_[TOTAL Retrib Ef],FALSE)))),
0)</f>
        <v>0</v>
      </c>
    </row>
    <row r="101" spans="1:44" hidden="1" x14ac:dyDescent="0.3">
      <c r="A101" s="48" t="str">
        <f t="shared" ref="A101" si="118">+A100</f>
        <v>[ocultar]</v>
      </c>
      <c r="B101" s="46" t="s">
        <v>163</v>
      </c>
      <c r="C101" s="45">
        <f t="array" ref="C101">SUM(IF($B101=DATOS_[Sexo],
IF($B99=DATOS_[AGRUP. VALOR. PTO.],
IF("Dentro"=DATOS_[Check Periodo Ref.],
1/(COUNTIFS(DATOS_[Sexo],$B101,DATOS_[AGRUP. VALOR. PTO.],$B99,DATOS_[Check Periodo Ref.],"Dentro",DATOS_[id],DATOS_[id]))))))</f>
        <v>0</v>
      </c>
      <c r="D101" s="47">
        <f>COUNTIFS(DATOS_[AGRUP. VALOR. PTO.],$B99,DATOS_[Sexo],$B101,DATOS_[Check Periodo Ref.],"Dentro")</f>
        <v>0</v>
      </c>
      <c r="E101" s="92">
        <f t="array" ref="E101">IFERROR(
AVERAGE(IF(DATOS_[Sexo]=$B101,IF(DATOS_[AGRUP. VALOR. PTO.]=$B99,IF(DATOS_[Check Periodo Ref.]="Dentro",DATOS_[SALARIO BASE Ef],FALSE)))),
0)</f>
        <v>0</v>
      </c>
      <c r="F101" s="93">
        <f t="array" ref="F101">IFERROR(
AVERAGE((IF(DATOS_[[Sexo]:[Sexo]]=$B101,IF(DATOS_[[AGRUP. VALOR. PTO.]:[AGRUP. VALOR. PTO.]]=$B99,IF(DATOS_[[Check Periodo Ref.]:[Check Periodo Ref.]]="Dentro",DATOS_[Conc.Sal.01]))))),
0)</f>
        <v>0</v>
      </c>
      <c r="G101" s="93">
        <f t="array" ref="G101">IFERROR(
AVERAGE((IF(DATOS_[[Sexo]:[Sexo]]=$B101,IF(DATOS_[[AGRUP. VALOR. PTO.]:[AGRUP. VALOR. PTO.]]=$B99,IF(DATOS_[[Check Periodo Ref.]:[Check Periodo Ref.]]="Dentro",DATOS_[Conc.Sal.02]))))),
0)</f>
        <v>0</v>
      </c>
      <c r="H101" s="93">
        <f t="array" ref="H101">IFERROR(
AVERAGE((IF(DATOS_[[Sexo]:[Sexo]]=$B101,IF(DATOS_[[AGRUP. VALOR. PTO.]:[AGRUP. VALOR. PTO.]]=$B99,IF(DATOS_[[Check Periodo Ref.]:[Check Periodo Ref.]]="Dentro",DATOS_[Conc.Sal.03]))))),
0)</f>
        <v>0</v>
      </c>
      <c r="I101" s="93">
        <f t="array" ref="I101">IFERROR(
AVERAGE((IF(DATOS_[[Sexo]:[Sexo]]=$B101,IF(DATOS_[[AGRUP. VALOR. PTO.]:[AGRUP. VALOR. PTO.]]=$B99,IF(DATOS_[[Check Periodo Ref.]:[Check Periodo Ref.]]="Dentro",DATOS_[Conc.Sal.04]))))),
0)</f>
        <v>0</v>
      </c>
      <c r="J101" s="93">
        <f t="array" ref="J101">IFERROR(
AVERAGE((IF(DATOS_[[Sexo]:[Sexo]]=$B101,IF(DATOS_[[AGRUP. VALOR. PTO.]:[AGRUP. VALOR. PTO.]]=$B99,IF(DATOS_[[Check Periodo Ref.]:[Check Periodo Ref.]]="Dentro",DATOS_[Conc.Sal.05]))))),
0)</f>
        <v>0</v>
      </c>
      <c r="K101" s="93">
        <f t="array" ref="K101">IFERROR(
AVERAGE((IF(DATOS_[[Sexo]:[Sexo]]=$B101,IF(DATOS_[[AGRUP. VALOR. PTO.]:[AGRUP. VALOR. PTO.]]=$B99,IF(DATOS_[[Check Periodo Ref.]:[Check Periodo Ref.]]="Dentro",DATOS_[Conc.Sal.06]))))),
0)</f>
        <v>0</v>
      </c>
      <c r="L101" s="93">
        <f t="array" ref="L101">IFERROR(
AVERAGE((IF(DATOS_[[Sexo]:[Sexo]]=$B101,IF(DATOS_[[AGRUP. VALOR. PTO.]:[AGRUP. VALOR. PTO.]]=$B99,IF(DATOS_[[Check Periodo Ref.]:[Check Periodo Ref.]]="Dentro",DATOS_[Conc.Sal.07]))))),
0)</f>
        <v>0</v>
      </c>
      <c r="M101" s="93">
        <f t="array" ref="M101">IFERROR(
AVERAGE((IF(DATOS_[[Sexo]:[Sexo]]=$B101,IF(DATOS_[[AGRUP. VALOR. PTO.]:[AGRUP. VALOR. PTO.]]=$B99,IF(DATOS_[[Check Periodo Ref.]:[Check Periodo Ref.]]="Dentro",DATOS_[Conc.Sal.08]))))),
0)</f>
        <v>0</v>
      </c>
      <c r="N101" s="93">
        <f t="array" ref="N101">IFERROR(
AVERAGE((IF(DATOS_[[Sexo]:[Sexo]]=$B101,IF(DATOS_[[AGRUP. VALOR. PTO.]:[AGRUP. VALOR. PTO.]]=$B99,IF(DATOS_[[Check Periodo Ref.]:[Check Periodo Ref.]]="Dentro",DATOS_[Conc.Sal.09]))))),
0)</f>
        <v>0</v>
      </c>
      <c r="O101" s="93">
        <f t="array" ref="O101">IFERROR(
AVERAGE((IF(DATOS_[[Sexo]:[Sexo]]=$B101,IF(DATOS_[[AGRUP. VALOR. PTO.]:[AGRUP. VALOR. PTO.]]=$B99,IF(DATOS_[[Check Periodo Ref.]:[Check Periodo Ref.]]="Dentro",DATOS_[Conc.Sal.10]))))),
0)</f>
        <v>0</v>
      </c>
      <c r="P101" s="93">
        <f t="array" ref="P101">IFERROR(
AVERAGE((IF(DATOS_[[Sexo]:[Sexo]]=$B101,IF(DATOS_[[AGRUP. VALOR. PTO.]:[AGRUP. VALOR. PTO.]]=$B99,IF(DATOS_[[Check Periodo Ref.]:[Check Periodo Ref.]]="Dentro",DATOS_[Conc.Sal.11]))))),
0)</f>
        <v>0</v>
      </c>
      <c r="Q101" s="93">
        <f t="array" ref="Q101">IFERROR(
AVERAGE((IF(DATOS_[[Sexo]:[Sexo]]=$B101,IF(DATOS_[[AGRUP. VALOR. PTO.]:[AGRUP. VALOR. PTO.]]=$B99,IF(DATOS_[[Check Periodo Ref.]:[Check Periodo Ref.]]="Dentro",DATOS_[Conc.Sal.12]))))),
0)</f>
        <v>0</v>
      </c>
      <c r="R101" s="93">
        <f t="array" ref="R101">IFERROR(
AVERAGE((IF(DATOS_[[Sexo]:[Sexo]]=$B101,IF(DATOS_[[AGRUP. VALOR. PTO.]:[AGRUP. VALOR. PTO.]]=$B99,IF(DATOS_[[Check Periodo Ref.]:[Check Periodo Ref.]]="Dentro",DATOS_[Conc.Sal.13]))))),
0)</f>
        <v>0</v>
      </c>
      <c r="S101" s="93">
        <f t="array" ref="S101">IFERROR(
AVERAGE((IF(DATOS_[[Sexo]:[Sexo]]=$B101,IF(DATOS_[[AGRUP. VALOR. PTO.]:[AGRUP. VALOR. PTO.]]=$B99,IF(DATOS_[[Check Periodo Ref.]:[Check Periodo Ref.]]="Dentro",DATOS_[Conc.Sal.14]))))),
0)</f>
        <v>0</v>
      </c>
      <c r="T101" s="93">
        <f t="array" ref="T101">IFERROR(
AVERAGE((IF(DATOS_[[Sexo]:[Sexo]]=$B101,IF(DATOS_[[AGRUP. VALOR. PTO.]:[AGRUP. VALOR. PTO.]]=$B99,IF(DATOS_[[Check Periodo Ref.]:[Check Periodo Ref.]]="Dentro",DATOS_[Conc.Sal.15]))))),
0)</f>
        <v>0</v>
      </c>
      <c r="U101" s="93">
        <f t="array" ref="U101">IFERROR(
AVERAGE((IF(DATOS_[[Sexo]:[Sexo]]=$B101,IF(DATOS_[[AGRUP. VALOR. PTO.]:[AGRUP. VALOR. PTO.]]=$B99,IF(DATOS_[[Check Periodo Ref.]:[Check Periodo Ref.]]="Dentro",DATOS_[Conc.Sal.16]))))),
0)</f>
        <v>0</v>
      </c>
      <c r="V101" s="93">
        <f t="array" ref="V101">IFERROR(
AVERAGE((IF(DATOS_[[Sexo]:[Sexo]]=$B101,IF(DATOS_[[AGRUP. VALOR. PTO.]:[AGRUP. VALOR. PTO.]]=$B99,IF(DATOS_[[Check Periodo Ref.]:[Check Periodo Ref.]]="Dentro",DATOS_[Conc.Sal.17]))))),
0)</f>
        <v>0</v>
      </c>
      <c r="W101" s="93">
        <f t="array" ref="W101">IFERROR(
AVERAGE((IF(DATOS_[[Sexo]:[Sexo]]=$B101,IF(DATOS_[[AGRUP. VALOR. PTO.]:[AGRUP. VALOR. PTO.]]=$B99,IF(DATOS_[[Check Periodo Ref.]:[Check Periodo Ref.]]="Dentro",DATOS_[Conc.Sal.18]))))),
0)</f>
        <v>0</v>
      </c>
      <c r="X101" s="93">
        <f t="array" ref="X101">IFERROR(
AVERAGE((IF(DATOS_[[Sexo]:[Sexo]]=$B101,IF(DATOS_[[AGRUP. VALOR. PTO.]:[AGRUP. VALOR. PTO.]]=$B99,IF(DATOS_[[Check Periodo Ref.]:[Check Periodo Ref.]]="Dentro",DATOS_[Conc.Sal.19]))))),
0)</f>
        <v>0</v>
      </c>
      <c r="Y101" s="93">
        <f t="array" ref="Y101">IFERROR(
AVERAGE((IF(DATOS_[[Sexo]:[Sexo]]=$B101,IF(DATOS_[[AGRUP. VALOR. PTO.]:[AGRUP. VALOR. PTO.]]=$B99,IF(DATOS_[[Check Periodo Ref.]:[Check Periodo Ref.]]="Dentro",DATOS_[Conc.Sal.20]))))),
0)</f>
        <v>0</v>
      </c>
      <c r="Z101" s="93">
        <f t="array" ref="Z101">IFERROR(
AVERAGE((IF(DATOS_[[Sexo]:[Sexo]]=$B101,IF(DATOS_[[AGRUP. VALOR. PTO.]:[AGRUP. VALOR. PTO.]]=$B99,IF(DATOS_[[Check Periodo Ref.]:[Check Periodo Ref.]]="Dentro",DATOS_[Conc.Sal.21]))))),
0)</f>
        <v>0</v>
      </c>
      <c r="AA101" s="93">
        <f t="array" ref="AA101">IFERROR(
AVERAGE((IF(DATOS_[[Sexo]:[Sexo]]=$B101,IF(DATOS_[[AGRUP. VALOR. PTO.]:[AGRUP. VALOR. PTO.]]=$B99,IF(DATOS_[[Check Periodo Ref.]:[Check Periodo Ref.]]="Dentro",DATOS_[Conc.Sal.22]))))),
0)</f>
        <v>0</v>
      </c>
      <c r="AB101" s="93">
        <f t="array" ref="AB101">IFERROR(
AVERAGE((IF(DATOS_[[Sexo]:[Sexo]]=$B101,IF(DATOS_[[AGRUP. VALOR. PTO.]:[AGRUP. VALOR. PTO.]]=$B99,IF(DATOS_[[Check Periodo Ref.]:[Check Periodo Ref.]]="Dentro",DATOS_[Conc.Sal.23]))))),
0)</f>
        <v>0</v>
      </c>
      <c r="AC101" s="93">
        <f t="array" ref="AC101">IFERROR(
AVERAGE((IF(DATOS_[[Sexo]:[Sexo]]=$B101,IF(DATOS_[[AGRUP. VALOR. PTO.]:[AGRUP. VALOR. PTO.]]=$B99,IF(DATOS_[[Check Periodo Ref.]:[Check Periodo Ref.]]="Dentro",DATOS_[Conc.Sal.24]))))),
0)</f>
        <v>0</v>
      </c>
      <c r="AD101" s="93">
        <f t="array" ref="AD101">IFERROR(
AVERAGE((IF(DATOS_[[Sexo]:[Sexo]]=$B101,IF(DATOS_[[AGRUP. VALOR. PTO.]:[AGRUP. VALOR. PTO.]]=$B99,IF(DATOS_[[Check Periodo Ref.]:[Check Periodo Ref.]]="Dentro",DATOS_[Conc.Sal.25]))))),
0)</f>
        <v>0</v>
      </c>
      <c r="AE101" s="93">
        <f t="array" ref="AE101">IFERROR(
AVERAGE((IF(DATOS_[[Sexo]:[Sexo]]=$B101,IF(DATOS_[[AGRUP. VALOR. PTO.]:[AGRUP. VALOR. PTO.]]=$B99,IF(DATOS_[[Check Periodo Ref.]:[Check Periodo Ref.]]="Dentro",DATOS_[Conc.Sal.26]))))),
0)</f>
        <v>0</v>
      </c>
      <c r="AF101" s="93">
        <f t="array" ref="AF101">IFERROR(
AVERAGE((IF(DATOS_[[Sexo]:[Sexo]]=$B101,IF(DATOS_[[AGRUP. VALOR. PTO.]:[AGRUP. VALOR. PTO.]]=$B99,IF(DATOS_[[Check Periodo Ref.]:[Check Periodo Ref.]]="Dentro",DATOS_[Conc.Sal.27]))))),
0)</f>
        <v>0</v>
      </c>
      <c r="AG101" s="93">
        <f t="array" ref="AG101">IFERROR(
AVERAGE((IF(DATOS_[[Sexo]:[Sexo]]=$B101,IF(DATOS_[[AGRUP. VALOR. PTO.]:[AGRUP. VALOR. PTO.]]=$B99,IF(DATOS_[[Check Periodo Ref.]:[Check Periodo Ref.]]="Dentro",DATOS_[Conc.Sal.28]))))),
0)</f>
        <v>0</v>
      </c>
      <c r="AH101" s="93">
        <f t="array" ref="AH101">IFERROR(
AVERAGE((IF(DATOS_[[Sexo]:[Sexo]]=$B101,IF(DATOS_[[AGRUP. VALOR. PTO.]:[AGRUP. VALOR. PTO.]]=$B99,IF(DATOS_[[Check Periodo Ref.]:[Check Periodo Ref.]]="Dentro",DATOS_[Conc.Sal.29]))))),
0)</f>
        <v>0</v>
      </c>
      <c r="AI101" s="93">
        <f t="array" ref="AI101">IFERROR(
AVERAGE((IF(DATOS_[[Sexo]:[Sexo]]=$B101,IF(DATOS_[[AGRUP. VALOR. PTO.]:[AGRUP. VALOR. PTO.]]=$B99,IF(DATOS_[[Check Periodo Ref.]:[Check Periodo Ref.]]="Dentro",DATOS_[Conc.Sal.30]))))),
0)</f>
        <v>0</v>
      </c>
      <c r="AJ101" s="94">
        <f t="array" ref="AJ101">IFERROR(
AVERAGE(IF(DATOS_[Sexo]=$B101,IF(DATOS_[AGRUP. VALOR. PTO.]=$B99,IF(DATOS_[Check Periodo Ref.]="Dentro",DATOS_[Tot COMPL.SAL Ef],FALSE)))),
0)</f>
        <v>0</v>
      </c>
      <c r="AK101" s="96">
        <f t="array" ref="AK101">IFERROR(
AVERAGE(IF(DATOS_[Sexo]=$B101,IF(DATOS_[AGRUP. VALOR. PTO.]=$B99,IF(DATOS_[Check Periodo Ref.]="Dentro",DATOS_[TOTAL SALARIO Ef],FALSE)))),
0)</f>
        <v>0</v>
      </c>
      <c r="AL101" s="95">
        <f t="array" ref="AL101">IFERROR(
AVERAGE((IF(DATOS_[[Sexo]:[Sexo]]=$B101,IF(DATOS_[[AGRUP. VALOR. PTO.]:[AGRUP. VALOR. PTO.]]=$B99,IF(DATOS_[[Check Periodo Ref.]:[Check Periodo Ref.]]="Dentro",DATOS_[C.Extra.01]))))),
0)</f>
        <v>0</v>
      </c>
      <c r="AM101" s="95">
        <f t="array" ref="AM101">IFERROR(
AVERAGE((IF(DATOS_[[Sexo]:[Sexo]]=$B101,IF(DATOS_[[AGRUP. VALOR. PTO.]:[AGRUP. VALOR. PTO.]]=$B99,IF(DATOS_[[Check Periodo Ref.]:[Check Periodo Ref.]]="Dentro",DATOS_[C.Extra.02]))))),
0)</f>
        <v>0</v>
      </c>
      <c r="AN101" s="95">
        <f t="array" ref="AN101">IFERROR(
AVERAGE((IF(DATOS_[[Sexo]:[Sexo]]=$B101,IF(DATOS_[[AGRUP. VALOR. PTO.]:[AGRUP. VALOR. PTO.]]=$B99,IF(DATOS_[[Check Periodo Ref.]:[Check Periodo Ref.]]="Dentro",DATOS_[C.Extra.03]))))),
0)</f>
        <v>0</v>
      </c>
      <c r="AO101" s="95">
        <f t="array" ref="AO101">IFERROR(
AVERAGE((IF(DATOS_[[Sexo]:[Sexo]]=$B101,IF(DATOS_[[AGRUP. VALOR. PTO.]:[AGRUP. VALOR. PTO.]]=$B99,IF(DATOS_[[Check Periodo Ref.]:[Check Periodo Ref.]]="Dentro",DATOS_[C.Extra.04]))))),
0)</f>
        <v>0</v>
      </c>
      <c r="AP101" s="95">
        <f t="array" ref="AP101">IFERROR(
AVERAGE((IF(DATOS_[[Sexo]:[Sexo]]=$B101,IF(DATOS_[[AGRUP. VALOR. PTO.]:[AGRUP. VALOR. PTO.]]=$B99,IF(DATOS_[[Check Periodo Ref.]:[Check Periodo Ref.]]="Dentro",DATOS_[C.Extra.05]))))),
0)</f>
        <v>0</v>
      </c>
      <c r="AQ101" s="97">
        <f t="array" ref="AQ101">IFERROR(
AVERAGE(IF(DATOS_[Sexo]=$B101,IF(DATOS_[AGRUP. VALOR. PTO.]=$B99,IF(DATOS_[Check Periodo Ref.]="Dentro",DATOS_[Tot Extrasalarial Ef],FALSE)))),
0)</f>
        <v>0</v>
      </c>
      <c r="AR101" s="98">
        <f t="array" ref="AR101">IFERROR(
AVERAGE(IF(DATOS_[Sexo]=$B101,IF(DATOS_[AGRUP. VALOR. PTO.]=$B99,IF(DATOS_[Check Periodo Ref.]="Dentro",DATOS_[TOTAL Retrib Ef],FALSE)))),
0)</f>
        <v>0</v>
      </c>
    </row>
    <row r="102" spans="1:44" ht="17.25" hidden="1" thickBot="1" x14ac:dyDescent="0.35">
      <c r="A102" s="48" t="str">
        <f t="shared" ref="A102" si="119">+A103</f>
        <v>[ocultar]</v>
      </c>
      <c r="B102" s="51" t="s">
        <v>289</v>
      </c>
      <c r="C102" s="91"/>
      <c r="D102" s="52"/>
      <c r="E102" s="139" t="str">
        <f t="shared" ref="E102:AR102" si="120">IFERROR((E103-E104)/E103,"")</f>
        <v/>
      </c>
      <c r="F102" s="179" t="str">
        <f t="shared" si="120"/>
        <v/>
      </c>
      <c r="G102" s="180" t="str">
        <f t="shared" si="120"/>
        <v/>
      </c>
      <c r="H102" s="180" t="str">
        <f t="shared" si="120"/>
        <v/>
      </c>
      <c r="I102" s="180" t="str">
        <f t="shared" si="120"/>
        <v/>
      </c>
      <c r="J102" s="181" t="str">
        <f t="shared" si="120"/>
        <v/>
      </c>
      <c r="K102" s="182" t="str">
        <f t="shared" si="120"/>
        <v/>
      </c>
      <c r="L102" s="182" t="str">
        <f t="shared" si="120"/>
        <v/>
      </c>
      <c r="M102" s="182" t="str">
        <f t="shared" si="120"/>
        <v/>
      </c>
      <c r="N102" s="182" t="str">
        <f t="shared" si="120"/>
        <v/>
      </c>
      <c r="O102" s="182" t="str">
        <f t="shared" si="120"/>
        <v/>
      </c>
      <c r="P102" s="182" t="str">
        <f t="shared" si="120"/>
        <v/>
      </c>
      <c r="Q102" s="182" t="str">
        <f t="shared" si="120"/>
        <v/>
      </c>
      <c r="R102" s="182" t="str">
        <f t="shared" si="120"/>
        <v/>
      </c>
      <c r="S102" s="182" t="str">
        <f t="shared" si="120"/>
        <v/>
      </c>
      <c r="T102" s="182" t="str">
        <f t="shared" si="120"/>
        <v/>
      </c>
      <c r="U102" s="182" t="str">
        <f t="shared" si="120"/>
        <v/>
      </c>
      <c r="V102" s="181" t="str">
        <f t="shared" si="120"/>
        <v/>
      </c>
      <c r="W102" s="181" t="str">
        <f t="shared" si="120"/>
        <v/>
      </c>
      <c r="X102" s="181" t="str">
        <f t="shared" si="120"/>
        <v/>
      </c>
      <c r="Y102" s="181" t="str">
        <f t="shared" si="120"/>
        <v/>
      </c>
      <c r="Z102" s="181" t="str">
        <f t="shared" si="120"/>
        <v/>
      </c>
      <c r="AA102" s="181" t="str">
        <f t="shared" si="120"/>
        <v/>
      </c>
      <c r="AB102" s="181" t="str">
        <f t="shared" si="120"/>
        <v/>
      </c>
      <c r="AC102" s="181" t="str">
        <f t="shared" si="120"/>
        <v/>
      </c>
      <c r="AD102" s="181" t="str">
        <f t="shared" si="120"/>
        <v/>
      </c>
      <c r="AE102" s="181" t="str">
        <f t="shared" si="120"/>
        <v/>
      </c>
      <c r="AF102" s="181" t="str">
        <f t="shared" si="120"/>
        <v/>
      </c>
      <c r="AG102" s="181" t="str">
        <f t="shared" si="120"/>
        <v/>
      </c>
      <c r="AH102" s="181" t="str">
        <f t="shared" si="120"/>
        <v/>
      </c>
      <c r="AI102" s="181" t="str">
        <f t="shared" si="120"/>
        <v/>
      </c>
      <c r="AJ102" s="140" t="str">
        <f t="shared" si="120"/>
        <v/>
      </c>
      <c r="AK102" s="143" t="str">
        <f t="shared" si="120"/>
        <v/>
      </c>
      <c r="AL102" s="184" t="str">
        <f t="shared" si="120"/>
        <v/>
      </c>
      <c r="AM102" s="184" t="str">
        <f t="shared" si="120"/>
        <v/>
      </c>
      <c r="AN102" s="184" t="str">
        <f t="shared" si="120"/>
        <v/>
      </c>
      <c r="AO102" s="184" t="str">
        <f t="shared" si="120"/>
        <v/>
      </c>
      <c r="AP102" s="184" t="str">
        <f t="shared" si="120"/>
        <v/>
      </c>
      <c r="AQ102" s="141" t="str">
        <f t="shared" si="120"/>
        <v/>
      </c>
      <c r="AR102" s="142" t="str">
        <f t="shared" si="120"/>
        <v/>
      </c>
    </row>
    <row r="103" spans="1:44" hidden="1" x14ac:dyDescent="0.3">
      <c r="A103" s="48" t="str">
        <f t="shared" ref="A103" si="121">+IF(C103+C104=0,"[ocultar]","")</f>
        <v>[ocultar]</v>
      </c>
      <c r="B103" s="46" t="s">
        <v>162</v>
      </c>
      <c r="C103" s="45">
        <f t="array" ref="C103">SUM(IF($B103=DATOS_[Sexo],
IF($B102=DATOS_[AGRUP. VALOR. PTO.],
IF("Dentro"=DATOS_[Check Periodo Ref.],
1/(COUNTIFS(DATOS_[Sexo],$B103,DATOS_[AGRUP. VALOR. PTO.],$B102,DATOS_[Check Periodo Ref.],"Dentro",DATOS_[id],DATOS_[id]))))))</f>
        <v>0</v>
      </c>
      <c r="D103" s="47">
        <f>COUNTIFS(DATOS_[AGRUP. VALOR. PTO.],$B102,DATOS_[Sexo],$B103,DATOS_[Check Periodo Ref.],"Dentro")</f>
        <v>0</v>
      </c>
      <c r="E103" s="92">
        <f t="array" ref="E103">IFERROR(
AVERAGE(IF(DATOS_[Sexo]=$B103,IF(DATOS_[AGRUP. VALOR. PTO.]=$B102,IF(DATOS_[Check Periodo Ref.]="Dentro",DATOS_[SALARIO BASE Ef],FALSE)))),
0)</f>
        <v>0</v>
      </c>
      <c r="F103" s="93">
        <f t="array" ref="F103">IFERROR(
AVERAGE((IF(DATOS_[[Sexo]:[Sexo]]=$B103,IF(DATOS_[[AGRUP. VALOR. PTO.]:[AGRUP. VALOR. PTO.]]=$B102,IF(DATOS_[[Check Periodo Ref.]:[Check Periodo Ref.]]="Dentro",DATOS_[Conc.Sal.01]))))),
0)</f>
        <v>0</v>
      </c>
      <c r="G103" s="93">
        <f t="array" ref="G103">IFERROR(
AVERAGE((IF(DATOS_[[Sexo]:[Sexo]]=$B103,IF(DATOS_[[AGRUP. VALOR. PTO.]:[AGRUP. VALOR. PTO.]]=$B102,IF(DATOS_[[Check Periodo Ref.]:[Check Periodo Ref.]]="Dentro",DATOS_[Conc.Sal.02]))))),
0)</f>
        <v>0</v>
      </c>
      <c r="H103" s="93">
        <f t="array" ref="H103">IFERROR(
AVERAGE((IF(DATOS_[[Sexo]:[Sexo]]=$B103,IF(DATOS_[[AGRUP. VALOR. PTO.]:[AGRUP. VALOR. PTO.]]=$B102,IF(DATOS_[[Check Periodo Ref.]:[Check Periodo Ref.]]="Dentro",DATOS_[Conc.Sal.03]))))),
0)</f>
        <v>0</v>
      </c>
      <c r="I103" s="93">
        <f t="array" ref="I103">IFERROR(
AVERAGE((IF(DATOS_[[Sexo]:[Sexo]]=$B103,IF(DATOS_[[AGRUP. VALOR. PTO.]:[AGRUP. VALOR. PTO.]]=$B102,IF(DATOS_[[Check Periodo Ref.]:[Check Periodo Ref.]]="Dentro",DATOS_[Conc.Sal.04]))))),
0)</f>
        <v>0</v>
      </c>
      <c r="J103" s="93">
        <f t="array" ref="J103">IFERROR(
AVERAGE((IF(DATOS_[[Sexo]:[Sexo]]=$B103,IF(DATOS_[[AGRUP. VALOR. PTO.]:[AGRUP. VALOR. PTO.]]=$B102,IF(DATOS_[[Check Periodo Ref.]:[Check Periodo Ref.]]="Dentro",DATOS_[Conc.Sal.05]))))),
0)</f>
        <v>0</v>
      </c>
      <c r="K103" s="93">
        <f t="array" ref="K103">IFERROR(
AVERAGE((IF(DATOS_[[Sexo]:[Sexo]]=$B103,IF(DATOS_[[AGRUP. VALOR. PTO.]:[AGRUP. VALOR. PTO.]]=$B102,IF(DATOS_[[Check Periodo Ref.]:[Check Periodo Ref.]]="Dentro",DATOS_[Conc.Sal.06]))))),
0)</f>
        <v>0</v>
      </c>
      <c r="L103" s="93">
        <f t="array" ref="L103">IFERROR(
AVERAGE((IF(DATOS_[[Sexo]:[Sexo]]=$B103,IF(DATOS_[[AGRUP. VALOR. PTO.]:[AGRUP. VALOR. PTO.]]=$B102,IF(DATOS_[[Check Periodo Ref.]:[Check Periodo Ref.]]="Dentro",DATOS_[Conc.Sal.07]))))),
0)</f>
        <v>0</v>
      </c>
      <c r="M103" s="93">
        <f t="array" ref="M103">IFERROR(
AVERAGE((IF(DATOS_[[Sexo]:[Sexo]]=$B103,IF(DATOS_[[AGRUP. VALOR. PTO.]:[AGRUP. VALOR. PTO.]]=$B102,IF(DATOS_[[Check Periodo Ref.]:[Check Periodo Ref.]]="Dentro",DATOS_[Conc.Sal.08]))))),
0)</f>
        <v>0</v>
      </c>
      <c r="N103" s="93">
        <f t="array" ref="N103">IFERROR(
AVERAGE((IF(DATOS_[[Sexo]:[Sexo]]=$B103,IF(DATOS_[[AGRUP. VALOR. PTO.]:[AGRUP. VALOR. PTO.]]=$B102,IF(DATOS_[[Check Periodo Ref.]:[Check Periodo Ref.]]="Dentro",DATOS_[Conc.Sal.09]))))),
0)</f>
        <v>0</v>
      </c>
      <c r="O103" s="93">
        <f t="array" ref="O103">IFERROR(
AVERAGE((IF(DATOS_[[Sexo]:[Sexo]]=$B103,IF(DATOS_[[AGRUP. VALOR. PTO.]:[AGRUP. VALOR. PTO.]]=$B102,IF(DATOS_[[Check Periodo Ref.]:[Check Periodo Ref.]]="Dentro",DATOS_[Conc.Sal.10]))))),
0)</f>
        <v>0</v>
      </c>
      <c r="P103" s="93">
        <f t="array" ref="P103">IFERROR(
AVERAGE((IF(DATOS_[[Sexo]:[Sexo]]=$B103,IF(DATOS_[[AGRUP. VALOR. PTO.]:[AGRUP. VALOR. PTO.]]=$B102,IF(DATOS_[[Check Periodo Ref.]:[Check Periodo Ref.]]="Dentro",DATOS_[Conc.Sal.11]))))),
0)</f>
        <v>0</v>
      </c>
      <c r="Q103" s="93">
        <f t="array" ref="Q103">IFERROR(
AVERAGE((IF(DATOS_[[Sexo]:[Sexo]]=$B103,IF(DATOS_[[AGRUP. VALOR. PTO.]:[AGRUP. VALOR. PTO.]]=$B102,IF(DATOS_[[Check Periodo Ref.]:[Check Periodo Ref.]]="Dentro",DATOS_[Conc.Sal.12]))))),
0)</f>
        <v>0</v>
      </c>
      <c r="R103" s="93">
        <f t="array" ref="R103">IFERROR(
AVERAGE((IF(DATOS_[[Sexo]:[Sexo]]=$B103,IF(DATOS_[[AGRUP. VALOR. PTO.]:[AGRUP. VALOR. PTO.]]=$B102,IF(DATOS_[[Check Periodo Ref.]:[Check Periodo Ref.]]="Dentro",DATOS_[Conc.Sal.13]))))),
0)</f>
        <v>0</v>
      </c>
      <c r="S103" s="93">
        <f t="array" ref="S103">IFERROR(
AVERAGE((IF(DATOS_[[Sexo]:[Sexo]]=$B103,IF(DATOS_[[AGRUP. VALOR. PTO.]:[AGRUP. VALOR. PTO.]]=$B102,IF(DATOS_[[Check Periodo Ref.]:[Check Periodo Ref.]]="Dentro",DATOS_[Conc.Sal.14]))))),
0)</f>
        <v>0</v>
      </c>
      <c r="T103" s="93">
        <f t="array" ref="T103">IFERROR(
AVERAGE((IF(DATOS_[[Sexo]:[Sexo]]=$B103,IF(DATOS_[[AGRUP. VALOR. PTO.]:[AGRUP. VALOR. PTO.]]=$B102,IF(DATOS_[[Check Periodo Ref.]:[Check Periodo Ref.]]="Dentro",DATOS_[Conc.Sal.15]))))),
0)</f>
        <v>0</v>
      </c>
      <c r="U103" s="93">
        <f t="array" ref="U103">IFERROR(
AVERAGE((IF(DATOS_[[Sexo]:[Sexo]]=$B103,IF(DATOS_[[AGRUP. VALOR. PTO.]:[AGRUP. VALOR. PTO.]]=$B102,IF(DATOS_[[Check Periodo Ref.]:[Check Periodo Ref.]]="Dentro",DATOS_[Conc.Sal.16]))))),
0)</f>
        <v>0</v>
      </c>
      <c r="V103" s="93">
        <f t="array" ref="V103">IFERROR(
AVERAGE((IF(DATOS_[[Sexo]:[Sexo]]=$B103,IF(DATOS_[[AGRUP. VALOR. PTO.]:[AGRUP. VALOR. PTO.]]=$B102,IF(DATOS_[[Check Periodo Ref.]:[Check Periodo Ref.]]="Dentro",DATOS_[Conc.Sal.17]))))),
0)</f>
        <v>0</v>
      </c>
      <c r="W103" s="93">
        <f t="array" ref="W103">IFERROR(
AVERAGE((IF(DATOS_[[Sexo]:[Sexo]]=$B103,IF(DATOS_[[AGRUP. VALOR. PTO.]:[AGRUP. VALOR. PTO.]]=$B102,IF(DATOS_[[Check Periodo Ref.]:[Check Periodo Ref.]]="Dentro",DATOS_[Conc.Sal.18]))))),
0)</f>
        <v>0</v>
      </c>
      <c r="X103" s="93">
        <f t="array" ref="X103">IFERROR(
AVERAGE((IF(DATOS_[[Sexo]:[Sexo]]=$B103,IF(DATOS_[[AGRUP. VALOR. PTO.]:[AGRUP. VALOR. PTO.]]=$B102,IF(DATOS_[[Check Periodo Ref.]:[Check Periodo Ref.]]="Dentro",DATOS_[Conc.Sal.19]))))),
0)</f>
        <v>0</v>
      </c>
      <c r="Y103" s="93">
        <f t="array" ref="Y103">IFERROR(
AVERAGE((IF(DATOS_[[Sexo]:[Sexo]]=$B103,IF(DATOS_[[AGRUP. VALOR. PTO.]:[AGRUP. VALOR. PTO.]]=$B102,IF(DATOS_[[Check Periodo Ref.]:[Check Periodo Ref.]]="Dentro",DATOS_[Conc.Sal.20]))))),
0)</f>
        <v>0</v>
      </c>
      <c r="Z103" s="93">
        <f t="array" ref="Z103">IFERROR(
AVERAGE((IF(DATOS_[[Sexo]:[Sexo]]=$B103,IF(DATOS_[[AGRUP. VALOR. PTO.]:[AGRUP. VALOR. PTO.]]=$B102,IF(DATOS_[[Check Periodo Ref.]:[Check Periodo Ref.]]="Dentro",DATOS_[Conc.Sal.21]))))),
0)</f>
        <v>0</v>
      </c>
      <c r="AA103" s="93">
        <f t="array" ref="AA103">IFERROR(
AVERAGE((IF(DATOS_[[Sexo]:[Sexo]]=$B103,IF(DATOS_[[AGRUP. VALOR. PTO.]:[AGRUP. VALOR. PTO.]]=$B102,IF(DATOS_[[Check Periodo Ref.]:[Check Periodo Ref.]]="Dentro",DATOS_[Conc.Sal.22]))))),
0)</f>
        <v>0</v>
      </c>
      <c r="AB103" s="93">
        <f t="array" ref="AB103">IFERROR(
AVERAGE((IF(DATOS_[[Sexo]:[Sexo]]=$B103,IF(DATOS_[[AGRUP. VALOR. PTO.]:[AGRUP. VALOR. PTO.]]=$B102,IF(DATOS_[[Check Periodo Ref.]:[Check Periodo Ref.]]="Dentro",DATOS_[Conc.Sal.23]))))),
0)</f>
        <v>0</v>
      </c>
      <c r="AC103" s="93">
        <f t="array" ref="AC103">IFERROR(
AVERAGE((IF(DATOS_[[Sexo]:[Sexo]]=$B103,IF(DATOS_[[AGRUP. VALOR. PTO.]:[AGRUP. VALOR. PTO.]]=$B102,IF(DATOS_[[Check Periodo Ref.]:[Check Periodo Ref.]]="Dentro",DATOS_[Conc.Sal.24]))))),
0)</f>
        <v>0</v>
      </c>
      <c r="AD103" s="93">
        <f t="array" ref="AD103">IFERROR(
AVERAGE((IF(DATOS_[[Sexo]:[Sexo]]=$B103,IF(DATOS_[[AGRUP. VALOR. PTO.]:[AGRUP. VALOR. PTO.]]=$B102,IF(DATOS_[[Check Periodo Ref.]:[Check Periodo Ref.]]="Dentro",DATOS_[Conc.Sal.25]))))),
0)</f>
        <v>0</v>
      </c>
      <c r="AE103" s="93">
        <f t="array" ref="AE103">IFERROR(
AVERAGE((IF(DATOS_[[Sexo]:[Sexo]]=$B103,IF(DATOS_[[AGRUP. VALOR. PTO.]:[AGRUP. VALOR. PTO.]]=$B102,IF(DATOS_[[Check Periodo Ref.]:[Check Periodo Ref.]]="Dentro",DATOS_[Conc.Sal.26]))))),
0)</f>
        <v>0</v>
      </c>
      <c r="AF103" s="93">
        <f t="array" ref="AF103">IFERROR(
AVERAGE((IF(DATOS_[[Sexo]:[Sexo]]=$B103,IF(DATOS_[[AGRUP. VALOR. PTO.]:[AGRUP. VALOR. PTO.]]=$B102,IF(DATOS_[[Check Periodo Ref.]:[Check Periodo Ref.]]="Dentro",DATOS_[Conc.Sal.27]))))),
0)</f>
        <v>0</v>
      </c>
      <c r="AG103" s="93">
        <f t="array" ref="AG103">IFERROR(
AVERAGE((IF(DATOS_[[Sexo]:[Sexo]]=$B103,IF(DATOS_[[AGRUP. VALOR. PTO.]:[AGRUP. VALOR. PTO.]]=$B102,IF(DATOS_[[Check Periodo Ref.]:[Check Periodo Ref.]]="Dentro",DATOS_[Conc.Sal.28]))))),
0)</f>
        <v>0</v>
      </c>
      <c r="AH103" s="93">
        <f t="array" ref="AH103">IFERROR(
AVERAGE((IF(DATOS_[[Sexo]:[Sexo]]=$B103,IF(DATOS_[[AGRUP. VALOR. PTO.]:[AGRUP. VALOR. PTO.]]=$B102,IF(DATOS_[[Check Periodo Ref.]:[Check Periodo Ref.]]="Dentro",DATOS_[Conc.Sal.29]))))),
0)</f>
        <v>0</v>
      </c>
      <c r="AI103" s="93">
        <f t="array" ref="AI103">IFERROR(
AVERAGE((IF(DATOS_[[Sexo]:[Sexo]]=$B103,IF(DATOS_[[AGRUP. VALOR. PTO.]:[AGRUP. VALOR. PTO.]]=$B102,IF(DATOS_[[Check Periodo Ref.]:[Check Periodo Ref.]]="Dentro",DATOS_[Conc.Sal.30]))))),
0)</f>
        <v>0</v>
      </c>
      <c r="AJ103" s="94">
        <f t="array" ref="AJ103">IFERROR(
AVERAGE(IF(DATOS_[Sexo]=$B103,IF(DATOS_[AGRUP. VALOR. PTO.]=$B102,IF(DATOS_[Check Periodo Ref.]="Dentro",DATOS_[Tot COMPL.SAL Ef],FALSE)))),
0)</f>
        <v>0</v>
      </c>
      <c r="AK103" s="96">
        <f t="array" ref="AK103">IFERROR(
AVERAGE(IF(DATOS_[Sexo]=$B103,IF(DATOS_[AGRUP. VALOR. PTO.]=$B102,IF(DATOS_[Check Periodo Ref.]="Dentro",DATOS_[TOTAL SALARIO Ef],FALSE)))),
0)</f>
        <v>0</v>
      </c>
      <c r="AL103" s="95">
        <f t="array" ref="AL103">IFERROR(
AVERAGE((IF(DATOS_[[Sexo]:[Sexo]]=$B103,IF(DATOS_[[AGRUP. VALOR. PTO.]:[AGRUP. VALOR. PTO.]]=$B102,IF(DATOS_[[Check Periodo Ref.]:[Check Periodo Ref.]]="Dentro",DATOS_[C.Extra.01]))))),
0)</f>
        <v>0</v>
      </c>
      <c r="AM103" s="95">
        <f t="array" ref="AM103">IFERROR(
AVERAGE((IF(DATOS_[[Sexo]:[Sexo]]=$B103,IF(DATOS_[[AGRUP. VALOR. PTO.]:[AGRUP. VALOR. PTO.]]=$B102,IF(DATOS_[[Check Periodo Ref.]:[Check Periodo Ref.]]="Dentro",DATOS_[C.Extra.02]))))),
0)</f>
        <v>0</v>
      </c>
      <c r="AN103" s="95">
        <f t="array" ref="AN103">IFERROR(
AVERAGE((IF(DATOS_[[Sexo]:[Sexo]]=$B103,IF(DATOS_[[AGRUP. VALOR. PTO.]:[AGRUP. VALOR. PTO.]]=$B102,IF(DATOS_[[Check Periodo Ref.]:[Check Periodo Ref.]]="Dentro",DATOS_[C.Extra.03]))))),
0)</f>
        <v>0</v>
      </c>
      <c r="AO103" s="95">
        <f t="array" ref="AO103">IFERROR(
AVERAGE((IF(DATOS_[[Sexo]:[Sexo]]=$B103,IF(DATOS_[[AGRUP. VALOR. PTO.]:[AGRUP. VALOR. PTO.]]=$B102,IF(DATOS_[[Check Periodo Ref.]:[Check Periodo Ref.]]="Dentro",DATOS_[C.Extra.04]))))),
0)</f>
        <v>0</v>
      </c>
      <c r="AP103" s="95">
        <f t="array" ref="AP103">IFERROR(
AVERAGE((IF(DATOS_[[Sexo]:[Sexo]]=$B103,IF(DATOS_[[AGRUP. VALOR. PTO.]:[AGRUP. VALOR. PTO.]]=$B102,IF(DATOS_[[Check Periodo Ref.]:[Check Periodo Ref.]]="Dentro",DATOS_[C.Extra.05]))))),
0)</f>
        <v>0</v>
      </c>
      <c r="AQ103" s="97">
        <f t="array" ref="AQ103">IFERROR(
AVERAGE(IF(DATOS_[Sexo]=$B103,IF(DATOS_[AGRUP. VALOR. PTO.]=$B102,IF(DATOS_[Check Periodo Ref.]="Dentro",DATOS_[Tot Extrasalarial Ef],FALSE)))),
0)</f>
        <v>0</v>
      </c>
      <c r="AR103" s="98">
        <f t="array" ref="AR103">IFERROR(
AVERAGE(IF(DATOS_[Sexo]=$B103,IF(DATOS_[AGRUP. VALOR. PTO.]=$B102,IF(DATOS_[Check Periodo Ref.]="Dentro",DATOS_[TOTAL Retrib Ef],FALSE)))),
0)</f>
        <v>0</v>
      </c>
    </row>
    <row r="104" spans="1:44" hidden="1" x14ac:dyDescent="0.3">
      <c r="A104" s="48" t="str">
        <f t="shared" ref="A104" si="122">+A103</f>
        <v>[ocultar]</v>
      </c>
      <c r="B104" s="46" t="s">
        <v>163</v>
      </c>
      <c r="C104" s="45">
        <f t="array" ref="C104">SUM(IF($B104=DATOS_[Sexo],
IF($B102=DATOS_[AGRUP. VALOR. PTO.],
IF("Dentro"=DATOS_[Check Periodo Ref.],
1/(COUNTIFS(DATOS_[Sexo],$B104,DATOS_[AGRUP. VALOR. PTO.],$B102,DATOS_[Check Periodo Ref.],"Dentro",DATOS_[id],DATOS_[id]))))))</f>
        <v>0</v>
      </c>
      <c r="D104" s="47">
        <f>COUNTIFS(DATOS_[AGRUP. VALOR. PTO.],$B102,DATOS_[Sexo],$B104,DATOS_[Check Periodo Ref.],"Dentro")</f>
        <v>0</v>
      </c>
      <c r="E104" s="92">
        <f t="array" ref="E104">IFERROR(
AVERAGE(IF(DATOS_[Sexo]=$B104,IF(DATOS_[AGRUP. VALOR. PTO.]=$B102,IF(DATOS_[Check Periodo Ref.]="Dentro",DATOS_[SALARIO BASE Ef],FALSE)))),
0)</f>
        <v>0</v>
      </c>
      <c r="F104" s="93">
        <f t="array" ref="F104">IFERROR(
AVERAGE((IF(DATOS_[[Sexo]:[Sexo]]=$B104,IF(DATOS_[[AGRUP. VALOR. PTO.]:[AGRUP. VALOR. PTO.]]=$B102,IF(DATOS_[[Check Periodo Ref.]:[Check Periodo Ref.]]="Dentro",DATOS_[Conc.Sal.01]))))),
0)</f>
        <v>0</v>
      </c>
      <c r="G104" s="93">
        <f t="array" ref="G104">IFERROR(
AVERAGE((IF(DATOS_[[Sexo]:[Sexo]]=$B104,IF(DATOS_[[AGRUP. VALOR. PTO.]:[AGRUP. VALOR. PTO.]]=$B102,IF(DATOS_[[Check Periodo Ref.]:[Check Periodo Ref.]]="Dentro",DATOS_[Conc.Sal.02]))))),
0)</f>
        <v>0</v>
      </c>
      <c r="H104" s="93">
        <f t="array" ref="H104">IFERROR(
AVERAGE((IF(DATOS_[[Sexo]:[Sexo]]=$B104,IF(DATOS_[[AGRUP. VALOR. PTO.]:[AGRUP. VALOR. PTO.]]=$B102,IF(DATOS_[[Check Periodo Ref.]:[Check Periodo Ref.]]="Dentro",DATOS_[Conc.Sal.03]))))),
0)</f>
        <v>0</v>
      </c>
      <c r="I104" s="93">
        <f t="array" ref="I104">IFERROR(
AVERAGE((IF(DATOS_[[Sexo]:[Sexo]]=$B104,IF(DATOS_[[AGRUP. VALOR. PTO.]:[AGRUP. VALOR. PTO.]]=$B102,IF(DATOS_[[Check Periodo Ref.]:[Check Periodo Ref.]]="Dentro",DATOS_[Conc.Sal.04]))))),
0)</f>
        <v>0</v>
      </c>
      <c r="J104" s="93">
        <f t="array" ref="J104">IFERROR(
AVERAGE((IF(DATOS_[[Sexo]:[Sexo]]=$B104,IF(DATOS_[[AGRUP. VALOR. PTO.]:[AGRUP. VALOR. PTO.]]=$B102,IF(DATOS_[[Check Periodo Ref.]:[Check Periodo Ref.]]="Dentro",DATOS_[Conc.Sal.05]))))),
0)</f>
        <v>0</v>
      </c>
      <c r="K104" s="93">
        <f t="array" ref="K104">IFERROR(
AVERAGE((IF(DATOS_[[Sexo]:[Sexo]]=$B104,IF(DATOS_[[AGRUP. VALOR. PTO.]:[AGRUP. VALOR. PTO.]]=$B102,IF(DATOS_[[Check Periodo Ref.]:[Check Periodo Ref.]]="Dentro",DATOS_[Conc.Sal.06]))))),
0)</f>
        <v>0</v>
      </c>
      <c r="L104" s="93">
        <f t="array" ref="L104">IFERROR(
AVERAGE((IF(DATOS_[[Sexo]:[Sexo]]=$B104,IF(DATOS_[[AGRUP. VALOR. PTO.]:[AGRUP. VALOR. PTO.]]=$B102,IF(DATOS_[[Check Periodo Ref.]:[Check Periodo Ref.]]="Dentro",DATOS_[Conc.Sal.07]))))),
0)</f>
        <v>0</v>
      </c>
      <c r="M104" s="93">
        <f t="array" ref="M104">IFERROR(
AVERAGE((IF(DATOS_[[Sexo]:[Sexo]]=$B104,IF(DATOS_[[AGRUP. VALOR. PTO.]:[AGRUP. VALOR. PTO.]]=$B102,IF(DATOS_[[Check Periodo Ref.]:[Check Periodo Ref.]]="Dentro",DATOS_[Conc.Sal.08]))))),
0)</f>
        <v>0</v>
      </c>
      <c r="N104" s="93">
        <f t="array" ref="N104">IFERROR(
AVERAGE((IF(DATOS_[[Sexo]:[Sexo]]=$B104,IF(DATOS_[[AGRUP. VALOR. PTO.]:[AGRUP. VALOR. PTO.]]=$B102,IF(DATOS_[[Check Periodo Ref.]:[Check Periodo Ref.]]="Dentro",DATOS_[Conc.Sal.09]))))),
0)</f>
        <v>0</v>
      </c>
      <c r="O104" s="93">
        <f t="array" ref="O104">IFERROR(
AVERAGE((IF(DATOS_[[Sexo]:[Sexo]]=$B104,IF(DATOS_[[AGRUP. VALOR. PTO.]:[AGRUP. VALOR. PTO.]]=$B102,IF(DATOS_[[Check Periodo Ref.]:[Check Periodo Ref.]]="Dentro",DATOS_[Conc.Sal.10]))))),
0)</f>
        <v>0</v>
      </c>
      <c r="P104" s="93">
        <f t="array" ref="P104">IFERROR(
AVERAGE((IF(DATOS_[[Sexo]:[Sexo]]=$B104,IF(DATOS_[[AGRUP. VALOR. PTO.]:[AGRUP. VALOR. PTO.]]=$B102,IF(DATOS_[[Check Periodo Ref.]:[Check Periodo Ref.]]="Dentro",DATOS_[Conc.Sal.11]))))),
0)</f>
        <v>0</v>
      </c>
      <c r="Q104" s="93">
        <f t="array" ref="Q104">IFERROR(
AVERAGE((IF(DATOS_[[Sexo]:[Sexo]]=$B104,IF(DATOS_[[AGRUP. VALOR. PTO.]:[AGRUP. VALOR. PTO.]]=$B102,IF(DATOS_[[Check Periodo Ref.]:[Check Periodo Ref.]]="Dentro",DATOS_[Conc.Sal.12]))))),
0)</f>
        <v>0</v>
      </c>
      <c r="R104" s="93">
        <f t="array" ref="R104">IFERROR(
AVERAGE((IF(DATOS_[[Sexo]:[Sexo]]=$B104,IF(DATOS_[[AGRUP. VALOR. PTO.]:[AGRUP. VALOR. PTO.]]=$B102,IF(DATOS_[[Check Periodo Ref.]:[Check Periodo Ref.]]="Dentro",DATOS_[Conc.Sal.13]))))),
0)</f>
        <v>0</v>
      </c>
      <c r="S104" s="93">
        <f t="array" ref="S104">IFERROR(
AVERAGE((IF(DATOS_[[Sexo]:[Sexo]]=$B104,IF(DATOS_[[AGRUP. VALOR. PTO.]:[AGRUP. VALOR. PTO.]]=$B102,IF(DATOS_[[Check Periodo Ref.]:[Check Periodo Ref.]]="Dentro",DATOS_[Conc.Sal.14]))))),
0)</f>
        <v>0</v>
      </c>
      <c r="T104" s="93">
        <f t="array" ref="T104">IFERROR(
AVERAGE((IF(DATOS_[[Sexo]:[Sexo]]=$B104,IF(DATOS_[[AGRUP. VALOR. PTO.]:[AGRUP. VALOR. PTO.]]=$B102,IF(DATOS_[[Check Periodo Ref.]:[Check Periodo Ref.]]="Dentro",DATOS_[Conc.Sal.15]))))),
0)</f>
        <v>0</v>
      </c>
      <c r="U104" s="93">
        <f t="array" ref="U104">IFERROR(
AVERAGE((IF(DATOS_[[Sexo]:[Sexo]]=$B104,IF(DATOS_[[AGRUP. VALOR. PTO.]:[AGRUP. VALOR. PTO.]]=$B102,IF(DATOS_[[Check Periodo Ref.]:[Check Periodo Ref.]]="Dentro",DATOS_[Conc.Sal.16]))))),
0)</f>
        <v>0</v>
      </c>
      <c r="V104" s="93">
        <f t="array" ref="V104">IFERROR(
AVERAGE((IF(DATOS_[[Sexo]:[Sexo]]=$B104,IF(DATOS_[[AGRUP. VALOR. PTO.]:[AGRUP. VALOR. PTO.]]=$B102,IF(DATOS_[[Check Periodo Ref.]:[Check Periodo Ref.]]="Dentro",DATOS_[Conc.Sal.17]))))),
0)</f>
        <v>0</v>
      </c>
      <c r="W104" s="93">
        <f t="array" ref="W104">IFERROR(
AVERAGE((IF(DATOS_[[Sexo]:[Sexo]]=$B104,IF(DATOS_[[AGRUP. VALOR. PTO.]:[AGRUP. VALOR. PTO.]]=$B102,IF(DATOS_[[Check Periodo Ref.]:[Check Periodo Ref.]]="Dentro",DATOS_[Conc.Sal.18]))))),
0)</f>
        <v>0</v>
      </c>
      <c r="X104" s="93">
        <f t="array" ref="X104">IFERROR(
AVERAGE((IF(DATOS_[[Sexo]:[Sexo]]=$B104,IF(DATOS_[[AGRUP. VALOR. PTO.]:[AGRUP. VALOR. PTO.]]=$B102,IF(DATOS_[[Check Periodo Ref.]:[Check Periodo Ref.]]="Dentro",DATOS_[Conc.Sal.19]))))),
0)</f>
        <v>0</v>
      </c>
      <c r="Y104" s="93">
        <f t="array" ref="Y104">IFERROR(
AVERAGE((IF(DATOS_[[Sexo]:[Sexo]]=$B104,IF(DATOS_[[AGRUP. VALOR. PTO.]:[AGRUP. VALOR. PTO.]]=$B102,IF(DATOS_[[Check Periodo Ref.]:[Check Periodo Ref.]]="Dentro",DATOS_[Conc.Sal.20]))))),
0)</f>
        <v>0</v>
      </c>
      <c r="Z104" s="93">
        <f t="array" ref="Z104">IFERROR(
AVERAGE((IF(DATOS_[[Sexo]:[Sexo]]=$B104,IF(DATOS_[[AGRUP. VALOR. PTO.]:[AGRUP. VALOR. PTO.]]=$B102,IF(DATOS_[[Check Periodo Ref.]:[Check Periodo Ref.]]="Dentro",DATOS_[Conc.Sal.21]))))),
0)</f>
        <v>0</v>
      </c>
      <c r="AA104" s="93">
        <f t="array" ref="AA104">IFERROR(
AVERAGE((IF(DATOS_[[Sexo]:[Sexo]]=$B104,IF(DATOS_[[AGRUP. VALOR. PTO.]:[AGRUP. VALOR. PTO.]]=$B102,IF(DATOS_[[Check Periodo Ref.]:[Check Periodo Ref.]]="Dentro",DATOS_[Conc.Sal.22]))))),
0)</f>
        <v>0</v>
      </c>
      <c r="AB104" s="93">
        <f t="array" ref="AB104">IFERROR(
AVERAGE((IF(DATOS_[[Sexo]:[Sexo]]=$B104,IF(DATOS_[[AGRUP. VALOR. PTO.]:[AGRUP. VALOR. PTO.]]=$B102,IF(DATOS_[[Check Periodo Ref.]:[Check Periodo Ref.]]="Dentro",DATOS_[Conc.Sal.23]))))),
0)</f>
        <v>0</v>
      </c>
      <c r="AC104" s="93">
        <f t="array" ref="AC104">IFERROR(
AVERAGE((IF(DATOS_[[Sexo]:[Sexo]]=$B104,IF(DATOS_[[AGRUP. VALOR. PTO.]:[AGRUP. VALOR. PTO.]]=$B102,IF(DATOS_[[Check Periodo Ref.]:[Check Periodo Ref.]]="Dentro",DATOS_[Conc.Sal.24]))))),
0)</f>
        <v>0</v>
      </c>
      <c r="AD104" s="93">
        <f t="array" ref="AD104">IFERROR(
AVERAGE((IF(DATOS_[[Sexo]:[Sexo]]=$B104,IF(DATOS_[[AGRUP. VALOR. PTO.]:[AGRUP. VALOR. PTO.]]=$B102,IF(DATOS_[[Check Periodo Ref.]:[Check Periodo Ref.]]="Dentro",DATOS_[Conc.Sal.25]))))),
0)</f>
        <v>0</v>
      </c>
      <c r="AE104" s="93">
        <f t="array" ref="AE104">IFERROR(
AVERAGE((IF(DATOS_[[Sexo]:[Sexo]]=$B104,IF(DATOS_[[AGRUP. VALOR. PTO.]:[AGRUP. VALOR. PTO.]]=$B102,IF(DATOS_[[Check Periodo Ref.]:[Check Periodo Ref.]]="Dentro",DATOS_[Conc.Sal.26]))))),
0)</f>
        <v>0</v>
      </c>
      <c r="AF104" s="93">
        <f t="array" ref="AF104">IFERROR(
AVERAGE((IF(DATOS_[[Sexo]:[Sexo]]=$B104,IF(DATOS_[[AGRUP. VALOR. PTO.]:[AGRUP. VALOR. PTO.]]=$B102,IF(DATOS_[[Check Periodo Ref.]:[Check Periodo Ref.]]="Dentro",DATOS_[Conc.Sal.27]))))),
0)</f>
        <v>0</v>
      </c>
      <c r="AG104" s="93">
        <f t="array" ref="AG104">IFERROR(
AVERAGE((IF(DATOS_[[Sexo]:[Sexo]]=$B104,IF(DATOS_[[AGRUP. VALOR. PTO.]:[AGRUP. VALOR. PTO.]]=$B102,IF(DATOS_[[Check Periodo Ref.]:[Check Periodo Ref.]]="Dentro",DATOS_[Conc.Sal.28]))))),
0)</f>
        <v>0</v>
      </c>
      <c r="AH104" s="93">
        <f t="array" ref="AH104">IFERROR(
AVERAGE((IF(DATOS_[[Sexo]:[Sexo]]=$B104,IF(DATOS_[[AGRUP. VALOR. PTO.]:[AGRUP. VALOR. PTO.]]=$B102,IF(DATOS_[[Check Periodo Ref.]:[Check Periodo Ref.]]="Dentro",DATOS_[Conc.Sal.29]))))),
0)</f>
        <v>0</v>
      </c>
      <c r="AI104" s="93">
        <f t="array" ref="AI104">IFERROR(
AVERAGE((IF(DATOS_[[Sexo]:[Sexo]]=$B104,IF(DATOS_[[AGRUP. VALOR. PTO.]:[AGRUP. VALOR. PTO.]]=$B102,IF(DATOS_[[Check Periodo Ref.]:[Check Periodo Ref.]]="Dentro",DATOS_[Conc.Sal.30]))))),
0)</f>
        <v>0</v>
      </c>
      <c r="AJ104" s="94">
        <f t="array" ref="AJ104">IFERROR(
AVERAGE(IF(DATOS_[Sexo]=$B104,IF(DATOS_[AGRUP. VALOR. PTO.]=$B102,IF(DATOS_[Check Periodo Ref.]="Dentro",DATOS_[Tot COMPL.SAL Ef],FALSE)))),
0)</f>
        <v>0</v>
      </c>
      <c r="AK104" s="96">
        <f t="array" ref="AK104">IFERROR(
AVERAGE(IF(DATOS_[Sexo]=$B104,IF(DATOS_[AGRUP. VALOR. PTO.]=$B102,IF(DATOS_[Check Periodo Ref.]="Dentro",DATOS_[TOTAL SALARIO Ef],FALSE)))),
0)</f>
        <v>0</v>
      </c>
      <c r="AL104" s="95">
        <f t="array" ref="AL104">IFERROR(
AVERAGE((IF(DATOS_[[Sexo]:[Sexo]]=$B104,IF(DATOS_[[AGRUP. VALOR. PTO.]:[AGRUP. VALOR. PTO.]]=$B102,IF(DATOS_[[Check Periodo Ref.]:[Check Periodo Ref.]]="Dentro",DATOS_[C.Extra.01]))))),
0)</f>
        <v>0</v>
      </c>
      <c r="AM104" s="95">
        <f t="array" ref="AM104">IFERROR(
AVERAGE((IF(DATOS_[[Sexo]:[Sexo]]=$B104,IF(DATOS_[[AGRUP. VALOR. PTO.]:[AGRUP. VALOR. PTO.]]=$B102,IF(DATOS_[[Check Periodo Ref.]:[Check Periodo Ref.]]="Dentro",DATOS_[C.Extra.02]))))),
0)</f>
        <v>0</v>
      </c>
      <c r="AN104" s="95">
        <f t="array" ref="AN104">IFERROR(
AVERAGE((IF(DATOS_[[Sexo]:[Sexo]]=$B104,IF(DATOS_[[AGRUP. VALOR. PTO.]:[AGRUP. VALOR. PTO.]]=$B102,IF(DATOS_[[Check Periodo Ref.]:[Check Periodo Ref.]]="Dentro",DATOS_[C.Extra.03]))))),
0)</f>
        <v>0</v>
      </c>
      <c r="AO104" s="95">
        <f t="array" ref="AO104">IFERROR(
AVERAGE((IF(DATOS_[[Sexo]:[Sexo]]=$B104,IF(DATOS_[[AGRUP. VALOR. PTO.]:[AGRUP. VALOR. PTO.]]=$B102,IF(DATOS_[[Check Periodo Ref.]:[Check Periodo Ref.]]="Dentro",DATOS_[C.Extra.04]))))),
0)</f>
        <v>0</v>
      </c>
      <c r="AP104" s="95">
        <f t="array" ref="AP104">IFERROR(
AVERAGE((IF(DATOS_[[Sexo]:[Sexo]]=$B104,IF(DATOS_[[AGRUP. VALOR. PTO.]:[AGRUP. VALOR. PTO.]]=$B102,IF(DATOS_[[Check Periodo Ref.]:[Check Periodo Ref.]]="Dentro",DATOS_[C.Extra.05]))))),
0)</f>
        <v>0</v>
      </c>
      <c r="AQ104" s="97">
        <f t="array" ref="AQ104">IFERROR(
AVERAGE(IF(DATOS_[Sexo]=$B104,IF(DATOS_[AGRUP. VALOR. PTO.]=$B102,IF(DATOS_[Check Periodo Ref.]="Dentro",DATOS_[Tot Extrasalarial Ef],FALSE)))),
0)</f>
        <v>0</v>
      </c>
      <c r="AR104" s="98">
        <f t="array" ref="AR104">IFERROR(
AVERAGE(IF(DATOS_[Sexo]=$B104,IF(DATOS_[AGRUP. VALOR. PTO.]=$B102,IF(DATOS_[Check Periodo Ref.]="Dentro",DATOS_[TOTAL Retrib Ef],FALSE)))),
0)</f>
        <v>0</v>
      </c>
    </row>
  </sheetData>
  <sheetProtection algorithmName="SHA-512" hashValue="n5IWffebyFjD0xsHEJX8AVMdKur2mtRCQ6jl0FuMlQgADCQcC5Ufgbi5LAJTatL58edyKQWSFrdwoeZaIVhMNA==" saltValue="MRlzZWbf2AsV4a9l7H+O5Q==" spinCount="100000" sheet="1" objects="1" scenarios="1"/>
  <dataConsolidate/>
  <mergeCells count="1">
    <mergeCell ref="AS1:AS11"/>
  </mergeCells>
  <pageMargins left="0.25" right="0.25" top="0.75" bottom="0.75" header="0.3" footer="0.3"/>
  <pageSetup paperSize="9"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U104"/>
  <sheetViews>
    <sheetView showGridLines="0" zoomScaleNormal="100" workbookViewId="0">
      <selection activeCell="AS1" sqref="AS1:AS11"/>
    </sheetView>
  </sheetViews>
  <sheetFormatPr baseColWidth="10" defaultColWidth="7.28515625" defaultRowHeight="16.5" outlineLevelCol="1" x14ac:dyDescent="0.3"/>
  <cols>
    <col min="1" max="1" width="8.85546875" style="42" customWidth="1"/>
    <col min="2" max="2" width="10.7109375" style="42" customWidth="1"/>
    <col min="3" max="4" width="7.28515625" style="42" customWidth="1"/>
    <col min="5" max="5" width="10.42578125" style="42" customWidth="1"/>
    <col min="6" max="13" width="7.28515625" style="42" customWidth="1"/>
    <col min="14" max="15" width="7.28515625" style="42" hidden="1" customWidth="1"/>
    <col min="16" max="35" width="7.28515625" style="42" hidden="1" customWidth="1" outlineLevel="1"/>
    <col min="36" max="36" width="8.85546875" style="42" customWidth="1" collapsed="1"/>
    <col min="37" max="37" width="8.85546875" style="42" customWidth="1"/>
    <col min="38" max="41" width="7.28515625" style="42" customWidth="1"/>
    <col min="42" max="42" width="7.28515625" style="42" hidden="1" customWidth="1"/>
    <col min="43" max="44" width="8.85546875" style="42" customWidth="1"/>
    <col min="45" max="45" width="16.7109375" style="42" customWidth="1"/>
    <col min="46" max="16384" width="7.28515625" style="42"/>
  </cols>
  <sheetData>
    <row r="1" spans="1:47" s="53" customFormat="1" ht="42.6" customHeight="1" x14ac:dyDescent="0.3">
      <c r="E1" s="237" t="s">
        <v>372</v>
      </c>
      <c r="AS1" s="344" t="str">
        <f>+IFERROR(IF(OR(((AR10-AR11)/AR11)&gt;=25%,((AR11-AR10)/AR10)&gt;=25%),AU1,""),"")</f>
        <v/>
      </c>
      <c r="AT1" s="305"/>
      <c r="AU1" s="332" t="s">
        <v>445</v>
      </c>
    </row>
    <row r="2" spans="1:47" ht="13.9" customHeight="1" x14ac:dyDescent="0.3">
      <c r="G2" s="42" t="str">
        <f>+IF(G8="[ocultar]",G8,"")</f>
        <v/>
      </c>
      <c r="H2" s="42" t="str">
        <f t="shared" ref="H2:AP2" si="0">+IF(H8="[ocultar]",H8,"")</f>
        <v/>
      </c>
      <c r="I2" s="42" t="str">
        <f t="shared" si="0"/>
        <v/>
      </c>
      <c r="J2" s="42" t="str">
        <f t="shared" si="0"/>
        <v/>
      </c>
      <c r="K2" s="42" t="str">
        <f t="shared" si="0"/>
        <v/>
      </c>
      <c r="L2" s="42" t="str">
        <f t="shared" si="0"/>
        <v/>
      </c>
      <c r="M2" s="42" t="str">
        <f t="shared" si="0"/>
        <v/>
      </c>
      <c r="N2" s="42" t="str">
        <f t="shared" si="0"/>
        <v>[ocultar]</v>
      </c>
      <c r="O2" s="42" t="str">
        <f t="shared" si="0"/>
        <v>[ocultar]</v>
      </c>
      <c r="P2" s="42" t="str">
        <f t="shared" si="0"/>
        <v>[ocultar]</v>
      </c>
      <c r="Q2" s="42" t="str">
        <f t="shared" si="0"/>
        <v>[ocultar]</v>
      </c>
      <c r="R2" s="42" t="str">
        <f t="shared" si="0"/>
        <v>[ocultar]</v>
      </c>
      <c r="S2" s="42" t="str">
        <f t="shared" si="0"/>
        <v>[ocultar]</v>
      </c>
      <c r="T2" s="42" t="str">
        <f t="shared" si="0"/>
        <v>[ocultar]</v>
      </c>
      <c r="U2" s="42" t="str">
        <f t="shared" si="0"/>
        <v>[ocultar]</v>
      </c>
      <c r="V2" s="42" t="str">
        <f t="shared" si="0"/>
        <v>[ocultar]</v>
      </c>
      <c r="W2" s="42" t="str">
        <f t="shared" si="0"/>
        <v>[ocultar]</v>
      </c>
      <c r="X2" s="42" t="str">
        <f t="shared" si="0"/>
        <v>[ocultar]</v>
      </c>
      <c r="Y2" s="42" t="str">
        <f t="shared" si="0"/>
        <v>[ocultar]</v>
      </c>
      <c r="Z2" s="42" t="str">
        <f t="shared" si="0"/>
        <v>[ocultar]</v>
      </c>
      <c r="AA2" s="42" t="str">
        <f t="shared" si="0"/>
        <v>[ocultar]</v>
      </c>
      <c r="AB2" s="42" t="str">
        <f t="shared" si="0"/>
        <v>[ocultar]</v>
      </c>
      <c r="AC2" s="42" t="str">
        <f t="shared" si="0"/>
        <v>[ocultar]</v>
      </c>
      <c r="AD2" s="42" t="str">
        <f t="shared" si="0"/>
        <v>[ocultar]</v>
      </c>
      <c r="AE2" s="42" t="str">
        <f t="shared" si="0"/>
        <v>[ocultar]</v>
      </c>
      <c r="AF2" s="42" t="str">
        <f t="shared" si="0"/>
        <v>[ocultar]</v>
      </c>
      <c r="AG2" s="42" t="str">
        <f t="shared" si="0"/>
        <v>[ocultar]</v>
      </c>
      <c r="AH2" s="42" t="str">
        <f t="shared" si="0"/>
        <v>[ocultar]</v>
      </c>
      <c r="AI2" s="42" t="str">
        <f t="shared" si="0"/>
        <v>[ocultar]</v>
      </c>
      <c r="AJ2" s="42" t="str">
        <f t="shared" si="0"/>
        <v/>
      </c>
      <c r="AK2" s="42" t="str">
        <f t="shared" si="0"/>
        <v/>
      </c>
      <c r="AL2" s="42" t="str">
        <f t="shared" si="0"/>
        <v/>
      </c>
      <c r="AM2" s="42" t="str">
        <f t="shared" si="0"/>
        <v/>
      </c>
      <c r="AN2" s="42" t="str">
        <f t="shared" si="0"/>
        <v/>
      </c>
      <c r="AO2" s="42" t="str">
        <f t="shared" si="0"/>
        <v/>
      </c>
      <c r="AP2" s="42" t="str">
        <f t="shared" si="0"/>
        <v>[ocultar]</v>
      </c>
      <c r="AS2" s="344"/>
      <c r="AT2" s="305"/>
      <c r="AU2" s="305"/>
    </row>
    <row r="3" spans="1:47" ht="13.9" customHeight="1" x14ac:dyDescent="0.3">
      <c r="E3" s="161" t="str">
        <f>+"Razón Social: "&amp;Inicio!C6&amp;"  -  NIF: "&amp;Inicio!C8</f>
        <v>Razón Social: Empresa Ejemplo Ficticio 3  -  NIF: B55512345</v>
      </c>
      <c r="F3" s="162"/>
      <c r="AS3" s="344"/>
      <c r="AT3" s="305"/>
      <c r="AU3" s="305"/>
    </row>
    <row r="4" spans="1:47" ht="13.9" customHeight="1" x14ac:dyDescent="0.3">
      <c r="E4" s="163" t="s">
        <v>97</v>
      </c>
      <c r="F4" s="164"/>
      <c r="AS4" s="344"/>
      <c r="AT4" s="305"/>
      <c r="AU4" s="305"/>
    </row>
    <row r="5" spans="1:47" ht="13.9" customHeight="1" x14ac:dyDescent="0.3">
      <c r="E5" s="165">
        <f>+Inicio!E10</f>
        <v>45292</v>
      </c>
      <c r="F5" s="166" t="str">
        <f>+Inicio!D10</f>
        <v>fecha inicio</v>
      </c>
      <c r="AS5" s="344"/>
      <c r="AT5" s="305"/>
      <c r="AU5" s="305"/>
    </row>
    <row r="6" spans="1:47" ht="13.9" customHeight="1" x14ac:dyDescent="0.3">
      <c r="E6" s="165">
        <f>+Inicio!G10</f>
        <v>45657</v>
      </c>
      <c r="F6" s="166" t="s">
        <v>94</v>
      </c>
      <c r="AS6" s="344"/>
      <c r="AT6" s="305"/>
      <c r="AU6" s="305"/>
    </row>
    <row r="7" spans="1:47" s="118" customFormat="1" ht="13.9" customHeight="1" x14ac:dyDescent="0.25">
      <c r="AS7" s="344"/>
      <c r="AT7" s="307"/>
      <c r="AU7" s="307"/>
    </row>
    <row r="8" spans="1:47" s="33" customFormat="1" ht="46.15" customHeight="1" x14ac:dyDescent="0.25">
      <c r="B8" s="30"/>
      <c r="C8" s="43" t="s">
        <v>225</v>
      </c>
      <c r="D8" s="43" t="s">
        <v>220</v>
      </c>
      <c r="E8" s="31" t="s">
        <v>223</v>
      </c>
      <c r="F8" s="32" t="str">
        <f>+IF(DATOS!AE6="","[ocultar]",DATOS!AE6)</f>
        <v>MejVol</v>
      </c>
      <c r="G8" s="32" t="str">
        <f>+IF(DATOS!AF6="","[ocultar]",DATOS!AF6)</f>
        <v>Antig.</v>
      </c>
      <c r="H8" s="32" t="str">
        <f>+IF(DATOS!AG6="","[ocultar]",DATOS!AG6)</f>
        <v>Transporte</v>
      </c>
      <c r="I8" s="32" t="str">
        <f>+IF(DATOS!AH6="","[ocultar]",DATOS!AH6)</f>
        <v>Ventas</v>
      </c>
      <c r="J8" s="32" t="str">
        <f>+IF(DATOS!AI6="","[ocultar]",DATOS!AI6)</f>
        <v>Bonus</v>
      </c>
      <c r="K8" s="32" t="str">
        <f>+IF(DATOS!AJ6="","[ocultar]",DATOS!AJ6)</f>
        <v>Coche</v>
      </c>
      <c r="L8" s="32" t="str">
        <f>+IF(DATOS!AK6="","[ocultar]",DATOS!AK6)</f>
        <v>Cesta</v>
      </c>
      <c r="M8" s="32" t="str">
        <f>+IF(DATOS!AL6="","[ocultar]",DATOS!AL6)</f>
        <v>Nocturnidad</v>
      </c>
      <c r="N8" s="32" t="str">
        <f>+IF(DATOS!AM6="","[ocultar]",DATOS!AM6)</f>
        <v>[ocultar]</v>
      </c>
      <c r="O8" s="32" t="str">
        <f>+IF(DATOS!AN6="","[ocultar]",DATOS!AN6)</f>
        <v>[ocultar]</v>
      </c>
      <c r="P8" s="32" t="str">
        <f>+IF(DATOS!AO6="","[ocultar]",DATOS!AO6)</f>
        <v>[ocultar]</v>
      </c>
      <c r="Q8" s="32" t="str">
        <f>+IF(DATOS!AP6="","[ocultar]",DATOS!AP6)</f>
        <v>[ocultar]</v>
      </c>
      <c r="R8" s="32" t="str">
        <f>+IF(DATOS!AQ6="","[ocultar]",DATOS!AQ6)</f>
        <v>[ocultar]</v>
      </c>
      <c r="S8" s="32" t="str">
        <f>+IF(DATOS!AR6="","[ocultar]",DATOS!AR6)</f>
        <v>[ocultar]</v>
      </c>
      <c r="T8" s="32" t="str">
        <f>+IF(DATOS!AS6="","[ocultar]",DATOS!AS6)</f>
        <v>[ocultar]</v>
      </c>
      <c r="U8" s="32" t="str">
        <f>+IF(DATOS!AT6="","[ocultar]",DATOS!AT6)</f>
        <v>[ocultar]</v>
      </c>
      <c r="V8" s="32" t="str">
        <f>+IF(DATOS!AU6="","[ocultar]",DATOS!AU6)</f>
        <v>[ocultar]</v>
      </c>
      <c r="W8" s="32" t="str">
        <f>+IF(DATOS!AV6="","[ocultar]",DATOS!AV6)</f>
        <v>[ocultar]</v>
      </c>
      <c r="X8" s="32" t="str">
        <f>+IF(DATOS!AW6="","[ocultar]",DATOS!AW6)</f>
        <v>[ocultar]</v>
      </c>
      <c r="Y8" s="32" t="str">
        <f>+IF(DATOS!AX6="","[ocultar]",DATOS!AX6)</f>
        <v>[ocultar]</v>
      </c>
      <c r="Z8" s="32" t="str">
        <f>+IF(DATOS!AY6="","[ocultar]",DATOS!AY6)</f>
        <v>[ocultar]</v>
      </c>
      <c r="AA8" s="32" t="str">
        <f>+IF(DATOS!AZ6="","[ocultar]",DATOS!AZ6)</f>
        <v>[ocultar]</v>
      </c>
      <c r="AB8" s="32" t="str">
        <f>+IF(DATOS!BA6="","[ocultar]",DATOS!BA6)</f>
        <v>[ocultar]</v>
      </c>
      <c r="AC8" s="32" t="str">
        <f>+IF(DATOS!BB6="","[ocultar]",DATOS!BB6)</f>
        <v>[ocultar]</v>
      </c>
      <c r="AD8" s="32" t="str">
        <f>+IF(DATOS!BC6="","[ocultar]",DATOS!BC6)</f>
        <v>[ocultar]</v>
      </c>
      <c r="AE8" s="32" t="str">
        <f>+IF(DATOS!BD6="","[ocultar]",DATOS!BD6)</f>
        <v>[ocultar]</v>
      </c>
      <c r="AF8" s="32" t="str">
        <f>+IF(DATOS!BE6="","[ocultar]",DATOS!BE6)</f>
        <v>[ocultar]</v>
      </c>
      <c r="AG8" s="32" t="str">
        <f>+IF(DATOS!BF6="","[ocultar]",DATOS!BF6)</f>
        <v>[ocultar]</v>
      </c>
      <c r="AH8" s="32" t="str">
        <f>+IF(DATOS!BG6="","[ocultar]",DATOS!BG6)</f>
        <v>[ocultar]</v>
      </c>
      <c r="AI8" s="32" t="str">
        <f>+IF(DATOS!BH6="","[ocultar]",DATOS!BH6)</f>
        <v>[ocultar]</v>
      </c>
      <c r="AJ8" s="73" t="s">
        <v>221</v>
      </c>
      <c r="AK8" s="74" t="s">
        <v>213</v>
      </c>
      <c r="AL8" s="75" t="str">
        <f>+IF(DATOS!BI6="","[ocultar]",DATOS!BI6)</f>
        <v>Dietas</v>
      </c>
      <c r="AM8" s="75" t="str">
        <f>+IF(DATOS!BJ6="","[ocultar]",DATOS!BJ6)</f>
        <v>Indem</v>
      </c>
      <c r="AN8" s="75" t="str">
        <f>+IF(DATOS!BK6="","[ocultar]",DATOS!BK6)</f>
        <v>ERTE</v>
      </c>
      <c r="AO8" s="75" t="str">
        <f>+IF(DATOS!BL6="","[ocultar]",DATOS!BL6)</f>
        <v>IT</v>
      </c>
      <c r="AP8" s="75" t="str">
        <f>+IF(DATOS!BM6="","[ocultar]",DATOS!BM6)</f>
        <v>[ocultar]</v>
      </c>
      <c r="AQ8" s="76" t="s">
        <v>222</v>
      </c>
      <c r="AR8" s="77" t="s">
        <v>214</v>
      </c>
      <c r="AS8" s="344"/>
      <c r="AT8" s="308"/>
      <c r="AU8" s="308"/>
    </row>
    <row r="9" spans="1:47" s="36" customFormat="1" ht="17.25" thickBot="1" x14ac:dyDescent="0.35">
      <c r="B9" s="40" t="s">
        <v>247</v>
      </c>
      <c r="C9" s="109"/>
      <c r="D9" s="41"/>
      <c r="E9" s="119">
        <f t="shared" ref="E9" si="1">IFERROR((E10-E11)/E10,"")</f>
        <v>7.9883359907212306E-2</v>
      </c>
      <c r="F9" s="123">
        <f>IFERROR((F10-F11)/F10,"")</f>
        <v>0.8489984591679508</v>
      </c>
      <c r="G9" s="123">
        <f t="shared" ref="G9:AR9" si="2">IFERROR((G10-G11)/G10,"")</f>
        <v>0.49591267998142124</v>
      </c>
      <c r="H9" s="123" t="str">
        <f t="shared" si="2"/>
        <v/>
      </c>
      <c r="I9" s="123" t="str">
        <f t="shared" si="2"/>
        <v/>
      </c>
      <c r="J9" s="123" t="str">
        <f t="shared" si="2"/>
        <v/>
      </c>
      <c r="K9" s="123" t="str">
        <f t="shared" si="2"/>
        <v/>
      </c>
      <c r="L9" s="123">
        <f t="shared" si="2"/>
        <v>0</v>
      </c>
      <c r="M9" s="123" t="str">
        <f t="shared" si="2"/>
        <v/>
      </c>
      <c r="N9" s="123" t="str">
        <f t="shared" si="2"/>
        <v/>
      </c>
      <c r="O9" s="123" t="str">
        <f t="shared" si="2"/>
        <v/>
      </c>
      <c r="P9" s="123" t="str">
        <f t="shared" si="2"/>
        <v/>
      </c>
      <c r="Q9" s="123" t="str">
        <f t="shared" si="2"/>
        <v/>
      </c>
      <c r="R9" s="123" t="str">
        <f t="shared" si="2"/>
        <v/>
      </c>
      <c r="S9" s="123" t="str">
        <f t="shared" si="2"/>
        <v/>
      </c>
      <c r="T9" s="123" t="str">
        <f t="shared" si="2"/>
        <v/>
      </c>
      <c r="U9" s="123" t="str">
        <f t="shared" si="2"/>
        <v/>
      </c>
      <c r="V9" s="122" t="str">
        <f t="shared" si="2"/>
        <v/>
      </c>
      <c r="W9" s="122" t="str">
        <f t="shared" si="2"/>
        <v/>
      </c>
      <c r="X9" s="122" t="str">
        <f t="shared" si="2"/>
        <v/>
      </c>
      <c r="Y9" s="122" t="str">
        <f t="shared" si="2"/>
        <v/>
      </c>
      <c r="Z9" s="122" t="str">
        <f t="shared" si="2"/>
        <v/>
      </c>
      <c r="AA9" s="122" t="str">
        <f t="shared" si="2"/>
        <v/>
      </c>
      <c r="AB9" s="122" t="str">
        <f t="shared" si="2"/>
        <v/>
      </c>
      <c r="AC9" s="122" t="str">
        <f t="shared" si="2"/>
        <v/>
      </c>
      <c r="AD9" s="122" t="str">
        <f t="shared" si="2"/>
        <v/>
      </c>
      <c r="AE9" s="122" t="str">
        <f t="shared" si="2"/>
        <v/>
      </c>
      <c r="AF9" s="122" t="str">
        <f t="shared" si="2"/>
        <v/>
      </c>
      <c r="AG9" s="122" t="str">
        <f t="shared" si="2"/>
        <v/>
      </c>
      <c r="AH9" s="122" t="str">
        <f t="shared" si="2"/>
        <v/>
      </c>
      <c r="AI9" s="122" t="str">
        <f t="shared" si="2"/>
        <v/>
      </c>
      <c r="AJ9" s="124">
        <f t="shared" si="2"/>
        <v>0.5589976722250789</v>
      </c>
      <c r="AK9" s="128">
        <f t="shared" si="2"/>
        <v>0.19706342073492439</v>
      </c>
      <c r="AL9" s="125" t="str">
        <f t="shared" si="2"/>
        <v/>
      </c>
      <c r="AM9" s="125" t="str">
        <f t="shared" si="2"/>
        <v/>
      </c>
      <c r="AN9" s="125" t="str">
        <f t="shared" si="2"/>
        <v/>
      </c>
      <c r="AO9" s="125" t="str">
        <f t="shared" si="2"/>
        <v/>
      </c>
      <c r="AP9" s="125" t="str">
        <f t="shared" si="2"/>
        <v/>
      </c>
      <c r="AQ9" s="126" t="str">
        <f t="shared" si="2"/>
        <v/>
      </c>
      <c r="AR9" s="127">
        <f t="shared" si="2"/>
        <v>0.19706342073492439</v>
      </c>
      <c r="AS9" s="344"/>
      <c r="AT9" s="309"/>
      <c r="AU9" s="309"/>
    </row>
    <row r="10" spans="1:47" s="36" customFormat="1" x14ac:dyDescent="0.3">
      <c r="B10" s="34" t="s">
        <v>162</v>
      </c>
      <c r="C10" s="33">
        <f t="array" ref="C10">SUM(IF($B10=DATOS_[Sexo],
IF("Dentro"=DATOS_[Check Periodo Ref.],
1/(COUNTIFS(DATOS_[Sexo],$B10,DATOS_[Check Periodo Ref.],"Dentro",DATOS_[id],DATOS_[id])))))</f>
        <v>102</v>
      </c>
      <c r="D10" s="35">
        <f>COUNTIFS(DATOS_[AGRUP. VALOR. PTO.],"&lt;&gt;",DATOS_[Sexo],$B10,DATOS_[Check Periodo Ref.],"Dentro")</f>
        <v>110</v>
      </c>
      <c r="E10" s="110">
        <f t="array" ref="E10">IFERROR(
MEDIAN(IF(DATOS_[Sexo]=$B10,IF(DATOS_[Check Periodo Ref.]="Dentro",DATOS_[SALARIO BASE Ef],FALSE))),
0)</f>
        <v>14036.34</v>
      </c>
      <c r="F10" s="111">
        <f t="array" ref="F10">IFERROR(
(MEDIAN((IF(DATOS_[[Sexo]:[Sexo]]=$B10,IF(DATOS_[[Check Periodo Ref.]:[Check Periodo Ref.]]="Dentro",DATOS_[Conc.Sal.01]))))),
0)</f>
        <v>1083.83</v>
      </c>
      <c r="G10" s="111">
        <f t="array" ref="G10">IFERROR(
(MEDIAN((IF(DATOS_[[Sexo]:[Sexo]]=$B10,IF(DATOS_[[Check Periodo Ref.]:[Check Periodo Ref.]]="Dentro",DATOS_[Conc.Sal.02]))))),
0)</f>
        <v>614.89679999999998</v>
      </c>
      <c r="H10" s="111">
        <f t="array" ref="H10">IFERROR(
(MEDIAN((IF(DATOS_[[Sexo]:[Sexo]]=$B10,IF(DATOS_[[Check Periodo Ref.]:[Check Periodo Ref.]]="Dentro",DATOS_[Conc.Sal.03]))))),
0)</f>
        <v>0</v>
      </c>
      <c r="I10" s="111">
        <f t="array" ref="I10">IFERROR(
(MEDIAN((IF(DATOS_[[Sexo]:[Sexo]]=$B10,IF(DATOS_[[Check Periodo Ref.]:[Check Periodo Ref.]]="Dentro",DATOS_[Conc.Sal.04]))))),
0)</f>
        <v>0</v>
      </c>
      <c r="J10" s="111">
        <f t="array" ref="J10">IFERROR(
(MEDIAN((IF(DATOS_[[Sexo]:[Sexo]]=$B10,IF(DATOS_[[Check Periodo Ref.]:[Check Periodo Ref.]]="Dentro",DATOS_[Conc.Sal.05]))))),
0)</f>
        <v>0</v>
      </c>
      <c r="K10" s="111">
        <f t="array" ref="K10">IFERROR(
(MEDIAN((IF(DATOS_[[Sexo]:[Sexo]]=$B10,IF(DATOS_[[Check Periodo Ref.]:[Check Periodo Ref.]]="Dentro",DATOS_[Conc.Sal.06]))))),
0)</f>
        <v>0</v>
      </c>
      <c r="L10" s="111">
        <f t="array" ref="L10">IFERROR(
(MEDIAN((IF(DATOS_[[Sexo]:[Sexo]]=$B10,IF(DATOS_[[Check Periodo Ref.]:[Check Periodo Ref.]]="Dentro",DATOS_[Conc.Sal.07]))))),
0)</f>
        <v>80</v>
      </c>
      <c r="M10" s="111">
        <f t="array" ref="M10">IFERROR(
(MEDIAN((IF(DATOS_[[Sexo]:[Sexo]]=$B10,IF(DATOS_[[Check Periodo Ref.]:[Check Periodo Ref.]]="Dentro",DATOS_[Conc.Sal.08]))))),
0)</f>
        <v>0</v>
      </c>
      <c r="N10" s="111">
        <f t="array" ref="N10">IFERROR(
(MEDIAN((IF(DATOS_[[Sexo]:[Sexo]]=$B10,IF(DATOS_[[Check Periodo Ref.]:[Check Periodo Ref.]]="Dentro",DATOS_[Conc.Sal.09]))))),
0)</f>
        <v>0</v>
      </c>
      <c r="O10" s="111">
        <f t="array" ref="O10">IFERROR(
(MEDIAN((IF(DATOS_[[Sexo]:[Sexo]]=$B10,IF(DATOS_[[Check Periodo Ref.]:[Check Periodo Ref.]]="Dentro",DATOS_[Conc.Sal.10]))))),
0)</f>
        <v>0</v>
      </c>
      <c r="P10" s="111">
        <f t="array" ref="P10">IFERROR(
(MEDIAN((IF(DATOS_[[Sexo]:[Sexo]]=$B10,IF(DATOS_[[Check Periodo Ref.]:[Check Periodo Ref.]]="Dentro",DATOS_[Conc.Sal.11]))))),
0)</f>
        <v>0</v>
      </c>
      <c r="Q10" s="111">
        <f t="array" ref="Q10">IFERROR(
(MEDIAN((IF(DATOS_[[Sexo]:[Sexo]]=$B10,IF(DATOS_[[Check Periodo Ref.]:[Check Periodo Ref.]]="Dentro",DATOS_[Conc.Sal.12]))))),
0)</f>
        <v>0</v>
      </c>
      <c r="R10" s="111">
        <f t="array" ref="R10">IFERROR(
(MEDIAN((IF(DATOS_[[Sexo]:[Sexo]]=$B10,IF(DATOS_[[Check Periodo Ref.]:[Check Periodo Ref.]]="Dentro",DATOS_[Conc.Sal.13]))))),
0)</f>
        <v>0</v>
      </c>
      <c r="S10" s="111">
        <f t="array" ref="S10">IFERROR(
(MEDIAN((IF(DATOS_[[Sexo]:[Sexo]]=$B10,IF(DATOS_[[Check Periodo Ref.]:[Check Periodo Ref.]]="Dentro",DATOS_[Conc.Sal.14]))))),
0)</f>
        <v>0</v>
      </c>
      <c r="T10" s="111">
        <f t="array" ref="T10">IFERROR(
(MEDIAN((IF(DATOS_[[Sexo]:[Sexo]]=$B10,IF(DATOS_[[Check Periodo Ref.]:[Check Periodo Ref.]]="Dentro",DATOS_[Conc.Sal.15]))))),
0)</f>
        <v>0</v>
      </c>
      <c r="U10" s="111">
        <f t="array" ref="U10">IFERROR(
(MEDIAN((IF(DATOS_[[Sexo]:[Sexo]]=$B10,IF(DATOS_[[Check Periodo Ref.]:[Check Periodo Ref.]]="Dentro",DATOS_[Conc.Sal.16]))))),
0)</f>
        <v>0</v>
      </c>
      <c r="V10" s="111">
        <f t="array" ref="V10">IFERROR(
(MEDIAN((IF(DATOS_[[Sexo]:[Sexo]]=$B10,IF(DATOS_[[Check Periodo Ref.]:[Check Periodo Ref.]]="Dentro",DATOS_[Conc.Sal.17]))))),
0)</f>
        <v>0</v>
      </c>
      <c r="W10" s="111">
        <f t="array" ref="W10">IFERROR(
(MEDIAN((IF(DATOS_[[Sexo]:[Sexo]]=$B10,IF(DATOS_[[Check Periodo Ref.]:[Check Periodo Ref.]]="Dentro",DATOS_[Conc.Sal.18]))))),
0)</f>
        <v>0</v>
      </c>
      <c r="X10" s="111">
        <f t="array" ref="X10">IFERROR(
(MEDIAN((IF(DATOS_[[Sexo]:[Sexo]]=$B10,IF(DATOS_[[Check Periodo Ref.]:[Check Periodo Ref.]]="Dentro",DATOS_[Conc.Sal.19]))))),
0)</f>
        <v>0</v>
      </c>
      <c r="Y10" s="111">
        <f t="array" ref="Y10">IFERROR(
(MEDIAN((IF(DATOS_[[Sexo]:[Sexo]]=$B10,IF(DATOS_[[Check Periodo Ref.]:[Check Periodo Ref.]]="Dentro",DATOS_[Conc.Sal.20]))))),
0)</f>
        <v>0</v>
      </c>
      <c r="Z10" s="111">
        <f t="array" ref="Z10">IFERROR(
(MEDIAN((IF(DATOS_[[Sexo]:[Sexo]]=$B10,IF(DATOS_[[Check Periodo Ref.]:[Check Periodo Ref.]]="Dentro",DATOS_[Conc.Sal.21]))))),
0)</f>
        <v>0</v>
      </c>
      <c r="AA10" s="111">
        <f t="array" ref="AA10">IFERROR(
(MEDIAN((IF(DATOS_[[Sexo]:[Sexo]]=$B10,IF(DATOS_[[Check Periodo Ref.]:[Check Periodo Ref.]]="Dentro",DATOS_[Conc.Sal.22]))))),
0)</f>
        <v>0</v>
      </c>
      <c r="AB10" s="111">
        <f t="array" ref="AB10">IFERROR(
(MEDIAN((IF(DATOS_[[Sexo]:[Sexo]]=$B10,IF(DATOS_[[Check Periodo Ref.]:[Check Periodo Ref.]]="Dentro",DATOS_[Conc.Sal.23]))))),
0)</f>
        <v>0</v>
      </c>
      <c r="AC10" s="111">
        <f t="array" ref="AC10">IFERROR(
(MEDIAN((IF(DATOS_[[Sexo]:[Sexo]]=$B10,IF(DATOS_[[Check Periodo Ref.]:[Check Periodo Ref.]]="Dentro",DATOS_[Conc.Sal.24]))))),
0)</f>
        <v>0</v>
      </c>
      <c r="AD10" s="111">
        <f t="array" ref="AD10">IFERROR(
(MEDIAN((IF(DATOS_[[Sexo]:[Sexo]]=$B10,IF(DATOS_[[Check Periodo Ref.]:[Check Periodo Ref.]]="Dentro",DATOS_[Conc.Sal.25]))))),
0)</f>
        <v>0</v>
      </c>
      <c r="AE10" s="111">
        <f t="array" ref="AE10">IFERROR(
(MEDIAN((IF(DATOS_[[Sexo]:[Sexo]]=$B10,IF(DATOS_[[Check Periodo Ref.]:[Check Periodo Ref.]]="Dentro",DATOS_[Conc.Sal.26]))))),
0)</f>
        <v>0</v>
      </c>
      <c r="AF10" s="111">
        <f t="array" ref="AF10">IFERROR(
(MEDIAN((IF(DATOS_[[Sexo]:[Sexo]]=$B10,IF(DATOS_[[Check Periodo Ref.]:[Check Periodo Ref.]]="Dentro",DATOS_[Conc.Sal.27]))))),
0)</f>
        <v>0</v>
      </c>
      <c r="AG10" s="111">
        <f t="array" ref="AG10">IFERROR(
(MEDIAN((IF(DATOS_[[Sexo]:[Sexo]]=$B10,IF(DATOS_[[Check Periodo Ref.]:[Check Periodo Ref.]]="Dentro",DATOS_[Conc.Sal.28]))))),
0)</f>
        <v>0</v>
      </c>
      <c r="AH10" s="111">
        <f t="array" ref="AH10">IFERROR(
(MEDIAN((IF(DATOS_[[Sexo]:[Sexo]]=$B10,IF(DATOS_[[Check Periodo Ref.]:[Check Periodo Ref.]]="Dentro",DATOS_[Conc.Sal.29]))))),
0)</f>
        <v>0</v>
      </c>
      <c r="AI10" s="111">
        <f t="array" ref="AI10">IFERROR(
(MEDIAN((IF(DATOS_[[Sexo]:[Sexo]]=$B10,IF(DATOS_[[Check Periodo Ref.]:[Check Periodo Ref.]]="Dentro",DATOS_[Conc.Sal.30]))))),
0)</f>
        <v>0</v>
      </c>
      <c r="AJ10" s="112">
        <f t="array" ref="AJ10">IFERROR(
MEDIAN(IF(DATOS_[Sexo]=$B10,IF(DATOS_[Check Periodo Ref.]="Dentro",DATOS_[Tot COMPL.SAL Ef],FALSE))),
0)</f>
        <v>3449.4744000000001</v>
      </c>
      <c r="AK10" s="113">
        <f t="array" ref="AK10">IFERROR(
MEDIAN(IF(DATOS_[Sexo]=$B10,IF(DATOS_[Check Periodo Ref.]="Dentro",DATOS_[TOTAL SALARIO Ef],FALSE))),
0)</f>
        <v>17485.814399999999</v>
      </c>
      <c r="AL10" s="117">
        <f t="array" ref="AL10">IFERROR(
(MEDIAN((IF(DATOS_[[Sexo]:[Sexo]]=$B10,IF(DATOS_[[Check Periodo Ref.]:[Check Periodo Ref.]]="Dentro",DATOS_[C.Extra.01]))))),
0)</f>
        <v>0</v>
      </c>
      <c r="AM10" s="117">
        <f t="array" ref="AM10">IFERROR(
(MEDIAN((IF(DATOS_[[Sexo]:[Sexo]]=$B10,IF(DATOS_[[Check Periodo Ref.]:[Check Periodo Ref.]]="Dentro",DATOS_[C.Extra.02]))))),
0)</f>
        <v>0</v>
      </c>
      <c r="AN10" s="117">
        <f t="array" ref="AN10">IFERROR(
(MEDIAN((IF(DATOS_[[Sexo]:[Sexo]]=$B10,IF(DATOS_[[Check Periodo Ref.]:[Check Periodo Ref.]]="Dentro",DATOS_[C.Extra.03]))))),
0)</f>
        <v>0</v>
      </c>
      <c r="AO10" s="117">
        <f t="array" ref="AO10">IFERROR(
(MEDIAN((IF(DATOS_[[Sexo]:[Sexo]]=$B10,IF(DATOS_[[Check Periodo Ref.]:[Check Periodo Ref.]]="Dentro",DATOS_[C.Extra.04]))))),
0)</f>
        <v>0</v>
      </c>
      <c r="AP10" s="117">
        <f t="array" ref="AP10">IFERROR(
(MEDIAN((IF(DATOS_[[Sexo]:[Sexo]]=$B10,IF(DATOS_[[Check Periodo Ref.]:[Check Periodo Ref.]]="Dentro",DATOS_[C.Extra.05]))))),
0)</f>
        <v>0</v>
      </c>
      <c r="AQ10" s="115">
        <f t="array" ref="AQ10">IFERROR(
MEDIAN(IF(DATOS_[Sexo]=$B10,IF(DATOS_[Check Periodo Ref.]="Dentro",DATOS_[Tot Extrasalarial Ef],FALSE))),
0)</f>
        <v>0</v>
      </c>
      <c r="AR10" s="116">
        <f t="array" ref="AR10">IFERROR(
MEDIAN(IF(DATOS_[Sexo]=$B10,IF(DATOS_[Check Periodo Ref.]="Dentro",DATOS_[TOTAL Retrib Ef],FALSE))),
0)</f>
        <v>17485.814399999999</v>
      </c>
      <c r="AS10" s="344"/>
      <c r="AT10" s="309"/>
      <c r="AU10" s="309"/>
    </row>
    <row r="11" spans="1:47" s="36" customFormat="1" x14ac:dyDescent="0.3">
      <c r="B11" s="34" t="s">
        <v>163</v>
      </c>
      <c r="C11" s="33">
        <f t="array" ref="C11">SUM(IF($B11=DATOS_[Sexo],
IF("Dentro"=DATOS_[Check Periodo Ref.],
1/(COUNTIFS(DATOS_[Sexo],$B11,DATOS_[Check Periodo Ref.],"Dentro",DATOS_[id],DATOS_[id])))))</f>
        <v>106</v>
      </c>
      <c r="D11" s="35">
        <f>COUNTIFS(DATOS_[AGRUP. VALOR. PTO.],"&lt;&gt;",DATOS_[Sexo],$B11,DATOS_[Check Periodo Ref.],"Dentro")</f>
        <v>115</v>
      </c>
      <c r="E11" s="110">
        <f t="array" ref="E11">IFERROR(
MEDIAN(IF(DATOS_[Sexo]=$B11,IF(DATOS_[Check Periodo Ref.]="Dentro",DATOS_[SALARIO BASE Ef],FALSE))),
0)</f>
        <v>12915.07</v>
      </c>
      <c r="F11" s="111">
        <f t="array" ref="F11">IFERROR(
(MEDIAN((IF(DATOS_[[Sexo]:[Sexo]]=$B11,IF(DATOS_[[Check Periodo Ref.]:[Check Periodo Ref.]]="Dentro",DATOS_[Conc.Sal.01]))))),
0)</f>
        <v>163.65999999999985</v>
      </c>
      <c r="G11" s="111">
        <f t="array" ref="G11">IFERROR(
(MEDIAN((IF(DATOS_[[Sexo]:[Sexo]]=$B11,IF(DATOS_[[Check Periodo Ref.]:[Check Periodo Ref.]]="Dentro",DATOS_[Conc.Sal.02]))))),
0)</f>
        <v>309.96168</v>
      </c>
      <c r="H11" s="111">
        <f t="array" ref="H11">IFERROR(
(MEDIAN((IF(DATOS_[[Sexo]:[Sexo]]=$B11,IF(DATOS_[[Check Periodo Ref.]:[Check Periodo Ref.]]="Dentro",DATOS_[Conc.Sal.03]))))),
0)</f>
        <v>320</v>
      </c>
      <c r="I11" s="111">
        <f t="array" ref="I11">IFERROR(
(MEDIAN((IF(DATOS_[[Sexo]:[Sexo]]=$B11,IF(DATOS_[[Check Periodo Ref.]:[Check Periodo Ref.]]="Dentro",DATOS_[Conc.Sal.04]))))),
0)</f>
        <v>0</v>
      </c>
      <c r="J11" s="111">
        <f t="array" ref="J11">IFERROR(
(MEDIAN((IF(DATOS_[[Sexo]:[Sexo]]=$B11,IF(DATOS_[[Check Periodo Ref.]:[Check Periodo Ref.]]="Dentro",DATOS_[Conc.Sal.05]))))),
0)</f>
        <v>0</v>
      </c>
      <c r="K11" s="111">
        <f t="array" ref="K11">IFERROR(
(MEDIAN((IF(DATOS_[[Sexo]:[Sexo]]=$B11,IF(DATOS_[[Check Periodo Ref.]:[Check Periodo Ref.]]="Dentro",DATOS_[Conc.Sal.06]))))),
0)</f>
        <v>0</v>
      </c>
      <c r="L11" s="111">
        <f t="array" ref="L11">IFERROR(
(MEDIAN((IF(DATOS_[[Sexo]:[Sexo]]=$B11,IF(DATOS_[[Check Periodo Ref.]:[Check Periodo Ref.]]="Dentro",DATOS_[Conc.Sal.07]))))),
0)</f>
        <v>80</v>
      </c>
      <c r="M11" s="111">
        <f t="array" ref="M11">IFERROR(
(MEDIAN((IF(DATOS_[[Sexo]:[Sexo]]=$B11,IF(DATOS_[[Check Periodo Ref.]:[Check Periodo Ref.]]="Dentro",DATOS_[Conc.Sal.08]))))),
0)</f>
        <v>0</v>
      </c>
      <c r="N11" s="111">
        <f t="array" ref="N11">IFERROR(
(MEDIAN((IF(DATOS_[[Sexo]:[Sexo]]=$B11,IF(DATOS_[[Check Periodo Ref.]:[Check Periodo Ref.]]="Dentro",DATOS_[Conc.Sal.09]))))),
0)</f>
        <v>0</v>
      </c>
      <c r="O11" s="111">
        <f t="array" ref="O11">IFERROR(
(MEDIAN((IF(DATOS_[[Sexo]:[Sexo]]=$B11,IF(DATOS_[[Check Periodo Ref.]:[Check Periodo Ref.]]="Dentro",DATOS_[Conc.Sal.10]))))),
0)</f>
        <v>0</v>
      </c>
      <c r="P11" s="111">
        <f t="array" ref="P11">IFERROR(
(MEDIAN((IF(DATOS_[[Sexo]:[Sexo]]=$B11,IF(DATOS_[[Check Periodo Ref.]:[Check Periodo Ref.]]="Dentro",DATOS_[Conc.Sal.11]))))),
0)</f>
        <v>0</v>
      </c>
      <c r="Q11" s="111">
        <f t="array" ref="Q11">IFERROR(
(MEDIAN((IF(DATOS_[[Sexo]:[Sexo]]=$B11,IF(DATOS_[[Check Periodo Ref.]:[Check Periodo Ref.]]="Dentro",DATOS_[Conc.Sal.12]))))),
0)</f>
        <v>0</v>
      </c>
      <c r="R11" s="111">
        <f t="array" ref="R11">IFERROR(
(MEDIAN((IF(DATOS_[[Sexo]:[Sexo]]=$B11,IF(DATOS_[[Check Periodo Ref.]:[Check Periodo Ref.]]="Dentro",DATOS_[Conc.Sal.13]))))),
0)</f>
        <v>0</v>
      </c>
      <c r="S11" s="111">
        <f t="array" ref="S11">IFERROR(
(MEDIAN((IF(DATOS_[[Sexo]:[Sexo]]=$B11,IF(DATOS_[[Check Periodo Ref.]:[Check Periodo Ref.]]="Dentro",DATOS_[Conc.Sal.14]))))),
0)</f>
        <v>0</v>
      </c>
      <c r="T11" s="111">
        <f t="array" ref="T11">IFERROR(
(MEDIAN((IF(DATOS_[[Sexo]:[Sexo]]=$B11,IF(DATOS_[[Check Periodo Ref.]:[Check Periodo Ref.]]="Dentro",DATOS_[Conc.Sal.15]))))),
0)</f>
        <v>0</v>
      </c>
      <c r="U11" s="111">
        <f t="array" ref="U11">IFERROR(
(MEDIAN((IF(DATOS_[[Sexo]:[Sexo]]=$B11,IF(DATOS_[[Check Periodo Ref.]:[Check Periodo Ref.]]="Dentro",DATOS_[Conc.Sal.16]))))),
0)</f>
        <v>0</v>
      </c>
      <c r="V11" s="111">
        <f t="array" ref="V11">IFERROR(
(MEDIAN((IF(DATOS_[[Sexo]:[Sexo]]=$B11,IF(DATOS_[[Check Periodo Ref.]:[Check Periodo Ref.]]="Dentro",DATOS_[Conc.Sal.17]))))),
0)</f>
        <v>0</v>
      </c>
      <c r="W11" s="111">
        <f t="array" ref="W11">IFERROR(
(MEDIAN((IF(DATOS_[[Sexo]:[Sexo]]=$B11,IF(DATOS_[[Check Periodo Ref.]:[Check Periodo Ref.]]="Dentro",DATOS_[Conc.Sal.18]))))),
0)</f>
        <v>0</v>
      </c>
      <c r="X11" s="111">
        <f t="array" ref="X11">IFERROR(
(MEDIAN((IF(DATOS_[[Sexo]:[Sexo]]=$B11,IF(DATOS_[[Check Periodo Ref.]:[Check Periodo Ref.]]="Dentro",DATOS_[Conc.Sal.19]))))),
0)</f>
        <v>0</v>
      </c>
      <c r="Y11" s="111">
        <f t="array" ref="Y11">IFERROR(
(MEDIAN((IF(DATOS_[[Sexo]:[Sexo]]=$B11,IF(DATOS_[[Check Periodo Ref.]:[Check Periodo Ref.]]="Dentro",DATOS_[Conc.Sal.20]))))),
0)</f>
        <v>0</v>
      </c>
      <c r="Z11" s="111">
        <f t="array" ref="Z11">IFERROR(
(MEDIAN((IF(DATOS_[[Sexo]:[Sexo]]=$B11,IF(DATOS_[[Check Periodo Ref.]:[Check Periodo Ref.]]="Dentro",DATOS_[Conc.Sal.21]))))),
0)</f>
        <v>0</v>
      </c>
      <c r="AA11" s="111">
        <f t="array" ref="AA11">IFERROR(
(MEDIAN((IF(DATOS_[[Sexo]:[Sexo]]=$B11,IF(DATOS_[[Check Periodo Ref.]:[Check Periodo Ref.]]="Dentro",DATOS_[Conc.Sal.22]))))),
0)</f>
        <v>0</v>
      </c>
      <c r="AB11" s="111">
        <f t="array" ref="AB11">IFERROR(
(MEDIAN((IF(DATOS_[[Sexo]:[Sexo]]=$B11,IF(DATOS_[[Check Periodo Ref.]:[Check Periodo Ref.]]="Dentro",DATOS_[Conc.Sal.23]))))),
0)</f>
        <v>0</v>
      </c>
      <c r="AC11" s="111">
        <f t="array" ref="AC11">IFERROR(
(MEDIAN((IF(DATOS_[[Sexo]:[Sexo]]=$B11,IF(DATOS_[[Check Periodo Ref.]:[Check Periodo Ref.]]="Dentro",DATOS_[Conc.Sal.24]))))),
0)</f>
        <v>0</v>
      </c>
      <c r="AD11" s="111">
        <f t="array" ref="AD11">IFERROR(
(MEDIAN((IF(DATOS_[[Sexo]:[Sexo]]=$B11,IF(DATOS_[[Check Periodo Ref.]:[Check Periodo Ref.]]="Dentro",DATOS_[Conc.Sal.25]))))),
0)</f>
        <v>0</v>
      </c>
      <c r="AE11" s="111">
        <f t="array" ref="AE11">IFERROR(
(MEDIAN((IF(DATOS_[[Sexo]:[Sexo]]=$B11,IF(DATOS_[[Check Periodo Ref.]:[Check Periodo Ref.]]="Dentro",DATOS_[Conc.Sal.26]))))),
0)</f>
        <v>0</v>
      </c>
      <c r="AF11" s="111">
        <f t="array" ref="AF11">IFERROR(
(MEDIAN((IF(DATOS_[[Sexo]:[Sexo]]=$B11,IF(DATOS_[[Check Periodo Ref.]:[Check Periodo Ref.]]="Dentro",DATOS_[Conc.Sal.27]))))),
0)</f>
        <v>0</v>
      </c>
      <c r="AG11" s="111">
        <f t="array" ref="AG11">IFERROR(
(MEDIAN((IF(DATOS_[[Sexo]:[Sexo]]=$B11,IF(DATOS_[[Check Periodo Ref.]:[Check Periodo Ref.]]="Dentro",DATOS_[Conc.Sal.28]))))),
0)</f>
        <v>0</v>
      </c>
      <c r="AH11" s="111">
        <f t="array" ref="AH11">IFERROR(
(MEDIAN((IF(DATOS_[[Sexo]:[Sexo]]=$B11,IF(DATOS_[[Check Periodo Ref.]:[Check Periodo Ref.]]="Dentro",DATOS_[Conc.Sal.29]))))),
0)</f>
        <v>0</v>
      </c>
      <c r="AI11" s="111">
        <f t="array" ref="AI11">IFERROR(
(MEDIAN((IF(DATOS_[[Sexo]:[Sexo]]=$B11,IF(DATOS_[[Check Periodo Ref.]:[Check Periodo Ref.]]="Dentro",DATOS_[Conc.Sal.30]))))),
0)</f>
        <v>0</v>
      </c>
      <c r="AJ11" s="112">
        <f t="array" ref="AJ11">IFERROR(
MEDIAN(IF(DATOS_[Sexo]=$B11,IF(DATOS_[Check Periodo Ref.]="Dentro",DATOS_[Tot COMPL.SAL Ef],FALSE))),
0)</f>
        <v>1521.2262399999995</v>
      </c>
      <c r="AK11" s="113">
        <f t="array" ref="AK11">IFERROR(
MEDIAN(IF(DATOS_[Sexo]=$B11,IF(DATOS_[Check Periodo Ref.]="Dentro",DATOS_[TOTAL SALARIO Ef],FALSE))),
0)</f>
        <v>14040</v>
      </c>
      <c r="AL11" s="117">
        <f t="array" ref="AL11">IFERROR(
(MEDIAN((IF(DATOS_[[Sexo]:[Sexo]]=$B11,IF(DATOS_[[Check Periodo Ref.]:[Check Periodo Ref.]]="Dentro",DATOS_[C.Extra.01]))))),
0)</f>
        <v>0</v>
      </c>
      <c r="AM11" s="117">
        <f t="array" ref="AM11">IFERROR(
(MEDIAN((IF(DATOS_[[Sexo]:[Sexo]]=$B11,IF(DATOS_[[Check Periodo Ref.]:[Check Periodo Ref.]]="Dentro",DATOS_[C.Extra.02]))))),
0)</f>
        <v>0</v>
      </c>
      <c r="AN11" s="117">
        <f t="array" ref="AN11">IFERROR(
(MEDIAN((IF(DATOS_[[Sexo]:[Sexo]]=$B11,IF(DATOS_[[Check Periodo Ref.]:[Check Periodo Ref.]]="Dentro",DATOS_[C.Extra.03]))))),
0)</f>
        <v>0</v>
      </c>
      <c r="AO11" s="117">
        <f t="array" ref="AO11">IFERROR(
(MEDIAN((IF(DATOS_[[Sexo]:[Sexo]]=$B11,IF(DATOS_[[Check Periodo Ref.]:[Check Periodo Ref.]]="Dentro",DATOS_[C.Extra.04]))))),
0)</f>
        <v>0</v>
      </c>
      <c r="AP11" s="117">
        <f t="array" ref="AP11">IFERROR(
(MEDIAN((IF(DATOS_[[Sexo]:[Sexo]]=$B11,IF(DATOS_[[Check Periodo Ref.]:[Check Periodo Ref.]]="Dentro",DATOS_[C.Extra.05]))))),
0)</f>
        <v>0</v>
      </c>
      <c r="AQ11" s="115">
        <f t="array" ref="AQ11">IFERROR(
MEDIAN(IF(DATOS_[Sexo]=$B11,IF(DATOS_[Check Periodo Ref.]="Dentro",DATOS_[Tot Extrasalarial Ef],FALSE))),
0)</f>
        <v>0</v>
      </c>
      <c r="AR11" s="116">
        <f t="array" ref="AR11">IFERROR(
MEDIAN(IF(DATOS_[Sexo]=$B11,IF(DATOS_[Check Periodo Ref.]="Dentro",DATOS_[TOTAL Retrib Ef],FALSE))),
0)</f>
        <v>14040</v>
      </c>
      <c r="AS11" s="344"/>
      <c r="AT11" s="309"/>
      <c r="AU11" s="309"/>
    </row>
    <row r="12" spans="1:47" s="36" customFormat="1" x14ac:dyDescent="0.3">
      <c r="D12" s="37"/>
      <c r="J12" s="38"/>
      <c r="K12" s="39"/>
      <c r="L12" s="39"/>
      <c r="M12" s="39"/>
      <c r="N12" s="39"/>
      <c r="O12" s="39"/>
      <c r="P12" s="39"/>
      <c r="Q12" s="39"/>
      <c r="R12" s="39"/>
      <c r="S12" s="39"/>
      <c r="T12" s="39"/>
      <c r="U12" s="39"/>
      <c r="V12" s="38"/>
      <c r="W12" s="38"/>
      <c r="X12" s="38"/>
      <c r="Y12" s="38"/>
      <c r="Z12" s="38"/>
      <c r="AA12" s="38"/>
      <c r="AB12" s="38"/>
      <c r="AC12" s="38"/>
      <c r="AD12" s="38"/>
      <c r="AE12" s="38"/>
      <c r="AF12" s="38"/>
      <c r="AG12" s="38"/>
      <c r="AH12" s="38"/>
      <c r="AI12" s="38"/>
      <c r="AL12" s="39"/>
      <c r="AM12" s="39"/>
      <c r="AN12" s="39"/>
      <c r="AO12" s="39"/>
      <c r="AP12" s="39"/>
    </row>
    <row r="13" spans="1:47" s="36" customFormat="1" x14ac:dyDescent="0.3">
      <c r="D13" s="37"/>
      <c r="J13" s="38"/>
      <c r="K13" s="39"/>
      <c r="L13" s="39"/>
      <c r="M13" s="39"/>
      <c r="N13" s="39"/>
      <c r="O13" s="39"/>
      <c r="P13" s="39"/>
      <c r="Q13" s="39"/>
      <c r="R13" s="39"/>
      <c r="S13" s="39"/>
      <c r="T13" s="39"/>
      <c r="U13" s="39"/>
      <c r="V13" s="38"/>
      <c r="W13" s="38"/>
      <c r="X13" s="38"/>
      <c r="Y13" s="38"/>
      <c r="Z13" s="38"/>
      <c r="AA13" s="38"/>
      <c r="AB13" s="38"/>
      <c r="AC13" s="38"/>
      <c r="AD13" s="38"/>
      <c r="AE13" s="38"/>
      <c r="AF13" s="38"/>
      <c r="AG13" s="38"/>
      <c r="AH13" s="38"/>
      <c r="AI13" s="38"/>
      <c r="AL13" s="39"/>
      <c r="AM13" s="39"/>
      <c r="AN13" s="39"/>
      <c r="AO13" s="39"/>
      <c r="AP13" s="39"/>
    </row>
    <row r="14" spans="1:47" s="33" customFormat="1" ht="46.15" customHeight="1" x14ac:dyDescent="0.25">
      <c r="B14" s="30"/>
      <c r="C14" s="30" t="s">
        <v>225</v>
      </c>
      <c r="D14" s="30" t="s">
        <v>220</v>
      </c>
      <c r="E14" s="31" t="s">
        <v>223</v>
      </c>
      <c r="F14" s="32" t="str">
        <f>+F8</f>
        <v>MejVol</v>
      </c>
      <c r="G14" s="32" t="str">
        <f t="shared" ref="G14:AI14" si="3">+G8</f>
        <v>Antig.</v>
      </c>
      <c r="H14" s="32" t="str">
        <f t="shared" si="3"/>
        <v>Transporte</v>
      </c>
      <c r="I14" s="32" t="str">
        <f t="shared" si="3"/>
        <v>Ventas</v>
      </c>
      <c r="J14" s="32" t="str">
        <f t="shared" si="3"/>
        <v>Bonus</v>
      </c>
      <c r="K14" s="32" t="str">
        <f t="shared" si="3"/>
        <v>Coche</v>
      </c>
      <c r="L14" s="32" t="str">
        <f t="shared" si="3"/>
        <v>Cesta</v>
      </c>
      <c r="M14" s="32" t="str">
        <f t="shared" si="3"/>
        <v>Nocturnidad</v>
      </c>
      <c r="N14" s="32" t="str">
        <f t="shared" si="3"/>
        <v>[ocultar]</v>
      </c>
      <c r="O14" s="32" t="str">
        <f t="shared" si="3"/>
        <v>[ocultar]</v>
      </c>
      <c r="P14" s="32" t="str">
        <f t="shared" si="3"/>
        <v>[ocultar]</v>
      </c>
      <c r="Q14" s="32" t="str">
        <f t="shared" si="3"/>
        <v>[ocultar]</v>
      </c>
      <c r="R14" s="32" t="str">
        <f t="shared" si="3"/>
        <v>[ocultar]</v>
      </c>
      <c r="S14" s="32" t="str">
        <f t="shared" si="3"/>
        <v>[ocultar]</v>
      </c>
      <c r="T14" s="32" t="str">
        <f t="shared" si="3"/>
        <v>[ocultar]</v>
      </c>
      <c r="U14" s="32" t="str">
        <f t="shared" si="3"/>
        <v>[ocultar]</v>
      </c>
      <c r="V14" s="32" t="str">
        <f t="shared" si="3"/>
        <v>[ocultar]</v>
      </c>
      <c r="W14" s="32" t="str">
        <f t="shared" si="3"/>
        <v>[ocultar]</v>
      </c>
      <c r="X14" s="32" t="str">
        <f t="shared" si="3"/>
        <v>[ocultar]</v>
      </c>
      <c r="Y14" s="32" t="str">
        <f t="shared" si="3"/>
        <v>[ocultar]</v>
      </c>
      <c r="Z14" s="32" t="str">
        <f t="shared" si="3"/>
        <v>[ocultar]</v>
      </c>
      <c r="AA14" s="32" t="str">
        <f t="shared" si="3"/>
        <v>[ocultar]</v>
      </c>
      <c r="AB14" s="32" t="str">
        <f t="shared" si="3"/>
        <v>[ocultar]</v>
      </c>
      <c r="AC14" s="32" t="str">
        <f t="shared" si="3"/>
        <v>[ocultar]</v>
      </c>
      <c r="AD14" s="32" t="str">
        <f t="shared" si="3"/>
        <v>[ocultar]</v>
      </c>
      <c r="AE14" s="32" t="str">
        <f t="shared" si="3"/>
        <v>[ocultar]</v>
      </c>
      <c r="AF14" s="32" t="str">
        <f t="shared" si="3"/>
        <v>[ocultar]</v>
      </c>
      <c r="AG14" s="32" t="str">
        <f t="shared" si="3"/>
        <v>[ocultar]</v>
      </c>
      <c r="AH14" s="32" t="str">
        <f t="shared" si="3"/>
        <v>[ocultar]</v>
      </c>
      <c r="AI14" s="32" t="str">
        <f t="shared" si="3"/>
        <v>[ocultar]</v>
      </c>
      <c r="AJ14" s="73" t="s">
        <v>221</v>
      </c>
      <c r="AK14" s="74" t="s">
        <v>213</v>
      </c>
      <c r="AL14" s="75" t="str">
        <f>+AL8</f>
        <v>Dietas</v>
      </c>
      <c r="AM14" s="75" t="str">
        <f t="shared" ref="AM14:AP14" si="4">+AM8</f>
        <v>Indem</v>
      </c>
      <c r="AN14" s="75" t="str">
        <f t="shared" si="4"/>
        <v>ERTE</v>
      </c>
      <c r="AO14" s="75" t="str">
        <f t="shared" si="4"/>
        <v>IT</v>
      </c>
      <c r="AP14" s="75" t="str">
        <f t="shared" si="4"/>
        <v>[ocultar]</v>
      </c>
      <c r="AQ14" s="76" t="s">
        <v>222</v>
      </c>
      <c r="AR14" s="77" t="s">
        <v>214</v>
      </c>
    </row>
    <row r="15" spans="1:47" s="36" customFormat="1" ht="17.25" thickBot="1" x14ac:dyDescent="0.35">
      <c r="A15" s="36" t="str">
        <f>+A16</f>
        <v/>
      </c>
      <c r="B15" s="40" t="s">
        <v>308</v>
      </c>
      <c r="C15" s="109"/>
      <c r="D15" s="41"/>
      <c r="E15" s="119">
        <f t="shared" ref="E15" si="5">IFERROR((E16-E17)/E16,"")</f>
        <v>0.37499999999999994</v>
      </c>
      <c r="F15" s="123">
        <f>IFERROR((F16-F17)/F16,"")</f>
        <v>0.54635890646790131</v>
      </c>
      <c r="G15" s="123">
        <f t="shared" ref="G15:AR15" si="6">IFERROR((G16-G17)/G16,"")</f>
        <v>-1.6562500000000004</v>
      </c>
      <c r="H15" s="123" t="str">
        <f t="shared" si="6"/>
        <v/>
      </c>
      <c r="I15" s="123" t="str">
        <f t="shared" si="6"/>
        <v/>
      </c>
      <c r="J15" s="123">
        <f t="shared" si="6"/>
        <v>0.5</v>
      </c>
      <c r="K15" s="123">
        <f t="shared" si="6"/>
        <v>0</v>
      </c>
      <c r="L15" s="123">
        <f t="shared" si="6"/>
        <v>0</v>
      </c>
      <c r="M15" s="123" t="str">
        <f t="shared" si="6"/>
        <v/>
      </c>
      <c r="N15" s="123" t="str">
        <f t="shared" si="6"/>
        <v/>
      </c>
      <c r="O15" s="123" t="str">
        <f t="shared" si="6"/>
        <v/>
      </c>
      <c r="P15" s="123" t="str">
        <f t="shared" si="6"/>
        <v/>
      </c>
      <c r="Q15" s="123" t="str">
        <f t="shared" si="6"/>
        <v/>
      </c>
      <c r="R15" s="123" t="str">
        <f t="shared" si="6"/>
        <v/>
      </c>
      <c r="S15" s="123" t="str">
        <f t="shared" si="6"/>
        <v/>
      </c>
      <c r="T15" s="123" t="str">
        <f t="shared" si="6"/>
        <v/>
      </c>
      <c r="U15" s="123" t="str">
        <f t="shared" si="6"/>
        <v/>
      </c>
      <c r="V15" s="122" t="str">
        <f t="shared" si="6"/>
        <v/>
      </c>
      <c r="W15" s="122" t="str">
        <f t="shared" si="6"/>
        <v/>
      </c>
      <c r="X15" s="122" t="str">
        <f t="shared" si="6"/>
        <v/>
      </c>
      <c r="Y15" s="122" t="str">
        <f t="shared" si="6"/>
        <v/>
      </c>
      <c r="Z15" s="122" t="str">
        <f t="shared" si="6"/>
        <v/>
      </c>
      <c r="AA15" s="122" t="str">
        <f t="shared" si="6"/>
        <v/>
      </c>
      <c r="AB15" s="122" t="str">
        <f t="shared" si="6"/>
        <v/>
      </c>
      <c r="AC15" s="122" t="str">
        <f t="shared" si="6"/>
        <v/>
      </c>
      <c r="AD15" s="122" t="str">
        <f t="shared" si="6"/>
        <v/>
      </c>
      <c r="AE15" s="122" t="str">
        <f t="shared" si="6"/>
        <v/>
      </c>
      <c r="AF15" s="122" t="str">
        <f t="shared" si="6"/>
        <v/>
      </c>
      <c r="AG15" s="122" t="str">
        <f t="shared" si="6"/>
        <v/>
      </c>
      <c r="AH15" s="122" t="str">
        <f t="shared" si="6"/>
        <v/>
      </c>
      <c r="AI15" s="122" t="str">
        <f t="shared" si="6"/>
        <v/>
      </c>
      <c r="AJ15" s="124">
        <f t="shared" si="6"/>
        <v>0.52513422697760015</v>
      </c>
      <c r="AK15" s="128">
        <f t="shared" si="6"/>
        <v>0.47465901857082027</v>
      </c>
      <c r="AL15" s="125" t="str">
        <f t="shared" si="6"/>
        <v/>
      </c>
      <c r="AM15" s="125" t="str">
        <f t="shared" si="6"/>
        <v/>
      </c>
      <c r="AN15" s="125" t="str">
        <f t="shared" si="6"/>
        <v/>
      </c>
      <c r="AO15" s="125" t="str">
        <f t="shared" si="6"/>
        <v/>
      </c>
      <c r="AP15" s="125" t="str">
        <f t="shared" si="6"/>
        <v/>
      </c>
      <c r="AQ15" s="126" t="str">
        <f t="shared" si="6"/>
        <v/>
      </c>
      <c r="AR15" s="127">
        <f t="shared" si="6"/>
        <v>0.47465901857082027</v>
      </c>
    </row>
    <row r="16" spans="1:47" s="36" customFormat="1" x14ac:dyDescent="0.3">
      <c r="A16" s="36" t="str">
        <f>+IF(C16+C17=0,"[ocultar]","")</f>
        <v/>
      </c>
      <c r="B16" s="34" t="s">
        <v>162</v>
      </c>
      <c r="C16" s="33">
        <f t="array" ref="C16">SUM(IF($B16=DATOS_[Sexo],
IF($B15=DATOS_[AGRUP. VALOR. PTO.],
IF("Dentro"=DATOS_[Check Periodo Ref.],
1/(COUNTIFS(DATOS_[Sexo],$B16,DATOS_[AGRUP. VALOR. PTO.],$B15,DATOS_[Check Periodo Ref.],"Dentro",DATOS_[id],DATOS_[id]))))))</f>
        <v>5</v>
      </c>
      <c r="D16" s="35">
        <f>COUNTIFS(DATOS_[AGRUP. VALOR. PTO.],$B15,DATOS_[Sexo],$B16,DATOS_[Check Periodo Ref.],"Dentro")</f>
        <v>5</v>
      </c>
      <c r="E16" s="110">
        <f t="array" ref="E16">IFERROR(
MEDIAN(IF(DATOS_[Sexo]=$B16,IF(DATOS_[AGRUP. VALOR. PTO.]=$B15,IF(DATOS_[Check Periodo Ref.]="Dentro",DATOS_[SALARIO BASE Ef],FALSE)))),
0)</f>
        <v>18547.37</v>
      </c>
      <c r="F16" s="111">
        <f t="array" ref="F16">IFERROR(
MEDIAN((IF(DATOS_[[Sexo]:[Sexo]]=$B16,IF(DATOS_[[AGRUP. VALOR. PTO.]:[AGRUP. VALOR. PTO.]]=$B15,IF(DATOS_[[Check Periodo Ref.]:[Check Periodo Ref.]]="Dentro",DATOS_[Conc.Sal.01]))))),
0)</f>
        <v>26452.63</v>
      </c>
      <c r="G16" s="111">
        <f t="array" ref="G16">IFERROR(
MEDIAN((IF(DATOS_[[Sexo]:[Sexo]]=$B16,IF(DATOS_[[AGRUP. VALOR. PTO.]:[AGRUP. VALOR. PTO.]]=$B15,IF(DATOS_[[Check Periodo Ref.]:[Check Periodo Ref.]]="Dentro",DATOS_[Conc.Sal.02]))))),
0)</f>
        <v>593.51583999999991</v>
      </c>
      <c r="H16" s="111">
        <f t="array" ref="H16">IFERROR(
MEDIAN((IF(DATOS_[[Sexo]:[Sexo]]=$B16,IF(DATOS_[[AGRUP. VALOR. PTO.]:[AGRUP. VALOR. PTO.]]=$B15,IF(DATOS_[[Check Periodo Ref.]:[Check Periodo Ref.]]="Dentro",DATOS_[Conc.Sal.03]))))),
0)</f>
        <v>0</v>
      </c>
      <c r="I16" s="111">
        <f t="array" ref="I16">IFERROR(
MEDIAN((IF(DATOS_[[Sexo]:[Sexo]]=$B16,IF(DATOS_[[AGRUP. VALOR. PTO.]:[AGRUP. VALOR. PTO.]]=$B15,IF(DATOS_[[Check Periodo Ref.]:[Check Periodo Ref.]]="Dentro",DATOS_[Conc.Sal.04]))))),
0)</f>
        <v>0</v>
      </c>
      <c r="J16" s="111">
        <f t="array" ref="J16">IFERROR(
MEDIAN((IF(DATOS_[[Sexo]:[Sexo]]=$B16,IF(DATOS_[[AGRUP. VALOR. PTO.]:[AGRUP. VALOR. PTO.]]=$B15,IF(DATOS_[[Check Periodo Ref.]:[Check Periodo Ref.]]="Dentro",DATOS_[Conc.Sal.05]))))),
0)</f>
        <v>4000</v>
      </c>
      <c r="K16" s="111">
        <f t="array" ref="K16">IFERROR(
MEDIAN((IF(DATOS_[[Sexo]:[Sexo]]=$B16,IF(DATOS_[[AGRUP. VALOR. PTO.]:[AGRUP. VALOR. PTO.]]=$B15,IF(DATOS_[[Check Periodo Ref.]:[Check Periodo Ref.]]="Dentro",DATOS_[Conc.Sal.06]))))),
0)</f>
        <v>3000</v>
      </c>
      <c r="L16" s="111">
        <f t="array" ref="L16">IFERROR(
MEDIAN((IF(DATOS_[[Sexo]:[Sexo]]=$B16,IF(DATOS_[[AGRUP. VALOR. PTO.]:[AGRUP. VALOR. PTO.]]=$B15,IF(DATOS_[[Check Periodo Ref.]:[Check Periodo Ref.]]="Dentro",DATOS_[Conc.Sal.07]))))),
0)</f>
        <v>200</v>
      </c>
      <c r="M16" s="111">
        <f t="array" ref="M16">IFERROR(
MEDIAN((IF(DATOS_[[Sexo]:[Sexo]]=$B16,IF(DATOS_[[AGRUP. VALOR. PTO.]:[AGRUP. VALOR. PTO.]]=$B15,IF(DATOS_[[Check Periodo Ref.]:[Check Periodo Ref.]]="Dentro",DATOS_[Conc.Sal.08]))))),
0)</f>
        <v>0</v>
      </c>
      <c r="N16" s="111">
        <f t="array" ref="N16">IFERROR(
MEDIAN((IF(DATOS_[[Sexo]:[Sexo]]=$B16,IF(DATOS_[[AGRUP. VALOR. PTO.]:[AGRUP. VALOR. PTO.]]=$B15,IF(DATOS_[[Check Periodo Ref.]:[Check Periodo Ref.]]="Dentro",DATOS_[Conc.Sal.09]))))),
0)</f>
        <v>0</v>
      </c>
      <c r="O16" s="111">
        <f t="array" ref="O16">IFERROR(
MEDIAN((IF(DATOS_[[Sexo]:[Sexo]]=$B16,IF(DATOS_[[AGRUP. VALOR. PTO.]:[AGRUP. VALOR. PTO.]]=$B15,IF(DATOS_[[Check Periodo Ref.]:[Check Periodo Ref.]]="Dentro",DATOS_[Conc.Sal.10]))))),
0)</f>
        <v>0</v>
      </c>
      <c r="P16" s="111">
        <f t="array" ref="P16">IFERROR(
MEDIAN((IF(DATOS_[[Sexo]:[Sexo]]=$B16,IF(DATOS_[[AGRUP. VALOR. PTO.]:[AGRUP. VALOR. PTO.]]=$B15,IF(DATOS_[[Check Periodo Ref.]:[Check Periodo Ref.]]="Dentro",DATOS_[Conc.Sal.11]))))),
0)</f>
        <v>0</v>
      </c>
      <c r="Q16" s="111">
        <f t="array" ref="Q16">IFERROR(
MEDIAN((IF(DATOS_[[Sexo]:[Sexo]]=$B16,IF(DATOS_[[AGRUP. VALOR. PTO.]:[AGRUP. VALOR. PTO.]]=$B15,IF(DATOS_[[Check Periodo Ref.]:[Check Periodo Ref.]]="Dentro",DATOS_[Conc.Sal.12]))))),
0)</f>
        <v>0</v>
      </c>
      <c r="R16" s="111">
        <f t="array" ref="R16">IFERROR(
MEDIAN((IF(DATOS_[[Sexo]:[Sexo]]=$B16,IF(DATOS_[[AGRUP. VALOR. PTO.]:[AGRUP. VALOR. PTO.]]=$B15,IF(DATOS_[[Check Periodo Ref.]:[Check Periodo Ref.]]="Dentro",DATOS_[Conc.Sal.13]))))),
0)</f>
        <v>0</v>
      </c>
      <c r="S16" s="111">
        <f t="array" ref="S16">IFERROR(
MEDIAN((IF(DATOS_[[Sexo]:[Sexo]]=$B16,IF(DATOS_[[AGRUP. VALOR. PTO.]:[AGRUP. VALOR. PTO.]]=$B15,IF(DATOS_[[Check Periodo Ref.]:[Check Periodo Ref.]]="Dentro",DATOS_[Conc.Sal.14]))))),
0)</f>
        <v>0</v>
      </c>
      <c r="T16" s="111">
        <f t="array" ref="T16">IFERROR(
MEDIAN((IF(DATOS_[[Sexo]:[Sexo]]=$B16,IF(DATOS_[[AGRUP. VALOR. PTO.]:[AGRUP. VALOR. PTO.]]=$B15,IF(DATOS_[[Check Periodo Ref.]:[Check Periodo Ref.]]="Dentro",DATOS_[Conc.Sal.15]))))),
0)</f>
        <v>0</v>
      </c>
      <c r="U16" s="111">
        <f t="array" ref="U16">IFERROR(
MEDIAN((IF(DATOS_[[Sexo]:[Sexo]]=$B16,IF(DATOS_[[AGRUP. VALOR. PTO.]:[AGRUP. VALOR. PTO.]]=$B15,IF(DATOS_[[Check Periodo Ref.]:[Check Periodo Ref.]]="Dentro",DATOS_[Conc.Sal.16]))))),
0)</f>
        <v>0</v>
      </c>
      <c r="V16" s="111">
        <f t="array" ref="V16">IFERROR(
MEDIAN((IF(DATOS_[[Sexo]:[Sexo]]=$B16,IF(DATOS_[[AGRUP. VALOR. PTO.]:[AGRUP. VALOR. PTO.]]=$B15,IF(DATOS_[[Check Periodo Ref.]:[Check Periodo Ref.]]="Dentro",DATOS_[Conc.Sal.17]))))),
0)</f>
        <v>0</v>
      </c>
      <c r="W16" s="111">
        <f t="array" ref="W16">IFERROR(
MEDIAN((IF(DATOS_[[Sexo]:[Sexo]]=$B16,IF(DATOS_[[AGRUP. VALOR. PTO.]:[AGRUP. VALOR. PTO.]]=$B15,IF(DATOS_[[Check Periodo Ref.]:[Check Periodo Ref.]]="Dentro",DATOS_[Conc.Sal.18]))))),
0)</f>
        <v>0</v>
      </c>
      <c r="X16" s="111">
        <f t="array" ref="X16">IFERROR(
MEDIAN((IF(DATOS_[[Sexo]:[Sexo]]=$B16,IF(DATOS_[[AGRUP. VALOR. PTO.]:[AGRUP. VALOR. PTO.]]=$B15,IF(DATOS_[[Check Periodo Ref.]:[Check Periodo Ref.]]="Dentro",DATOS_[Conc.Sal.19]))))),
0)</f>
        <v>0</v>
      </c>
      <c r="Y16" s="111">
        <f t="array" ref="Y16">IFERROR(
MEDIAN((IF(DATOS_[[Sexo]:[Sexo]]=$B16,IF(DATOS_[[AGRUP. VALOR. PTO.]:[AGRUP. VALOR. PTO.]]=$B15,IF(DATOS_[[Check Periodo Ref.]:[Check Periodo Ref.]]="Dentro",DATOS_[Conc.Sal.20]))))),
0)</f>
        <v>0</v>
      </c>
      <c r="Z16" s="111">
        <f t="array" ref="Z16">IFERROR(
MEDIAN((IF(DATOS_[[Sexo]:[Sexo]]=$B16,IF(DATOS_[[AGRUP. VALOR. PTO.]:[AGRUP. VALOR. PTO.]]=$B15,IF(DATOS_[[Check Periodo Ref.]:[Check Periodo Ref.]]="Dentro",DATOS_[Conc.Sal.21]))))),
0)</f>
        <v>0</v>
      </c>
      <c r="AA16" s="111">
        <f t="array" ref="AA16">IFERROR(
MEDIAN((IF(DATOS_[[Sexo]:[Sexo]]=$B16,IF(DATOS_[[AGRUP. VALOR. PTO.]:[AGRUP. VALOR. PTO.]]=$B15,IF(DATOS_[[Check Periodo Ref.]:[Check Periodo Ref.]]="Dentro",DATOS_[Conc.Sal.22]))))),
0)</f>
        <v>0</v>
      </c>
      <c r="AB16" s="111">
        <f t="array" ref="AB16">IFERROR(
MEDIAN((IF(DATOS_[[Sexo]:[Sexo]]=$B16,IF(DATOS_[[AGRUP. VALOR. PTO.]:[AGRUP. VALOR. PTO.]]=$B15,IF(DATOS_[[Check Periodo Ref.]:[Check Periodo Ref.]]="Dentro",DATOS_[Conc.Sal.23]))))),
0)</f>
        <v>0</v>
      </c>
      <c r="AC16" s="111">
        <f t="array" ref="AC16">IFERROR(
MEDIAN((IF(DATOS_[[Sexo]:[Sexo]]=$B16,IF(DATOS_[[AGRUP. VALOR. PTO.]:[AGRUP. VALOR. PTO.]]=$B15,IF(DATOS_[[Check Periodo Ref.]:[Check Periodo Ref.]]="Dentro",DATOS_[Conc.Sal.24]))))),
0)</f>
        <v>0</v>
      </c>
      <c r="AD16" s="111">
        <f t="array" ref="AD16">IFERROR(
MEDIAN((IF(DATOS_[[Sexo]:[Sexo]]=$B16,IF(DATOS_[[AGRUP. VALOR. PTO.]:[AGRUP. VALOR. PTO.]]=$B15,IF(DATOS_[[Check Periodo Ref.]:[Check Periodo Ref.]]="Dentro",DATOS_[Conc.Sal.25]))))),
0)</f>
        <v>0</v>
      </c>
      <c r="AE16" s="111">
        <f t="array" ref="AE16">IFERROR(
MEDIAN((IF(DATOS_[[Sexo]:[Sexo]]=$B16,IF(DATOS_[[AGRUP. VALOR. PTO.]:[AGRUP. VALOR. PTO.]]=$B15,IF(DATOS_[[Check Periodo Ref.]:[Check Periodo Ref.]]="Dentro",DATOS_[Conc.Sal.26]))))),
0)</f>
        <v>0</v>
      </c>
      <c r="AF16" s="111">
        <f t="array" ref="AF16">IFERROR(
MEDIAN((IF(DATOS_[[Sexo]:[Sexo]]=$B16,IF(DATOS_[[AGRUP. VALOR. PTO.]:[AGRUP. VALOR. PTO.]]=$B15,IF(DATOS_[[Check Periodo Ref.]:[Check Periodo Ref.]]="Dentro",DATOS_[Conc.Sal.27]))))),
0)</f>
        <v>0</v>
      </c>
      <c r="AG16" s="111">
        <f t="array" ref="AG16">IFERROR(
MEDIAN((IF(DATOS_[[Sexo]:[Sexo]]=$B16,IF(DATOS_[[AGRUP. VALOR. PTO.]:[AGRUP. VALOR. PTO.]]=$B15,IF(DATOS_[[Check Periodo Ref.]:[Check Periodo Ref.]]="Dentro",DATOS_[Conc.Sal.28]))))),
0)</f>
        <v>0</v>
      </c>
      <c r="AH16" s="111">
        <f t="array" ref="AH16">IFERROR(
MEDIAN((IF(DATOS_[[Sexo]:[Sexo]]=$B16,IF(DATOS_[[AGRUP. VALOR. PTO.]:[AGRUP. VALOR. PTO.]]=$B15,IF(DATOS_[[Check Periodo Ref.]:[Check Periodo Ref.]]="Dentro",DATOS_[Conc.Sal.29]))))),
0)</f>
        <v>0</v>
      </c>
      <c r="AI16" s="111">
        <f t="array" ref="AI16">IFERROR(
MEDIAN((IF(DATOS_[[Sexo]:[Sexo]]=$B16,IF(DATOS_[[AGRUP. VALOR. PTO.]:[AGRUP. VALOR. PTO.]]=$B15,IF(DATOS_[[Check Periodo Ref.]:[Check Periodo Ref.]]="Dentro",DATOS_[Conc.Sal.30]))))),
0)</f>
        <v>0</v>
      </c>
      <c r="AJ16" s="112">
        <f t="array" ref="AJ16">IFERROR(
MEDIAN(IF(DATOS_[Sexo]=$B16,IF(DATOS_[AGRUP. VALOR. PTO.]=$B15,IF(DATOS_[Check Periodo Ref.]="Dentro",DATOS_[Tot COMPL.SAL Ef],FALSE)))),
0)</f>
        <v>36620.209199999998</v>
      </c>
      <c r="AK16" s="113">
        <f t="array" ref="AK16">IFERROR(
MEDIAN(IF(DATOS_[Sexo]=$B16,IF(DATOS_[AGRUP. VALOR. PTO.]=$B15,IF(DATOS_[Check Periodo Ref.]="Dentro",DATOS_[TOTAL SALARIO Ef],FALSE)))),
0)</f>
        <v>55167.579199999993</v>
      </c>
      <c r="AL16" s="114">
        <f t="array" ref="AL16">IFERROR(
MEDIAN((IF(DATOS_[[Sexo]:[Sexo]]=$B16,IF(DATOS_[[AGRUP. VALOR. PTO.]:[AGRUP. VALOR. PTO.]]=$B15,IF(DATOS_[[Check Periodo Ref.]:[Check Periodo Ref.]]="Dentro",DATOS_[C.Extra.01]))))),
0)</f>
        <v>0</v>
      </c>
      <c r="AM16" s="114">
        <f t="array" ref="AM16">IFERROR(
MEDIAN((IF(DATOS_[[Sexo]:[Sexo]]=$B16,IF(DATOS_[[AGRUP. VALOR. PTO.]:[AGRUP. VALOR. PTO.]]=$B15,IF(DATOS_[[Check Periodo Ref.]:[Check Periodo Ref.]]="Dentro",DATOS_[C.Extra.02]))))),
0)</f>
        <v>0</v>
      </c>
      <c r="AN16" s="114">
        <f t="array" ref="AN16">IFERROR(
MEDIAN((IF(DATOS_[[Sexo]:[Sexo]]=$B16,IF(DATOS_[[AGRUP. VALOR. PTO.]:[AGRUP. VALOR. PTO.]]=$B15,IF(DATOS_[[Check Periodo Ref.]:[Check Periodo Ref.]]="Dentro",DATOS_[C.Extra.03]))))),
0)</f>
        <v>0</v>
      </c>
      <c r="AO16" s="114">
        <f t="array" ref="AO16">IFERROR(
MEDIAN((IF(DATOS_[[Sexo]:[Sexo]]=$B16,IF(DATOS_[[AGRUP. VALOR. PTO.]:[AGRUP. VALOR. PTO.]]=$B15,IF(DATOS_[[Check Periodo Ref.]:[Check Periodo Ref.]]="Dentro",DATOS_[C.Extra.04]))))),
0)</f>
        <v>0</v>
      </c>
      <c r="AP16" s="114">
        <f t="array" ref="AP16">IFERROR(
MEDIAN((IF(DATOS_[[Sexo]:[Sexo]]=$B16,IF(DATOS_[[AGRUP. VALOR. PTO.]:[AGRUP. VALOR. PTO.]]=$B15,IF(DATOS_[[Check Periodo Ref.]:[Check Periodo Ref.]]="Dentro",DATOS_[C.Extra.05]))))),
0)</f>
        <v>0</v>
      </c>
      <c r="AQ16" s="115">
        <f t="array" ref="AQ16">IFERROR(
MEDIAN(IF(DATOS_[Sexo]=$B16,IF(DATOS_[AGRUP. VALOR. PTO.]=$B15,IF(DATOS_[Check Periodo Ref.]="Dentro",DATOS_[Tot Extrasalarial Ef],FALSE)))),
0)</f>
        <v>0</v>
      </c>
      <c r="AR16" s="116">
        <f t="array" ref="AR16">IFERROR(
MEDIAN(IF(DATOS_[Sexo]=$B16,IF(DATOS_[AGRUP. VALOR. PTO.]=$B15,IF(DATOS_[Check Periodo Ref.]="Dentro",DATOS_[TOTAL Retrib Ef],FALSE)))),
0)</f>
        <v>55167.579199999993</v>
      </c>
    </row>
    <row r="17" spans="1:44" s="36" customFormat="1" x14ac:dyDescent="0.3">
      <c r="A17" s="36" t="str">
        <f>+A16</f>
        <v/>
      </c>
      <c r="B17" s="34" t="s">
        <v>163</v>
      </c>
      <c r="C17" s="33">
        <f t="array" ref="C17">SUM(IF($B17=DATOS_[Sexo],
IF($B15=DATOS_[AGRUP. VALOR. PTO.],
IF("Dentro"=DATOS_[Check Periodo Ref.],
1/(COUNTIFS(DATOS_[Sexo],$B17,DATOS_[AGRUP. VALOR. PTO.],$B15,DATOS_[Check Periodo Ref.],"Dentro",DATOS_[id],DATOS_[id]))))))</f>
        <v>4</v>
      </c>
      <c r="D17" s="35">
        <f>COUNTIFS(DATOS_[AGRUP. VALOR. PTO.],$B15,DATOS_[Sexo],$B17,DATOS_[Check Periodo Ref.],"Dentro")</f>
        <v>4</v>
      </c>
      <c r="E17" s="110">
        <f t="array" ref="E17">IFERROR(
MEDIAN(IF(DATOS_[Sexo]=$B17,IF(DATOS_[AGRUP. VALOR. PTO.]=$B15,IF(DATOS_[Check Periodo Ref.]="Dentro",DATOS_[SALARIO BASE Ef],FALSE)))),
0)</f>
        <v>11592.106250000001</v>
      </c>
      <c r="F17" s="111">
        <f t="array" ref="F17">IFERROR(
MEDIAN((IF(DATOS_[[Sexo]:[Sexo]]=$B17,IF(DATOS_[[AGRUP. VALOR. PTO.]:[AGRUP. VALOR. PTO.]]=$B15,IF(DATOS_[[Check Periodo Ref.]:[Check Periodo Ref.]]="Dentro",DATOS_[Conc.Sal.01]))))),
0)</f>
        <v>12000</v>
      </c>
      <c r="G17" s="111">
        <f t="array" ref="G17">IFERROR(
MEDIAN((IF(DATOS_[[Sexo]:[Sexo]]=$B17,IF(DATOS_[[AGRUP. VALOR. PTO.]:[AGRUP. VALOR. PTO.]]=$B15,IF(DATOS_[[Check Periodo Ref.]:[Check Periodo Ref.]]="Dentro",DATOS_[Conc.Sal.02]))))),
0)</f>
        <v>1576.5264500000001</v>
      </c>
      <c r="H17" s="111">
        <f t="array" ref="H17">IFERROR(
MEDIAN((IF(DATOS_[[Sexo]:[Sexo]]=$B17,IF(DATOS_[[AGRUP. VALOR. PTO.]:[AGRUP. VALOR. PTO.]]=$B15,IF(DATOS_[[Check Periodo Ref.]:[Check Periodo Ref.]]="Dentro",DATOS_[Conc.Sal.03]))))),
0)</f>
        <v>0</v>
      </c>
      <c r="I17" s="111">
        <f t="array" ref="I17">IFERROR(
MEDIAN((IF(DATOS_[[Sexo]:[Sexo]]=$B17,IF(DATOS_[[AGRUP. VALOR. PTO.]:[AGRUP. VALOR. PTO.]]=$B15,IF(DATOS_[[Check Periodo Ref.]:[Check Periodo Ref.]]="Dentro",DATOS_[Conc.Sal.04]))))),
0)</f>
        <v>0</v>
      </c>
      <c r="J17" s="111">
        <f t="array" ref="J17">IFERROR(
MEDIAN((IF(DATOS_[[Sexo]:[Sexo]]=$B17,IF(DATOS_[[AGRUP. VALOR. PTO.]:[AGRUP. VALOR. PTO.]]=$B15,IF(DATOS_[[Check Periodo Ref.]:[Check Periodo Ref.]]="Dentro",DATOS_[Conc.Sal.05]))))),
0)</f>
        <v>2000</v>
      </c>
      <c r="K17" s="111">
        <f t="array" ref="K17">IFERROR(
MEDIAN((IF(DATOS_[[Sexo]:[Sexo]]=$B17,IF(DATOS_[[AGRUP. VALOR. PTO.]:[AGRUP. VALOR. PTO.]]=$B15,IF(DATOS_[[Check Periodo Ref.]:[Check Periodo Ref.]]="Dentro",DATOS_[Conc.Sal.06]))))),
0)</f>
        <v>3000</v>
      </c>
      <c r="L17" s="111">
        <f t="array" ref="L17">IFERROR(
MEDIAN((IF(DATOS_[[Sexo]:[Sexo]]=$B17,IF(DATOS_[[AGRUP. VALOR. PTO.]:[AGRUP. VALOR. PTO.]]=$B15,IF(DATOS_[[Check Periodo Ref.]:[Check Periodo Ref.]]="Dentro",DATOS_[Conc.Sal.07]))))),
0)</f>
        <v>200</v>
      </c>
      <c r="M17" s="111">
        <f t="array" ref="M17">IFERROR(
MEDIAN((IF(DATOS_[[Sexo]:[Sexo]]=$B17,IF(DATOS_[[AGRUP. VALOR. PTO.]:[AGRUP. VALOR. PTO.]]=$B15,IF(DATOS_[[Check Periodo Ref.]:[Check Periodo Ref.]]="Dentro",DATOS_[Conc.Sal.08]))))),
0)</f>
        <v>0</v>
      </c>
      <c r="N17" s="111">
        <f t="array" ref="N17">IFERROR(
MEDIAN((IF(DATOS_[[Sexo]:[Sexo]]=$B17,IF(DATOS_[[AGRUP. VALOR. PTO.]:[AGRUP. VALOR. PTO.]]=$B15,IF(DATOS_[[Check Periodo Ref.]:[Check Periodo Ref.]]="Dentro",DATOS_[Conc.Sal.09]))))),
0)</f>
        <v>0</v>
      </c>
      <c r="O17" s="111">
        <f t="array" ref="O17">IFERROR(
MEDIAN((IF(DATOS_[[Sexo]:[Sexo]]=$B17,IF(DATOS_[[AGRUP. VALOR. PTO.]:[AGRUP. VALOR. PTO.]]=$B15,IF(DATOS_[[Check Periodo Ref.]:[Check Periodo Ref.]]="Dentro",DATOS_[Conc.Sal.10]))))),
0)</f>
        <v>0</v>
      </c>
      <c r="P17" s="111">
        <f t="array" ref="P17">IFERROR(
MEDIAN((IF(DATOS_[[Sexo]:[Sexo]]=$B17,IF(DATOS_[[AGRUP. VALOR. PTO.]:[AGRUP. VALOR. PTO.]]=$B15,IF(DATOS_[[Check Periodo Ref.]:[Check Periodo Ref.]]="Dentro",DATOS_[Conc.Sal.11]))))),
0)</f>
        <v>0</v>
      </c>
      <c r="Q17" s="111">
        <f t="array" ref="Q17">IFERROR(
MEDIAN((IF(DATOS_[[Sexo]:[Sexo]]=$B17,IF(DATOS_[[AGRUP. VALOR. PTO.]:[AGRUP. VALOR. PTO.]]=$B15,IF(DATOS_[[Check Periodo Ref.]:[Check Periodo Ref.]]="Dentro",DATOS_[Conc.Sal.12]))))),
0)</f>
        <v>0</v>
      </c>
      <c r="R17" s="111">
        <f t="array" ref="R17">IFERROR(
MEDIAN((IF(DATOS_[[Sexo]:[Sexo]]=$B17,IF(DATOS_[[AGRUP. VALOR. PTO.]:[AGRUP. VALOR. PTO.]]=$B15,IF(DATOS_[[Check Periodo Ref.]:[Check Periodo Ref.]]="Dentro",DATOS_[Conc.Sal.13]))))),
0)</f>
        <v>0</v>
      </c>
      <c r="S17" s="111">
        <f t="array" ref="S17">IFERROR(
MEDIAN((IF(DATOS_[[Sexo]:[Sexo]]=$B17,IF(DATOS_[[AGRUP. VALOR. PTO.]:[AGRUP. VALOR. PTO.]]=$B15,IF(DATOS_[[Check Periodo Ref.]:[Check Periodo Ref.]]="Dentro",DATOS_[Conc.Sal.14]))))),
0)</f>
        <v>0</v>
      </c>
      <c r="T17" s="111">
        <f t="array" ref="T17">IFERROR(
MEDIAN((IF(DATOS_[[Sexo]:[Sexo]]=$B17,IF(DATOS_[[AGRUP. VALOR. PTO.]:[AGRUP. VALOR. PTO.]]=$B15,IF(DATOS_[[Check Periodo Ref.]:[Check Periodo Ref.]]="Dentro",DATOS_[Conc.Sal.15]))))),
0)</f>
        <v>0</v>
      </c>
      <c r="U17" s="111">
        <f t="array" ref="U17">IFERROR(
MEDIAN((IF(DATOS_[[Sexo]:[Sexo]]=$B17,IF(DATOS_[[AGRUP. VALOR. PTO.]:[AGRUP. VALOR. PTO.]]=$B15,IF(DATOS_[[Check Periodo Ref.]:[Check Periodo Ref.]]="Dentro",DATOS_[Conc.Sal.16]))))),
0)</f>
        <v>0</v>
      </c>
      <c r="V17" s="111">
        <f t="array" ref="V17">IFERROR(
MEDIAN((IF(DATOS_[[Sexo]:[Sexo]]=$B17,IF(DATOS_[[AGRUP. VALOR. PTO.]:[AGRUP. VALOR. PTO.]]=$B15,IF(DATOS_[[Check Periodo Ref.]:[Check Periodo Ref.]]="Dentro",DATOS_[Conc.Sal.17]))))),
0)</f>
        <v>0</v>
      </c>
      <c r="W17" s="111">
        <f t="array" ref="W17">IFERROR(
MEDIAN((IF(DATOS_[[Sexo]:[Sexo]]=$B17,IF(DATOS_[[AGRUP. VALOR. PTO.]:[AGRUP. VALOR. PTO.]]=$B15,IF(DATOS_[[Check Periodo Ref.]:[Check Periodo Ref.]]="Dentro",DATOS_[Conc.Sal.18]))))),
0)</f>
        <v>0</v>
      </c>
      <c r="X17" s="111">
        <f t="array" ref="X17">IFERROR(
MEDIAN((IF(DATOS_[[Sexo]:[Sexo]]=$B17,IF(DATOS_[[AGRUP. VALOR. PTO.]:[AGRUP. VALOR. PTO.]]=$B15,IF(DATOS_[[Check Periodo Ref.]:[Check Periodo Ref.]]="Dentro",DATOS_[Conc.Sal.19]))))),
0)</f>
        <v>0</v>
      </c>
      <c r="Y17" s="111">
        <f t="array" ref="Y17">IFERROR(
MEDIAN((IF(DATOS_[[Sexo]:[Sexo]]=$B17,IF(DATOS_[[AGRUP. VALOR. PTO.]:[AGRUP. VALOR. PTO.]]=$B15,IF(DATOS_[[Check Periodo Ref.]:[Check Periodo Ref.]]="Dentro",DATOS_[Conc.Sal.20]))))),
0)</f>
        <v>0</v>
      </c>
      <c r="Z17" s="111">
        <f t="array" ref="Z17">IFERROR(
MEDIAN((IF(DATOS_[[Sexo]:[Sexo]]=$B17,IF(DATOS_[[AGRUP. VALOR. PTO.]:[AGRUP. VALOR. PTO.]]=$B15,IF(DATOS_[[Check Periodo Ref.]:[Check Periodo Ref.]]="Dentro",DATOS_[Conc.Sal.21]))))),
0)</f>
        <v>0</v>
      </c>
      <c r="AA17" s="111">
        <f t="array" ref="AA17">IFERROR(
MEDIAN((IF(DATOS_[[Sexo]:[Sexo]]=$B17,IF(DATOS_[[AGRUP. VALOR. PTO.]:[AGRUP. VALOR. PTO.]]=$B15,IF(DATOS_[[Check Periodo Ref.]:[Check Periodo Ref.]]="Dentro",DATOS_[Conc.Sal.22]))))),
0)</f>
        <v>0</v>
      </c>
      <c r="AB17" s="111">
        <f t="array" ref="AB17">IFERROR(
MEDIAN((IF(DATOS_[[Sexo]:[Sexo]]=$B17,IF(DATOS_[[AGRUP. VALOR. PTO.]:[AGRUP. VALOR. PTO.]]=$B15,IF(DATOS_[[Check Periodo Ref.]:[Check Periodo Ref.]]="Dentro",DATOS_[Conc.Sal.23]))))),
0)</f>
        <v>0</v>
      </c>
      <c r="AC17" s="111">
        <f t="array" ref="AC17">IFERROR(
MEDIAN((IF(DATOS_[[Sexo]:[Sexo]]=$B17,IF(DATOS_[[AGRUP. VALOR. PTO.]:[AGRUP. VALOR. PTO.]]=$B15,IF(DATOS_[[Check Periodo Ref.]:[Check Periodo Ref.]]="Dentro",DATOS_[Conc.Sal.24]))))),
0)</f>
        <v>0</v>
      </c>
      <c r="AD17" s="111">
        <f t="array" ref="AD17">IFERROR(
MEDIAN((IF(DATOS_[[Sexo]:[Sexo]]=$B17,IF(DATOS_[[AGRUP. VALOR. PTO.]:[AGRUP. VALOR. PTO.]]=$B15,IF(DATOS_[[Check Periodo Ref.]:[Check Periodo Ref.]]="Dentro",DATOS_[Conc.Sal.25]))))),
0)</f>
        <v>0</v>
      </c>
      <c r="AE17" s="111">
        <f t="array" ref="AE17">IFERROR(
MEDIAN((IF(DATOS_[[Sexo]:[Sexo]]=$B17,IF(DATOS_[[AGRUP. VALOR. PTO.]:[AGRUP. VALOR. PTO.]]=$B15,IF(DATOS_[[Check Periodo Ref.]:[Check Periodo Ref.]]="Dentro",DATOS_[Conc.Sal.26]))))),
0)</f>
        <v>0</v>
      </c>
      <c r="AF17" s="111">
        <f t="array" ref="AF17">IFERROR(
MEDIAN((IF(DATOS_[[Sexo]:[Sexo]]=$B17,IF(DATOS_[[AGRUP. VALOR. PTO.]:[AGRUP. VALOR. PTO.]]=$B15,IF(DATOS_[[Check Periodo Ref.]:[Check Periodo Ref.]]="Dentro",DATOS_[Conc.Sal.27]))))),
0)</f>
        <v>0</v>
      </c>
      <c r="AG17" s="111">
        <f t="array" ref="AG17">IFERROR(
MEDIAN((IF(DATOS_[[Sexo]:[Sexo]]=$B17,IF(DATOS_[[AGRUP. VALOR. PTO.]:[AGRUP. VALOR. PTO.]]=$B15,IF(DATOS_[[Check Periodo Ref.]:[Check Periodo Ref.]]="Dentro",DATOS_[Conc.Sal.28]))))),
0)</f>
        <v>0</v>
      </c>
      <c r="AH17" s="111">
        <f t="array" ref="AH17">IFERROR(
MEDIAN((IF(DATOS_[[Sexo]:[Sexo]]=$B17,IF(DATOS_[[AGRUP. VALOR. PTO.]:[AGRUP. VALOR. PTO.]]=$B15,IF(DATOS_[[Check Periodo Ref.]:[Check Periodo Ref.]]="Dentro",DATOS_[Conc.Sal.29]))))),
0)</f>
        <v>0</v>
      </c>
      <c r="AI17" s="111">
        <f t="array" ref="AI17">IFERROR(
MEDIAN((IF(DATOS_[[Sexo]:[Sexo]]=$B17,IF(DATOS_[[AGRUP. VALOR. PTO.]:[AGRUP. VALOR. PTO.]]=$B15,IF(DATOS_[[Check Periodo Ref.]:[Check Periodo Ref.]]="Dentro",DATOS_[Conc.Sal.30]))))),
0)</f>
        <v>0</v>
      </c>
      <c r="AJ17" s="112">
        <f t="array" ref="AJ17">IFERROR(
MEDIAN(IF(DATOS_[Sexo]=$B17,IF(DATOS_[AGRUP. VALOR. PTO.]=$B15,IF(DATOS_[Check Periodo Ref.]="Dentro",DATOS_[Tot COMPL.SAL Ef],FALSE)))),
0)</f>
        <v>17389.683949999999</v>
      </c>
      <c r="AK17" s="113">
        <f t="array" ref="AK17">IFERROR(
MEDIAN(IF(DATOS_[Sexo]=$B17,IF(DATOS_[AGRUP. VALOR. PTO.]=$B15,IF(DATOS_[Check Periodo Ref.]="Dentro",DATOS_[TOTAL SALARIO Ef],FALSE)))),
0)</f>
        <v>28981.790199999999</v>
      </c>
      <c r="AL17" s="114">
        <f t="array" ref="AL17">IFERROR(
MEDIAN((IF(DATOS_[[Sexo]:[Sexo]]=$B17,IF(DATOS_[[AGRUP. VALOR. PTO.]:[AGRUP. VALOR. PTO.]]=$B15,IF(DATOS_[[Check Periodo Ref.]:[Check Periodo Ref.]]="Dentro",DATOS_[C.Extra.01]))))),
0)</f>
        <v>0</v>
      </c>
      <c r="AM17" s="114">
        <f t="array" ref="AM17">IFERROR(
MEDIAN((IF(DATOS_[[Sexo]:[Sexo]]=$B17,IF(DATOS_[[AGRUP. VALOR. PTO.]:[AGRUP. VALOR. PTO.]]=$B15,IF(DATOS_[[Check Periodo Ref.]:[Check Periodo Ref.]]="Dentro",DATOS_[C.Extra.02]))))),
0)</f>
        <v>0</v>
      </c>
      <c r="AN17" s="114">
        <f t="array" ref="AN17">IFERROR(
MEDIAN((IF(DATOS_[[Sexo]:[Sexo]]=$B17,IF(DATOS_[[AGRUP. VALOR. PTO.]:[AGRUP. VALOR. PTO.]]=$B15,IF(DATOS_[[Check Periodo Ref.]:[Check Periodo Ref.]]="Dentro",DATOS_[C.Extra.03]))))),
0)</f>
        <v>0</v>
      </c>
      <c r="AO17" s="114">
        <f t="array" ref="AO17">IFERROR(
MEDIAN((IF(DATOS_[[Sexo]:[Sexo]]=$B17,IF(DATOS_[[AGRUP. VALOR. PTO.]:[AGRUP. VALOR. PTO.]]=$B15,IF(DATOS_[[Check Periodo Ref.]:[Check Periodo Ref.]]="Dentro",DATOS_[C.Extra.04]))))),
0)</f>
        <v>0</v>
      </c>
      <c r="AP17" s="114">
        <f t="array" ref="AP17">IFERROR(
MEDIAN((IF(DATOS_[[Sexo]:[Sexo]]=$B17,IF(DATOS_[[AGRUP. VALOR. PTO.]:[AGRUP. VALOR. PTO.]]=$B15,IF(DATOS_[[Check Periodo Ref.]:[Check Periodo Ref.]]="Dentro",DATOS_[C.Extra.05]))))),
0)</f>
        <v>0</v>
      </c>
      <c r="AQ17" s="115">
        <f t="array" ref="AQ17">IFERROR(
MEDIAN(IF(DATOS_[Sexo]=$B17,IF(DATOS_[AGRUP. VALOR. PTO.]=$B15,IF(DATOS_[Check Periodo Ref.]="Dentro",DATOS_[Tot Extrasalarial Ef],FALSE)))),
0)</f>
        <v>0</v>
      </c>
      <c r="AR17" s="116">
        <f t="array" ref="AR17">IFERROR(
MEDIAN(IF(DATOS_[Sexo]=$B17,IF(DATOS_[AGRUP. VALOR. PTO.]=$B15,IF(DATOS_[Check Periodo Ref.]="Dentro",DATOS_[TOTAL Retrib Ef],FALSE)))),
0)</f>
        <v>28981.790199999999</v>
      </c>
    </row>
    <row r="18" spans="1:44" s="36" customFormat="1" ht="17.25" thickBot="1" x14ac:dyDescent="0.35">
      <c r="A18" s="36" t="str">
        <f t="shared" ref="A18" si="7">+A19</f>
        <v/>
      </c>
      <c r="B18" s="40" t="s">
        <v>304</v>
      </c>
      <c r="C18" s="109"/>
      <c r="D18" s="41"/>
      <c r="E18" s="119">
        <f t="shared" ref="E18:AR18" si="8">IFERROR((E19-E20)/E19,"")</f>
        <v>0</v>
      </c>
      <c r="F18" s="123">
        <f t="shared" si="8"/>
        <v>0.33141388337305344</v>
      </c>
      <c r="G18" s="123">
        <f t="shared" si="8"/>
        <v>0.45833333333333331</v>
      </c>
      <c r="H18" s="123" t="str">
        <f t="shared" si="8"/>
        <v/>
      </c>
      <c r="I18" s="123">
        <f t="shared" si="8"/>
        <v>-0.25</v>
      </c>
      <c r="J18" s="123" t="str">
        <f t="shared" si="8"/>
        <v/>
      </c>
      <c r="K18" s="123" t="str">
        <f t="shared" si="8"/>
        <v/>
      </c>
      <c r="L18" s="123">
        <f t="shared" si="8"/>
        <v>0</v>
      </c>
      <c r="M18" s="123" t="str">
        <f t="shared" si="8"/>
        <v/>
      </c>
      <c r="N18" s="123" t="str">
        <f t="shared" si="8"/>
        <v/>
      </c>
      <c r="O18" s="123" t="str">
        <f t="shared" si="8"/>
        <v/>
      </c>
      <c r="P18" s="123" t="str">
        <f t="shared" si="8"/>
        <v/>
      </c>
      <c r="Q18" s="123" t="str">
        <f t="shared" si="8"/>
        <v/>
      </c>
      <c r="R18" s="123" t="str">
        <f t="shared" si="8"/>
        <v/>
      </c>
      <c r="S18" s="123" t="str">
        <f t="shared" si="8"/>
        <v/>
      </c>
      <c r="T18" s="123" t="str">
        <f t="shared" si="8"/>
        <v/>
      </c>
      <c r="U18" s="123" t="str">
        <f t="shared" si="8"/>
        <v/>
      </c>
      <c r="V18" s="122" t="str">
        <f t="shared" si="8"/>
        <v/>
      </c>
      <c r="W18" s="122" t="str">
        <f t="shared" si="8"/>
        <v/>
      </c>
      <c r="X18" s="122" t="str">
        <f t="shared" si="8"/>
        <v/>
      </c>
      <c r="Y18" s="122" t="str">
        <f t="shared" si="8"/>
        <v/>
      </c>
      <c r="Z18" s="122" t="str">
        <f t="shared" si="8"/>
        <v/>
      </c>
      <c r="AA18" s="122" t="str">
        <f t="shared" si="8"/>
        <v/>
      </c>
      <c r="AB18" s="122" t="str">
        <f t="shared" si="8"/>
        <v/>
      </c>
      <c r="AC18" s="122" t="str">
        <f t="shared" si="8"/>
        <v/>
      </c>
      <c r="AD18" s="122" t="str">
        <f t="shared" si="8"/>
        <v/>
      </c>
      <c r="AE18" s="122" t="str">
        <f t="shared" si="8"/>
        <v/>
      </c>
      <c r="AF18" s="122" t="str">
        <f t="shared" si="8"/>
        <v/>
      </c>
      <c r="AG18" s="122" t="str">
        <f t="shared" si="8"/>
        <v/>
      </c>
      <c r="AH18" s="122" t="str">
        <f t="shared" si="8"/>
        <v/>
      </c>
      <c r="AI18" s="122" t="str">
        <f t="shared" si="8"/>
        <v/>
      </c>
      <c r="AJ18" s="124">
        <f t="shared" si="8"/>
        <v>0.22168924272588489</v>
      </c>
      <c r="AK18" s="128">
        <f t="shared" si="8"/>
        <v>0.12047858078669069</v>
      </c>
      <c r="AL18" s="125" t="str">
        <f t="shared" si="8"/>
        <v/>
      </c>
      <c r="AM18" s="125" t="str">
        <f t="shared" si="8"/>
        <v/>
      </c>
      <c r="AN18" s="125" t="str">
        <f t="shared" si="8"/>
        <v/>
      </c>
      <c r="AO18" s="125" t="str">
        <f t="shared" si="8"/>
        <v/>
      </c>
      <c r="AP18" s="125" t="str">
        <f t="shared" si="8"/>
        <v/>
      </c>
      <c r="AQ18" s="126" t="str">
        <f t="shared" si="8"/>
        <v/>
      </c>
      <c r="AR18" s="127">
        <f t="shared" si="8"/>
        <v>0.12047858078669069</v>
      </c>
    </row>
    <row r="19" spans="1:44" s="36" customFormat="1" x14ac:dyDescent="0.3">
      <c r="A19" s="36" t="str">
        <f t="shared" ref="A19" si="9">+IF(C19+C20=0,"[ocultar]","")</f>
        <v/>
      </c>
      <c r="B19" s="34" t="s">
        <v>162</v>
      </c>
      <c r="C19" s="33">
        <f t="array" ref="C19">SUM(IF($B19=DATOS_[Sexo],
IF($B18=DATOS_[AGRUP. VALOR. PTO.],
IF("Dentro"=DATOS_[Check Periodo Ref.],
1/(COUNTIFS(DATOS_[Sexo],$B19,DATOS_[AGRUP. VALOR. PTO.],$B18,DATOS_[Check Periodo Ref.],"Dentro",DATOS_[id],DATOS_[id]))))))</f>
        <v>3</v>
      </c>
      <c r="D19" s="35">
        <f>COUNTIFS(DATOS_[AGRUP. VALOR. PTO.],$B18,DATOS_[Sexo],$B19,DATOS_[Check Periodo Ref.],"Dentro")</f>
        <v>3</v>
      </c>
      <c r="E19" s="110">
        <f t="array" ref="E19">IFERROR(
MEDIAN(IF(DATOS_[Sexo]=$B19,IF(DATOS_[AGRUP. VALOR. PTO.]=$B18,IF(DATOS_[Check Periodo Ref.]="Dentro",DATOS_[SALARIO BASE Ef],FALSE)))),
0)</f>
        <v>18547.37</v>
      </c>
      <c r="F19" s="111">
        <f t="array" ref="F19">IFERROR(
MEDIAN((IF(DATOS_[[Sexo]:[Sexo]]=$B19,IF(DATOS_[[AGRUP. VALOR. PTO.]:[AGRUP. VALOR. PTO.]]=$B18,IF(DATOS_[[Check Periodo Ref.]:[Check Periodo Ref.]]="Dentro",DATOS_[Conc.Sal.01]))))),
0)</f>
        <v>16452.63</v>
      </c>
      <c r="G19" s="111">
        <f t="array" ref="G19">IFERROR(
MEDIAN((IF(DATOS_[[Sexo]:[Sexo]]=$B19,IF(DATOS_[[AGRUP. VALOR. PTO.]:[AGRUP. VALOR. PTO.]]=$B18,IF(DATOS_[[Check Periodo Ref.]:[Check Periodo Ref.]]="Dentro",DATOS_[Conc.Sal.02]))))),
0)</f>
        <v>2225.6843999999996</v>
      </c>
      <c r="H19" s="111">
        <f t="array" ref="H19">IFERROR(
MEDIAN((IF(DATOS_[[Sexo]:[Sexo]]=$B19,IF(DATOS_[[AGRUP. VALOR. PTO.]:[AGRUP. VALOR. PTO.]]=$B18,IF(DATOS_[[Check Periodo Ref.]:[Check Periodo Ref.]]="Dentro",DATOS_[Conc.Sal.03]))))),
0)</f>
        <v>0</v>
      </c>
      <c r="I19" s="111">
        <f t="array" ref="I19">IFERROR(
MEDIAN((IF(DATOS_[[Sexo]:[Sexo]]=$B19,IF(DATOS_[[AGRUP. VALOR. PTO.]:[AGRUP. VALOR. PTO.]]=$B18,IF(DATOS_[[Check Periodo Ref.]:[Check Periodo Ref.]]="Dentro",DATOS_[Conc.Sal.04]))))),
0)</f>
        <v>3200</v>
      </c>
      <c r="J19" s="111">
        <f t="array" ref="J19">IFERROR(
MEDIAN((IF(DATOS_[[Sexo]:[Sexo]]=$B19,IF(DATOS_[[AGRUP. VALOR. PTO.]:[AGRUP. VALOR. PTO.]]=$B18,IF(DATOS_[[Check Periodo Ref.]:[Check Periodo Ref.]]="Dentro",DATOS_[Conc.Sal.05]))))),
0)</f>
        <v>0</v>
      </c>
      <c r="K19" s="111">
        <f t="array" ref="K19">IFERROR(
MEDIAN((IF(DATOS_[[Sexo]:[Sexo]]=$B19,IF(DATOS_[[AGRUP. VALOR. PTO.]:[AGRUP. VALOR. PTO.]]=$B18,IF(DATOS_[[Check Periodo Ref.]:[Check Periodo Ref.]]="Dentro",DATOS_[Conc.Sal.06]))))),
0)</f>
        <v>0</v>
      </c>
      <c r="L19" s="111">
        <f t="array" ref="L19">IFERROR(
MEDIAN((IF(DATOS_[[Sexo]:[Sexo]]=$B19,IF(DATOS_[[AGRUP. VALOR. PTO.]:[AGRUP. VALOR. PTO.]]=$B18,IF(DATOS_[[Check Periodo Ref.]:[Check Periodo Ref.]]="Dentro",DATOS_[Conc.Sal.07]))))),
0)</f>
        <v>200</v>
      </c>
      <c r="M19" s="111">
        <f t="array" ref="M19">IFERROR(
MEDIAN((IF(DATOS_[[Sexo]:[Sexo]]=$B19,IF(DATOS_[[AGRUP. VALOR. PTO.]:[AGRUP. VALOR. PTO.]]=$B18,IF(DATOS_[[Check Periodo Ref.]:[Check Periodo Ref.]]="Dentro",DATOS_[Conc.Sal.08]))))),
0)</f>
        <v>0</v>
      </c>
      <c r="N19" s="111">
        <f t="array" ref="N19">IFERROR(
MEDIAN((IF(DATOS_[[Sexo]:[Sexo]]=$B19,IF(DATOS_[[AGRUP. VALOR. PTO.]:[AGRUP. VALOR. PTO.]]=$B18,IF(DATOS_[[Check Periodo Ref.]:[Check Periodo Ref.]]="Dentro",DATOS_[Conc.Sal.09]))))),
0)</f>
        <v>0</v>
      </c>
      <c r="O19" s="111">
        <f t="array" ref="O19">IFERROR(
MEDIAN((IF(DATOS_[[Sexo]:[Sexo]]=$B19,IF(DATOS_[[AGRUP. VALOR. PTO.]:[AGRUP. VALOR. PTO.]]=$B18,IF(DATOS_[[Check Periodo Ref.]:[Check Periodo Ref.]]="Dentro",DATOS_[Conc.Sal.10]))))),
0)</f>
        <v>0</v>
      </c>
      <c r="P19" s="111">
        <f t="array" ref="P19">IFERROR(
MEDIAN((IF(DATOS_[[Sexo]:[Sexo]]=$B19,IF(DATOS_[[AGRUP. VALOR. PTO.]:[AGRUP. VALOR. PTO.]]=$B18,IF(DATOS_[[Check Periodo Ref.]:[Check Periodo Ref.]]="Dentro",DATOS_[Conc.Sal.11]))))),
0)</f>
        <v>0</v>
      </c>
      <c r="Q19" s="111">
        <f t="array" ref="Q19">IFERROR(
MEDIAN((IF(DATOS_[[Sexo]:[Sexo]]=$B19,IF(DATOS_[[AGRUP. VALOR. PTO.]:[AGRUP. VALOR. PTO.]]=$B18,IF(DATOS_[[Check Periodo Ref.]:[Check Periodo Ref.]]="Dentro",DATOS_[Conc.Sal.12]))))),
0)</f>
        <v>0</v>
      </c>
      <c r="R19" s="111">
        <f t="array" ref="R19">IFERROR(
MEDIAN((IF(DATOS_[[Sexo]:[Sexo]]=$B19,IF(DATOS_[[AGRUP. VALOR. PTO.]:[AGRUP. VALOR. PTO.]]=$B18,IF(DATOS_[[Check Periodo Ref.]:[Check Periodo Ref.]]="Dentro",DATOS_[Conc.Sal.13]))))),
0)</f>
        <v>0</v>
      </c>
      <c r="S19" s="111">
        <f t="array" ref="S19">IFERROR(
MEDIAN((IF(DATOS_[[Sexo]:[Sexo]]=$B19,IF(DATOS_[[AGRUP. VALOR. PTO.]:[AGRUP. VALOR. PTO.]]=$B18,IF(DATOS_[[Check Periodo Ref.]:[Check Periodo Ref.]]="Dentro",DATOS_[Conc.Sal.14]))))),
0)</f>
        <v>0</v>
      </c>
      <c r="T19" s="111">
        <f t="array" ref="T19">IFERROR(
MEDIAN((IF(DATOS_[[Sexo]:[Sexo]]=$B19,IF(DATOS_[[AGRUP. VALOR. PTO.]:[AGRUP. VALOR. PTO.]]=$B18,IF(DATOS_[[Check Periodo Ref.]:[Check Periodo Ref.]]="Dentro",DATOS_[Conc.Sal.15]))))),
0)</f>
        <v>0</v>
      </c>
      <c r="U19" s="111">
        <f t="array" ref="U19">IFERROR(
MEDIAN((IF(DATOS_[[Sexo]:[Sexo]]=$B19,IF(DATOS_[[AGRUP. VALOR. PTO.]:[AGRUP. VALOR. PTO.]]=$B18,IF(DATOS_[[Check Periodo Ref.]:[Check Periodo Ref.]]="Dentro",DATOS_[Conc.Sal.16]))))),
0)</f>
        <v>0</v>
      </c>
      <c r="V19" s="111">
        <f t="array" ref="V19">IFERROR(
MEDIAN((IF(DATOS_[[Sexo]:[Sexo]]=$B19,IF(DATOS_[[AGRUP. VALOR. PTO.]:[AGRUP. VALOR. PTO.]]=$B18,IF(DATOS_[[Check Periodo Ref.]:[Check Periodo Ref.]]="Dentro",DATOS_[Conc.Sal.17]))))),
0)</f>
        <v>0</v>
      </c>
      <c r="W19" s="111">
        <f t="array" ref="W19">IFERROR(
MEDIAN((IF(DATOS_[[Sexo]:[Sexo]]=$B19,IF(DATOS_[[AGRUP. VALOR. PTO.]:[AGRUP. VALOR. PTO.]]=$B18,IF(DATOS_[[Check Periodo Ref.]:[Check Periodo Ref.]]="Dentro",DATOS_[Conc.Sal.18]))))),
0)</f>
        <v>0</v>
      </c>
      <c r="X19" s="111">
        <f t="array" ref="X19">IFERROR(
MEDIAN((IF(DATOS_[[Sexo]:[Sexo]]=$B19,IF(DATOS_[[AGRUP. VALOR. PTO.]:[AGRUP. VALOR. PTO.]]=$B18,IF(DATOS_[[Check Periodo Ref.]:[Check Periodo Ref.]]="Dentro",DATOS_[Conc.Sal.19]))))),
0)</f>
        <v>0</v>
      </c>
      <c r="Y19" s="111">
        <f t="array" ref="Y19">IFERROR(
MEDIAN((IF(DATOS_[[Sexo]:[Sexo]]=$B19,IF(DATOS_[[AGRUP. VALOR. PTO.]:[AGRUP. VALOR. PTO.]]=$B18,IF(DATOS_[[Check Periodo Ref.]:[Check Periodo Ref.]]="Dentro",DATOS_[Conc.Sal.20]))))),
0)</f>
        <v>0</v>
      </c>
      <c r="Z19" s="111">
        <f t="array" ref="Z19">IFERROR(
MEDIAN((IF(DATOS_[[Sexo]:[Sexo]]=$B19,IF(DATOS_[[AGRUP. VALOR. PTO.]:[AGRUP. VALOR. PTO.]]=$B18,IF(DATOS_[[Check Periodo Ref.]:[Check Periodo Ref.]]="Dentro",DATOS_[Conc.Sal.21]))))),
0)</f>
        <v>0</v>
      </c>
      <c r="AA19" s="111">
        <f t="array" ref="AA19">IFERROR(
MEDIAN((IF(DATOS_[[Sexo]:[Sexo]]=$B19,IF(DATOS_[[AGRUP. VALOR. PTO.]:[AGRUP. VALOR. PTO.]]=$B18,IF(DATOS_[[Check Periodo Ref.]:[Check Periodo Ref.]]="Dentro",DATOS_[Conc.Sal.22]))))),
0)</f>
        <v>0</v>
      </c>
      <c r="AB19" s="111">
        <f t="array" ref="AB19">IFERROR(
MEDIAN((IF(DATOS_[[Sexo]:[Sexo]]=$B19,IF(DATOS_[[AGRUP. VALOR. PTO.]:[AGRUP. VALOR. PTO.]]=$B18,IF(DATOS_[[Check Periodo Ref.]:[Check Periodo Ref.]]="Dentro",DATOS_[Conc.Sal.23]))))),
0)</f>
        <v>0</v>
      </c>
      <c r="AC19" s="111">
        <f t="array" ref="AC19">IFERROR(
MEDIAN((IF(DATOS_[[Sexo]:[Sexo]]=$B19,IF(DATOS_[[AGRUP. VALOR. PTO.]:[AGRUP. VALOR. PTO.]]=$B18,IF(DATOS_[[Check Periodo Ref.]:[Check Periodo Ref.]]="Dentro",DATOS_[Conc.Sal.24]))))),
0)</f>
        <v>0</v>
      </c>
      <c r="AD19" s="111">
        <f t="array" ref="AD19">IFERROR(
MEDIAN((IF(DATOS_[[Sexo]:[Sexo]]=$B19,IF(DATOS_[[AGRUP. VALOR. PTO.]:[AGRUP. VALOR. PTO.]]=$B18,IF(DATOS_[[Check Periodo Ref.]:[Check Periodo Ref.]]="Dentro",DATOS_[Conc.Sal.25]))))),
0)</f>
        <v>0</v>
      </c>
      <c r="AE19" s="111">
        <f t="array" ref="AE19">IFERROR(
MEDIAN((IF(DATOS_[[Sexo]:[Sexo]]=$B19,IF(DATOS_[[AGRUP. VALOR. PTO.]:[AGRUP. VALOR. PTO.]]=$B18,IF(DATOS_[[Check Periodo Ref.]:[Check Periodo Ref.]]="Dentro",DATOS_[Conc.Sal.26]))))),
0)</f>
        <v>0</v>
      </c>
      <c r="AF19" s="111">
        <f t="array" ref="AF19">IFERROR(
MEDIAN((IF(DATOS_[[Sexo]:[Sexo]]=$B19,IF(DATOS_[[AGRUP. VALOR. PTO.]:[AGRUP. VALOR. PTO.]]=$B18,IF(DATOS_[[Check Periodo Ref.]:[Check Periodo Ref.]]="Dentro",DATOS_[Conc.Sal.27]))))),
0)</f>
        <v>0</v>
      </c>
      <c r="AG19" s="111">
        <f t="array" ref="AG19">IFERROR(
MEDIAN((IF(DATOS_[[Sexo]:[Sexo]]=$B19,IF(DATOS_[[AGRUP. VALOR. PTO.]:[AGRUP. VALOR. PTO.]]=$B18,IF(DATOS_[[Check Periodo Ref.]:[Check Periodo Ref.]]="Dentro",DATOS_[Conc.Sal.28]))))),
0)</f>
        <v>0</v>
      </c>
      <c r="AH19" s="111">
        <f t="array" ref="AH19">IFERROR(
MEDIAN((IF(DATOS_[[Sexo]:[Sexo]]=$B19,IF(DATOS_[[AGRUP. VALOR. PTO.]:[AGRUP. VALOR. PTO.]]=$B18,IF(DATOS_[[Check Periodo Ref.]:[Check Periodo Ref.]]="Dentro",DATOS_[Conc.Sal.29]))))),
0)</f>
        <v>0</v>
      </c>
      <c r="AI19" s="111">
        <f t="array" ref="AI19">IFERROR(
MEDIAN((IF(DATOS_[[Sexo]:[Sexo]]=$B19,IF(DATOS_[[AGRUP. VALOR. PTO.]:[AGRUP. VALOR. PTO.]]=$B18,IF(DATOS_[[Check Periodo Ref.]:[Check Periodo Ref.]]="Dentro",DATOS_[Conc.Sal.30]))))),
0)</f>
        <v>0</v>
      </c>
      <c r="AJ19" s="112">
        <f t="array" ref="AJ19">IFERROR(
MEDIAN(IF(DATOS_[Sexo]=$B19,IF(DATOS_[AGRUP. VALOR. PTO.]=$B18,IF(DATOS_[Check Periodo Ref.]="Dentro",DATOS_[Tot COMPL.SAL Ef],FALSE)))),
0)</f>
        <v>22078.314399999999</v>
      </c>
      <c r="AK19" s="113">
        <f t="array" ref="AK19">IFERROR(
MEDIAN(IF(DATOS_[Sexo]=$B19,IF(DATOS_[AGRUP. VALOR. PTO.]=$B18,IF(DATOS_[Check Periodo Ref.]="Dentro",DATOS_[TOTAL SALARIO Ef],FALSE)))),
0)</f>
        <v>40625.684399999998</v>
      </c>
      <c r="AL19" s="114">
        <f t="array" ref="AL19">IFERROR(
MEDIAN((IF(DATOS_[[Sexo]:[Sexo]]=$B19,IF(DATOS_[[AGRUP. VALOR. PTO.]:[AGRUP. VALOR. PTO.]]=$B18,IF(DATOS_[[Check Periodo Ref.]:[Check Periodo Ref.]]="Dentro",DATOS_[C.Extra.01]))))),
0)</f>
        <v>0</v>
      </c>
      <c r="AM19" s="114">
        <f t="array" ref="AM19">IFERROR(
MEDIAN((IF(DATOS_[[Sexo]:[Sexo]]=$B19,IF(DATOS_[[AGRUP. VALOR. PTO.]:[AGRUP. VALOR. PTO.]]=$B18,IF(DATOS_[[Check Periodo Ref.]:[Check Periodo Ref.]]="Dentro",DATOS_[C.Extra.02]))))),
0)</f>
        <v>0</v>
      </c>
      <c r="AN19" s="114">
        <f t="array" ref="AN19">IFERROR(
MEDIAN((IF(DATOS_[[Sexo]:[Sexo]]=$B19,IF(DATOS_[[AGRUP. VALOR. PTO.]:[AGRUP. VALOR. PTO.]]=$B18,IF(DATOS_[[Check Periodo Ref.]:[Check Periodo Ref.]]="Dentro",DATOS_[C.Extra.03]))))),
0)</f>
        <v>0</v>
      </c>
      <c r="AO19" s="114">
        <f t="array" ref="AO19">IFERROR(
MEDIAN((IF(DATOS_[[Sexo]:[Sexo]]=$B19,IF(DATOS_[[AGRUP. VALOR. PTO.]:[AGRUP. VALOR. PTO.]]=$B18,IF(DATOS_[[Check Periodo Ref.]:[Check Periodo Ref.]]="Dentro",DATOS_[C.Extra.04]))))),
0)</f>
        <v>0</v>
      </c>
      <c r="AP19" s="114">
        <f t="array" ref="AP19">IFERROR(
MEDIAN((IF(DATOS_[[Sexo]:[Sexo]]=$B19,IF(DATOS_[[AGRUP. VALOR. PTO.]:[AGRUP. VALOR. PTO.]]=$B18,IF(DATOS_[[Check Periodo Ref.]:[Check Periodo Ref.]]="Dentro",DATOS_[C.Extra.05]))))),
0)</f>
        <v>0</v>
      </c>
      <c r="AQ19" s="115">
        <f t="array" ref="AQ19">IFERROR(
MEDIAN(IF(DATOS_[Sexo]=$B19,IF(DATOS_[AGRUP. VALOR. PTO.]=$B18,IF(DATOS_[Check Periodo Ref.]="Dentro",DATOS_[Tot Extrasalarial Ef],FALSE)))),
0)</f>
        <v>0</v>
      </c>
      <c r="AR19" s="116">
        <f t="array" ref="AR19">IFERROR(
MEDIAN(IF(DATOS_[Sexo]=$B19,IF(DATOS_[AGRUP. VALOR. PTO.]=$B18,IF(DATOS_[Check Periodo Ref.]="Dentro",DATOS_[TOTAL Retrib Ef],FALSE)))),
0)</f>
        <v>40625.684399999998</v>
      </c>
    </row>
    <row r="20" spans="1:44" s="36" customFormat="1" x14ac:dyDescent="0.3">
      <c r="A20" s="36" t="str">
        <f t="shared" ref="A20" si="10">+A19</f>
        <v/>
      </c>
      <c r="B20" s="34" t="s">
        <v>163</v>
      </c>
      <c r="C20" s="33">
        <f t="array" ref="C20">SUM(IF($B20=DATOS_[Sexo],
IF($B18=DATOS_[AGRUP. VALOR. PTO.],
IF("Dentro"=DATOS_[Check Periodo Ref.],
1/(COUNTIFS(DATOS_[Sexo],$B20,DATOS_[AGRUP. VALOR. PTO.],$B18,DATOS_[Check Periodo Ref.],"Dentro",DATOS_[id],DATOS_[id]))))))</f>
        <v>4</v>
      </c>
      <c r="D20" s="35">
        <f>COUNTIFS(DATOS_[AGRUP. VALOR. PTO.],$B18,DATOS_[Sexo],$B20,DATOS_[Check Periodo Ref.],"Dentro")</f>
        <v>4</v>
      </c>
      <c r="E20" s="110">
        <f t="array" ref="E20">IFERROR(
MEDIAN(IF(DATOS_[Sexo]=$B20,IF(DATOS_[AGRUP. VALOR. PTO.]=$B18,IF(DATOS_[Check Periodo Ref.]="Dentro",DATOS_[SALARIO BASE Ef],FALSE)))),
0)</f>
        <v>18547.37</v>
      </c>
      <c r="F20" s="111">
        <f t="array" ref="F20">IFERROR(
MEDIAN((IF(DATOS_[[Sexo]:[Sexo]]=$B20,IF(DATOS_[[AGRUP. VALOR. PTO.]:[AGRUP. VALOR. PTO.]]=$B18,IF(DATOS_[[Check Periodo Ref.]:[Check Periodo Ref.]]="Dentro",DATOS_[Conc.Sal.01]))))),
0)</f>
        <v>11000</v>
      </c>
      <c r="G20" s="111">
        <f t="array" ref="G20">IFERROR(
MEDIAN((IF(DATOS_[[Sexo]:[Sexo]]=$B20,IF(DATOS_[[AGRUP. VALOR. PTO.]:[AGRUP. VALOR. PTO.]]=$B18,IF(DATOS_[[Check Periodo Ref.]:[Check Periodo Ref.]]="Dentro",DATOS_[Conc.Sal.02]))))),
0)</f>
        <v>1205.5790499999998</v>
      </c>
      <c r="H20" s="111">
        <f t="array" ref="H20">IFERROR(
MEDIAN((IF(DATOS_[[Sexo]:[Sexo]]=$B20,IF(DATOS_[[AGRUP. VALOR. PTO.]:[AGRUP. VALOR. PTO.]]=$B18,IF(DATOS_[[Check Periodo Ref.]:[Check Periodo Ref.]]="Dentro",DATOS_[Conc.Sal.03]))))),
0)</f>
        <v>0</v>
      </c>
      <c r="I20" s="111">
        <f t="array" ref="I20">IFERROR(
MEDIAN((IF(DATOS_[[Sexo]:[Sexo]]=$B20,IF(DATOS_[[AGRUP. VALOR. PTO.]:[AGRUP. VALOR. PTO.]]=$B18,IF(DATOS_[[Check Periodo Ref.]:[Check Periodo Ref.]]="Dentro",DATOS_[Conc.Sal.04]))))),
0)</f>
        <v>4000</v>
      </c>
      <c r="J20" s="111">
        <f t="array" ref="J20">IFERROR(
MEDIAN((IF(DATOS_[[Sexo]:[Sexo]]=$B20,IF(DATOS_[[AGRUP. VALOR. PTO.]:[AGRUP. VALOR. PTO.]]=$B18,IF(DATOS_[[Check Periodo Ref.]:[Check Periodo Ref.]]="Dentro",DATOS_[Conc.Sal.05]))))),
0)</f>
        <v>0</v>
      </c>
      <c r="K20" s="111">
        <f t="array" ref="K20">IFERROR(
MEDIAN((IF(DATOS_[[Sexo]:[Sexo]]=$B20,IF(DATOS_[[AGRUP. VALOR. PTO.]:[AGRUP. VALOR. PTO.]]=$B18,IF(DATOS_[[Check Periodo Ref.]:[Check Periodo Ref.]]="Dentro",DATOS_[Conc.Sal.06]))))),
0)</f>
        <v>0</v>
      </c>
      <c r="L20" s="111">
        <f t="array" ref="L20">IFERROR(
MEDIAN((IF(DATOS_[[Sexo]:[Sexo]]=$B20,IF(DATOS_[[AGRUP. VALOR. PTO.]:[AGRUP. VALOR. PTO.]]=$B18,IF(DATOS_[[Check Periodo Ref.]:[Check Periodo Ref.]]="Dentro",DATOS_[Conc.Sal.07]))))),
0)</f>
        <v>200</v>
      </c>
      <c r="M20" s="111">
        <f t="array" ref="M20">IFERROR(
MEDIAN((IF(DATOS_[[Sexo]:[Sexo]]=$B20,IF(DATOS_[[AGRUP. VALOR. PTO.]:[AGRUP. VALOR. PTO.]]=$B18,IF(DATOS_[[Check Periodo Ref.]:[Check Periodo Ref.]]="Dentro",DATOS_[Conc.Sal.08]))))),
0)</f>
        <v>0</v>
      </c>
      <c r="N20" s="111">
        <f t="array" ref="N20">IFERROR(
MEDIAN((IF(DATOS_[[Sexo]:[Sexo]]=$B20,IF(DATOS_[[AGRUP. VALOR. PTO.]:[AGRUP. VALOR. PTO.]]=$B18,IF(DATOS_[[Check Periodo Ref.]:[Check Periodo Ref.]]="Dentro",DATOS_[Conc.Sal.09]))))),
0)</f>
        <v>0</v>
      </c>
      <c r="O20" s="111">
        <f t="array" ref="O20">IFERROR(
MEDIAN((IF(DATOS_[[Sexo]:[Sexo]]=$B20,IF(DATOS_[[AGRUP. VALOR. PTO.]:[AGRUP. VALOR. PTO.]]=$B18,IF(DATOS_[[Check Periodo Ref.]:[Check Periodo Ref.]]="Dentro",DATOS_[Conc.Sal.10]))))),
0)</f>
        <v>0</v>
      </c>
      <c r="P20" s="111">
        <f t="array" ref="P20">IFERROR(
MEDIAN((IF(DATOS_[[Sexo]:[Sexo]]=$B20,IF(DATOS_[[AGRUP. VALOR. PTO.]:[AGRUP. VALOR. PTO.]]=$B18,IF(DATOS_[[Check Periodo Ref.]:[Check Periodo Ref.]]="Dentro",DATOS_[Conc.Sal.11]))))),
0)</f>
        <v>0</v>
      </c>
      <c r="Q20" s="111">
        <f t="array" ref="Q20">IFERROR(
MEDIAN((IF(DATOS_[[Sexo]:[Sexo]]=$B20,IF(DATOS_[[AGRUP. VALOR. PTO.]:[AGRUP. VALOR. PTO.]]=$B18,IF(DATOS_[[Check Periodo Ref.]:[Check Periodo Ref.]]="Dentro",DATOS_[Conc.Sal.12]))))),
0)</f>
        <v>0</v>
      </c>
      <c r="R20" s="111">
        <f t="array" ref="R20">IFERROR(
MEDIAN((IF(DATOS_[[Sexo]:[Sexo]]=$B20,IF(DATOS_[[AGRUP. VALOR. PTO.]:[AGRUP. VALOR. PTO.]]=$B18,IF(DATOS_[[Check Periodo Ref.]:[Check Periodo Ref.]]="Dentro",DATOS_[Conc.Sal.13]))))),
0)</f>
        <v>0</v>
      </c>
      <c r="S20" s="111">
        <f t="array" ref="S20">IFERROR(
MEDIAN((IF(DATOS_[[Sexo]:[Sexo]]=$B20,IF(DATOS_[[AGRUP. VALOR. PTO.]:[AGRUP. VALOR. PTO.]]=$B18,IF(DATOS_[[Check Periodo Ref.]:[Check Periodo Ref.]]="Dentro",DATOS_[Conc.Sal.14]))))),
0)</f>
        <v>0</v>
      </c>
      <c r="T20" s="111">
        <f t="array" ref="T20">IFERROR(
MEDIAN((IF(DATOS_[[Sexo]:[Sexo]]=$B20,IF(DATOS_[[AGRUP. VALOR. PTO.]:[AGRUP. VALOR. PTO.]]=$B18,IF(DATOS_[[Check Periodo Ref.]:[Check Periodo Ref.]]="Dentro",DATOS_[Conc.Sal.15]))))),
0)</f>
        <v>0</v>
      </c>
      <c r="U20" s="111">
        <f t="array" ref="U20">IFERROR(
MEDIAN((IF(DATOS_[[Sexo]:[Sexo]]=$B20,IF(DATOS_[[AGRUP. VALOR. PTO.]:[AGRUP. VALOR. PTO.]]=$B18,IF(DATOS_[[Check Periodo Ref.]:[Check Periodo Ref.]]="Dentro",DATOS_[Conc.Sal.16]))))),
0)</f>
        <v>0</v>
      </c>
      <c r="V20" s="111">
        <f t="array" ref="V20">IFERROR(
MEDIAN((IF(DATOS_[[Sexo]:[Sexo]]=$B20,IF(DATOS_[[AGRUP. VALOR. PTO.]:[AGRUP. VALOR. PTO.]]=$B18,IF(DATOS_[[Check Periodo Ref.]:[Check Periodo Ref.]]="Dentro",DATOS_[Conc.Sal.17]))))),
0)</f>
        <v>0</v>
      </c>
      <c r="W20" s="111">
        <f t="array" ref="W20">IFERROR(
MEDIAN((IF(DATOS_[[Sexo]:[Sexo]]=$B20,IF(DATOS_[[AGRUP. VALOR. PTO.]:[AGRUP. VALOR. PTO.]]=$B18,IF(DATOS_[[Check Periodo Ref.]:[Check Periodo Ref.]]="Dentro",DATOS_[Conc.Sal.18]))))),
0)</f>
        <v>0</v>
      </c>
      <c r="X20" s="111">
        <f t="array" ref="X20">IFERROR(
MEDIAN((IF(DATOS_[[Sexo]:[Sexo]]=$B20,IF(DATOS_[[AGRUP. VALOR. PTO.]:[AGRUP. VALOR. PTO.]]=$B18,IF(DATOS_[[Check Periodo Ref.]:[Check Periodo Ref.]]="Dentro",DATOS_[Conc.Sal.19]))))),
0)</f>
        <v>0</v>
      </c>
      <c r="Y20" s="111">
        <f t="array" ref="Y20">IFERROR(
MEDIAN((IF(DATOS_[[Sexo]:[Sexo]]=$B20,IF(DATOS_[[AGRUP. VALOR. PTO.]:[AGRUP. VALOR. PTO.]]=$B18,IF(DATOS_[[Check Periodo Ref.]:[Check Periodo Ref.]]="Dentro",DATOS_[Conc.Sal.20]))))),
0)</f>
        <v>0</v>
      </c>
      <c r="Z20" s="111">
        <f t="array" ref="Z20">IFERROR(
MEDIAN((IF(DATOS_[[Sexo]:[Sexo]]=$B20,IF(DATOS_[[AGRUP. VALOR. PTO.]:[AGRUP. VALOR. PTO.]]=$B18,IF(DATOS_[[Check Periodo Ref.]:[Check Periodo Ref.]]="Dentro",DATOS_[Conc.Sal.21]))))),
0)</f>
        <v>0</v>
      </c>
      <c r="AA20" s="111">
        <f t="array" ref="AA20">IFERROR(
MEDIAN((IF(DATOS_[[Sexo]:[Sexo]]=$B20,IF(DATOS_[[AGRUP. VALOR. PTO.]:[AGRUP. VALOR. PTO.]]=$B18,IF(DATOS_[[Check Periodo Ref.]:[Check Periodo Ref.]]="Dentro",DATOS_[Conc.Sal.22]))))),
0)</f>
        <v>0</v>
      </c>
      <c r="AB20" s="111">
        <f t="array" ref="AB20">IFERROR(
MEDIAN((IF(DATOS_[[Sexo]:[Sexo]]=$B20,IF(DATOS_[[AGRUP. VALOR. PTO.]:[AGRUP. VALOR. PTO.]]=$B18,IF(DATOS_[[Check Periodo Ref.]:[Check Periodo Ref.]]="Dentro",DATOS_[Conc.Sal.23]))))),
0)</f>
        <v>0</v>
      </c>
      <c r="AC20" s="111">
        <f t="array" ref="AC20">IFERROR(
MEDIAN((IF(DATOS_[[Sexo]:[Sexo]]=$B20,IF(DATOS_[[AGRUP. VALOR. PTO.]:[AGRUP. VALOR. PTO.]]=$B18,IF(DATOS_[[Check Periodo Ref.]:[Check Periodo Ref.]]="Dentro",DATOS_[Conc.Sal.24]))))),
0)</f>
        <v>0</v>
      </c>
      <c r="AD20" s="111">
        <f t="array" ref="AD20">IFERROR(
MEDIAN((IF(DATOS_[[Sexo]:[Sexo]]=$B20,IF(DATOS_[[AGRUP. VALOR. PTO.]:[AGRUP. VALOR. PTO.]]=$B18,IF(DATOS_[[Check Periodo Ref.]:[Check Periodo Ref.]]="Dentro",DATOS_[Conc.Sal.25]))))),
0)</f>
        <v>0</v>
      </c>
      <c r="AE20" s="111">
        <f t="array" ref="AE20">IFERROR(
MEDIAN((IF(DATOS_[[Sexo]:[Sexo]]=$B20,IF(DATOS_[[AGRUP. VALOR. PTO.]:[AGRUP. VALOR. PTO.]]=$B18,IF(DATOS_[[Check Periodo Ref.]:[Check Periodo Ref.]]="Dentro",DATOS_[Conc.Sal.26]))))),
0)</f>
        <v>0</v>
      </c>
      <c r="AF20" s="111">
        <f t="array" ref="AF20">IFERROR(
MEDIAN((IF(DATOS_[[Sexo]:[Sexo]]=$B20,IF(DATOS_[[AGRUP. VALOR. PTO.]:[AGRUP. VALOR. PTO.]]=$B18,IF(DATOS_[[Check Periodo Ref.]:[Check Periodo Ref.]]="Dentro",DATOS_[Conc.Sal.27]))))),
0)</f>
        <v>0</v>
      </c>
      <c r="AG20" s="111">
        <f t="array" ref="AG20">IFERROR(
MEDIAN((IF(DATOS_[[Sexo]:[Sexo]]=$B20,IF(DATOS_[[AGRUP. VALOR. PTO.]:[AGRUP. VALOR. PTO.]]=$B18,IF(DATOS_[[Check Periodo Ref.]:[Check Periodo Ref.]]="Dentro",DATOS_[Conc.Sal.28]))))),
0)</f>
        <v>0</v>
      </c>
      <c r="AH20" s="111">
        <f t="array" ref="AH20">IFERROR(
MEDIAN((IF(DATOS_[[Sexo]:[Sexo]]=$B20,IF(DATOS_[[AGRUP. VALOR. PTO.]:[AGRUP. VALOR. PTO.]]=$B18,IF(DATOS_[[Check Periodo Ref.]:[Check Periodo Ref.]]="Dentro",DATOS_[Conc.Sal.29]))))),
0)</f>
        <v>0</v>
      </c>
      <c r="AI20" s="111">
        <f t="array" ref="AI20">IFERROR(
MEDIAN((IF(DATOS_[[Sexo]:[Sexo]]=$B20,IF(DATOS_[[AGRUP. VALOR. PTO.]:[AGRUP. VALOR. PTO.]]=$B18,IF(DATOS_[[Check Periodo Ref.]:[Check Periodo Ref.]]="Dentro",DATOS_[Conc.Sal.30]))))),
0)</f>
        <v>0</v>
      </c>
      <c r="AJ20" s="112">
        <f t="array" ref="AJ20">IFERROR(
MEDIAN(IF(DATOS_[Sexo]=$B20,IF(DATOS_[AGRUP. VALOR. PTO.]=$B18,IF(DATOS_[Check Periodo Ref.]="Dentro",DATOS_[Tot COMPL.SAL Ef],FALSE)))),
0)</f>
        <v>17183.7896</v>
      </c>
      <c r="AK20" s="113">
        <f t="array" ref="AK20">IFERROR(
MEDIAN(IF(DATOS_[Sexo]=$B20,IF(DATOS_[AGRUP. VALOR. PTO.]=$B18,IF(DATOS_[Check Periodo Ref.]="Dentro",DATOS_[TOTAL SALARIO Ef],FALSE)))),
0)</f>
        <v>35731.159599999999</v>
      </c>
      <c r="AL20" s="114">
        <f t="array" ref="AL20">IFERROR(
MEDIAN((IF(DATOS_[[Sexo]:[Sexo]]=$B20,IF(DATOS_[[AGRUP. VALOR. PTO.]:[AGRUP. VALOR. PTO.]]=$B18,IF(DATOS_[[Check Periodo Ref.]:[Check Periodo Ref.]]="Dentro",DATOS_[C.Extra.01]))))),
0)</f>
        <v>0</v>
      </c>
      <c r="AM20" s="114">
        <f t="array" ref="AM20">IFERROR(
MEDIAN((IF(DATOS_[[Sexo]:[Sexo]]=$B20,IF(DATOS_[[AGRUP. VALOR. PTO.]:[AGRUP. VALOR. PTO.]]=$B18,IF(DATOS_[[Check Periodo Ref.]:[Check Periodo Ref.]]="Dentro",DATOS_[C.Extra.02]))))),
0)</f>
        <v>0</v>
      </c>
      <c r="AN20" s="114">
        <f t="array" ref="AN20">IFERROR(
MEDIAN((IF(DATOS_[[Sexo]:[Sexo]]=$B20,IF(DATOS_[[AGRUP. VALOR. PTO.]:[AGRUP. VALOR. PTO.]]=$B18,IF(DATOS_[[Check Periodo Ref.]:[Check Periodo Ref.]]="Dentro",DATOS_[C.Extra.03]))))),
0)</f>
        <v>0</v>
      </c>
      <c r="AO20" s="114">
        <f t="array" ref="AO20">IFERROR(
MEDIAN((IF(DATOS_[[Sexo]:[Sexo]]=$B20,IF(DATOS_[[AGRUP. VALOR. PTO.]:[AGRUP. VALOR. PTO.]]=$B18,IF(DATOS_[[Check Periodo Ref.]:[Check Periodo Ref.]]="Dentro",DATOS_[C.Extra.04]))))),
0)</f>
        <v>0</v>
      </c>
      <c r="AP20" s="114">
        <f t="array" ref="AP20">IFERROR(
MEDIAN((IF(DATOS_[[Sexo]:[Sexo]]=$B20,IF(DATOS_[[AGRUP. VALOR. PTO.]:[AGRUP. VALOR. PTO.]]=$B18,IF(DATOS_[[Check Periodo Ref.]:[Check Periodo Ref.]]="Dentro",DATOS_[C.Extra.05]))))),
0)</f>
        <v>0</v>
      </c>
      <c r="AQ20" s="115">
        <f t="array" ref="AQ20">IFERROR(
MEDIAN(IF(DATOS_[Sexo]=$B20,IF(DATOS_[AGRUP. VALOR. PTO.]=$B18,IF(DATOS_[Check Periodo Ref.]="Dentro",DATOS_[Tot Extrasalarial Ef],FALSE)))),
0)</f>
        <v>0</v>
      </c>
      <c r="AR20" s="116">
        <f t="array" ref="AR20">IFERROR(
MEDIAN(IF(DATOS_[Sexo]=$B20,IF(DATOS_[AGRUP. VALOR. PTO.]=$B18,IF(DATOS_[Check Periodo Ref.]="Dentro",DATOS_[TOTAL Retrib Ef],FALSE)))),
0)</f>
        <v>35731.159599999999</v>
      </c>
    </row>
    <row r="21" spans="1:44" ht="17.25" thickBot="1" x14ac:dyDescent="0.35">
      <c r="A21" s="42" t="str">
        <f t="shared" ref="A21" si="11">+A22</f>
        <v/>
      </c>
      <c r="B21" s="40" t="s">
        <v>310</v>
      </c>
      <c r="C21" s="109"/>
      <c r="D21" s="41"/>
      <c r="E21" s="119">
        <f t="shared" ref="E21:AR21" si="12">IFERROR((E22-E23)/E22,"")</f>
        <v>0.5</v>
      </c>
      <c r="F21" s="123">
        <f t="shared" si="12"/>
        <v>0.51790061789070785</v>
      </c>
      <c r="G21" s="123">
        <f t="shared" si="12"/>
        <v>0.25035466425117564</v>
      </c>
      <c r="H21" s="123" t="str">
        <f t="shared" si="12"/>
        <v/>
      </c>
      <c r="I21" s="123" t="str">
        <f t="shared" si="12"/>
        <v/>
      </c>
      <c r="J21" s="123" t="str">
        <f t="shared" si="12"/>
        <v/>
      </c>
      <c r="K21" s="123" t="str">
        <f t="shared" si="12"/>
        <v/>
      </c>
      <c r="L21" s="123">
        <f t="shared" si="12"/>
        <v>0</v>
      </c>
      <c r="M21" s="123" t="str">
        <f t="shared" si="12"/>
        <v/>
      </c>
      <c r="N21" s="123" t="str">
        <f t="shared" si="12"/>
        <v/>
      </c>
      <c r="O21" s="123" t="str">
        <f t="shared" si="12"/>
        <v/>
      </c>
      <c r="P21" s="123" t="str">
        <f t="shared" si="12"/>
        <v/>
      </c>
      <c r="Q21" s="123" t="str">
        <f t="shared" si="12"/>
        <v/>
      </c>
      <c r="R21" s="123" t="str">
        <f t="shared" si="12"/>
        <v/>
      </c>
      <c r="S21" s="123" t="str">
        <f t="shared" si="12"/>
        <v/>
      </c>
      <c r="T21" s="123" t="str">
        <f t="shared" si="12"/>
        <v/>
      </c>
      <c r="U21" s="123" t="str">
        <f t="shared" si="12"/>
        <v/>
      </c>
      <c r="V21" s="122" t="str">
        <f t="shared" si="12"/>
        <v/>
      </c>
      <c r="W21" s="122" t="str">
        <f t="shared" si="12"/>
        <v/>
      </c>
      <c r="X21" s="122" t="str">
        <f t="shared" si="12"/>
        <v/>
      </c>
      <c r="Y21" s="122" t="str">
        <f t="shared" si="12"/>
        <v/>
      </c>
      <c r="Z21" s="122" t="str">
        <f t="shared" si="12"/>
        <v/>
      </c>
      <c r="AA21" s="122" t="str">
        <f t="shared" si="12"/>
        <v/>
      </c>
      <c r="AB21" s="122" t="str">
        <f t="shared" si="12"/>
        <v/>
      </c>
      <c r="AC21" s="122" t="str">
        <f t="shared" si="12"/>
        <v/>
      </c>
      <c r="AD21" s="122" t="str">
        <f t="shared" si="12"/>
        <v/>
      </c>
      <c r="AE21" s="122" t="str">
        <f t="shared" si="12"/>
        <v/>
      </c>
      <c r="AF21" s="122" t="str">
        <f t="shared" si="12"/>
        <v/>
      </c>
      <c r="AG21" s="122" t="str">
        <f t="shared" si="12"/>
        <v/>
      </c>
      <c r="AH21" s="122" t="str">
        <f t="shared" si="12"/>
        <v/>
      </c>
      <c r="AI21" s="122" t="str">
        <f t="shared" si="12"/>
        <v/>
      </c>
      <c r="AJ21" s="124">
        <f t="shared" si="12"/>
        <v>0.45611111919584452</v>
      </c>
      <c r="AK21" s="128">
        <f t="shared" si="12"/>
        <v>0.47845183216947701</v>
      </c>
      <c r="AL21" s="125" t="str">
        <f t="shared" si="12"/>
        <v/>
      </c>
      <c r="AM21" s="125" t="str">
        <f t="shared" si="12"/>
        <v/>
      </c>
      <c r="AN21" s="125" t="str">
        <f t="shared" si="12"/>
        <v/>
      </c>
      <c r="AO21" s="125" t="str">
        <f t="shared" si="12"/>
        <v/>
      </c>
      <c r="AP21" s="125" t="str">
        <f t="shared" si="12"/>
        <v/>
      </c>
      <c r="AQ21" s="126" t="str">
        <f t="shared" si="12"/>
        <v/>
      </c>
      <c r="AR21" s="127">
        <f t="shared" si="12"/>
        <v>0.47845183216947701</v>
      </c>
    </row>
    <row r="22" spans="1:44" x14ac:dyDescent="0.3">
      <c r="A22" s="42" t="str">
        <f t="shared" ref="A22" si="13">+IF(C22+C23=0,"[ocultar]","")</f>
        <v/>
      </c>
      <c r="B22" s="34" t="s">
        <v>162</v>
      </c>
      <c r="C22" s="33">
        <f t="array" ref="C22">SUM(IF($B22=DATOS_[Sexo],
IF($B21=DATOS_[AGRUP. VALOR. PTO.],
IF("Dentro"=DATOS_[Check Periodo Ref.],
1/(COUNTIFS(DATOS_[Sexo],$B22,DATOS_[AGRUP. VALOR. PTO.],$B21,DATOS_[Check Periodo Ref.],"Dentro",DATOS_[id],DATOS_[id]))))))</f>
        <v>23</v>
      </c>
      <c r="D22" s="35">
        <f>COUNTIFS(DATOS_[AGRUP. VALOR. PTO.],$B21,DATOS_[Sexo],$B22,DATOS_[Check Periodo Ref.],"Dentro")</f>
        <v>24</v>
      </c>
      <c r="E22" s="110">
        <f t="array" ref="E22">IFERROR(
MEDIAN(IF(DATOS_[Sexo]=$B22,IF(DATOS_[AGRUP. VALOR. PTO.]=$B21,IF(DATOS_[Check Periodo Ref.]="Dentro",DATOS_[SALARIO BASE Ef],FALSE)))),
0)</f>
        <v>17266.330000000002</v>
      </c>
      <c r="F22" s="111">
        <f t="array" ref="F22">IFERROR(
MEDIAN((IF(DATOS_[[Sexo]:[Sexo]]=$B22,IF(DATOS_[[AGRUP. VALOR. PTO.]:[AGRUP. VALOR. PTO.]]=$B21,IF(DATOS_[[Check Periodo Ref.]:[Check Periodo Ref.]]="Dentro",DATOS_[Conc.Sal.01]))))),
0)</f>
        <v>3733.6699999999983</v>
      </c>
      <c r="G22" s="111">
        <f t="array" ref="G22">IFERROR(
MEDIAN((IF(DATOS_[[Sexo]:[Sexo]]=$B22,IF(DATOS_[[AGRUP. VALOR. PTO.]:[AGRUP. VALOR. PTO.]]=$B21,IF(DATOS_[[Check Periodo Ref.]:[Check Periodo Ref.]]="Dentro",DATOS_[Conc.Sal.02]))))),
0)</f>
        <v>1381.3064000000002</v>
      </c>
      <c r="H22" s="111">
        <f t="array" ref="H22">IFERROR(
MEDIAN((IF(DATOS_[[Sexo]:[Sexo]]=$B22,IF(DATOS_[[AGRUP. VALOR. PTO.]:[AGRUP. VALOR. PTO.]]=$B21,IF(DATOS_[[Check Periodo Ref.]:[Check Periodo Ref.]]="Dentro",DATOS_[Conc.Sal.03]))))),
0)</f>
        <v>0</v>
      </c>
      <c r="I22" s="111">
        <f t="array" ref="I22">IFERROR(
MEDIAN((IF(DATOS_[[Sexo]:[Sexo]]=$B22,IF(DATOS_[[AGRUP. VALOR. PTO.]:[AGRUP. VALOR. PTO.]]=$B21,IF(DATOS_[[Check Periodo Ref.]:[Check Periodo Ref.]]="Dentro",DATOS_[Conc.Sal.04]))))),
0)</f>
        <v>0</v>
      </c>
      <c r="J22" s="111">
        <f t="array" ref="J22">IFERROR(
MEDIAN((IF(DATOS_[[Sexo]:[Sexo]]=$B22,IF(DATOS_[[AGRUP. VALOR. PTO.]:[AGRUP. VALOR. PTO.]]=$B21,IF(DATOS_[[Check Periodo Ref.]:[Check Periodo Ref.]]="Dentro",DATOS_[Conc.Sal.05]))))),
0)</f>
        <v>0</v>
      </c>
      <c r="K22" s="111">
        <f t="array" ref="K22">IFERROR(
MEDIAN((IF(DATOS_[[Sexo]:[Sexo]]=$B22,IF(DATOS_[[AGRUP. VALOR. PTO.]:[AGRUP. VALOR. PTO.]]=$B21,IF(DATOS_[[Check Periodo Ref.]:[Check Periodo Ref.]]="Dentro",DATOS_[Conc.Sal.06]))))),
0)</f>
        <v>0</v>
      </c>
      <c r="L22" s="111">
        <f t="array" ref="L22">IFERROR(
MEDIAN((IF(DATOS_[[Sexo]:[Sexo]]=$B22,IF(DATOS_[[AGRUP. VALOR. PTO.]:[AGRUP. VALOR. PTO.]]=$B21,IF(DATOS_[[Check Periodo Ref.]:[Check Periodo Ref.]]="Dentro",DATOS_[Conc.Sal.07]))))),
0)</f>
        <v>80</v>
      </c>
      <c r="M22" s="111">
        <f t="array" ref="M22">IFERROR(
MEDIAN((IF(DATOS_[[Sexo]:[Sexo]]=$B22,IF(DATOS_[[AGRUP. VALOR. PTO.]:[AGRUP. VALOR. PTO.]]=$B21,IF(DATOS_[[Check Periodo Ref.]:[Check Periodo Ref.]]="Dentro",DATOS_[Conc.Sal.08]))))),
0)</f>
        <v>0</v>
      </c>
      <c r="N22" s="111">
        <f t="array" ref="N22">IFERROR(
MEDIAN((IF(DATOS_[[Sexo]:[Sexo]]=$B22,IF(DATOS_[[AGRUP. VALOR. PTO.]:[AGRUP. VALOR. PTO.]]=$B21,IF(DATOS_[[Check Periodo Ref.]:[Check Periodo Ref.]]="Dentro",DATOS_[Conc.Sal.09]))))),
0)</f>
        <v>0</v>
      </c>
      <c r="O22" s="111">
        <f t="array" ref="O22">IFERROR(
MEDIAN((IF(DATOS_[[Sexo]:[Sexo]]=$B22,IF(DATOS_[[AGRUP. VALOR. PTO.]:[AGRUP. VALOR. PTO.]]=$B21,IF(DATOS_[[Check Periodo Ref.]:[Check Periodo Ref.]]="Dentro",DATOS_[Conc.Sal.10]))))),
0)</f>
        <v>0</v>
      </c>
      <c r="P22" s="111">
        <f t="array" ref="P22">IFERROR(
MEDIAN((IF(DATOS_[[Sexo]:[Sexo]]=$B22,IF(DATOS_[[AGRUP. VALOR. PTO.]:[AGRUP. VALOR. PTO.]]=$B21,IF(DATOS_[[Check Periodo Ref.]:[Check Periodo Ref.]]="Dentro",DATOS_[Conc.Sal.11]))))),
0)</f>
        <v>0</v>
      </c>
      <c r="Q22" s="111">
        <f t="array" ref="Q22">IFERROR(
MEDIAN((IF(DATOS_[[Sexo]:[Sexo]]=$B22,IF(DATOS_[[AGRUP. VALOR. PTO.]:[AGRUP. VALOR. PTO.]]=$B21,IF(DATOS_[[Check Periodo Ref.]:[Check Periodo Ref.]]="Dentro",DATOS_[Conc.Sal.12]))))),
0)</f>
        <v>0</v>
      </c>
      <c r="R22" s="111">
        <f t="array" ref="R22">IFERROR(
MEDIAN((IF(DATOS_[[Sexo]:[Sexo]]=$B22,IF(DATOS_[[AGRUP. VALOR. PTO.]:[AGRUP. VALOR. PTO.]]=$B21,IF(DATOS_[[Check Periodo Ref.]:[Check Periodo Ref.]]="Dentro",DATOS_[Conc.Sal.13]))))),
0)</f>
        <v>0</v>
      </c>
      <c r="S22" s="111">
        <f t="array" ref="S22">IFERROR(
MEDIAN((IF(DATOS_[[Sexo]:[Sexo]]=$B22,IF(DATOS_[[AGRUP. VALOR. PTO.]:[AGRUP. VALOR. PTO.]]=$B21,IF(DATOS_[[Check Periodo Ref.]:[Check Periodo Ref.]]="Dentro",DATOS_[Conc.Sal.14]))))),
0)</f>
        <v>0</v>
      </c>
      <c r="T22" s="111">
        <f t="array" ref="T22">IFERROR(
MEDIAN((IF(DATOS_[[Sexo]:[Sexo]]=$B22,IF(DATOS_[[AGRUP. VALOR. PTO.]:[AGRUP. VALOR. PTO.]]=$B21,IF(DATOS_[[Check Periodo Ref.]:[Check Periodo Ref.]]="Dentro",DATOS_[Conc.Sal.15]))))),
0)</f>
        <v>0</v>
      </c>
      <c r="U22" s="111">
        <f t="array" ref="U22">IFERROR(
MEDIAN((IF(DATOS_[[Sexo]:[Sexo]]=$B22,IF(DATOS_[[AGRUP. VALOR. PTO.]:[AGRUP. VALOR. PTO.]]=$B21,IF(DATOS_[[Check Periodo Ref.]:[Check Periodo Ref.]]="Dentro",DATOS_[Conc.Sal.16]))))),
0)</f>
        <v>0</v>
      </c>
      <c r="V22" s="111">
        <f t="array" ref="V22">IFERROR(
MEDIAN((IF(DATOS_[[Sexo]:[Sexo]]=$B22,IF(DATOS_[[AGRUP. VALOR. PTO.]:[AGRUP. VALOR. PTO.]]=$B21,IF(DATOS_[[Check Periodo Ref.]:[Check Periodo Ref.]]="Dentro",DATOS_[Conc.Sal.17]))))),
0)</f>
        <v>0</v>
      </c>
      <c r="W22" s="111">
        <f t="array" ref="W22">IFERROR(
MEDIAN((IF(DATOS_[[Sexo]:[Sexo]]=$B22,IF(DATOS_[[AGRUP. VALOR. PTO.]:[AGRUP. VALOR. PTO.]]=$B21,IF(DATOS_[[Check Periodo Ref.]:[Check Periodo Ref.]]="Dentro",DATOS_[Conc.Sal.18]))))),
0)</f>
        <v>0</v>
      </c>
      <c r="X22" s="111">
        <f t="array" ref="X22">IFERROR(
MEDIAN((IF(DATOS_[[Sexo]:[Sexo]]=$B22,IF(DATOS_[[AGRUP. VALOR. PTO.]:[AGRUP. VALOR. PTO.]]=$B21,IF(DATOS_[[Check Periodo Ref.]:[Check Periodo Ref.]]="Dentro",DATOS_[Conc.Sal.19]))))),
0)</f>
        <v>0</v>
      </c>
      <c r="Y22" s="111">
        <f t="array" ref="Y22">IFERROR(
MEDIAN((IF(DATOS_[[Sexo]:[Sexo]]=$B22,IF(DATOS_[[AGRUP. VALOR. PTO.]:[AGRUP. VALOR. PTO.]]=$B21,IF(DATOS_[[Check Periodo Ref.]:[Check Periodo Ref.]]="Dentro",DATOS_[Conc.Sal.20]))))),
0)</f>
        <v>0</v>
      </c>
      <c r="Z22" s="111">
        <f t="array" ref="Z22">IFERROR(
MEDIAN((IF(DATOS_[[Sexo]:[Sexo]]=$B22,IF(DATOS_[[AGRUP. VALOR. PTO.]:[AGRUP. VALOR. PTO.]]=$B21,IF(DATOS_[[Check Periodo Ref.]:[Check Periodo Ref.]]="Dentro",DATOS_[Conc.Sal.21]))))),
0)</f>
        <v>0</v>
      </c>
      <c r="AA22" s="111">
        <f t="array" ref="AA22">IFERROR(
MEDIAN((IF(DATOS_[[Sexo]:[Sexo]]=$B22,IF(DATOS_[[AGRUP. VALOR. PTO.]:[AGRUP. VALOR. PTO.]]=$B21,IF(DATOS_[[Check Periodo Ref.]:[Check Periodo Ref.]]="Dentro",DATOS_[Conc.Sal.22]))))),
0)</f>
        <v>0</v>
      </c>
      <c r="AB22" s="111">
        <f t="array" ref="AB22">IFERROR(
MEDIAN((IF(DATOS_[[Sexo]:[Sexo]]=$B22,IF(DATOS_[[AGRUP. VALOR. PTO.]:[AGRUP. VALOR. PTO.]]=$B21,IF(DATOS_[[Check Periodo Ref.]:[Check Periodo Ref.]]="Dentro",DATOS_[Conc.Sal.23]))))),
0)</f>
        <v>0</v>
      </c>
      <c r="AC22" s="111">
        <f t="array" ref="AC22">IFERROR(
MEDIAN((IF(DATOS_[[Sexo]:[Sexo]]=$B22,IF(DATOS_[[AGRUP. VALOR. PTO.]:[AGRUP. VALOR. PTO.]]=$B21,IF(DATOS_[[Check Periodo Ref.]:[Check Periodo Ref.]]="Dentro",DATOS_[Conc.Sal.24]))))),
0)</f>
        <v>0</v>
      </c>
      <c r="AD22" s="111">
        <f t="array" ref="AD22">IFERROR(
MEDIAN((IF(DATOS_[[Sexo]:[Sexo]]=$B22,IF(DATOS_[[AGRUP. VALOR. PTO.]:[AGRUP. VALOR. PTO.]]=$B21,IF(DATOS_[[Check Periodo Ref.]:[Check Periodo Ref.]]="Dentro",DATOS_[Conc.Sal.25]))))),
0)</f>
        <v>0</v>
      </c>
      <c r="AE22" s="111">
        <f t="array" ref="AE22">IFERROR(
MEDIAN((IF(DATOS_[[Sexo]:[Sexo]]=$B22,IF(DATOS_[[AGRUP. VALOR. PTO.]:[AGRUP. VALOR. PTO.]]=$B21,IF(DATOS_[[Check Periodo Ref.]:[Check Periodo Ref.]]="Dentro",DATOS_[Conc.Sal.26]))))),
0)</f>
        <v>0</v>
      </c>
      <c r="AF22" s="111">
        <f t="array" ref="AF22">IFERROR(
MEDIAN((IF(DATOS_[[Sexo]:[Sexo]]=$B22,IF(DATOS_[[AGRUP. VALOR. PTO.]:[AGRUP. VALOR. PTO.]]=$B21,IF(DATOS_[[Check Periodo Ref.]:[Check Periodo Ref.]]="Dentro",DATOS_[Conc.Sal.27]))))),
0)</f>
        <v>0</v>
      </c>
      <c r="AG22" s="111">
        <f t="array" ref="AG22">IFERROR(
MEDIAN((IF(DATOS_[[Sexo]:[Sexo]]=$B22,IF(DATOS_[[AGRUP. VALOR. PTO.]:[AGRUP. VALOR. PTO.]]=$B21,IF(DATOS_[[Check Periodo Ref.]:[Check Periodo Ref.]]="Dentro",DATOS_[Conc.Sal.28]))))),
0)</f>
        <v>0</v>
      </c>
      <c r="AH22" s="111">
        <f t="array" ref="AH22">IFERROR(
MEDIAN((IF(DATOS_[[Sexo]:[Sexo]]=$B22,IF(DATOS_[[AGRUP. VALOR. PTO.]:[AGRUP. VALOR. PTO.]]=$B21,IF(DATOS_[[Check Periodo Ref.]:[Check Periodo Ref.]]="Dentro",DATOS_[Conc.Sal.29]))))),
0)</f>
        <v>0</v>
      </c>
      <c r="AI22" s="111">
        <f t="array" ref="AI22">IFERROR(
MEDIAN((IF(DATOS_[[Sexo]:[Sexo]]=$B22,IF(DATOS_[[AGRUP. VALOR. PTO.]:[AGRUP. VALOR. PTO.]]=$B21,IF(DATOS_[[Check Periodo Ref.]:[Check Periodo Ref.]]="Dentro",DATOS_[Conc.Sal.30]))))),
0)</f>
        <v>0</v>
      </c>
      <c r="AJ22" s="112">
        <f t="array" ref="AJ22">IFERROR(
MEDIAN(IF(DATOS_[Sexo]=$B22,IF(DATOS_[AGRUP. VALOR. PTO.]=$B21,IF(DATOS_[Check Periodo Ref.]="Dentro",DATOS_[Tot COMPL.SAL Ef],FALSE)))),
0)</f>
        <v>5194.9763999999986</v>
      </c>
      <c r="AK22" s="113">
        <f t="array" ref="AK22">IFERROR(
MEDIAN(IF(DATOS_[Sexo]=$B22,IF(DATOS_[AGRUP. VALOR. PTO.]=$B21,IF(DATOS_[Check Periodo Ref.]="Dentro",DATOS_[TOTAL SALARIO Ef],FALSE)))),
0)</f>
        <v>22461.306400000001</v>
      </c>
      <c r="AL22" s="114">
        <f t="array" ref="AL22">IFERROR(
MEDIAN((IF(DATOS_[[Sexo]:[Sexo]]=$B22,IF(DATOS_[[AGRUP. VALOR. PTO.]:[AGRUP. VALOR. PTO.]]=$B21,IF(DATOS_[[Check Periodo Ref.]:[Check Periodo Ref.]]="Dentro",DATOS_[C.Extra.01]))))),
0)</f>
        <v>0</v>
      </c>
      <c r="AM22" s="114">
        <f t="array" ref="AM22">IFERROR(
MEDIAN((IF(DATOS_[[Sexo]:[Sexo]]=$B22,IF(DATOS_[[AGRUP. VALOR. PTO.]:[AGRUP. VALOR. PTO.]]=$B21,IF(DATOS_[[Check Periodo Ref.]:[Check Periodo Ref.]]="Dentro",DATOS_[C.Extra.02]))))),
0)</f>
        <v>0</v>
      </c>
      <c r="AN22" s="114">
        <f t="array" ref="AN22">IFERROR(
MEDIAN((IF(DATOS_[[Sexo]:[Sexo]]=$B22,IF(DATOS_[[AGRUP. VALOR. PTO.]:[AGRUP. VALOR. PTO.]]=$B21,IF(DATOS_[[Check Periodo Ref.]:[Check Periodo Ref.]]="Dentro",DATOS_[C.Extra.03]))))),
0)</f>
        <v>0</v>
      </c>
      <c r="AO22" s="114">
        <f t="array" ref="AO22">IFERROR(
MEDIAN((IF(DATOS_[[Sexo]:[Sexo]]=$B22,IF(DATOS_[[AGRUP. VALOR. PTO.]:[AGRUP. VALOR. PTO.]]=$B21,IF(DATOS_[[Check Periodo Ref.]:[Check Periodo Ref.]]="Dentro",DATOS_[C.Extra.04]))))),
0)</f>
        <v>0</v>
      </c>
      <c r="AP22" s="114">
        <f t="array" ref="AP22">IFERROR(
MEDIAN((IF(DATOS_[[Sexo]:[Sexo]]=$B22,IF(DATOS_[[AGRUP. VALOR. PTO.]:[AGRUP. VALOR. PTO.]]=$B21,IF(DATOS_[[Check Periodo Ref.]:[Check Periodo Ref.]]="Dentro",DATOS_[C.Extra.05]))))),
0)</f>
        <v>0</v>
      </c>
      <c r="AQ22" s="115">
        <f t="array" ref="AQ22">IFERROR(
MEDIAN(IF(DATOS_[Sexo]=$B22,IF(DATOS_[AGRUP. VALOR. PTO.]=$B21,IF(DATOS_[Check Periodo Ref.]="Dentro",DATOS_[Tot Extrasalarial Ef],FALSE)))),
0)</f>
        <v>0</v>
      </c>
      <c r="AR22" s="116">
        <f t="array" ref="AR22">IFERROR(
MEDIAN(IF(DATOS_[Sexo]=$B22,IF(DATOS_[AGRUP. VALOR. PTO.]=$B21,IF(DATOS_[Check Periodo Ref.]="Dentro",DATOS_[TOTAL Retrib Ef],FALSE)))),
0)</f>
        <v>22461.306400000001</v>
      </c>
    </row>
    <row r="23" spans="1:44" x14ac:dyDescent="0.3">
      <c r="A23" s="42" t="str">
        <f t="shared" ref="A23" si="14">+A22</f>
        <v/>
      </c>
      <c r="B23" s="34" t="s">
        <v>163</v>
      </c>
      <c r="C23" s="33">
        <f t="array" ref="C23">SUM(IF($B23=DATOS_[Sexo],
IF($B21=DATOS_[AGRUP. VALOR. PTO.],
IF("Dentro"=DATOS_[Check Periodo Ref.],
1/(COUNTIFS(DATOS_[Sexo],$B23,DATOS_[AGRUP. VALOR. PTO.],$B21,DATOS_[Check Periodo Ref.],"Dentro",DATOS_[id],DATOS_[id]))))))</f>
        <v>13</v>
      </c>
      <c r="D23" s="35">
        <f>COUNTIFS(DATOS_[AGRUP. VALOR. PTO.],$B21,DATOS_[Sexo],$B23,DATOS_[Check Periodo Ref.],"Dentro")</f>
        <v>14</v>
      </c>
      <c r="E23" s="110">
        <f t="array" ref="E23">IFERROR(
MEDIAN(IF(DATOS_[Sexo]=$B23,IF(DATOS_[AGRUP. VALOR. PTO.]=$B21,IF(DATOS_[Check Periodo Ref.]="Dentro",DATOS_[SALARIO BASE Ef],FALSE)))),
0)</f>
        <v>8633.1650000000009</v>
      </c>
      <c r="F23" s="111">
        <f t="array" ref="F23">IFERROR(
MEDIAN((IF(DATOS_[[Sexo]:[Sexo]]=$B23,IF(DATOS_[[AGRUP. VALOR. PTO.]:[AGRUP. VALOR. PTO.]]=$B21,IF(DATOS_[[Check Periodo Ref.]:[Check Periodo Ref.]]="Dentro",DATOS_[Conc.Sal.01]))))),
0)</f>
        <v>1800</v>
      </c>
      <c r="G23" s="111">
        <f t="array" ref="G23">IFERROR(
MEDIAN((IF(DATOS_[[Sexo]:[Sexo]]=$B23,IF(DATOS_[[AGRUP. VALOR. PTO.]:[AGRUP. VALOR. PTO.]]=$B21,IF(DATOS_[[Check Periodo Ref.]:[Check Periodo Ref.]]="Dentro",DATOS_[Conc.Sal.02]))))),
0)</f>
        <v>1035.4899</v>
      </c>
      <c r="H23" s="111">
        <f t="array" ref="H23">IFERROR(
MEDIAN((IF(DATOS_[[Sexo]:[Sexo]]=$B23,IF(DATOS_[[AGRUP. VALOR. PTO.]:[AGRUP. VALOR. PTO.]]=$B21,IF(DATOS_[[Check Periodo Ref.]:[Check Periodo Ref.]]="Dentro",DATOS_[Conc.Sal.03]))))),
0)</f>
        <v>0</v>
      </c>
      <c r="I23" s="111">
        <f t="array" ref="I23">IFERROR(
MEDIAN((IF(DATOS_[[Sexo]:[Sexo]]=$B23,IF(DATOS_[[AGRUP. VALOR. PTO.]:[AGRUP. VALOR. PTO.]]=$B21,IF(DATOS_[[Check Periodo Ref.]:[Check Periodo Ref.]]="Dentro",DATOS_[Conc.Sal.04]))))),
0)</f>
        <v>0</v>
      </c>
      <c r="J23" s="111">
        <f t="array" ref="J23">IFERROR(
MEDIAN((IF(DATOS_[[Sexo]:[Sexo]]=$B23,IF(DATOS_[[AGRUP. VALOR. PTO.]:[AGRUP. VALOR. PTO.]]=$B21,IF(DATOS_[[Check Periodo Ref.]:[Check Periodo Ref.]]="Dentro",DATOS_[Conc.Sal.05]))))),
0)</f>
        <v>0</v>
      </c>
      <c r="K23" s="111">
        <f t="array" ref="K23">IFERROR(
MEDIAN((IF(DATOS_[[Sexo]:[Sexo]]=$B23,IF(DATOS_[[AGRUP. VALOR. PTO.]:[AGRUP. VALOR. PTO.]]=$B21,IF(DATOS_[[Check Periodo Ref.]:[Check Periodo Ref.]]="Dentro",DATOS_[Conc.Sal.06]))))),
0)</f>
        <v>0</v>
      </c>
      <c r="L23" s="111">
        <f t="array" ref="L23">IFERROR(
MEDIAN((IF(DATOS_[[Sexo]:[Sexo]]=$B23,IF(DATOS_[[AGRUP. VALOR. PTO.]:[AGRUP. VALOR. PTO.]]=$B21,IF(DATOS_[[Check Periodo Ref.]:[Check Periodo Ref.]]="Dentro",DATOS_[Conc.Sal.07]))))),
0)</f>
        <v>80</v>
      </c>
      <c r="M23" s="111">
        <f t="array" ref="M23">IFERROR(
MEDIAN((IF(DATOS_[[Sexo]:[Sexo]]=$B23,IF(DATOS_[[AGRUP. VALOR. PTO.]:[AGRUP. VALOR. PTO.]]=$B21,IF(DATOS_[[Check Periodo Ref.]:[Check Periodo Ref.]]="Dentro",DATOS_[Conc.Sal.08]))))),
0)</f>
        <v>0</v>
      </c>
      <c r="N23" s="111">
        <f t="array" ref="N23">IFERROR(
MEDIAN((IF(DATOS_[[Sexo]:[Sexo]]=$B23,IF(DATOS_[[AGRUP. VALOR. PTO.]:[AGRUP. VALOR. PTO.]]=$B21,IF(DATOS_[[Check Periodo Ref.]:[Check Periodo Ref.]]="Dentro",DATOS_[Conc.Sal.09]))))),
0)</f>
        <v>0</v>
      </c>
      <c r="O23" s="111">
        <f t="array" ref="O23">IFERROR(
MEDIAN((IF(DATOS_[[Sexo]:[Sexo]]=$B23,IF(DATOS_[[AGRUP. VALOR. PTO.]:[AGRUP. VALOR. PTO.]]=$B21,IF(DATOS_[[Check Periodo Ref.]:[Check Periodo Ref.]]="Dentro",DATOS_[Conc.Sal.10]))))),
0)</f>
        <v>0</v>
      </c>
      <c r="P23" s="111">
        <f t="array" ref="P23">IFERROR(
MEDIAN((IF(DATOS_[[Sexo]:[Sexo]]=$B23,IF(DATOS_[[AGRUP. VALOR. PTO.]:[AGRUP. VALOR. PTO.]]=$B21,IF(DATOS_[[Check Periodo Ref.]:[Check Periodo Ref.]]="Dentro",DATOS_[Conc.Sal.11]))))),
0)</f>
        <v>0</v>
      </c>
      <c r="Q23" s="111">
        <f t="array" ref="Q23">IFERROR(
MEDIAN((IF(DATOS_[[Sexo]:[Sexo]]=$B23,IF(DATOS_[[AGRUP. VALOR. PTO.]:[AGRUP. VALOR. PTO.]]=$B21,IF(DATOS_[[Check Periodo Ref.]:[Check Periodo Ref.]]="Dentro",DATOS_[Conc.Sal.12]))))),
0)</f>
        <v>0</v>
      </c>
      <c r="R23" s="111">
        <f t="array" ref="R23">IFERROR(
MEDIAN((IF(DATOS_[[Sexo]:[Sexo]]=$B23,IF(DATOS_[[AGRUP. VALOR. PTO.]:[AGRUP. VALOR. PTO.]]=$B21,IF(DATOS_[[Check Periodo Ref.]:[Check Periodo Ref.]]="Dentro",DATOS_[Conc.Sal.13]))))),
0)</f>
        <v>0</v>
      </c>
      <c r="S23" s="111">
        <f t="array" ref="S23">IFERROR(
MEDIAN((IF(DATOS_[[Sexo]:[Sexo]]=$B23,IF(DATOS_[[AGRUP. VALOR. PTO.]:[AGRUP. VALOR. PTO.]]=$B21,IF(DATOS_[[Check Periodo Ref.]:[Check Periodo Ref.]]="Dentro",DATOS_[Conc.Sal.14]))))),
0)</f>
        <v>0</v>
      </c>
      <c r="T23" s="111">
        <f t="array" ref="T23">IFERROR(
MEDIAN((IF(DATOS_[[Sexo]:[Sexo]]=$B23,IF(DATOS_[[AGRUP. VALOR. PTO.]:[AGRUP. VALOR. PTO.]]=$B21,IF(DATOS_[[Check Periodo Ref.]:[Check Periodo Ref.]]="Dentro",DATOS_[Conc.Sal.15]))))),
0)</f>
        <v>0</v>
      </c>
      <c r="U23" s="111">
        <f t="array" ref="U23">IFERROR(
MEDIAN((IF(DATOS_[[Sexo]:[Sexo]]=$B23,IF(DATOS_[[AGRUP. VALOR. PTO.]:[AGRUP. VALOR. PTO.]]=$B21,IF(DATOS_[[Check Periodo Ref.]:[Check Periodo Ref.]]="Dentro",DATOS_[Conc.Sal.16]))))),
0)</f>
        <v>0</v>
      </c>
      <c r="V23" s="111">
        <f t="array" ref="V23">IFERROR(
MEDIAN((IF(DATOS_[[Sexo]:[Sexo]]=$B23,IF(DATOS_[[AGRUP. VALOR. PTO.]:[AGRUP. VALOR. PTO.]]=$B21,IF(DATOS_[[Check Periodo Ref.]:[Check Periodo Ref.]]="Dentro",DATOS_[Conc.Sal.17]))))),
0)</f>
        <v>0</v>
      </c>
      <c r="W23" s="111">
        <f t="array" ref="W23">IFERROR(
MEDIAN((IF(DATOS_[[Sexo]:[Sexo]]=$B23,IF(DATOS_[[AGRUP. VALOR. PTO.]:[AGRUP. VALOR. PTO.]]=$B21,IF(DATOS_[[Check Periodo Ref.]:[Check Periodo Ref.]]="Dentro",DATOS_[Conc.Sal.18]))))),
0)</f>
        <v>0</v>
      </c>
      <c r="X23" s="111">
        <f t="array" ref="X23">IFERROR(
MEDIAN((IF(DATOS_[[Sexo]:[Sexo]]=$B23,IF(DATOS_[[AGRUP. VALOR. PTO.]:[AGRUP. VALOR. PTO.]]=$B21,IF(DATOS_[[Check Periodo Ref.]:[Check Periodo Ref.]]="Dentro",DATOS_[Conc.Sal.19]))))),
0)</f>
        <v>0</v>
      </c>
      <c r="Y23" s="111">
        <f t="array" ref="Y23">IFERROR(
MEDIAN((IF(DATOS_[[Sexo]:[Sexo]]=$B23,IF(DATOS_[[AGRUP. VALOR. PTO.]:[AGRUP. VALOR. PTO.]]=$B21,IF(DATOS_[[Check Periodo Ref.]:[Check Periodo Ref.]]="Dentro",DATOS_[Conc.Sal.20]))))),
0)</f>
        <v>0</v>
      </c>
      <c r="Z23" s="111">
        <f t="array" ref="Z23">IFERROR(
MEDIAN((IF(DATOS_[[Sexo]:[Sexo]]=$B23,IF(DATOS_[[AGRUP. VALOR. PTO.]:[AGRUP. VALOR. PTO.]]=$B21,IF(DATOS_[[Check Periodo Ref.]:[Check Periodo Ref.]]="Dentro",DATOS_[Conc.Sal.21]))))),
0)</f>
        <v>0</v>
      </c>
      <c r="AA23" s="111">
        <f t="array" ref="AA23">IFERROR(
MEDIAN((IF(DATOS_[[Sexo]:[Sexo]]=$B23,IF(DATOS_[[AGRUP. VALOR. PTO.]:[AGRUP. VALOR. PTO.]]=$B21,IF(DATOS_[[Check Periodo Ref.]:[Check Periodo Ref.]]="Dentro",DATOS_[Conc.Sal.22]))))),
0)</f>
        <v>0</v>
      </c>
      <c r="AB23" s="111">
        <f t="array" ref="AB23">IFERROR(
MEDIAN((IF(DATOS_[[Sexo]:[Sexo]]=$B23,IF(DATOS_[[AGRUP. VALOR. PTO.]:[AGRUP. VALOR. PTO.]]=$B21,IF(DATOS_[[Check Periodo Ref.]:[Check Periodo Ref.]]="Dentro",DATOS_[Conc.Sal.23]))))),
0)</f>
        <v>0</v>
      </c>
      <c r="AC23" s="111">
        <f t="array" ref="AC23">IFERROR(
MEDIAN((IF(DATOS_[[Sexo]:[Sexo]]=$B23,IF(DATOS_[[AGRUP. VALOR. PTO.]:[AGRUP. VALOR. PTO.]]=$B21,IF(DATOS_[[Check Periodo Ref.]:[Check Periodo Ref.]]="Dentro",DATOS_[Conc.Sal.24]))))),
0)</f>
        <v>0</v>
      </c>
      <c r="AD23" s="111">
        <f t="array" ref="AD23">IFERROR(
MEDIAN((IF(DATOS_[[Sexo]:[Sexo]]=$B23,IF(DATOS_[[AGRUP. VALOR. PTO.]:[AGRUP. VALOR. PTO.]]=$B21,IF(DATOS_[[Check Periodo Ref.]:[Check Periodo Ref.]]="Dentro",DATOS_[Conc.Sal.25]))))),
0)</f>
        <v>0</v>
      </c>
      <c r="AE23" s="111">
        <f t="array" ref="AE23">IFERROR(
MEDIAN((IF(DATOS_[[Sexo]:[Sexo]]=$B23,IF(DATOS_[[AGRUP. VALOR. PTO.]:[AGRUP. VALOR. PTO.]]=$B21,IF(DATOS_[[Check Periodo Ref.]:[Check Periodo Ref.]]="Dentro",DATOS_[Conc.Sal.26]))))),
0)</f>
        <v>0</v>
      </c>
      <c r="AF23" s="111">
        <f t="array" ref="AF23">IFERROR(
MEDIAN((IF(DATOS_[[Sexo]:[Sexo]]=$B23,IF(DATOS_[[AGRUP. VALOR. PTO.]:[AGRUP. VALOR. PTO.]]=$B21,IF(DATOS_[[Check Periodo Ref.]:[Check Periodo Ref.]]="Dentro",DATOS_[Conc.Sal.27]))))),
0)</f>
        <v>0</v>
      </c>
      <c r="AG23" s="111">
        <f t="array" ref="AG23">IFERROR(
MEDIAN((IF(DATOS_[[Sexo]:[Sexo]]=$B23,IF(DATOS_[[AGRUP. VALOR. PTO.]:[AGRUP. VALOR. PTO.]]=$B21,IF(DATOS_[[Check Periodo Ref.]:[Check Periodo Ref.]]="Dentro",DATOS_[Conc.Sal.28]))))),
0)</f>
        <v>0</v>
      </c>
      <c r="AH23" s="111">
        <f t="array" ref="AH23">IFERROR(
MEDIAN((IF(DATOS_[[Sexo]:[Sexo]]=$B23,IF(DATOS_[[AGRUP. VALOR. PTO.]:[AGRUP. VALOR. PTO.]]=$B21,IF(DATOS_[[Check Periodo Ref.]:[Check Periodo Ref.]]="Dentro",DATOS_[Conc.Sal.29]))))),
0)</f>
        <v>0</v>
      </c>
      <c r="AI23" s="111">
        <f t="array" ref="AI23">IFERROR(
MEDIAN((IF(DATOS_[[Sexo]:[Sexo]]=$B23,IF(DATOS_[[AGRUP. VALOR. PTO.]:[AGRUP. VALOR. PTO.]]=$B21,IF(DATOS_[[Check Periodo Ref.]:[Check Periodo Ref.]]="Dentro",DATOS_[Conc.Sal.30]))))),
0)</f>
        <v>0</v>
      </c>
      <c r="AJ23" s="112">
        <f t="array" ref="AJ23">IFERROR(
MEDIAN(IF(DATOS_[Sexo]=$B23,IF(DATOS_[AGRUP. VALOR. PTO.]=$B21,IF(DATOS_[Check Periodo Ref.]="Dentro",DATOS_[Tot COMPL.SAL Ef],FALSE)))),
0)</f>
        <v>2825.4899</v>
      </c>
      <c r="AK23" s="113">
        <f t="array" ref="AK23">IFERROR(
MEDIAN(IF(DATOS_[Sexo]=$B23,IF(DATOS_[AGRUP. VALOR. PTO.]=$B21,IF(DATOS_[Check Periodo Ref.]="Dentro",DATOS_[TOTAL SALARIO Ef],FALSE)))),
0)</f>
        <v>11714.653200000001</v>
      </c>
      <c r="AL23" s="114">
        <f t="array" ref="AL23">IFERROR(
MEDIAN((IF(DATOS_[[Sexo]:[Sexo]]=$B23,IF(DATOS_[[AGRUP. VALOR. PTO.]:[AGRUP. VALOR. PTO.]]=$B21,IF(DATOS_[[Check Periodo Ref.]:[Check Periodo Ref.]]="Dentro",DATOS_[C.Extra.01]))))),
0)</f>
        <v>0</v>
      </c>
      <c r="AM23" s="114">
        <f t="array" ref="AM23">IFERROR(
MEDIAN((IF(DATOS_[[Sexo]:[Sexo]]=$B23,IF(DATOS_[[AGRUP. VALOR. PTO.]:[AGRUP. VALOR. PTO.]]=$B21,IF(DATOS_[[Check Periodo Ref.]:[Check Periodo Ref.]]="Dentro",DATOS_[C.Extra.02]))))),
0)</f>
        <v>0</v>
      </c>
      <c r="AN23" s="114">
        <f t="array" ref="AN23">IFERROR(
MEDIAN((IF(DATOS_[[Sexo]:[Sexo]]=$B23,IF(DATOS_[[AGRUP. VALOR. PTO.]:[AGRUP. VALOR. PTO.]]=$B21,IF(DATOS_[[Check Periodo Ref.]:[Check Periodo Ref.]]="Dentro",DATOS_[C.Extra.03]))))),
0)</f>
        <v>0</v>
      </c>
      <c r="AO23" s="114">
        <f t="array" ref="AO23">IFERROR(
MEDIAN((IF(DATOS_[[Sexo]:[Sexo]]=$B23,IF(DATOS_[[AGRUP. VALOR. PTO.]:[AGRUP. VALOR. PTO.]]=$B21,IF(DATOS_[[Check Periodo Ref.]:[Check Periodo Ref.]]="Dentro",DATOS_[C.Extra.04]))))),
0)</f>
        <v>0</v>
      </c>
      <c r="AP23" s="114">
        <f t="array" ref="AP23">IFERROR(
MEDIAN((IF(DATOS_[[Sexo]:[Sexo]]=$B23,IF(DATOS_[[AGRUP. VALOR. PTO.]:[AGRUP. VALOR. PTO.]]=$B21,IF(DATOS_[[Check Periodo Ref.]:[Check Periodo Ref.]]="Dentro",DATOS_[C.Extra.05]))))),
0)</f>
        <v>0</v>
      </c>
      <c r="AQ23" s="115">
        <f t="array" ref="AQ23">IFERROR(
MEDIAN(IF(DATOS_[Sexo]=$B23,IF(DATOS_[AGRUP. VALOR. PTO.]=$B21,IF(DATOS_[Check Periodo Ref.]="Dentro",DATOS_[Tot Extrasalarial Ef],FALSE)))),
0)</f>
        <v>0</v>
      </c>
      <c r="AR23" s="116">
        <f t="array" ref="AR23">IFERROR(
MEDIAN(IF(DATOS_[Sexo]=$B23,IF(DATOS_[AGRUP. VALOR. PTO.]=$B21,IF(DATOS_[Check Periodo Ref.]="Dentro",DATOS_[TOTAL Retrib Ef],FALSE)))),
0)</f>
        <v>11714.653200000001</v>
      </c>
    </row>
    <row r="24" spans="1:44" ht="17.25" thickBot="1" x14ac:dyDescent="0.35">
      <c r="A24" s="42" t="str">
        <f t="shared" ref="A24" si="15">+A25</f>
        <v/>
      </c>
      <c r="B24" s="40" t="s">
        <v>309</v>
      </c>
      <c r="C24" s="109"/>
      <c r="D24" s="41"/>
      <c r="E24" s="119">
        <f t="shared" ref="E24:AR24" si="16">IFERROR((E25-E26)/E25,"")</f>
        <v>0</v>
      </c>
      <c r="F24" s="123">
        <f t="shared" si="16"/>
        <v>0.62994906548372398</v>
      </c>
      <c r="G24" s="123">
        <f t="shared" si="16"/>
        <v>4.3457048402268425E-2</v>
      </c>
      <c r="H24" s="123" t="str">
        <f t="shared" si="16"/>
        <v/>
      </c>
      <c r="I24" s="123" t="str">
        <f t="shared" si="16"/>
        <v/>
      </c>
      <c r="J24" s="123" t="str">
        <f t="shared" si="16"/>
        <v/>
      </c>
      <c r="K24" s="123" t="str">
        <f t="shared" si="16"/>
        <v/>
      </c>
      <c r="L24" s="123">
        <f t="shared" si="16"/>
        <v>0</v>
      </c>
      <c r="M24" s="123">
        <f t="shared" si="16"/>
        <v>1</v>
      </c>
      <c r="N24" s="123" t="str">
        <f t="shared" si="16"/>
        <v/>
      </c>
      <c r="O24" s="123" t="str">
        <f t="shared" si="16"/>
        <v/>
      </c>
      <c r="P24" s="123" t="str">
        <f t="shared" si="16"/>
        <v/>
      </c>
      <c r="Q24" s="123" t="str">
        <f t="shared" si="16"/>
        <v/>
      </c>
      <c r="R24" s="123" t="str">
        <f t="shared" si="16"/>
        <v/>
      </c>
      <c r="S24" s="123" t="str">
        <f t="shared" si="16"/>
        <v/>
      </c>
      <c r="T24" s="123" t="str">
        <f t="shared" si="16"/>
        <v/>
      </c>
      <c r="U24" s="123" t="str">
        <f t="shared" si="16"/>
        <v/>
      </c>
      <c r="V24" s="122" t="str">
        <f t="shared" si="16"/>
        <v/>
      </c>
      <c r="W24" s="122" t="str">
        <f t="shared" si="16"/>
        <v/>
      </c>
      <c r="X24" s="122" t="str">
        <f t="shared" si="16"/>
        <v/>
      </c>
      <c r="Y24" s="122" t="str">
        <f t="shared" si="16"/>
        <v/>
      </c>
      <c r="Z24" s="122" t="str">
        <f t="shared" si="16"/>
        <v/>
      </c>
      <c r="AA24" s="122" t="str">
        <f t="shared" si="16"/>
        <v/>
      </c>
      <c r="AB24" s="122" t="str">
        <f t="shared" si="16"/>
        <v/>
      </c>
      <c r="AC24" s="122" t="str">
        <f t="shared" si="16"/>
        <v/>
      </c>
      <c r="AD24" s="122" t="str">
        <f t="shared" si="16"/>
        <v/>
      </c>
      <c r="AE24" s="122" t="str">
        <f t="shared" si="16"/>
        <v/>
      </c>
      <c r="AF24" s="122" t="str">
        <f t="shared" si="16"/>
        <v/>
      </c>
      <c r="AG24" s="122" t="str">
        <f t="shared" si="16"/>
        <v/>
      </c>
      <c r="AH24" s="122" t="str">
        <f t="shared" si="16"/>
        <v/>
      </c>
      <c r="AI24" s="122" t="str">
        <f t="shared" si="16"/>
        <v/>
      </c>
      <c r="AJ24" s="124">
        <f t="shared" si="16"/>
        <v>0.4667456129586452</v>
      </c>
      <c r="AK24" s="128">
        <f t="shared" si="16"/>
        <v>6.2220342713368113E-2</v>
      </c>
      <c r="AL24" s="125" t="str">
        <f t="shared" si="16"/>
        <v/>
      </c>
      <c r="AM24" s="125" t="str">
        <f t="shared" si="16"/>
        <v/>
      </c>
      <c r="AN24" s="125" t="str">
        <f t="shared" si="16"/>
        <v/>
      </c>
      <c r="AO24" s="125" t="str">
        <f t="shared" si="16"/>
        <v/>
      </c>
      <c r="AP24" s="125" t="str">
        <f t="shared" si="16"/>
        <v/>
      </c>
      <c r="AQ24" s="126" t="str">
        <f t="shared" si="16"/>
        <v/>
      </c>
      <c r="AR24" s="127">
        <f t="shared" si="16"/>
        <v>7.4527654978316135E-2</v>
      </c>
    </row>
    <row r="25" spans="1:44" x14ac:dyDescent="0.3">
      <c r="A25" s="42" t="str">
        <f t="shared" ref="A25" si="17">+IF(C25+C26=0,"[ocultar]","")</f>
        <v/>
      </c>
      <c r="B25" s="34" t="s">
        <v>162</v>
      </c>
      <c r="C25" s="33">
        <f t="array" ref="C25">SUM(IF($B25=DATOS_[Sexo],
IF($B24=DATOS_[AGRUP. VALOR. PTO.],
IF("Dentro"=DATOS_[Check Periodo Ref.],
1/(COUNTIFS(DATOS_[Sexo],$B25,DATOS_[AGRUP. VALOR. PTO.],$B24,DATOS_[Check Periodo Ref.],"Dentro",DATOS_[id],DATOS_[id]))))))</f>
        <v>46</v>
      </c>
      <c r="D25" s="35">
        <f>COUNTIFS(DATOS_[AGRUP. VALOR. PTO.],$B24,DATOS_[Sexo],$B25,DATOS_[Check Periodo Ref.],"Dentro")</f>
        <v>47</v>
      </c>
      <c r="E25" s="110">
        <f t="array" ref="E25">IFERROR(
MEDIAN(IF(DATOS_[Sexo]=$B25,IF(DATOS_[AGRUP. VALOR. PTO.]=$B24,IF(DATOS_[Check Periodo Ref.]="Dentro",DATOS_[SALARIO BASE Ef],FALSE)))),
0)</f>
        <v>14036.34</v>
      </c>
      <c r="F25" s="111">
        <f t="array" ref="F25">IFERROR(
MEDIAN((IF(DATOS_[[Sexo]:[Sexo]]=$B25,IF(DATOS_[[AGRUP. VALOR. PTO.]:[AGRUP. VALOR. PTO.]]=$B24,IF(DATOS_[[Check Periodo Ref.]:[Check Periodo Ref.]]="Dentro",DATOS_[Conc.Sal.01]))))),
0)</f>
        <v>1302.0639999999985</v>
      </c>
      <c r="G25" s="111">
        <f t="array" ref="G25">IFERROR(
MEDIAN((IF(DATOS_[[Sexo]:[Sexo]]=$B25,IF(DATOS_[[AGRUP. VALOR. PTO.]:[AGRUP. VALOR. PTO.]]=$B24,IF(DATOS_[[Check Periodo Ref.]:[Check Periodo Ref.]]="Dentro",DATOS_[Conc.Sal.02]))))),
0)</f>
        <v>1229.7936</v>
      </c>
      <c r="H25" s="111">
        <f t="array" ref="H25">IFERROR(
MEDIAN((IF(DATOS_[[Sexo]:[Sexo]]=$B25,IF(DATOS_[[AGRUP. VALOR. PTO.]:[AGRUP. VALOR. PTO.]]=$B24,IF(DATOS_[[Check Periodo Ref.]:[Check Periodo Ref.]]="Dentro",DATOS_[Conc.Sal.03]))))),
0)</f>
        <v>0</v>
      </c>
      <c r="I25" s="111">
        <f t="array" ref="I25">IFERROR(
MEDIAN((IF(DATOS_[[Sexo]:[Sexo]]=$B25,IF(DATOS_[[AGRUP. VALOR. PTO.]:[AGRUP. VALOR. PTO.]]=$B24,IF(DATOS_[[Check Periodo Ref.]:[Check Periodo Ref.]]="Dentro",DATOS_[Conc.Sal.04]))))),
0)</f>
        <v>0</v>
      </c>
      <c r="J25" s="111">
        <f t="array" ref="J25">IFERROR(
MEDIAN((IF(DATOS_[[Sexo]:[Sexo]]=$B25,IF(DATOS_[[AGRUP. VALOR. PTO.]:[AGRUP. VALOR. PTO.]]=$B24,IF(DATOS_[[Check Periodo Ref.]:[Check Periodo Ref.]]="Dentro",DATOS_[Conc.Sal.05]))))),
0)</f>
        <v>0</v>
      </c>
      <c r="K25" s="111">
        <f t="array" ref="K25">IFERROR(
MEDIAN((IF(DATOS_[[Sexo]:[Sexo]]=$B25,IF(DATOS_[[AGRUP. VALOR. PTO.]:[AGRUP. VALOR. PTO.]]=$B24,IF(DATOS_[[Check Periodo Ref.]:[Check Periodo Ref.]]="Dentro",DATOS_[Conc.Sal.06]))))),
0)</f>
        <v>0</v>
      </c>
      <c r="L25" s="111">
        <f t="array" ref="L25">IFERROR(
MEDIAN((IF(DATOS_[[Sexo]:[Sexo]]=$B25,IF(DATOS_[[AGRUP. VALOR. PTO.]:[AGRUP. VALOR. PTO.]]=$B24,IF(DATOS_[[Check Periodo Ref.]:[Check Periodo Ref.]]="Dentro",DATOS_[Conc.Sal.07]))))),
0)</f>
        <v>80</v>
      </c>
      <c r="M25" s="111">
        <f t="array" ref="M25">IFERROR(
MEDIAN((IF(DATOS_[[Sexo]:[Sexo]]=$B25,IF(DATOS_[[AGRUP. VALOR. PTO.]:[AGRUP. VALOR. PTO.]]=$B24,IF(DATOS_[[Check Periodo Ref.]:[Check Periodo Ref.]]="Dentro",DATOS_[Conc.Sal.08]))))),
0)</f>
        <v>3074.4</v>
      </c>
      <c r="N25" s="111">
        <f t="array" ref="N25">IFERROR(
MEDIAN((IF(DATOS_[[Sexo]:[Sexo]]=$B25,IF(DATOS_[[AGRUP. VALOR. PTO.]:[AGRUP. VALOR. PTO.]]=$B24,IF(DATOS_[[Check Periodo Ref.]:[Check Periodo Ref.]]="Dentro",DATOS_[Conc.Sal.09]))))),
0)</f>
        <v>0</v>
      </c>
      <c r="O25" s="111">
        <f t="array" ref="O25">IFERROR(
MEDIAN((IF(DATOS_[[Sexo]:[Sexo]]=$B25,IF(DATOS_[[AGRUP. VALOR. PTO.]:[AGRUP. VALOR. PTO.]]=$B24,IF(DATOS_[[Check Periodo Ref.]:[Check Periodo Ref.]]="Dentro",DATOS_[Conc.Sal.10]))))),
0)</f>
        <v>0</v>
      </c>
      <c r="P25" s="111">
        <f t="array" ref="P25">IFERROR(
MEDIAN((IF(DATOS_[[Sexo]:[Sexo]]=$B25,IF(DATOS_[[AGRUP. VALOR. PTO.]:[AGRUP. VALOR. PTO.]]=$B24,IF(DATOS_[[Check Periodo Ref.]:[Check Periodo Ref.]]="Dentro",DATOS_[Conc.Sal.11]))))),
0)</f>
        <v>0</v>
      </c>
      <c r="Q25" s="111">
        <f t="array" ref="Q25">IFERROR(
MEDIAN((IF(DATOS_[[Sexo]:[Sexo]]=$B25,IF(DATOS_[[AGRUP. VALOR. PTO.]:[AGRUP. VALOR. PTO.]]=$B24,IF(DATOS_[[Check Periodo Ref.]:[Check Periodo Ref.]]="Dentro",DATOS_[Conc.Sal.12]))))),
0)</f>
        <v>0</v>
      </c>
      <c r="R25" s="111">
        <f t="array" ref="R25">IFERROR(
MEDIAN((IF(DATOS_[[Sexo]:[Sexo]]=$B25,IF(DATOS_[[AGRUP. VALOR. PTO.]:[AGRUP. VALOR. PTO.]]=$B24,IF(DATOS_[[Check Periodo Ref.]:[Check Periodo Ref.]]="Dentro",DATOS_[Conc.Sal.13]))))),
0)</f>
        <v>0</v>
      </c>
      <c r="S25" s="111">
        <f t="array" ref="S25">IFERROR(
MEDIAN((IF(DATOS_[[Sexo]:[Sexo]]=$B25,IF(DATOS_[[AGRUP. VALOR. PTO.]:[AGRUP. VALOR. PTO.]]=$B24,IF(DATOS_[[Check Periodo Ref.]:[Check Periodo Ref.]]="Dentro",DATOS_[Conc.Sal.14]))))),
0)</f>
        <v>0</v>
      </c>
      <c r="T25" s="111">
        <f t="array" ref="T25">IFERROR(
MEDIAN((IF(DATOS_[[Sexo]:[Sexo]]=$B25,IF(DATOS_[[AGRUP. VALOR. PTO.]:[AGRUP. VALOR. PTO.]]=$B24,IF(DATOS_[[Check Periodo Ref.]:[Check Periodo Ref.]]="Dentro",DATOS_[Conc.Sal.15]))))),
0)</f>
        <v>0</v>
      </c>
      <c r="U25" s="111">
        <f t="array" ref="U25">IFERROR(
MEDIAN((IF(DATOS_[[Sexo]:[Sexo]]=$B25,IF(DATOS_[[AGRUP. VALOR. PTO.]:[AGRUP. VALOR. PTO.]]=$B24,IF(DATOS_[[Check Periodo Ref.]:[Check Periodo Ref.]]="Dentro",DATOS_[Conc.Sal.16]))))),
0)</f>
        <v>0</v>
      </c>
      <c r="V25" s="111">
        <f t="array" ref="V25">IFERROR(
MEDIAN((IF(DATOS_[[Sexo]:[Sexo]]=$B25,IF(DATOS_[[AGRUP. VALOR. PTO.]:[AGRUP. VALOR. PTO.]]=$B24,IF(DATOS_[[Check Periodo Ref.]:[Check Periodo Ref.]]="Dentro",DATOS_[Conc.Sal.17]))))),
0)</f>
        <v>0</v>
      </c>
      <c r="W25" s="111">
        <f t="array" ref="W25">IFERROR(
MEDIAN((IF(DATOS_[[Sexo]:[Sexo]]=$B25,IF(DATOS_[[AGRUP. VALOR. PTO.]:[AGRUP. VALOR. PTO.]]=$B24,IF(DATOS_[[Check Periodo Ref.]:[Check Periodo Ref.]]="Dentro",DATOS_[Conc.Sal.18]))))),
0)</f>
        <v>0</v>
      </c>
      <c r="X25" s="111">
        <f t="array" ref="X25">IFERROR(
MEDIAN((IF(DATOS_[[Sexo]:[Sexo]]=$B25,IF(DATOS_[[AGRUP. VALOR. PTO.]:[AGRUP. VALOR. PTO.]]=$B24,IF(DATOS_[[Check Periodo Ref.]:[Check Periodo Ref.]]="Dentro",DATOS_[Conc.Sal.19]))))),
0)</f>
        <v>0</v>
      </c>
      <c r="Y25" s="111">
        <f t="array" ref="Y25">IFERROR(
MEDIAN((IF(DATOS_[[Sexo]:[Sexo]]=$B25,IF(DATOS_[[AGRUP. VALOR. PTO.]:[AGRUP. VALOR. PTO.]]=$B24,IF(DATOS_[[Check Periodo Ref.]:[Check Periodo Ref.]]="Dentro",DATOS_[Conc.Sal.20]))))),
0)</f>
        <v>0</v>
      </c>
      <c r="Z25" s="111">
        <f t="array" ref="Z25">IFERROR(
MEDIAN((IF(DATOS_[[Sexo]:[Sexo]]=$B25,IF(DATOS_[[AGRUP. VALOR. PTO.]:[AGRUP. VALOR. PTO.]]=$B24,IF(DATOS_[[Check Periodo Ref.]:[Check Periodo Ref.]]="Dentro",DATOS_[Conc.Sal.21]))))),
0)</f>
        <v>0</v>
      </c>
      <c r="AA25" s="111">
        <f t="array" ref="AA25">IFERROR(
MEDIAN((IF(DATOS_[[Sexo]:[Sexo]]=$B25,IF(DATOS_[[AGRUP. VALOR. PTO.]:[AGRUP. VALOR. PTO.]]=$B24,IF(DATOS_[[Check Periodo Ref.]:[Check Periodo Ref.]]="Dentro",DATOS_[Conc.Sal.22]))))),
0)</f>
        <v>0</v>
      </c>
      <c r="AB25" s="111">
        <f t="array" ref="AB25">IFERROR(
MEDIAN((IF(DATOS_[[Sexo]:[Sexo]]=$B25,IF(DATOS_[[AGRUP. VALOR. PTO.]:[AGRUP. VALOR. PTO.]]=$B24,IF(DATOS_[[Check Periodo Ref.]:[Check Periodo Ref.]]="Dentro",DATOS_[Conc.Sal.23]))))),
0)</f>
        <v>0</v>
      </c>
      <c r="AC25" s="111">
        <f t="array" ref="AC25">IFERROR(
MEDIAN((IF(DATOS_[[Sexo]:[Sexo]]=$B25,IF(DATOS_[[AGRUP. VALOR. PTO.]:[AGRUP. VALOR. PTO.]]=$B24,IF(DATOS_[[Check Periodo Ref.]:[Check Periodo Ref.]]="Dentro",DATOS_[Conc.Sal.24]))))),
0)</f>
        <v>0</v>
      </c>
      <c r="AD25" s="111">
        <f t="array" ref="AD25">IFERROR(
MEDIAN((IF(DATOS_[[Sexo]:[Sexo]]=$B25,IF(DATOS_[[AGRUP. VALOR. PTO.]:[AGRUP. VALOR. PTO.]]=$B24,IF(DATOS_[[Check Periodo Ref.]:[Check Periodo Ref.]]="Dentro",DATOS_[Conc.Sal.25]))))),
0)</f>
        <v>0</v>
      </c>
      <c r="AE25" s="111">
        <f t="array" ref="AE25">IFERROR(
MEDIAN((IF(DATOS_[[Sexo]:[Sexo]]=$B25,IF(DATOS_[[AGRUP. VALOR. PTO.]:[AGRUP. VALOR. PTO.]]=$B24,IF(DATOS_[[Check Periodo Ref.]:[Check Periodo Ref.]]="Dentro",DATOS_[Conc.Sal.26]))))),
0)</f>
        <v>0</v>
      </c>
      <c r="AF25" s="111">
        <f t="array" ref="AF25">IFERROR(
MEDIAN((IF(DATOS_[[Sexo]:[Sexo]]=$B25,IF(DATOS_[[AGRUP. VALOR. PTO.]:[AGRUP. VALOR. PTO.]]=$B24,IF(DATOS_[[Check Periodo Ref.]:[Check Periodo Ref.]]="Dentro",DATOS_[Conc.Sal.27]))))),
0)</f>
        <v>0</v>
      </c>
      <c r="AG25" s="111">
        <f t="array" ref="AG25">IFERROR(
MEDIAN((IF(DATOS_[[Sexo]:[Sexo]]=$B25,IF(DATOS_[[AGRUP. VALOR. PTO.]:[AGRUP. VALOR. PTO.]]=$B24,IF(DATOS_[[Check Periodo Ref.]:[Check Periodo Ref.]]="Dentro",DATOS_[Conc.Sal.28]))))),
0)</f>
        <v>0</v>
      </c>
      <c r="AH25" s="111">
        <f t="array" ref="AH25">IFERROR(
MEDIAN((IF(DATOS_[[Sexo]:[Sexo]]=$B25,IF(DATOS_[[AGRUP. VALOR. PTO.]:[AGRUP. VALOR. PTO.]]=$B24,IF(DATOS_[[Check Periodo Ref.]:[Check Periodo Ref.]]="Dentro",DATOS_[Conc.Sal.29]))))),
0)</f>
        <v>0</v>
      </c>
      <c r="AI25" s="111">
        <f t="array" ref="AI25">IFERROR(
MEDIAN((IF(DATOS_[[Sexo]:[Sexo]]=$B25,IF(DATOS_[[AGRUP. VALOR. PTO.]:[AGRUP. VALOR. PTO.]]=$B24,IF(DATOS_[[Check Periodo Ref.]:[Check Periodo Ref.]]="Dentro",DATOS_[Conc.Sal.30]))))),
0)</f>
        <v>0</v>
      </c>
      <c r="AJ25" s="112">
        <f t="array" ref="AJ25">IFERROR(
MEDIAN(IF(DATOS_[Sexo]=$B25,IF(DATOS_[AGRUP. VALOR. PTO.]=$B24,IF(DATOS_[Check Periodo Ref.]="Dentro",DATOS_[Tot COMPL.SAL Ef],FALSE)))),
0)</f>
        <v>4889.3999999999996</v>
      </c>
      <c r="AK25" s="113">
        <f t="array" ref="AK25">IFERROR(
MEDIAN(IF(DATOS_[Sexo]=$B25,IF(DATOS_[AGRUP. VALOR. PTO.]=$B24,IF(DATOS_[Check Periodo Ref.]="Dentro",DATOS_[TOTAL SALARIO Ef],FALSE)))),
0)</f>
        <v>18047.268</v>
      </c>
      <c r="AL25" s="114">
        <f t="array" ref="AL25">IFERROR(
MEDIAN((IF(DATOS_[[Sexo]:[Sexo]]=$B25,IF(DATOS_[[AGRUP. VALOR. PTO.]:[AGRUP. VALOR. PTO.]]=$B24,IF(DATOS_[[Check Periodo Ref.]:[Check Periodo Ref.]]="Dentro",DATOS_[C.Extra.01]))))),
0)</f>
        <v>0</v>
      </c>
      <c r="AM25" s="114">
        <f t="array" ref="AM25">IFERROR(
MEDIAN((IF(DATOS_[[Sexo]:[Sexo]]=$B25,IF(DATOS_[[AGRUP. VALOR. PTO.]:[AGRUP. VALOR. PTO.]]=$B24,IF(DATOS_[[Check Periodo Ref.]:[Check Periodo Ref.]]="Dentro",DATOS_[C.Extra.02]))))),
0)</f>
        <v>0</v>
      </c>
      <c r="AN25" s="114">
        <f t="array" ref="AN25">IFERROR(
MEDIAN((IF(DATOS_[[Sexo]:[Sexo]]=$B25,IF(DATOS_[[AGRUP. VALOR. PTO.]:[AGRUP. VALOR. PTO.]]=$B24,IF(DATOS_[[Check Periodo Ref.]:[Check Periodo Ref.]]="Dentro",DATOS_[C.Extra.03]))))),
0)</f>
        <v>0</v>
      </c>
      <c r="AO25" s="114">
        <f t="array" ref="AO25">IFERROR(
MEDIAN((IF(DATOS_[[Sexo]:[Sexo]]=$B25,IF(DATOS_[[AGRUP. VALOR. PTO.]:[AGRUP. VALOR. PTO.]]=$B24,IF(DATOS_[[Check Periodo Ref.]:[Check Periodo Ref.]]="Dentro",DATOS_[C.Extra.04]))))),
0)</f>
        <v>0</v>
      </c>
      <c r="AP25" s="114">
        <f t="array" ref="AP25">IFERROR(
MEDIAN((IF(DATOS_[[Sexo]:[Sexo]]=$B25,IF(DATOS_[[AGRUP. VALOR. PTO.]:[AGRUP. VALOR. PTO.]]=$B24,IF(DATOS_[[Check Periodo Ref.]:[Check Periodo Ref.]]="Dentro",DATOS_[C.Extra.05]))))),
0)</f>
        <v>0</v>
      </c>
      <c r="AQ25" s="115">
        <f t="array" ref="AQ25">IFERROR(
MEDIAN(IF(DATOS_[Sexo]=$B25,IF(DATOS_[AGRUP. VALOR. PTO.]=$B24,IF(DATOS_[Check Periodo Ref.]="Dentro",DATOS_[Tot Extrasalarial Ef],FALSE)))),
0)</f>
        <v>0</v>
      </c>
      <c r="AR25" s="116">
        <f t="array" ref="AR25">IFERROR(
MEDIAN(IF(DATOS_[Sexo]=$B25,IF(DATOS_[AGRUP. VALOR. PTO.]=$B24,IF(DATOS_[Check Periodo Ref.]="Dentro",DATOS_[TOTAL Retrib Ef],FALSE)))),
0)</f>
        <v>18287.268</v>
      </c>
    </row>
    <row r="26" spans="1:44" x14ac:dyDescent="0.3">
      <c r="A26" s="42" t="str">
        <f t="shared" ref="A26" si="18">+A25</f>
        <v/>
      </c>
      <c r="B26" s="34" t="s">
        <v>163</v>
      </c>
      <c r="C26" s="33">
        <f t="array" ref="C26">SUM(IF($B26=DATOS_[Sexo],
IF($B24=DATOS_[AGRUP. VALOR. PTO.],
IF("Dentro"=DATOS_[Check Periodo Ref.],
1/(COUNTIFS(DATOS_[Sexo],$B26,DATOS_[AGRUP. VALOR. PTO.],$B24,DATOS_[Check Periodo Ref.],"Dentro",DATOS_[id],DATOS_[id]))))))</f>
        <v>38</v>
      </c>
      <c r="D26" s="35">
        <f>COUNTIFS(DATOS_[AGRUP. VALOR. PTO.],$B24,DATOS_[Sexo],$B26,DATOS_[Check Periodo Ref.],"Dentro")</f>
        <v>38</v>
      </c>
      <c r="E26" s="110">
        <f t="array" ref="E26">IFERROR(
MEDIAN(IF(DATOS_[Sexo]=$B26,IF(DATOS_[AGRUP. VALOR. PTO.]=$B24,IF(DATOS_[Check Periodo Ref.]="Dentro",DATOS_[SALARIO BASE Ef],FALSE)))),
0)</f>
        <v>14036.34</v>
      </c>
      <c r="F26" s="111">
        <f t="array" ref="F26">IFERROR(
MEDIAN((IF(DATOS_[[Sexo]:[Sexo]]=$B26,IF(DATOS_[[AGRUP. VALOR. PTO.]:[AGRUP. VALOR. PTO.]]=$B24,IF(DATOS_[[Check Periodo Ref.]:[Check Periodo Ref.]]="Dentro",DATOS_[Conc.Sal.01]))))),
0)</f>
        <v>481.82999999999993</v>
      </c>
      <c r="G26" s="111">
        <f t="array" ref="G26">IFERROR(
MEDIAN((IF(DATOS_[[Sexo]:[Sexo]]=$B26,IF(DATOS_[[AGRUP. VALOR. PTO.]:[AGRUP. VALOR. PTO.]]=$B24,IF(DATOS_[[Check Periodo Ref.]:[Check Periodo Ref.]]="Dentro",DATOS_[Conc.Sal.02]))))),
0)</f>
        <v>1176.3504</v>
      </c>
      <c r="H26" s="111">
        <f t="array" ref="H26">IFERROR(
MEDIAN((IF(DATOS_[[Sexo]:[Sexo]]=$B26,IF(DATOS_[[AGRUP. VALOR. PTO.]:[AGRUP. VALOR. PTO.]]=$B24,IF(DATOS_[[Check Periodo Ref.]:[Check Periodo Ref.]]="Dentro",DATOS_[Conc.Sal.03]))))),
0)</f>
        <v>0</v>
      </c>
      <c r="I26" s="111">
        <f t="array" ref="I26">IFERROR(
MEDIAN((IF(DATOS_[[Sexo]:[Sexo]]=$B26,IF(DATOS_[[AGRUP. VALOR. PTO.]:[AGRUP. VALOR. PTO.]]=$B24,IF(DATOS_[[Check Periodo Ref.]:[Check Periodo Ref.]]="Dentro",DATOS_[Conc.Sal.04]))))),
0)</f>
        <v>0</v>
      </c>
      <c r="J26" s="111">
        <f t="array" ref="J26">IFERROR(
MEDIAN((IF(DATOS_[[Sexo]:[Sexo]]=$B26,IF(DATOS_[[AGRUP. VALOR. PTO.]:[AGRUP. VALOR. PTO.]]=$B24,IF(DATOS_[[Check Periodo Ref.]:[Check Periodo Ref.]]="Dentro",DATOS_[Conc.Sal.05]))))),
0)</f>
        <v>0</v>
      </c>
      <c r="K26" s="111">
        <f t="array" ref="K26">IFERROR(
MEDIAN((IF(DATOS_[[Sexo]:[Sexo]]=$B26,IF(DATOS_[[AGRUP. VALOR. PTO.]:[AGRUP. VALOR. PTO.]]=$B24,IF(DATOS_[[Check Periodo Ref.]:[Check Periodo Ref.]]="Dentro",DATOS_[Conc.Sal.06]))))),
0)</f>
        <v>0</v>
      </c>
      <c r="L26" s="111">
        <f t="array" ref="L26">IFERROR(
MEDIAN((IF(DATOS_[[Sexo]:[Sexo]]=$B26,IF(DATOS_[[AGRUP. VALOR. PTO.]:[AGRUP. VALOR. PTO.]]=$B24,IF(DATOS_[[Check Periodo Ref.]:[Check Periodo Ref.]]="Dentro",DATOS_[Conc.Sal.07]))))),
0)</f>
        <v>80</v>
      </c>
      <c r="M26" s="111">
        <f t="array" ref="M26">IFERROR(
MEDIAN((IF(DATOS_[[Sexo]:[Sexo]]=$B26,IF(DATOS_[[AGRUP. VALOR. PTO.]:[AGRUP. VALOR. PTO.]]=$B24,IF(DATOS_[[Check Periodo Ref.]:[Check Periodo Ref.]]="Dentro",DATOS_[Conc.Sal.08]))))),
0)</f>
        <v>0</v>
      </c>
      <c r="N26" s="111">
        <f t="array" ref="N26">IFERROR(
MEDIAN((IF(DATOS_[[Sexo]:[Sexo]]=$B26,IF(DATOS_[[AGRUP. VALOR. PTO.]:[AGRUP. VALOR. PTO.]]=$B24,IF(DATOS_[[Check Periodo Ref.]:[Check Periodo Ref.]]="Dentro",DATOS_[Conc.Sal.09]))))),
0)</f>
        <v>0</v>
      </c>
      <c r="O26" s="111">
        <f t="array" ref="O26">IFERROR(
MEDIAN((IF(DATOS_[[Sexo]:[Sexo]]=$B26,IF(DATOS_[[AGRUP. VALOR. PTO.]:[AGRUP. VALOR. PTO.]]=$B24,IF(DATOS_[[Check Periodo Ref.]:[Check Periodo Ref.]]="Dentro",DATOS_[Conc.Sal.10]))))),
0)</f>
        <v>0</v>
      </c>
      <c r="P26" s="111">
        <f t="array" ref="P26">IFERROR(
MEDIAN((IF(DATOS_[[Sexo]:[Sexo]]=$B26,IF(DATOS_[[AGRUP. VALOR. PTO.]:[AGRUP. VALOR. PTO.]]=$B24,IF(DATOS_[[Check Periodo Ref.]:[Check Periodo Ref.]]="Dentro",DATOS_[Conc.Sal.11]))))),
0)</f>
        <v>0</v>
      </c>
      <c r="Q26" s="111">
        <f t="array" ref="Q26">IFERROR(
MEDIAN((IF(DATOS_[[Sexo]:[Sexo]]=$B26,IF(DATOS_[[AGRUP. VALOR. PTO.]:[AGRUP. VALOR. PTO.]]=$B24,IF(DATOS_[[Check Periodo Ref.]:[Check Periodo Ref.]]="Dentro",DATOS_[Conc.Sal.12]))))),
0)</f>
        <v>0</v>
      </c>
      <c r="R26" s="111">
        <f t="array" ref="R26">IFERROR(
MEDIAN((IF(DATOS_[[Sexo]:[Sexo]]=$B26,IF(DATOS_[[AGRUP. VALOR. PTO.]:[AGRUP. VALOR. PTO.]]=$B24,IF(DATOS_[[Check Periodo Ref.]:[Check Periodo Ref.]]="Dentro",DATOS_[Conc.Sal.13]))))),
0)</f>
        <v>0</v>
      </c>
      <c r="S26" s="111">
        <f t="array" ref="S26">IFERROR(
MEDIAN((IF(DATOS_[[Sexo]:[Sexo]]=$B26,IF(DATOS_[[AGRUP. VALOR. PTO.]:[AGRUP. VALOR. PTO.]]=$B24,IF(DATOS_[[Check Periodo Ref.]:[Check Periodo Ref.]]="Dentro",DATOS_[Conc.Sal.14]))))),
0)</f>
        <v>0</v>
      </c>
      <c r="T26" s="111">
        <f t="array" ref="T26">IFERROR(
MEDIAN((IF(DATOS_[[Sexo]:[Sexo]]=$B26,IF(DATOS_[[AGRUP. VALOR. PTO.]:[AGRUP. VALOR. PTO.]]=$B24,IF(DATOS_[[Check Periodo Ref.]:[Check Periodo Ref.]]="Dentro",DATOS_[Conc.Sal.15]))))),
0)</f>
        <v>0</v>
      </c>
      <c r="U26" s="111">
        <f t="array" ref="U26">IFERROR(
MEDIAN((IF(DATOS_[[Sexo]:[Sexo]]=$B26,IF(DATOS_[[AGRUP. VALOR. PTO.]:[AGRUP. VALOR. PTO.]]=$B24,IF(DATOS_[[Check Periodo Ref.]:[Check Periodo Ref.]]="Dentro",DATOS_[Conc.Sal.16]))))),
0)</f>
        <v>0</v>
      </c>
      <c r="V26" s="111">
        <f t="array" ref="V26">IFERROR(
MEDIAN((IF(DATOS_[[Sexo]:[Sexo]]=$B26,IF(DATOS_[[AGRUP. VALOR. PTO.]:[AGRUP. VALOR. PTO.]]=$B24,IF(DATOS_[[Check Periodo Ref.]:[Check Periodo Ref.]]="Dentro",DATOS_[Conc.Sal.17]))))),
0)</f>
        <v>0</v>
      </c>
      <c r="W26" s="111">
        <f t="array" ref="W26">IFERROR(
MEDIAN((IF(DATOS_[[Sexo]:[Sexo]]=$B26,IF(DATOS_[[AGRUP. VALOR. PTO.]:[AGRUP. VALOR. PTO.]]=$B24,IF(DATOS_[[Check Periodo Ref.]:[Check Periodo Ref.]]="Dentro",DATOS_[Conc.Sal.18]))))),
0)</f>
        <v>0</v>
      </c>
      <c r="X26" s="111">
        <f t="array" ref="X26">IFERROR(
MEDIAN((IF(DATOS_[[Sexo]:[Sexo]]=$B26,IF(DATOS_[[AGRUP. VALOR. PTO.]:[AGRUP. VALOR. PTO.]]=$B24,IF(DATOS_[[Check Periodo Ref.]:[Check Periodo Ref.]]="Dentro",DATOS_[Conc.Sal.19]))))),
0)</f>
        <v>0</v>
      </c>
      <c r="Y26" s="111">
        <f t="array" ref="Y26">IFERROR(
MEDIAN((IF(DATOS_[[Sexo]:[Sexo]]=$B26,IF(DATOS_[[AGRUP. VALOR. PTO.]:[AGRUP. VALOR. PTO.]]=$B24,IF(DATOS_[[Check Periodo Ref.]:[Check Periodo Ref.]]="Dentro",DATOS_[Conc.Sal.20]))))),
0)</f>
        <v>0</v>
      </c>
      <c r="Z26" s="111">
        <f t="array" ref="Z26">IFERROR(
MEDIAN((IF(DATOS_[[Sexo]:[Sexo]]=$B26,IF(DATOS_[[AGRUP. VALOR. PTO.]:[AGRUP. VALOR. PTO.]]=$B24,IF(DATOS_[[Check Periodo Ref.]:[Check Periodo Ref.]]="Dentro",DATOS_[Conc.Sal.21]))))),
0)</f>
        <v>0</v>
      </c>
      <c r="AA26" s="111">
        <f t="array" ref="AA26">IFERROR(
MEDIAN((IF(DATOS_[[Sexo]:[Sexo]]=$B26,IF(DATOS_[[AGRUP. VALOR. PTO.]:[AGRUP. VALOR. PTO.]]=$B24,IF(DATOS_[[Check Periodo Ref.]:[Check Periodo Ref.]]="Dentro",DATOS_[Conc.Sal.22]))))),
0)</f>
        <v>0</v>
      </c>
      <c r="AB26" s="111">
        <f t="array" ref="AB26">IFERROR(
MEDIAN((IF(DATOS_[[Sexo]:[Sexo]]=$B26,IF(DATOS_[[AGRUP. VALOR. PTO.]:[AGRUP. VALOR. PTO.]]=$B24,IF(DATOS_[[Check Periodo Ref.]:[Check Periodo Ref.]]="Dentro",DATOS_[Conc.Sal.23]))))),
0)</f>
        <v>0</v>
      </c>
      <c r="AC26" s="111">
        <f t="array" ref="AC26">IFERROR(
MEDIAN((IF(DATOS_[[Sexo]:[Sexo]]=$B26,IF(DATOS_[[AGRUP. VALOR. PTO.]:[AGRUP. VALOR. PTO.]]=$B24,IF(DATOS_[[Check Periodo Ref.]:[Check Periodo Ref.]]="Dentro",DATOS_[Conc.Sal.24]))))),
0)</f>
        <v>0</v>
      </c>
      <c r="AD26" s="111">
        <f t="array" ref="AD26">IFERROR(
MEDIAN((IF(DATOS_[[Sexo]:[Sexo]]=$B26,IF(DATOS_[[AGRUP. VALOR. PTO.]:[AGRUP. VALOR. PTO.]]=$B24,IF(DATOS_[[Check Periodo Ref.]:[Check Periodo Ref.]]="Dentro",DATOS_[Conc.Sal.25]))))),
0)</f>
        <v>0</v>
      </c>
      <c r="AE26" s="111">
        <f t="array" ref="AE26">IFERROR(
MEDIAN((IF(DATOS_[[Sexo]:[Sexo]]=$B26,IF(DATOS_[[AGRUP. VALOR. PTO.]:[AGRUP. VALOR. PTO.]]=$B24,IF(DATOS_[[Check Periodo Ref.]:[Check Periodo Ref.]]="Dentro",DATOS_[Conc.Sal.26]))))),
0)</f>
        <v>0</v>
      </c>
      <c r="AF26" s="111">
        <f t="array" ref="AF26">IFERROR(
MEDIAN((IF(DATOS_[[Sexo]:[Sexo]]=$B26,IF(DATOS_[[AGRUP. VALOR. PTO.]:[AGRUP. VALOR. PTO.]]=$B24,IF(DATOS_[[Check Periodo Ref.]:[Check Periodo Ref.]]="Dentro",DATOS_[Conc.Sal.27]))))),
0)</f>
        <v>0</v>
      </c>
      <c r="AG26" s="111">
        <f t="array" ref="AG26">IFERROR(
MEDIAN((IF(DATOS_[[Sexo]:[Sexo]]=$B26,IF(DATOS_[[AGRUP. VALOR. PTO.]:[AGRUP. VALOR. PTO.]]=$B24,IF(DATOS_[[Check Periodo Ref.]:[Check Periodo Ref.]]="Dentro",DATOS_[Conc.Sal.28]))))),
0)</f>
        <v>0</v>
      </c>
      <c r="AH26" s="111">
        <f t="array" ref="AH26">IFERROR(
MEDIAN((IF(DATOS_[[Sexo]:[Sexo]]=$B26,IF(DATOS_[[AGRUP. VALOR. PTO.]:[AGRUP. VALOR. PTO.]]=$B24,IF(DATOS_[[Check Periodo Ref.]:[Check Periodo Ref.]]="Dentro",DATOS_[Conc.Sal.29]))))),
0)</f>
        <v>0</v>
      </c>
      <c r="AI26" s="111">
        <f t="array" ref="AI26">IFERROR(
MEDIAN((IF(DATOS_[[Sexo]:[Sexo]]=$B26,IF(DATOS_[[AGRUP. VALOR. PTO.]:[AGRUP. VALOR. PTO.]]=$B24,IF(DATOS_[[Check Periodo Ref.]:[Check Periodo Ref.]]="Dentro",DATOS_[Conc.Sal.30]))))),
0)</f>
        <v>0</v>
      </c>
      <c r="AJ26" s="112">
        <f t="array" ref="AJ26">IFERROR(
MEDIAN(IF(DATOS_[Sexo]=$B26,IF(DATOS_[AGRUP. VALOR. PTO.]=$B24,IF(DATOS_[Check Periodo Ref.]="Dentro",DATOS_[Tot COMPL.SAL Ef],FALSE)))),
0)</f>
        <v>2607.2939999999999</v>
      </c>
      <c r="AK26" s="113">
        <f t="array" ref="AK26">IFERROR(
MEDIAN(IF(DATOS_[Sexo]=$B26,IF(DATOS_[AGRUP. VALOR. PTO.]=$B24,IF(DATOS_[Check Periodo Ref.]="Dentro",DATOS_[TOTAL SALARIO Ef],FALSE)))),
0)</f>
        <v>16924.360799999999</v>
      </c>
      <c r="AL26" s="114">
        <f t="array" ref="AL26">IFERROR(
MEDIAN((IF(DATOS_[[Sexo]:[Sexo]]=$B26,IF(DATOS_[[AGRUP. VALOR. PTO.]:[AGRUP. VALOR. PTO.]]=$B24,IF(DATOS_[[Check Periodo Ref.]:[Check Periodo Ref.]]="Dentro",DATOS_[C.Extra.01]))))),
0)</f>
        <v>0</v>
      </c>
      <c r="AM26" s="114">
        <f t="array" ref="AM26">IFERROR(
MEDIAN((IF(DATOS_[[Sexo]:[Sexo]]=$B26,IF(DATOS_[[AGRUP. VALOR. PTO.]:[AGRUP. VALOR. PTO.]]=$B24,IF(DATOS_[[Check Periodo Ref.]:[Check Periodo Ref.]]="Dentro",DATOS_[C.Extra.02]))))),
0)</f>
        <v>0</v>
      </c>
      <c r="AN26" s="114">
        <f t="array" ref="AN26">IFERROR(
MEDIAN((IF(DATOS_[[Sexo]:[Sexo]]=$B26,IF(DATOS_[[AGRUP. VALOR. PTO.]:[AGRUP. VALOR. PTO.]]=$B24,IF(DATOS_[[Check Periodo Ref.]:[Check Periodo Ref.]]="Dentro",DATOS_[C.Extra.03]))))),
0)</f>
        <v>0</v>
      </c>
      <c r="AO26" s="114">
        <f t="array" ref="AO26">IFERROR(
MEDIAN((IF(DATOS_[[Sexo]:[Sexo]]=$B26,IF(DATOS_[[AGRUP. VALOR. PTO.]:[AGRUP. VALOR. PTO.]]=$B24,IF(DATOS_[[Check Periodo Ref.]:[Check Periodo Ref.]]="Dentro",DATOS_[C.Extra.04]))))),
0)</f>
        <v>0</v>
      </c>
      <c r="AP26" s="114">
        <f t="array" ref="AP26">IFERROR(
MEDIAN((IF(DATOS_[[Sexo]:[Sexo]]=$B26,IF(DATOS_[[AGRUP. VALOR. PTO.]:[AGRUP. VALOR. PTO.]]=$B24,IF(DATOS_[[Check Periodo Ref.]:[Check Periodo Ref.]]="Dentro",DATOS_[C.Extra.05]))))),
0)</f>
        <v>0</v>
      </c>
      <c r="AQ26" s="115">
        <f t="array" ref="AQ26">IFERROR(
MEDIAN(IF(DATOS_[Sexo]=$B26,IF(DATOS_[AGRUP. VALOR. PTO.]=$B24,IF(DATOS_[Check Periodo Ref.]="Dentro",DATOS_[Tot Extrasalarial Ef],FALSE)))),
0)</f>
        <v>0</v>
      </c>
      <c r="AR26" s="116">
        <f t="array" ref="AR26">IFERROR(
MEDIAN(IF(DATOS_[Sexo]=$B26,IF(DATOS_[AGRUP. VALOR. PTO.]=$B24,IF(DATOS_[Check Periodo Ref.]="Dentro",DATOS_[TOTAL Retrib Ef],FALSE)))),
0)</f>
        <v>16924.360799999999</v>
      </c>
    </row>
    <row r="27" spans="1:44" ht="17.25" thickBot="1" x14ac:dyDescent="0.35">
      <c r="A27" s="42" t="str">
        <f t="shared" ref="A27" si="19">+A28</f>
        <v/>
      </c>
      <c r="B27" s="40" t="s">
        <v>307</v>
      </c>
      <c r="C27" s="109"/>
      <c r="D27" s="41"/>
      <c r="E27" s="119">
        <f t="shared" ref="E27:AR27" si="20">IFERROR((E28-E29)/E28,"")</f>
        <v>0</v>
      </c>
      <c r="F27" s="123">
        <f t="shared" si="20"/>
        <v>0</v>
      </c>
      <c r="G27" s="123" t="str">
        <f t="shared" si="20"/>
        <v/>
      </c>
      <c r="H27" s="123">
        <f t="shared" si="20"/>
        <v>0</v>
      </c>
      <c r="I27" s="123" t="str">
        <f t="shared" si="20"/>
        <v/>
      </c>
      <c r="J27" s="123" t="str">
        <f t="shared" si="20"/>
        <v/>
      </c>
      <c r="K27" s="123" t="str">
        <f t="shared" si="20"/>
        <v/>
      </c>
      <c r="L27" s="123">
        <f t="shared" si="20"/>
        <v>0</v>
      </c>
      <c r="M27" s="123" t="str">
        <f t="shared" si="20"/>
        <v/>
      </c>
      <c r="N27" s="123" t="str">
        <f t="shared" si="20"/>
        <v/>
      </c>
      <c r="O27" s="123" t="str">
        <f t="shared" si="20"/>
        <v/>
      </c>
      <c r="P27" s="123" t="str">
        <f t="shared" si="20"/>
        <v/>
      </c>
      <c r="Q27" s="123" t="str">
        <f t="shared" si="20"/>
        <v/>
      </c>
      <c r="R27" s="123" t="str">
        <f t="shared" si="20"/>
        <v/>
      </c>
      <c r="S27" s="123" t="str">
        <f t="shared" si="20"/>
        <v/>
      </c>
      <c r="T27" s="123" t="str">
        <f t="shared" si="20"/>
        <v/>
      </c>
      <c r="U27" s="123" t="str">
        <f t="shared" si="20"/>
        <v/>
      </c>
      <c r="V27" s="122" t="str">
        <f t="shared" si="20"/>
        <v/>
      </c>
      <c r="W27" s="122" t="str">
        <f t="shared" si="20"/>
        <v/>
      </c>
      <c r="X27" s="122" t="str">
        <f t="shared" si="20"/>
        <v/>
      </c>
      <c r="Y27" s="122" t="str">
        <f t="shared" si="20"/>
        <v/>
      </c>
      <c r="Z27" s="122" t="str">
        <f t="shared" si="20"/>
        <v/>
      </c>
      <c r="AA27" s="122" t="str">
        <f t="shared" si="20"/>
        <v/>
      </c>
      <c r="AB27" s="122" t="str">
        <f t="shared" si="20"/>
        <v/>
      </c>
      <c r="AC27" s="122" t="str">
        <f t="shared" si="20"/>
        <v/>
      </c>
      <c r="AD27" s="122" t="str">
        <f t="shared" si="20"/>
        <v/>
      </c>
      <c r="AE27" s="122" t="str">
        <f t="shared" si="20"/>
        <v/>
      </c>
      <c r="AF27" s="122" t="str">
        <f t="shared" si="20"/>
        <v/>
      </c>
      <c r="AG27" s="122" t="str">
        <f t="shared" si="20"/>
        <v/>
      </c>
      <c r="AH27" s="122" t="str">
        <f t="shared" si="20"/>
        <v/>
      </c>
      <c r="AI27" s="122" t="str">
        <f t="shared" si="20"/>
        <v/>
      </c>
      <c r="AJ27" s="124">
        <f t="shared" si="20"/>
        <v>0</v>
      </c>
      <c r="AK27" s="128">
        <f t="shared" si="20"/>
        <v>0</v>
      </c>
      <c r="AL27" s="125" t="str">
        <f t="shared" si="20"/>
        <v/>
      </c>
      <c r="AM27" s="125" t="str">
        <f t="shared" si="20"/>
        <v/>
      </c>
      <c r="AN27" s="125" t="str">
        <f t="shared" si="20"/>
        <v/>
      </c>
      <c r="AO27" s="125" t="str">
        <f t="shared" si="20"/>
        <v/>
      </c>
      <c r="AP27" s="125" t="str">
        <f t="shared" si="20"/>
        <v/>
      </c>
      <c r="AQ27" s="126" t="str">
        <f t="shared" si="20"/>
        <v/>
      </c>
      <c r="AR27" s="127">
        <f t="shared" si="20"/>
        <v>0</v>
      </c>
    </row>
    <row r="28" spans="1:44" x14ac:dyDescent="0.3">
      <c r="A28" s="42" t="str">
        <f t="shared" ref="A28" si="21">+IF(C28+C29=0,"[ocultar]","")</f>
        <v/>
      </c>
      <c r="B28" s="34" t="s">
        <v>162</v>
      </c>
      <c r="C28" s="33">
        <f t="array" ref="C28">SUM(IF($B28=DATOS_[Sexo],
IF($B27=DATOS_[AGRUP. VALOR. PTO.],
IF("Dentro"=DATOS_[Check Periodo Ref.],
1/(COUNTIFS(DATOS_[Sexo],$B28,DATOS_[AGRUP. VALOR. PTO.],$B27,DATOS_[Check Periodo Ref.],"Dentro",DATOS_[id],DATOS_[id]))))))</f>
        <v>26</v>
      </c>
      <c r="D28" s="35">
        <f>COUNTIFS(DATOS_[AGRUP. VALOR. PTO.],$B27,DATOS_[Sexo],$B28,DATOS_[Check Periodo Ref.],"Dentro")</f>
        <v>31</v>
      </c>
      <c r="E28" s="110">
        <f t="array" ref="E28">IFERROR(
MEDIAN(IF(DATOS_[Sexo]=$B28,IF(DATOS_[AGRUP. VALOR. PTO.]=$B27,IF(DATOS_[Check Periodo Ref.]="Dentro",DATOS_[SALARIO BASE Ef],FALSE)))),
0)</f>
        <v>12915.07</v>
      </c>
      <c r="F28" s="111">
        <f t="array" ref="F28">IFERROR(
MEDIAN((IF(DATOS_[[Sexo]:[Sexo]]=$B28,IF(DATOS_[[AGRUP. VALOR. PTO.]:[AGRUP. VALOR. PTO.]]=$B27,IF(DATOS_[[Check Periodo Ref.]:[Check Periodo Ref.]]="Dentro",DATOS_[Conc.Sal.01]))))),
0)</f>
        <v>84.930000000000291</v>
      </c>
      <c r="G28" s="111">
        <f t="array" ref="G28">IFERROR(
MEDIAN((IF(DATOS_[[Sexo]:[Sexo]]=$B28,IF(DATOS_[[AGRUP. VALOR. PTO.]:[AGRUP. VALOR. PTO.]]=$B27,IF(DATOS_[[Check Periodo Ref.]:[Check Periodo Ref.]]="Dentro",DATOS_[Conc.Sal.02]))))),
0)</f>
        <v>0</v>
      </c>
      <c r="H28" s="111">
        <f t="array" ref="H28">IFERROR(
MEDIAN((IF(DATOS_[[Sexo]:[Sexo]]=$B28,IF(DATOS_[[AGRUP. VALOR. PTO.]:[AGRUP. VALOR. PTO.]]=$B27,IF(DATOS_[[Check Periodo Ref.]:[Check Periodo Ref.]]="Dentro",DATOS_[Conc.Sal.03]))))),
0)</f>
        <v>960</v>
      </c>
      <c r="I28" s="111">
        <f t="array" ref="I28">IFERROR(
MEDIAN((IF(DATOS_[[Sexo]:[Sexo]]=$B28,IF(DATOS_[[AGRUP. VALOR. PTO.]:[AGRUP. VALOR. PTO.]]=$B27,IF(DATOS_[[Check Periodo Ref.]:[Check Periodo Ref.]]="Dentro",DATOS_[Conc.Sal.04]))))),
0)</f>
        <v>0</v>
      </c>
      <c r="J28" s="111">
        <f t="array" ref="J28">IFERROR(
MEDIAN((IF(DATOS_[[Sexo]:[Sexo]]=$B28,IF(DATOS_[[AGRUP. VALOR. PTO.]:[AGRUP. VALOR. PTO.]]=$B27,IF(DATOS_[[Check Periodo Ref.]:[Check Periodo Ref.]]="Dentro",DATOS_[Conc.Sal.05]))))),
0)</f>
        <v>0</v>
      </c>
      <c r="K28" s="111">
        <f t="array" ref="K28">IFERROR(
MEDIAN((IF(DATOS_[[Sexo]:[Sexo]]=$B28,IF(DATOS_[[AGRUP. VALOR. PTO.]:[AGRUP. VALOR. PTO.]]=$B27,IF(DATOS_[[Check Periodo Ref.]:[Check Periodo Ref.]]="Dentro",DATOS_[Conc.Sal.06]))))),
0)</f>
        <v>0</v>
      </c>
      <c r="L28" s="111">
        <f t="array" ref="L28">IFERROR(
MEDIAN((IF(DATOS_[[Sexo]:[Sexo]]=$B28,IF(DATOS_[[AGRUP. VALOR. PTO.]:[AGRUP. VALOR. PTO.]]=$B27,IF(DATOS_[[Check Periodo Ref.]:[Check Periodo Ref.]]="Dentro",DATOS_[Conc.Sal.07]))))),
0)</f>
        <v>80</v>
      </c>
      <c r="M28" s="111">
        <f t="array" ref="M28">IFERROR(
MEDIAN((IF(DATOS_[[Sexo]:[Sexo]]=$B28,IF(DATOS_[[AGRUP. VALOR. PTO.]:[AGRUP. VALOR. PTO.]]=$B27,IF(DATOS_[[Check Periodo Ref.]:[Check Periodo Ref.]]="Dentro",DATOS_[Conc.Sal.08]))))),
0)</f>
        <v>0</v>
      </c>
      <c r="N28" s="111">
        <f t="array" ref="N28">IFERROR(
MEDIAN((IF(DATOS_[[Sexo]:[Sexo]]=$B28,IF(DATOS_[[AGRUP. VALOR. PTO.]:[AGRUP. VALOR. PTO.]]=$B27,IF(DATOS_[[Check Periodo Ref.]:[Check Periodo Ref.]]="Dentro",DATOS_[Conc.Sal.09]))))),
0)</f>
        <v>0</v>
      </c>
      <c r="O28" s="111">
        <f t="array" ref="O28">IFERROR(
MEDIAN((IF(DATOS_[[Sexo]:[Sexo]]=$B28,IF(DATOS_[[AGRUP. VALOR. PTO.]:[AGRUP. VALOR. PTO.]]=$B27,IF(DATOS_[[Check Periodo Ref.]:[Check Periodo Ref.]]="Dentro",DATOS_[Conc.Sal.10]))))),
0)</f>
        <v>0</v>
      </c>
      <c r="P28" s="111"/>
      <c r="Q28" s="111">
        <f t="array" ref="Q28">IFERROR(
MEDIAN((IF(DATOS_[[Sexo]:[Sexo]]=$B28,IF(DATOS_[[AGRUP. VALOR. PTO.]:[AGRUP. VALOR. PTO.]]=$B27,IF(DATOS_[[Check Periodo Ref.]:[Check Periodo Ref.]]="Dentro",DATOS_[Conc.Sal.12]))))),
0)</f>
        <v>0</v>
      </c>
      <c r="R28" s="111">
        <f t="array" ref="R28">IFERROR(
MEDIAN((IF(DATOS_[[Sexo]:[Sexo]]=$B28,IF(DATOS_[[AGRUP. VALOR. PTO.]:[AGRUP. VALOR. PTO.]]=$B27,IF(DATOS_[[Check Periodo Ref.]:[Check Periodo Ref.]]="Dentro",DATOS_[Conc.Sal.13]))))),
0)</f>
        <v>0</v>
      </c>
      <c r="S28" s="111">
        <f t="array" ref="S28">IFERROR(
MEDIAN((IF(DATOS_[[Sexo]:[Sexo]]=$B28,IF(DATOS_[[AGRUP. VALOR. PTO.]:[AGRUP. VALOR. PTO.]]=$B27,IF(DATOS_[[Check Periodo Ref.]:[Check Periodo Ref.]]="Dentro",DATOS_[Conc.Sal.14]))))),
0)</f>
        <v>0</v>
      </c>
      <c r="T28" s="111">
        <f t="array" ref="T28">IFERROR(
MEDIAN((IF(DATOS_[[Sexo]:[Sexo]]=$B28,IF(DATOS_[[AGRUP. VALOR. PTO.]:[AGRUP. VALOR. PTO.]]=$B27,IF(DATOS_[[Check Periodo Ref.]:[Check Periodo Ref.]]="Dentro",DATOS_[Conc.Sal.15]))))),
0)</f>
        <v>0</v>
      </c>
      <c r="U28" s="111">
        <f t="array" ref="U28">IFERROR(
MEDIAN((IF(DATOS_[[Sexo]:[Sexo]]=$B28,IF(DATOS_[[AGRUP. VALOR. PTO.]:[AGRUP. VALOR. PTO.]]=$B27,IF(DATOS_[[Check Periodo Ref.]:[Check Periodo Ref.]]="Dentro",DATOS_[Conc.Sal.16]))))),
0)</f>
        <v>0</v>
      </c>
      <c r="V28" s="111">
        <f t="array" ref="V28">IFERROR(
MEDIAN((IF(DATOS_[[Sexo]:[Sexo]]=$B28,IF(DATOS_[[AGRUP. VALOR. PTO.]:[AGRUP. VALOR. PTO.]]=$B27,IF(DATOS_[[Check Periodo Ref.]:[Check Periodo Ref.]]="Dentro",DATOS_[Conc.Sal.17]))))),
0)</f>
        <v>0</v>
      </c>
      <c r="W28" s="111">
        <f t="array" ref="W28">IFERROR(
MEDIAN((IF(DATOS_[[Sexo]:[Sexo]]=$B28,IF(DATOS_[[AGRUP. VALOR. PTO.]:[AGRUP. VALOR. PTO.]]=$B27,IF(DATOS_[[Check Periodo Ref.]:[Check Periodo Ref.]]="Dentro",DATOS_[Conc.Sal.18]))))),
0)</f>
        <v>0</v>
      </c>
      <c r="X28" s="111">
        <f t="array" ref="X28">IFERROR(
MEDIAN((IF(DATOS_[[Sexo]:[Sexo]]=$B28,IF(DATOS_[[AGRUP. VALOR. PTO.]:[AGRUP. VALOR. PTO.]]=$B27,IF(DATOS_[[Check Periodo Ref.]:[Check Periodo Ref.]]="Dentro",DATOS_[Conc.Sal.19]))))),
0)</f>
        <v>0</v>
      </c>
      <c r="Y28" s="111">
        <f t="array" ref="Y28">IFERROR(
MEDIAN((IF(DATOS_[[Sexo]:[Sexo]]=$B28,IF(DATOS_[[AGRUP. VALOR. PTO.]:[AGRUP. VALOR. PTO.]]=$B27,IF(DATOS_[[Check Periodo Ref.]:[Check Periodo Ref.]]="Dentro",DATOS_[Conc.Sal.20]))))),
0)</f>
        <v>0</v>
      </c>
      <c r="Z28" s="111">
        <f t="array" ref="Z28">IFERROR(
MEDIAN((IF(DATOS_[[Sexo]:[Sexo]]=$B28,IF(DATOS_[[AGRUP. VALOR. PTO.]:[AGRUP. VALOR. PTO.]]=$B27,IF(DATOS_[[Check Periodo Ref.]:[Check Periodo Ref.]]="Dentro",DATOS_[Conc.Sal.21]))))),
0)</f>
        <v>0</v>
      </c>
      <c r="AA28" s="111">
        <f t="array" ref="AA28">IFERROR(
MEDIAN((IF(DATOS_[[Sexo]:[Sexo]]=$B28,IF(DATOS_[[AGRUP. VALOR. PTO.]:[AGRUP. VALOR. PTO.]]=$B27,IF(DATOS_[[Check Periodo Ref.]:[Check Periodo Ref.]]="Dentro",DATOS_[Conc.Sal.22]))))),
0)</f>
        <v>0</v>
      </c>
      <c r="AB28" s="111">
        <f t="array" ref="AB28">IFERROR(
MEDIAN((IF(DATOS_[[Sexo]:[Sexo]]=$B28,IF(DATOS_[[AGRUP. VALOR. PTO.]:[AGRUP. VALOR. PTO.]]=$B27,IF(DATOS_[[Check Periodo Ref.]:[Check Periodo Ref.]]="Dentro",DATOS_[Conc.Sal.23]))))),
0)</f>
        <v>0</v>
      </c>
      <c r="AC28" s="111">
        <f t="array" ref="AC28">IFERROR(
MEDIAN((IF(DATOS_[[Sexo]:[Sexo]]=$B28,IF(DATOS_[[AGRUP. VALOR. PTO.]:[AGRUP. VALOR. PTO.]]=$B27,IF(DATOS_[[Check Periodo Ref.]:[Check Periodo Ref.]]="Dentro",DATOS_[Conc.Sal.24]))))),
0)</f>
        <v>0</v>
      </c>
      <c r="AD28" s="111">
        <f t="array" ref="AD28">IFERROR(
MEDIAN((IF(DATOS_[[Sexo]:[Sexo]]=$B28,IF(DATOS_[[AGRUP. VALOR. PTO.]:[AGRUP. VALOR. PTO.]]=$B27,IF(DATOS_[[Check Periodo Ref.]:[Check Periodo Ref.]]="Dentro",DATOS_[Conc.Sal.25]))))),
0)</f>
        <v>0</v>
      </c>
      <c r="AE28" s="111">
        <f t="array" ref="AE28">IFERROR(
MEDIAN((IF(DATOS_[[Sexo]:[Sexo]]=$B28,IF(DATOS_[[AGRUP. VALOR. PTO.]:[AGRUP. VALOR. PTO.]]=$B27,IF(DATOS_[[Check Periodo Ref.]:[Check Periodo Ref.]]="Dentro",DATOS_[Conc.Sal.26]))))),
0)</f>
        <v>0</v>
      </c>
      <c r="AF28" s="111">
        <f t="array" ref="AF28">IFERROR(
MEDIAN((IF(DATOS_[[Sexo]:[Sexo]]=$B28,IF(DATOS_[[AGRUP. VALOR. PTO.]:[AGRUP. VALOR. PTO.]]=$B27,IF(DATOS_[[Check Periodo Ref.]:[Check Periodo Ref.]]="Dentro",DATOS_[Conc.Sal.27]))))),
0)</f>
        <v>0</v>
      </c>
      <c r="AG28" s="111">
        <f t="array" ref="AG28">IFERROR(
MEDIAN((IF(DATOS_[[Sexo]:[Sexo]]=$B28,IF(DATOS_[[AGRUP. VALOR. PTO.]:[AGRUP. VALOR. PTO.]]=$B27,IF(DATOS_[[Check Periodo Ref.]:[Check Periodo Ref.]]="Dentro",DATOS_[Conc.Sal.28]))))),
0)</f>
        <v>0</v>
      </c>
      <c r="AH28" s="111">
        <f t="array" ref="AH28">IFERROR(
MEDIAN((IF(DATOS_[[Sexo]:[Sexo]]=$B28,IF(DATOS_[[AGRUP. VALOR. PTO.]:[AGRUP. VALOR. PTO.]]=$B27,IF(DATOS_[[Check Periodo Ref.]:[Check Periodo Ref.]]="Dentro",DATOS_[Conc.Sal.29]))))),
0)</f>
        <v>0</v>
      </c>
      <c r="AI28" s="111">
        <f t="array" ref="AI28">IFERROR(
MEDIAN((IF(DATOS_[[Sexo]:[Sexo]]=$B28,IF(DATOS_[[AGRUP. VALOR. PTO.]:[AGRUP. VALOR. PTO.]]=$B27,IF(DATOS_[[Check Periodo Ref.]:[Check Periodo Ref.]]="Dentro",DATOS_[Conc.Sal.30]))))),
0)</f>
        <v>0</v>
      </c>
      <c r="AJ28" s="112">
        <f t="array" ref="AJ28">IFERROR(
MEDIAN(IF(DATOS_[Sexo]=$B28,IF(DATOS_[AGRUP. VALOR. PTO.]=$B27,IF(DATOS_[Check Periodo Ref.]="Dentro",DATOS_[Tot COMPL.SAL Ef],FALSE)))),
0)</f>
        <v>1124.9300000000003</v>
      </c>
      <c r="AK28" s="113">
        <f t="array" ref="AK28">IFERROR(
MEDIAN(IF(DATOS_[Sexo]=$B28,IF(DATOS_[AGRUP. VALOR. PTO.]=$B27,IF(DATOS_[Check Periodo Ref.]="Dentro",DATOS_[TOTAL SALARIO Ef],FALSE)))),
0)</f>
        <v>14040</v>
      </c>
      <c r="AL28" s="114">
        <f t="array" ref="AL28">IFERROR(
MEDIAN((IF(DATOS_[[Sexo]:[Sexo]]=$B28,IF(DATOS_[[AGRUP. VALOR. PTO.]:[AGRUP. VALOR. PTO.]]=$B27,IF(DATOS_[[Check Periodo Ref.]:[Check Periodo Ref.]]="Dentro",DATOS_[C.Extra.01]))))),
0)</f>
        <v>0</v>
      </c>
      <c r="AM28" s="114">
        <f t="array" ref="AM28">IFERROR(
MEDIAN((IF(DATOS_[[Sexo]:[Sexo]]=$B28,IF(DATOS_[[AGRUP. VALOR. PTO.]:[AGRUP. VALOR. PTO.]]=$B27,IF(DATOS_[[Check Periodo Ref.]:[Check Periodo Ref.]]="Dentro",DATOS_[C.Extra.02]))))),
0)</f>
        <v>0</v>
      </c>
      <c r="AN28" s="114">
        <f t="array" ref="AN28">IFERROR(
MEDIAN((IF(DATOS_[[Sexo]:[Sexo]]=$B28,IF(DATOS_[[AGRUP. VALOR. PTO.]:[AGRUP. VALOR. PTO.]]=$B27,IF(DATOS_[[Check Periodo Ref.]:[Check Periodo Ref.]]="Dentro",DATOS_[C.Extra.03]))))),
0)</f>
        <v>0</v>
      </c>
      <c r="AO28" s="114">
        <f t="array" ref="AO28">IFERROR(
MEDIAN((IF(DATOS_[[Sexo]:[Sexo]]=$B28,IF(DATOS_[[AGRUP. VALOR. PTO.]:[AGRUP. VALOR. PTO.]]=$B27,IF(DATOS_[[Check Periodo Ref.]:[Check Periodo Ref.]]="Dentro",DATOS_[C.Extra.04]))))),
0)</f>
        <v>0</v>
      </c>
      <c r="AP28" s="114">
        <f t="array" ref="AP28">IFERROR(
MEDIAN((IF(DATOS_[[Sexo]:[Sexo]]=$B28,IF(DATOS_[[AGRUP. VALOR. PTO.]:[AGRUP. VALOR. PTO.]]=$B27,IF(DATOS_[[Check Periodo Ref.]:[Check Periodo Ref.]]="Dentro",DATOS_[C.Extra.05]))))),
0)</f>
        <v>0</v>
      </c>
      <c r="AQ28" s="115">
        <f t="array" ref="AQ28">IFERROR(
MEDIAN(IF(DATOS_[Sexo]=$B28,IF(DATOS_[AGRUP. VALOR. PTO.]=$B27,IF(DATOS_[Check Periodo Ref.]="Dentro",DATOS_[Tot Extrasalarial Ef],FALSE)))),
0)</f>
        <v>0</v>
      </c>
      <c r="AR28" s="116">
        <f t="array" ref="AR28">IFERROR(
MEDIAN(IF(DATOS_[Sexo]=$B28,IF(DATOS_[AGRUP. VALOR. PTO.]=$B27,IF(DATOS_[Check Periodo Ref.]="Dentro",DATOS_[TOTAL Retrib Ef],FALSE)))),
0)</f>
        <v>14040</v>
      </c>
    </row>
    <row r="29" spans="1:44" x14ac:dyDescent="0.3">
      <c r="A29" s="42" t="str">
        <f t="shared" ref="A29" si="22">+A28</f>
        <v/>
      </c>
      <c r="B29" s="34" t="s">
        <v>163</v>
      </c>
      <c r="C29" s="33">
        <f t="array" ref="C29">SUM(IF($B29=DATOS_[Sexo],
IF($B27=DATOS_[AGRUP. VALOR. PTO.],
IF("Dentro"=DATOS_[Check Periodo Ref.],
1/(COUNTIFS(DATOS_[Sexo],$B29,DATOS_[AGRUP. VALOR. PTO.],$B27,DATOS_[Check Periodo Ref.],"Dentro",DATOS_[id],DATOS_[id]))))))</f>
        <v>49</v>
      </c>
      <c r="D29" s="35">
        <f>COUNTIFS(DATOS_[AGRUP. VALOR. PTO.],$B27,DATOS_[Sexo],$B29,DATOS_[Check Periodo Ref.],"Dentro")</f>
        <v>55</v>
      </c>
      <c r="E29" s="110">
        <f t="array" ref="E29">IFERROR(
MEDIAN(IF(DATOS_[Sexo]=$B29,IF(DATOS_[AGRUP. VALOR. PTO.]=$B27,IF(DATOS_[Check Periodo Ref.]="Dentro",DATOS_[SALARIO BASE Ef],FALSE)))),
0)</f>
        <v>12915.07</v>
      </c>
      <c r="F29" s="111">
        <f t="array" ref="F29">IFERROR(
MEDIAN((IF(DATOS_[[Sexo]:[Sexo]]=$B29,IF(DATOS_[[AGRUP. VALOR. PTO.]:[AGRUP. VALOR. PTO.]]=$B27,IF(DATOS_[[Check Periodo Ref.]:[Check Periodo Ref.]]="Dentro",DATOS_[Conc.Sal.01]))))),
0)</f>
        <v>84.930000000000291</v>
      </c>
      <c r="G29" s="111">
        <f t="array" ref="G29">IFERROR(
MEDIAN((IF(DATOS_[[Sexo]:[Sexo]]=$B29,IF(DATOS_[[AGRUP. VALOR. PTO.]:[AGRUP. VALOR. PTO.]]=$B27,IF(DATOS_[[Check Periodo Ref.]:[Check Periodo Ref.]]="Dentro",DATOS_[Conc.Sal.02]))))),
0)</f>
        <v>0</v>
      </c>
      <c r="H29" s="111">
        <f t="array" ref="H29">IFERROR(
MEDIAN((IF(DATOS_[[Sexo]:[Sexo]]=$B29,IF(DATOS_[[AGRUP. VALOR. PTO.]:[AGRUP. VALOR. PTO.]]=$B27,IF(DATOS_[[Check Periodo Ref.]:[Check Periodo Ref.]]="Dentro",DATOS_[Conc.Sal.03]))))),
0)</f>
        <v>960</v>
      </c>
      <c r="I29" s="111">
        <f t="array" ref="I29">IFERROR(
MEDIAN((IF(DATOS_[[Sexo]:[Sexo]]=$B29,IF(DATOS_[[AGRUP. VALOR. PTO.]:[AGRUP. VALOR. PTO.]]=$B27,IF(DATOS_[[Check Periodo Ref.]:[Check Periodo Ref.]]="Dentro",DATOS_[Conc.Sal.04]))))),
0)</f>
        <v>0</v>
      </c>
      <c r="J29" s="111">
        <f t="array" ref="J29">IFERROR(
MEDIAN((IF(DATOS_[[Sexo]:[Sexo]]=$B29,IF(DATOS_[[AGRUP. VALOR. PTO.]:[AGRUP. VALOR. PTO.]]=$B27,IF(DATOS_[[Check Periodo Ref.]:[Check Periodo Ref.]]="Dentro",DATOS_[Conc.Sal.05]))))),
0)</f>
        <v>0</v>
      </c>
      <c r="K29" s="111">
        <f t="array" ref="K29">IFERROR(
MEDIAN((IF(DATOS_[[Sexo]:[Sexo]]=$B29,IF(DATOS_[[AGRUP. VALOR. PTO.]:[AGRUP. VALOR. PTO.]]=$B27,IF(DATOS_[[Check Periodo Ref.]:[Check Periodo Ref.]]="Dentro",DATOS_[Conc.Sal.06]))))),
0)</f>
        <v>0</v>
      </c>
      <c r="L29" s="111">
        <f t="array" ref="L29">IFERROR(
MEDIAN((IF(DATOS_[[Sexo]:[Sexo]]=$B29,IF(DATOS_[[AGRUP. VALOR. PTO.]:[AGRUP. VALOR. PTO.]]=$B27,IF(DATOS_[[Check Periodo Ref.]:[Check Periodo Ref.]]="Dentro",DATOS_[Conc.Sal.07]))))),
0)</f>
        <v>80</v>
      </c>
      <c r="M29" s="111">
        <f t="array" ref="M29">IFERROR(
MEDIAN((IF(DATOS_[[Sexo]:[Sexo]]=$B29,IF(DATOS_[[AGRUP. VALOR. PTO.]:[AGRUP. VALOR. PTO.]]=$B27,IF(DATOS_[[Check Periodo Ref.]:[Check Periodo Ref.]]="Dentro",DATOS_[Conc.Sal.08]))))),
0)</f>
        <v>0</v>
      </c>
      <c r="N29" s="111">
        <f t="array" ref="N29">IFERROR(
MEDIAN((IF(DATOS_[[Sexo]:[Sexo]]=$B29,IF(DATOS_[[AGRUP. VALOR. PTO.]:[AGRUP. VALOR. PTO.]]=$B27,IF(DATOS_[[Check Periodo Ref.]:[Check Periodo Ref.]]="Dentro",DATOS_[Conc.Sal.09]))))),
0)</f>
        <v>0</v>
      </c>
      <c r="O29" s="111">
        <f t="array" ref="O29">IFERROR(
MEDIAN((IF(DATOS_[[Sexo]:[Sexo]]=$B29,IF(DATOS_[[AGRUP. VALOR. PTO.]:[AGRUP. VALOR. PTO.]]=$B27,IF(DATOS_[[Check Periodo Ref.]:[Check Periodo Ref.]]="Dentro",DATOS_[Conc.Sal.10]))))),
0)</f>
        <v>0</v>
      </c>
      <c r="P29" s="111">
        <f t="array" ref="P29">IFERROR(
MEDIAN((IF(DATOS_[[Sexo]:[Sexo]]=$B29,IF(DATOS_[[AGRUP. VALOR. PTO.]:[AGRUP. VALOR. PTO.]]=$B27,IF(DATOS_[[Check Periodo Ref.]:[Check Periodo Ref.]]="Dentro",DATOS_[Conc.Sal.11]))))),
0)</f>
        <v>0</v>
      </c>
      <c r="Q29" s="111">
        <f t="array" ref="Q29">IFERROR(
MEDIAN((IF(DATOS_[[Sexo]:[Sexo]]=$B29,IF(DATOS_[[AGRUP. VALOR. PTO.]:[AGRUP. VALOR. PTO.]]=$B27,IF(DATOS_[[Check Periodo Ref.]:[Check Periodo Ref.]]="Dentro",DATOS_[Conc.Sal.12]))))),
0)</f>
        <v>0</v>
      </c>
      <c r="R29" s="111">
        <f t="array" ref="R29">IFERROR(
MEDIAN((IF(DATOS_[[Sexo]:[Sexo]]=$B29,IF(DATOS_[[AGRUP. VALOR. PTO.]:[AGRUP. VALOR. PTO.]]=$B27,IF(DATOS_[[Check Periodo Ref.]:[Check Periodo Ref.]]="Dentro",DATOS_[Conc.Sal.13]))))),
0)</f>
        <v>0</v>
      </c>
      <c r="S29" s="111">
        <f t="array" ref="S29">IFERROR(
MEDIAN((IF(DATOS_[[Sexo]:[Sexo]]=$B29,IF(DATOS_[[AGRUP. VALOR. PTO.]:[AGRUP. VALOR. PTO.]]=$B27,IF(DATOS_[[Check Periodo Ref.]:[Check Periodo Ref.]]="Dentro",DATOS_[Conc.Sal.14]))))),
0)</f>
        <v>0</v>
      </c>
      <c r="T29" s="111">
        <f t="array" ref="T29">IFERROR(
MEDIAN((IF(DATOS_[[Sexo]:[Sexo]]=$B29,IF(DATOS_[[AGRUP. VALOR. PTO.]:[AGRUP. VALOR. PTO.]]=$B27,IF(DATOS_[[Check Periodo Ref.]:[Check Periodo Ref.]]="Dentro",DATOS_[Conc.Sal.15]))))),
0)</f>
        <v>0</v>
      </c>
      <c r="U29" s="111">
        <f t="array" ref="U29">IFERROR(
MEDIAN((IF(DATOS_[[Sexo]:[Sexo]]=$B29,IF(DATOS_[[AGRUP. VALOR. PTO.]:[AGRUP. VALOR. PTO.]]=$B27,IF(DATOS_[[Check Periodo Ref.]:[Check Periodo Ref.]]="Dentro",DATOS_[Conc.Sal.16]))))),
0)</f>
        <v>0</v>
      </c>
      <c r="V29" s="111">
        <f t="array" ref="V29">IFERROR(
MEDIAN((IF(DATOS_[[Sexo]:[Sexo]]=$B29,IF(DATOS_[[AGRUP. VALOR. PTO.]:[AGRUP. VALOR. PTO.]]=$B27,IF(DATOS_[[Check Periodo Ref.]:[Check Periodo Ref.]]="Dentro",DATOS_[Conc.Sal.17]))))),
0)</f>
        <v>0</v>
      </c>
      <c r="W29" s="111">
        <f t="array" ref="W29">IFERROR(
MEDIAN((IF(DATOS_[[Sexo]:[Sexo]]=$B29,IF(DATOS_[[AGRUP. VALOR. PTO.]:[AGRUP. VALOR. PTO.]]=$B27,IF(DATOS_[[Check Periodo Ref.]:[Check Periodo Ref.]]="Dentro",DATOS_[Conc.Sal.18]))))),
0)</f>
        <v>0</v>
      </c>
      <c r="X29" s="111">
        <f t="array" ref="X29">IFERROR(
MEDIAN((IF(DATOS_[[Sexo]:[Sexo]]=$B29,IF(DATOS_[[AGRUP. VALOR. PTO.]:[AGRUP. VALOR. PTO.]]=$B27,IF(DATOS_[[Check Periodo Ref.]:[Check Periodo Ref.]]="Dentro",DATOS_[Conc.Sal.19]))))),
0)</f>
        <v>0</v>
      </c>
      <c r="Y29" s="111">
        <f t="array" ref="Y29">IFERROR(
MEDIAN((IF(DATOS_[[Sexo]:[Sexo]]=$B29,IF(DATOS_[[AGRUP. VALOR. PTO.]:[AGRUP. VALOR. PTO.]]=$B27,IF(DATOS_[[Check Periodo Ref.]:[Check Periodo Ref.]]="Dentro",DATOS_[Conc.Sal.20]))))),
0)</f>
        <v>0</v>
      </c>
      <c r="Z29" s="111">
        <f t="array" ref="Z29">IFERROR(
MEDIAN((IF(DATOS_[[Sexo]:[Sexo]]=$B29,IF(DATOS_[[AGRUP. VALOR. PTO.]:[AGRUP. VALOR. PTO.]]=$B27,IF(DATOS_[[Check Periodo Ref.]:[Check Periodo Ref.]]="Dentro",DATOS_[Conc.Sal.21]))))),
0)</f>
        <v>0</v>
      </c>
      <c r="AA29" s="111">
        <f t="array" ref="AA29">IFERROR(
MEDIAN((IF(DATOS_[[Sexo]:[Sexo]]=$B29,IF(DATOS_[[AGRUP. VALOR. PTO.]:[AGRUP. VALOR. PTO.]]=$B27,IF(DATOS_[[Check Periodo Ref.]:[Check Periodo Ref.]]="Dentro",DATOS_[Conc.Sal.22]))))),
0)</f>
        <v>0</v>
      </c>
      <c r="AB29" s="111">
        <f t="array" ref="AB29">IFERROR(
MEDIAN((IF(DATOS_[[Sexo]:[Sexo]]=$B29,IF(DATOS_[[AGRUP. VALOR. PTO.]:[AGRUP. VALOR. PTO.]]=$B27,IF(DATOS_[[Check Periodo Ref.]:[Check Periodo Ref.]]="Dentro",DATOS_[Conc.Sal.23]))))),
0)</f>
        <v>0</v>
      </c>
      <c r="AC29" s="111">
        <f t="array" ref="AC29">IFERROR(
MEDIAN((IF(DATOS_[[Sexo]:[Sexo]]=$B29,IF(DATOS_[[AGRUP. VALOR. PTO.]:[AGRUP. VALOR. PTO.]]=$B27,IF(DATOS_[[Check Periodo Ref.]:[Check Periodo Ref.]]="Dentro",DATOS_[Conc.Sal.24]))))),
0)</f>
        <v>0</v>
      </c>
      <c r="AD29" s="111">
        <f t="array" ref="AD29">IFERROR(
MEDIAN((IF(DATOS_[[Sexo]:[Sexo]]=$B29,IF(DATOS_[[AGRUP. VALOR. PTO.]:[AGRUP. VALOR. PTO.]]=$B27,IF(DATOS_[[Check Periodo Ref.]:[Check Periodo Ref.]]="Dentro",DATOS_[Conc.Sal.25]))))),
0)</f>
        <v>0</v>
      </c>
      <c r="AE29" s="111">
        <f t="array" ref="AE29">IFERROR(
MEDIAN((IF(DATOS_[[Sexo]:[Sexo]]=$B29,IF(DATOS_[[AGRUP. VALOR. PTO.]:[AGRUP. VALOR. PTO.]]=$B27,IF(DATOS_[[Check Periodo Ref.]:[Check Periodo Ref.]]="Dentro",DATOS_[Conc.Sal.26]))))),
0)</f>
        <v>0</v>
      </c>
      <c r="AF29" s="111">
        <f t="array" ref="AF29">IFERROR(
MEDIAN((IF(DATOS_[[Sexo]:[Sexo]]=$B29,IF(DATOS_[[AGRUP. VALOR. PTO.]:[AGRUP. VALOR. PTO.]]=$B27,IF(DATOS_[[Check Periodo Ref.]:[Check Periodo Ref.]]="Dentro",DATOS_[Conc.Sal.27]))))),
0)</f>
        <v>0</v>
      </c>
      <c r="AG29" s="111">
        <f t="array" ref="AG29">IFERROR(
MEDIAN((IF(DATOS_[[Sexo]:[Sexo]]=$B29,IF(DATOS_[[AGRUP. VALOR. PTO.]:[AGRUP. VALOR. PTO.]]=$B27,IF(DATOS_[[Check Periodo Ref.]:[Check Periodo Ref.]]="Dentro",DATOS_[Conc.Sal.28]))))),
0)</f>
        <v>0</v>
      </c>
      <c r="AH29" s="111">
        <f t="array" ref="AH29">IFERROR(
MEDIAN((IF(DATOS_[[Sexo]:[Sexo]]=$B29,IF(DATOS_[[AGRUP. VALOR. PTO.]:[AGRUP. VALOR. PTO.]]=$B27,IF(DATOS_[[Check Periodo Ref.]:[Check Periodo Ref.]]="Dentro",DATOS_[Conc.Sal.29]))))),
0)</f>
        <v>0</v>
      </c>
      <c r="AI29" s="111">
        <f t="array" ref="AI29">IFERROR(
MEDIAN((IF(DATOS_[[Sexo]:[Sexo]]=$B29,IF(DATOS_[[AGRUP. VALOR. PTO.]:[AGRUP. VALOR. PTO.]]=$B27,IF(DATOS_[[Check Periodo Ref.]:[Check Periodo Ref.]]="Dentro",DATOS_[Conc.Sal.30]))))),
0)</f>
        <v>0</v>
      </c>
      <c r="AJ29" s="112">
        <f t="array" ref="AJ29">IFERROR(
MEDIAN(IF(DATOS_[Sexo]=$B29,IF(DATOS_[AGRUP. VALOR. PTO.]=$B27,IF(DATOS_[Check Periodo Ref.]="Dentro",DATOS_[Tot COMPL.SAL Ef],FALSE)))),
0)</f>
        <v>1124.9300000000003</v>
      </c>
      <c r="AK29" s="113">
        <f t="array" ref="AK29">IFERROR(
MEDIAN(IF(DATOS_[Sexo]=$B29,IF(DATOS_[AGRUP. VALOR. PTO.]=$B27,IF(DATOS_[Check Periodo Ref.]="Dentro",DATOS_[TOTAL SALARIO Ef],FALSE)))),
0)</f>
        <v>14040</v>
      </c>
      <c r="AL29" s="114">
        <f t="array" ref="AL29">IFERROR(
MEDIAN((IF(DATOS_[[Sexo]:[Sexo]]=$B29,IF(DATOS_[[AGRUP. VALOR. PTO.]:[AGRUP. VALOR. PTO.]]=$B27,IF(DATOS_[[Check Periodo Ref.]:[Check Periodo Ref.]]="Dentro",DATOS_[C.Extra.01]))))),
0)</f>
        <v>0</v>
      </c>
      <c r="AM29" s="114">
        <f t="array" ref="AM29">IFERROR(
MEDIAN((IF(DATOS_[[Sexo]:[Sexo]]=$B29,IF(DATOS_[[AGRUP. VALOR. PTO.]:[AGRUP. VALOR. PTO.]]=$B27,IF(DATOS_[[Check Periodo Ref.]:[Check Periodo Ref.]]="Dentro",DATOS_[C.Extra.02]))))),
0)</f>
        <v>0</v>
      </c>
      <c r="AN29" s="114">
        <f t="array" ref="AN29">IFERROR(
MEDIAN((IF(DATOS_[[Sexo]:[Sexo]]=$B29,IF(DATOS_[[AGRUP. VALOR. PTO.]:[AGRUP. VALOR. PTO.]]=$B27,IF(DATOS_[[Check Periodo Ref.]:[Check Periodo Ref.]]="Dentro",DATOS_[C.Extra.03]))))),
0)</f>
        <v>0</v>
      </c>
      <c r="AO29" s="114">
        <f t="array" ref="AO29">IFERROR(
MEDIAN((IF(DATOS_[[Sexo]:[Sexo]]=$B29,IF(DATOS_[[AGRUP. VALOR. PTO.]:[AGRUP. VALOR. PTO.]]=$B27,IF(DATOS_[[Check Periodo Ref.]:[Check Periodo Ref.]]="Dentro",DATOS_[C.Extra.04]))))),
0)</f>
        <v>0</v>
      </c>
      <c r="AP29" s="114">
        <f t="array" ref="AP29">IFERROR(
MEDIAN((IF(DATOS_[[Sexo]:[Sexo]]=$B29,IF(DATOS_[[AGRUP. VALOR. PTO.]:[AGRUP. VALOR. PTO.]]=$B27,IF(DATOS_[[Check Periodo Ref.]:[Check Periodo Ref.]]="Dentro",DATOS_[C.Extra.05]))))),
0)</f>
        <v>0</v>
      </c>
      <c r="AQ29" s="115">
        <f t="array" ref="AQ29">IFERROR(
MEDIAN(IF(DATOS_[Sexo]=$B29,IF(DATOS_[AGRUP. VALOR. PTO.]=$B27,IF(DATOS_[Check Periodo Ref.]="Dentro",DATOS_[Tot Extrasalarial Ef],FALSE)))),
0)</f>
        <v>0</v>
      </c>
      <c r="AR29" s="116">
        <f t="array" ref="AR29">IFERROR(
MEDIAN(IF(DATOS_[Sexo]=$B29,IF(DATOS_[AGRUP. VALOR. PTO.]=$B27,IF(DATOS_[Check Periodo Ref.]="Dentro",DATOS_[TOTAL Retrib Ef],FALSE)))),
0)</f>
        <v>14040</v>
      </c>
    </row>
    <row r="30" spans="1:44" ht="17.25" hidden="1" thickBot="1" x14ac:dyDescent="0.35">
      <c r="A30" s="42" t="str">
        <f t="shared" ref="A30" si="23">+A31</f>
        <v>[ocultar]</v>
      </c>
      <c r="B30" s="40" t="s">
        <v>303</v>
      </c>
      <c r="C30" s="109"/>
      <c r="D30" s="41"/>
      <c r="E30" s="119" t="str">
        <f t="shared" ref="E30:AR30" si="24">IFERROR((E31-E32)/E31,"")</f>
        <v/>
      </c>
      <c r="F30" s="123" t="str">
        <f t="shared" si="24"/>
        <v/>
      </c>
      <c r="G30" s="123" t="str">
        <f t="shared" si="24"/>
        <v/>
      </c>
      <c r="H30" s="123" t="str">
        <f t="shared" si="24"/>
        <v/>
      </c>
      <c r="I30" s="123" t="str">
        <f t="shared" si="24"/>
        <v/>
      </c>
      <c r="J30" s="123" t="str">
        <f t="shared" si="24"/>
        <v/>
      </c>
      <c r="K30" s="123" t="str">
        <f t="shared" si="24"/>
        <v/>
      </c>
      <c r="L30" s="123" t="str">
        <f t="shared" si="24"/>
        <v/>
      </c>
      <c r="M30" s="123" t="str">
        <f t="shared" si="24"/>
        <v/>
      </c>
      <c r="N30" s="123" t="str">
        <f t="shared" si="24"/>
        <v/>
      </c>
      <c r="O30" s="123" t="str">
        <f t="shared" si="24"/>
        <v/>
      </c>
      <c r="P30" s="123" t="str">
        <f t="shared" si="24"/>
        <v/>
      </c>
      <c r="Q30" s="123" t="str">
        <f t="shared" si="24"/>
        <v/>
      </c>
      <c r="R30" s="123" t="str">
        <f t="shared" si="24"/>
        <v/>
      </c>
      <c r="S30" s="123" t="str">
        <f t="shared" si="24"/>
        <v/>
      </c>
      <c r="T30" s="123" t="str">
        <f t="shared" si="24"/>
        <v/>
      </c>
      <c r="U30" s="123" t="str">
        <f t="shared" si="24"/>
        <v/>
      </c>
      <c r="V30" s="122" t="str">
        <f t="shared" si="24"/>
        <v/>
      </c>
      <c r="W30" s="122" t="str">
        <f t="shared" si="24"/>
        <v/>
      </c>
      <c r="X30" s="122" t="str">
        <f t="shared" si="24"/>
        <v/>
      </c>
      <c r="Y30" s="122" t="str">
        <f t="shared" si="24"/>
        <v/>
      </c>
      <c r="Z30" s="122" t="str">
        <f t="shared" si="24"/>
        <v/>
      </c>
      <c r="AA30" s="122" t="str">
        <f t="shared" si="24"/>
        <v/>
      </c>
      <c r="AB30" s="122" t="str">
        <f t="shared" si="24"/>
        <v/>
      </c>
      <c r="AC30" s="122" t="str">
        <f t="shared" si="24"/>
        <v/>
      </c>
      <c r="AD30" s="122" t="str">
        <f t="shared" si="24"/>
        <v/>
      </c>
      <c r="AE30" s="122" t="str">
        <f t="shared" si="24"/>
        <v/>
      </c>
      <c r="AF30" s="122" t="str">
        <f t="shared" si="24"/>
        <v/>
      </c>
      <c r="AG30" s="122" t="str">
        <f t="shared" si="24"/>
        <v/>
      </c>
      <c r="AH30" s="122" t="str">
        <f t="shared" si="24"/>
        <v/>
      </c>
      <c r="AI30" s="122" t="str">
        <f t="shared" si="24"/>
        <v/>
      </c>
      <c r="AJ30" s="124" t="str">
        <f t="shared" si="24"/>
        <v/>
      </c>
      <c r="AK30" s="128" t="str">
        <f t="shared" si="24"/>
        <v/>
      </c>
      <c r="AL30" s="125" t="str">
        <f t="shared" si="24"/>
        <v/>
      </c>
      <c r="AM30" s="125" t="str">
        <f t="shared" si="24"/>
        <v/>
      </c>
      <c r="AN30" s="125" t="str">
        <f t="shared" si="24"/>
        <v/>
      </c>
      <c r="AO30" s="125" t="str">
        <f t="shared" si="24"/>
        <v/>
      </c>
      <c r="AP30" s="125" t="str">
        <f t="shared" si="24"/>
        <v/>
      </c>
      <c r="AQ30" s="126" t="str">
        <f t="shared" si="24"/>
        <v/>
      </c>
      <c r="AR30" s="127" t="str">
        <f t="shared" si="24"/>
        <v/>
      </c>
    </row>
    <row r="31" spans="1:44" hidden="1" x14ac:dyDescent="0.3">
      <c r="A31" s="42" t="str">
        <f t="shared" ref="A31" si="25">+IF(C31+C32=0,"[ocultar]","")</f>
        <v>[ocultar]</v>
      </c>
      <c r="B31" s="34" t="s">
        <v>162</v>
      </c>
      <c r="C31" s="33">
        <f t="array" ref="C31">SUM(IF($B31=DATOS_[Sexo],
IF($B30=DATOS_[AGRUP. VALOR. PTO.],
IF("Dentro"=DATOS_[Check Periodo Ref.],
1/(COUNTIFS(DATOS_[Sexo],$B31,DATOS_[AGRUP. VALOR. PTO.],$B30,DATOS_[Check Periodo Ref.],"Dentro",DATOS_[id],DATOS_[id]))))))</f>
        <v>0</v>
      </c>
      <c r="D31" s="35">
        <f>COUNTIFS(DATOS_[AGRUP. VALOR. PTO.],$B30,DATOS_[Sexo],$B31,DATOS_[Check Periodo Ref.],"Dentro")</f>
        <v>0</v>
      </c>
      <c r="E31" s="110">
        <f t="array" ref="E31">IFERROR(
MEDIAN(IF(DATOS_[Sexo]=$B31,IF(DATOS_[AGRUP. VALOR. PTO.]=$B30,IF(DATOS_[Check Periodo Ref.]="Dentro",DATOS_[SALARIO BASE Ef],FALSE)))),
0)</f>
        <v>0</v>
      </c>
      <c r="F31" s="111">
        <f t="array" ref="F31">IFERROR(
MEDIAN((IF(DATOS_[[Sexo]:[Sexo]]=$B31,IF(DATOS_[[AGRUP. VALOR. PTO.]:[AGRUP. VALOR. PTO.]]=$B30,IF(DATOS_[[Check Periodo Ref.]:[Check Periodo Ref.]]="Dentro",DATOS_[Conc.Sal.01]))))),
0)</f>
        <v>0</v>
      </c>
      <c r="G31" s="111">
        <f t="array" ref="G31">IFERROR(
MEDIAN((IF(DATOS_[[Sexo]:[Sexo]]=$B31,IF(DATOS_[[AGRUP. VALOR. PTO.]:[AGRUP. VALOR. PTO.]]=$B30,IF(DATOS_[[Check Periodo Ref.]:[Check Periodo Ref.]]="Dentro",DATOS_[Conc.Sal.02]))))),
0)</f>
        <v>0</v>
      </c>
      <c r="H31" s="111">
        <f t="array" ref="H31">IFERROR(
MEDIAN((IF(DATOS_[[Sexo]:[Sexo]]=$B31,IF(DATOS_[[AGRUP. VALOR. PTO.]:[AGRUP. VALOR. PTO.]]=$B30,IF(DATOS_[[Check Periodo Ref.]:[Check Periodo Ref.]]="Dentro",DATOS_[Conc.Sal.03]))))),
0)</f>
        <v>0</v>
      </c>
      <c r="I31" s="111">
        <f t="array" ref="I31">IFERROR(
MEDIAN((IF(DATOS_[[Sexo]:[Sexo]]=$B31,IF(DATOS_[[AGRUP. VALOR. PTO.]:[AGRUP. VALOR. PTO.]]=$B30,IF(DATOS_[[Check Periodo Ref.]:[Check Periodo Ref.]]="Dentro",DATOS_[Conc.Sal.04]))))),
0)</f>
        <v>0</v>
      </c>
      <c r="J31" s="111">
        <f t="array" ref="J31">IFERROR(
MEDIAN((IF(DATOS_[[Sexo]:[Sexo]]=$B31,IF(DATOS_[[AGRUP. VALOR. PTO.]:[AGRUP. VALOR. PTO.]]=$B30,IF(DATOS_[[Check Periodo Ref.]:[Check Periodo Ref.]]="Dentro",DATOS_[Conc.Sal.05]))))),
0)</f>
        <v>0</v>
      </c>
      <c r="K31" s="111">
        <f t="array" ref="K31">IFERROR(
MEDIAN((IF(DATOS_[[Sexo]:[Sexo]]=$B31,IF(DATOS_[[AGRUP. VALOR. PTO.]:[AGRUP. VALOR. PTO.]]=$B30,IF(DATOS_[[Check Periodo Ref.]:[Check Periodo Ref.]]="Dentro",DATOS_[Conc.Sal.06]))))),
0)</f>
        <v>0</v>
      </c>
      <c r="L31" s="111">
        <f t="array" ref="L31">IFERROR(
MEDIAN((IF(DATOS_[[Sexo]:[Sexo]]=$B31,IF(DATOS_[[AGRUP. VALOR. PTO.]:[AGRUP. VALOR. PTO.]]=$B30,IF(DATOS_[[Check Periodo Ref.]:[Check Periodo Ref.]]="Dentro",DATOS_[Conc.Sal.07]))))),
0)</f>
        <v>0</v>
      </c>
      <c r="M31" s="111">
        <f t="array" ref="M31">IFERROR(
MEDIAN((IF(DATOS_[[Sexo]:[Sexo]]=$B31,IF(DATOS_[[AGRUP. VALOR. PTO.]:[AGRUP. VALOR. PTO.]]=$B30,IF(DATOS_[[Check Periodo Ref.]:[Check Periodo Ref.]]="Dentro",DATOS_[Conc.Sal.08]))))),
0)</f>
        <v>0</v>
      </c>
      <c r="N31" s="111">
        <f t="array" ref="N31">IFERROR(
MEDIAN((IF(DATOS_[[Sexo]:[Sexo]]=$B31,IF(DATOS_[[AGRUP. VALOR. PTO.]:[AGRUP. VALOR. PTO.]]=$B30,IF(DATOS_[[Check Periodo Ref.]:[Check Periodo Ref.]]="Dentro",DATOS_[Conc.Sal.09]))))),
0)</f>
        <v>0</v>
      </c>
      <c r="O31" s="111">
        <f t="array" ref="O31">IFERROR(
MEDIAN((IF(DATOS_[[Sexo]:[Sexo]]=$B31,IF(DATOS_[[AGRUP. VALOR. PTO.]:[AGRUP. VALOR. PTO.]]=$B30,IF(DATOS_[[Check Periodo Ref.]:[Check Periodo Ref.]]="Dentro",DATOS_[Conc.Sal.10]))))),
0)</f>
        <v>0</v>
      </c>
      <c r="P31" s="111">
        <f t="array" ref="P31">IFERROR(
MEDIAN((IF(DATOS_[[Sexo]:[Sexo]]=$B31,IF(DATOS_[[AGRUP. VALOR. PTO.]:[AGRUP. VALOR. PTO.]]=$B30,IF(DATOS_[[Check Periodo Ref.]:[Check Periodo Ref.]]="Dentro",DATOS_[Conc.Sal.11]))))),
0)</f>
        <v>0</v>
      </c>
      <c r="Q31" s="111">
        <f t="array" ref="Q31">IFERROR(
MEDIAN((IF(DATOS_[[Sexo]:[Sexo]]=$B31,IF(DATOS_[[AGRUP. VALOR. PTO.]:[AGRUP. VALOR. PTO.]]=$B30,IF(DATOS_[[Check Periodo Ref.]:[Check Periodo Ref.]]="Dentro",DATOS_[Conc.Sal.12]))))),
0)</f>
        <v>0</v>
      </c>
      <c r="R31" s="111">
        <f t="array" ref="R31">IFERROR(
MEDIAN((IF(DATOS_[[Sexo]:[Sexo]]=$B31,IF(DATOS_[[AGRUP. VALOR. PTO.]:[AGRUP. VALOR. PTO.]]=$B30,IF(DATOS_[[Check Periodo Ref.]:[Check Periodo Ref.]]="Dentro",DATOS_[Conc.Sal.13]))))),
0)</f>
        <v>0</v>
      </c>
      <c r="S31" s="111">
        <f t="array" ref="S31">IFERROR(
MEDIAN((IF(DATOS_[[Sexo]:[Sexo]]=$B31,IF(DATOS_[[AGRUP. VALOR. PTO.]:[AGRUP. VALOR. PTO.]]=$B30,IF(DATOS_[[Check Periodo Ref.]:[Check Periodo Ref.]]="Dentro",DATOS_[Conc.Sal.14]))))),
0)</f>
        <v>0</v>
      </c>
      <c r="T31" s="111">
        <f t="array" ref="T31">IFERROR(
MEDIAN((IF(DATOS_[[Sexo]:[Sexo]]=$B31,IF(DATOS_[[AGRUP. VALOR. PTO.]:[AGRUP. VALOR. PTO.]]=$B30,IF(DATOS_[[Check Periodo Ref.]:[Check Periodo Ref.]]="Dentro",DATOS_[Conc.Sal.15]))))),
0)</f>
        <v>0</v>
      </c>
      <c r="U31" s="111">
        <f t="array" ref="U31">IFERROR(
MEDIAN((IF(DATOS_[[Sexo]:[Sexo]]=$B31,IF(DATOS_[[AGRUP. VALOR. PTO.]:[AGRUP. VALOR. PTO.]]=$B30,IF(DATOS_[[Check Periodo Ref.]:[Check Periodo Ref.]]="Dentro",DATOS_[Conc.Sal.16]))))),
0)</f>
        <v>0</v>
      </c>
      <c r="V31" s="111">
        <f t="array" ref="V31">IFERROR(
MEDIAN((IF(DATOS_[[Sexo]:[Sexo]]=$B31,IF(DATOS_[[AGRUP. VALOR. PTO.]:[AGRUP. VALOR. PTO.]]=$B30,IF(DATOS_[[Check Periodo Ref.]:[Check Periodo Ref.]]="Dentro",DATOS_[Conc.Sal.17]))))),
0)</f>
        <v>0</v>
      </c>
      <c r="W31" s="111">
        <f t="array" ref="W31">IFERROR(
MEDIAN((IF(DATOS_[[Sexo]:[Sexo]]=$B31,IF(DATOS_[[AGRUP. VALOR. PTO.]:[AGRUP. VALOR. PTO.]]=$B30,IF(DATOS_[[Check Periodo Ref.]:[Check Periodo Ref.]]="Dentro",DATOS_[Conc.Sal.18]))))),
0)</f>
        <v>0</v>
      </c>
      <c r="X31" s="111">
        <f t="array" ref="X31">IFERROR(
MEDIAN((IF(DATOS_[[Sexo]:[Sexo]]=$B31,IF(DATOS_[[AGRUP. VALOR. PTO.]:[AGRUP. VALOR. PTO.]]=$B30,IF(DATOS_[[Check Periodo Ref.]:[Check Periodo Ref.]]="Dentro",DATOS_[Conc.Sal.19]))))),
0)</f>
        <v>0</v>
      </c>
      <c r="Y31" s="111">
        <f t="array" ref="Y31">IFERROR(
MEDIAN((IF(DATOS_[[Sexo]:[Sexo]]=$B31,IF(DATOS_[[AGRUP. VALOR. PTO.]:[AGRUP. VALOR. PTO.]]=$B30,IF(DATOS_[[Check Periodo Ref.]:[Check Periodo Ref.]]="Dentro",DATOS_[Conc.Sal.20]))))),
0)</f>
        <v>0</v>
      </c>
      <c r="Z31" s="111">
        <f t="array" ref="Z31">IFERROR(
MEDIAN((IF(DATOS_[[Sexo]:[Sexo]]=$B31,IF(DATOS_[[AGRUP. VALOR. PTO.]:[AGRUP. VALOR. PTO.]]=$B30,IF(DATOS_[[Check Periodo Ref.]:[Check Periodo Ref.]]="Dentro",DATOS_[Conc.Sal.21]))))),
0)</f>
        <v>0</v>
      </c>
      <c r="AA31" s="111">
        <f t="array" ref="AA31">IFERROR(
MEDIAN((IF(DATOS_[[Sexo]:[Sexo]]=$B31,IF(DATOS_[[AGRUP. VALOR. PTO.]:[AGRUP. VALOR. PTO.]]=$B30,IF(DATOS_[[Check Periodo Ref.]:[Check Periodo Ref.]]="Dentro",DATOS_[Conc.Sal.22]))))),
0)</f>
        <v>0</v>
      </c>
      <c r="AB31" s="111">
        <f t="array" ref="AB31">IFERROR(
MEDIAN((IF(DATOS_[[Sexo]:[Sexo]]=$B31,IF(DATOS_[[AGRUP. VALOR. PTO.]:[AGRUP. VALOR. PTO.]]=$B30,IF(DATOS_[[Check Periodo Ref.]:[Check Periodo Ref.]]="Dentro",DATOS_[Conc.Sal.23]))))),
0)</f>
        <v>0</v>
      </c>
      <c r="AC31" s="111">
        <f t="array" ref="AC31">IFERROR(
MEDIAN((IF(DATOS_[[Sexo]:[Sexo]]=$B31,IF(DATOS_[[AGRUP. VALOR. PTO.]:[AGRUP. VALOR. PTO.]]=$B30,IF(DATOS_[[Check Periodo Ref.]:[Check Periodo Ref.]]="Dentro",DATOS_[Conc.Sal.24]))))),
0)</f>
        <v>0</v>
      </c>
      <c r="AD31" s="111">
        <f t="array" ref="AD31">IFERROR(
MEDIAN((IF(DATOS_[[Sexo]:[Sexo]]=$B31,IF(DATOS_[[AGRUP. VALOR. PTO.]:[AGRUP. VALOR. PTO.]]=$B30,IF(DATOS_[[Check Periodo Ref.]:[Check Periodo Ref.]]="Dentro",DATOS_[Conc.Sal.25]))))),
0)</f>
        <v>0</v>
      </c>
      <c r="AE31" s="111">
        <f t="array" ref="AE31">IFERROR(
MEDIAN((IF(DATOS_[[Sexo]:[Sexo]]=$B31,IF(DATOS_[[AGRUP. VALOR. PTO.]:[AGRUP. VALOR. PTO.]]=$B30,IF(DATOS_[[Check Periodo Ref.]:[Check Periodo Ref.]]="Dentro",DATOS_[Conc.Sal.26]))))),
0)</f>
        <v>0</v>
      </c>
      <c r="AF31" s="111">
        <f t="array" ref="AF31">IFERROR(
MEDIAN((IF(DATOS_[[Sexo]:[Sexo]]=$B31,IF(DATOS_[[AGRUP. VALOR. PTO.]:[AGRUP. VALOR. PTO.]]=$B30,IF(DATOS_[[Check Periodo Ref.]:[Check Periodo Ref.]]="Dentro",DATOS_[Conc.Sal.27]))))),
0)</f>
        <v>0</v>
      </c>
      <c r="AG31" s="111">
        <f t="array" ref="AG31">IFERROR(
MEDIAN((IF(DATOS_[[Sexo]:[Sexo]]=$B31,IF(DATOS_[[AGRUP. VALOR. PTO.]:[AGRUP. VALOR. PTO.]]=$B30,IF(DATOS_[[Check Periodo Ref.]:[Check Periodo Ref.]]="Dentro",DATOS_[Conc.Sal.28]))))),
0)</f>
        <v>0</v>
      </c>
      <c r="AH31" s="111">
        <f t="array" ref="AH31">IFERROR(
MEDIAN((IF(DATOS_[[Sexo]:[Sexo]]=$B31,IF(DATOS_[[AGRUP. VALOR. PTO.]:[AGRUP. VALOR. PTO.]]=$B30,IF(DATOS_[[Check Periodo Ref.]:[Check Periodo Ref.]]="Dentro",DATOS_[Conc.Sal.29]))))),
0)</f>
        <v>0</v>
      </c>
      <c r="AI31" s="111">
        <f t="array" ref="AI31">IFERROR(
MEDIAN((IF(DATOS_[[Sexo]:[Sexo]]=$B31,IF(DATOS_[[AGRUP. VALOR. PTO.]:[AGRUP. VALOR. PTO.]]=$B30,IF(DATOS_[[Check Periodo Ref.]:[Check Periodo Ref.]]="Dentro",DATOS_[Conc.Sal.30]))))),
0)</f>
        <v>0</v>
      </c>
      <c r="AJ31" s="112">
        <f t="array" ref="AJ31">IFERROR(
MEDIAN(IF(DATOS_[Sexo]=$B31,IF(DATOS_[AGRUP. VALOR. PTO.]=$B30,IF(DATOS_[Check Periodo Ref.]="Dentro",DATOS_[Tot COMPL.SAL Ef],FALSE)))),
0)</f>
        <v>0</v>
      </c>
      <c r="AK31" s="113">
        <f t="array" ref="AK31">IFERROR(
MEDIAN(IF(DATOS_[Sexo]=$B31,IF(DATOS_[AGRUP. VALOR. PTO.]=$B30,IF(DATOS_[Check Periodo Ref.]="Dentro",DATOS_[TOTAL SALARIO Ef],FALSE)))),
0)</f>
        <v>0</v>
      </c>
      <c r="AL31" s="114">
        <f t="array" ref="AL31">IFERROR(
MEDIAN((IF(DATOS_[[Sexo]:[Sexo]]=$B31,IF(DATOS_[[AGRUP. VALOR. PTO.]:[AGRUP. VALOR. PTO.]]=$B30,IF(DATOS_[[Check Periodo Ref.]:[Check Periodo Ref.]]="Dentro",DATOS_[C.Extra.01]))))),
0)</f>
        <v>0</v>
      </c>
      <c r="AM31" s="114">
        <f t="array" ref="AM31">IFERROR(
MEDIAN((IF(DATOS_[[Sexo]:[Sexo]]=$B31,IF(DATOS_[[AGRUP. VALOR. PTO.]:[AGRUP. VALOR. PTO.]]=$B30,IF(DATOS_[[Check Periodo Ref.]:[Check Periodo Ref.]]="Dentro",DATOS_[C.Extra.02]))))),
0)</f>
        <v>0</v>
      </c>
      <c r="AN31" s="114">
        <f t="array" ref="AN31">IFERROR(
MEDIAN((IF(DATOS_[[Sexo]:[Sexo]]=$B31,IF(DATOS_[[AGRUP. VALOR. PTO.]:[AGRUP. VALOR. PTO.]]=$B30,IF(DATOS_[[Check Periodo Ref.]:[Check Periodo Ref.]]="Dentro",DATOS_[C.Extra.03]))))),
0)</f>
        <v>0</v>
      </c>
      <c r="AO31" s="114">
        <f t="array" ref="AO31">IFERROR(
MEDIAN((IF(DATOS_[[Sexo]:[Sexo]]=$B31,IF(DATOS_[[AGRUP. VALOR. PTO.]:[AGRUP. VALOR. PTO.]]=$B30,IF(DATOS_[[Check Periodo Ref.]:[Check Periodo Ref.]]="Dentro",DATOS_[C.Extra.04]))))),
0)</f>
        <v>0</v>
      </c>
      <c r="AP31" s="114">
        <f t="array" ref="AP31">IFERROR(
MEDIAN((IF(DATOS_[[Sexo]:[Sexo]]=$B31,IF(DATOS_[[AGRUP. VALOR. PTO.]:[AGRUP. VALOR. PTO.]]=$B30,IF(DATOS_[[Check Periodo Ref.]:[Check Periodo Ref.]]="Dentro",DATOS_[C.Extra.05]))))),
0)</f>
        <v>0</v>
      </c>
      <c r="AQ31" s="115">
        <f t="array" ref="AQ31">IFERROR(
MEDIAN(IF(DATOS_[Sexo]=$B31,IF(DATOS_[AGRUP. VALOR. PTO.]=$B30,IF(DATOS_[Check Periodo Ref.]="Dentro",DATOS_[Tot Extrasalarial Ef],FALSE)))),
0)</f>
        <v>0</v>
      </c>
      <c r="AR31" s="116">
        <f t="array" ref="AR31">IFERROR(
MEDIAN(IF(DATOS_[Sexo]=$B31,IF(DATOS_[AGRUP. VALOR. PTO.]=$B30,IF(DATOS_[Check Periodo Ref.]="Dentro",DATOS_[TOTAL Retrib Ef],FALSE)))),
0)</f>
        <v>0</v>
      </c>
    </row>
    <row r="32" spans="1:44" hidden="1" x14ac:dyDescent="0.3">
      <c r="A32" s="42" t="str">
        <f t="shared" ref="A32" si="26">+A31</f>
        <v>[ocultar]</v>
      </c>
      <c r="B32" s="34" t="s">
        <v>163</v>
      </c>
      <c r="C32" s="33">
        <f t="array" ref="C32">SUM(IF($B32=DATOS_[Sexo],
IF($B30=DATOS_[AGRUP. VALOR. PTO.],
IF("Dentro"=DATOS_[Check Periodo Ref.],
1/(COUNTIFS(DATOS_[Sexo],$B32,DATOS_[AGRUP. VALOR. PTO.],$B30,DATOS_[Check Periodo Ref.],"Dentro",DATOS_[id],DATOS_[id]))))))</f>
        <v>0</v>
      </c>
      <c r="D32" s="35">
        <f>COUNTIFS(DATOS_[AGRUP. VALOR. PTO.],$B30,DATOS_[Sexo],$B32,DATOS_[Check Periodo Ref.],"Dentro")</f>
        <v>0</v>
      </c>
      <c r="E32" s="110">
        <f t="array" ref="E32">IFERROR(
MEDIAN(IF(DATOS_[Sexo]=$B32,IF(DATOS_[AGRUP. VALOR. PTO.]=$B30,IF(DATOS_[Check Periodo Ref.]="Dentro",DATOS_[SALARIO BASE Ef],FALSE)))),
0)</f>
        <v>0</v>
      </c>
      <c r="F32" s="111">
        <f t="array" ref="F32">IFERROR(
MEDIAN((IF(DATOS_[[Sexo]:[Sexo]]=$B32,IF(DATOS_[[AGRUP. VALOR. PTO.]:[AGRUP. VALOR. PTO.]]=$B30,IF(DATOS_[[Check Periodo Ref.]:[Check Periodo Ref.]]="Dentro",DATOS_[Conc.Sal.01]))))),
0)</f>
        <v>0</v>
      </c>
      <c r="G32" s="111">
        <f t="array" ref="G32">IFERROR(
MEDIAN((IF(DATOS_[[Sexo]:[Sexo]]=$B32,IF(DATOS_[[AGRUP. VALOR. PTO.]:[AGRUP. VALOR. PTO.]]=$B30,IF(DATOS_[[Check Periodo Ref.]:[Check Periodo Ref.]]="Dentro",DATOS_[Conc.Sal.02]))))),
0)</f>
        <v>0</v>
      </c>
      <c r="H32" s="111">
        <f t="array" ref="H32">IFERROR(
MEDIAN((IF(DATOS_[[Sexo]:[Sexo]]=$B32,IF(DATOS_[[AGRUP. VALOR. PTO.]:[AGRUP. VALOR. PTO.]]=$B30,IF(DATOS_[[Check Periodo Ref.]:[Check Periodo Ref.]]="Dentro",DATOS_[Conc.Sal.03]))))),
0)</f>
        <v>0</v>
      </c>
      <c r="I32" s="111">
        <f t="array" ref="I32">IFERROR(
MEDIAN((IF(DATOS_[[Sexo]:[Sexo]]=$B32,IF(DATOS_[[AGRUP. VALOR. PTO.]:[AGRUP. VALOR. PTO.]]=$B30,IF(DATOS_[[Check Periodo Ref.]:[Check Periodo Ref.]]="Dentro",DATOS_[Conc.Sal.04]))))),
0)</f>
        <v>0</v>
      </c>
      <c r="J32" s="111">
        <f t="array" ref="J32">IFERROR(
MEDIAN((IF(DATOS_[[Sexo]:[Sexo]]=$B32,IF(DATOS_[[AGRUP. VALOR. PTO.]:[AGRUP. VALOR. PTO.]]=$B30,IF(DATOS_[[Check Periodo Ref.]:[Check Periodo Ref.]]="Dentro",DATOS_[Conc.Sal.05]))))),
0)</f>
        <v>0</v>
      </c>
      <c r="K32" s="111">
        <f t="array" ref="K32">IFERROR(
MEDIAN((IF(DATOS_[[Sexo]:[Sexo]]=$B32,IF(DATOS_[[AGRUP. VALOR. PTO.]:[AGRUP. VALOR. PTO.]]=$B30,IF(DATOS_[[Check Periodo Ref.]:[Check Periodo Ref.]]="Dentro",DATOS_[Conc.Sal.06]))))),
0)</f>
        <v>0</v>
      </c>
      <c r="L32" s="111">
        <f t="array" ref="L32">IFERROR(
MEDIAN((IF(DATOS_[[Sexo]:[Sexo]]=$B32,IF(DATOS_[[AGRUP. VALOR. PTO.]:[AGRUP. VALOR. PTO.]]=$B30,IF(DATOS_[[Check Periodo Ref.]:[Check Periodo Ref.]]="Dentro",DATOS_[Conc.Sal.07]))))),
0)</f>
        <v>0</v>
      </c>
      <c r="M32" s="111">
        <f t="array" ref="M32">IFERROR(
MEDIAN((IF(DATOS_[[Sexo]:[Sexo]]=$B32,IF(DATOS_[[AGRUP. VALOR. PTO.]:[AGRUP. VALOR. PTO.]]=$B30,IF(DATOS_[[Check Periodo Ref.]:[Check Periodo Ref.]]="Dentro",DATOS_[Conc.Sal.08]))))),
0)</f>
        <v>0</v>
      </c>
      <c r="N32" s="111">
        <f t="array" ref="N32">IFERROR(
MEDIAN((IF(DATOS_[[Sexo]:[Sexo]]=$B32,IF(DATOS_[[AGRUP. VALOR. PTO.]:[AGRUP. VALOR. PTO.]]=$B30,IF(DATOS_[[Check Periodo Ref.]:[Check Periodo Ref.]]="Dentro",DATOS_[Conc.Sal.09]))))),
0)</f>
        <v>0</v>
      </c>
      <c r="O32" s="111">
        <f t="array" ref="O32">IFERROR(
MEDIAN((IF(DATOS_[[Sexo]:[Sexo]]=$B32,IF(DATOS_[[AGRUP. VALOR. PTO.]:[AGRUP. VALOR. PTO.]]=$B30,IF(DATOS_[[Check Periodo Ref.]:[Check Periodo Ref.]]="Dentro",DATOS_[Conc.Sal.10]))))),
0)</f>
        <v>0</v>
      </c>
      <c r="P32" s="111">
        <f t="array" ref="P32">IFERROR(
MEDIAN((IF(DATOS_[[Sexo]:[Sexo]]=$B32,IF(DATOS_[[AGRUP. VALOR. PTO.]:[AGRUP. VALOR. PTO.]]=$B30,IF(DATOS_[[Check Periodo Ref.]:[Check Periodo Ref.]]="Dentro",DATOS_[Conc.Sal.11]))))),
0)</f>
        <v>0</v>
      </c>
      <c r="Q32" s="111">
        <f t="array" ref="Q32">IFERROR(
MEDIAN((IF(DATOS_[[Sexo]:[Sexo]]=$B32,IF(DATOS_[[AGRUP. VALOR. PTO.]:[AGRUP. VALOR. PTO.]]=$B30,IF(DATOS_[[Check Periodo Ref.]:[Check Periodo Ref.]]="Dentro",DATOS_[Conc.Sal.12]))))),
0)</f>
        <v>0</v>
      </c>
      <c r="R32" s="111">
        <f t="array" ref="R32">IFERROR(
MEDIAN((IF(DATOS_[[Sexo]:[Sexo]]=$B32,IF(DATOS_[[AGRUP. VALOR. PTO.]:[AGRUP. VALOR. PTO.]]=$B30,IF(DATOS_[[Check Periodo Ref.]:[Check Periodo Ref.]]="Dentro",DATOS_[Conc.Sal.13]))))),
0)</f>
        <v>0</v>
      </c>
      <c r="S32" s="111">
        <f t="array" ref="S32">IFERROR(
MEDIAN((IF(DATOS_[[Sexo]:[Sexo]]=$B32,IF(DATOS_[[AGRUP. VALOR. PTO.]:[AGRUP. VALOR. PTO.]]=$B30,IF(DATOS_[[Check Periodo Ref.]:[Check Periodo Ref.]]="Dentro",DATOS_[Conc.Sal.14]))))),
0)</f>
        <v>0</v>
      </c>
      <c r="T32" s="111">
        <f t="array" ref="T32">IFERROR(
MEDIAN((IF(DATOS_[[Sexo]:[Sexo]]=$B32,IF(DATOS_[[AGRUP. VALOR. PTO.]:[AGRUP. VALOR. PTO.]]=$B30,IF(DATOS_[[Check Periodo Ref.]:[Check Periodo Ref.]]="Dentro",DATOS_[Conc.Sal.15]))))),
0)</f>
        <v>0</v>
      </c>
      <c r="U32" s="111">
        <f t="array" ref="U32">IFERROR(
MEDIAN((IF(DATOS_[[Sexo]:[Sexo]]=$B32,IF(DATOS_[[AGRUP. VALOR. PTO.]:[AGRUP. VALOR. PTO.]]=$B30,IF(DATOS_[[Check Periodo Ref.]:[Check Periodo Ref.]]="Dentro",DATOS_[Conc.Sal.16]))))),
0)</f>
        <v>0</v>
      </c>
      <c r="V32" s="111">
        <f t="array" ref="V32">IFERROR(
MEDIAN((IF(DATOS_[[Sexo]:[Sexo]]=$B32,IF(DATOS_[[AGRUP. VALOR. PTO.]:[AGRUP. VALOR. PTO.]]=$B30,IF(DATOS_[[Check Periodo Ref.]:[Check Periodo Ref.]]="Dentro",DATOS_[Conc.Sal.17]))))),
0)</f>
        <v>0</v>
      </c>
      <c r="W32" s="111">
        <f t="array" ref="W32">IFERROR(
MEDIAN((IF(DATOS_[[Sexo]:[Sexo]]=$B32,IF(DATOS_[[AGRUP. VALOR. PTO.]:[AGRUP. VALOR. PTO.]]=$B30,IF(DATOS_[[Check Periodo Ref.]:[Check Periodo Ref.]]="Dentro",DATOS_[Conc.Sal.18]))))),
0)</f>
        <v>0</v>
      </c>
      <c r="X32" s="111">
        <f t="array" ref="X32">IFERROR(
MEDIAN((IF(DATOS_[[Sexo]:[Sexo]]=$B32,IF(DATOS_[[AGRUP. VALOR. PTO.]:[AGRUP. VALOR. PTO.]]=$B30,IF(DATOS_[[Check Periodo Ref.]:[Check Periodo Ref.]]="Dentro",DATOS_[Conc.Sal.19]))))),
0)</f>
        <v>0</v>
      </c>
      <c r="Y32" s="111">
        <f t="array" ref="Y32">IFERROR(
MEDIAN((IF(DATOS_[[Sexo]:[Sexo]]=$B32,IF(DATOS_[[AGRUP. VALOR. PTO.]:[AGRUP. VALOR. PTO.]]=$B30,IF(DATOS_[[Check Periodo Ref.]:[Check Periodo Ref.]]="Dentro",DATOS_[Conc.Sal.20]))))),
0)</f>
        <v>0</v>
      </c>
      <c r="Z32" s="111">
        <f t="array" ref="Z32">IFERROR(
MEDIAN((IF(DATOS_[[Sexo]:[Sexo]]=$B32,IF(DATOS_[[AGRUP. VALOR. PTO.]:[AGRUP. VALOR. PTO.]]=$B30,IF(DATOS_[[Check Periodo Ref.]:[Check Periodo Ref.]]="Dentro",DATOS_[Conc.Sal.21]))))),
0)</f>
        <v>0</v>
      </c>
      <c r="AA32" s="111">
        <f t="array" ref="AA32">IFERROR(
MEDIAN((IF(DATOS_[[Sexo]:[Sexo]]=$B32,IF(DATOS_[[AGRUP. VALOR. PTO.]:[AGRUP. VALOR. PTO.]]=$B30,IF(DATOS_[[Check Periodo Ref.]:[Check Periodo Ref.]]="Dentro",DATOS_[Conc.Sal.22]))))),
0)</f>
        <v>0</v>
      </c>
      <c r="AB32" s="111">
        <f t="array" ref="AB32">IFERROR(
MEDIAN((IF(DATOS_[[Sexo]:[Sexo]]=$B32,IF(DATOS_[[AGRUP. VALOR. PTO.]:[AGRUP. VALOR. PTO.]]=$B30,IF(DATOS_[[Check Periodo Ref.]:[Check Periodo Ref.]]="Dentro",DATOS_[Conc.Sal.23]))))),
0)</f>
        <v>0</v>
      </c>
      <c r="AC32" s="111">
        <f t="array" ref="AC32">IFERROR(
MEDIAN((IF(DATOS_[[Sexo]:[Sexo]]=$B32,IF(DATOS_[[AGRUP. VALOR. PTO.]:[AGRUP. VALOR. PTO.]]=$B30,IF(DATOS_[[Check Periodo Ref.]:[Check Periodo Ref.]]="Dentro",DATOS_[Conc.Sal.24]))))),
0)</f>
        <v>0</v>
      </c>
      <c r="AD32" s="111">
        <f t="array" ref="AD32">IFERROR(
MEDIAN((IF(DATOS_[[Sexo]:[Sexo]]=$B32,IF(DATOS_[[AGRUP. VALOR. PTO.]:[AGRUP. VALOR. PTO.]]=$B30,IF(DATOS_[[Check Periodo Ref.]:[Check Periodo Ref.]]="Dentro",DATOS_[Conc.Sal.25]))))),
0)</f>
        <v>0</v>
      </c>
      <c r="AE32" s="111">
        <f t="array" ref="AE32">IFERROR(
MEDIAN((IF(DATOS_[[Sexo]:[Sexo]]=$B32,IF(DATOS_[[AGRUP. VALOR. PTO.]:[AGRUP. VALOR. PTO.]]=$B30,IF(DATOS_[[Check Periodo Ref.]:[Check Periodo Ref.]]="Dentro",DATOS_[Conc.Sal.26]))))),
0)</f>
        <v>0</v>
      </c>
      <c r="AF32" s="111">
        <f t="array" ref="AF32">IFERROR(
MEDIAN((IF(DATOS_[[Sexo]:[Sexo]]=$B32,IF(DATOS_[[AGRUP. VALOR. PTO.]:[AGRUP. VALOR. PTO.]]=$B30,IF(DATOS_[[Check Periodo Ref.]:[Check Periodo Ref.]]="Dentro",DATOS_[Conc.Sal.27]))))),
0)</f>
        <v>0</v>
      </c>
      <c r="AG32" s="111">
        <f t="array" ref="AG32">IFERROR(
MEDIAN((IF(DATOS_[[Sexo]:[Sexo]]=$B32,IF(DATOS_[[AGRUP. VALOR. PTO.]:[AGRUP. VALOR. PTO.]]=$B30,IF(DATOS_[[Check Periodo Ref.]:[Check Periodo Ref.]]="Dentro",DATOS_[Conc.Sal.28]))))),
0)</f>
        <v>0</v>
      </c>
      <c r="AH32" s="111">
        <f t="array" ref="AH32">IFERROR(
MEDIAN((IF(DATOS_[[Sexo]:[Sexo]]=$B32,IF(DATOS_[[AGRUP. VALOR. PTO.]:[AGRUP. VALOR. PTO.]]=$B30,IF(DATOS_[[Check Periodo Ref.]:[Check Periodo Ref.]]="Dentro",DATOS_[Conc.Sal.29]))))),
0)</f>
        <v>0</v>
      </c>
      <c r="AI32" s="111">
        <f t="array" ref="AI32">IFERROR(
MEDIAN((IF(DATOS_[[Sexo]:[Sexo]]=$B32,IF(DATOS_[[AGRUP. VALOR. PTO.]:[AGRUP. VALOR. PTO.]]=$B30,IF(DATOS_[[Check Periodo Ref.]:[Check Periodo Ref.]]="Dentro",DATOS_[Conc.Sal.30]))))),
0)</f>
        <v>0</v>
      </c>
      <c r="AJ32" s="112">
        <f t="array" ref="AJ32">IFERROR(
MEDIAN(IF(DATOS_[Sexo]=$B32,IF(DATOS_[AGRUP. VALOR. PTO.]=$B30,IF(DATOS_[Check Periodo Ref.]="Dentro",DATOS_[Tot COMPL.SAL Ef],FALSE)))),
0)</f>
        <v>0</v>
      </c>
      <c r="AK32" s="113">
        <f t="array" ref="AK32">IFERROR(
MEDIAN(IF(DATOS_[Sexo]=$B32,IF(DATOS_[AGRUP. VALOR. PTO.]=$B30,IF(DATOS_[Check Periodo Ref.]="Dentro",DATOS_[TOTAL SALARIO Ef],FALSE)))),
0)</f>
        <v>0</v>
      </c>
      <c r="AL32" s="114">
        <f t="array" ref="AL32">IFERROR(
MEDIAN((IF(DATOS_[[Sexo]:[Sexo]]=$B32,IF(DATOS_[[AGRUP. VALOR. PTO.]:[AGRUP. VALOR. PTO.]]=$B30,IF(DATOS_[[Check Periodo Ref.]:[Check Periodo Ref.]]="Dentro",DATOS_[C.Extra.01]))))),
0)</f>
        <v>0</v>
      </c>
      <c r="AM32" s="114">
        <f t="array" ref="AM32">IFERROR(
MEDIAN((IF(DATOS_[[Sexo]:[Sexo]]=$B32,IF(DATOS_[[AGRUP. VALOR. PTO.]:[AGRUP. VALOR. PTO.]]=$B30,IF(DATOS_[[Check Periodo Ref.]:[Check Periodo Ref.]]="Dentro",DATOS_[C.Extra.02]))))),
0)</f>
        <v>0</v>
      </c>
      <c r="AN32" s="114">
        <f t="array" ref="AN32">IFERROR(
MEDIAN((IF(DATOS_[[Sexo]:[Sexo]]=$B32,IF(DATOS_[[AGRUP. VALOR. PTO.]:[AGRUP. VALOR. PTO.]]=$B30,IF(DATOS_[[Check Periodo Ref.]:[Check Periodo Ref.]]="Dentro",DATOS_[C.Extra.03]))))),
0)</f>
        <v>0</v>
      </c>
      <c r="AO32" s="114">
        <f t="array" ref="AO32">IFERROR(
MEDIAN((IF(DATOS_[[Sexo]:[Sexo]]=$B32,IF(DATOS_[[AGRUP. VALOR. PTO.]:[AGRUP. VALOR. PTO.]]=$B30,IF(DATOS_[[Check Periodo Ref.]:[Check Periodo Ref.]]="Dentro",DATOS_[C.Extra.04]))))),
0)</f>
        <v>0</v>
      </c>
      <c r="AP32" s="114">
        <f t="array" ref="AP32">IFERROR(
MEDIAN((IF(DATOS_[[Sexo]:[Sexo]]=$B32,IF(DATOS_[[AGRUP. VALOR. PTO.]:[AGRUP. VALOR. PTO.]]=$B30,IF(DATOS_[[Check Periodo Ref.]:[Check Periodo Ref.]]="Dentro",DATOS_[C.Extra.05]))))),
0)</f>
        <v>0</v>
      </c>
      <c r="AQ32" s="115">
        <f t="array" ref="AQ32">IFERROR(
MEDIAN(IF(DATOS_[Sexo]=$B32,IF(DATOS_[AGRUP. VALOR. PTO.]=$B30,IF(DATOS_[Check Periodo Ref.]="Dentro",DATOS_[Tot Extrasalarial Ef],FALSE)))),
0)</f>
        <v>0</v>
      </c>
      <c r="AR32" s="116">
        <f t="array" ref="AR32">IFERROR(
MEDIAN(IF(DATOS_[Sexo]=$B32,IF(DATOS_[AGRUP. VALOR. PTO.]=$B30,IF(DATOS_[Check Periodo Ref.]="Dentro",DATOS_[TOTAL Retrib Ef],FALSE)))),
0)</f>
        <v>0</v>
      </c>
    </row>
    <row r="33" spans="1:44" ht="17.25" hidden="1" thickBot="1" x14ac:dyDescent="0.35">
      <c r="A33" s="42" t="str">
        <f t="shared" ref="A33" si="27">+A34</f>
        <v>[ocultar]</v>
      </c>
      <c r="B33" s="40" t="s">
        <v>305</v>
      </c>
      <c r="C33" s="109"/>
      <c r="D33" s="41"/>
      <c r="E33" s="119" t="str">
        <f t="shared" ref="E33:AR33" si="28">IFERROR((E34-E35)/E34,"")</f>
        <v/>
      </c>
      <c r="F33" s="123" t="str">
        <f t="shared" si="28"/>
        <v/>
      </c>
      <c r="G33" s="123" t="str">
        <f t="shared" si="28"/>
        <v/>
      </c>
      <c r="H33" s="123" t="str">
        <f t="shared" si="28"/>
        <v/>
      </c>
      <c r="I33" s="123" t="str">
        <f t="shared" si="28"/>
        <v/>
      </c>
      <c r="J33" s="123" t="str">
        <f t="shared" si="28"/>
        <v/>
      </c>
      <c r="K33" s="123" t="str">
        <f t="shared" si="28"/>
        <v/>
      </c>
      <c r="L33" s="123" t="str">
        <f t="shared" si="28"/>
        <v/>
      </c>
      <c r="M33" s="123" t="str">
        <f t="shared" si="28"/>
        <v/>
      </c>
      <c r="N33" s="123" t="str">
        <f t="shared" si="28"/>
        <v/>
      </c>
      <c r="O33" s="123" t="str">
        <f t="shared" si="28"/>
        <v/>
      </c>
      <c r="P33" s="123" t="str">
        <f t="shared" si="28"/>
        <v/>
      </c>
      <c r="Q33" s="123" t="str">
        <f t="shared" si="28"/>
        <v/>
      </c>
      <c r="R33" s="123" t="str">
        <f t="shared" si="28"/>
        <v/>
      </c>
      <c r="S33" s="123" t="str">
        <f t="shared" si="28"/>
        <v/>
      </c>
      <c r="T33" s="123" t="str">
        <f t="shared" si="28"/>
        <v/>
      </c>
      <c r="U33" s="123" t="str">
        <f t="shared" si="28"/>
        <v/>
      </c>
      <c r="V33" s="122" t="str">
        <f t="shared" si="28"/>
        <v/>
      </c>
      <c r="W33" s="122" t="str">
        <f t="shared" si="28"/>
        <v/>
      </c>
      <c r="X33" s="122" t="str">
        <f t="shared" si="28"/>
        <v/>
      </c>
      <c r="Y33" s="122" t="str">
        <f t="shared" si="28"/>
        <v/>
      </c>
      <c r="Z33" s="122" t="str">
        <f t="shared" si="28"/>
        <v/>
      </c>
      <c r="AA33" s="122" t="str">
        <f t="shared" si="28"/>
        <v/>
      </c>
      <c r="AB33" s="122" t="str">
        <f t="shared" si="28"/>
        <v/>
      </c>
      <c r="AC33" s="122" t="str">
        <f t="shared" si="28"/>
        <v/>
      </c>
      <c r="AD33" s="122" t="str">
        <f t="shared" si="28"/>
        <v/>
      </c>
      <c r="AE33" s="122" t="str">
        <f t="shared" si="28"/>
        <v/>
      </c>
      <c r="AF33" s="122" t="str">
        <f t="shared" si="28"/>
        <v/>
      </c>
      <c r="AG33" s="122" t="str">
        <f t="shared" si="28"/>
        <v/>
      </c>
      <c r="AH33" s="122" t="str">
        <f t="shared" si="28"/>
        <v/>
      </c>
      <c r="AI33" s="122" t="str">
        <f t="shared" si="28"/>
        <v/>
      </c>
      <c r="AJ33" s="124" t="str">
        <f t="shared" si="28"/>
        <v/>
      </c>
      <c r="AK33" s="128" t="str">
        <f t="shared" si="28"/>
        <v/>
      </c>
      <c r="AL33" s="125" t="str">
        <f t="shared" si="28"/>
        <v/>
      </c>
      <c r="AM33" s="125" t="str">
        <f t="shared" si="28"/>
        <v/>
      </c>
      <c r="AN33" s="125" t="str">
        <f t="shared" si="28"/>
        <v/>
      </c>
      <c r="AO33" s="125" t="str">
        <f t="shared" si="28"/>
        <v/>
      </c>
      <c r="AP33" s="125" t="str">
        <f t="shared" si="28"/>
        <v/>
      </c>
      <c r="AQ33" s="126" t="str">
        <f t="shared" si="28"/>
        <v/>
      </c>
      <c r="AR33" s="127" t="str">
        <f t="shared" si="28"/>
        <v/>
      </c>
    </row>
    <row r="34" spans="1:44" hidden="1" x14ac:dyDescent="0.3">
      <c r="A34" s="42" t="str">
        <f t="shared" ref="A34" si="29">+IF(C34+C35=0,"[ocultar]","")</f>
        <v>[ocultar]</v>
      </c>
      <c r="B34" s="34" t="s">
        <v>162</v>
      </c>
      <c r="C34" s="33">
        <f t="array" ref="C34">SUM(IF($B34=DATOS_[Sexo],
IF($B33=DATOS_[AGRUP. VALOR. PTO.],
IF("Dentro"=DATOS_[Check Periodo Ref.],
1/(COUNTIFS(DATOS_[Sexo],$B34,DATOS_[AGRUP. VALOR. PTO.],$B33,DATOS_[Check Periodo Ref.],"Dentro",DATOS_[id],DATOS_[id]))))))</f>
        <v>0</v>
      </c>
      <c r="D34" s="35">
        <f>COUNTIFS(DATOS_[AGRUP. VALOR. PTO.],$B33,DATOS_[Sexo],$B34,DATOS_[Check Periodo Ref.],"Dentro")</f>
        <v>0</v>
      </c>
      <c r="E34" s="110">
        <f t="array" ref="E34">IFERROR(
MEDIAN(IF(DATOS_[Sexo]=$B34,IF(DATOS_[AGRUP. VALOR. PTO.]=$B33,IF(DATOS_[Check Periodo Ref.]="Dentro",DATOS_[SALARIO BASE Ef],FALSE)))),
0)</f>
        <v>0</v>
      </c>
      <c r="F34" s="111">
        <f t="array" ref="F34">IFERROR(
MEDIAN((IF(DATOS_[[Sexo]:[Sexo]]=$B34,IF(DATOS_[[AGRUP. VALOR. PTO.]:[AGRUP. VALOR. PTO.]]=$B33,IF(DATOS_[[Check Periodo Ref.]:[Check Periodo Ref.]]="Dentro",DATOS_[Conc.Sal.01]))))),
0)</f>
        <v>0</v>
      </c>
      <c r="G34" s="111">
        <f t="array" ref="G34">IFERROR(
MEDIAN((IF(DATOS_[[Sexo]:[Sexo]]=$B34,IF(DATOS_[[AGRUP. VALOR. PTO.]:[AGRUP. VALOR. PTO.]]=$B33,IF(DATOS_[[Check Periodo Ref.]:[Check Periodo Ref.]]="Dentro",DATOS_[Conc.Sal.02]))))),
0)</f>
        <v>0</v>
      </c>
      <c r="H34" s="111">
        <f t="array" ref="H34">IFERROR(
MEDIAN((IF(DATOS_[[Sexo]:[Sexo]]=$B34,IF(DATOS_[[AGRUP. VALOR. PTO.]:[AGRUP. VALOR. PTO.]]=$B33,IF(DATOS_[[Check Periodo Ref.]:[Check Periodo Ref.]]="Dentro",DATOS_[Conc.Sal.03]))))),
0)</f>
        <v>0</v>
      </c>
      <c r="I34" s="111">
        <f t="array" ref="I34">IFERROR(
MEDIAN((IF(DATOS_[[Sexo]:[Sexo]]=$B34,IF(DATOS_[[AGRUP. VALOR. PTO.]:[AGRUP. VALOR. PTO.]]=$B33,IF(DATOS_[[Check Periodo Ref.]:[Check Periodo Ref.]]="Dentro",DATOS_[Conc.Sal.04]))))),
0)</f>
        <v>0</v>
      </c>
      <c r="J34" s="111">
        <f t="array" ref="J34">IFERROR(
MEDIAN((IF(DATOS_[[Sexo]:[Sexo]]=$B34,IF(DATOS_[[AGRUP. VALOR. PTO.]:[AGRUP. VALOR. PTO.]]=$B33,IF(DATOS_[[Check Periodo Ref.]:[Check Periodo Ref.]]="Dentro",DATOS_[Conc.Sal.05]))))),
0)</f>
        <v>0</v>
      </c>
      <c r="K34" s="111">
        <f t="array" ref="K34">IFERROR(
MEDIAN((IF(DATOS_[[Sexo]:[Sexo]]=$B34,IF(DATOS_[[AGRUP. VALOR. PTO.]:[AGRUP. VALOR. PTO.]]=$B33,IF(DATOS_[[Check Periodo Ref.]:[Check Periodo Ref.]]="Dentro",DATOS_[Conc.Sal.06]))))),
0)</f>
        <v>0</v>
      </c>
      <c r="L34" s="111">
        <f t="array" ref="L34">IFERROR(
MEDIAN((IF(DATOS_[[Sexo]:[Sexo]]=$B34,IF(DATOS_[[AGRUP. VALOR. PTO.]:[AGRUP. VALOR. PTO.]]=$B33,IF(DATOS_[[Check Periodo Ref.]:[Check Periodo Ref.]]="Dentro",DATOS_[Conc.Sal.07]))))),
0)</f>
        <v>0</v>
      </c>
      <c r="M34" s="111">
        <f t="array" ref="M34">IFERROR(
MEDIAN((IF(DATOS_[[Sexo]:[Sexo]]=$B34,IF(DATOS_[[AGRUP. VALOR. PTO.]:[AGRUP. VALOR. PTO.]]=$B33,IF(DATOS_[[Check Periodo Ref.]:[Check Periodo Ref.]]="Dentro",DATOS_[Conc.Sal.08]))))),
0)</f>
        <v>0</v>
      </c>
      <c r="N34" s="111">
        <f t="array" ref="N34">IFERROR(
MEDIAN((IF(DATOS_[[Sexo]:[Sexo]]=$B34,IF(DATOS_[[AGRUP. VALOR. PTO.]:[AGRUP. VALOR. PTO.]]=$B33,IF(DATOS_[[Check Periodo Ref.]:[Check Periodo Ref.]]="Dentro",DATOS_[Conc.Sal.09]))))),
0)</f>
        <v>0</v>
      </c>
      <c r="O34" s="111">
        <f t="array" ref="O34">IFERROR(
MEDIAN((IF(DATOS_[[Sexo]:[Sexo]]=$B34,IF(DATOS_[[AGRUP. VALOR. PTO.]:[AGRUP. VALOR. PTO.]]=$B33,IF(DATOS_[[Check Periodo Ref.]:[Check Periodo Ref.]]="Dentro",DATOS_[Conc.Sal.10]))))),
0)</f>
        <v>0</v>
      </c>
      <c r="P34" s="111">
        <f t="array" ref="P34">IFERROR(
MEDIAN((IF(DATOS_[[Sexo]:[Sexo]]=$B34,IF(DATOS_[[AGRUP. VALOR. PTO.]:[AGRUP. VALOR. PTO.]]=$B33,IF(DATOS_[[Check Periodo Ref.]:[Check Periodo Ref.]]="Dentro",DATOS_[Conc.Sal.11]))))),
0)</f>
        <v>0</v>
      </c>
      <c r="Q34" s="111">
        <f t="array" ref="Q34">IFERROR(
MEDIAN((IF(DATOS_[[Sexo]:[Sexo]]=$B34,IF(DATOS_[[AGRUP. VALOR. PTO.]:[AGRUP. VALOR. PTO.]]=$B33,IF(DATOS_[[Check Periodo Ref.]:[Check Periodo Ref.]]="Dentro",DATOS_[Conc.Sal.12]))))),
0)</f>
        <v>0</v>
      </c>
      <c r="R34" s="111">
        <f t="array" ref="R34">IFERROR(
MEDIAN((IF(DATOS_[[Sexo]:[Sexo]]=$B34,IF(DATOS_[[AGRUP. VALOR. PTO.]:[AGRUP. VALOR. PTO.]]=$B33,IF(DATOS_[[Check Periodo Ref.]:[Check Periodo Ref.]]="Dentro",DATOS_[Conc.Sal.13]))))),
0)</f>
        <v>0</v>
      </c>
      <c r="S34" s="111">
        <f t="array" ref="S34">IFERROR(
MEDIAN((IF(DATOS_[[Sexo]:[Sexo]]=$B34,IF(DATOS_[[AGRUP. VALOR. PTO.]:[AGRUP. VALOR. PTO.]]=$B33,IF(DATOS_[[Check Periodo Ref.]:[Check Periodo Ref.]]="Dentro",DATOS_[Conc.Sal.14]))))),
0)</f>
        <v>0</v>
      </c>
      <c r="T34" s="111">
        <f t="array" ref="T34">IFERROR(
MEDIAN((IF(DATOS_[[Sexo]:[Sexo]]=$B34,IF(DATOS_[[AGRUP. VALOR. PTO.]:[AGRUP. VALOR. PTO.]]=$B33,IF(DATOS_[[Check Periodo Ref.]:[Check Periodo Ref.]]="Dentro",DATOS_[Conc.Sal.15]))))),
0)</f>
        <v>0</v>
      </c>
      <c r="U34" s="111">
        <f t="array" ref="U34">IFERROR(
MEDIAN((IF(DATOS_[[Sexo]:[Sexo]]=$B34,IF(DATOS_[[AGRUP. VALOR. PTO.]:[AGRUP. VALOR. PTO.]]=$B33,IF(DATOS_[[Check Periodo Ref.]:[Check Periodo Ref.]]="Dentro",DATOS_[Conc.Sal.16]))))),
0)</f>
        <v>0</v>
      </c>
      <c r="V34" s="111">
        <f t="array" ref="V34">IFERROR(
MEDIAN((IF(DATOS_[[Sexo]:[Sexo]]=$B34,IF(DATOS_[[AGRUP. VALOR. PTO.]:[AGRUP. VALOR. PTO.]]=$B33,IF(DATOS_[[Check Periodo Ref.]:[Check Periodo Ref.]]="Dentro",DATOS_[Conc.Sal.17]))))),
0)</f>
        <v>0</v>
      </c>
      <c r="W34" s="111">
        <f t="array" ref="W34">IFERROR(
MEDIAN((IF(DATOS_[[Sexo]:[Sexo]]=$B34,IF(DATOS_[[AGRUP. VALOR. PTO.]:[AGRUP. VALOR. PTO.]]=$B33,IF(DATOS_[[Check Periodo Ref.]:[Check Periodo Ref.]]="Dentro",DATOS_[Conc.Sal.18]))))),
0)</f>
        <v>0</v>
      </c>
      <c r="X34" s="111">
        <f t="array" ref="X34">IFERROR(
MEDIAN((IF(DATOS_[[Sexo]:[Sexo]]=$B34,IF(DATOS_[[AGRUP. VALOR. PTO.]:[AGRUP. VALOR. PTO.]]=$B33,IF(DATOS_[[Check Periodo Ref.]:[Check Periodo Ref.]]="Dentro",DATOS_[Conc.Sal.19]))))),
0)</f>
        <v>0</v>
      </c>
      <c r="Y34" s="111">
        <f t="array" ref="Y34">IFERROR(
MEDIAN((IF(DATOS_[[Sexo]:[Sexo]]=$B34,IF(DATOS_[[AGRUP. VALOR. PTO.]:[AGRUP. VALOR. PTO.]]=$B33,IF(DATOS_[[Check Periodo Ref.]:[Check Periodo Ref.]]="Dentro",DATOS_[Conc.Sal.20]))))),
0)</f>
        <v>0</v>
      </c>
      <c r="Z34" s="111">
        <f t="array" ref="Z34">IFERROR(
MEDIAN((IF(DATOS_[[Sexo]:[Sexo]]=$B34,IF(DATOS_[[AGRUP. VALOR. PTO.]:[AGRUP. VALOR. PTO.]]=$B33,IF(DATOS_[[Check Periodo Ref.]:[Check Periodo Ref.]]="Dentro",DATOS_[Conc.Sal.21]))))),
0)</f>
        <v>0</v>
      </c>
      <c r="AA34" s="111">
        <f t="array" ref="AA34">IFERROR(
MEDIAN((IF(DATOS_[[Sexo]:[Sexo]]=$B34,IF(DATOS_[[AGRUP. VALOR. PTO.]:[AGRUP. VALOR. PTO.]]=$B33,IF(DATOS_[[Check Periodo Ref.]:[Check Periodo Ref.]]="Dentro",DATOS_[Conc.Sal.22]))))),
0)</f>
        <v>0</v>
      </c>
      <c r="AB34" s="111">
        <f t="array" ref="AB34">IFERROR(
MEDIAN((IF(DATOS_[[Sexo]:[Sexo]]=$B34,IF(DATOS_[[AGRUP. VALOR. PTO.]:[AGRUP. VALOR. PTO.]]=$B33,IF(DATOS_[[Check Periodo Ref.]:[Check Periodo Ref.]]="Dentro",DATOS_[Conc.Sal.23]))))),
0)</f>
        <v>0</v>
      </c>
      <c r="AC34" s="111">
        <f t="array" ref="AC34">IFERROR(
MEDIAN((IF(DATOS_[[Sexo]:[Sexo]]=$B34,IF(DATOS_[[AGRUP. VALOR. PTO.]:[AGRUP. VALOR. PTO.]]=$B33,IF(DATOS_[[Check Periodo Ref.]:[Check Periodo Ref.]]="Dentro",DATOS_[Conc.Sal.24]))))),
0)</f>
        <v>0</v>
      </c>
      <c r="AD34" s="111">
        <f t="array" ref="AD34">IFERROR(
MEDIAN((IF(DATOS_[[Sexo]:[Sexo]]=$B34,IF(DATOS_[[AGRUP. VALOR. PTO.]:[AGRUP. VALOR. PTO.]]=$B33,IF(DATOS_[[Check Periodo Ref.]:[Check Periodo Ref.]]="Dentro",DATOS_[Conc.Sal.25]))))),
0)</f>
        <v>0</v>
      </c>
      <c r="AE34" s="111">
        <f t="array" ref="AE34">IFERROR(
MEDIAN((IF(DATOS_[[Sexo]:[Sexo]]=$B34,IF(DATOS_[[AGRUP. VALOR. PTO.]:[AGRUP. VALOR. PTO.]]=$B33,IF(DATOS_[[Check Periodo Ref.]:[Check Periodo Ref.]]="Dentro",DATOS_[Conc.Sal.26]))))),
0)</f>
        <v>0</v>
      </c>
      <c r="AF34" s="111">
        <f t="array" ref="AF34">IFERROR(
MEDIAN((IF(DATOS_[[Sexo]:[Sexo]]=$B34,IF(DATOS_[[AGRUP. VALOR. PTO.]:[AGRUP. VALOR. PTO.]]=$B33,IF(DATOS_[[Check Periodo Ref.]:[Check Periodo Ref.]]="Dentro",DATOS_[Conc.Sal.27]))))),
0)</f>
        <v>0</v>
      </c>
      <c r="AG34" s="111">
        <f t="array" ref="AG34">IFERROR(
MEDIAN((IF(DATOS_[[Sexo]:[Sexo]]=$B34,IF(DATOS_[[AGRUP. VALOR. PTO.]:[AGRUP. VALOR. PTO.]]=$B33,IF(DATOS_[[Check Periodo Ref.]:[Check Periodo Ref.]]="Dentro",DATOS_[Conc.Sal.28]))))),
0)</f>
        <v>0</v>
      </c>
      <c r="AH34" s="111">
        <f t="array" ref="AH34">IFERROR(
MEDIAN((IF(DATOS_[[Sexo]:[Sexo]]=$B34,IF(DATOS_[[AGRUP. VALOR. PTO.]:[AGRUP. VALOR. PTO.]]=$B33,IF(DATOS_[[Check Periodo Ref.]:[Check Periodo Ref.]]="Dentro",DATOS_[Conc.Sal.29]))))),
0)</f>
        <v>0</v>
      </c>
      <c r="AI34" s="111">
        <f t="array" ref="AI34">IFERROR(
MEDIAN((IF(DATOS_[[Sexo]:[Sexo]]=$B34,IF(DATOS_[[AGRUP. VALOR. PTO.]:[AGRUP. VALOR. PTO.]]=$B33,IF(DATOS_[[Check Periodo Ref.]:[Check Periodo Ref.]]="Dentro",DATOS_[Conc.Sal.30]))))),
0)</f>
        <v>0</v>
      </c>
      <c r="AJ34" s="112">
        <f t="array" ref="AJ34">IFERROR(
MEDIAN(IF(DATOS_[Sexo]=$B34,IF(DATOS_[AGRUP. VALOR. PTO.]=$B33,IF(DATOS_[Check Periodo Ref.]="Dentro",DATOS_[Tot COMPL.SAL Ef],FALSE)))),
0)</f>
        <v>0</v>
      </c>
      <c r="AK34" s="113">
        <f t="array" ref="AK34">IFERROR(
MEDIAN(IF(DATOS_[Sexo]=$B34,IF(DATOS_[AGRUP. VALOR. PTO.]=$B33,IF(DATOS_[Check Periodo Ref.]="Dentro",DATOS_[TOTAL SALARIO Ef],FALSE)))),
0)</f>
        <v>0</v>
      </c>
      <c r="AL34" s="114">
        <f t="array" ref="AL34">IFERROR(
MEDIAN((IF(DATOS_[[Sexo]:[Sexo]]=$B34,IF(DATOS_[[AGRUP. VALOR. PTO.]:[AGRUP. VALOR. PTO.]]=$B33,IF(DATOS_[[Check Periodo Ref.]:[Check Periodo Ref.]]="Dentro",DATOS_[C.Extra.01]))))),
0)</f>
        <v>0</v>
      </c>
      <c r="AM34" s="114">
        <f t="array" ref="AM34">IFERROR(
MEDIAN((IF(DATOS_[[Sexo]:[Sexo]]=$B34,IF(DATOS_[[AGRUP. VALOR. PTO.]:[AGRUP. VALOR. PTO.]]=$B33,IF(DATOS_[[Check Periodo Ref.]:[Check Periodo Ref.]]="Dentro",DATOS_[C.Extra.02]))))),
0)</f>
        <v>0</v>
      </c>
      <c r="AN34" s="114">
        <f t="array" ref="AN34">IFERROR(
MEDIAN((IF(DATOS_[[Sexo]:[Sexo]]=$B34,IF(DATOS_[[AGRUP. VALOR. PTO.]:[AGRUP. VALOR. PTO.]]=$B33,IF(DATOS_[[Check Periodo Ref.]:[Check Periodo Ref.]]="Dentro",DATOS_[C.Extra.03]))))),
0)</f>
        <v>0</v>
      </c>
      <c r="AO34" s="114">
        <f t="array" ref="AO34">IFERROR(
MEDIAN((IF(DATOS_[[Sexo]:[Sexo]]=$B34,IF(DATOS_[[AGRUP. VALOR. PTO.]:[AGRUP. VALOR. PTO.]]=$B33,IF(DATOS_[[Check Periodo Ref.]:[Check Periodo Ref.]]="Dentro",DATOS_[C.Extra.04]))))),
0)</f>
        <v>0</v>
      </c>
      <c r="AP34" s="114">
        <f t="array" ref="AP34">IFERROR(
MEDIAN((IF(DATOS_[[Sexo]:[Sexo]]=$B34,IF(DATOS_[[AGRUP. VALOR. PTO.]:[AGRUP. VALOR. PTO.]]=$B33,IF(DATOS_[[Check Periodo Ref.]:[Check Periodo Ref.]]="Dentro",DATOS_[C.Extra.05]))))),
0)</f>
        <v>0</v>
      </c>
      <c r="AQ34" s="115">
        <f t="array" ref="AQ34">IFERROR(
MEDIAN(IF(DATOS_[Sexo]=$B34,IF(DATOS_[AGRUP. VALOR. PTO.]=$B33,IF(DATOS_[Check Periodo Ref.]="Dentro",DATOS_[Tot Extrasalarial Ef],FALSE)))),
0)</f>
        <v>0</v>
      </c>
      <c r="AR34" s="116">
        <f t="array" ref="AR34">IFERROR(
MEDIAN(IF(DATOS_[Sexo]=$B34,IF(DATOS_[AGRUP. VALOR. PTO.]=$B33,IF(DATOS_[Check Periodo Ref.]="Dentro",DATOS_[TOTAL Retrib Ef],FALSE)))),
0)</f>
        <v>0</v>
      </c>
    </row>
    <row r="35" spans="1:44" hidden="1" x14ac:dyDescent="0.3">
      <c r="A35" s="42" t="str">
        <f t="shared" ref="A35" si="30">+A34</f>
        <v>[ocultar]</v>
      </c>
      <c r="B35" s="34" t="s">
        <v>163</v>
      </c>
      <c r="C35" s="33">
        <f t="array" ref="C35">SUM(IF($B35=DATOS_[Sexo],
IF($B33=DATOS_[AGRUP. VALOR. PTO.],
IF("Dentro"=DATOS_[Check Periodo Ref.],
1/(COUNTIFS(DATOS_[Sexo],$B35,DATOS_[AGRUP. VALOR. PTO.],$B33,DATOS_[Check Periodo Ref.],"Dentro",DATOS_[id],DATOS_[id]))))))</f>
        <v>0</v>
      </c>
      <c r="D35" s="35">
        <f>COUNTIFS(DATOS_[AGRUP. VALOR. PTO.],$B33,DATOS_[Sexo],$B35,DATOS_[Check Periodo Ref.],"Dentro")</f>
        <v>0</v>
      </c>
      <c r="E35" s="110">
        <f t="array" ref="E35">IFERROR(
MEDIAN(IF(DATOS_[Sexo]=$B35,IF(DATOS_[AGRUP. VALOR. PTO.]=$B33,IF(DATOS_[Check Periodo Ref.]="Dentro",DATOS_[SALARIO BASE Ef],FALSE)))),
0)</f>
        <v>0</v>
      </c>
      <c r="F35" s="111">
        <f t="array" ref="F35">IFERROR(
MEDIAN((IF(DATOS_[[Sexo]:[Sexo]]=$B35,IF(DATOS_[[AGRUP. VALOR. PTO.]:[AGRUP. VALOR. PTO.]]=$B33,IF(DATOS_[[Check Periodo Ref.]:[Check Periodo Ref.]]="Dentro",DATOS_[Conc.Sal.01]))))),
0)</f>
        <v>0</v>
      </c>
      <c r="G35" s="111">
        <f t="array" ref="G35">IFERROR(
MEDIAN((IF(DATOS_[[Sexo]:[Sexo]]=$B35,IF(DATOS_[[AGRUP. VALOR. PTO.]:[AGRUP. VALOR. PTO.]]=$B33,IF(DATOS_[[Check Periodo Ref.]:[Check Periodo Ref.]]="Dentro",DATOS_[Conc.Sal.02]))))),
0)</f>
        <v>0</v>
      </c>
      <c r="H35" s="111">
        <f t="array" ref="H35">IFERROR(
MEDIAN((IF(DATOS_[[Sexo]:[Sexo]]=$B35,IF(DATOS_[[AGRUP. VALOR. PTO.]:[AGRUP. VALOR. PTO.]]=$B33,IF(DATOS_[[Check Periodo Ref.]:[Check Periodo Ref.]]="Dentro",DATOS_[Conc.Sal.03]))))),
0)</f>
        <v>0</v>
      </c>
      <c r="I35" s="111">
        <f t="array" ref="I35">IFERROR(
MEDIAN((IF(DATOS_[[Sexo]:[Sexo]]=$B35,IF(DATOS_[[AGRUP. VALOR. PTO.]:[AGRUP. VALOR. PTO.]]=$B33,IF(DATOS_[[Check Periodo Ref.]:[Check Periodo Ref.]]="Dentro",DATOS_[Conc.Sal.04]))))),
0)</f>
        <v>0</v>
      </c>
      <c r="J35" s="111">
        <f t="array" ref="J35">IFERROR(
MEDIAN((IF(DATOS_[[Sexo]:[Sexo]]=$B35,IF(DATOS_[[AGRUP. VALOR. PTO.]:[AGRUP. VALOR. PTO.]]=$B33,IF(DATOS_[[Check Periodo Ref.]:[Check Periodo Ref.]]="Dentro",DATOS_[Conc.Sal.05]))))),
0)</f>
        <v>0</v>
      </c>
      <c r="K35" s="111">
        <f t="array" ref="K35">IFERROR(
MEDIAN((IF(DATOS_[[Sexo]:[Sexo]]=$B35,IF(DATOS_[[AGRUP. VALOR. PTO.]:[AGRUP. VALOR. PTO.]]=$B33,IF(DATOS_[[Check Periodo Ref.]:[Check Periodo Ref.]]="Dentro",DATOS_[Conc.Sal.06]))))),
0)</f>
        <v>0</v>
      </c>
      <c r="L35" s="111">
        <f t="array" ref="L35">IFERROR(
MEDIAN((IF(DATOS_[[Sexo]:[Sexo]]=$B35,IF(DATOS_[[AGRUP. VALOR. PTO.]:[AGRUP. VALOR. PTO.]]=$B33,IF(DATOS_[[Check Periodo Ref.]:[Check Periodo Ref.]]="Dentro",DATOS_[Conc.Sal.07]))))),
0)</f>
        <v>0</v>
      </c>
      <c r="M35" s="111">
        <f t="array" ref="M35">IFERROR(
MEDIAN((IF(DATOS_[[Sexo]:[Sexo]]=$B35,IF(DATOS_[[AGRUP. VALOR. PTO.]:[AGRUP. VALOR. PTO.]]=$B33,IF(DATOS_[[Check Periodo Ref.]:[Check Periodo Ref.]]="Dentro",DATOS_[Conc.Sal.08]))))),
0)</f>
        <v>0</v>
      </c>
      <c r="N35" s="111">
        <f t="array" ref="N35">IFERROR(
MEDIAN((IF(DATOS_[[Sexo]:[Sexo]]=$B35,IF(DATOS_[[AGRUP. VALOR. PTO.]:[AGRUP. VALOR. PTO.]]=$B33,IF(DATOS_[[Check Periodo Ref.]:[Check Periodo Ref.]]="Dentro",DATOS_[Conc.Sal.09]))))),
0)</f>
        <v>0</v>
      </c>
      <c r="O35" s="111">
        <f t="array" ref="O35">IFERROR(
MEDIAN((IF(DATOS_[[Sexo]:[Sexo]]=$B35,IF(DATOS_[[AGRUP. VALOR. PTO.]:[AGRUP. VALOR. PTO.]]=$B33,IF(DATOS_[[Check Periodo Ref.]:[Check Periodo Ref.]]="Dentro",DATOS_[Conc.Sal.10]))))),
0)</f>
        <v>0</v>
      </c>
      <c r="P35" s="111">
        <f t="array" ref="P35">IFERROR(
MEDIAN((IF(DATOS_[[Sexo]:[Sexo]]=$B35,IF(DATOS_[[AGRUP. VALOR. PTO.]:[AGRUP. VALOR. PTO.]]=$B33,IF(DATOS_[[Check Periodo Ref.]:[Check Periodo Ref.]]="Dentro",DATOS_[Conc.Sal.11]))))),
0)</f>
        <v>0</v>
      </c>
      <c r="Q35" s="111">
        <f t="array" ref="Q35">IFERROR(
MEDIAN((IF(DATOS_[[Sexo]:[Sexo]]=$B35,IF(DATOS_[[AGRUP. VALOR. PTO.]:[AGRUP. VALOR. PTO.]]=$B33,IF(DATOS_[[Check Periodo Ref.]:[Check Periodo Ref.]]="Dentro",DATOS_[Conc.Sal.12]))))),
0)</f>
        <v>0</v>
      </c>
      <c r="R35" s="111">
        <f t="array" ref="R35">IFERROR(
MEDIAN((IF(DATOS_[[Sexo]:[Sexo]]=$B35,IF(DATOS_[[AGRUP. VALOR. PTO.]:[AGRUP. VALOR. PTO.]]=$B33,IF(DATOS_[[Check Periodo Ref.]:[Check Periodo Ref.]]="Dentro",DATOS_[Conc.Sal.13]))))),
0)</f>
        <v>0</v>
      </c>
      <c r="S35" s="111">
        <f t="array" ref="S35">IFERROR(
MEDIAN((IF(DATOS_[[Sexo]:[Sexo]]=$B35,IF(DATOS_[[AGRUP. VALOR. PTO.]:[AGRUP. VALOR. PTO.]]=$B33,IF(DATOS_[[Check Periodo Ref.]:[Check Periodo Ref.]]="Dentro",DATOS_[Conc.Sal.14]))))),
0)</f>
        <v>0</v>
      </c>
      <c r="T35" s="111">
        <f t="array" ref="T35">IFERROR(
MEDIAN((IF(DATOS_[[Sexo]:[Sexo]]=$B35,IF(DATOS_[[AGRUP. VALOR. PTO.]:[AGRUP. VALOR. PTO.]]=$B33,IF(DATOS_[[Check Periodo Ref.]:[Check Periodo Ref.]]="Dentro",DATOS_[Conc.Sal.15]))))),
0)</f>
        <v>0</v>
      </c>
      <c r="U35" s="111">
        <f t="array" ref="U35">IFERROR(
MEDIAN((IF(DATOS_[[Sexo]:[Sexo]]=$B35,IF(DATOS_[[AGRUP. VALOR. PTO.]:[AGRUP. VALOR. PTO.]]=$B33,IF(DATOS_[[Check Periodo Ref.]:[Check Periodo Ref.]]="Dentro",DATOS_[Conc.Sal.16]))))),
0)</f>
        <v>0</v>
      </c>
      <c r="V35" s="111">
        <f t="array" ref="V35">IFERROR(
MEDIAN((IF(DATOS_[[Sexo]:[Sexo]]=$B35,IF(DATOS_[[AGRUP. VALOR. PTO.]:[AGRUP. VALOR. PTO.]]=$B33,IF(DATOS_[[Check Periodo Ref.]:[Check Periodo Ref.]]="Dentro",DATOS_[Conc.Sal.17]))))),
0)</f>
        <v>0</v>
      </c>
      <c r="W35" s="111">
        <f t="array" ref="W35">IFERROR(
MEDIAN((IF(DATOS_[[Sexo]:[Sexo]]=$B35,IF(DATOS_[[AGRUP. VALOR. PTO.]:[AGRUP. VALOR. PTO.]]=$B33,IF(DATOS_[[Check Periodo Ref.]:[Check Periodo Ref.]]="Dentro",DATOS_[Conc.Sal.18]))))),
0)</f>
        <v>0</v>
      </c>
      <c r="X35" s="111">
        <f t="array" ref="X35">IFERROR(
MEDIAN((IF(DATOS_[[Sexo]:[Sexo]]=$B35,IF(DATOS_[[AGRUP. VALOR. PTO.]:[AGRUP. VALOR. PTO.]]=$B33,IF(DATOS_[[Check Periodo Ref.]:[Check Periodo Ref.]]="Dentro",DATOS_[Conc.Sal.19]))))),
0)</f>
        <v>0</v>
      </c>
      <c r="Y35" s="111">
        <f t="array" ref="Y35">IFERROR(
MEDIAN((IF(DATOS_[[Sexo]:[Sexo]]=$B35,IF(DATOS_[[AGRUP. VALOR. PTO.]:[AGRUP. VALOR. PTO.]]=$B33,IF(DATOS_[[Check Periodo Ref.]:[Check Periodo Ref.]]="Dentro",DATOS_[Conc.Sal.20]))))),
0)</f>
        <v>0</v>
      </c>
      <c r="Z35" s="111">
        <f t="array" ref="Z35">IFERROR(
MEDIAN((IF(DATOS_[[Sexo]:[Sexo]]=$B35,IF(DATOS_[[AGRUP. VALOR. PTO.]:[AGRUP. VALOR. PTO.]]=$B33,IF(DATOS_[[Check Periodo Ref.]:[Check Periodo Ref.]]="Dentro",DATOS_[Conc.Sal.21]))))),
0)</f>
        <v>0</v>
      </c>
      <c r="AA35" s="111">
        <f t="array" ref="AA35">IFERROR(
MEDIAN((IF(DATOS_[[Sexo]:[Sexo]]=$B35,IF(DATOS_[[AGRUP. VALOR. PTO.]:[AGRUP. VALOR. PTO.]]=$B33,IF(DATOS_[[Check Periodo Ref.]:[Check Periodo Ref.]]="Dentro",DATOS_[Conc.Sal.22]))))),
0)</f>
        <v>0</v>
      </c>
      <c r="AB35" s="111">
        <f t="array" ref="AB35">IFERROR(
MEDIAN((IF(DATOS_[[Sexo]:[Sexo]]=$B35,IF(DATOS_[[AGRUP. VALOR. PTO.]:[AGRUP. VALOR. PTO.]]=$B33,IF(DATOS_[[Check Periodo Ref.]:[Check Periodo Ref.]]="Dentro",DATOS_[Conc.Sal.23]))))),
0)</f>
        <v>0</v>
      </c>
      <c r="AC35" s="111">
        <f t="array" ref="AC35">IFERROR(
MEDIAN((IF(DATOS_[[Sexo]:[Sexo]]=$B35,IF(DATOS_[[AGRUP. VALOR. PTO.]:[AGRUP. VALOR. PTO.]]=$B33,IF(DATOS_[[Check Periodo Ref.]:[Check Periodo Ref.]]="Dentro",DATOS_[Conc.Sal.24]))))),
0)</f>
        <v>0</v>
      </c>
      <c r="AD35" s="111">
        <f t="array" ref="AD35">IFERROR(
MEDIAN((IF(DATOS_[[Sexo]:[Sexo]]=$B35,IF(DATOS_[[AGRUP. VALOR. PTO.]:[AGRUP. VALOR. PTO.]]=$B33,IF(DATOS_[[Check Periodo Ref.]:[Check Periodo Ref.]]="Dentro",DATOS_[Conc.Sal.25]))))),
0)</f>
        <v>0</v>
      </c>
      <c r="AE35" s="111">
        <f t="array" ref="AE35">IFERROR(
MEDIAN((IF(DATOS_[[Sexo]:[Sexo]]=$B35,IF(DATOS_[[AGRUP. VALOR. PTO.]:[AGRUP. VALOR. PTO.]]=$B33,IF(DATOS_[[Check Periodo Ref.]:[Check Periodo Ref.]]="Dentro",DATOS_[Conc.Sal.26]))))),
0)</f>
        <v>0</v>
      </c>
      <c r="AF35" s="111">
        <f t="array" ref="AF35">IFERROR(
MEDIAN((IF(DATOS_[[Sexo]:[Sexo]]=$B35,IF(DATOS_[[AGRUP. VALOR. PTO.]:[AGRUP. VALOR. PTO.]]=$B33,IF(DATOS_[[Check Periodo Ref.]:[Check Periodo Ref.]]="Dentro",DATOS_[Conc.Sal.27]))))),
0)</f>
        <v>0</v>
      </c>
      <c r="AG35" s="111">
        <f t="array" ref="AG35">IFERROR(
MEDIAN((IF(DATOS_[[Sexo]:[Sexo]]=$B35,IF(DATOS_[[AGRUP. VALOR. PTO.]:[AGRUP. VALOR. PTO.]]=$B33,IF(DATOS_[[Check Periodo Ref.]:[Check Periodo Ref.]]="Dentro",DATOS_[Conc.Sal.28]))))),
0)</f>
        <v>0</v>
      </c>
      <c r="AH35" s="111">
        <f t="array" ref="AH35">IFERROR(
MEDIAN((IF(DATOS_[[Sexo]:[Sexo]]=$B35,IF(DATOS_[[AGRUP. VALOR. PTO.]:[AGRUP. VALOR. PTO.]]=$B33,IF(DATOS_[[Check Periodo Ref.]:[Check Periodo Ref.]]="Dentro",DATOS_[Conc.Sal.29]))))),
0)</f>
        <v>0</v>
      </c>
      <c r="AI35" s="111">
        <f t="array" ref="AI35">IFERROR(
MEDIAN((IF(DATOS_[[Sexo]:[Sexo]]=$B35,IF(DATOS_[[AGRUP. VALOR. PTO.]:[AGRUP. VALOR. PTO.]]=$B33,IF(DATOS_[[Check Periodo Ref.]:[Check Periodo Ref.]]="Dentro",DATOS_[Conc.Sal.30]))))),
0)</f>
        <v>0</v>
      </c>
      <c r="AJ35" s="112">
        <f t="array" ref="AJ35">IFERROR(
MEDIAN(IF(DATOS_[Sexo]=$B35,IF(DATOS_[AGRUP. VALOR. PTO.]=$B33,IF(DATOS_[Check Periodo Ref.]="Dentro",DATOS_[Tot COMPL.SAL Ef],FALSE)))),
0)</f>
        <v>0</v>
      </c>
      <c r="AK35" s="113">
        <f t="array" ref="AK35">IFERROR(
MEDIAN(IF(DATOS_[Sexo]=$B35,IF(DATOS_[AGRUP. VALOR. PTO.]=$B33,IF(DATOS_[Check Periodo Ref.]="Dentro",DATOS_[TOTAL SALARIO Ef],FALSE)))),
0)</f>
        <v>0</v>
      </c>
      <c r="AL35" s="114">
        <f t="array" ref="AL35">IFERROR(
MEDIAN((IF(DATOS_[[Sexo]:[Sexo]]=$B35,IF(DATOS_[[AGRUP. VALOR. PTO.]:[AGRUP. VALOR. PTO.]]=$B33,IF(DATOS_[[Check Periodo Ref.]:[Check Periodo Ref.]]="Dentro",DATOS_[C.Extra.01]))))),
0)</f>
        <v>0</v>
      </c>
      <c r="AM35" s="114">
        <f t="array" ref="AM35">IFERROR(
MEDIAN((IF(DATOS_[[Sexo]:[Sexo]]=$B35,IF(DATOS_[[AGRUP. VALOR. PTO.]:[AGRUP. VALOR. PTO.]]=$B33,IF(DATOS_[[Check Periodo Ref.]:[Check Periodo Ref.]]="Dentro",DATOS_[C.Extra.02]))))),
0)</f>
        <v>0</v>
      </c>
      <c r="AN35" s="114">
        <f t="array" ref="AN35">IFERROR(
MEDIAN((IF(DATOS_[[Sexo]:[Sexo]]=$B35,IF(DATOS_[[AGRUP. VALOR. PTO.]:[AGRUP. VALOR. PTO.]]=$B33,IF(DATOS_[[Check Periodo Ref.]:[Check Periodo Ref.]]="Dentro",DATOS_[C.Extra.03]))))),
0)</f>
        <v>0</v>
      </c>
      <c r="AO35" s="114">
        <f t="array" ref="AO35">IFERROR(
MEDIAN((IF(DATOS_[[Sexo]:[Sexo]]=$B35,IF(DATOS_[[AGRUP. VALOR. PTO.]:[AGRUP. VALOR. PTO.]]=$B33,IF(DATOS_[[Check Periodo Ref.]:[Check Periodo Ref.]]="Dentro",DATOS_[C.Extra.04]))))),
0)</f>
        <v>0</v>
      </c>
      <c r="AP35" s="114">
        <f t="array" ref="AP35">IFERROR(
MEDIAN((IF(DATOS_[[Sexo]:[Sexo]]=$B35,IF(DATOS_[[AGRUP. VALOR. PTO.]:[AGRUP. VALOR. PTO.]]=$B33,IF(DATOS_[[Check Periodo Ref.]:[Check Periodo Ref.]]="Dentro",DATOS_[C.Extra.05]))))),
0)</f>
        <v>0</v>
      </c>
      <c r="AQ35" s="115">
        <f t="array" ref="AQ35">IFERROR(
MEDIAN(IF(DATOS_[Sexo]=$B35,IF(DATOS_[AGRUP. VALOR. PTO.]=$B33,IF(DATOS_[Check Periodo Ref.]="Dentro",DATOS_[Tot Extrasalarial Ef],FALSE)))),
0)</f>
        <v>0</v>
      </c>
      <c r="AR35" s="116">
        <f t="array" ref="AR35">IFERROR(
MEDIAN(IF(DATOS_[Sexo]=$B35,IF(DATOS_[AGRUP. VALOR. PTO.]=$B33,IF(DATOS_[Check Periodo Ref.]="Dentro",DATOS_[TOTAL Retrib Ef],FALSE)))),
0)</f>
        <v>0</v>
      </c>
    </row>
    <row r="36" spans="1:44" ht="17.25" hidden="1" thickBot="1" x14ac:dyDescent="0.35">
      <c r="A36" s="42" t="str">
        <f t="shared" ref="A36" si="31">+A37</f>
        <v>[ocultar]</v>
      </c>
      <c r="B36" s="40" t="s">
        <v>302</v>
      </c>
      <c r="C36" s="109"/>
      <c r="D36" s="41"/>
      <c r="E36" s="119" t="str">
        <f t="shared" ref="E36:AR36" si="32">IFERROR((E37-E38)/E37,"")</f>
        <v/>
      </c>
      <c r="F36" s="123" t="str">
        <f t="shared" si="32"/>
        <v/>
      </c>
      <c r="G36" s="123" t="str">
        <f t="shared" si="32"/>
        <v/>
      </c>
      <c r="H36" s="123" t="str">
        <f t="shared" si="32"/>
        <v/>
      </c>
      <c r="I36" s="123" t="str">
        <f t="shared" si="32"/>
        <v/>
      </c>
      <c r="J36" s="123" t="str">
        <f t="shared" si="32"/>
        <v/>
      </c>
      <c r="K36" s="123" t="str">
        <f t="shared" si="32"/>
        <v/>
      </c>
      <c r="L36" s="123" t="str">
        <f t="shared" si="32"/>
        <v/>
      </c>
      <c r="M36" s="123" t="str">
        <f t="shared" si="32"/>
        <v/>
      </c>
      <c r="N36" s="123" t="str">
        <f t="shared" si="32"/>
        <v/>
      </c>
      <c r="O36" s="123" t="str">
        <f t="shared" si="32"/>
        <v/>
      </c>
      <c r="P36" s="123" t="str">
        <f t="shared" si="32"/>
        <v/>
      </c>
      <c r="Q36" s="123" t="str">
        <f t="shared" si="32"/>
        <v/>
      </c>
      <c r="R36" s="123" t="str">
        <f t="shared" si="32"/>
        <v/>
      </c>
      <c r="S36" s="123" t="str">
        <f t="shared" si="32"/>
        <v/>
      </c>
      <c r="T36" s="123" t="str">
        <f t="shared" si="32"/>
        <v/>
      </c>
      <c r="U36" s="123" t="str">
        <f t="shared" si="32"/>
        <v/>
      </c>
      <c r="V36" s="122" t="str">
        <f t="shared" si="32"/>
        <v/>
      </c>
      <c r="W36" s="122" t="str">
        <f t="shared" si="32"/>
        <v/>
      </c>
      <c r="X36" s="122" t="str">
        <f t="shared" si="32"/>
        <v/>
      </c>
      <c r="Y36" s="122" t="str">
        <f t="shared" si="32"/>
        <v/>
      </c>
      <c r="Z36" s="122" t="str">
        <f t="shared" si="32"/>
        <v/>
      </c>
      <c r="AA36" s="122" t="str">
        <f t="shared" si="32"/>
        <v/>
      </c>
      <c r="AB36" s="122" t="str">
        <f t="shared" si="32"/>
        <v/>
      </c>
      <c r="AC36" s="122" t="str">
        <f t="shared" si="32"/>
        <v/>
      </c>
      <c r="AD36" s="122" t="str">
        <f t="shared" si="32"/>
        <v/>
      </c>
      <c r="AE36" s="122" t="str">
        <f t="shared" si="32"/>
        <v/>
      </c>
      <c r="AF36" s="122" t="str">
        <f t="shared" si="32"/>
        <v/>
      </c>
      <c r="AG36" s="122" t="str">
        <f t="shared" si="32"/>
        <v/>
      </c>
      <c r="AH36" s="122" t="str">
        <f t="shared" si="32"/>
        <v/>
      </c>
      <c r="AI36" s="122" t="str">
        <f t="shared" si="32"/>
        <v/>
      </c>
      <c r="AJ36" s="124" t="str">
        <f t="shared" si="32"/>
        <v/>
      </c>
      <c r="AK36" s="128" t="str">
        <f t="shared" si="32"/>
        <v/>
      </c>
      <c r="AL36" s="125" t="str">
        <f t="shared" si="32"/>
        <v/>
      </c>
      <c r="AM36" s="125" t="str">
        <f t="shared" si="32"/>
        <v/>
      </c>
      <c r="AN36" s="125" t="str">
        <f t="shared" si="32"/>
        <v/>
      </c>
      <c r="AO36" s="125" t="str">
        <f t="shared" si="32"/>
        <v/>
      </c>
      <c r="AP36" s="125" t="str">
        <f t="shared" si="32"/>
        <v/>
      </c>
      <c r="AQ36" s="126" t="str">
        <f t="shared" si="32"/>
        <v/>
      </c>
      <c r="AR36" s="127" t="str">
        <f t="shared" si="32"/>
        <v/>
      </c>
    </row>
    <row r="37" spans="1:44" hidden="1" x14ac:dyDescent="0.3">
      <c r="A37" s="42" t="str">
        <f t="shared" ref="A37" si="33">+IF(C37+C38=0,"[ocultar]","")</f>
        <v>[ocultar]</v>
      </c>
      <c r="B37" s="34" t="s">
        <v>162</v>
      </c>
      <c r="C37" s="33">
        <f t="array" ref="C37">SUM(IF($B37=DATOS_[Sexo],
IF($B36=DATOS_[AGRUP. VALOR. PTO.],
IF("Dentro"=DATOS_[Check Periodo Ref.],
1/(COUNTIFS(DATOS_[Sexo],$B37,DATOS_[AGRUP. VALOR. PTO.],$B36,DATOS_[Check Periodo Ref.],"Dentro",DATOS_[id],DATOS_[id]))))))</f>
        <v>0</v>
      </c>
      <c r="D37" s="35">
        <f>COUNTIFS(DATOS_[AGRUP. VALOR. PTO.],$B36,DATOS_[Sexo],$B37,DATOS_[Check Periodo Ref.],"Dentro")</f>
        <v>0</v>
      </c>
      <c r="E37" s="110">
        <f t="array" ref="E37">IFERROR(
MEDIAN(IF(DATOS_[Sexo]=$B37,IF(DATOS_[AGRUP. VALOR. PTO.]=$B36,IF(DATOS_[Check Periodo Ref.]="Dentro",DATOS_[SALARIO BASE Ef],FALSE)))),
0)</f>
        <v>0</v>
      </c>
      <c r="F37" s="111">
        <f t="array" ref="F37">IFERROR(
MEDIAN((IF(DATOS_[[Sexo]:[Sexo]]=$B37,IF(DATOS_[[AGRUP. VALOR. PTO.]:[AGRUP. VALOR. PTO.]]=$B36,IF(DATOS_[[Check Periodo Ref.]:[Check Periodo Ref.]]="Dentro",DATOS_[Conc.Sal.01]))))),
0)</f>
        <v>0</v>
      </c>
      <c r="G37" s="111">
        <f t="array" ref="G37">IFERROR(
MEDIAN((IF(DATOS_[[Sexo]:[Sexo]]=$B37,IF(DATOS_[[AGRUP. VALOR. PTO.]:[AGRUP. VALOR. PTO.]]=$B36,IF(DATOS_[[Check Periodo Ref.]:[Check Periodo Ref.]]="Dentro",DATOS_[Conc.Sal.02]))))),
0)</f>
        <v>0</v>
      </c>
      <c r="H37" s="111">
        <f t="array" ref="H37">IFERROR(
MEDIAN((IF(DATOS_[[Sexo]:[Sexo]]=$B37,IF(DATOS_[[AGRUP. VALOR. PTO.]:[AGRUP. VALOR. PTO.]]=$B36,IF(DATOS_[[Check Periodo Ref.]:[Check Periodo Ref.]]="Dentro",DATOS_[Conc.Sal.03]))))),
0)</f>
        <v>0</v>
      </c>
      <c r="I37" s="111">
        <f t="array" ref="I37">IFERROR(
MEDIAN((IF(DATOS_[[Sexo]:[Sexo]]=$B37,IF(DATOS_[[AGRUP. VALOR. PTO.]:[AGRUP. VALOR. PTO.]]=$B36,IF(DATOS_[[Check Periodo Ref.]:[Check Periodo Ref.]]="Dentro",DATOS_[Conc.Sal.04]))))),
0)</f>
        <v>0</v>
      </c>
      <c r="J37" s="111">
        <f t="array" ref="J37">IFERROR(
MEDIAN((IF(DATOS_[[Sexo]:[Sexo]]=$B37,IF(DATOS_[[AGRUP. VALOR. PTO.]:[AGRUP. VALOR. PTO.]]=$B36,IF(DATOS_[[Check Periodo Ref.]:[Check Periodo Ref.]]="Dentro",DATOS_[Conc.Sal.05]))))),
0)</f>
        <v>0</v>
      </c>
      <c r="K37" s="111">
        <f t="array" ref="K37">IFERROR(
MEDIAN((IF(DATOS_[[Sexo]:[Sexo]]=$B37,IF(DATOS_[[AGRUP. VALOR. PTO.]:[AGRUP. VALOR. PTO.]]=$B36,IF(DATOS_[[Check Periodo Ref.]:[Check Periodo Ref.]]="Dentro",DATOS_[Conc.Sal.06]))))),
0)</f>
        <v>0</v>
      </c>
      <c r="L37" s="111">
        <f t="array" ref="L37">IFERROR(
MEDIAN((IF(DATOS_[[Sexo]:[Sexo]]=$B37,IF(DATOS_[[AGRUP. VALOR. PTO.]:[AGRUP. VALOR. PTO.]]=$B36,IF(DATOS_[[Check Periodo Ref.]:[Check Periodo Ref.]]="Dentro",DATOS_[Conc.Sal.07]))))),
0)</f>
        <v>0</v>
      </c>
      <c r="M37" s="111">
        <f t="array" ref="M37">IFERROR(
MEDIAN((IF(DATOS_[[Sexo]:[Sexo]]=$B37,IF(DATOS_[[AGRUP. VALOR. PTO.]:[AGRUP. VALOR. PTO.]]=$B36,IF(DATOS_[[Check Periodo Ref.]:[Check Periodo Ref.]]="Dentro",DATOS_[Conc.Sal.08]))))),
0)</f>
        <v>0</v>
      </c>
      <c r="N37" s="111">
        <f t="array" ref="N37">IFERROR(
MEDIAN((IF(DATOS_[[Sexo]:[Sexo]]=$B37,IF(DATOS_[[AGRUP. VALOR. PTO.]:[AGRUP. VALOR. PTO.]]=$B36,IF(DATOS_[[Check Periodo Ref.]:[Check Periodo Ref.]]="Dentro",DATOS_[Conc.Sal.09]))))),
0)</f>
        <v>0</v>
      </c>
      <c r="O37" s="111">
        <f t="array" ref="O37">IFERROR(
MEDIAN((IF(DATOS_[[Sexo]:[Sexo]]=$B37,IF(DATOS_[[AGRUP. VALOR. PTO.]:[AGRUP. VALOR. PTO.]]=$B36,IF(DATOS_[[Check Periodo Ref.]:[Check Periodo Ref.]]="Dentro",DATOS_[Conc.Sal.10]))))),
0)</f>
        <v>0</v>
      </c>
      <c r="P37" s="111">
        <f t="array" ref="P37">IFERROR(
MEDIAN((IF(DATOS_[[Sexo]:[Sexo]]=$B37,IF(DATOS_[[AGRUP. VALOR. PTO.]:[AGRUP. VALOR. PTO.]]=$B36,IF(DATOS_[[Check Periodo Ref.]:[Check Periodo Ref.]]="Dentro",DATOS_[Conc.Sal.11]))))),
0)</f>
        <v>0</v>
      </c>
      <c r="Q37" s="111">
        <f t="array" ref="Q37">IFERROR(
MEDIAN((IF(DATOS_[[Sexo]:[Sexo]]=$B37,IF(DATOS_[[AGRUP. VALOR. PTO.]:[AGRUP. VALOR. PTO.]]=$B36,IF(DATOS_[[Check Periodo Ref.]:[Check Periodo Ref.]]="Dentro",DATOS_[Conc.Sal.12]))))),
0)</f>
        <v>0</v>
      </c>
      <c r="R37" s="111">
        <f t="array" ref="R37">IFERROR(
MEDIAN((IF(DATOS_[[Sexo]:[Sexo]]=$B37,IF(DATOS_[[AGRUP. VALOR. PTO.]:[AGRUP. VALOR. PTO.]]=$B36,IF(DATOS_[[Check Periodo Ref.]:[Check Periodo Ref.]]="Dentro",DATOS_[Conc.Sal.13]))))),
0)</f>
        <v>0</v>
      </c>
      <c r="S37" s="111">
        <f t="array" ref="S37">IFERROR(
MEDIAN((IF(DATOS_[[Sexo]:[Sexo]]=$B37,IF(DATOS_[[AGRUP. VALOR. PTO.]:[AGRUP. VALOR. PTO.]]=$B36,IF(DATOS_[[Check Periodo Ref.]:[Check Periodo Ref.]]="Dentro",DATOS_[Conc.Sal.14]))))),
0)</f>
        <v>0</v>
      </c>
      <c r="T37" s="111">
        <f t="array" ref="T37">IFERROR(
MEDIAN((IF(DATOS_[[Sexo]:[Sexo]]=$B37,IF(DATOS_[[AGRUP. VALOR. PTO.]:[AGRUP. VALOR. PTO.]]=$B36,IF(DATOS_[[Check Periodo Ref.]:[Check Periodo Ref.]]="Dentro",DATOS_[Conc.Sal.15]))))),
0)</f>
        <v>0</v>
      </c>
      <c r="U37" s="111">
        <f t="array" ref="U37">IFERROR(
MEDIAN((IF(DATOS_[[Sexo]:[Sexo]]=$B37,IF(DATOS_[[AGRUP. VALOR. PTO.]:[AGRUP. VALOR. PTO.]]=$B36,IF(DATOS_[[Check Periodo Ref.]:[Check Periodo Ref.]]="Dentro",DATOS_[Conc.Sal.16]))))),
0)</f>
        <v>0</v>
      </c>
      <c r="V37" s="111">
        <f t="array" ref="V37">IFERROR(
MEDIAN((IF(DATOS_[[Sexo]:[Sexo]]=$B37,IF(DATOS_[[AGRUP. VALOR. PTO.]:[AGRUP. VALOR. PTO.]]=$B36,IF(DATOS_[[Check Periodo Ref.]:[Check Periodo Ref.]]="Dentro",DATOS_[Conc.Sal.17]))))),
0)</f>
        <v>0</v>
      </c>
      <c r="W37" s="111">
        <f t="array" ref="W37">IFERROR(
MEDIAN((IF(DATOS_[[Sexo]:[Sexo]]=$B37,IF(DATOS_[[AGRUP. VALOR. PTO.]:[AGRUP. VALOR. PTO.]]=$B36,IF(DATOS_[[Check Periodo Ref.]:[Check Periodo Ref.]]="Dentro",DATOS_[Conc.Sal.18]))))),
0)</f>
        <v>0</v>
      </c>
      <c r="X37" s="111">
        <f t="array" ref="X37">IFERROR(
MEDIAN((IF(DATOS_[[Sexo]:[Sexo]]=$B37,IF(DATOS_[[AGRUP. VALOR. PTO.]:[AGRUP. VALOR. PTO.]]=$B36,IF(DATOS_[[Check Periodo Ref.]:[Check Periodo Ref.]]="Dentro",DATOS_[Conc.Sal.19]))))),
0)</f>
        <v>0</v>
      </c>
      <c r="Y37" s="111">
        <f t="array" ref="Y37">IFERROR(
MEDIAN((IF(DATOS_[[Sexo]:[Sexo]]=$B37,IF(DATOS_[[AGRUP. VALOR. PTO.]:[AGRUP. VALOR. PTO.]]=$B36,IF(DATOS_[[Check Periodo Ref.]:[Check Periodo Ref.]]="Dentro",DATOS_[Conc.Sal.20]))))),
0)</f>
        <v>0</v>
      </c>
      <c r="Z37" s="111">
        <f t="array" ref="Z37">IFERROR(
MEDIAN((IF(DATOS_[[Sexo]:[Sexo]]=$B37,IF(DATOS_[[AGRUP. VALOR. PTO.]:[AGRUP. VALOR. PTO.]]=$B36,IF(DATOS_[[Check Periodo Ref.]:[Check Periodo Ref.]]="Dentro",DATOS_[Conc.Sal.21]))))),
0)</f>
        <v>0</v>
      </c>
      <c r="AA37" s="111">
        <f t="array" ref="AA37">IFERROR(
MEDIAN((IF(DATOS_[[Sexo]:[Sexo]]=$B37,IF(DATOS_[[AGRUP. VALOR. PTO.]:[AGRUP. VALOR. PTO.]]=$B36,IF(DATOS_[[Check Periodo Ref.]:[Check Periodo Ref.]]="Dentro",DATOS_[Conc.Sal.22]))))),
0)</f>
        <v>0</v>
      </c>
      <c r="AB37" s="111">
        <f t="array" ref="AB37">IFERROR(
MEDIAN((IF(DATOS_[[Sexo]:[Sexo]]=$B37,IF(DATOS_[[AGRUP. VALOR. PTO.]:[AGRUP. VALOR. PTO.]]=$B36,IF(DATOS_[[Check Periodo Ref.]:[Check Periodo Ref.]]="Dentro",DATOS_[Conc.Sal.23]))))),
0)</f>
        <v>0</v>
      </c>
      <c r="AC37" s="111">
        <f t="array" ref="AC37">IFERROR(
MEDIAN((IF(DATOS_[[Sexo]:[Sexo]]=$B37,IF(DATOS_[[AGRUP. VALOR. PTO.]:[AGRUP. VALOR. PTO.]]=$B36,IF(DATOS_[[Check Periodo Ref.]:[Check Periodo Ref.]]="Dentro",DATOS_[Conc.Sal.24]))))),
0)</f>
        <v>0</v>
      </c>
      <c r="AD37" s="111">
        <f t="array" ref="AD37">IFERROR(
MEDIAN((IF(DATOS_[[Sexo]:[Sexo]]=$B37,IF(DATOS_[[AGRUP. VALOR. PTO.]:[AGRUP. VALOR. PTO.]]=$B36,IF(DATOS_[[Check Periodo Ref.]:[Check Periodo Ref.]]="Dentro",DATOS_[Conc.Sal.25]))))),
0)</f>
        <v>0</v>
      </c>
      <c r="AE37" s="111">
        <f t="array" ref="AE37">IFERROR(
MEDIAN((IF(DATOS_[[Sexo]:[Sexo]]=$B37,IF(DATOS_[[AGRUP. VALOR. PTO.]:[AGRUP. VALOR. PTO.]]=$B36,IF(DATOS_[[Check Periodo Ref.]:[Check Periodo Ref.]]="Dentro",DATOS_[Conc.Sal.26]))))),
0)</f>
        <v>0</v>
      </c>
      <c r="AF37" s="111">
        <f t="array" ref="AF37">IFERROR(
MEDIAN((IF(DATOS_[[Sexo]:[Sexo]]=$B37,IF(DATOS_[[AGRUP. VALOR. PTO.]:[AGRUP. VALOR. PTO.]]=$B36,IF(DATOS_[[Check Periodo Ref.]:[Check Periodo Ref.]]="Dentro",DATOS_[Conc.Sal.27]))))),
0)</f>
        <v>0</v>
      </c>
      <c r="AG37" s="111">
        <f t="array" ref="AG37">IFERROR(
MEDIAN((IF(DATOS_[[Sexo]:[Sexo]]=$B37,IF(DATOS_[[AGRUP. VALOR. PTO.]:[AGRUP. VALOR. PTO.]]=$B36,IF(DATOS_[[Check Periodo Ref.]:[Check Periodo Ref.]]="Dentro",DATOS_[Conc.Sal.28]))))),
0)</f>
        <v>0</v>
      </c>
      <c r="AH37" s="111">
        <f t="array" ref="AH37">IFERROR(
MEDIAN((IF(DATOS_[[Sexo]:[Sexo]]=$B37,IF(DATOS_[[AGRUP. VALOR. PTO.]:[AGRUP. VALOR. PTO.]]=$B36,IF(DATOS_[[Check Periodo Ref.]:[Check Periodo Ref.]]="Dentro",DATOS_[Conc.Sal.29]))))),
0)</f>
        <v>0</v>
      </c>
      <c r="AI37" s="111">
        <f t="array" ref="AI37">IFERROR(
MEDIAN((IF(DATOS_[[Sexo]:[Sexo]]=$B37,IF(DATOS_[[AGRUP. VALOR. PTO.]:[AGRUP. VALOR. PTO.]]=$B36,IF(DATOS_[[Check Periodo Ref.]:[Check Periodo Ref.]]="Dentro",DATOS_[Conc.Sal.30]))))),
0)</f>
        <v>0</v>
      </c>
      <c r="AJ37" s="112">
        <f t="array" ref="AJ37">IFERROR(
MEDIAN(IF(DATOS_[Sexo]=$B37,IF(DATOS_[AGRUP. VALOR. PTO.]=$B36,IF(DATOS_[Check Periodo Ref.]="Dentro",DATOS_[Tot COMPL.SAL Ef],FALSE)))),
0)</f>
        <v>0</v>
      </c>
      <c r="AK37" s="113">
        <f t="array" ref="AK37">IFERROR(
MEDIAN(IF(DATOS_[Sexo]=$B37,IF(DATOS_[AGRUP. VALOR. PTO.]=$B36,IF(DATOS_[Check Periodo Ref.]="Dentro",DATOS_[TOTAL SALARIO Ef],FALSE)))),
0)</f>
        <v>0</v>
      </c>
      <c r="AL37" s="114">
        <f t="array" ref="AL37">IFERROR(
MEDIAN((IF(DATOS_[[Sexo]:[Sexo]]=$B37,IF(DATOS_[[AGRUP. VALOR. PTO.]:[AGRUP. VALOR. PTO.]]=$B36,IF(DATOS_[[Check Periodo Ref.]:[Check Periodo Ref.]]="Dentro",DATOS_[C.Extra.01]))))),
0)</f>
        <v>0</v>
      </c>
      <c r="AM37" s="114">
        <f t="array" ref="AM37">IFERROR(
MEDIAN((IF(DATOS_[[Sexo]:[Sexo]]=$B37,IF(DATOS_[[AGRUP. VALOR. PTO.]:[AGRUP. VALOR. PTO.]]=$B36,IF(DATOS_[[Check Periodo Ref.]:[Check Periodo Ref.]]="Dentro",DATOS_[C.Extra.02]))))),
0)</f>
        <v>0</v>
      </c>
      <c r="AN37" s="114">
        <f t="array" ref="AN37">IFERROR(
MEDIAN((IF(DATOS_[[Sexo]:[Sexo]]=$B37,IF(DATOS_[[AGRUP. VALOR. PTO.]:[AGRUP. VALOR. PTO.]]=$B36,IF(DATOS_[[Check Periodo Ref.]:[Check Periodo Ref.]]="Dentro",DATOS_[C.Extra.03]))))),
0)</f>
        <v>0</v>
      </c>
      <c r="AO37" s="114">
        <f t="array" ref="AO37">IFERROR(
MEDIAN((IF(DATOS_[[Sexo]:[Sexo]]=$B37,IF(DATOS_[[AGRUP. VALOR. PTO.]:[AGRUP. VALOR. PTO.]]=$B36,IF(DATOS_[[Check Periodo Ref.]:[Check Periodo Ref.]]="Dentro",DATOS_[C.Extra.04]))))),
0)</f>
        <v>0</v>
      </c>
      <c r="AP37" s="114">
        <f t="array" ref="AP37">IFERROR(
MEDIAN((IF(DATOS_[[Sexo]:[Sexo]]=$B37,IF(DATOS_[[AGRUP. VALOR. PTO.]:[AGRUP. VALOR. PTO.]]=$B36,IF(DATOS_[[Check Periodo Ref.]:[Check Periodo Ref.]]="Dentro",DATOS_[C.Extra.05]))))),
0)</f>
        <v>0</v>
      </c>
      <c r="AQ37" s="115">
        <f t="array" ref="AQ37">IFERROR(
MEDIAN(IF(DATOS_[Sexo]=$B37,IF(DATOS_[AGRUP. VALOR. PTO.]=$B36,IF(DATOS_[Check Periodo Ref.]="Dentro",DATOS_[Tot Extrasalarial Ef],FALSE)))),
0)</f>
        <v>0</v>
      </c>
      <c r="AR37" s="116">
        <f t="array" ref="AR37">IFERROR(
MEDIAN(IF(DATOS_[Sexo]=$B37,IF(DATOS_[AGRUP. VALOR. PTO.]=$B36,IF(DATOS_[Check Periodo Ref.]="Dentro",DATOS_[TOTAL Retrib Ef],FALSE)))),
0)</f>
        <v>0</v>
      </c>
    </row>
    <row r="38" spans="1:44" hidden="1" x14ac:dyDescent="0.3">
      <c r="A38" s="42" t="str">
        <f t="shared" ref="A38" si="34">+A37</f>
        <v>[ocultar]</v>
      </c>
      <c r="B38" s="34" t="s">
        <v>163</v>
      </c>
      <c r="C38" s="33">
        <f t="array" ref="C38">SUM(IF($B38=DATOS_[Sexo],
IF($B36=DATOS_[AGRUP. VALOR. PTO.],
IF("Dentro"=DATOS_[Check Periodo Ref.],
1/(COUNTIFS(DATOS_[Sexo],$B38,DATOS_[AGRUP. VALOR. PTO.],$B36,DATOS_[Check Periodo Ref.],"Dentro",DATOS_[id],DATOS_[id]))))))</f>
        <v>0</v>
      </c>
      <c r="D38" s="35">
        <f>COUNTIFS(DATOS_[AGRUP. VALOR. PTO.],$B36,DATOS_[Sexo],$B38,DATOS_[Check Periodo Ref.],"Dentro")</f>
        <v>0</v>
      </c>
      <c r="E38" s="110">
        <f t="array" ref="E38">IFERROR(
MEDIAN(IF(DATOS_[Sexo]=$B38,IF(DATOS_[AGRUP. VALOR. PTO.]=$B36,IF(DATOS_[Check Periodo Ref.]="Dentro",DATOS_[SALARIO BASE Ef],FALSE)))),
0)</f>
        <v>0</v>
      </c>
      <c r="F38" s="111">
        <f t="array" ref="F38">IFERROR(
MEDIAN((IF(DATOS_[[Sexo]:[Sexo]]=$B38,IF(DATOS_[[AGRUP. VALOR. PTO.]:[AGRUP. VALOR. PTO.]]=$B36,IF(DATOS_[[Check Periodo Ref.]:[Check Periodo Ref.]]="Dentro",DATOS_[Conc.Sal.01]))))),
0)</f>
        <v>0</v>
      </c>
      <c r="G38" s="111">
        <f t="array" ref="G38">IFERROR(
MEDIAN((IF(DATOS_[[Sexo]:[Sexo]]=$B38,IF(DATOS_[[AGRUP. VALOR. PTO.]:[AGRUP. VALOR. PTO.]]=$B36,IF(DATOS_[[Check Periodo Ref.]:[Check Periodo Ref.]]="Dentro",DATOS_[Conc.Sal.02]))))),
0)</f>
        <v>0</v>
      </c>
      <c r="H38" s="111">
        <f t="array" ref="H38">IFERROR(
MEDIAN((IF(DATOS_[[Sexo]:[Sexo]]=$B38,IF(DATOS_[[AGRUP. VALOR. PTO.]:[AGRUP. VALOR. PTO.]]=$B36,IF(DATOS_[[Check Periodo Ref.]:[Check Periodo Ref.]]="Dentro",DATOS_[Conc.Sal.03]))))),
0)</f>
        <v>0</v>
      </c>
      <c r="I38" s="111">
        <f t="array" ref="I38">IFERROR(
MEDIAN((IF(DATOS_[[Sexo]:[Sexo]]=$B38,IF(DATOS_[[AGRUP. VALOR. PTO.]:[AGRUP. VALOR. PTO.]]=$B36,IF(DATOS_[[Check Periodo Ref.]:[Check Periodo Ref.]]="Dentro",DATOS_[Conc.Sal.04]))))),
0)</f>
        <v>0</v>
      </c>
      <c r="J38" s="111">
        <f t="array" ref="J38">IFERROR(
MEDIAN((IF(DATOS_[[Sexo]:[Sexo]]=$B38,IF(DATOS_[[AGRUP. VALOR. PTO.]:[AGRUP. VALOR. PTO.]]=$B36,IF(DATOS_[[Check Periodo Ref.]:[Check Periodo Ref.]]="Dentro",DATOS_[Conc.Sal.05]))))),
0)</f>
        <v>0</v>
      </c>
      <c r="K38" s="111">
        <f t="array" ref="K38">IFERROR(
MEDIAN((IF(DATOS_[[Sexo]:[Sexo]]=$B38,IF(DATOS_[[AGRUP. VALOR. PTO.]:[AGRUP. VALOR. PTO.]]=$B36,IF(DATOS_[[Check Periodo Ref.]:[Check Periodo Ref.]]="Dentro",DATOS_[Conc.Sal.06]))))),
0)</f>
        <v>0</v>
      </c>
      <c r="L38" s="111">
        <f t="array" ref="L38">IFERROR(
MEDIAN((IF(DATOS_[[Sexo]:[Sexo]]=$B38,IF(DATOS_[[AGRUP. VALOR. PTO.]:[AGRUP. VALOR. PTO.]]=$B36,IF(DATOS_[[Check Periodo Ref.]:[Check Periodo Ref.]]="Dentro",DATOS_[Conc.Sal.07]))))),
0)</f>
        <v>0</v>
      </c>
      <c r="M38" s="111">
        <f t="array" ref="M38">IFERROR(
MEDIAN((IF(DATOS_[[Sexo]:[Sexo]]=$B38,IF(DATOS_[[AGRUP. VALOR. PTO.]:[AGRUP. VALOR. PTO.]]=$B36,IF(DATOS_[[Check Periodo Ref.]:[Check Periodo Ref.]]="Dentro",DATOS_[Conc.Sal.08]))))),
0)</f>
        <v>0</v>
      </c>
      <c r="N38" s="111">
        <f t="array" ref="N38">IFERROR(
MEDIAN((IF(DATOS_[[Sexo]:[Sexo]]=$B38,IF(DATOS_[[AGRUP. VALOR. PTO.]:[AGRUP. VALOR. PTO.]]=$B36,IF(DATOS_[[Check Periodo Ref.]:[Check Periodo Ref.]]="Dentro",DATOS_[Conc.Sal.09]))))),
0)</f>
        <v>0</v>
      </c>
      <c r="O38" s="111">
        <f t="array" ref="O38">IFERROR(
MEDIAN((IF(DATOS_[[Sexo]:[Sexo]]=$B38,IF(DATOS_[[AGRUP. VALOR. PTO.]:[AGRUP. VALOR. PTO.]]=$B36,IF(DATOS_[[Check Periodo Ref.]:[Check Periodo Ref.]]="Dentro",DATOS_[Conc.Sal.10]))))),
0)</f>
        <v>0</v>
      </c>
      <c r="P38" s="111">
        <f t="array" ref="P38">IFERROR(
MEDIAN((IF(DATOS_[[Sexo]:[Sexo]]=$B38,IF(DATOS_[[AGRUP. VALOR. PTO.]:[AGRUP. VALOR. PTO.]]=$B36,IF(DATOS_[[Check Periodo Ref.]:[Check Periodo Ref.]]="Dentro",DATOS_[Conc.Sal.11]))))),
0)</f>
        <v>0</v>
      </c>
      <c r="Q38" s="111">
        <f t="array" ref="Q38">IFERROR(
MEDIAN((IF(DATOS_[[Sexo]:[Sexo]]=$B38,IF(DATOS_[[AGRUP. VALOR. PTO.]:[AGRUP. VALOR. PTO.]]=$B36,IF(DATOS_[[Check Periodo Ref.]:[Check Periodo Ref.]]="Dentro",DATOS_[Conc.Sal.12]))))),
0)</f>
        <v>0</v>
      </c>
      <c r="R38" s="111">
        <f t="array" ref="R38">IFERROR(
MEDIAN((IF(DATOS_[[Sexo]:[Sexo]]=$B38,IF(DATOS_[[AGRUP. VALOR. PTO.]:[AGRUP. VALOR. PTO.]]=$B36,IF(DATOS_[[Check Periodo Ref.]:[Check Periodo Ref.]]="Dentro",DATOS_[Conc.Sal.13]))))),
0)</f>
        <v>0</v>
      </c>
      <c r="S38" s="111">
        <f t="array" ref="S38">IFERROR(
MEDIAN((IF(DATOS_[[Sexo]:[Sexo]]=$B38,IF(DATOS_[[AGRUP. VALOR. PTO.]:[AGRUP. VALOR. PTO.]]=$B36,IF(DATOS_[[Check Periodo Ref.]:[Check Periodo Ref.]]="Dentro",DATOS_[Conc.Sal.14]))))),
0)</f>
        <v>0</v>
      </c>
      <c r="T38" s="111">
        <f t="array" ref="T38">IFERROR(
MEDIAN((IF(DATOS_[[Sexo]:[Sexo]]=$B38,IF(DATOS_[[AGRUP. VALOR. PTO.]:[AGRUP. VALOR. PTO.]]=$B36,IF(DATOS_[[Check Periodo Ref.]:[Check Periodo Ref.]]="Dentro",DATOS_[Conc.Sal.15]))))),
0)</f>
        <v>0</v>
      </c>
      <c r="U38" s="111">
        <f t="array" ref="U38">IFERROR(
MEDIAN((IF(DATOS_[[Sexo]:[Sexo]]=$B38,IF(DATOS_[[AGRUP. VALOR. PTO.]:[AGRUP. VALOR. PTO.]]=$B36,IF(DATOS_[[Check Periodo Ref.]:[Check Periodo Ref.]]="Dentro",DATOS_[Conc.Sal.16]))))),
0)</f>
        <v>0</v>
      </c>
      <c r="V38" s="111">
        <f t="array" ref="V38">IFERROR(
MEDIAN((IF(DATOS_[[Sexo]:[Sexo]]=$B38,IF(DATOS_[[AGRUP. VALOR. PTO.]:[AGRUP. VALOR. PTO.]]=$B36,IF(DATOS_[[Check Periodo Ref.]:[Check Periodo Ref.]]="Dentro",DATOS_[Conc.Sal.17]))))),
0)</f>
        <v>0</v>
      </c>
      <c r="W38" s="111">
        <f t="array" ref="W38">IFERROR(
MEDIAN((IF(DATOS_[[Sexo]:[Sexo]]=$B38,IF(DATOS_[[AGRUP. VALOR. PTO.]:[AGRUP. VALOR. PTO.]]=$B36,IF(DATOS_[[Check Periodo Ref.]:[Check Periodo Ref.]]="Dentro",DATOS_[Conc.Sal.18]))))),
0)</f>
        <v>0</v>
      </c>
      <c r="X38" s="111">
        <f t="array" ref="X38">IFERROR(
MEDIAN((IF(DATOS_[[Sexo]:[Sexo]]=$B38,IF(DATOS_[[AGRUP. VALOR. PTO.]:[AGRUP. VALOR. PTO.]]=$B36,IF(DATOS_[[Check Periodo Ref.]:[Check Periodo Ref.]]="Dentro",DATOS_[Conc.Sal.19]))))),
0)</f>
        <v>0</v>
      </c>
      <c r="Y38" s="111">
        <f t="array" ref="Y38">IFERROR(
MEDIAN((IF(DATOS_[[Sexo]:[Sexo]]=$B38,IF(DATOS_[[AGRUP. VALOR. PTO.]:[AGRUP. VALOR. PTO.]]=$B36,IF(DATOS_[[Check Periodo Ref.]:[Check Periodo Ref.]]="Dentro",DATOS_[Conc.Sal.20]))))),
0)</f>
        <v>0</v>
      </c>
      <c r="Z38" s="111">
        <f t="array" ref="Z38">IFERROR(
MEDIAN((IF(DATOS_[[Sexo]:[Sexo]]=$B38,IF(DATOS_[[AGRUP. VALOR. PTO.]:[AGRUP. VALOR. PTO.]]=$B36,IF(DATOS_[[Check Periodo Ref.]:[Check Periodo Ref.]]="Dentro",DATOS_[Conc.Sal.21]))))),
0)</f>
        <v>0</v>
      </c>
      <c r="AA38" s="111">
        <f t="array" ref="AA38">IFERROR(
MEDIAN((IF(DATOS_[[Sexo]:[Sexo]]=$B38,IF(DATOS_[[AGRUP. VALOR. PTO.]:[AGRUP. VALOR. PTO.]]=$B36,IF(DATOS_[[Check Periodo Ref.]:[Check Periodo Ref.]]="Dentro",DATOS_[Conc.Sal.22]))))),
0)</f>
        <v>0</v>
      </c>
      <c r="AB38" s="111">
        <f t="array" ref="AB38">IFERROR(
MEDIAN((IF(DATOS_[[Sexo]:[Sexo]]=$B38,IF(DATOS_[[AGRUP. VALOR. PTO.]:[AGRUP. VALOR. PTO.]]=$B36,IF(DATOS_[[Check Periodo Ref.]:[Check Periodo Ref.]]="Dentro",DATOS_[Conc.Sal.23]))))),
0)</f>
        <v>0</v>
      </c>
      <c r="AC38" s="111">
        <f t="array" ref="AC38">IFERROR(
MEDIAN((IF(DATOS_[[Sexo]:[Sexo]]=$B38,IF(DATOS_[[AGRUP. VALOR. PTO.]:[AGRUP. VALOR. PTO.]]=$B36,IF(DATOS_[[Check Periodo Ref.]:[Check Periodo Ref.]]="Dentro",DATOS_[Conc.Sal.24]))))),
0)</f>
        <v>0</v>
      </c>
      <c r="AD38" s="111">
        <f t="array" ref="AD38">IFERROR(
MEDIAN((IF(DATOS_[[Sexo]:[Sexo]]=$B38,IF(DATOS_[[AGRUP. VALOR. PTO.]:[AGRUP. VALOR. PTO.]]=$B36,IF(DATOS_[[Check Periodo Ref.]:[Check Periodo Ref.]]="Dentro",DATOS_[Conc.Sal.25]))))),
0)</f>
        <v>0</v>
      </c>
      <c r="AE38" s="111">
        <f t="array" ref="AE38">IFERROR(
MEDIAN((IF(DATOS_[[Sexo]:[Sexo]]=$B38,IF(DATOS_[[AGRUP. VALOR. PTO.]:[AGRUP. VALOR. PTO.]]=$B36,IF(DATOS_[[Check Periodo Ref.]:[Check Periodo Ref.]]="Dentro",DATOS_[Conc.Sal.26]))))),
0)</f>
        <v>0</v>
      </c>
      <c r="AF38" s="111">
        <f t="array" ref="AF38">IFERROR(
MEDIAN((IF(DATOS_[[Sexo]:[Sexo]]=$B38,IF(DATOS_[[AGRUP. VALOR. PTO.]:[AGRUP. VALOR. PTO.]]=$B36,IF(DATOS_[[Check Periodo Ref.]:[Check Periodo Ref.]]="Dentro",DATOS_[Conc.Sal.27]))))),
0)</f>
        <v>0</v>
      </c>
      <c r="AG38" s="111">
        <f t="array" ref="AG38">IFERROR(
MEDIAN((IF(DATOS_[[Sexo]:[Sexo]]=$B38,IF(DATOS_[[AGRUP. VALOR. PTO.]:[AGRUP. VALOR. PTO.]]=$B36,IF(DATOS_[[Check Periodo Ref.]:[Check Periodo Ref.]]="Dentro",DATOS_[Conc.Sal.28]))))),
0)</f>
        <v>0</v>
      </c>
      <c r="AH38" s="111">
        <f t="array" ref="AH38">IFERROR(
MEDIAN((IF(DATOS_[[Sexo]:[Sexo]]=$B38,IF(DATOS_[[AGRUP. VALOR. PTO.]:[AGRUP. VALOR. PTO.]]=$B36,IF(DATOS_[[Check Periodo Ref.]:[Check Periodo Ref.]]="Dentro",DATOS_[Conc.Sal.29]))))),
0)</f>
        <v>0</v>
      </c>
      <c r="AI38" s="111">
        <f t="array" ref="AI38">IFERROR(
MEDIAN((IF(DATOS_[[Sexo]:[Sexo]]=$B38,IF(DATOS_[[AGRUP. VALOR. PTO.]:[AGRUP. VALOR. PTO.]]=$B36,IF(DATOS_[[Check Periodo Ref.]:[Check Periodo Ref.]]="Dentro",DATOS_[Conc.Sal.30]))))),
0)</f>
        <v>0</v>
      </c>
      <c r="AJ38" s="112">
        <f t="array" ref="AJ38">IFERROR(
MEDIAN(IF(DATOS_[Sexo]=$B38,IF(DATOS_[AGRUP. VALOR. PTO.]=$B36,IF(DATOS_[Check Periodo Ref.]="Dentro",DATOS_[Tot COMPL.SAL Ef],FALSE)))),
0)</f>
        <v>0</v>
      </c>
      <c r="AK38" s="113">
        <f t="array" ref="AK38">IFERROR(
MEDIAN(IF(DATOS_[Sexo]=$B38,IF(DATOS_[AGRUP. VALOR. PTO.]=$B36,IF(DATOS_[Check Periodo Ref.]="Dentro",DATOS_[TOTAL SALARIO Ef],FALSE)))),
0)</f>
        <v>0</v>
      </c>
      <c r="AL38" s="114">
        <f t="array" ref="AL38">IFERROR(
MEDIAN((IF(DATOS_[[Sexo]:[Sexo]]=$B38,IF(DATOS_[[AGRUP. VALOR. PTO.]:[AGRUP. VALOR. PTO.]]=$B36,IF(DATOS_[[Check Periodo Ref.]:[Check Periodo Ref.]]="Dentro",DATOS_[C.Extra.01]))))),
0)</f>
        <v>0</v>
      </c>
      <c r="AM38" s="114">
        <f t="array" ref="AM38">IFERROR(
MEDIAN((IF(DATOS_[[Sexo]:[Sexo]]=$B38,IF(DATOS_[[AGRUP. VALOR. PTO.]:[AGRUP. VALOR. PTO.]]=$B36,IF(DATOS_[[Check Periodo Ref.]:[Check Periodo Ref.]]="Dentro",DATOS_[C.Extra.02]))))),
0)</f>
        <v>0</v>
      </c>
      <c r="AN38" s="114">
        <f t="array" ref="AN38">IFERROR(
MEDIAN((IF(DATOS_[[Sexo]:[Sexo]]=$B38,IF(DATOS_[[AGRUP. VALOR. PTO.]:[AGRUP. VALOR. PTO.]]=$B36,IF(DATOS_[[Check Periodo Ref.]:[Check Periodo Ref.]]="Dentro",DATOS_[C.Extra.03]))))),
0)</f>
        <v>0</v>
      </c>
      <c r="AO38" s="114">
        <f t="array" ref="AO38">IFERROR(
MEDIAN((IF(DATOS_[[Sexo]:[Sexo]]=$B38,IF(DATOS_[[AGRUP. VALOR. PTO.]:[AGRUP. VALOR. PTO.]]=$B36,IF(DATOS_[[Check Periodo Ref.]:[Check Periodo Ref.]]="Dentro",DATOS_[C.Extra.04]))))),
0)</f>
        <v>0</v>
      </c>
      <c r="AP38" s="114">
        <f t="array" ref="AP38">IFERROR(
MEDIAN((IF(DATOS_[[Sexo]:[Sexo]]=$B38,IF(DATOS_[[AGRUP. VALOR. PTO.]:[AGRUP. VALOR. PTO.]]=$B36,IF(DATOS_[[Check Periodo Ref.]:[Check Periodo Ref.]]="Dentro",DATOS_[C.Extra.05]))))),
0)</f>
        <v>0</v>
      </c>
      <c r="AQ38" s="115">
        <f t="array" ref="AQ38">IFERROR(
MEDIAN(IF(DATOS_[Sexo]=$B38,IF(DATOS_[AGRUP. VALOR. PTO.]=$B36,IF(DATOS_[Check Periodo Ref.]="Dentro",DATOS_[Tot Extrasalarial Ef],FALSE)))),
0)</f>
        <v>0</v>
      </c>
      <c r="AR38" s="116">
        <f t="array" ref="AR38">IFERROR(
MEDIAN(IF(DATOS_[Sexo]=$B38,IF(DATOS_[AGRUP. VALOR. PTO.]=$B36,IF(DATOS_[Check Periodo Ref.]="Dentro",DATOS_[TOTAL Retrib Ef],FALSE)))),
0)</f>
        <v>0</v>
      </c>
    </row>
    <row r="39" spans="1:44" ht="17.25" hidden="1" thickBot="1" x14ac:dyDescent="0.35">
      <c r="A39" s="42" t="str">
        <f t="shared" ref="A39" si="35">+A40</f>
        <v>[ocultar]</v>
      </c>
      <c r="B39" s="40" t="s">
        <v>306</v>
      </c>
      <c r="C39" s="109"/>
      <c r="D39" s="41"/>
      <c r="E39" s="119" t="str">
        <f t="shared" ref="E39:AR39" si="36">IFERROR((E40-E41)/E40,"")</f>
        <v/>
      </c>
      <c r="F39" s="123" t="str">
        <f t="shared" si="36"/>
        <v/>
      </c>
      <c r="G39" s="123" t="str">
        <f t="shared" si="36"/>
        <v/>
      </c>
      <c r="H39" s="123" t="str">
        <f t="shared" si="36"/>
        <v/>
      </c>
      <c r="I39" s="123" t="str">
        <f t="shared" si="36"/>
        <v/>
      </c>
      <c r="J39" s="123" t="str">
        <f t="shared" si="36"/>
        <v/>
      </c>
      <c r="K39" s="123" t="str">
        <f t="shared" si="36"/>
        <v/>
      </c>
      <c r="L39" s="123" t="str">
        <f t="shared" si="36"/>
        <v/>
      </c>
      <c r="M39" s="123" t="str">
        <f t="shared" si="36"/>
        <v/>
      </c>
      <c r="N39" s="123" t="str">
        <f t="shared" si="36"/>
        <v/>
      </c>
      <c r="O39" s="123" t="str">
        <f t="shared" si="36"/>
        <v/>
      </c>
      <c r="P39" s="123" t="str">
        <f t="shared" si="36"/>
        <v/>
      </c>
      <c r="Q39" s="123" t="str">
        <f t="shared" si="36"/>
        <v/>
      </c>
      <c r="R39" s="123" t="str">
        <f t="shared" si="36"/>
        <v/>
      </c>
      <c r="S39" s="123" t="str">
        <f t="shared" si="36"/>
        <v/>
      </c>
      <c r="T39" s="123" t="str">
        <f t="shared" si="36"/>
        <v/>
      </c>
      <c r="U39" s="123" t="str">
        <f t="shared" si="36"/>
        <v/>
      </c>
      <c r="V39" s="122" t="str">
        <f t="shared" si="36"/>
        <v/>
      </c>
      <c r="W39" s="122" t="str">
        <f t="shared" si="36"/>
        <v/>
      </c>
      <c r="X39" s="122" t="str">
        <f t="shared" si="36"/>
        <v/>
      </c>
      <c r="Y39" s="122" t="str">
        <f t="shared" si="36"/>
        <v/>
      </c>
      <c r="Z39" s="122" t="str">
        <f t="shared" si="36"/>
        <v/>
      </c>
      <c r="AA39" s="122" t="str">
        <f t="shared" si="36"/>
        <v/>
      </c>
      <c r="AB39" s="122" t="str">
        <f t="shared" si="36"/>
        <v/>
      </c>
      <c r="AC39" s="122" t="str">
        <f t="shared" si="36"/>
        <v/>
      </c>
      <c r="AD39" s="122" t="str">
        <f t="shared" si="36"/>
        <v/>
      </c>
      <c r="AE39" s="122" t="str">
        <f t="shared" si="36"/>
        <v/>
      </c>
      <c r="AF39" s="122" t="str">
        <f t="shared" si="36"/>
        <v/>
      </c>
      <c r="AG39" s="122" t="str">
        <f t="shared" si="36"/>
        <v/>
      </c>
      <c r="AH39" s="122" t="str">
        <f t="shared" si="36"/>
        <v/>
      </c>
      <c r="AI39" s="122" t="str">
        <f t="shared" si="36"/>
        <v/>
      </c>
      <c r="AJ39" s="124" t="str">
        <f t="shared" si="36"/>
        <v/>
      </c>
      <c r="AK39" s="128" t="str">
        <f t="shared" si="36"/>
        <v/>
      </c>
      <c r="AL39" s="125" t="str">
        <f t="shared" si="36"/>
        <v/>
      </c>
      <c r="AM39" s="125" t="str">
        <f t="shared" si="36"/>
        <v/>
      </c>
      <c r="AN39" s="125" t="str">
        <f t="shared" si="36"/>
        <v/>
      </c>
      <c r="AO39" s="125" t="str">
        <f t="shared" si="36"/>
        <v/>
      </c>
      <c r="AP39" s="125" t="str">
        <f t="shared" si="36"/>
        <v/>
      </c>
      <c r="AQ39" s="126" t="str">
        <f t="shared" si="36"/>
        <v/>
      </c>
      <c r="AR39" s="127" t="str">
        <f t="shared" si="36"/>
        <v/>
      </c>
    </row>
    <row r="40" spans="1:44" hidden="1" x14ac:dyDescent="0.3">
      <c r="A40" s="42" t="str">
        <f t="shared" ref="A40" si="37">+IF(C40+C41=0,"[ocultar]","")</f>
        <v>[ocultar]</v>
      </c>
      <c r="B40" s="34" t="s">
        <v>162</v>
      </c>
      <c r="C40" s="33">
        <f t="array" ref="C40">SUM(IF($B40=DATOS_[Sexo],
IF($B39=DATOS_[AGRUP. VALOR. PTO.],
IF("Dentro"=DATOS_[Check Periodo Ref.],
1/(COUNTIFS(DATOS_[Sexo],$B40,DATOS_[AGRUP. VALOR. PTO.],$B39,DATOS_[Check Periodo Ref.],"Dentro",DATOS_[id],DATOS_[id]))))))</f>
        <v>0</v>
      </c>
      <c r="D40" s="35">
        <f>COUNTIFS(DATOS_[AGRUP. VALOR. PTO.],$B39,DATOS_[Sexo],$B40,DATOS_[Check Periodo Ref.],"Dentro")</f>
        <v>0</v>
      </c>
      <c r="E40" s="110">
        <f t="array" ref="E40">IFERROR(
MEDIAN(IF(DATOS_[Sexo]=$B40,IF(DATOS_[AGRUP. VALOR. PTO.]=$B39,IF(DATOS_[Check Periodo Ref.]="Dentro",DATOS_[SALARIO BASE Ef],FALSE)))),
0)</f>
        <v>0</v>
      </c>
      <c r="F40" s="111">
        <f t="array" ref="F40">IFERROR(
MEDIAN((IF(DATOS_[[Sexo]:[Sexo]]=$B40,IF(DATOS_[[AGRUP. VALOR. PTO.]:[AGRUP. VALOR. PTO.]]=$B39,IF(DATOS_[[Check Periodo Ref.]:[Check Periodo Ref.]]="Dentro",DATOS_[Conc.Sal.01]))))),
0)</f>
        <v>0</v>
      </c>
      <c r="G40" s="111">
        <f t="array" ref="G40">IFERROR(
MEDIAN((IF(DATOS_[[Sexo]:[Sexo]]=$B40,IF(DATOS_[[AGRUP. VALOR. PTO.]:[AGRUP. VALOR. PTO.]]=$B39,IF(DATOS_[[Check Periodo Ref.]:[Check Periodo Ref.]]="Dentro",DATOS_[Conc.Sal.02]))))),
0)</f>
        <v>0</v>
      </c>
      <c r="H40" s="111">
        <f t="array" ref="H40">IFERROR(
MEDIAN((IF(DATOS_[[Sexo]:[Sexo]]=$B40,IF(DATOS_[[AGRUP. VALOR. PTO.]:[AGRUP. VALOR. PTO.]]=$B39,IF(DATOS_[[Check Periodo Ref.]:[Check Periodo Ref.]]="Dentro",DATOS_[Conc.Sal.03]))))),
0)</f>
        <v>0</v>
      </c>
      <c r="I40" s="111">
        <f t="array" ref="I40">IFERROR(
MEDIAN((IF(DATOS_[[Sexo]:[Sexo]]=$B40,IF(DATOS_[[AGRUP. VALOR. PTO.]:[AGRUP. VALOR. PTO.]]=$B39,IF(DATOS_[[Check Periodo Ref.]:[Check Periodo Ref.]]="Dentro",DATOS_[Conc.Sal.04]))))),
0)</f>
        <v>0</v>
      </c>
      <c r="J40" s="111">
        <f t="array" ref="J40">IFERROR(
MEDIAN((IF(DATOS_[[Sexo]:[Sexo]]=$B40,IF(DATOS_[[AGRUP. VALOR. PTO.]:[AGRUP. VALOR. PTO.]]=$B39,IF(DATOS_[[Check Periodo Ref.]:[Check Periodo Ref.]]="Dentro",DATOS_[Conc.Sal.05]))))),
0)</f>
        <v>0</v>
      </c>
      <c r="K40" s="111">
        <f t="array" ref="K40">IFERROR(
MEDIAN((IF(DATOS_[[Sexo]:[Sexo]]=$B40,IF(DATOS_[[AGRUP. VALOR. PTO.]:[AGRUP. VALOR. PTO.]]=$B39,IF(DATOS_[[Check Periodo Ref.]:[Check Periodo Ref.]]="Dentro",DATOS_[Conc.Sal.06]))))),
0)</f>
        <v>0</v>
      </c>
      <c r="L40" s="111">
        <f t="array" ref="L40">IFERROR(
MEDIAN((IF(DATOS_[[Sexo]:[Sexo]]=$B40,IF(DATOS_[[AGRUP. VALOR. PTO.]:[AGRUP. VALOR. PTO.]]=$B39,IF(DATOS_[[Check Periodo Ref.]:[Check Periodo Ref.]]="Dentro",DATOS_[Conc.Sal.07]))))),
0)</f>
        <v>0</v>
      </c>
      <c r="M40" s="111">
        <f t="array" ref="M40">IFERROR(
MEDIAN((IF(DATOS_[[Sexo]:[Sexo]]=$B40,IF(DATOS_[[AGRUP. VALOR. PTO.]:[AGRUP. VALOR. PTO.]]=$B39,IF(DATOS_[[Check Periodo Ref.]:[Check Periodo Ref.]]="Dentro",DATOS_[Conc.Sal.08]))))),
0)</f>
        <v>0</v>
      </c>
      <c r="N40" s="111">
        <f t="array" ref="N40">IFERROR(
MEDIAN((IF(DATOS_[[Sexo]:[Sexo]]=$B40,IF(DATOS_[[AGRUP. VALOR. PTO.]:[AGRUP. VALOR. PTO.]]=$B39,IF(DATOS_[[Check Periodo Ref.]:[Check Periodo Ref.]]="Dentro",DATOS_[Conc.Sal.09]))))),
0)</f>
        <v>0</v>
      </c>
      <c r="O40" s="111">
        <f t="array" ref="O40">IFERROR(
MEDIAN((IF(DATOS_[[Sexo]:[Sexo]]=$B40,IF(DATOS_[[AGRUP. VALOR. PTO.]:[AGRUP. VALOR. PTO.]]=$B39,IF(DATOS_[[Check Periodo Ref.]:[Check Periodo Ref.]]="Dentro",DATOS_[Conc.Sal.10]))))),
0)</f>
        <v>0</v>
      </c>
      <c r="P40" s="111">
        <f t="array" ref="P40">IFERROR(
MEDIAN((IF(DATOS_[[Sexo]:[Sexo]]=$B40,IF(DATOS_[[AGRUP. VALOR. PTO.]:[AGRUP. VALOR. PTO.]]=$B39,IF(DATOS_[[Check Periodo Ref.]:[Check Periodo Ref.]]="Dentro",DATOS_[Conc.Sal.11]))))),
0)</f>
        <v>0</v>
      </c>
      <c r="Q40" s="111">
        <f t="array" ref="Q40">IFERROR(
MEDIAN((IF(DATOS_[[Sexo]:[Sexo]]=$B40,IF(DATOS_[[AGRUP. VALOR. PTO.]:[AGRUP. VALOR. PTO.]]=$B39,IF(DATOS_[[Check Periodo Ref.]:[Check Periodo Ref.]]="Dentro",DATOS_[Conc.Sal.12]))))),
0)</f>
        <v>0</v>
      </c>
      <c r="R40" s="111">
        <f t="array" ref="R40">IFERROR(
MEDIAN((IF(DATOS_[[Sexo]:[Sexo]]=$B40,IF(DATOS_[[AGRUP. VALOR. PTO.]:[AGRUP. VALOR. PTO.]]=$B39,IF(DATOS_[[Check Periodo Ref.]:[Check Periodo Ref.]]="Dentro",DATOS_[Conc.Sal.13]))))),
0)</f>
        <v>0</v>
      </c>
      <c r="S40" s="111">
        <f t="array" ref="S40">IFERROR(
MEDIAN((IF(DATOS_[[Sexo]:[Sexo]]=$B40,IF(DATOS_[[AGRUP. VALOR. PTO.]:[AGRUP. VALOR. PTO.]]=$B39,IF(DATOS_[[Check Periodo Ref.]:[Check Periodo Ref.]]="Dentro",DATOS_[Conc.Sal.14]))))),
0)</f>
        <v>0</v>
      </c>
      <c r="T40" s="111">
        <f t="array" ref="T40">IFERROR(
MEDIAN((IF(DATOS_[[Sexo]:[Sexo]]=$B40,IF(DATOS_[[AGRUP. VALOR. PTO.]:[AGRUP. VALOR. PTO.]]=$B39,IF(DATOS_[[Check Periodo Ref.]:[Check Periodo Ref.]]="Dentro",DATOS_[Conc.Sal.15]))))),
0)</f>
        <v>0</v>
      </c>
      <c r="U40" s="111">
        <f t="array" ref="U40">IFERROR(
MEDIAN((IF(DATOS_[[Sexo]:[Sexo]]=$B40,IF(DATOS_[[AGRUP. VALOR. PTO.]:[AGRUP. VALOR. PTO.]]=$B39,IF(DATOS_[[Check Periodo Ref.]:[Check Periodo Ref.]]="Dentro",DATOS_[Conc.Sal.16]))))),
0)</f>
        <v>0</v>
      </c>
      <c r="V40" s="111">
        <f t="array" ref="V40">IFERROR(
MEDIAN((IF(DATOS_[[Sexo]:[Sexo]]=$B40,IF(DATOS_[[AGRUP. VALOR. PTO.]:[AGRUP. VALOR. PTO.]]=$B39,IF(DATOS_[[Check Periodo Ref.]:[Check Periodo Ref.]]="Dentro",DATOS_[Conc.Sal.17]))))),
0)</f>
        <v>0</v>
      </c>
      <c r="W40" s="111">
        <f t="array" ref="W40">IFERROR(
MEDIAN((IF(DATOS_[[Sexo]:[Sexo]]=$B40,IF(DATOS_[[AGRUP. VALOR. PTO.]:[AGRUP. VALOR. PTO.]]=$B39,IF(DATOS_[[Check Periodo Ref.]:[Check Periodo Ref.]]="Dentro",DATOS_[Conc.Sal.18]))))),
0)</f>
        <v>0</v>
      </c>
      <c r="X40" s="111">
        <f t="array" ref="X40">IFERROR(
MEDIAN((IF(DATOS_[[Sexo]:[Sexo]]=$B40,IF(DATOS_[[AGRUP. VALOR. PTO.]:[AGRUP. VALOR. PTO.]]=$B39,IF(DATOS_[[Check Periodo Ref.]:[Check Periodo Ref.]]="Dentro",DATOS_[Conc.Sal.19]))))),
0)</f>
        <v>0</v>
      </c>
      <c r="Y40" s="111">
        <f t="array" ref="Y40">IFERROR(
MEDIAN((IF(DATOS_[[Sexo]:[Sexo]]=$B40,IF(DATOS_[[AGRUP. VALOR. PTO.]:[AGRUP. VALOR. PTO.]]=$B39,IF(DATOS_[[Check Periodo Ref.]:[Check Periodo Ref.]]="Dentro",DATOS_[Conc.Sal.20]))))),
0)</f>
        <v>0</v>
      </c>
      <c r="Z40" s="111">
        <f t="array" ref="Z40">IFERROR(
MEDIAN((IF(DATOS_[[Sexo]:[Sexo]]=$B40,IF(DATOS_[[AGRUP. VALOR. PTO.]:[AGRUP. VALOR. PTO.]]=$B39,IF(DATOS_[[Check Periodo Ref.]:[Check Periodo Ref.]]="Dentro",DATOS_[Conc.Sal.21]))))),
0)</f>
        <v>0</v>
      </c>
      <c r="AA40" s="111">
        <f t="array" ref="AA40">IFERROR(
MEDIAN((IF(DATOS_[[Sexo]:[Sexo]]=$B40,IF(DATOS_[[AGRUP. VALOR. PTO.]:[AGRUP. VALOR. PTO.]]=$B39,IF(DATOS_[[Check Periodo Ref.]:[Check Periodo Ref.]]="Dentro",DATOS_[Conc.Sal.22]))))),
0)</f>
        <v>0</v>
      </c>
      <c r="AB40" s="111">
        <f t="array" ref="AB40">IFERROR(
MEDIAN((IF(DATOS_[[Sexo]:[Sexo]]=$B40,IF(DATOS_[[AGRUP. VALOR. PTO.]:[AGRUP. VALOR. PTO.]]=$B39,IF(DATOS_[[Check Periodo Ref.]:[Check Periodo Ref.]]="Dentro",DATOS_[Conc.Sal.23]))))),
0)</f>
        <v>0</v>
      </c>
      <c r="AC40" s="111">
        <f t="array" ref="AC40">IFERROR(
MEDIAN((IF(DATOS_[[Sexo]:[Sexo]]=$B40,IF(DATOS_[[AGRUP. VALOR. PTO.]:[AGRUP. VALOR. PTO.]]=$B39,IF(DATOS_[[Check Periodo Ref.]:[Check Periodo Ref.]]="Dentro",DATOS_[Conc.Sal.24]))))),
0)</f>
        <v>0</v>
      </c>
      <c r="AD40" s="111">
        <f t="array" ref="AD40">IFERROR(
MEDIAN((IF(DATOS_[[Sexo]:[Sexo]]=$B40,IF(DATOS_[[AGRUP. VALOR. PTO.]:[AGRUP. VALOR. PTO.]]=$B39,IF(DATOS_[[Check Periodo Ref.]:[Check Periodo Ref.]]="Dentro",DATOS_[Conc.Sal.25]))))),
0)</f>
        <v>0</v>
      </c>
      <c r="AE40" s="111">
        <f t="array" ref="AE40">IFERROR(
MEDIAN((IF(DATOS_[[Sexo]:[Sexo]]=$B40,IF(DATOS_[[AGRUP. VALOR. PTO.]:[AGRUP. VALOR. PTO.]]=$B39,IF(DATOS_[[Check Periodo Ref.]:[Check Periodo Ref.]]="Dentro",DATOS_[Conc.Sal.26]))))),
0)</f>
        <v>0</v>
      </c>
      <c r="AF40" s="111">
        <f t="array" ref="AF40">IFERROR(
MEDIAN((IF(DATOS_[[Sexo]:[Sexo]]=$B40,IF(DATOS_[[AGRUP. VALOR. PTO.]:[AGRUP. VALOR. PTO.]]=$B39,IF(DATOS_[[Check Periodo Ref.]:[Check Periodo Ref.]]="Dentro",DATOS_[Conc.Sal.27]))))),
0)</f>
        <v>0</v>
      </c>
      <c r="AG40" s="111">
        <f t="array" ref="AG40">IFERROR(
MEDIAN((IF(DATOS_[[Sexo]:[Sexo]]=$B40,IF(DATOS_[[AGRUP. VALOR. PTO.]:[AGRUP. VALOR. PTO.]]=$B39,IF(DATOS_[[Check Periodo Ref.]:[Check Periodo Ref.]]="Dentro",DATOS_[Conc.Sal.28]))))),
0)</f>
        <v>0</v>
      </c>
      <c r="AH40" s="111">
        <f t="array" ref="AH40">IFERROR(
MEDIAN((IF(DATOS_[[Sexo]:[Sexo]]=$B40,IF(DATOS_[[AGRUP. VALOR. PTO.]:[AGRUP. VALOR. PTO.]]=$B39,IF(DATOS_[[Check Periodo Ref.]:[Check Periodo Ref.]]="Dentro",DATOS_[Conc.Sal.29]))))),
0)</f>
        <v>0</v>
      </c>
      <c r="AI40" s="111">
        <f t="array" ref="AI40">IFERROR(
MEDIAN((IF(DATOS_[[Sexo]:[Sexo]]=$B40,IF(DATOS_[[AGRUP. VALOR. PTO.]:[AGRUP. VALOR. PTO.]]=$B39,IF(DATOS_[[Check Periodo Ref.]:[Check Periodo Ref.]]="Dentro",DATOS_[Conc.Sal.30]))))),
0)</f>
        <v>0</v>
      </c>
      <c r="AJ40" s="112">
        <f t="array" ref="AJ40">IFERROR(
MEDIAN(IF(DATOS_[Sexo]=$B40,IF(DATOS_[AGRUP. VALOR. PTO.]=$B39,IF(DATOS_[Check Periodo Ref.]="Dentro",DATOS_[Tot COMPL.SAL Ef],FALSE)))),
0)</f>
        <v>0</v>
      </c>
      <c r="AK40" s="113">
        <f t="array" ref="AK40">IFERROR(
MEDIAN(IF(DATOS_[Sexo]=$B40,IF(DATOS_[AGRUP. VALOR. PTO.]=$B39,IF(DATOS_[Check Periodo Ref.]="Dentro",DATOS_[TOTAL SALARIO Ef],FALSE)))),
0)</f>
        <v>0</v>
      </c>
      <c r="AL40" s="114">
        <f t="array" ref="AL40">IFERROR(
MEDIAN((IF(DATOS_[[Sexo]:[Sexo]]=$B40,IF(DATOS_[[AGRUP. VALOR. PTO.]:[AGRUP. VALOR. PTO.]]=$B39,IF(DATOS_[[Check Periodo Ref.]:[Check Periodo Ref.]]="Dentro",DATOS_[C.Extra.01]))))),
0)</f>
        <v>0</v>
      </c>
      <c r="AM40" s="114">
        <f t="array" ref="AM40">IFERROR(
MEDIAN((IF(DATOS_[[Sexo]:[Sexo]]=$B40,IF(DATOS_[[AGRUP. VALOR. PTO.]:[AGRUP. VALOR. PTO.]]=$B39,IF(DATOS_[[Check Periodo Ref.]:[Check Periodo Ref.]]="Dentro",DATOS_[C.Extra.02]))))),
0)</f>
        <v>0</v>
      </c>
      <c r="AN40" s="114">
        <f t="array" ref="AN40">IFERROR(
MEDIAN((IF(DATOS_[[Sexo]:[Sexo]]=$B40,IF(DATOS_[[AGRUP. VALOR. PTO.]:[AGRUP. VALOR. PTO.]]=$B39,IF(DATOS_[[Check Periodo Ref.]:[Check Periodo Ref.]]="Dentro",DATOS_[C.Extra.03]))))),
0)</f>
        <v>0</v>
      </c>
      <c r="AO40" s="114">
        <f t="array" ref="AO40">IFERROR(
MEDIAN((IF(DATOS_[[Sexo]:[Sexo]]=$B40,IF(DATOS_[[AGRUP. VALOR. PTO.]:[AGRUP. VALOR. PTO.]]=$B39,IF(DATOS_[[Check Periodo Ref.]:[Check Periodo Ref.]]="Dentro",DATOS_[C.Extra.04]))))),
0)</f>
        <v>0</v>
      </c>
      <c r="AP40" s="114">
        <f t="array" ref="AP40">IFERROR(
MEDIAN((IF(DATOS_[[Sexo]:[Sexo]]=$B40,IF(DATOS_[[AGRUP. VALOR. PTO.]:[AGRUP. VALOR. PTO.]]=$B39,IF(DATOS_[[Check Periodo Ref.]:[Check Periodo Ref.]]="Dentro",DATOS_[C.Extra.05]))))),
0)</f>
        <v>0</v>
      </c>
      <c r="AQ40" s="115">
        <f t="array" ref="AQ40">IFERROR(
MEDIAN(IF(DATOS_[Sexo]=$B40,IF(DATOS_[AGRUP. VALOR. PTO.]=$B39,IF(DATOS_[Check Periodo Ref.]="Dentro",DATOS_[Tot Extrasalarial Ef],FALSE)))),
0)</f>
        <v>0</v>
      </c>
      <c r="AR40" s="116">
        <f t="array" ref="AR40">IFERROR(
MEDIAN(IF(DATOS_[Sexo]=$B40,IF(DATOS_[AGRUP. VALOR. PTO.]=$B39,IF(DATOS_[Check Periodo Ref.]="Dentro",DATOS_[TOTAL Retrib Ef],FALSE)))),
0)</f>
        <v>0</v>
      </c>
    </row>
    <row r="41" spans="1:44" hidden="1" x14ac:dyDescent="0.3">
      <c r="A41" s="42" t="str">
        <f t="shared" ref="A41" si="38">+A40</f>
        <v>[ocultar]</v>
      </c>
      <c r="B41" s="34" t="s">
        <v>163</v>
      </c>
      <c r="C41" s="33">
        <f t="array" ref="C41">SUM(IF($B41=DATOS_[Sexo],
IF($B39=DATOS_[AGRUP. VALOR. PTO.],
IF("Dentro"=DATOS_[Check Periodo Ref.],
1/(COUNTIFS(DATOS_[Sexo],$B41,DATOS_[AGRUP. VALOR. PTO.],$B39,DATOS_[Check Periodo Ref.],"Dentro",DATOS_[id],DATOS_[id]))))))</f>
        <v>0</v>
      </c>
      <c r="D41" s="35">
        <f>COUNTIFS(DATOS_[AGRUP. VALOR. PTO.],$B39,DATOS_[Sexo],$B41,DATOS_[Check Periodo Ref.],"Dentro")</f>
        <v>0</v>
      </c>
      <c r="E41" s="110">
        <f t="array" ref="E41">IFERROR(
MEDIAN(IF(DATOS_[Sexo]=$B41,IF(DATOS_[AGRUP. VALOR. PTO.]=$B39,IF(DATOS_[Check Periodo Ref.]="Dentro",DATOS_[SALARIO BASE Ef],FALSE)))),
0)</f>
        <v>0</v>
      </c>
      <c r="F41" s="111">
        <f t="array" ref="F41">IFERROR(
MEDIAN((IF(DATOS_[[Sexo]:[Sexo]]=$B41,IF(DATOS_[[AGRUP. VALOR. PTO.]:[AGRUP. VALOR. PTO.]]=$B39,IF(DATOS_[[Check Periodo Ref.]:[Check Periodo Ref.]]="Dentro",DATOS_[Conc.Sal.01]))))),
0)</f>
        <v>0</v>
      </c>
      <c r="G41" s="111">
        <f t="array" ref="G41">IFERROR(
MEDIAN((IF(DATOS_[[Sexo]:[Sexo]]=$B41,IF(DATOS_[[AGRUP. VALOR. PTO.]:[AGRUP. VALOR. PTO.]]=$B39,IF(DATOS_[[Check Periodo Ref.]:[Check Periodo Ref.]]="Dentro",DATOS_[Conc.Sal.02]))))),
0)</f>
        <v>0</v>
      </c>
      <c r="H41" s="111">
        <f t="array" ref="H41">IFERROR(
MEDIAN((IF(DATOS_[[Sexo]:[Sexo]]=$B41,IF(DATOS_[[AGRUP. VALOR. PTO.]:[AGRUP. VALOR. PTO.]]=$B39,IF(DATOS_[[Check Periodo Ref.]:[Check Periodo Ref.]]="Dentro",DATOS_[Conc.Sal.03]))))),
0)</f>
        <v>0</v>
      </c>
      <c r="I41" s="111">
        <f t="array" ref="I41">IFERROR(
MEDIAN((IF(DATOS_[[Sexo]:[Sexo]]=$B41,IF(DATOS_[[AGRUP. VALOR. PTO.]:[AGRUP. VALOR. PTO.]]=$B39,IF(DATOS_[[Check Periodo Ref.]:[Check Periodo Ref.]]="Dentro",DATOS_[Conc.Sal.04]))))),
0)</f>
        <v>0</v>
      </c>
      <c r="J41" s="111">
        <f t="array" ref="J41">IFERROR(
MEDIAN((IF(DATOS_[[Sexo]:[Sexo]]=$B41,IF(DATOS_[[AGRUP. VALOR. PTO.]:[AGRUP. VALOR. PTO.]]=$B39,IF(DATOS_[[Check Periodo Ref.]:[Check Periodo Ref.]]="Dentro",DATOS_[Conc.Sal.05]))))),
0)</f>
        <v>0</v>
      </c>
      <c r="K41" s="111">
        <f t="array" ref="K41">IFERROR(
MEDIAN((IF(DATOS_[[Sexo]:[Sexo]]=$B41,IF(DATOS_[[AGRUP. VALOR. PTO.]:[AGRUP. VALOR. PTO.]]=$B39,IF(DATOS_[[Check Periodo Ref.]:[Check Periodo Ref.]]="Dentro",DATOS_[Conc.Sal.06]))))),
0)</f>
        <v>0</v>
      </c>
      <c r="L41" s="111">
        <f t="array" ref="L41">IFERROR(
MEDIAN((IF(DATOS_[[Sexo]:[Sexo]]=$B41,IF(DATOS_[[AGRUP. VALOR. PTO.]:[AGRUP. VALOR. PTO.]]=$B39,IF(DATOS_[[Check Periodo Ref.]:[Check Periodo Ref.]]="Dentro",DATOS_[Conc.Sal.07]))))),
0)</f>
        <v>0</v>
      </c>
      <c r="M41" s="111">
        <f t="array" ref="M41">IFERROR(
MEDIAN((IF(DATOS_[[Sexo]:[Sexo]]=$B41,IF(DATOS_[[AGRUP. VALOR. PTO.]:[AGRUP. VALOR. PTO.]]=$B39,IF(DATOS_[[Check Periodo Ref.]:[Check Periodo Ref.]]="Dentro",DATOS_[Conc.Sal.08]))))),
0)</f>
        <v>0</v>
      </c>
      <c r="N41" s="111">
        <f t="array" ref="N41">IFERROR(
MEDIAN((IF(DATOS_[[Sexo]:[Sexo]]=$B41,IF(DATOS_[[AGRUP. VALOR. PTO.]:[AGRUP. VALOR. PTO.]]=$B39,IF(DATOS_[[Check Periodo Ref.]:[Check Periodo Ref.]]="Dentro",DATOS_[Conc.Sal.09]))))),
0)</f>
        <v>0</v>
      </c>
      <c r="O41" s="111">
        <f t="array" ref="O41">IFERROR(
MEDIAN((IF(DATOS_[[Sexo]:[Sexo]]=$B41,IF(DATOS_[[AGRUP. VALOR. PTO.]:[AGRUP. VALOR. PTO.]]=$B39,IF(DATOS_[[Check Periodo Ref.]:[Check Periodo Ref.]]="Dentro",DATOS_[Conc.Sal.10]))))),
0)</f>
        <v>0</v>
      </c>
      <c r="P41" s="111">
        <f t="array" ref="P41">IFERROR(
MEDIAN((IF(DATOS_[[Sexo]:[Sexo]]=$B41,IF(DATOS_[[AGRUP. VALOR. PTO.]:[AGRUP. VALOR. PTO.]]=$B39,IF(DATOS_[[Check Periodo Ref.]:[Check Periodo Ref.]]="Dentro",DATOS_[Conc.Sal.11]))))),
0)</f>
        <v>0</v>
      </c>
      <c r="Q41" s="111">
        <f t="array" ref="Q41">IFERROR(
MEDIAN((IF(DATOS_[[Sexo]:[Sexo]]=$B41,IF(DATOS_[[AGRUP. VALOR. PTO.]:[AGRUP. VALOR. PTO.]]=$B39,IF(DATOS_[[Check Periodo Ref.]:[Check Periodo Ref.]]="Dentro",DATOS_[Conc.Sal.12]))))),
0)</f>
        <v>0</v>
      </c>
      <c r="R41" s="111">
        <f t="array" ref="R41">IFERROR(
MEDIAN((IF(DATOS_[[Sexo]:[Sexo]]=$B41,IF(DATOS_[[AGRUP. VALOR. PTO.]:[AGRUP. VALOR. PTO.]]=$B39,IF(DATOS_[[Check Periodo Ref.]:[Check Periodo Ref.]]="Dentro",DATOS_[Conc.Sal.13]))))),
0)</f>
        <v>0</v>
      </c>
      <c r="S41" s="111">
        <f t="array" ref="S41">IFERROR(
MEDIAN((IF(DATOS_[[Sexo]:[Sexo]]=$B41,IF(DATOS_[[AGRUP. VALOR. PTO.]:[AGRUP. VALOR. PTO.]]=$B39,IF(DATOS_[[Check Periodo Ref.]:[Check Periodo Ref.]]="Dentro",DATOS_[Conc.Sal.14]))))),
0)</f>
        <v>0</v>
      </c>
      <c r="T41" s="111">
        <f t="array" ref="T41">IFERROR(
MEDIAN((IF(DATOS_[[Sexo]:[Sexo]]=$B41,IF(DATOS_[[AGRUP. VALOR. PTO.]:[AGRUP. VALOR. PTO.]]=$B39,IF(DATOS_[[Check Periodo Ref.]:[Check Periodo Ref.]]="Dentro",DATOS_[Conc.Sal.15]))))),
0)</f>
        <v>0</v>
      </c>
      <c r="U41" s="111">
        <f t="array" ref="U41">IFERROR(
MEDIAN((IF(DATOS_[[Sexo]:[Sexo]]=$B41,IF(DATOS_[[AGRUP. VALOR. PTO.]:[AGRUP. VALOR. PTO.]]=$B39,IF(DATOS_[[Check Periodo Ref.]:[Check Periodo Ref.]]="Dentro",DATOS_[Conc.Sal.16]))))),
0)</f>
        <v>0</v>
      </c>
      <c r="V41" s="111">
        <f t="array" ref="V41">IFERROR(
MEDIAN((IF(DATOS_[[Sexo]:[Sexo]]=$B41,IF(DATOS_[[AGRUP. VALOR. PTO.]:[AGRUP. VALOR. PTO.]]=$B39,IF(DATOS_[[Check Periodo Ref.]:[Check Periodo Ref.]]="Dentro",DATOS_[Conc.Sal.17]))))),
0)</f>
        <v>0</v>
      </c>
      <c r="W41" s="111">
        <f t="array" ref="W41">IFERROR(
MEDIAN((IF(DATOS_[[Sexo]:[Sexo]]=$B41,IF(DATOS_[[AGRUP. VALOR. PTO.]:[AGRUP. VALOR. PTO.]]=$B39,IF(DATOS_[[Check Periodo Ref.]:[Check Periodo Ref.]]="Dentro",DATOS_[Conc.Sal.18]))))),
0)</f>
        <v>0</v>
      </c>
      <c r="X41" s="111">
        <f t="array" ref="X41">IFERROR(
MEDIAN((IF(DATOS_[[Sexo]:[Sexo]]=$B41,IF(DATOS_[[AGRUP. VALOR. PTO.]:[AGRUP. VALOR. PTO.]]=$B39,IF(DATOS_[[Check Periodo Ref.]:[Check Periodo Ref.]]="Dentro",DATOS_[Conc.Sal.19]))))),
0)</f>
        <v>0</v>
      </c>
      <c r="Y41" s="111">
        <f t="array" ref="Y41">IFERROR(
MEDIAN((IF(DATOS_[[Sexo]:[Sexo]]=$B41,IF(DATOS_[[AGRUP. VALOR. PTO.]:[AGRUP. VALOR. PTO.]]=$B39,IF(DATOS_[[Check Periodo Ref.]:[Check Periodo Ref.]]="Dentro",DATOS_[Conc.Sal.20]))))),
0)</f>
        <v>0</v>
      </c>
      <c r="Z41" s="111">
        <f t="array" ref="Z41">IFERROR(
MEDIAN((IF(DATOS_[[Sexo]:[Sexo]]=$B41,IF(DATOS_[[AGRUP. VALOR. PTO.]:[AGRUP. VALOR. PTO.]]=$B39,IF(DATOS_[[Check Periodo Ref.]:[Check Periodo Ref.]]="Dentro",DATOS_[Conc.Sal.21]))))),
0)</f>
        <v>0</v>
      </c>
      <c r="AA41" s="111">
        <f t="array" ref="AA41">IFERROR(
MEDIAN((IF(DATOS_[[Sexo]:[Sexo]]=$B41,IF(DATOS_[[AGRUP. VALOR. PTO.]:[AGRUP. VALOR. PTO.]]=$B39,IF(DATOS_[[Check Periodo Ref.]:[Check Periodo Ref.]]="Dentro",DATOS_[Conc.Sal.22]))))),
0)</f>
        <v>0</v>
      </c>
      <c r="AB41" s="111">
        <f t="array" ref="AB41">IFERROR(
MEDIAN((IF(DATOS_[[Sexo]:[Sexo]]=$B41,IF(DATOS_[[AGRUP. VALOR. PTO.]:[AGRUP. VALOR. PTO.]]=$B39,IF(DATOS_[[Check Periodo Ref.]:[Check Periodo Ref.]]="Dentro",DATOS_[Conc.Sal.23]))))),
0)</f>
        <v>0</v>
      </c>
      <c r="AC41" s="111">
        <f t="array" ref="AC41">IFERROR(
MEDIAN((IF(DATOS_[[Sexo]:[Sexo]]=$B41,IF(DATOS_[[AGRUP. VALOR. PTO.]:[AGRUP. VALOR. PTO.]]=$B39,IF(DATOS_[[Check Periodo Ref.]:[Check Periodo Ref.]]="Dentro",DATOS_[Conc.Sal.24]))))),
0)</f>
        <v>0</v>
      </c>
      <c r="AD41" s="111">
        <f t="array" ref="AD41">IFERROR(
MEDIAN((IF(DATOS_[[Sexo]:[Sexo]]=$B41,IF(DATOS_[[AGRUP. VALOR. PTO.]:[AGRUP. VALOR. PTO.]]=$B39,IF(DATOS_[[Check Periodo Ref.]:[Check Periodo Ref.]]="Dentro",DATOS_[Conc.Sal.25]))))),
0)</f>
        <v>0</v>
      </c>
      <c r="AE41" s="111">
        <f t="array" ref="AE41">IFERROR(
MEDIAN((IF(DATOS_[[Sexo]:[Sexo]]=$B41,IF(DATOS_[[AGRUP. VALOR. PTO.]:[AGRUP. VALOR. PTO.]]=$B39,IF(DATOS_[[Check Periodo Ref.]:[Check Periodo Ref.]]="Dentro",DATOS_[Conc.Sal.26]))))),
0)</f>
        <v>0</v>
      </c>
      <c r="AF41" s="111">
        <f t="array" ref="AF41">IFERROR(
MEDIAN((IF(DATOS_[[Sexo]:[Sexo]]=$B41,IF(DATOS_[[AGRUP. VALOR. PTO.]:[AGRUP. VALOR. PTO.]]=$B39,IF(DATOS_[[Check Periodo Ref.]:[Check Periodo Ref.]]="Dentro",DATOS_[Conc.Sal.27]))))),
0)</f>
        <v>0</v>
      </c>
      <c r="AG41" s="111">
        <f t="array" ref="AG41">IFERROR(
MEDIAN((IF(DATOS_[[Sexo]:[Sexo]]=$B41,IF(DATOS_[[AGRUP. VALOR. PTO.]:[AGRUP. VALOR. PTO.]]=$B39,IF(DATOS_[[Check Periodo Ref.]:[Check Periodo Ref.]]="Dentro",DATOS_[Conc.Sal.28]))))),
0)</f>
        <v>0</v>
      </c>
      <c r="AH41" s="111">
        <f t="array" ref="AH41">IFERROR(
MEDIAN((IF(DATOS_[[Sexo]:[Sexo]]=$B41,IF(DATOS_[[AGRUP. VALOR. PTO.]:[AGRUP. VALOR. PTO.]]=$B39,IF(DATOS_[[Check Periodo Ref.]:[Check Periodo Ref.]]="Dentro",DATOS_[Conc.Sal.29]))))),
0)</f>
        <v>0</v>
      </c>
      <c r="AI41" s="111">
        <f t="array" ref="AI41">IFERROR(
MEDIAN((IF(DATOS_[[Sexo]:[Sexo]]=$B41,IF(DATOS_[[AGRUP. VALOR. PTO.]:[AGRUP. VALOR. PTO.]]=$B39,IF(DATOS_[[Check Periodo Ref.]:[Check Periodo Ref.]]="Dentro",DATOS_[Conc.Sal.30]))))),
0)</f>
        <v>0</v>
      </c>
      <c r="AJ41" s="112">
        <f t="array" ref="AJ41">IFERROR(
MEDIAN(IF(DATOS_[Sexo]=$B41,IF(DATOS_[AGRUP. VALOR. PTO.]=$B39,IF(DATOS_[Check Periodo Ref.]="Dentro",DATOS_[Tot COMPL.SAL Ef],FALSE)))),
0)</f>
        <v>0</v>
      </c>
      <c r="AK41" s="113">
        <f t="array" ref="AK41">IFERROR(
MEDIAN(IF(DATOS_[Sexo]=$B41,IF(DATOS_[AGRUP. VALOR. PTO.]=$B39,IF(DATOS_[Check Periodo Ref.]="Dentro",DATOS_[TOTAL SALARIO Ef],FALSE)))),
0)</f>
        <v>0</v>
      </c>
      <c r="AL41" s="114">
        <f t="array" ref="AL41">IFERROR(
MEDIAN((IF(DATOS_[[Sexo]:[Sexo]]=$B41,IF(DATOS_[[AGRUP. VALOR. PTO.]:[AGRUP. VALOR. PTO.]]=$B39,IF(DATOS_[[Check Periodo Ref.]:[Check Periodo Ref.]]="Dentro",DATOS_[C.Extra.01]))))),
0)</f>
        <v>0</v>
      </c>
      <c r="AM41" s="114">
        <f t="array" ref="AM41">IFERROR(
MEDIAN((IF(DATOS_[[Sexo]:[Sexo]]=$B41,IF(DATOS_[[AGRUP. VALOR. PTO.]:[AGRUP. VALOR. PTO.]]=$B39,IF(DATOS_[[Check Periodo Ref.]:[Check Periodo Ref.]]="Dentro",DATOS_[C.Extra.02]))))),
0)</f>
        <v>0</v>
      </c>
      <c r="AN41" s="114">
        <f t="array" ref="AN41">IFERROR(
MEDIAN((IF(DATOS_[[Sexo]:[Sexo]]=$B41,IF(DATOS_[[AGRUP. VALOR. PTO.]:[AGRUP. VALOR. PTO.]]=$B39,IF(DATOS_[[Check Periodo Ref.]:[Check Periodo Ref.]]="Dentro",DATOS_[C.Extra.03]))))),
0)</f>
        <v>0</v>
      </c>
      <c r="AO41" s="114">
        <f t="array" ref="AO41">IFERROR(
MEDIAN((IF(DATOS_[[Sexo]:[Sexo]]=$B41,IF(DATOS_[[AGRUP. VALOR. PTO.]:[AGRUP. VALOR. PTO.]]=$B39,IF(DATOS_[[Check Periodo Ref.]:[Check Periodo Ref.]]="Dentro",DATOS_[C.Extra.04]))))),
0)</f>
        <v>0</v>
      </c>
      <c r="AP41" s="114">
        <f t="array" ref="AP41">IFERROR(
MEDIAN((IF(DATOS_[[Sexo]:[Sexo]]=$B41,IF(DATOS_[[AGRUP. VALOR. PTO.]:[AGRUP. VALOR. PTO.]]=$B39,IF(DATOS_[[Check Periodo Ref.]:[Check Periodo Ref.]]="Dentro",DATOS_[C.Extra.05]))))),
0)</f>
        <v>0</v>
      </c>
      <c r="AQ41" s="115">
        <f t="array" ref="AQ41">IFERROR(
MEDIAN(IF(DATOS_[Sexo]=$B41,IF(DATOS_[AGRUP. VALOR. PTO.]=$B39,IF(DATOS_[Check Periodo Ref.]="Dentro",DATOS_[Tot Extrasalarial Ef],FALSE)))),
0)</f>
        <v>0</v>
      </c>
      <c r="AR41" s="116">
        <f t="array" ref="AR41">IFERROR(
MEDIAN(IF(DATOS_[Sexo]=$B41,IF(DATOS_[AGRUP. VALOR. PTO.]=$B39,IF(DATOS_[Check Periodo Ref.]="Dentro",DATOS_[TOTAL Retrib Ef],FALSE)))),
0)</f>
        <v>0</v>
      </c>
    </row>
    <row r="42" spans="1:44" ht="17.25" hidden="1" thickBot="1" x14ac:dyDescent="0.35">
      <c r="A42" s="42" t="str">
        <f t="shared" ref="A42" si="39">+A43</f>
        <v>[ocultar]</v>
      </c>
      <c r="B42" s="40" t="s">
        <v>269</v>
      </c>
      <c r="C42" s="109"/>
      <c r="D42" s="41"/>
      <c r="E42" s="119" t="str">
        <f t="shared" ref="E42:AR42" si="40">IFERROR((E43-E44)/E43,"")</f>
        <v/>
      </c>
      <c r="F42" s="123" t="str">
        <f t="shared" si="40"/>
        <v/>
      </c>
      <c r="G42" s="123" t="str">
        <f t="shared" si="40"/>
        <v/>
      </c>
      <c r="H42" s="123" t="str">
        <f t="shared" si="40"/>
        <v/>
      </c>
      <c r="I42" s="123" t="str">
        <f t="shared" si="40"/>
        <v/>
      </c>
      <c r="J42" s="123" t="str">
        <f t="shared" si="40"/>
        <v/>
      </c>
      <c r="K42" s="123" t="str">
        <f t="shared" si="40"/>
        <v/>
      </c>
      <c r="L42" s="123" t="str">
        <f t="shared" si="40"/>
        <v/>
      </c>
      <c r="M42" s="123" t="str">
        <f t="shared" si="40"/>
        <v/>
      </c>
      <c r="N42" s="123" t="str">
        <f t="shared" si="40"/>
        <v/>
      </c>
      <c r="O42" s="123" t="str">
        <f t="shared" si="40"/>
        <v/>
      </c>
      <c r="P42" s="123" t="str">
        <f t="shared" si="40"/>
        <v/>
      </c>
      <c r="Q42" s="123" t="str">
        <f t="shared" si="40"/>
        <v/>
      </c>
      <c r="R42" s="123" t="str">
        <f t="shared" si="40"/>
        <v/>
      </c>
      <c r="S42" s="123" t="str">
        <f t="shared" si="40"/>
        <v/>
      </c>
      <c r="T42" s="123" t="str">
        <f t="shared" si="40"/>
        <v/>
      </c>
      <c r="U42" s="123" t="str">
        <f t="shared" si="40"/>
        <v/>
      </c>
      <c r="V42" s="122" t="str">
        <f t="shared" si="40"/>
        <v/>
      </c>
      <c r="W42" s="122" t="str">
        <f t="shared" si="40"/>
        <v/>
      </c>
      <c r="X42" s="122" t="str">
        <f t="shared" si="40"/>
        <v/>
      </c>
      <c r="Y42" s="122" t="str">
        <f t="shared" si="40"/>
        <v/>
      </c>
      <c r="Z42" s="122" t="str">
        <f t="shared" si="40"/>
        <v/>
      </c>
      <c r="AA42" s="122" t="str">
        <f t="shared" si="40"/>
        <v/>
      </c>
      <c r="AB42" s="122" t="str">
        <f t="shared" si="40"/>
        <v/>
      </c>
      <c r="AC42" s="122" t="str">
        <f t="shared" si="40"/>
        <v/>
      </c>
      <c r="AD42" s="122" t="str">
        <f t="shared" si="40"/>
        <v/>
      </c>
      <c r="AE42" s="122" t="str">
        <f t="shared" si="40"/>
        <v/>
      </c>
      <c r="AF42" s="122" t="str">
        <f t="shared" si="40"/>
        <v/>
      </c>
      <c r="AG42" s="122" t="str">
        <f t="shared" si="40"/>
        <v/>
      </c>
      <c r="AH42" s="122" t="str">
        <f t="shared" si="40"/>
        <v/>
      </c>
      <c r="AI42" s="122" t="str">
        <f t="shared" si="40"/>
        <v/>
      </c>
      <c r="AJ42" s="124" t="str">
        <f t="shared" si="40"/>
        <v/>
      </c>
      <c r="AK42" s="128" t="str">
        <f t="shared" si="40"/>
        <v/>
      </c>
      <c r="AL42" s="125" t="str">
        <f t="shared" si="40"/>
        <v/>
      </c>
      <c r="AM42" s="125" t="str">
        <f t="shared" si="40"/>
        <v/>
      </c>
      <c r="AN42" s="125" t="str">
        <f t="shared" si="40"/>
        <v/>
      </c>
      <c r="AO42" s="125" t="str">
        <f t="shared" si="40"/>
        <v/>
      </c>
      <c r="AP42" s="125" t="str">
        <f t="shared" si="40"/>
        <v/>
      </c>
      <c r="AQ42" s="126" t="str">
        <f t="shared" si="40"/>
        <v/>
      </c>
      <c r="AR42" s="127" t="str">
        <f t="shared" si="40"/>
        <v/>
      </c>
    </row>
    <row r="43" spans="1:44" hidden="1" x14ac:dyDescent="0.3">
      <c r="A43" s="42" t="str">
        <f t="shared" ref="A43" si="41">+IF(C43+C44=0,"[ocultar]","")</f>
        <v>[ocultar]</v>
      </c>
      <c r="B43" s="34" t="s">
        <v>162</v>
      </c>
      <c r="C43" s="33">
        <f t="array" ref="C43">SUM(IF($B43=DATOS_[Sexo],
IF($B42=DATOS_[AGRUP. VALOR. PTO.],
IF("Dentro"=DATOS_[Check Periodo Ref.],
1/(COUNTIFS(DATOS_[Sexo],$B43,DATOS_[AGRUP. VALOR. PTO.],$B42,DATOS_[Check Periodo Ref.],"Dentro",DATOS_[id],DATOS_[id]))))))</f>
        <v>0</v>
      </c>
      <c r="D43" s="35">
        <f>COUNTIFS(DATOS_[AGRUP. VALOR. PTO.],$B42,DATOS_[Sexo],$B43,DATOS_[Check Periodo Ref.],"Dentro")</f>
        <v>0</v>
      </c>
      <c r="E43" s="110">
        <f t="array" ref="E43">IFERROR(
MEDIAN(IF(DATOS_[Sexo]=$B43,IF(DATOS_[AGRUP. VALOR. PTO.]=$B42,IF(DATOS_[Check Periodo Ref.]="Dentro",DATOS_[SALARIO BASE Ef],FALSE)))),
0)</f>
        <v>0</v>
      </c>
      <c r="F43" s="111">
        <f t="array" ref="F43">IFERROR(
MEDIAN((IF(DATOS_[[Sexo]:[Sexo]]=$B43,IF(DATOS_[[AGRUP. VALOR. PTO.]:[AGRUP. VALOR. PTO.]]=$B42,IF(DATOS_[[Check Periodo Ref.]:[Check Periodo Ref.]]="Dentro",DATOS_[Conc.Sal.01]))))),
0)</f>
        <v>0</v>
      </c>
      <c r="G43" s="111">
        <f t="array" ref="G43">IFERROR(
MEDIAN((IF(DATOS_[[Sexo]:[Sexo]]=$B43,IF(DATOS_[[AGRUP. VALOR. PTO.]:[AGRUP. VALOR. PTO.]]=$B42,IF(DATOS_[[Check Periodo Ref.]:[Check Periodo Ref.]]="Dentro",DATOS_[Conc.Sal.02]))))),
0)</f>
        <v>0</v>
      </c>
      <c r="H43" s="111">
        <f t="array" ref="H43">IFERROR(
MEDIAN((IF(DATOS_[[Sexo]:[Sexo]]=$B43,IF(DATOS_[[AGRUP. VALOR. PTO.]:[AGRUP. VALOR. PTO.]]=$B42,IF(DATOS_[[Check Periodo Ref.]:[Check Periodo Ref.]]="Dentro",DATOS_[Conc.Sal.03]))))),
0)</f>
        <v>0</v>
      </c>
      <c r="I43" s="111">
        <f t="array" ref="I43">IFERROR(
MEDIAN((IF(DATOS_[[Sexo]:[Sexo]]=$B43,IF(DATOS_[[AGRUP. VALOR. PTO.]:[AGRUP. VALOR. PTO.]]=$B42,IF(DATOS_[[Check Periodo Ref.]:[Check Periodo Ref.]]="Dentro",DATOS_[Conc.Sal.04]))))),
0)</f>
        <v>0</v>
      </c>
      <c r="J43" s="111">
        <f t="array" ref="J43">IFERROR(
MEDIAN((IF(DATOS_[[Sexo]:[Sexo]]=$B43,IF(DATOS_[[AGRUP. VALOR. PTO.]:[AGRUP. VALOR. PTO.]]=$B42,IF(DATOS_[[Check Periodo Ref.]:[Check Periodo Ref.]]="Dentro",DATOS_[Conc.Sal.05]))))),
0)</f>
        <v>0</v>
      </c>
      <c r="K43" s="111">
        <f t="array" ref="K43">IFERROR(
MEDIAN((IF(DATOS_[[Sexo]:[Sexo]]=$B43,IF(DATOS_[[AGRUP. VALOR. PTO.]:[AGRUP. VALOR. PTO.]]=$B42,IF(DATOS_[[Check Periodo Ref.]:[Check Periodo Ref.]]="Dentro",DATOS_[Conc.Sal.06]))))),
0)</f>
        <v>0</v>
      </c>
      <c r="L43" s="111">
        <f t="array" ref="L43">IFERROR(
MEDIAN((IF(DATOS_[[Sexo]:[Sexo]]=$B43,IF(DATOS_[[AGRUP. VALOR. PTO.]:[AGRUP. VALOR. PTO.]]=$B42,IF(DATOS_[[Check Periodo Ref.]:[Check Periodo Ref.]]="Dentro",DATOS_[Conc.Sal.07]))))),
0)</f>
        <v>0</v>
      </c>
      <c r="M43" s="111">
        <f t="array" ref="M43">IFERROR(
MEDIAN((IF(DATOS_[[Sexo]:[Sexo]]=$B43,IF(DATOS_[[AGRUP. VALOR. PTO.]:[AGRUP. VALOR. PTO.]]=$B42,IF(DATOS_[[Check Periodo Ref.]:[Check Periodo Ref.]]="Dentro",DATOS_[Conc.Sal.08]))))),
0)</f>
        <v>0</v>
      </c>
      <c r="N43" s="111">
        <f t="array" ref="N43">IFERROR(
MEDIAN((IF(DATOS_[[Sexo]:[Sexo]]=$B43,IF(DATOS_[[AGRUP. VALOR. PTO.]:[AGRUP. VALOR. PTO.]]=$B42,IF(DATOS_[[Check Periodo Ref.]:[Check Periodo Ref.]]="Dentro",DATOS_[Conc.Sal.09]))))),
0)</f>
        <v>0</v>
      </c>
      <c r="O43" s="111">
        <f t="array" ref="O43">IFERROR(
MEDIAN((IF(DATOS_[[Sexo]:[Sexo]]=$B43,IF(DATOS_[[AGRUP. VALOR. PTO.]:[AGRUP. VALOR. PTO.]]=$B42,IF(DATOS_[[Check Periodo Ref.]:[Check Periodo Ref.]]="Dentro",DATOS_[Conc.Sal.10]))))),
0)</f>
        <v>0</v>
      </c>
      <c r="P43" s="111">
        <f t="array" ref="P43">IFERROR(
MEDIAN((IF(DATOS_[[Sexo]:[Sexo]]=$B43,IF(DATOS_[[AGRUP. VALOR. PTO.]:[AGRUP. VALOR. PTO.]]=$B42,IF(DATOS_[[Check Periodo Ref.]:[Check Periodo Ref.]]="Dentro",DATOS_[Conc.Sal.11]))))),
0)</f>
        <v>0</v>
      </c>
      <c r="Q43" s="111">
        <f t="array" ref="Q43">IFERROR(
MEDIAN((IF(DATOS_[[Sexo]:[Sexo]]=$B43,IF(DATOS_[[AGRUP. VALOR. PTO.]:[AGRUP. VALOR. PTO.]]=$B42,IF(DATOS_[[Check Periodo Ref.]:[Check Periodo Ref.]]="Dentro",DATOS_[Conc.Sal.12]))))),
0)</f>
        <v>0</v>
      </c>
      <c r="R43" s="111">
        <f t="array" ref="R43">IFERROR(
MEDIAN((IF(DATOS_[[Sexo]:[Sexo]]=$B43,IF(DATOS_[[AGRUP. VALOR. PTO.]:[AGRUP. VALOR. PTO.]]=$B42,IF(DATOS_[[Check Periodo Ref.]:[Check Periodo Ref.]]="Dentro",DATOS_[Conc.Sal.13]))))),
0)</f>
        <v>0</v>
      </c>
      <c r="S43" s="111">
        <f t="array" ref="S43">IFERROR(
MEDIAN((IF(DATOS_[[Sexo]:[Sexo]]=$B43,IF(DATOS_[[AGRUP. VALOR. PTO.]:[AGRUP. VALOR. PTO.]]=$B42,IF(DATOS_[[Check Periodo Ref.]:[Check Periodo Ref.]]="Dentro",DATOS_[Conc.Sal.14]))))),
0)</f>
        <v>0</v>
      </c>
      <c r="T43" s="111">
        <f t="array" ref="T43">IFERROR(
MEDIAN((IF(DATOS_[[Sexo]:[Sexo]]=$B43,IF(DATOS_[[AGRUP. VALOR. PTO.]:[AGRUP. VALOR. PTO.]]=$B42,IF(DATOS_[[Check Periodo Ref.]:[Check Periodo Ref.]]="Dentro",DATOS_[Conc.Sal.15]))))),
0)</f>
        <v>0</v>
      </c>
      <c r="U43" s="111">
        <f t="array" ref="U43">IFERROR(
MEDIAN((IF(DATOS_[[Sexo]:[Sexo]]=$B43,IF(DATOS_[[AGRUP. VALOR. PTO.]:[AGRUP. VALOR. PTO.]]=$B42,IF(DATOS_[[Check Periodo Ref.]:[Check Periodo Ref.]]="Dentro",DATOS_[Conc.Sal.16]))))),
0)</f>
        <v>0</v>
      </c>
      <c r="V43" s="111">
        <f t="array" ref="V43">IFERROR(
MEDIAN((IF(DATOS_[[Sexo]:[Sexo]]=$B43,IF(DATOS_[[AGRUP. VALOR. PTO.]:[AGRUP. VALOR. PTO.]]=$B42,IF(DATOS_[[Check Periodo Ref.]:[Check Periodo Ref.]]="Dentro",DATOS_[Conc.Sal.17]))))),
0)</f>
        <v>0</v>
      </c>
      <c r="W43" s="111">
        <f t="array" ref="W43">IFERROR(
MEDIAN((IF(DATOS_[[Sexo]:[Sexo]]=$B43,IF(DATOS_[[AGRUP. VALOR. PTO.]:[AGRUP. VALOR. PTO.]]=$B42,IF(DATOS_[[Check Periodo Ref.]:[Check Periodo Ref.]]="Dentro",DATOS_[Conc.Sal.18]))))),
0)</f>
        <v>0</v>
      </c>
      <c r="X43" s="111">
        <f t="array" ref="X43">IFERROR(
MEDIAN((IF(DATOS_[[Sexo]:[Sexo]]=$B43,IF(DATOS_[[AGRUP. VALOR. PTO.]:[AGRUP. VALOR. PTO.]]=$B42,IF(DATOS_[[Check Periodo Ref.]:[Check Periodo Ref.]]="Dentro",DATOS_[Conc.Sal.19]))))),
0)</f>
        <v>0</v>
      </c>
      <c r="Y43" s="111">
        <f t="array" ref="Y43">IFERROR(
MEDIAN((IF(DATOS_[[Sexo]:[Sexo]]=$B43,IF(DATOS_[[AGRUP. VALOR. PTO.]:[AGRUP. VALOR. PTO.]]=$B42,IF(DATOS_[[Check Periodo Ref.]:[Check Periodo Ref.]]="Dentro",DATOS_[Conc.Sal.20]))))),
0)</f>
        <v>0</v>
      </c>
      <c r="Z43" s="111">
        <f t="array" ref="Z43">IFERROR(
MEDIAN((IF(DATOS_[[Sexo]:[Sexo]]=$B43,IF(DATOS_[[AGRUP. VALOR. PTO.]:[AGRUP. VALOR. PTO.]]=$B42,IF(DATOS_[[Check Periodo Ref.]:[Check Periodo Ref.]]="Dentro",DATOS_[Conc.Sal.21]))))),
0)</f>
        <v>0</v>
      </c>
      <c r="AA43" s="111">
        <f t="array" ref="AA43">IFERROR(
MEDIAN((IF(DATOS_[[Sexo]:[Sexo]]=$B43,IF(DATOS_[[AGRUP. VALOR. PTO.]:[AGRUP. VALOR. PTO.]]=$B42,IF(DATOS_[[Check Periodo Ref.]:[Check Periodo Ref.]]="Dentro",DATOS_[Conc.Sal.22]))))),
0)</f>
        <v>0</v>
      </c>
      <c r="AB43" s="111">
        <f t="array" ref="AB43">IFERROR(
MEDIAN((IF(DATOS_[[Sexo]:[Sexo]]=$B43,IF(DATOS_[[AGRUP. VALOR. PTO.]:[AGRUP. VALOR. PTO.]]=$B42,IF(DATOS_[[Check Periodo Ref.]:[Check Periodo Ref.]]="Dentro",DATOS_[Conc.Sal.23]))))),
0)</f>
        <v>0</v>
      </c>
      <c r="AC43" s="111">
        <f t="array" ref="AC43">IFERROR(
MEDIAN((IF(DATOS_[[Sexo]:[Sexo]]=$B43,IF(DATOS_[[AGRUP. VALOR. PTO.]:[AGRUP. VALOR. PTO.]]=$B42,IF(DATOS_[[Check Periodo Ref.]:[Check Periodo Ref.]]="Dentro",DATOS_[Conc.Sal.24]))))),
0)</f>
        <v>0</v>
      </c>
      <c r="AD43" s="111">
        <f t="array" ref="AD43">IFERROR(
MEDIAN((IF(DATOS_[[Sexo]:[Sexo]]=$B43,IF(DATOS_[[AGRUP. VALOR. PTO.]:[AGRUP. VALOR. PTO.]]=$B42,IF(DATOS_[[Check Periodo Ref.]:[Check Periodo Ref.]]="Dentro",DATOS_[Conc.Sal.25]))))),
0)</f>
        <v>0</v>
      </c>
      <c r="AE43" s="111">
        <f t="array" ref="AE43">IFERROR(
MEDIAN((IF(DATOS_[[Sexo]:[Sexo]]=$B43,IF(DATOS_[[AGRUP. VALOR. PTO.]:[AGRUP. VALOR. PTO.]]=$B42,IF(DATOS_[[Check Periodo Ref.]:[Check Periodo Ref.]]="Dentro",DATOS_[Conc.Sal.26]))))),
0)</f>
        <v>0</v>
      </c>
      <c r="AF43" s="111">
        <f t="array" ref="AF43">IFERROR(
MEDIAN((IF(DATOS_[[Sexo]:[Sexo]]=$B43,IF(DATOS_[[AGRUP. VALOR. PTO.]:[AGRUP. VALOR. PTO.]]=$B42,IF(DATOS_[[Check Periodo Ref.]:[Check Periodo Ref.]]="Dentro",DATOS_[Conc.Sal.27]))))),
0)</f>
        <v>0</v>
      </c>
      <c r="AG43" s="111">
        <f t="array" ref="AG43">IFERROR(
MEDIAN((IF(DATOS_[[Sexo]:[Sexo]]=$B43,IF(DATOS_[[AGRUP. VALOR. PTO.]:[AGRUP. VALOR. PTO.]]=$B42,IF(DATOS_[[Check Periodo Ref.]:[Check Periodo Ref.]]="Dentro",DATOS_[Conc.Sal.28]))))),
0)</f>
        <v>0</v>
      </c>
      <c r="AH43" s="111">
        <f t="array" ref="AH43">IFERROR(
MEDIAN((IF(DATOS_[[Sexo]:[Sexo]]=$B43,IF(DATOS_[[AGRUP. VALOR. PTO.]:[AGRUP. VALOR. PTO.]]=$B42,IF(DATOS_[[Check Periodo Ref.]:[Check Periodo Ref.]]="Dentro",DATOS_[Conc.Sal.29]))))),
0)</f>
        <v>0</v>
      </c>
      <c r="AI43" s="111">
        <f t="array" ref="AI43">IFERROR(
MEDIAN((IF(DATOS_[[Sexo]:[Sexo]]=$B43,IF(DATOS_[[AGRUP. VALOR. PTO.]:[AGRUP. VALOR. PTO.]]=$B42,IF(DATOS_[[Check Periodo Ref.]:[Check Periodo Ref.]]="Dentro",DATOS_[Conc.Sal.30]))))),
0)</f>
        <v>0</v>
      </c>
      <c r="AJ43" s="112">
        <f t="array" ref="AJ43">IFERROR(
MEDIAN(IF(DATOS_[Sexo]=$B43,IF(DATOS_[AGRUP. VALOR. PTO.]=$B42,IF(DATOS_[Check Periodo Ref.]="Dentro",DATOS_[Tot COMPL.SAL Ef],FALSE)))),
0)</f>
        <v>0</v>
      </c>
      <c r="AK43" s="113">
        <f t="array" ref="AK43">IFERROR(
MEDIAN(IF(DATOS_[Sexo]=$B43,IF(DATOS_[AGRUP. VALOR. PTO.]=$B42,IF(DATOS_[Check Periodo Ref.]="Dentro",DATOS_[TOTAL SALARIO Ef],FALSE)))),
0)</f>
        <v>0</v>
      </c>
      <c r="AL43" s="114">
        <f t="array" ref="AL43">IFERROR(
MEDIAN((IF(DATOS_[[Sexo]:[Sexo]]=$B43,IF(DATOS_[[AGRUP. VALOR. PTO.]:[AGRUP. VALOR. PTO.]]=$B42,IF(DATOS_[[Check Periodo Ref.]:[Check Periodo Ref.]]="Dentro",DATOS_[C.Extra.01]))))),
0)</f>
        <v>0</v>
      </c>
      <c r="AM43" s="114">
        <f t="array" ref="AM43">IFERROR(
MEDIAN((IF(DATOS_[[Sexo]:[Sexo]]=$B43,IF(DATOS_[[AGRUP. VALOR. PTO.]:[AGRUP. VALOR. PTO.]]=$B42,IF(DATOS_[[Check Periodo Ref.]:[Check Periodo Ref.]]="Dentro",DATOS_[C.Extra.02]))))),
0)</f>
        <v>0</v>
      </c>
      <c r="AN43" s="114">
        <f t="array" ref="AN43">IFERROR(
MEDIAN((IF(DATOS_[[Sexo]:[Sexo]]=$B43,IF(DATOS_[[AGRUP. VALOR. PTO.]:[AGRUP. VALOR. PTO.]]=$B42,IF(DATOS_[[Check Periodo Ref.]:[Check Periodo Ref.]]="Dentro",DATOS_[C.Extra.03]))))),
0)</f>
        <v>0</v>
      </c>
      <c r="AO43" s="114">
        <f t="array" ref="AO43">IFERROR(
MEDIAN((IF(DATOS_[[Sexo]:[Sexo]]=$B43,IF(DATOS_[[AGRUP. VALOR. PTO.]:[AGRUP. VALOR. PTO.]]=$B42,IF(DATOS_[[Check Periodo Ref.]:[Check Periodo Ref.]]="Dentro",DATOS_[C.Extra.04]))))),
0)</f>
        <v>0</v>
      </c>
      <c r="AP43" s="114">
        <f t="array" ref="AP43">IFERROR(
MEDIAN((IF(DATOS_[[Sexo]:[Sexo]]=$B43,IF(DATOS_[[AGRUP. VALOR. PTO.]:[AGRUP. VALOR. PTO.]]=$B42,IF(DATOS_[[Check Periodo Ref.]:[Check Periodo Ref.]]="Dentro",DATOS_[C.Extra.05]))))),
0)</f>
        <v>0</v>
      </c>
      <c r="AQ43" s="115">
        <f t="array" ref="AQ43">IFERROR(
MEDIAN(IF(DATOS_[Sexo]=$B43,IF(DATOS_[AGRUP. VALOR. PTO.]=$B42,IF(DATOS_[Check Periodo Ref.]="Dentro",DATOS_[Tot Extrasalarial Ef],FALSE)))),
0)</f>
        <v>0</v>
      </c>
      <c r="AR43" s="116">
        <f t="array" ref="AR43">IFERROR(
MEDIAN(IF(DATOS_[Sexo]=$B43,IF(DATOS_[AGRUP. VALOR. PTO.]=$B42,IF(DATOS_[Check Periodo Ref.]="Dentro",DATOS_[TOTAL Retrib Ef],FALSE)))),
0)</f>
        <v>0</v>
      </c>
    </row>
    <row r="44" spans="1:44" hidden="1" x14ac:dyDescent="0.3">
      <c r="A44" s="42" t="str">
        <f t="shared" ref="A44" si="42">+A43</f>
        <v>[ocultar]</v>
      </c>
      <c r="B44" s="34" t="s">
        <v>163</v>
      </c>
      <c r="C44" s="33">
        <f t="array" ref="C44">SUM(IF($B44=DATOS_[Sexo],
IF($B42=DATOS_[AGRUP. VALOR. PTO.],
IF("Dentro"=DATOS_[Check Periodo Ref.],
1/(COUNTIFS(DATOS_[Sexo],$B44,DATOS_[AGRUP. VALOR. PTO.],$B42,DATOS_[Check Periodo Ref.],"Dentro",DATOS_[id],DATOS_[id]))))))</f>
        <v>0</v>
      </c>
      <c r="D44" s="35">
        <f>COUNTIFS(DATOS_[AGRUP. VALOR. PTO.],$B42,DATOS_[Sexo],$B44,DATOS_[Check Periodo Ref.],"Dentro")</f>
        <v>0</v>
      </c>
      <c r="E44" s="110">
        <f t="array" ref="E44">IFERROR(
MEDIAN(IF(DATOS_[Sexo]=$B44,IF(DATOS_[AGRUP. VALOR. PTO.]=$B42,IF(DATOS_[Check Periodo Ref.]="Dentro",DATOS_[SALARIO BASE Ef],FALSE)))),
0)</f>
        <v>0</v>
      </c>
      <c r="F44" s="111">
        <f t="array" ref="F44">IFERROR(
MEDIAN((IF(DATOS_[[Sexo]:[Sexo]]=$B44,IF(DATOS_[[AGRUP. VALOR. PTO.]:[AGRUP. VALOR. PTO.]]=$B42,IF(DATOS_[[Check Periodo Ref.]:[Check Periodo Ref.]]="Dentro",DATOS_[Conc.Sal.01]))))),
0)</f>
        <v>0</v>
      </c>
      <c r="G44" s="111">
        <f t="array" ref="G44">IFERROR(
MEDIAN((IF(DATOS_[[Sexo]:[Sexo]]=$B44,IF(DATOS_[[AGRUP. VALOR. PTO.]:[AGRUP. VALOR. PTO.]]=$B42,IF(DATOS_[[Check Periodo Ref.]:[Check Periodo Ref.]]="Dentro",DATOS_[Conc.Sal.02]))))),
0)</f>
        <v>0</v>
      </c>
      <c r="H44" s="111">
        <f t="array" ref="H44">IFERROR(
MEDIAN((IF(DATOS_[[Sexo]:[Sexo]]=$B44,IF(DATOS_[[AGRUP. VALOR. PTO.]:[AGRUP. VALOR. PTO.]]=$B42,IF(DATOS_[[Check Periodo Ref.]:[Check Periodo Ref.]]="Dentro",DATOS_[Conc.Sal.03]))))),
0)</f>
        <v>0</v>
      </c>
      <c r="I44" s="111">
        <f t="array" ref="I44">IFERROR(
MEDIAN((IF(DATOS_[[Sexo]:[Sexo]]=$B44,IF(DATOS_[[AGRUP. VALOR. PTO.]:[AGRUP. VALOR. PTO.]]=$B42,IF(DATOS_[[Check Periodo Ref.]:[Check Periodo Ref.]]="Dentro",DATOS_[Conc.Sal.04]))))),
0)</f>
        <v>0</v>
      </c>
      <c r="J44" s="111">
        <f t="array" ref="J44">IFERROR(
MEDIAN((IF(DATOS_[[Sexo]:[Sexo]]=$B44,IF(DATOS_[[AGRUP. VALOR. PTO.]:[AGRUP. VALOR. PTO.]]=$B42,IF(DATOS_[[Check Periodo Ref.]:[Check Periodo Ref.]]="Dentro",DATOS_[Conc.Sal.05]))))),
0)</f>
        <v>0</v>
      </c>
      <c r="K44" s="111">
        <f t="array" ref="K44">IFERROR(
MEDIAN((IF(DATOS_[[Sexo]:[Sexo]]=$B44,IF(DATOS_[[AGRUP. VALOR. PTO.]:[AGRUP. VALOR. PTO.]]=$B42,IF(DATOS_[[Check Periodo Ref.]:[Check Periodo Ref.]]="Dentro",DATOS_[Conc.Sal.06]))))),
0)</f>
        <v>0</v>
      </c>
      <c r="L44" s="111">
        <f t="array" ref="L44">IFERROR(
MEDIAN((IF(DATOS_[[Sexo]:[Sexo]]=$B44,IF(DATOS_[[AGRUP. VALOR. PTO.]:[AGRUP. VALOR. PTO.]]=$B42,IF(DATOS_[[Check Periodo Ref.]:[Check Periodo Ref.]]="Dentro",DATOS_[Conc.Sal.07]))))),
0)</f>
        <v>0</v>
      </c>
      <c r="M44" s="111">
        <f t="array" ref="M44">IFERROR(
MEDIAN((IF(DATOS_[[Sexo]:[Sexo]]=$B44,IF(DATOS_[[AGRUP. VALOR. PTO.]:[AGRUP. VALOR. PTO.]]=$B42,IF(DATOS_[[Check Periodo Ref.]:[Check Periodo Ref.]]="Dentro",DATOS_[Conc.Sal.08]))))),
0)</f>
        <v>0</v>
      </c>
      <c r="N44" s="111">
        <f t="array" ref="N44">IFERROR(
MEDIAN((IF(DATOS_[[Sexo]:[Sexo]]=$B44,IF(DATOS_[[AGRUP. VALOR. PTO.]:[AGRUP. VALOR. PTO.]]=$B42,IF(DATOS_[[Check Periodo Ref.]:[Check Periodo Ref.]]="Dentro",DATOS_[Conc.Sal.09]))))),
0)</f>
        <v>0</v>
      </c>
      <c r="O44" s="111">
        <f t="array" ref="O44">IFERROR(
MEDIAN((IF(DATOS_[[Sexo]:[Sexo]]=$B44,IF(DATOS_[[AGRUP. VALOR. PTO.]:[AGRUP. VALOR. PTO.]]=$B42,IF(DATOS_[[Check Periodo Ref.]:[Check Periodo Ref.]]="Dentro",DATOS_[Conc.Sal.10]))))),
0)</f>
        <v>0</v>
      </c>
      <c r="P44" s="111">
        <f t="array" ref="P44">IFERROR(
MEDIAN((IF(DATOS_[[Sexo]:[Sexo]]=$B44,IF(DATOS_[[AGRUP. VALOR. PTO.]:[AGRUP. VALOR. PTO.]]=$B42,IF(DATOS_[[Check Periodo Ref.]:[Check Periodo Ref.]]="Dentro",DATOS_[Conc.Sal.11]))))),
0)</f>
        <v>0</v>
      </c>
      <c r="Q44" s="111">
        <f t="array" ref="Q44">IFERROR(
MEDIAN((IF(DATOS_[[Sexo]:[Sexo]]=$B44,IF(DATOS_[[AGRUP. VALOR. PTO.]:[AGRUP. VALOR. PTO.]]=$B42,IF(DATOS_[[Check Periodo Ref.]:[Check Periodo Ref.]]="Dentro",DATOS_[Conc.Sal.12]))))),
0)</f>
        <v>0</v>
      </c>
      <c r="R44" s="111">
        <f t="array" ref="R44">IFERROR(
MEDIAN((IF(DATOS_[[Sexo]:[Sexo]]=$B44,IF(DATOS_[[AGRUP. VALOR. PTO.]:[AGRUP. VALOR. PTO.]]=$B42,IF(DATOS_[[Check Periodo Ref.]:[Check Periodo Ref.]]="Dentro",DATOS_[Conc.Sal.13]))))),
0)</f>
        <v>0</v>
      </c>
      <c r="S44" s="111">
        <f t="array" ref="S44">IFERROR(
MEDIAN((IF(DATOS_[[Sexo]:[Sexo]]=$B44,IF(DATOS_[[AGRUP. VALOR. PTO.]:[AGRUP. VALOR. PTO.]]=$B42,IF(DATOS_[[Check Periodo Ref.]:[Check Periodo Ref.]]="Dentro",DATOS_[Conc.Sal.14]))))),
0)</f>
        <v>0</v>
      </c>
      <c r="T44" s="111">
        <f t="array" ref="T44">IFERROR(
MEDIAN((IF(DATOS_[[Sexo]:[Sexo]]=$B44,IF(DATOS_[[AGRUP. VALOR. PTO.]:[AGRUP. VALOR. PTO.]]=$B42,IF(DATOS_[[Check Periodo Ref.]:[Check Periodo Ref.]]="Dentro",DATOS_[Conc.Sal.15]))))),
0)</f>
        <v>0</v>
      </c>
      <c r="U44" s="111">
        <f t="array" ref="U44">IFERROR(
MEDIAN((IF(DATOS_[[Sexo]:[Sexo]]=$B44,IF(DATOS_[[AGRUP. VALOR. PTO.]:[AGRUP. VALOR. PTO.]]=$B42,IF(DATOS_[[Check Periodo Ref.]:[Check Periodo Ref.]]="Dentro",DATOS_[Conc.Sal.16]))))),
0)</f>
        <v>0</v>
      </c>
      <c r="V44" s="111">
        <f t="array" ref="V44">IFERROR(
MEDIAN((IF(DATOS_[[Sexo]:[Sexo]]=$B44,IF(DATOS_[[AGRUP. VALOR. PTO.]:[AGRUP. VALOR. PTO.]]=$B42,IF(DATOS_[[Check Periodo Ref.]:[Check Periodo Ref.]]="Dentro",DATOS_[Conc.Sal.17]))))),
0)</f>
        <v>0</v>
      </c>
      <c r="W44" s="111">
        <f t="array" ref="W44">IFERROR(
MEDIAN((IF(DATOS_[[Sexo]:[Sexo]]=$B44,IF(DATOS_[[AGRUP. VALOR. PTO.]:[AGRUP. VALOR. PTO.]]=$B42,IF(DATOS_[[Check Periodo Ref.]:[Check Periodo Ref.]]="Dentro",DATOS_[Conc.Sal.18]))))),
0)</f>
        <v>0</v>
      </c>
      <c r="X44" s="111">
        <f t="array" ref="X44">IFERROR(
MEDIAN((IF(DATOS_[[Sexo]:[Sexo]]=$B44,IF(DATOS_[[AGRUP. VALOR. PTO.]:[AGRUP. VALOR. PTO.]]=$B42,IF(DATOS_[[Check Periodo Ref.]:[Check Periodo Ref.]]="Dentro",DATOS_[Conc.Sal.19]))))),
0)</f>
        <v>0</v>
      </c>
      <c r="Y44" s="111">
        <f t="array" ref="Y44">IFERROR(
MEDIAN((IF(DATOS_[[Sexo]:[Sexo]]=$B44,IF(DATOS_[[AGRUP. VALOR. PTO.]:[AGRUP. VALOR. PTO.]]=$B42,IF(DATOS_[[Check Periodo Ref.]:[Check Periodo Ref.]]="Dentro",DATOS_[Conc.Sal.20]))))),
0)</f>
        <v>0</v>
      </c>
      <c r="Z44" s="111">
        <f t="array" ref="Z44">IFERROR(
MEDIAN((IF(DATOS_[[Sexo]:[Sexo]]=$B44,IF(DATOS_[[AGRUP. VALOR. PTO.]:[AGRUP. VALOR. PTO.]]=$B42,IF(DATOS_[[Check Periodo Ref.]:[Check Periodo Ref.]]="Dentro",DATOS_[Conc.Sal.21]))))),
0)</f>
        <v>0</v>
      </c>
      <c r="AA44" s="111">
        <f t="array" ref="AA44">IFERROR(
MEDIAN((IF(DATOS_[[Sexo]:[Sexo]]=$B44,IF(DATOS_[[AGRUP. VALOR. PTO.]:[AGRUP. VALOR. PTO.]]=$B42,IF(DATOS_[[Check Periodo Ref.]:[Check Periodo Ref.]]="Dentro",DATOS_[Conc.Sal.22]))))),
0)</f>
        <v>0</v>
      </c>
      <c r="AB44" s="111">
        <f t="array" ref="AB44">IFERROR(
MEDIAN((IF(DATOS_[[Sexo]:[Sexo]]=$B44,IF(DATOS_[[AGRUP. VALOR. PTO.]:[AGRUP. VALOR. PTO.]]=$B42,IF(DATOS_[[Check Periodo Ref.]:[Check Periodo Ref.]]="Dentro",DATOS_[Conc.Sal.23]))))),
0)</f>
        <v>0</v>
      </c>
      <c r="AC44" s="111">
        <f t="array" ref="AC44">IFERROR(
MEDIAN((IF(DATOS_[[Sexo]:[Sexo]]=$B44,IF(DATOS_[[AGRUP. VALOR. PTO.]:[AGRUP. VALOR. PTO.]]=$B42,IF(DATOS_[[Check Periodo Ref.]:[Check Periodo Ref.]]="Dentro",DATOS_[Conc.Sal.24]))))),
0)</f>
        <v>0</v>
      </c>
      <c r="AD44" s="111">
        <f t="array" ref="AD44">IFERROR(
MEDIAN((IF(DATOS_[[Sexo]:[Sexo]]=$B44,IF(DATOS_[[AGRUP. VALOR. PTO.]:[AGRUP. VALOR. PTO.]]=$B42,IF(DATOS_[[Check Periodo Ref.]:[Check Periodo Ref.]]="Dentro",DATOS_[Conc.Sal.25]))))),
0)</f>
        <v>0</v>
      </c>
      <c r="AE44" s="111">
        <f t="array" ref="AE44">IFERROR(
MEDIAN((IF(DATOS_[[Sexo]:[Sexo]]=$B44,IF(DATOS_[[AGRUP. VALOR. PTO.]:[AGRUP. VALOR. PTO.]]=$B42,IF(DATOS_[[Check Periodo Ref.]:[Check Periodo Ref.]]="Dentro",DATOS_[Conc.Sal.26]))))),
0)</f>
        <v>0</v>
      </c>
      <c r="AF44" s="111">
        <f t="array" ref="AF44">IFERROR(
MEDIAN((IF(DATOS_[[Sexo]:[Sexo]]=$B44,IF(DATOS_[[AGRUP. VALOR. PTO.]:[AGRUP. VALOR. PTO.]]=$B42,IF(DATOS_[[Check Periodo Ref.]:[Check Periodo Ref.]]="Dentro",DATOS_[Conc.Sal.27]))))),
0)</f>
        <v>0</v>
      </c>
      <c r="AG44" s="111">
        <f t="array" ref="AG44">IFERROR(
MEDIAN((IF(DATOS_[[Sexo]:[Sexo]]=$B44,IF(DATOS_[[AGRUP. VALOR. PTO.]:[AGRUP. VALOR. PTO.]]=$B42,IF(DATOS_[[Check Periodo Ref.]:[Check Periodo Ref.]]="Dentro",DATOS_[Conc.Sal.28]))))),
0)</f>
        <v>0</v>
      </c>
      <c r="AH44" s="111">
        <f t="array" ref="AH44">IFERROR(
MEDIAN((IF(DATOS_[[Sexo]:[Sexo]]=$B44,IF(DATOS_[[AGRUP. VALOR. PTO.]:[AGRUP. VALOR. PTO.]]=$B42,IF(DATOS_[[Check Periodo Ref.]:[Check Periodo Ref.]]="Dentro",DATOS_[Conc.Sal.29]))))),
0)</f>
        <v>0</v>
      </c>
      <c r="AI44" s="111">
        <f t="array" ref="AI44">IFERROR(
MEDIAN((IF(DATOS_[[Sexo]:[Sexo]]=$B44,IF(DATOS_[[AGRUP. VALOR. PTO.]:[AGRUP. VALOR. PTO.]]=$B42,IF(DATOS_[[Check Periodo Ref.]:[Check Periodo Ref.]]="Dentro",DATOS_[Conc.Sal.30]))))),
0)</f>
        <v>0</v>
      </c>
      <c r="AJ44" s="112">
        <f t="array" ref="AJ44">IFERROR(
MEDIAN(IF(DATOS_[Sexo]=$B44,IF(DATOS_[AGRUP. VALOR. PTO.]=$B42,IF(DATOS_[Check Periodo Ref.]="Dentro",DATOS_[Tot COMPL.SAL Ef],FALSE)))),
0)</f>
        <v>0</v>
      </c>
      <c r="AK44" s="113">
        <f t="array" ref="AK44">IFERROR(
MEDIAN(IF(DATOS_[Sexo]=$B44,IF(DATOS_[AGRUP. VALOR. PTO.]=$B42,IF(DATOS_[Check Periodo Ref.]="Dentro",DATOS_[TOTAL SALARIO Ef],FALSE)))),
0)</f>
        <v>0</v>
      </c>
      <c r="AL44" s="114">
        <f t="array" ref="AL44">IFERROR(
MEDIAN((IF(DATOS_[[Sexo]:[Sexo]]=$B44,IF(DATOS_[[AGRUP. VALOR. PTO.]:[AGRUP. VALOR. PTO.]]=$B42,IF(DATOS_[[Check Periodo Ref.]:[Check Periodo Ref.]]="Dentro",DATOS_[C.Extra.01]))))),
0)</f>
        <v>0</v>
      </c>
      <c r="AM44" s="114">
        <f t="array" ref="AM44">IFERROR(
MEDIAN((IF(DATOS_[[Sexo]:[Sexo]]=$B44,IF(DATOS_[[AGRUP. VALOR. PTO.]:[AGRUP. VALOR. PTO.]]=$B42,IF(DATOS_[[Check Periodo Ref.]:[Check Periodo Ref.]]="Dentro",DATOS_[C.Extra.02]))))),
0)</f>
        <v>0</v>
      </c>
      <c r="AN44" s="114">
        <f t="array" ref="AN44">IFERROR(
MEDIAN((IF(DATOS_[[Sexo]:[Sexo]]=$B44,IF(DATOS_[[AGRUP. VALOR. PTO.]:[AGRUP. VALOR. PTO.]]=$B42,IF(DATOS_[[Check Periodo Ref.]:[Check Periodo Ref.]]="Dentro",DATOS_[C.Extra.03]))))),
0)</f>
        <v>0</v>
      </c>
      <c r="AO44" s="114">
        <f t="array" ref="AO44">IFERROR(
MEDIAN((IF(DATOS_[[Sexo]:[Sexo]]=$B44,IF(DATOS_[[AGRUP. VALOR. PTO.]:[AGRUP. VALOR. PTO.]]=$B42,IF(DATOS_[[Check Periodo Ref.]:[Check Periodo Ref.]]="Dentro",DATOS_[C.Extra.04]))))),
0)</f>
        <v>0</v>
      </c>
      <c r="AP44" s="114">
        <f t="array" ref="AP44">IFERROR(
MEDIAN((IF(DATOS_[[Sexo]:[Sexo]]=$B44,IF(DATOS_[[AGRUP. VALOR. PTO.]:[AGRUP. VALOR. PTO.]]=$B42,IF(DATOS_[[Check Periodo Ref.]:[Check Periodo Ref.]]="Dentro",DATOS_[C.Extra.05]))))),
0)</f>
        <v>0</v>
      </c>
      <c r="AQ44" s="115">
        <f t="array" ref="AQ44">IFERROR(
MEDIAN(IF(DATOS_[Sexo]=$B44,IF(DATOS_[AGRUP. VALOR. PTO.]=$B42,IF(DATOS_[Check Periodo Ref.]="Dentro",DATOS_[Tot Extrasalarial Ef],FALSE)))),
0)</f>
        <v>0</v>
      </c>
      <c r="AR44" s="116">
        <f t="array" ref="AR44">IFERROR(
MEDIAN(IF(DATOS_[Sexo]=$B44,IF(DATOS_[AGRUP. VALOR. PTO.]=$B42,IF(DATOS_[Check Periodo Ref.]="Dentro",DATOS_[TOTAL Retrib Ef],FALSE)))),
0)</f>
        <v>0</v>
      </c>
    </row>
    <row r="45" spans="1:44" ht="17.25" hidden="1" thickBot="1" x14ac:dyDescent="0.35">
      <c r="A45" s="42" t="str">
        <f t="shared" ref="A45" si="43">+A46</f>
        <v>[ocultar]</v>
      </c>
      <c r="B45" s="40" t="s">
        <v>270</v>
      </c>
      <c r="C45" s="109"/>
      <c r="D45" s="41"/>
      <c r="E45" s="119" t="str">
        <f t="shared" ref="E45:AR45" si="44">IFERROR((E46-E47)/E46,"")</f>
        <v/>
      </c>
      <c r="F45" s="123" t="str">
        <f t="shared" si="44"/>
        <v/>
      </c>
      <c r="G45" s="123" t="str">
        <f t="shared" si="44"/>
        <v/>
      </c>
      <c r="H45" s="123" t="str">
        <f t="shared" si="44"/>
        <v/>
      </c>
      <c r="I45" s="123" t="str">
        <f t="shared" si="44"/>
        <v/>
      </c>
      <c r="J45" s="123" t="str">
        <f t="shared" si="44"/>
        <v/>
      </c>
      <c r="K45" s="123" t="str">
        <f t="shared" si="44"/>
        <v/>
      </c>
      <c r="L45" s="123" t="str">
        <f t="shared" si="44"/>
        <v/>
      </c>
      <c r="M45" s="123" t="str">
        <f t="shared" si="44"/>
        <v/>
      </c>
      <c r="N45" s="123" t="str">
        <f t="shared" si="44"/>
        <v/>
      </c>
      <c r="O45" s="123" t="str">
        <f t="shared" si="44"/>
        <v/>
      </c>
      <c r="P45" s="123" t="str">
        <f t="shared" si="44"/>
        <v/>
      </c>
      <c r="Q45" s="123" t="str">
        <f t="shared" si="44"/>
        <v/>
      </c>
      <c r="R45" s="123" t="str">
        <f t="shared" si="44"/>
        <v/>
      </c>
      <c r="S45" s="123" t="str">
        <f t="shared" si="44"/>
        <v/>
      </c>
      <c r="T45" s="123" t="str">
        <f t="shared" si="44"/>
        <v/>
      </c>
      <c r="U45" s="123" t="str">
        <f t="shared" si="44"/>
        <v/>
      </c>
      <c r="V45" s="122" t="str">
        <f t="shared" si="44"/>
        <v/>
      </c>
      <c r="W45" s="122" t="str">
        <f t="shared" si="44"/>
        <v/>
      </c>
      <c r="X45" s="122" t="str">
        <f t="shared" si="44"/>
        <v/>
      </c>
      <c r="Y45" s="122" t="str">
        <f t="shared" si="44"/>
        <v/>
      </c>
      <c r="Z45" s="122" t="str">
        <f t="shared" si="44"/>
        <v/>
      </c>
      <c r="AA45" s="122" t="str">
        <f t="shared" si="44"/>
        <v/>
      </c>
      <c r="AB45" s="122" t="str">
        <f t="shared" si="44"/>
        <v/>
      </c>
      <c r="AC45" s="122" t="str">
        <f t="shared" si="44"/>
        <v/>
      </c>
      <c r="AD45" s="122" t="str">
        <f t="shared" si="44"/>
        <v/>
      </c>
      <c r="AE45" s="122" t="str">
        <f t="shared" si="44"/>
        <v/>
      </c>
      <c r="AF45" s="122" t="str">
        <f t="shared" si="44"/>
        <v/>
      </c>
      <c r="AG45" s="122" t="str">
        <f t="shared" si="44"/>
        <v/>
      </c>
      <c r="AH45" s="122" t="str">
        <f t="shared" si="44"/>
        <v/>
      </c>
      <c r="AI45" s="122" t="str">
        <f t="shared" si="44"/>
        <v/>
      </c>
      <c r="AJ45" s="124" t="str">
        <f t="shared" si="44"/>
        <v/>
      </c>
      <c r="AK45" s="128" t="str">
        <f t="shared" si="44"/>
        <v/>
      </c>
      <c r="AL45" s="125" t="str">
        <f t="shared" si="44"/>
        <v/>
      </c>
      <c r="AM45" s="125" t="str">
        <f t="shared" si="44"/>
        <v/>
      </c>
      <c r="AN45" s="125" t="str">
        <f t="shared" si="44"/>
        <v/>
      </c>
      <c r="AO45" s="125" t="str">
        <f t="shared" si="44"/>
        <v/>
      </c>
      <c r="AP45" s="125" t="str">
        <f t="shared" si="44"/>
        <v/>
      </c>
      <c r="AQ45" s="126" t="str">
        <f t="shared" si="44"/>
        <v/>
      </c>
      <c r="AR45" s="127" t="str">
        <f t="shared" si="44"/>
        <v/>
      </c>
    </row>
    <row r="46" spans="1:44" hidden="1" x14ac:dyDescent="0.3">
      <c r="A46" s="42" t="str">
        <f t="shared" ref="A46" si="45">+IF(C46+C47=0,"[ocultar]","")</f>
        <v>[ocultar]</v>
      </c>
      <c r="B46" s="34" t="s">
        <v>162</v>
      </c>
      <c r="C46" s="33">
        <f t="array" ref="C46">SUM(IF($B46=DATOS_[Sexo],
IF($B45=DATOS_[AGRUP. VALOR. PTO.],
IF("Dentro"=DATOS_[Check Periodo Ref.],
1/(COUNTIFS(DATOS_[Sexo],$B46,DATOS_[AGRUP. VALOR. PTO.],$B45,DATOS_[Check Periodo Ref.],"Dentro",DATOS_[id],DATOS_[id]))))))</f>
        <v>0</v>
      </c>
      <c r="D46" s="35">
        <f>COUNTIFS(DATOS_[AGRUP. VALOR. PTO.],$B45,DATOS_[Sexo],$B46,DATOS_[Check Periodo Ref.],"Dentro")</f>
        <v>0</v>
      </c>
      <c r="E46" s="110">
        <f t="array" ref="E46">IFERROR(
MEDIAN(IF(DATOS_[Sexo]=$B46,IF(DATOS_[AGRUP. VALOR. PTO.]=$B45,IF(DATOS_[Check Periodo Ref.]="Dentro",DATOS_[SALARIO BASE Ef],FALSE)))),
0)</f>
        <v>0</v>
      </c>
      <c r="F46" s="111">
        <f t="array" ref="F46">IFERROR(
MEDIAN((IF(DATOS_[[Sexo]:[Sexo]]=$B46,IF(DATOS_[[AGRUP. VALOR. PTO.]:[AGRUP. VALOR. PTO.]]=$B45,IF(DATOS_[[Check Periodo Ref.]:[Check Periodo Ref.]]="Dentro",DATOS_[Conc.Sal.01]))))),
0)</f>
        <v>0</v>
      </c>
      <c r="G46" s="111">
        <f t="array" ref="G46">IFERROR(
MEDIAN((IF(DATOS_[[Sexo]:[Sexo]]=$B46,IF(DATOS_[[AGRUP. VALOR. PTO.]:[AGRUP. VALOR. PTO.]]=$B45,IF(DATOS_[[Check Periodo Ref.]:[Check Periodo Ref.]]="Dentro",DATOS_[Conc.Sal.02]))))),
0)</f>
        <v>0</v>
      </c>
      <c r="H46" s="111">
        <f t="array" ref="H46">IFERROR(
MEDIAN((IF(DATOS_[[Sexo]:[Sexo]]=$B46,IF(DATOS_[[AGRUP. VALOR. PTO.]:[AGRUP. VALOR. PTO.]]=$B45,IF(DATOS_[[Check Periodo Ref.]:[Check Periodo Ref.]]="Dentro",DATOS_[Conc.Sal.03]))))),
0)</f>
        <v>0</v>
      </c>
      <c r="I46" s="111">
        <f t="array" ref="I46">IFERROR(
MEDIAN((IF(DATOS_[[Sexo]:[Sexo]]=$B46,IF(DATOS_[[AGRUP. VALOR. PTO.]:[AGRUP. VALOR. PTO.]]=$B45,IF(DATOS_[[Check Periodo Ref.]:[Check Periodo Ref.]]="Dentro",DATOS_[Conc.Sal.04]))))),
0)</f>
        <v>0</v>
      </c>
      <c r="J46" s="111">
        <f t="array" ref="J46">IFERROR(
MEDIAN((IF(DATOS_[[Sexo]:[Sexo]]=$B46,IF(DATOS_[[AGRUP. VALOR. PTO.]:[AGRUP. VALOR. PTO.]]=$B45,IF(DATOS_[[Check Periodo Ref.]:[Check Periodo Ref.]]="Dentro",DATOS_[Conc.Sal.05]))))),
0)</f>
        <v>0</v>
      </c>
      <c r="K46" s="111">
        <f t="array" ref="K46">IFERROR(
MEDIAN((IF(DATOS_[[Sexo]:[Sexo]]=$B46,IF(DATOS_[[AGRUP. VALOR. PTO.]:[AGRUP. VALOR. PTO.]]=$B45,IF(DATOS_[[Check Periodo Ref.]:[Check Periodo Ref.]]="Dentro",DATOS_[Conc.Sal.06]))))),
0)</f>
        <v>0</v>
      </c>
      <c r="L46" s="111">
        <f t="array" ref="L46">IFERROR(
MEDIAN((IF(DATOS_[[Sexo]:[Sexo]]=$B46,IF(DATOS_[[AGRUP. VALOR. PTO.]:[AGRUP. VALOR. PTO.]]=$B45,IF(DATOS_[[Check Periodo Ref.]:[Check Periodo Ref.]]="Dentro",DATOS_[Conc.Sal.07]))))),
0)</f>
        <v>0</v>
      </c>
      <c r="M46" s="111">
        <f t="array" ref="M46">IFERROR(
MEDIAN((IF(DATOS_[[Sexo]:[Sexo]]=$B46,IF(DATOS_[[AGRUP. VALOR. PTO.]:[AGRUP. VALOR. PTO.]]=$B45,IF(DATOS_[[Check Periodo Ref.]:[Check Periodo Ref.]]="Dentro",DATOS_[Conc.Sal.08]))))),
0)</f>
        <v>0</v>
      </c>
      <c r="N46" s="111">
        <f t="array" ref="N46">IFERROR(
MEDIAN((IF(DATOS_[[Sexo]:[Sexo]]=$B46,IF(DATOS_[[AGRUP. VALOR. PTO.]:[AGRUP. VALOR. PTO.]]=$B45,IF(DATOS_[[Check Periodo Ref.]:[Check Periodo Ref.]]="Dentro",DATOS_[Conc.Sal.09]))))),
0)</f>
        <v>0</v>
      </c>
      <c r="O46" s="111">
        <f t="array" ref="O46">IFERROR(
MEDIAN((IF(DATOS_[[Sexo]:[Sexo]]=$B46,IF(DATOS_[[AGRUP. VALOR. PTO.]:[AGRUP. VALOR. PTO.]]=$B45,IF(DATOS_[[Check Periodo Ref.]:[Check Periodo Ref.]]="Dentro",DATOS_[Conc.Sal.10]))))),
0)</f>
        <v>0</v>
      </c>
      <c r="P46" s="111">
        <f t="array" ref="P46">IFERROR(
MEDIAN((IF(DATOS_[[Sexo]:[Sexo]]=$B46,IF(DATOS_[[AGRUP. VALOR. PTO.]:[AGRUP. VALOR. PTO.]]=$B45,IF(DATOS_[[Check Periodo Ref.]:[Check Periodo Ref.]]="Dentro",DATOS_[Conc.Sal.11]))))),
0)</f>
        <v>0</v>
      </c>
      <c r="Q46" s="111">
        <f t="array" ref="Q46">IFERROR(
MEDIAN((IF(DATOS_[[Sexo]:[Sexo]]=$B46,IF(DATOS_[[AGRUP. VALOR. PTO.]:[AGRUP. VALOR. PTO.]]=$B45,IF(DATOS_[[Check Periodo Ref.]:[Check Periodo Ref.]]="Dentro",DATOS_[Conc.Sal.12]))))),
0)</f>
        <v>0</v>
      </c>
      <c r="R46" s="111">
        <f t="array" ref="R46">IFERROR(
MEDIAN((IF(DATOS_[[Sexo]:[Sexo]]=$B46,IF(DATOS_[[AGRUP. VALOR. PTO.]:[AGRUP. VALOR. PTO.]]=$B45,IF(DATOS_[[Check Periodo Ref.]:[Check Periodo Ref.]]="Dentro",DATOS_[Conc.Sal.13]))))),
0)</f>
        <v>0</v>
      </c>
      <c r="S46" s="111">
        <f t="array" ref="S46">IFERROR(
MEDIAN((IF(DATOS_[[Sexo]:[Sexo]]=$B46,IF(DATOS_[[AGRUP. VALOR. PTO.]:[AGRUP. VALOR. PTO.]]=$B45,IF(DATOS_[[Check Periodo Ref.]:[Check Periodo Ref.]]="Dentro",DATOS_[Conc.Sal.14]))))),
0)</f>
        <v>0</v>
      </c>
      <c r="T46" s="111">
        <f t="array" ref="T46">IFERROR(
MEDIAN((IF(DATOS_[[Sexo]:[Sexo]]=$B46,IF(DATOS_[[AGRUP. VALOR. PTO.]:[AGRUP. VALOR. PTO.]]=$B45,IF(DATOS_[[Check Periodo Ref.]:[Check Periodo Ref.]]="Dentro",DATOS_[Conc.Sal.15]))))),
0)</f>
        <v>0</v>
      </c>
      <c r="U46" s="111">
        <f t="array" ref="U46">IFERROR(
MEDIAN((IF(DATOS_[[Sexo]:[Sexo]]=$B46,IF(DATOS_[[AGRUP. VALOR. PTO.]:[AGRUP. VALOR. PTO.]]=$B45,IF(DATOS_[[Check Periodo Ref.]:[Check Periodo Ref.]]="Dentro",DATOS_[Conc.Sal.16]))))),
0)</f>
        <v>0</v>
      </c>
      <c r="V46" s="111">
        <f t="array" ref="V46">IFERROR(
MEDIAN((IF(DATOS_[[Sexo]:[Sexo]]=$B46,IF(DATOS_[[AGRUP. VALOR. PTO.]:[AGRUP. VALOR. PTO.]]=$B45,IF(DATOS_[[Check Periodo Ref.]:[Check Periodo Ref.]]="Dentro",DATOS_[Conc.Sal.17]))))),
0)</f>
        <v>0</v>
      </c>
      <c r="W46" s="111">
        <f t="array" ref="W46">IFERROR(
MEDIAN((IF(DATOS_[[Sexo]:[Sexo]]=$B46,IF(DATOS_[[AGRUP. VALOR. PTO.]:[AGRUP. VALOR. PTO.]]=$B45,IF(DATOS_[[Check Periodo Ref.]:[Check Periodo Ref.]]="Dentro",DATOS_[Conc.Sal.18]))))),
0)</f>
        <v>0</v>
      </c>
      <c r="X46" s="111">
        <f t="array" ref="X46">IFERROR(
MEDIAN((IF(DATOS_[[Sexo]:[Sexo]]=$B46,IF(DATOS_[[AGRUP. VALOR. PTO.]:[AGRUP. VALOR. PTO.]]=$B45,IF(DATOS_[[Check Periodo Ref.]:[Check Periodo Ref.]]="Dentro",DATOS_[Conc.Sal.19]))))),
0)</f>
        <v>0</v>
      </c>
      <c r="Y46" s="111">
        <f t="array" ref="Y46">IFERROR(
MEDIAN((IF(DATOS_[[Sexo]:[Sexo]]=$B46,IF(DATOS_[[AGRUP. VALOR. PTO.]:[AGRUP. VALOR. PTO.]]=$B45,IF(DATOS_[[Check Periodo Ref.]:[Check Periodo Ref.]]="Dentro",DATOS_[Conc.Sal.20]))))),
0)</f>
        <v>0</v>
      </c>
      <c r="Z46" s="111">
        <f t="array" ref="Z46">IFERROR(
MEDIAN((IF(DATOS_[[Sexo]:[Sexo]]=$B46,IF(DATOS_[[AGRUP. VALOR. PTO.]:[AGRUP. VALOR. PTO.]]=$B45,IF(DATOS_[[Check Periodo Ref.]:[Check Periodo Ref.]]="Dentro",DATOS_[Conc.Sal.21]))))),
0)</f>
        <v>0</v>
      </c>
      <c r="AA46" s="111">
        <f t="array" ref="AA46">IFERROR(
MEDIAN((IF(DATOS_[[Sexo]:[Sexo]]=$B46,IF(DATOS_[[AGRUP. VALOR. PTO.]:[AGRUP. VALOR. PTO.]]=$B45,IF(DATOS_[[Check Periodo Ref.]:[Check Periodo Ref.]]="Dentro",DATOS_[Conc.Sal.22]))))),
0)</f>
        <v>0</v>
      </c>
      <c r="AB46" s="111">
        <f t="array" ref="AB46">IFERROR(
MEDIAN((IF(DATOS_[[Sexo]:[Sexo]]=$B46,IF(DATOS_[[AGRUP. VALOR. PTO.]:[AGRUP. VALOR. PTO.]]=$B45,IF(DATOS_[[Check Periodo Ref.]:[Check Periodo Ref.]]="Dentro",DATOS_[Conc.Sal.23]))))),
0)</f>
        <v>0</v>
      </c>
      <c r="AC46" s="111">
        <f t="array" ref="AC46">IFERROR(
MEDIAN((IF(DATOS_[[Sexo]:[Sexo]]=$B46,IF(DATOS_[[AGRUP. VALOR. PTO.]:[AGRUP. VALOR. PTO.]]=$B45,IF(DATOS_[[Check Periodo Ref.]:[Check Periodo Ref.]]="Dentro",DATOS_[Conc.Sal.24]))))),
0)</f>
        <v>0</v>
      </c>
      <c r="AD46" s="111">
        <f t="array" ref="AD46">IFERROR(
MEDIAN((IF(DATOS_[[Sexo]:[Sexo]]=$B46,IF(DATOS_[[AGRUP. VALOR. PTO.]:[AGRUP. VALOR. PTO.]]=$B45,IF(DATOS_[[Check Periodo Ref.]:[Check Periodo Ref.]]="Dentro",DATOS_[Conc.Sal.25]))))),
0)</f>
        <v>0</v>
      </c>
      <c r="AE46" s="111">
        <f t="array" ref="AE46">IFERROR(
MEDIAN((IF(DATOS_[[Sexo]:[Sexo]]=$B46,IF(DATOS_[[AGRUP. VALOR. PTO.]:[AGRUP. VALOR. PTO.]]=$B45,IF(DATOS_[[Check Periodo Ref.]:[Check Periodo Ref.]]="Dentro",DATOS_[Conc.Sal.26]))))),
0)</f>
        <v>0</v>
      </c>
      <c r="AF46" s="111">
        <f t="array" ref="AF46">IFERROR(
MEDIAN((IF(DATOS_[[Sexo]:[Sexo]]=$B46,IF(DATOS_[[AGRUP. VALOR. PTO.]:[AGRUP. VALOR. PTO.]]=$B45,IF(DATOS_[[Check Periodo Ref.]:[Check Periodo Ref.]]="Dentro",DATOS_[Conc.Sal.27]))))),
0)</f>
        <v>0</v>
      </c>
      <c r="AG46" s="111">
        <f t="array" ref="AG46">IFERROR(
MEDIAN((IF(DATOS_[[Sexo]:[Sexo]]=$B46,IF(DATOS_[[AGRUP. VALOR. PTO.]:[AGRUP. VALOR. PTO.]]=$B45,IF(DATOS_[[Check Periodo Ref.]:[Check Periodo Ref.]]="Dentro",DATOS_[Conc.Sal.28]))))),
0)</f>
        <v>0</v>
      </c>
      <c r="AH46" s="111">
        <f t="array" ref="AH46">IFERROR(
MEDIAN((IF(DATOS_[[Sexo]:[Sexo]]=$B46,IF(DATOS_[[AGRUP. VALOR. PTO.]:[AGRUP. VALOR. PTO.]]=$B45,IF(DATOS_[[Check Periodo Ref.]:[Check Periodo Ref.]]="Dentro",DATOS_[Conc.Sal.29]))))),
0)</f>
        <v>0</v>
      </c>
      <c r="AI46" s="111">
        <f t="array" ref="AI46">IFERROR(
MEDIAN((IF(DATOS_[[Sexo]:[Sexo]]=$B46,IF(DATOS_[[AGRUP. VALOR. PTO.]:[AGRUP. VALOR. PTO.]]=$B45,IF(DATOS_[[Check Periodo Ref.]:[Check Periodo Ref.]]="Dentro",DATOS_[Conc.Sal.30]))))),
0)</f>
        <v>0</v>
      </c>
      <c r="AJ46" s="112">
        <f t="array" ref="AJ46">IFERROR(
MEDIAN(IF(DATOS_[Sexo]=$B46,IF(DATOS_[AGRUP. VALOR. PTO.]=$B45,IF(DATOS_[Check Periodo Ref.]="Dentro",DATOS_[Tot COMPL.SAL Ef],FALSE)))),
0)</f>
        <v>0</v>
      </c>
      <c r="AK46" s="113">
        <f t="array" ref="AK46">IFERROR(
MEDIAN(IF(DATOS_[Sexo]=$B46,IF(DATOS_[AGRUP. VALOR. PTO.]=$B45,IF(DATOS_[Check Periodo Ref.]="Dentro",DATOS_[TOTAL SALARIO Ef],FALSE)))),
0)</f>
        <v>0</v>
      </c>
      <c r="AL46" s="114">
        <f t="array" ref="AL46">IFERROR(
MEDIAN((IF(DATOS_[[Sexo]:[Sexo]]=$B46,IF(DATOS_[[AGRUP. VALOR. PTO.]:[AGRUP. VALOR. PTO.]]=$B45,IF(DATOS_[[Check Periodo Ref.]:[Check Periodo Ref.]]="Dentro",DATOS_[C.Extra.01]))))),
0)</f>
        <v>0</v>
      </c>
      <c r="AM46" s="114">
        <f t="array" ref="AM46">IFERROR(
MEDIAN((IF(DATOS_[[Sexo]:[Sexo]]=$B46,IF(DATOS_[[AGRUP. VALOR. PTO.]:[AGRUP. VALOR. PTO.]]=$B45,IF(DATOS_[[Check Periodo Ref.]:[Check Periodo Ref.]]="Dentro",DATOS_[C.Extra.02]))))),
0)</f>
        <v>0</v>
      </c>
      <c r="AN46" s="114">
        <f t="array" ref="AN46">IFERROR(
MEDIAN((IF(DATOS_[[Sexo]:[Sexo]]=$B46,IF(DATOS_[[AGRUP. VALOR. PTO.]:[AGRUP. VALOR. PTO.]]=$B45,IF(DATOS_[[Check Periodo Ref.]:[Check Periodo Ref.]]="Dentro",DATOS_[C.Extra.03]))))),
0)</f>
        <v>0</v>
      </c>
      <c r="AO46" s="114">
        <f t="array" ref="AO46">IFERROR(
MEDIAN((IF(DATOS_[[Sexo]:[Sexo]]=$B46,IF(DATOS_[[AGRUP. VALOR. PTO.]:[AGRUP. VALOR. PTO.]]=$B45,IF(DATOS_[[Check Periodo Ref.]:[Check Periodo Ref.]]="Dentro",DATOS_[C.Extra.04]))))),
0)</f>
        <v>0</v>
      </c>
      <c r="AP46" s="114">
        <f t="array" ref="AP46">IFERROR(
MEDIAN((IF(DATOS_[[Sexo]:[Sexo]]=$B46,IF(DATOS_[[AGRUP. VALOR. PTO.]:[AGRUP. VALOR. PTO.]]=$B45,IF(DATOS_[[Check Periodo Ref.]:[Check Periodo Ref.]]="Dentro",DATOS_[C.Extra.05]))))),
0)</f>
        <v>0</v>
      </c>
      <c r="AQ46" s="115">
        <f t="array" ref="AQ46">IFERROR(
MEDIAN(IF(DATOS_[Sexo]=$B46,IF(DATOS_[AGRUP. VALOR. PTO.]=$B45,IF(DATOS_[Check Periodo Ref.]="Dentro",DATOS_[Tot Extrasalarial Ef],FALSE)))),
0)</f>
        <v>0</v>
      </c>
      <c r="AR46" s="116">
        <f t="array" ref="AR46">IFERROR(
MEDIAN(IF(DATOS_[Sexo]=$B46,IF(DATOS_[AGRUP. VALOR. PTO.]=$B45,IF(DATOS_[Check Periodo Ref.]="Dentro",DATOS_[TOTAL Retrib Ef],FALSE)))),
0)</f>
        <v>0</v>
      </c>
    </row>
    <row r="47" spans="1:44" hidden="1" x14ac:dyDescent="0.3">
      <c r="A47" s="42" t="str">
        <f t="shared" ref="A47" si="46">+A46</f>
        <v>[ocultar]</v>
      </c>
      <c r="B47" s="34" t="s">
        <v>163</v>
      </c>
      <c r="C47" s="33">
        <f t="array" ref="C47">SUM(IF($B47=DATOS_[Sexo],
IF($B45=DATOS_[AGRUP. VALOR. PTO.],
IF("Dentro"=DATOS_[Check Periodo Ref.],
1/(COUNTIFS(DATOS_[Sexo],$B47,DATOS_[AGRUP. VALOR. PTO.],$B45,DATOS_[Check Periodo Ref.],"Dentro",DATOS_[id],DATOS_[id]))))))</f>
        <v>0</v>
      </c>
      <c r="D47" s="35">
        <f>COUNTIFS(DATOS_[AGRUP. VALOR. PTO.],$B45,DATOS_[Sexo],$B47,DATOS_[Check Periodo Ref.],"Dentro")</f>
        <v>0</v>
      </c>
      <c r="E47" s="110">
        <f t="array" ref="E47">IFERROR(
MEDIAN(IF(DATOS_[Sexo]=$B47,IF(DATOS_[AGRUP. VALOR. PTO.]=$B45,IF(DATOS_[Check Periodo Ref.]="Dentro",DATOS_[SALARIO BASE Ef],FALSE)))),
0)</f>
        <v>0</v>
      </c>
      <c r="F47" s="111">
        <f t="array" ref="F47">IFERROR(
MEDIAN((IF(DATOS_[[Sexo]:[Sexo]]=$B47,IF(DATOS_[[AGRUP. VALOR. PTO.]:[AGRUP. VALOR. PTO.]]=$B45,IF(DATOS_[[Check Periodo Ref.]:[Check Periodo Ref.]]="Dentro",DATOS_[Conc.Sal.01]))))),
0)</f>
        <v>0</v>
      </c>
      <c r="G47" s="111">
        <f t="array" ref="G47">IFERROR(
MEDIAN((IF(DATOS_[[Sexo]:[Sexo]]=$B47,IF(DATOS_[[AGRUP. VALOR. PTO.]:[AGRUP. VALOR. PTO.]]=$B45,IF(DATOS_[[Check Periodo Ref.]:[Check Periodo Ref.]]="Dentro",DATOS_[Conc.Sal.02]))))),
0)</f>
        <v>0</v>
      </c>
      <c r="H47" s="111">
        <f t="array" ref="H47">IFERROR(
MEDIAN((IF(DATOS_[[Sexo]:[Sexo]]=$B47,IF(DATOS_[[AGRUP. VALOR. PTO.]:[AGRUP. VALOR. PTO.]]=$B45,IF(DATOS_[[Check Periodo Ref.]:[Check Periodo Ref.]]="Dentro",DATOS_[Conc.Sal.03]))))),
0)</f>
        <v>0</v>
      </c>
      <c r="I47" s="111">
        <f t="array" ref="I47">IFERROR(
MEDIAN((IF(DATOS_[[Sexo]:[Sexo]]=$B47,IF(DATOS_[[AGRUP. VALOR. PTO.]:[AGRUP. VALOR. PTO.]]=$B45,IF(DATOS_[[Check Periodo Ref.]:[Check Periodo Ref.]]="Dentro",DATOS_[Conc.Sal.04]))))),
0)</f>
        <v>0</v>
      </c>
      <c r="J47" s="111">
        <f t="array" ref="J47">IFERROR(
MEDIAN((IF(DATOS_[[Sexo]:[Sexo]]=$B47,IF(DATOS_[[AGRUP. VALOR. PTO.]:[AGRUP. VALOR. PTO.]]=$B45,IF(DATOS_[[Check Periodo Ref.]:[Check Periodo Ref.]]="Dentro",DATOS_[Conc.Sal.05]))))),
0)</f>
        <v>0</v>
      </c>
      <c r="K47" s="111">
        <f t="array" ref="K47">IFERROR(
MEDIAN((IF(DATOS_[[Sexo]:[Sexo]]=$B47,IF(DATOS_[[AGRUP. VALOR. PTO.]:[AGRUP. VALOR. PTO.]]=$B45,IF(DATOS_[[Check Periodo Ref.]:[Check Periodo Ref.]]="Dentro",DATOS_[Conc.Sal.06]))))),
0)</f>
        <v>0</v>
      </c>
      <c r="L47" s="111">
        <f t="array" ref="L47">IFERROR(
MEDIAN((IF(DATOS_[[Sexo]:[Sexo]]=$B47,IF(DATOS_[[AGRUP. VALOR. PTO.]:[AGRUP. VALOR. PTO.]]=$B45,IF(DATOS_[[Check Periodo Ref.]:[Check Periodo Ref.]]="Dentro",DATOS_[Conc.Sal.07]))))),
0)</f>
        <v>0</v>
      </c>
      <c r="M47" s="111">
        <f t="array" ref="M47">IFERROR(
MEDIAN((IF(DATOS_[[Sexo]:[Sexo]]=$B47,IF(DATOS_[[AGRUP. VALOR. PTO.]:[AGRUP. VALOR. PTO.]]=$B45,IF(DATOS_[[Check Periodo Ref.]:[Check Periodo Ref.]]="Dentro",DATOS_[Conc.Sal.08]))))),
0)</f>
        <v>0</v>
      </c>
      <c r="N47" s="111">
        <f t="array" ref="N47">IFERROR(
MEDIAN((IF(DATOS_[[Sexo]:[Sexo]]=$B47,IF(DATOS_[[AGRUP. VALOR. PTO.]:[AGRUP. VALOR. PTO.]]=$B45,IF(DATOS_[[Check Periodo Ref.]:[Check Periodo Ref.]]="Dentro",DATOS_[Conc.Sal.09]))))),
0)</f>
        <v>0</v>
      </c>
      <c r="O47" s="111">
        <f t="array" ref="O47">IFERROR(
MEDIAN((IF(DATOS_[[Sexo]:[Sexo]]=$B47,IF(DATOS_[[AGRUP. VALOR. PTO.]:[AGRUP. VALOR. PTO.]]=$B45,IF(DATOS_[[Check Periodo Ref.]:[Check Periodo Ref.]]="Dentro",DATOS_[Conc.Sal.10]))))),
0)</f>
        <v>0</v>
      </c>
      <c r="P47" s="111">
        <f t="array" ref="P47">IFERROR(
MEDIAN((IF(DATOS_[[Sexo]:[Sexo]]=$B47,IF(DATOS_[[AGRUP. VALOR. PTO.]:[AGRUP. VALOR. PTO.]]=$B45,IF(DATOS_[[Check Periodo Ref.]:[Check Periodo Ref.]]="Dentro",DATOS_[Conc.Sal.11]))))),
0)</f>
        <v>0</v>
      </c>
      <c r="Q47" s="111">
        <f t="array" ref="Q47">IFERROR(
MEDIAN((IF(DATOS_[[Sexo]:[Sexo]]=$B47,IF(DATOS_[[AGRUP. VALOR. PTO.]:[AGRUP. VALOR. PTO.]]=$B45,IF(DATOS_[[Check Periodo Ref.]:[Check Periodo Ref.]]="Dentro",DATOS_[Conc.Sal.12]))))),
0)</f>
        <v>0</v>
      </c>
      <c r="R47" s="111">
        <f t="array" ref="R47">IFERROR(
MEDIAN((IF(DATOS_[[Sexo]:[Sexo]]=$B47,IF(DATOS_[[AGRUP. VALOR. PTO.]:[AGRUP. VALOR. PTO.]]=$B45,IF(DATOS_[[Check Periodo Ref.]:[Check Periodo Ref.]]="Dentro",DATOS_[Conc.Sal.13]))))),
0)</f>
        <v>0</v>
      </c>
      <c r="S47" s="111">
        <f t="array" ref="S47">IFERROR(
MEDIAN((IF(DATOS_[[Sexo]:[Sexo]]=$B47,IF(DATOS_[[AGRUP. VALOR. PTO.]:[AGRUP. VALOR. PTO.]]=$B45,IF(DATOS_[[Check Periodo Ref.]:[Check Periodo Ref.]]="Dentro",DATOS_[Conc.Sal.14]))))),
0)</f>
        <v>0</v>
      </c>
      <c r="T47" s="111">
        <f t="array" ref="T47">IFERROR(
MEDIAN((IF(DATOS_[[Sexo]:[Sexo]]=$B47,IF(DATOS_[[AGRUP. VALOR. PTO.]:[AGRUP. VALOR. PTO.]]=$B45,IF(DATOS_[[Check Periodo Ref.]:[Check Periodo Ref.]]="Dentro",DATOS_[Conc.Sal.15]))))),
0)</f>
        <v>0</v>
      </c>
      <c r="U47" s="111">
        <f t="array" ref="U47">IFERROR(
MEDIAN((IF(DATOS_[[Sexo]:[Sexo]]=$B47,IF(DATOS_[[AGRUP. VALOR. PTO.]:[AGRUP. VALOR. PTO.]]=$B45,IF(DATOS_[[Check Periodo Ref.]:[Check Periodo Ref.]]="Dentro",DATOS_[Conc.Sal.16]))))),
0)</f>
        <v>0</v>
      </c>
      <c r="V47" s="111">
        <f t="array" ref="V47">IFERROR(
MEDIAN((IF(DATOS_[[Sexo]:[Sexo]]=$B47,IF(DATOS_[[AGRUP. VALOR. PTO.]:[AGRUP. VALOR. PTO.]]=$B45,IF(DATOS_[[Check Periodo Ref.]:[Check Periodo Ref.]]="Dentro",DATOS_[Conc.Sal.17]))))),
0)</f>
        <v>0</v>
      </c>
      <c r="W47" s="111">
        <f t="array" ref="W47">IFERROR(
MEDIAN((IF(DATOS_[[Sexo]:[Sexo]]=$B47,IF(DATOS_[[AGRUP. VALOR. PTO.]:[AGRUP. VALOR. PTO.]]=$B45,IF(DATOS_[[Check Periodo Ref.]:[Check Periodo Ref.]]="Dentro",DATOS_[Conc.Sal.18]))))),
0)</f>
        <v>0</v>
      </c>
      <c r="X47" s="111">
        <f t="array" ref="X47">IFERROR(
MEDIAN((IF(DATOS_[[Sexo]:[Sexo]]=$B47,IF(DATOS_[[AGRUP. VALOR. PTO.]:[AGRUP. VALOR. PTO.]]=$B45,IF(DATOS_[[Check Periodo Ref.]:[Check Periodo Ref.]]="Dentro",DATOS_[Conc.Sal.19]))))),
0)</f>
        <v>0</v>
      </c>
      <c r="Y47" s="111">
        <f t="array" ref="Y47">IFERROR(
MEDIAN((IF(DATOS_[[Sexo]:[Sexo]]=$B47,IF(DATOS_[[AGRUP. VALOR. PTO.]:[AGRUP. VALOR. PTO.]]=$B45,IF(DATOS_[[Check Periodo Ref.]:[Check Periodo Ref.]]="Dentro",DATOS_[Conc.Sal.20]))))),
0)</f>
        <v>0</v>
      </c>
      <c r="Z47" s="111">
        <f t="array" ref="Z47">IFERROR(
MEDIAN((IF(DATOS_[[Sexo]:[Sexo]]=$B47,IF(DATOS_[[AGRUP. VALOR. PTO.]:[AGRUP. VALOR. PTO.]]=$B45,IF(DATOS_[[Check Periodo Ref.]:[Check Periodo Ref.]]="Dentro",DATOS_[Conc.Sal.21]))))),
0)</f>
        <v>0</v>
      </c>
      <c r="AA47" s="111">
        <f t="array" ref="AA47">IFERROR(
MEDIAN((IF(DATOS_[[Sexo]:[Sexo]]=$B47,IF(DATOS_[[AGRUP. VALOR. PTO.]:[AGRUP. VALOR. PTO.]]=$B45,IF(DATOS_[[Check Periodo Ref.]:[Check Periodo Ref.]]="Dentro",DATOS_[Conc.Sal.22]))))),
0)</f>
        <v>0</v>
      </c>
      <c r="AB47" s="111">
        <f t="array" ref="AB47">IFERROR(
MEDIAN((IF(DATOS_[[Sexo]:[Sexo]]=$B47,IF(DATOS_[[AGRUP. VALOR. PTO.]:[AGRUP. VALOR. PTO.]]=$B45,IF(DATOS_[[Check Periodo Ref.]:[Check Periodo Ref.]]="Dentro",DATOS_[Conc.Sal.23]))))),
0)</f>
        <v>0</v>
      </c>
      <c r="AC47" s="111">
        <f t="array" ref="AC47">IFERROR(
MEDIAN((IF(DATOS_[[Sexo]:[Sexo]]=$B47,IF(DATOS_[[AGRUP. VALOR. PTO.]:[AGRUP. VALOR. PTO.]]=$B45,IF(DATOS_[[Check Periodo Ref.]:[Check Periodo Ref.]]="Dentro",DATOS_[Conc.Sal.24]))))),
0)</f>
        <v>0</v>
      </c>
      <c r="AD47" s="111">
        <f t="array" ref="AD47">IFERROR(
MEDIAN((IF(DATOS_[[Sexo]:[Sexo]]=$B47,IF(DATOS_[[AGRUP. VALOR. PTO.]:[AGRUP. VALOR. PTO.]]=$B45,IF(DATOS_[[Check Periodo Ref.]:[Check Periodo Ref.]]="Dentro",DATOS_[Conc.Sal.25]))))),
0)</f>
        <v>0</v>
      </c>
      <c r="AE47" s="111">
        <f t="array" ref="AE47">IFERROR(
MEDIAN((IF(DATOS_[[Sexo]:[Sexo]]=$B47,IF(DATOS_[[AGRUP. VALOR. PTO.]:[AGRUP. VALOR. PTO.]]=$B45,IF(DATOS_[[Check Periodo Ref.]:[Check Periodo Ref.]]="Dentro",DATOS_[Conc.Sal.26]))))),
0)</f>
        <v>0</v>
      </c>
      <c r="AF47" s="111">
        <f t="array" ref="AF47">IFERROR(
MEDIAN((IF(DATOS_[[Sexo]:[Sexo]]=$B47,IF(DATOS_[[AGRUP. VALOR. PTO.]:[AGRUP. VALOR. PTO.]]=$B45,IF(DATOS_[[Check Periodo Ref.]:[Check Periodo Ref.]]="Dentro",DATOS_[Conc.Sal.27]))))),
0)</f>
        <v>0</v>
      </c>
      <c r="AG47" s="111">
        <f t="array" ref="AG47">IFERROR(
MEDIAN((IF(DATOS_[[Sexo]:[Sexo]]=$B47,IF(DATOS_[[AGRUP. VALOR. PTO.]:[AGRUP. VALOR. PTO.]]=$B45,IF(DATOS_[[Check Periodo Ref.]:[Check Periodo Ref.]]="Dentro",DATOS_[Conc.Sal.28]))))),
0)</f>
        <v>0</v>
      </c>
      <c r="AH47" s="111">
        <f t="array" ref="AH47">IFERROR(
MEDIAN((IF(DATOS_[[Sexo]:[Sexo]]=$B47,IF(DATOS_[[AGRUP. VALOR. PTO.]:[AGRUP. VALOR. PTO.]]=$B45,IF(DATOS_[[Check Periodo Ref.]:[Check Periodo Ref.]]="Dentro",DATOS_[Conc.Sal.29]))))),
0)</f>
        <v>0</v>
      </c>
      <c r="AI47" s="111">
        <f t="array" ref="AI47">IFERROR(
MEDIAN((IF(DATOS_[[Sexo]:[Sexo]]=$B47,IF(DATOS_[[AGRUP. VALOR. PTO.]:[AGRUP. VALOR. PTO.]]=$B45,IF(DATOS_[[Check Periodo Ref.]:[Check Periodo Ref.]]="Dentro",DATOS_[Conc.Sal.30]))))),
0)</f>
        <v>0</v>
      </c>
      <c r="AJ47" s="112">
        <f t="array" ref="AJ47">IFERROR(
MEDIAN(IF(DATOS_[Sexo]=$B47,IF(DATOS_[AGRUP. VALOR. PTO.]=$B45,IF(DATOS_[Check Periodo Ref.]="Dentro",DATOS_[Tot COMPL.SAL Ef],FALSE)))),
0)</f>
        <v>0</v>
      </c>
      <c r="AK47" s="113">
        <f t="array" ref="AK47">IFERROR(
MEDIAN(IF(DATOS_[Sexo]=$B47,IF(DATOS_[AGRUP. VALOR. PTO.]=$B45,IF(DATOS_[Check Periodo Ref.]="Dentro",DATOS_[TOTAL SALARIO Ef],FALSE)))),
0)</f>
        <v>0</v>
      </c>
      <c r="AL47" s="114">
        <f t="array" ref="AL47">IFERROR(
MEDIAN((IF(DATOS_[[Sexo]:[Sexo]]=$B47,IF(DATOS_[[AGRUP. VALOR. PTO.]:[AGRUP. VALOR. PTO.]]=$B45,IF(DATOS_[[Check Periodo Ref.]:[Check Periodo Ref.]]="Dentro",DATOS_[C.Extra.01]))))),
0)</f>
        <v>0</v>
      </c>
      <c r="AM47" s="114">
        <f t="array" ref="AM47">IFERROR(
MEDIAN((IF(DATOS_[[Sexo]:[Sexo]]=$B47,IF(DATOS_[[AGRUP. VALOR. PTO.]:[AGRUP. VALOR. PTO.]]=$B45,IF(DATOS_[[Check Periodo Ref.]:[Check Periodo Ref.]]="Dentro",DATOS_[C.Extra.02]))))),
0)</f>
        <v>0</v>
      </c>
      <c r="AN47" s="114">
        <f t="array" ref="AN47">IFERROR(
MEDIAN((IF(DATOS_[[Sexo]:[Sexo]]=$B47,IF(DATOS_[[AGRUP. VALOR. PTO.]:[AGRUP. VALOR. PTO.]]=$B45,IF(DATOS_[[Check Periodo Ref.]:[Check Periodo Ref.]]="Dentro",DATOS_[C.Extra.03]))))),
0)</f>
        <v>0</v>
      </c>
      <c r="AO47" s="114">
        <f t="array" ref="AO47">IFERROR(
MEDIAN((IF(DATOS_[[Sexo]:[Sexo]]=$B47,IF(DATOS_[[AGRUP. VALOR. PTO.]:[AGRUP. VALOR. PTO.]]=$B45,IF(DATOS_[[Check Periodo Ref.]:[Check Periodo Ref.]]="Dentro",DATOS_[C.Extra.04]))))),
0)</f>
        <v>0</v>
      </c>
      <c r="AP47" s="114">
        <f t="array" ref="AP47">IFERROR(
MEDIAN((IF(DATOS_[[Sexo]:[Sexo]]=$B47,IF(DATOS_[[AGRUP. VALOR. PTO.]:[AGRUP. VALOR. PTO.]]=$B45,IF(DATOS_[[Check Periodo Ref.]:[Check Periodo Ref.]]="Dentro",DATOS_[C.Extra.05]))))),
0)</f>
        <v>0</v>
      </c>
      <c r="AQ47" s="115">
        <f t="array" ref="AQ47">IFERROR(
MEDIAN(IF(DATOS_[Sexo]=$B47,IF(DATOS_[AGRUP. VALOR. PTO.]=$B45,IF(DATOS_[Check Periodo Ref.]="Dentro",DATOS_[Tot Extrasalarial Ef],FALSE)))),
0)</f>
        <v>0</v>
      </c>
      <c r="AR47" s="116">
        <f t="array" ref="AR47">IFERROR(
MEDIAN(IF(DATOS_[Sexo]=$B47,IF(DATOS_[AGRUP. VALOR. PTO.]=$B45,IF(DATOS_[Check Periodo Ref.]="Dentro",DATOS_[TOTAL Retrib Ef],FALSE)))),
0)</f>
        <v>0</v>
      </c>
    </row>
    <row r="48" spans="1:44" ht="17.25" hidden="1" thickBot="1" x14ac:dyDescent="0.35">
      <c r="A48" s="42" t="str">
        <f t="shared" ref="A48" si="47">+A49</f>
        <v>[ocultar]</v>
      </c>
      <c r="B48" s="40" t="s">
        <v>271</v>
      </c>
      <c r="C48" s="109"/>
      <c r="D48" s="41"/>
      <c r="E48" s="119" t="str">
        <f t="shared" ref="E48:AR48" si="48">IFERROR((E49-E50)/E49,"")</f>
        <v/>
      </c>
      <c r="F48" s="123" t="str">
        <f t="shared" si="48"/>
        <v/>
      </c>
      <c r="G48" s="123" t="str">
        <f t="shared" si="48"/>
        <v/>
      </c>
      <c r="H48" s="123" t="str">
        <f t="shared" si="48"/>
        <v/>
      </c>
      <c r="I48" s="123" t="str">
        <f t="shared" si="48"/>
        <v/>
      </c>
      <c r="J48" s="123" t="str">
        <f t="shared" si="48"/>
        <v/>
      </c>
      <c r="K48" s="123" t="str">
        <f t="shared" si="48"/>
        <v/>
      </c>
      <c r="L48" s="123" t="str">
        <f t="shared" si="48"/>
        <v/>
      </c>
      <c r="M48" s="123" t="str">
        <f t="shared" si="48"/>
        <v/>
      </c>
      <c r="N48" s="123" t="str">
        <f t="shared" si="48"/>
        <v/>
      </c>
      <c r="O48" s="123" t="str">
        <f t="shared" si="48"/>
        <v/>
      </c>
      <c r="P48" s="123" t="str">
        <f t="shared" si="48"/>
        <v/>
      </c>
      <c r="Q48" s="123" t="str">
        <f t="shared" si="48"/>
        <v/>
      </c>
      <c r="R48" s="123" t="str">
        <f t="shared" si="48"/>
        <v/>
      </c>
      <c r="S48" s="123" t="str">
        <f t="shared" si="48"/>
        <v/>
      </c>
      <c r="T48" s="123" t="str">
        <f t="shared" si="48"/>
        <v/>
      </c>
      <c r="U48" s="123" t="str">
        <f t="shared" si="48"/>
        <v/>
      </c>
      <c r="V48" s="122" t="str">
        <f t="shared" si="48"/>
        <v/>
      </c>
      <c r="W48" s="122" t="str">
        <f t="shared" si="48"/>
        <v/>
      </c>
      <c r="X48" s="122" t="str">
        <f t="shared" si="48"/>
        <v/>
      </c>
      <c r="Y48" s="122" t="str">
        <f t="shared" si="48"/>
        <v/>
      </c>
      <c r="Z48" s="122" t="str">
        <f t="shared" si="48"/>
        <v/>
      </c>
      <c r="AA48" s="122" t="str">
        <f t="shared" si="48"/>
        <v/>
      </c>
      <c r="AB48" s="122" t="str">
        <f t="shared" si="48"/>
        <v/>
      </c>
      <c r="AC48" s="122" t="str">
        <f t="shared" si="48"/>
        <v/>
      </c>
      <c r="AD48" s="122" t="str">
        <f t="shared" si="48"/>
        <v/>
      </c>
      <c r="AE48" s="122" t="str">
        <f t="shared" si="48"/>
        <v/>
      </c>
      <c r="AF48" s="122" t="str">
        <f t="shared" si="48"/>
        <v/>
      </c>
      <c r="AG48" s="122" t="str">
        <f t="shared" si="48"/>
        <v/>
      </c>
      <c r="AH48" s="122" t="str">
        <f t="shared" si="48"/>
        <v/>
      </c>
      <c r="AI48" s="122" t="str">
        <f t="shared" si="48"/>
        <v/>
      </c>
      <c r="AJ48" s="124" t="str">
        <f t="shared" si="48"/>
        <v/>
      </c>
      <c r="AK48" s="128" t="str">
        <f t="shared" si="48"/>
        <v/>
      </c>
      <c r="AL48" s="125" t="str">
        <f t="shared" si="48"/>
        <v/>
      </c>
      <c r="AM48" s="125" t="str">
        <f t="shared" si="48"/>
        <v/>
      </c>
      <c r="AN48" s="125" t="str">
        <f t="shared" si="48"/>
        <v/>
      </c>
      <c r="AO48" s="125" t="str">
        <f t="shared" si="48"/>
        <v/>
      </c>
      <c r="AP48" s="125" t="str">
        <f t="shared" si="48"/>
        <v/>
      </c>
      <c r="AQ48" s="126" t="str">
        <f t="shared" si="48"/>
        <v/>
      </c>
      <c r="AR48" s="127" t="str">
        <f t="shared" si="48"/>
        <v/>
      </c>
    </row>
    <row r="49" spans="1:44" hidden="1" x14ac:dyDescent="0.3">
      <c r="A49" s="42" t="str">
        <f t="shared" ref="A49" si="49">+IF(C49+C50=0,"[ocultar]","")</f>
        <v>[ocultar]</v>
      </c>
      <c r="B49" s="34" t="s">
        <v>162</v>
      </c>
      <c r="C49" s="33">
        <f t="array" ref="C49">SUM(IF($B49=DATOS_[Sexo],
IF($B48=DATOS_[AGRUP. VALOR. PTO.],
IF("Dentro"=DATOS_[Check Periodo Ref.],
1/(COUNTIFS(DATOS_[Sexo],$B49,DATOS_[AGRUP. VALOR. PTO.],$B48,DATOS_[Check Periodo Ref.],"Dentro",DATOS_[id],DATOS_[id]))))))</f>
        <v>0</v>
      </c>
      <c r="D49" s="35">
        <f>COUNTIFS(DATOS_[AGRUP. VALOR. PTO.],$B48,DATOS_[Sexo],$B49,DATOS_[Check Periodo Ref.],"Dentro")</f>
        <v>0</v>
      </c>
      <c r="E49" s="110">
        <f t="array" ref="E49">IFERROR(
MEDIAN(IF(DATOS_[Sexo]=$B49,IF(DATOS_[AGRUP. VALOR. PTO.]=$B48,IF(DATOS_[Check Periodo Ref.]="Dentro",DATOS_[SALARIO BASE Ef],FALSE)))),
0)</f>
        <v>0</v>
      </c>
      <c r="F49" s="111">
        <f t="array" ref="F49">IFERROR(
MEDIAN((IF(DATOS_[[Sexo]:[Sexo]]=$B49,IF(DATOS_[[AGRUP. VALOR. PTO.]:[AGRUP. VALOR. PTO.]]=$B48,IF(DATOS_[[Check Periodo Ref.]:[Check Periodo Ref.]]="Dentro",DATOS_[Conc.Sal.01]))))),
0)</f>
        <v>0</v>
      </c>
      <c r="G49" s="111">
        <f t="array" ref="G49">IFERROR(
MEDIAN((IF(DATOS_[[Sexo]:[Sexo]]=$B49,IF(DATOS_[[AGRUP. VALOR. PTO.]:[AGRUP. VALOR. PTO.]]=$B48,IF(DATOS_[[Check Periodo Ref.]:[Check Periodo Ref.]]="Dentro",DATOS_[Conc.Sal.02]))))),
0)</f>
        <v>0</v>
      </c>
      <c r="H49" s="111">
        <f t="array" ref="H49">IFERROR(
MEDIAN((IF(DATOS_[[Sexo]:[Sexo]]=$B49,IF(DATOS_[[AGRUP. VALOR. PTO.]:[AGRUP. VALOR. PTO.]]=$B48,IF(DATOS_[[Check Periodo Ref.]:[Check Periodo Ref.]]="Dentro",DATOS_[Conc.Sal.03]))))),
0)</f>
        <v>0</v>
      </c>
      <c r="I49" s="111">
        <f t="array" ref="I49">IFERROR(
MEDIAN((IF(DATOS_[[Sexo]:[Sexo]]=$B49,IF(DATOS_[[AGRUP. VALOR. PTO.]:[AGRUP. VALOR. PTO.]]=$B48,IF(DATOS_[[Check Periodo Ref.]:[Check Periodo Ref.]]="Dentro",DATOS_[Conc.Sal.04]))))),
0)</f>
        <v>0</v>
      </c>
      <c r="J49" s="111">
        <f t="array" ref="J49">IFERROR(
MEDIAN((IF(DATOS_[[Sexo]:[Sexo]]=$B49,IF(DATOS_[[AGRUP. VALOR. PTO.]:[AGRUP. VALOR. PTO.]]=$B48,IF(DATOS_[[Check Periodo Ref.]:[Check Periodo Ref.]]="Dentro",DATOS_[Conc.Sal.05]))))),
0)</f>
        <v>0</v>
      </c>
      <c r="K49" s="111">
        <f t="array" ref="K49">IFERROR(
MEDIAN((IF(DATOS_[[Sexo]:[Sexo]]=$B49,IF(DATOS_[[AGRUP. VALOR. PTO.]:[AGRUP. VALOR. PTO.]]=$B48,IF(DATOS_[[Check Periodo Ref.]:[Check Periodo Ref.]]="Dentro",DATOS_[Conc.Sal.06]))))),
0)</f>
        <v>0</v>
      </c>
      <c r="L49" s="111">
        <f t="array" ref="L49">IFERROR(
MEDIAN((IF(DATOS_[[Sexo]:[Sexo]]=$B49,IF(DATOS_[[AGRUP. VALOR. PTO.]:[AGRUP. VALOR. PTO.]]=$B48,IF(DATOS_[[Check Periodo Ref.]:[Check Periodo Ref.]]="Dentro",DATOS_[Conc.Sal.07]))))),
0)</f>
        <v>0</v>
      </c>
      <c r="M49" s="111">
        <f t="array" ref="M49">IFERROR(
MEDIAN((IF(DATOS_[[Sexo]:[Sexo]]=$B49,IF(DATOS_[[AGRUP. VALOR. PTO.]:[AGRUP. VALOR. PTO.]]=$B48,IF(DATOS_[[Check Periodo Ref.]:[Check Periodo Ref.]]="Dentro",DATOS_[Conc.Sal.08]))))),
0)</f>
        <v>0</v>
      </c>
      <c r="N49" s="111">
        <f t="array" ref="N49">IFERROR(
MEDIAN((IF(DATOS_[[Sexo]:[Sexo]]=$B49,IF(DATOS_[[AGRUP. VALOR. PTO.]:[AGRUP. VALOR. PTO.]]=$B48,IF(DATOS_[[Check Periodo Ref.]:[Check Periodo Ref.]]="Dentro",DATOS_[Conc.Sal.09]))))),
0)</f>
        <v>0</v>
      </c>
      <c r="O49" s="111">
        <f t="array" ref="O49">IFERROR(
MEDIAN((IF(DATOS_[[Sexo]:[Sexo]]=$B49,IF(DATOS_[[AGRUP. VALOR. PTO.]:[AGRUP. VALOR. PTO.]]=$B48,IF(DATOS_[[Check Periodo Ref.]:[Check Periodo Ref.]]="Dentro",DATOS_[Conc.Sal.10]))))),
0)</f>
        <v>0</v>
      </c>
      <c r="P49" s="111">
        <f t="array" ref="P49">IFERROR(
MEDIAN((IF(DATOS_[[Sexo]:[Sexo]]=$B49,IF(DATOS_[[AGRUP. VALOR. PTO.]:[AGRUP. VALOR. PTO.]]=$B48,IF(DATOS_[[Check Periodo Ref.]:[Check Periodo Ref.]]="Dentro",DATOS_[Conc.Sal.11]))))),
0)</f>
        <v>0</v>
      </c>
      <c r="Q49" s="111">
        <f t="array" ref="Q49">IFERROR(
MEDIAN((IF(DATOS_[[Sexo]:[Sexo]]=$B49,IF(DATOS_[[AGRUP. VALOR. PTO.]:[AGRUP. VALOR. PTO.]]=$B48,IF(DATOS_[[Check Periodo Ref.]:[Check Periodo Ref.]]="Dentro",DATOS_[Conc.Sal.12]))))),
0)</f>
        <v>0</v>
      </c>
      <c r="R49" s="111">
        <f t="array" ref="R49">IFERROR(
MEDIAN((IF(DATOS_[[Sexo]:[Sexo]]=$B49,IF(DATOS_[[AGRUP. VALOR. PTO.]:[AGRUP. VALOR. PTO.]]=$B48,IF(DATOS_[[Check Periodo Ref.]:[Check Periodo Ref.]]="Dentro",DATOS_[Conc.Sal.13]))))),
0)</f>
        <v>0</v>
      </c>
      <c r="S49" s="111">
        <f t="array" ref="S49">IFERROR(
MEDIAN((IF(DATOS_[[Sexo]:[Sexo]]=$B49,IF(DATOS_[[AGRUP. VALOR. PTO.]:[AGRUP. VALOR. PTO.]]=$B48,IF(DATOS_[[Check Periodo Ref.]:[Check Periodo Ref.]]="Dentro",DATOS_[Conc.Sal.14]))))),
0)</f>
        <v>0</v>
      </c>
      <c r="T49" s="111">
        <f t="array" ref="T49">IFERROR(
MEDIAN((IF(DATOS_[[Sexo]:[Sexo]]=$B49,IF(DATOS_[[AGRUP. VALOR. PTO.]:[AGRUP. VALOR. PTO.]]=$B48,IF(DATOS_[[Check Periodo Ref.]:[Check Periodo Ref.]]="Dentro",DATOS_[Conc.Sal.15]))))),
0)</f>
        <v>0</v>
      </c>
      <c r="U49" s="111">
        <f t="array" ref="U49">IFERROR(
MEDIAN((IF(DATOS_[[Sexo]:[Sexo]]=$B49,IF(DATOS_[[AGRUP. VALOR. PTO.]:[AGRUP. VALOR. PTO.]]=$B48,IF(DATOS_[[Check Periodo Ref.]:[Check Periodo Ref.]]="Dentro",DATOS_[Conc.Sal.16]))))),
0)</f>
        <v>0</v>
      </c>
      <c r="V49" s="111">
        <f t="array" ref="V49">IFERROR(
MEDIAN((IF(DATOS_[[Sexo]:[Sexo]]=$B49,IF(DATOS_[[AGRUP. VALOR. PTO.]:[AGRUP. VALOR. PTO.]]=$B48,IF(DATOS_[[Check Periodo Ref.]:[Check Periodo Ref.]]="Dentro",DATOS_[Conc.Sal.17]))))),
0)</f>
        <v>0</v>
      </c>
      <c r="W49" s="111">
        <f t="array" ref="W49">IFERROR(
MEDIAN((IF(DATOS_[[Sexo]:[Sexo]]=$B49,IF(DATOS_[[AGRUP. VALOR. PTO.]:[AGRUP. VALOR. PTO.]]=$B48,IF(DATOS_[[Check Periodo Ref.]:[Check Periodo Ref.]]="Dentro",DATOS_[Conc.Sal.18]))))),
0)</f>
        <v>0</v>
      </c>
      <c r="X49" s="111">
        <f t="array" ref="X49">IFERROR(
MEDIAN((IF(DATOS_[[Sexo]:[Sexo]]=$B49,IF(DATOS_[[AGRUP. VALOR. PTO.]:[AGRUP. VALOR. PTO.]]=$B48,IF(DATOS_[[Check Periodo Ref.]:[Check Periodo Ref.]]="Dentro",DATOS_[Conc.Sal.19]))))),
0)</f>
        <v>0</v>
      </c>
      <c r="Y49" s="111">
        <f t="array" ref="Y49">IFERROR(
MEDIAN((IF(DATOS_[[Sexo]:[Sexo]]=$B49,IF(DATOS_[[AGRUP. VALOR. PTO.]:[AGRUP. VALOR. PTO.]]=$B48,IF(DATOS_[[Check Periodo Ref.]:[Check Periodo Ref.]]="Dentro",DATOS_[Conc.Sal.20]))))),
0)</f>
        <v>0</v>
      </c>
      <c r="Z49" s="111">
        <f t="array" ref="Z49">IFERROR(
MEDIAN((IF(DATOS_[[Sexo]:[Sexo]]=$B49,IF(DATOS_[[AGRUP. VALOR. PTO.]:[AGRUP. VALOR. PTO.]]=$B48,IF(DATOS_[[Check Periodo Ref.]:[Check Periodo Ref.]]="Dentro",DATOS_[Conc.Sal.21]))))),
0)</f>
        <v>0</v>
      </c>
      <c r="AA49" s="111">
        <f t="array" ref="AA49">IFERROR(
MEDIAN((IF(DATOS_[[Sexo]:[Sexo]]=$B49,IF(DATOS_[[AGRUP. VALOR. PTO.]:[AGRUP. VALOR. PTO.]]=$B48,IF(DATOS_[[Check Periodo Ref.]:[Check Periodo Ref.]]="Dentro",DATOS_[Conc.Sal.22]))))),
0)</f>
        <v>0</v>
      </c>
      <c r="AB49" s="111">
        <f t="array" ref="AB49">IFERROR(
MEDIAN((IF(DATOS_[[Sexo]:[Sexo]]=$B49,IF(DATOS_[[AGRUP. VALOR. PTO.]:[AGRUP. VALOR. PTO.]]=$B48,IF(DATOS_[[Check Periodo Ref.]:[Check Periodo Ref.]]="Dentro",DATOS_[Conc.Sal.23]))))),
0)</f>
        <v>0</v>
      </c>
      <c r="AC49" s="111">
        <f t="array" ref="AC49">IFERROR(
MEDIAN((IF(DATOS_[[Sexo]:[Sexo]]=$B49,IF(DATOS_[[AGRUP. VALOR. PTO.]:[AGRUP. VALOR. PTO.]]=$B48,IF(DATOS_[[Check Periodo Ref.]:[Check Periodo Ref.]]="Dentro",DATOS_[Conc.Sal.24]))))),
0)</f>
        <v>0</v>
      </c>
      <c r="AD49" s="111">
        <f t="array" ref="AD49">IFERROR(
MEDIAN((IF(DATOS_[[Sexo]:[Sexo]]=$B49,IF(DATOS_[[AGRUP. VALOR. PTO.]:[AGRUP. VALOR. PTO.]]=$B48,IF(DATOS_[[Check Periodo Ref.]:[Check Periodo Ref.]]="Dentro",DATOS_[Conc.Sal.25]))))),
0)</f>
        <v>0</v>
      </c>
      <c r="AE49" s="111">
        <f t="array" ref="AE49">IFERROR(
MEDIAN((IF(DATOS_[[Sexo]:[Sexo]]=$B49,IF(DATOS_[[AGRUP. VALOR. PTO.]:[AGRUP. VALOR. PTO.]]=$B48,IF(DATOS_[[Check Periodo Ref.]:[Check Periodo Ref.]]="Dentro",DATOS_[Conc.Sal.26]))))),
0)</f>
        <v>0</v>
      </c>
      <c r="AF49" s="111">
        <f t="array" ref="AF49">IFERROR(
MEDIAN((IF(DATOS_[[Sexo]:[Sexo]]=$B49,IF(DATOS_[[AGRUP. VALOR. PTO.]:[AGRUP. VALOR. PTO.]]=$B48,IF(DATOS_[[Check Periodo Ref.]:[Check Periodo Ref.]]="Dentro",DATOS_[Conc.Sal.27]))))),
0)</f>
        <v>0</v>
      </c>
      <c r="AG49" s="111">
        <f t="array" ref="AG49">IFERROR(
MEDIAN((IF(DATOS_[[Sexo]:[Sexo]]=$B49,IF(DATOS_[[AGRUP. VALOR. PTO.]:[AGRUP. VALOR. PTO.]]=$B48,IF(DATOS_[[Check Periodo Ref.]:[Check Periodo Ref.]]="Dentro",DATOS_[Conc.Sal.28]))))),
0)</f>
        <v>0</v>
      </c>
      <c r="AH49" s="111">
        <f t="array" ref="AH49">IFERROR(
MEDIAN((IF(DATOS_[[Sexo]:[Sexo]]=$B49,IF(DATOS_[[AGRUP. VALOR. PTO.]:[AGRUP. VALOR. PTO.]]=$B48,IF(DATOS_[[Check Periodo Ref.]:[Check Periodo Ref.]]="Dentro",DATOS_[Conc.Sal.29]))))),
0)</f>
        <v>0</v>
      </c>
      <c r="AI49" s="111">
        <f t="array" ref="AI49">IFERROR(
MEDIAN((IF(DATOS_[[Sexo]:[Sexo]]=$B49,IF(DATOS_[[AGRUP. VALOR. PTO.]:[AGRUP. VALOR. PTO.]]=$B48,IF(DATOS_[[Check Periodo Ref.]:[Check Periodo Ref.]]="Dentro",DATOS_[Conc.Sal.30]))))),
0)</f>
        <v>0</v>
      </c>
      <c r="AJ49" s="112">
        <f t="array" ref="AJ49">IFERROR(
MEDIAN(IF(DATOS_[Sexo]=$B49,IF(DATOS_[AGRUP. VALOR. PTO.]=$B48,IF(DATOS_[Check Periodo Ref.]="Dentro",DATOS_[Tot COMPL.SAL Ef],FALSE)))),
0)</f>
        <v>0</v>
      </c>
      <c r="AK49" s="113">
        <f t="array" ref="AK49">IFERROR(
MEDIAN(IF(DATOS_[Sexo]=$B49,IF(DATOS_[AGRUP. VALOR. PTO.]=$B48,IF(DATOS_[Check Periodo Ref.]="Dentro",DATOS_[TOTAL SALARIO Ef],FALSE)))),
0)</f>
        <v>0</v>
      </c>
      <c r="AL49" s="114">
        <f t="array" ref="AL49">IFERROR(
MEDIAN((IF(DATOS_[[Sexo]:[Sexo]]=$B49,IF(DATOS_[[AGRUP. VALOR. PTO.]:[AGRUP. VALOR. PTO.]]=$B48,IF(DATOS_[[Check Periodo Ref.]:[Check Periodo Ref.]]="Dentro",DATOS_[C.Extra.01]))))),
0)</f>
        <v>0</v>
      </c>
      <c r="AM49" s="114">
        <f t="array" ref="AM49">IFERROR(
MEDIAN((IF(DATOS_[[Sexo]:[Sexo]]=$B49,IF(DATOS_[[AGRUP. VALOR. PTO.]:[AGRUP. VALOR. PTO.]]=$B48,IF(DATOS_[[Check Periodo Ref.]:[Check Periodo Ref.]]="Dentro",DATOS_[C.Extra.02]))))),
0)</f>
        <v>0</v>
      </c>
      <c r="AN49" s="114">
        <f t="array" ref="AN49">IFERROR(
MEDIAN((IF(DATOS_[[Sexo]:[Sexo]]=$B49,IF(DATOS_[[AGRUP. VALOR. PTO.]:[AGRUP. VALOR. PTO.]]=$B48,IF(DATOS_[[Check Periodo Ref.]:[Check Periodo Ref.]]="Dentro",DATOS_[C.Extra.03]))))),
0)</f>
        <v>0</v>
      </c>
      <c r="AO49" s="114">
        <f t="array" ref="AO49">IFERROR(
MEDIAN((IF(DATOS_[[Sexo]:[Sexo]]=$B49,IF(DATOS_[[AGRUP. VALOR. PTO.]:[AGRUP. VALOR. PTO.]]=$B48,IF(DATOS_[[Check Periodo Ref.]:[Check Periodo Ref.]]="Dentro",DATOS_[C.Extra.04]))))),
0)</f>
        <v>0</v>
      </c>
      <c r="AP49" s="114">
        <f t="array" ref="AP49">IFERROR(
MEDIAN((IF(DATOS_[[Sexo]:[Sexo]]=$B49,IF(DATOS_[[AGRUP. VALOR. PTO.]:[AGRUP. VALOR. PTO.]]=$B48,IF(DATOS_[[Check Periodo Ref.]:[Check Periodo Ref.]]="Dentro",DATOS_[C.Extra.05]))))),
0)</f>
        <v>0</v>
      </c>
      <c r="AQ49" s="115">
        <f t="array" ref="AQ49">IFERROR(
MEDIAN(IF(DATOS_[Sexo]=$B49,IF(DATOS_[AGRUP. VALOR. PTO.]=$B48,IF(DATOS_[Check Periodo Ref.]="Dentro",DATOS_[Tot Extrasalarial Ef],FALSE)))),
0)</f>
        <v>0</v>
      </c>
      <c r="AR49" s="116">
        <f t="array" ref="AR49">IFERROR(
MEDIAN(IF(DATOS_[Sexo]=$B49,IF(DATOS_[AGRUP. VALOR. PTO.]=$B48,IF(DATOS_[Check Periodo Ref.]="Dentro",DATOS_[TOTAL Retrib Ef],FALSE)))),
0)</f>
        <v>0</v>
      </c>
    </row>
    <row r="50" spans="1:44" hidden="1" x14ac:dyDescent="0.3">
      <c r="A50" s="42" t="str">
        <f t="shared" ref="A50" si="50">+A49</f>
        <v>[ocultar]</v>
      </c>
      <c r="B50" s="34" t="s">
        <v>163</v>
      </c>
      <c r="C50" s="33">
        <f t="array" ref="C50">SUM(IF($B50=DATOS_[Sexo],
IF($B48=DATOS_[AGRUP. VALOR. PTO.],
IF("Dentro"=DATOS_[Check Periodo Ref.],
1/(COUNTIFS(DATOS_[Sexo],$B50,DATOS_[AGRUP. VALOR. PTO.],$B48,DATOS_[Check Periodo Ref.],"Dentro",DATOS_[id],DATOS_[id]))))))</f>
        <v>0</v>
      </c>
      <c r="D50" s="35">
        <f>COUNTIFS(DATOS_[AGRUP. VALOR. PTO.],$B48,DATOS_[Sexo],$B50,DATOS_[Check Periodo Ref.],"Dentro")</f>
        <v>0</v>
      </c>
      <c r="E50" s="110">
        <f t="array" ref="E50">IFERROR(
MEDIAN(IF(DATOS_[Sexo]=$B50,IF(DATOS_[AGRUP. VALOR. PTO.]=$B48,IF(DATOS_[Check Periodo Ref.]="Dentro",DATOS_[SALARIO BASE Ef],FALSE)))),
0)</f>
        <v>0</v>
      </c>
      <c r="F50" s="111">
        <f t="array" ref="F50">IFERROR(
MEDIAN((IF(DATOS_[[Sexo]:[Sexo]]=$B50,IF(DATOS_[[AGRUP. VALOR. PTO.]:[AGRUP. VALOR. PTO.]]=$B48,IF(DATOS_[[Check Periodo Ref.]:[Check Periodo Ref.]]="Dentro",DATOS_[Conc.Sal.01]))))),
0)</f>
        <v>0</v>
      </c>
      <c r="G50" s="111">
        <f t="array" ref="G50">IFERROR(
MEDIAN((IF(DATOS_[[Sexo]:[Sexo]]=$B50,IF(DATOS_[[AGRUP. VALOR. PTO.]:[AGRUP. VALOR. PTO.]]=$B48,IF(DATOS_[[Check Periodo Ref.]:[Check Periodo Ref.]]="Dentro",DATOS_[Conc.Sal.02]))))),
0)</f>
        <v>0</v>
      </c>
      <c r="H50" s="111">
        <f t="array" ref="H50">IFERROR(
MEDIAN((IF(DATOS_[[Sexo]:[Sexo]]=$B50,IF(DATOS_[[AGRUP. VALOR. PTO.]:[AGRUP. VALOR. PTO.]]=$B48,IF(DATOS_[[Check Periodo Ref.]:[Check Periodo Ref.]]="Dentro",DATOS_[Conc.Sal.03]))))),
0)</f>
        <v>0</v>
      </c>
      <c r="I50" s="111">
        <f t="array" ref="I50">IFERROR(
MEDIAN((IF(DATOS_[[Sexo]:[Sexo]]=$B50,IF(DATOS_[[AGRUP. VALOR. PTO.]:[AGRUP. VALOR. PTO.]]=$B48,IF(DATOS_[[Check Periodo Ref.]:[Check Periodo Ref.]]="Dentro",DATOS_[Conc.Sal.04]))))),
0)</f>
        <v>0</v>
      </c>
      <c r="J50" s="111">
        <f t="array" ref="J50">IFERROR(
MEDIAN((IF(DATOS_[[Sexo]:[Sexo]]=$B50,IF(DATOS_[[AGRUP. VALOR. PTO.]:[AGRUP. VALOR. PTO.]]=$B48,IF(DATOS_[[Check Periodo Ref.]:[Check Periodo Ref.]]="Dentro",DATOS_[Conc.Sal.05]))))),
0)</f>
        <v>0</v>
      </c>
      <c r="K50" s="111">
        <f t="array" ref="K50">IFERROR(
MEDIAN((IF(DATOS_[[Sexo]:[Sexo]]=$B50,IF(DATOS_[[AGRUP. VALOR. PTO.]:[AGRUP. VALOR. PTO.]]=$B48,IF(DATOS_[[Check Periodo Ref.]:[Check Periodo Ref.]]="Dentro",DATOS_[Conc.Sal.06]))))),
0)</f>
        <v>0</v>
      </c>
      <c r="L50" s="111">
        <f t="array" ref="L50">IFERROR(
MEDIAN((IF(DATOS_[[Sexo]:[Sexo]]=$B50,IF(DATOS_[[AGRUP. VALOR. PTO.]:[AGRUP. VALOR. PTO.]]=$B48,IF(DATOS_[[Check Periodo Ref.]:[Check Periodo Ref.]]="Dentro",DATOS_[Conc.Sal.07]))))),
0)</f>
        <v>0</v>
      </c>
      <c r="M50" s="111">
        <f t="array" ref="M50">IFERROR(
MEDIAN((IF(DATOS_[[Sexo]:[Sexo]]=$B50,IF(DATOS_[[AGRUP. VALOR. PTO.]:[AGRUP. VALOR. PTO.]]=$B48,IF(DATOS_[[Check Periodo Ref.]:[Check Periodo Ref.]]="Dentro",DATOS_[Conc.Sal.08]))))),
0)</f>
        <v>0</v>
      </c>
      <c r="N50" s="111">
        <f t="array" ref="N50">IFERROR(
MEDIAN((IF(DATOS_[[Sexo]:[Sexo]]=$B50,IF(DATOS_[[AGRUP. VALOR. PTO.]:[AGRUP. VALOR. PTO.]]=$B48,IF(DATOS_[[Check Periodo Ref.]:[Check Periodo Ref.]]="Dentro",DATOS_[Conc.Sal.09]))))),
0)</f>
        <v>0</v>
      </c>
      <c r="O50" s="111">
        <f t="array" ref="O50">IFERROR(
MEDIAN((IF(DATOS_[[Sexo]:[Sexo]]=$B50,IF(DATOS_[[AGRUP. VALOR. PTO.]:[AGRUP. VALOR. PTO.]]=$B48,IF(DATOS_[[Check Periodo Ref.]:[Check Periodo Ref.]]="Dentro",DATOS_[Conc.Sal.10]))))),
0)</f>
        <v>0</v>
      </c>
      <c r="P50" s="111">
        <f t="array" ref="P50">IFERROR(
MEDIAN((IF(DATOS_[[Sexo]:[Sexo]]=$B50,IF(DATOS_[[AGRUP. VALOR. PTO.]:[AGRUP. VALOR. PTO.]]=$B48,IF(DATOS_[[Check Periodo Ref.]:[Check Periodo Ref.]]="Dentro",DATOS_[Conc.Sal.11]))))),
0)</f>
        <v>0</v>
      </c>
      <c r="Q50" s="111">
        <f t="array" ref="Q50">IFERROR(
MEDIAN((IF(DATOS_[[Sexo]:[Sexo]]=$B50,IF(DATOS_[[AGRUP. VALOR. PTO.]:[AGRUP. VALOR. PTO.]]=$B48,IF(DATOS_[[Check Periodo Ref.]:[Check Periodo Ref.]]="Dentro",DATOS_[Conc.Sal.12]))))),
0)</f>
        <v>0</v>
      </c>
      <c r="R50" s="111">
        <f t="array" ref="R50">IFERROR(
MEDIAN((IF(DATOS_[[Sexo]:[Sexo]]=$B50,IF(DATOS_[[AGRUP. VALOR. PTO.]:[AGRUP. VALOR. PTO.]]=$B48,IF(DATOS_[[Check Periodo Ref.]:[Check Periodo Ref.]]="Dentro",DATOS_[Conc.Sal.13]))))),
0)</f>
        <v>0</v>
      </c>
      <c r="S50" s="111">
        <f t="array" ref="S50">IFERROR(
MEDIAN((IF(DATOS_[[Sexo]:[Sexo]]=$B50,IF(DATOS_[[AGRUP. VALOR. PTO.]:[AGRUP. VALOR. PTO.]]=$B48,IF(DATOS_[[Check Periodo Ref.]:[Check Periodo Ref.]]="Dentro",DATOS_[Conc.Sal.14]))))),
0)</f>
        <v>0</v>
      </c>
      <c r="T50" s="111">
        <f t="array" ref="T50">IFERROR(
MEDIAN((IF(DATOS_[[Sexo]:[Sexo]]=$B50,IF(DATOS_[[AGRUP. VALOR. PTO.]:[AGRUP. VALOR. PTO.]]=$B48,IF(DATOS_[[Check Periodo Ref.]:[Check Periodo Ref.]]="Dentro",DATOS_[Conc.Sal.15]))))),
0)</f>
        <v>0</v>
      </c>
      <c r="U50" s="111">
        <f t="array" ref="U50">IFERROR(
MEDIAN((IF(DATOS_[[Sexo]:[Sexo]]=$B50,IF(DATOS_[[AGRUP. VALOR. PTO.]:[AGRUP. VALOR. PTO.]]=$B48,IF(DATOS_[[Check Periodo Ref.]:[Check Periodo Ref.]]="Dentro",DATOS_[Conc.Sal.16]))))),
0)</f>
        <v>0</v>
      </c>
      <c r="V50" s="111">
        <f t="array" ref="V50">IFERROR(
MEDIAN((IF(DATOS_[[Sexo]:[Sexo]]=$B50,IF(DATOS_[[AGRUP. VALOR. PTO.]:[AGRUP. VALOR. PTO.]]=$B48,IF(DATOS_[[Check Periodo Ref.]:[Check Periodo Ref.]]="Dentro",DATOS_[Conc.Sal.17]))))),
0)</f>
        <v>0</v>
      </c>
      <c r="W50" s="111">
        <f t="array" ref="W50">IFERROR(
MEDIAN((IF(DATOS_[[Sexo]:[Sexo]]=$B50,IF(DATOS_[[AGRUP. VALOR. PTO.]:[AGRUP. VALOR. PTO.]]=$B48,IF(DATOS_[[Check Periodo Ref.]:[Check Periodo Ref.]]="Dentro",DATOS_[Conc.Sal.18]))))),
0)</f>
        <v>0</v>
      </c>
      <c r="X50" s="111">
        <f t="array" ref="X50">IFERROR(
MEDIAN((IF(DATOS_[[Sexo]:[Sexo]]=$B50,IF(DATOS_[[AGRUP. VALOR. PTO.]:[AGRUP. VALOR. PTO.]]=$B48,IF(DATOS_[[Check Periodo Ref.]:[Check Periodo Ref.]]="Dentro",DATOS_[Conc.Sal.19]))))),
0)</f>
        <v>0</v>
      </c>
      <c r="Y50" s="111">
        <f t="array" ref="Y50">IFERROR(
MEDIAN((IF(DATOS_[[Sexo]:[Sexo]]=$B50,IF(DATOS_[[AGRUP. VALOR. PTO.]:[AGRUP. VALOR. PTO.]]=$B48,IF(DATOS_[[Check Periodo Ref.]:[Check Periodo Ref.]]="Dentro",DATOS_[Conc.Sal.20]))))),
0)</f>
        <v>0</v>
      </c>
      <c r="Z50" s="111">
        <f t="array" ref="Z50">IFERROR(
MEDIAN((IF(DATOS_[[Sexo]:[Sexo]]=$B50,IF(DATOS_[[AGRUP. VALOR. PTO.]:[AGRUP. VALOR. PTO.]]=$B48,IF(DATOS_[[Check Periodo Ref.]:[Check Periodo Ref.]]="Dentro",DATOS_[Conc.Sal.21]))))),
0)</f>
        <v>0</v>
      </c>
      <c r="AA50" s="111">
        <f t="array" ref="AA50">IFERROR(
MEDIAN((IF(DATOS_[[Sexo]:[Sexo]]=$B50,IF(DATOS_[[AGRUP. VALOR. PTO.]:[AGRUP. VALOR. PTO.]]=$B48,IF(DATOS_[[Check Periodo Ref.]:[Check Periodo Ref.]]="Dentro",DATOS_[Conc.Sal.22]))))),
0)</f>
        <v>0</v>
      </c>
      <c r="AB50" s="111">
        <f t="array" ref="AB50">IFERROR(
MEDIAN((IF(DATOS_[[Sexo]:[Sexo]]=$B50,IF(DATOS_[[AGRUP. VALOR. PTO.]:[AGRUP. VALOR. PTO.]]=$B48,IF(DATOS_[[Check Periodo Ref.]:[Check Periodo Ref.]]="Dentro",DATOS_[Conc.Sal.23]))))),
0)</f>
        <v>0</v>
      </c>
      <c r="AC50" s="111">
        <f t="array" ref="AC50">IFERROR(
MEDIAN((IF(DATOS_[[Sexo]:[Sexo]]=$B50,IF(DATOS_[[AGRUP. VALOR. PTO.]:[AGRUP. VALOR. PTO.]]=$B48,IF(DATOS_[[Check Periodo Ref.]:[Check Periodo Ref.]]="Dentro",DATOS_[Conc.Sal.24]))))),
0)</f>
        <v>0</v>
      </c>
      <c r="AD50" s="111">
        <f t="array" ref="AD50">IFERROR(
MEDIAN((IF(DATOS_[[Sexo]:[Sexo]]=$B50,IF(DATOS_[[AGRUP. VALOR. PTO.]:[AGRUP. VALOR. PTO.]]=$B48,IF(DATOS_[[Check Periodo Ref.]:[Check Periodo Ref.]]="Dentro",DATOS_[Conc.Sal.25]))))),
0)</f>
        <v>0</v>
      </c>
      <c r="AE50" s="111">
        <f t="array" ref="AE50">IFERROR(
MEDIAN((IF(DATOS_[[Sexo]:[Sexo]]=$B50,IF(DATOS_[[AGRUP. VALOR. PTO.]:[AGRUP. VALOR. PTO.]]=$B48,IF(DATOS_[[Check Periodo Ref.]:[Check Periodo Ref.]]="Dentro",DATOS_[Conc.Sal.26]))))),
0)</f>
        <v>0</v>
      </c>
      <c r="AF50" s="111">
        <f t="array" ref="AF50">IFERROR(
MEDIAN((IF(DATOS_[[Sexo]:[Sexo]]=$B50,IF(DATOS_[[AGRUP. VALOR. PTO.]:[AGRUP. VALOR. PTO.]]=$B48,IF(DATOS_[[Check Periodo Ref.]:[Check Periodo Ref.]]="Dentro",DATOS_[Conc.Sal.27]))))),
0)</f>
        <v>0</v>
      </c>
      <c r="AG50" s="111">
        <f t="array" ref="AG50">IFERROR(
MEDIAN((IF(DATOS_[[Sexo]:[Sexo]]=$B50,IF(DATOS_[[AGRUP. VALOR. PTO.]:[AGRUP. VALOR. PTO.]]=$B48,IF(DATOS_[[Check Periodo Ref.]:[Check Periodo Ref.]]="Dentro",DATOS_[Conc.Sal.28]))))),
0)</f>
        <v>0</v>
      </c>
      <c r="AH50" s="111">
        <f t="array" ref="AH50">IFERROR(
MEDIAN((IF(DATOS_[[Sexo]:[Sexo]]=$B50,IF(DATOS_[[AGRUP. VALOR. PTO.]:[AGRUP. VALOR. PTO.]]=$B48,IF(DATOS_[[Check Periodo Ref.]:[Check Periodo Ref.]]="Dentro",DATOS_[Conc.Sal.29]))))),
0)</f>
        <v>0</v>
      </c>
      <c r="AI50" s="111">
        <f t="array" ref="AI50">IFERROR(
MEDIAN((IF(DATOS_[[Sexo]:[Sexo]]=$B50,IF(DATOS_[[AGRUP. VALOR. PTO.]:[AGRUP. VALOR. PTO.]]=$B48,IF(DATOS_[[Check Periodo Ref.]:[Check Periodo Ref.]]="Dentro",DATOS_[Conc.Sal.30]))))),
0)</f>
        <v>0</v>
      </c>
      <c r="AJ50" s="112">
        <f t="array" ref="AJ50">IFERROR(
MEDIAN(IF(DATOS_[Sexo]=$B50,IF(DATOS_[AGRUP. VALOR. PTO.]=$B48,IF(DATOS_[Check Periodo Ref.]="Dentro",DATOS_[Tot COMPL.SAL Ef],FALSE)))),
0)</f>
        <v>0</v>
      </c>
      <c r="AK50" s="113">
        <f t="array" ref="AK50">IFERROR(
MEDIAN(IF(DATOS_[Sexo]=$B50,IF(DATOS_[AGRUP. VALOR. PTO.]=$B48,IF(DATOS_[Check Periodo Ref.]="Dentro",DATOS_[TOTAL SALARIO Ef],FALSE)))),
0)</f>
        <v>0</v>
      </c>
      <c r="AL50" s="114">
        <f t="array" ref="AL50">IFERROR(
MEDIAN((IF(DATOS_[[Sexo]:[Sexo]]=$B50,IF(DATOS_[[AGRUP. VALOR. PTO.]:[AGRUP. VALOR. PTO.]]=$B48,IF(DATOS_[[Check Periodo Ref.]:[Check Periodo Ref.]]="Dentro",DATOS_[C.Extra.01]))))),
0)</f>
        <v>0</v>
      </c>
      <c r="AM50" s="114">
        <f t="array" ref="AM50">IFERROR(
MEDIAN((IF(DATOS_[[Sexo]:[Sexo]]=$B50,IF(DATOS_[[AGRUP. VALOR. PTO.]:[AGRUP. VALOR. PTO.]]=$B48,IF(DATOS_[[Check Periodo Ref.]:[Check Periodo Ref.]]="Dentro",DATOS_[C.Extra.02]))))),
0)</f>
        <v>0</v>
      </c>
      <c r="AN50" s="114">
        <f t="array" ref="AN50">IFERROR(
MEDIAN((IF(DATOS_[[Sexo]:[Sexo]]=$B50,IF(DATOS_[[AGRUP. VALOR. PTO.]:[AGRUP. VALOR. PTO.]]=$B48,IF(DATOS_[[Check Periodo Ref.]:[Check Periodo Ref.]]="Dentro",DATOS_[C.Extra.03]))))),
0)</f>
        <v>0</v>
      </c>
      <c r="AO50" s="114">
        <f t="array" ref="AO50">IFERROR(
MEDIAN((IF(DATOS_[[Sexo]:[Sexo]]=$B50,IF(DATOS_[[AGRUP. VALOR. PTO.]:[AGRUP. VALOR. PTO.]]=$B48,IF(DATOS_[[Check Periodo Ref.]:[Check Periodo Ref.]]="Dentro",DATOS_[C.Extra.04]))))),
0)</f>
        <v>0</v>
      </c>
      <c r="AP50" s="114">
        <f t="array" ref="AP50">IFERROR(
MEDIAN((IF(DATOS_[[Sexo]:[Sexo]]=$B50,IF(DATOS_[[AGRUP. VALOR. PTO.]:[AGRUP. VALOR. PTO.]]=$B48,IF(DATOS_[[Check Periodo Ref.]:[Check Periodo Ref.]]="Dentro",DATOS_[C.Extra.05]))))),
0)</f>
        <v>0</v>
      </c>
      <c r="AQ50" s="115">
        <f t="array" ref="AQ50">IFERROR(
MEDIAN(IF(DATOS_[Sexo]=$B50,IF(DATOS_[AGRUP. VALOR. PTO.]=$B48,IF(DATOS_[Check Periodo Ref.]="Dentro",DATOS_[Tot Extrasalarial Ef],FALSE)))),
0)</f>
        <v>0</v>
      </c>
      <c r="AR50" s="116">
        <f t="array" ref="AR50">IFERROR(
MEDIAN(IF(DATOS_[Sexo]=$B50,IF(DATOS_[AGRUP. VALOR. PTO.]=$B48,IF(DATOS_[Check Periodo Ref.]="Dentro",DATOS_[TOTAL Retrib Ef],FALSE)))),
0)</f>
        <v>0</v>
      </c>
    </row>
    <row r="51" spans="1:44" ht="17.25" hidden="1" thickBot="1" x14ac:dyDescent="0.35">
      <c r="A51" s="42" t="str">
        <f t="shared" ref="A51" si="51">+A52</f>
        <v>[ocultar]</v>
      </c>
      <c r="B51" s="40" t="s">
        <v>272</v>
      </c>
      <c r="C51" s="109"/>
      <c r="D51" s="41"/>
      <c r="E51" s="119" t="str">
        <f t="shared" ref="E51:AR51" si="52">IFERROR((E52-E53)/E52,"")</f>
        <v/>
      </c>
      <c r="F51" s="123" t="str">
        <f t="shared" si="52"/>
        <v/>
      </c>
      <c r="G51" s="123" t="str">
        <f t="shared" si="52"/>
        <v/>
      </c>
      <c r="H51" s="123" t="str">
        <f t="shared" si="52"/>
        <v/>
      </c>
      <c r="I51" s="123" t="str">
        <f t="shared" si="52"/>
        <v/>
      </c>
      <c r="J51" s="123" t="str">
        <f t="shared" si="52"/>
        <v/>
      </c>
      <c r="K51" s="123" t="str">
        <f t="shared" si="52"/>
        <v/>
      </c>
      <c r="L51" s="123" t="str">
        <f t="shared" si="52"/>
        <v/>
      </c>
      <c r="M51" s="123" t="str">
        <f t="shared" si="52"/>
        <v/>
      </c>
      <c r="N51" s="123" t="str">
        <f t="shared" si="52"/>
        <v/>
      </c>
      <c r="O51" s="123" t="str">
        <f t="shared" si="52"/>
        <v/>
      </c>
      <c r="P51" s="123" t="str">
        <f t="shared" si="52"/>
        <v/>
      </c>
      <c r="Q51" s="123" t="str">
        <f t="shared" si="52"/>
        <v/>
      </c>
      <c r="R51" s="123" t="str">
        <f t="shared" si="52"/>
        <v/>
      </c>
      <c r="S51" s="123" t="str">
        <f t="shared" si="52"/>
        <v/>
      </c>
      <c r="T51" s="123" t="str">
        <f t="shared" si="52"/>
        <v/>
      </c>
      <c r="U51" s="123" t="str">
        <f t="shared" si="52"/>
        <v/>
      </c>
      <c r="V51" s="122" t="str">
        <f t="shared" si="52"/>
        <v/>
      </c>
      <c r="W51" s="122" t="str">
        <f t="shared" si="52"/>
        <v/>
      </c>
      <c r="X51" s="122" t="str">
        <f t="shared" si="52"/>
        <v/>
      </c>
      <c r="Y51" s="122" t="str">
        <f t="shared" si="52"/>
        <v/>
      </c>
      <c r="Z51" s="122" t="str">
        <f t="shared" si="52"/>
        <v/>
      </c>
      <c r="AA51" s="122" t="str">
        <f t="shared" si="52"/>
        <v/>
      </c>
      <c r="AB51" s="122" t="str">
        <f t="shared" si="52"/>
        <v/>
      </c>
      <c r="AC51" s="122" t="str">
        <f t="shared" si="52"/>
        <v/>
      </c>
      <c r="AD51" s="122" t="str">
        <f t="shared" si="52"/>
        <v/>
      </c>
      <c r="AE51" s="122" t="str">
        <f t="shared" si="52"/>
        <v/>
      </c>
      <c r="AF51" s="122" t="str">
        <f t="shared" si="52"/>
        <v/>
      </c>
      <c r="AG51" s="122" t="str">
        <f t="shared" si="52"/>
        <v/>
      </c>
      <c r="AH51" s="122" t="str">
        <f t="shared" si="52"/>
        <v/>
      </c>
      <c r="AI51" s="122" t="str">
        <f t="shared" si="52"/>
        <v/>
      </c>
      <c r="AJ51" s="124" t="str">
        <f t="shared" si="52"/>
        <v/>
      </c>
      <c r="AK51" s="128" t="str">
        <f t="shared" si="52"/>
        <v/>
      </c>
      <c r="AL51" s="125" t="str">
        <f t="shared" si="52"/>
        <v/>
      </c>
      <c r="AM51" s="125" t="str">
        <f t="shared" si="52"/>
        <v/>
      </c>
      <c r="AN51" s="125" t="str">
        <f t="shared" si="52"/>
        <v/>
      </c>
      <c r="AO51" s="125" t="str">
        <f t="shared" si="52"/>
        <v/>
      </c>
      <c r="AP51" s="125" t="str">
        <f t="shared" si="52"/>
        <v/>
      </c>
      <c r="AQ51" s="126" t="str">
        <f t="shared" si="52"/>
        <v/>
      </c>
      <c r="AR51" s="127" t="str">
        <f t="shared" si="52"/>
        <v/>
      </c>
    </row>
    <row r="52" spans="1:44" hidden="1" x14ac:dyDescent="0.3">
      <c r="A52" s="42" t="str">
        <f t="shared" ref="A52" si="53">+IF(C52+C53=0,"[ocultar]","")</f>
        <v>[ocultar]</v>
      </c>
      <c r="B52" s="34" t="s">
        <v>162</v>
      </c>
      <c r="C52" s="33">
        <f t="array" ref="C52">SUM(IF($B52=DATOS_[Sexo],
IF($B51=DATOS_[AGRUP. VALOR. PTO.],
IF("Dentro"=DATOS_[Check Periodo Ref.],
1/(COUNTIFS(DATOS_[Sexo],$B52,DATOS_[AGRUP. VALOR. PTO.],$B51,DATOS_[Check Periodo Ref.],"Dentro",DATOS_[id],DATOS_[id]))))))</f>
        <v>0</v>
      </c>
      <c r="D52" s="35">
        <f>COUNTIFS(DATOS_[AGRUP. VALOR. PTO.],$B51,DATOS_[Sexo],$B52,DATOS_[Check Periodo Ref.],"Dentro")</f>
        <v>0</v>
      </c>
      <c r="E52" s="110">
        <f t="array" ref="E52">IFERROR(
MEDIAN(IF(DATOS_[Sexo]=$B52,IF(DATOS_[AGRUP. VALOR. PTO.]=$B51,IF(DATOS_[Check Periodo Ref.]="Dentro",DATOS_[SALARIO BASE Ef],FALSE)))),
0)</f>
        <v>0</v>
      </c>
      <c r="F52" s="111">
        <f t="array" ref="F52">IFERROR(
MEDIAN((IF(DATOS_[[Sexo]:[Sexo]]=$B52,IF(DATOS_[[AGRUP. VALOR. PTO.]:[AGRUP. VALOR. PTO.]]=$B51,IF(DATOS_[[Check Periodo Ref.]:[Check Periodo Ref.]]="Dentro",DATOS_[Conc.Sal.01]))))),
0)</f>
        <v>0</v>
      </c>
      <c r="G52" s="111">
        <f t="array" ref="G52">IFERROR(
MEDIAN((IF(DATOS_[[Sexo]:[Sexo]]=$B52,IF(DATOS_[[AGRUP. VALOR. PTO.]:[AGRUP. VALOR. PTO.]]=$B51,IF(DATOS_[[Check Periodo Ref.]:[Check Periodo Ref.]]="Dentro",DATOS_[Conc.Sal.02]))))),
0)</f>
        <v>0</v>
      </c>
      <c r="H52" s="111">
        <f t="array" ref="H52">IFERROR(
MEDIAN((IF(DATOS_[[Sexo]:[Sexo]]=$B52,IF(DATOS_[[AGRUP. VALOR. PTO.]:[AGRUP. VALOR. PTO.]]=$B51,IF(DATOS_[[Check Periodo Ref.]:[Check Periodo Ref.]]="Dentro",DATOS_[Conc.Sal.03]))))),
0)</f>
        <v>0</v>
      </c>
      <c r="I52" s="111">
        <f t="array" ref="I52">IFERROR(
MEDIAN((IF(DATOS_[[Sexo]:[Sexo]]=$B52,IF(DATOS_[[AGRUP. VALOR. PTO.]:[AGRUP. VALOR. PTO.]]=$B51,IF(DATOS_[[Check Periodo Ref.]:[Check Periodo Ref.]]="Dentro",DATOS_[Conc.Sal.04]))))),
0)</f>
        <v>0</v>
      </c>
      <c r="J52" s="111">
        <f t="array" ref="J52">IFERROR(
MEDIAN((IF(DATOS_[[Sexo]:[Sexo]]=$B52,IF(DATOS_[[AGRUP. VALOR. PTO.]:[AGRUP. VALOR. PTO.]]=$B51,IF(DATOS_[[Check Periodo Ref.]:[Check Periodo Ref.]]="Dentro",DATOS_[Conc.Sal.05]))))),
0)</f>
        <v>0</v>
      </c>
      <c r="K52" s="111">
        <f t="array" ref="K52">IFERROR(
MEDIAN((IF(DATOS_[[Sexo]:[Sexo]]=$B52,IF(DATOS_[[AGRUP. VALOR. PTO.]:[AGRUP. VALOR. PTO.]]=$B51,IF(DATOS_[[Check Periodo Ref.]:[Check Periodo Ref.]]="Dentro",DATOS_[Conc.Sal.06]))))),
0)</f>
        <v>0</v>
      </c>
      <c r="L52" s="111">
        <f t="array" ref="L52">IFERROR(
MEDIAN((IF(DATOS_[[Sexo]:[Sexo]]=$B52,IF(DATOS_[[AGRUP. VALOR. PTO.]:[AGRUP. VALOR. PTO.]]=$B51,IF(DATOS_[[Check Periodo Ref.]:[Check Periodo Ref.]]="Dentro",DATOS_[Conc.Sal.07]))))),
0)</f>
        <v>0</v>
      </c>
      <c r="M52" s="111">
        <f t="array" ref="M52">IFERROR(
MEDIAN((IF(DATOS_[[Sexo]:[Sexo]]=$B52,IF(DATOS_[[AGRUP. VALOR. PTO.]:[AGRUP. VALOR. PTO.]]=$B51,IF(DATOS_[[Check Periodo Ref.]:[Check Periodo Ref.]]="Dentro",DATOS_[Conc.Sal.08]))))),
0)</f>
        <v>0</v>
      </c>
      <c r="N52" s="111">
        <f t="array" ref="N52">IFERROR(
MEDIAN((IF(DATOS_[[Sexo]:[Sexo]]=$B52,IF(DATOS_[[AGRUP. VALOR. PTO.]:[AGRUP. VALOR. PTO.]]=$B51,IF(DATOS_[[Check Periodo Ref.]:[Check Periodo Ref.]]="Dentro",DATOS_[Conc.Sal.09]))))),
0)</f>
        <v>0</v>
      </c>
      <c r="O52" s="111">
        <f t="array" ref="O52">IFERROR(
MEDIAN((IF(DATOS_[[Sexo]:[Sexo]]=$B52,IF(DATOS_[[AGRUP. VALOR. PTO.]:[AGRUP. VALOR. PTO.]]=$B51,IF(DATOS_[[Check Periodo Ref.]:[Check Periodo Ref.]]="Dentro",DATOS_[Conc.Sal.10]))))),
0)</f>
        <v>0</v>
      </c>
      <c r="P52" s="111">
        <f t="array" ref="P52">IFERROR(
MEDIAN((IF(DATOS_[[Sexo]:[Sexo]]=$B52,IF(DATOS_[[AGRUP. VALOR. PTO.]:[AGRUP. VALOR. PTO.]]=$B51,IF(DATOS_[[Check Periodo Ref.]:[Check Periodo Ref.]]="Dentro",DATOS_[Conc.Sal.11]))))),
0)</f>
        <v>0</v>
      </c>
      <c r="Q52" s="111">
        <f t="array" ref="Q52">IFERROR(
MEDIAN((IF(DATOS_[[Sexo]:[Sexo]]=$B52,IF(DATOS_[[AGRUP. VALOR. PTO.]:[AGRUP. VALOR. PTO.]]=$B51,IF(DATOS_[[Check Periodo Ref.]:[Check Periodo Ref.]]="Dentro",DATOS_[Conc.Sal.12]))))),
0)</f>
        <v>0</v>
      </c>
      <c r="R52" s="111">
        <f t="array" ref="R52">IFERROR(
MEDIAN((IF(DATOS_[[Sexo]:[Sexo]]=$B52,IF(DATOS_[[AGRUP. VALOR. PTO.]:[AGRUP. VALOR. PTO.]]=$B51,IF(DATOS_[[Check Periodo Ref.]:[Check Periodo Ref.]]="Dentro",DATOS_[Conc.Sal.13]))))),
0)</f>
        <v>0</v>
      </c>
      <c r="S52" s="111">
        <f t="array" ref="S52">IFERROR(
MEDIAN((IF(DATOS_[[Sexo]:[Sexo]]=$B52,IF(DATOS_[[AGRUP. VALOR. PTO.]:[AGRUP. VALOR. PTO.]]=$B51,IF(DATOS_[[Check Periodo Ref.]:[Check Periodo Ref.]]="Dentro",DATOS_[Conc.Sal.14]))))),
0)</f>
        <v>0</v>
      </c>
      <c r="T52" s="111">
        <f t="array" ref="T52">IFERROR(
MEDIAN((IF(DATOS_[[Sexo]:[Sexo]]=$B52,IF(DATOS_[[AGRUP. VALOR. PTO.]:[AGRUP. VALOR. PTO.]]=$B51,IF(DATOS_[[Check Periodo Ref.]:[Check Periodo Ref.]]="Dentro",DATOS_[Conc.Sal.15]))))),
0)</f>
        <v>0</v>
      </c>
      <c r="U52" s="111">
        <f t="array" ref="U52">IFERROR(
MEDIAN((IF(DATOS_[[Sexo]:[Sexo]]=$B52,IF(DATOS_[[AGRUP. VALOR. PTO.]:[AGRUP. VALOR. PTO.]]=$B51,IF(DATOS_[[Check Periodo Ref.]:[Check Periodo Ref.]]="Dentro",DATOS_[Conc.Sal.16]))))),
0)</f>
        <v>0</v>
      </c>
      <c r="V52" s="111">
        <f t="array" ref="V52">IFERROR(
MEDIAN((IF(DATOS_[[Sexo]:[Sexo]]=$B52,IF(DATOS_[[AGRUP. VALOR. PTO.]:[AGRUP. VALOR. PTO.]]=$B51,IF(DATOS_[[Check Periodo Ref.]:[Check Periodo Ref.]]="Dentro",DATOS_[Conc.Sal.17]))))),
0)</f>
        <v>0</v>
      </c>
      <c r="W52" s="111">
        <f t="array" ref="W52">IFERROR(
MEDIAN((IF(DATOS_[[Sexo]:[Sexo]]=$B52,IF(DATOS_[[AGRUP. VALOR. PTO.]:[AGRUP. VALOR. PTO.]]=$B51,IF(DATOS_[[Check Periodo Ref.]:[Check Periodo Ref.]]="Dentro",DATOS_[Conc.Sal.18]))))),
0)</f>
        <v>0</v>
      </c>
      <c r="X52" s="111">
        <f t="array" ref="X52">IFERROR(
MEDIAN((IF(DATOS_[[Sexo]:[Sexo]]=$B52,IF(DATOS_[[AGRUP. VALOR. PTO.]:[AGRUP. VALOR. PTO.]]=$B51,IF(DATOS_[[Check Periodo Ref.]:[Check Periodo Ref.]]="Dentro",DATOS_[Conc.Sal.19]))))),
0)</f>
        <v>0</v>
      </c>
      <c r="Y52" s="111">
        <f t="array" ref="Y52">IFERROR(
MEDIAN((IF(DATOS_[[Sexo]:[Sexo]]=$B52,IF(DATOS_[[AGRUP. VALOR. PTO.]:[AGRUP. VALOR. PTO.]]=$B51,IF(DATOS_[[Check Periodo Ref.]:[Check Periodo Ref.]]="Dentro",DATOS_[Conc.Sal.20]))))),
0)</f>
        <v>0</v>
      </c>
      <c r="Z52" s="111">
        <f t="array" ref="Z52">IFERROR(
MEDIAN((IF(DATOS_[[Sexo]:[Sexo]]=$B52,IF(DATOS_[[AGRUP. VALOR. PTO.]:[AGRUP. VALOR. PTO.]]=$B51,IF(DATOS_[[Check Periodo Ref.]:[Check Periodo Ref.]]="Dentro",DATOS_[Conc.Sal.21]))))),
0)</f>
        <v>0</v>
      </c>
      <c r="AA52" s="111">
        <f t="array" ref="AA52">IFERROR(
MEDIAN((IF(DATOS_[[Sexo]:[Sexo]]=$B52,IF(DATOS_[[AGRUP. VALOR. PTO.]:[AGRUP. VALOR. PTO.]]=$B51,IF(DATOS_[[Check Periodo Ref.]:[Check Periodo Ref.]]="Dentro",DATOS_[Conc.Sal.22]))))),
0)</f>
        <v>0</v>
      </c>
      <c r="AB52" s="111">
        <f t="array" ref="AB52">IFERROR(
MEDIAN((IF(DATOS_[[Sexo]:[Sexo]]=$B52,IF(DATOS_[[AGRUP. VALOR. PTO.]:[AGRUP. VALOR. PTO.]]=$B51,IF(DATOS_[[Check Periodo Ref.]:[Check Periodo Ref.]]="Dentro",DATOS_[Conc.Sal.23]))))),
0)</f>
        <v>0</v>
      </c>
      <c r="AC52" s="111">
        <f t="array" ref="AC52">IFERROR(
MEDIAN((IF(DATOS_[[Sexo]:[Sexo]]=$B52,IF(DATOS_[[AGRUP. VALOR. PTO.]:[AGRUP. VALOR. PTO.]]=$B51,IF(DATOS_[[Check Periodo Ref.]:[Check Periodo Ref.]]="Dentro",DATOS_[Conc.Sal.24]))))),
0)</f>
        <v>0</v>
      </c>
      <c r="AD52" s="111">
        <f t="array" ref="AD52">IFERROR(
MEDIAN((IF(DATOS_[[Sexo]:[Sexo]]=$B52,IF(DATOS_[[AGRUP. VALOR. PTO.]:[AGRUP. VALOR. PTO.]]=$B51,IF(DATOS_[[Check Periodo Ref.]:[Check Periodo Ref.]]="Dentro",DATOS_[Conc.Sal.25]))))),
0)</f>
        <v>0</v>
      </c>
      <c r="AE52" s="111">
        <f t="array" ref="AE52">IFERROR(
MEDIAN((IF(DATOS_[[Sexo]:[Sexo]]=$B52,IF(DATOS_[[AGRUP. VALOR. PTO.]:[AGRUP. VALOR. PTO.]]=$B51,IF(DATOS_[[Check Periodo Ref.]:[Check Periodo Ref.]]="Dentro",DATOS_[Conc.Sal.26]))))),
0)</f>
        <v>0</v>
      </c>
      <c r="AF52" s="111">
        <f t="array" ref="AF52">IFERROR(
MEDIAN((IF(DATOS_[[Sexo]:[Sexo]]=$B52,IF(DATOS_[[AGRUP. VALOR. PTO.]:[AGRUP. VALOR. PTO.]]=$B51,IF(DATOS_[[Check Periodo Ref.]:[Check Periodo Ref.]]="Dentro",DATOS_[Conc.Sal.27]))))),
0)</f>
        <v>0</v>
      </c>
      <c r="AG52" s="111">
        <f t="array" ref="AG52">IFERROR(
MEDIAN((IF(DATOS_[[Sexo]:[Sexo]]=$B52,IF(DATOS_[[AGRUP. VALOR. PTO.]:[AGRUP. VALOR. PTO.]]=$B51,IF(DATOS_[[Check Periodo Ref.]:[Check Periodo Ref.]]="Dentro",DATOS_[Conc.Sal.28]))))),
0)</f>
        <v>0</v>
      </c>
      <c r="AH52" s="111">
        <f t="array" ref="AH52">IFERROR(
MEDIAN((IF(DATOS_[[Sexo]:[Sexo]]=$B52,IF(DATOS_[[AGRUP. VALOR. PTO.]:[AGRUP. VALOR. PTO.]]=$B51,IF(DATOS_[[Check Periodo Ref.]:[Check Periodo Ref.]]="Dentro",DATOS_[Conc.Sal.29]))))),
0)</f>
        <v>0</v>
      </c>
      <c r="AI52" s="111">
        <f t="array" ref="AI52">IFERROR(
MEDIAN((IF(DATOS_[[Sexo]:[Sexo]]=$B52,IF(DATOS_[[AGRUP. VALOR. PTO.]:[AGRUP. VALOR. PTO.]]=$B51,IF(DATOS_[[Check Periodo Ref.]:[Check Periodo Ref.]]="Dentro",DATOS_[Conc.Sal.30]))))),
0)</f>
        <v>0</v>
      </c>
      <c r="AJ52" s="112">
        <f t="array" ref="AJ52">IFERROR(
MEDIAN(IF(DATOS_[Sexo]=$B52,IF(DATOS_[AGRUP. VALOR. PTO.]=$B51,IF(DATOS_[Check Periodo Ref.]="Dentro",DATOS_[Tot COMPL.SAL Ef],FALSE)))),
0)</f>
        <v>0</v>
      </c>
      <c r="AK52" s="113">
        <f t="array" ref="AK52">IFERROR(
MEDIAN(IF(DATOS_[Sexo]=$B52,IF(DATOS_[AGRUP. VALOR. PTO.]=$B51,IF(DATOS_[Check Periodo Ref.]="Dentro",DATOS_[TOTAL SALARIO Ef],FALSE)))),
0)</f>
        <v>0</v>
      </c>
      <c r="AL52" s="114">
        <f t="array" ref="AL52">IFERROR(
MEDIAN((IF(DATOS_[[Sexo]:[Sexo]]=$B52,IF(DATOS_[[AGRUP. VALOR. PTO.]:[AGRUP. VALOR. PTO.]]=$B51,IF(DATOS_[[Check Periodo Ref.]:[Check Periodo Ref.]]="Dentro",DATOS_[C.Extra.01]))))),
0)</f>
        <v>0</v>
      </c>
      <c r="AM52" s="114">
        <f t="array" ref="AM52">IFERROR(
MEDIAN((IF(DATOS_[[Sexo]:[Sexo]]=$B52,IF(DATOS_[[AGRUP. VALOR. PTO.]:[AGRUP. VALOR. PTO.]]=$B51,IF(DATOS_[[Check Periodo Ref.]:[Check Periodo Ref.]]="Dentro",DATOS_[C.Extra.02]))))),
0)</f>
        <v>0</v>
      </c>
      <c r="AN52" s="114">
        <f t="array" ref="AN52">IFERROR(
MEDIAN((IF(DATOS_[[Sexo]:[Sexo]]=$B52,IF(DATOS_[[AGRUP. VALOR. PTO.]:[AGRUP. VALOR. PTO.]]=$B51,IF(DATOS_[[Check Periodo Ref.]:[Check Periodo Ref.]]="Dentro",DATOS_[C.Extra.03]))))),
0)</f>
        <v>0</v>
      </c>
      <c r="AO52" s="114">
        <f t="array" ref="AO52">IFERROR(
MEDIAN((IF(DATOS_[[Sexo]:[Sexo]]=$B52,IF(DATOS_[[AGRUP. VALOR. PTO.]:[AGRUP. VALOR. PTO.]]=$B51,IF(DATOS_[[Check Periodo Ref.]:[Check Periodo Ref.]]="Dentro",DATOS_[C.Extra.04]))))),
0)</f>
        <v>0</v>
      </c>
      <c r="AP52" s="114">
        <f t="array" ref="AP52">IFERROR(
MEDIAN((IF(DATOS_[[Sexo]:[Sexo]]=$B52,IF(DATOS_[[AGRUP. VALOR. PTO.]:[AGRUP. VALOR. PTO.]]=$B51,IF(DATOS_[[Check Periodo Ref.]:[Check Periodo Ref.]]="Dentro",DATOS_[C.Extra.05]))))),
0)</f>
        <v>0</v>
      </c>
      <c r="AQ52" s="115">
        <f t="array" ref="AQ52">IFERROR(
MEDIAN(IF(DATOS_[Sexo]=$B52,IF(DATOS_[AGRUP. VALOR. PTO.]=$B51,IF(DATOS_[Check Periodo Ref.]="Dentro",DATOS_[Tot Extrasalarial Ef],FALSE)))),
0)</f>
        <v>0</v>
      </c>
      <c r="AR52" s="116">
        <f t="array" ref="AR52">IFERROR(
MEDIAN(IF(DATOS_[Sexo]=$B52,IF(DATOS_[AGRUP. VALOR. PTO.]=$B51,IF(DATOS_[Check Periodo Ref.]="Dentro",DATOS_[TOTAL Retrib Ef],FALSE)))),
0)</f>
        <v>0</v>
      </c>
    </row>
    <row r="53" spans="1:44" hidden="1" x14ac:dyDescent="0.3">
      <c r="A53" s="42" t="str">
        <f t="shared" ref="A53" si="54">+A52</f>
        <v>[ocultar]</v>
      </c>
      <c r="B53" s="34" t="s">
        <v>163</v>
      </c>
      <c r="C53" s="33">
        <f t="array" ref="C53">SUM(IF($B53=DATOS_[Sexo],
IF($B51=DATOS_[AGRUP. VALOR. PTO.],
IF("Dentro"=DATOS_[Check Periodo Ref.],
1/(COUNTIFS(DATOS_[Sexo],$B53,DATOS_[AGRUP. VALOR. PTO.],$B51,DATOS_[Check Periodo Ref.],"Dentro",DATOS_[id],DATOS_[id]))))))</f>
        <v>0</v>
      </c>
      <c r="D53" s="35">
        <f>COUNTIFS(DATOS_[AGRUP. VALOR. PTO.],$B51,DATOS_[Sexo],$B53,DATOS_[Check Periodo Ref.],"Dentro")</f>
        <v>0</v>
      </c>
      <c r="E53" s="110">
        <f t="array" ref="E53">IFERROR(
MEDIAN(IF(DATOS_[Sexo]=$B53,IF(DATOS_[AGRUP. VALOR. PTO.]=$B51,IF(DATOS_[Check Periodo Ref.]="Dentro",DATOS_[SALARIO BASE Ef],FALSE)))),
0)</f>
        <v>0</v>
      </c>
      <c r="F53" s="111">
        <f t="array" ref="F53">IFERROR(
MEDIAN((IF(DATOS_[[Sexo]:[Sexo]]=$B53,IF(DATOS_[[AGRUP. VALOR. PTO.]:[AGRUP. VALOR. PTO.]]=$B51,IF(DATOS_[[Check Periodo Ref.]:[Check Periodo Ref.]]="Dentro",DATOS_[Conc.Sal.01]))))),
0)</f>
        <v>0</v>
      </c>
      <c r="G53" s="111">
        <f t="array" ref="G53">IFERROR(
MEDIAN((IF(DATOS_[[Sexo]:[Sexo]]=$B53,IF(DATOS_[[AGRUP. VALOR. PTO.]:[AGRUP. VALOR. PTO.]]=$B51,IF(DATOS_[[Check Periodo Ref.]:[Check Periodo Ref.]]="Dentro",DATOS_[Conc.Sal.02]))))),
0)</f>
        <v>0</v>
      </c>
      <c r="H53" s="111">
        <f t="array" ref="H53">IFERROR(
MEDIAN((IF(DATOS_[[Sexo]:[Sexo]]=$B53,IF(DATOS_[[AGRUP. VALOR. PTO.]:[AGRUP. VALOR. PTO.]]=$B51,IF(DATOS_[[Check Periodo Ref.]:[Check Periodo Ref.]]="Dentro",DATOS_[Conc.Sal.03]))))),
0)</f>
        <v>0</v>
      </c>
      <c r="I53" s="111">
        <f t="array" ref="I53">IFERROR(
MEDIAN((IF(DATOS_[[Sexo]:[Sexo]]=$B53,IF(DATOS_[[AGRUP. VALOR. PTO.]:[AGRUP. VALOR. PTO.]]=$B51,IF(DATOS_[[Check Periodo Ref.]:[Check Periodo Ref.]]="Dentro",DATOS_[Conc.Sal.04]))))),
0)</f>
        <v>0</v>
      </c>
      <c r="J53" s="111">
        <f t="array" ref="J53">IFERROR(
MEDIAN((IF(DATOS_[[Sexo]:[Sexo]]=$B53,IF(DATOS_[[AGRUP. VALOR. PTO.]:[AGRUP. VALOR. PTO.]]=$B51,IF(DATOS_[[Check Periodo Ref.]:[Check Periodo Ref.]]="Dentro",DATOS_[Conc.Sal.05]))))),
0)</f>
        <v>0</v>
      </c>
      <c r="K53" s="111">
        <f t="array" ref="K53">IFERROR(
MEDIAN((IF(DATOS_[[Sexo]:[Sexo]]=$B53,IF(DATOS_[[AGRUP. VALOR. PTO.]:[AGRUP. VALOR. PTO.]]=$B51,IF(DATOS_[[Check Periodo Ref.]:[Check Periodo Ref.]]="Dentro",DATOS_[Conc.Sal.06]))))),
0)</f>
        <v>0</v>
      </c>
      <c r="L53" s="111">
        <f t="array" ref="L53">IFERROR(
MEDIAN((IF(DATOS_[[Sexo]:[Sexo]]=$B53,IF(DATOS_[[AGRUP. VALOR. PTO.]:[AGRUP. VALOR. PTO.]]=$B51,IF(DATOS_[[Check Periodo Ref.]:[Check Periodo Ref.]]="Dentro",DATOS_[Conc.Sal.07]))))),
0)</f>
        <v>0</v>
      </c>
      <c r="M53" s="111">
        <f t="array" ref="M53">IFERROR(
MEDIAN((IF(DATOS_[[Sexo]:[Sexo]]=$B53,IF(DATOS_[[AGRUP. VALOR. PTO.]:[AGRUP. VALOR. PTO.]]=$B51,IF(DATOS_[[Check Periodo Ref.]:[Check Periodo Ref.]]="Dentro",DATOS_[Conc.Sal.08]))))),
0)</f>
        <v>0</v>
      </c>
      <c r="N53" s="111">
        <f t="array" ref="N53">IFERROR(
MEDIAN((IF(DATOS_[[Sexo]:[Sexo]]=$B53,IF(DATOS_[[AGRUP. VALOR. PTO.]:[AGRUP. VALOR. PTO.]]=$B51,IF(DATOS_[[Check Periodo Ref.]:[Check Periodo Ref.]]="Dentro",DATOS_[Conc.Sal.09]))))),
0)</f>
        <v>0</v>
      </c>
      <c r="O53" s="111">
        <f t="array" ref="O53">IFERROR(
MEDIAN((IF(DATOS_[[Sexo]:[Sexo]]=$B53,IF(DATOS_[[AGRUP. VALOR. PTO.]:[AGRUP. VALOR. PTO.]]=$B51,IF(DATOS_[[Check Periodo Ref.]:[Check Periodo Ref.]]="Dentro",DATOS_[Conc.Sal.10]))))),
0)</f>
        <v>0</v>
      </c>
      <c r="P53" s="111">
        <f t="array" ref="P53">IFERROR(
MEDIAN((IF(DATOS_[[Sexo]:[Sexo]]=$B53,IF(DATOS_[[AGRUP. VALOR. PTO.]:[AGRUP. VALOR. PTO.]]=$B51,IF(DATOS_[[Check Periodo Ref.]:[Check Periodo Ref.]]="Dentro",DATOS_[Conc.Sal.11]))))),
0)</f>
        <v>0</v>
      </c>
      <c r="Q53" s="111">
        <f t="array" ref="Q53">IFERROR(
MEDIAN((IF(DATOS_[[Sexo]:[Sexo]]=$B53,IF(DATOS_[[AGRUP. VALOR. PTO.]:[AGRUP. VALOR. PTO.]]=$B51,IF(DATOS_[[Check Periodo Ref.]:[Check Periodo Ref.]]="Dentro",DATOS_[Conc.Sal.12]))))),
0)</f>
        <v>0</v>
      </c>
      <c r="R53" s="111">
        <f t="array" ref="R53">IFERROR(
MEDIAN((IF(DATOS_[[Sexo]:[Sexo]]=$B53,IF(DATOS_[[AGRUP. VALOR. PTO.]:[AGRUP. VALOR. PTO.]]=$B51,IF(DATOS_[[Check Periodo Ref.]:[Check Periodo Ref.]]="Dentro",DATOS_[Conc.Sal.13]))))),
0)</f>
        <v>0</v>
      </c>
      <c r="S53" s="111">
        <f t="array" ref="S53">IFERROR(
MEDIAN((IF(DATOS_[[Sexo]:[Sexo]]=$B53,IF(DATOS_[[AGRUP. VALOR. PTO.]:[AGRUP. VALOR. PTO.]]=$B51,IF(DATOS_[[Check Periodo Ref.]:[Check Periodo Ref.]]="Dentro",DATOS_[Conc.Sal.14]))))),
0)</f>
        <v>0</v>
      </c>
      <c r="T53" s="111">
        <f t="array" ref="T53">IFERROR(
MEDIAN((IF(DATOS_[[Sexo]:[Sexo]]=$B53,IF(DATOS_[[AGRUP. VALOR. PTO.]:[AGRUP. VALOR. PTO.]]=$B51,IF(DATOS_[[Check Periodo Ref.]:[Check Periodo Ref.]]="Dentro",DATOS_[Conc.Sal.15]))))),
0)</f>
        <v>0</v>
      </c>
      <c r="U53" s="111">
        <f t="array" ref="U53">IFERROR(
MEDIAN((IF(DATOS_[[Sexo]:[Sexo]]=$B53,IF(DATOS_[[AGRUP. VALOR. PTO.]:[AGRUP. VALOR. PTO.]]=$B51,IF(DATOS_[[Check Periodo Ref.]:[Check Periodo Ref.]]="Dentro",DATOS_[Conc.Sal.16]))))),
0)</f>
        <v>0</v>
      </c>
      <c r="V53" s="111">
        <f t="array" ref="V53">IFERROR(
MEDIAN((IF(DATOS_[[Sexo]:[Sexo]]=$B53,IF(DATOS_[[AGRUP. VALOR. PTO.]:[AGRUP. VALOR. PTO.]]=$B51,IF(DATOS_[[Check Periodo Ref.]:[Check Periodo Ref.]]="Dentro",DATOS_[Conc.Sal.17]))))),
0)</f>
        <v>0</v>
      </c>
      <c r="W53" s="111">
        <f t="array" ref="W53">IFERROR(
MEDIAN((IF(DATOS_[[Sexo]:[Sexo]]=$B53,IF(DATOS_[[AGRUP. VALOR. PTO.]:[AGRUP. VALOR. PTO.]]=$B51,IF(DATOS_[[Check Periodo Ref.]:[Check Periodo Ref.]]="Dentro",DATOS_[Conc.Sal.18]))))),
0)</f>
        <v>0</v>
      </c>
      <c r="X53" s="111">
        <f t="array" ref="X53">IFERROR(
MEDIAN((IF(DATOS_[[Sexo]:[Sexo]]=$B53,IF(DATOS_[[AGRUP. VALOR. PTO.]:[AGRUP. VALOR. PTO.]]=$B51,IF(DATOS_[[Check Periodo Ref.]:[Check Periodo Ref.]]="Dentro",DATOS_[Conc.Sal.19]))))),
0)</f>
        <v>0</v>
      </c>
      <c r="Y53" s="111">
        <f t="array" ref="Y53">IFERROR(
MEDIAN((IF(DATOS_[[Sexo]:[Sexo]]=$B53,IF(DATOS_[[AGRUP. VALOR. PTO.]:[AGRUP. VALOR. PTO.]]=$B51,IF(DATOS_[[Check Periodo Ref.]:[Check Periodo Ref.]]="Dentro",DATOS_[Conc.Sal.20]))))),
0)</f>
        <v>0</v>
      </c>
      <c r="Z53" s="111">
        <f t="array" ref="Z53">IFERROR(
MEDIAN((IF(DATOS_[[Sexo]:[Sexo]]=$B53,IF(DATOS_[[AGRUP. VALOR. PTO.]:[AGRUP. VALOR. PTO.]]=$B51,IF(DATOS_[[Check Periodo Ref.]:[Check Periodo Ref.]]="Dentro",DATOS_[Conc.Sal.21]))))),
0)</f>
        <v>0</v>
      </c>
      <c r="AA53" s="111">
        <f t="array" ref="AA53">IFERROR(
MEDIAN((IF(DATOS_[[Sexo]:[Sexo]]=$B53,IF(DATOS_[[AGRUP. VALOR. PTO.]:[AGRUP. VALOR. PTO.]]=$B51,IF(DATOS_[[Check Periodo Ref.]:[Check Periodo Ref.]]="Dentro",DATOS_[Conc.Sal.22]))))),
0)</f>
        <v>0</v>
      </c>
      <c r="AB53" s="111">
        <f t="array" ref="AB53">IFERROR(
MEDIAN((IF(DATOS_[[Sexo]:[Sexo]]=$B53,IF(DATOS_[[AGRUP. VALOR. PTO.]:[AGRUP. VALOR. PTO.]]=$B51,IF(DATOS_[[Check Periodo Ref.]:[Check Periodo Ref.]]="Dentro",DATOS_[Conc.Sal.23]))))),
0)</f>
        <v>0</v>
      </c>
      <c r="AC53" s="111">
        <f t="array" ref="AC53">IFERROR(
MEDIAN((IF(DATOS_[[Sexo]:[Sexo]]=$B53,IF(DATOS_[[AGRUP. VALOR. PTO.]:[AGRUP. VALOR. PTO.]]=$B51,IF(DATOS_[[Check Periodo Ref.]:[Check Periodo Ref.]]="Dentro",DATOS_[Conc.Sal.24]))))),
0)</f>
        <v>0</v>
      </c>
      <c r="AD53" s="111">
        <f t="array" ref="AD53">IFERROR(
MEDIAN((IF(DATOS_[[Sexo]:[Sexo]]=$B53,IF(DATOS_[[AGRUP. VALOR. PTO.]:[AGRUP. VALOR. PTO.]]=$B51,IF(DATOS_[[Check Periodo Ref.]:[Check Periodo Ref.]]="Dentro",DATOS_[Conc.Sal.25]))))),
0)</f>
        <v>0</v>
      </c>
      <c r="AE53" s="111">
        <f t="array" ref="AE53">IFERROR(
MEDIAN((IF(DATOS_[[Sexo]:[Sexo]]=$B53,IF(DATOS_[[AGRUP. VALOR. PTO.]:[AGRUP. VALOR. PTO.]]=$B51,IF(DATOS_[[Check Periodo Ref.]:[Check Periodo Ref.]]="Dentro",DATOS_[Conc.Sal.26]))))),
0)</f>
        <v>0</v>
      </c>
      <c r="AF53" s="111">
        <f t="array" ref="AF53">IFERROR(
MEDIAN((IF(DATOS_[[Sexo]:[Sexo]]=$B53,IF(DATOS_[[AGRUP. VALOR. PTO.]:[AGRUP. VALOR. PTO.]]=$B51,IF(DATOS_[[Check Periodo Ref.]:[Check Periodo Ref.]]="Dentro",DATOS_[Conc.Sal.27]))))),
0)</f>
        <v>0</v>
      </c>
      <c r="AG53" s="111">
        <f t="array" ref="AG53">IFERROR(
MEDIAN((IF(DATOS_[[Sexo]:[Sexo]]=$B53,IF(DATOS_[[AGRUP. VALOR. PTO.]:[AGRUP. VALOR. PTO.]]=$B51,IF(DATOS_[[Check Periodo Ref.]:[Check Periodo Ref.]]="Dentro",DATOS_[Conc.Sal.28]))))),
0)</f>
        <v>0</v>
      </c>
      <c r="AH53" s="111">
        <f t="array" ref="AH53">IFERROR(
MEDIAN((IF(DATOS_[[Sexo]:[Sexo]]=$B53,IF(DATOS_[[AGRUP. VALOR. PTO.]:[AGRUP. VALOR. PTO.]]=$B51,IF(DATOS_[[Check Periodo Ref.]:[Check Periodo Ref.]]="Dentro",DATOS_[Conc.Sal.29]))))),
0)</f>
        <v>0</v>
      </c>
      <c r="AI53" s="111">
        <f t="array" ref="AI53">IFERROR(
MEDIAN((IF(DATOS_[[Sexo]:[Sexo]]=$B53,IF(DATOS_[[AGRUP. VALOR. PTO.]:[AGRUP. VALOR. PTO.]]=$B51,IF(DATOS_[[Check Periodo Ref.]:[Check Periodo Ref.]]="Dentro",DATOS_[Conc.Sal.30]))))),
0)</f>
        <v>0</v>
      </c>
      <c r="AJ53" s="112">
        <f t="array" ref="AJ53">IFERROR(
MEDIAN(IF(DATOS_[Sexo]=$B53,IF(DATOS_[AGRUP. VALOR. PTO.]=$B51,IF(DATOS_[Check Periodo Ref.]="Dentro",DATOS_[Tot COMPL.SAL Ef],FALSE)))),
0)</f>
        <v>0</v>
      </c>
      <c r="AK53" s="113">
        <f t="array" ref="AK53">IFERROR(
MEDIAN(IF(DATOS_[Sexo]=$B53,IF(DATOS_[AGRUP. VALOR. PTO.]=$B51,IF(DATOS_[Check Periodo Ref.]="Dentro",DATOS_[TOTAL SALARIO Ef],FALSE)))),
0)</f>
        <v>0</v>
      </c>
      <c r="AL53" s="114">
        <f t="array" ref="AL53">IFERROR(
MEDIAN((IF(DATOS_[[Sexo]:[Sexo]]=$B53,IF(DATOS_[[AGRUP. VALOR. PTO.]:[AGRUP. VALOR. PTO.]]=$B51,IF(DATOS_[[Check Periodo Ref.]:[Check Periodo Ref.]]="Dentro",DATOS_[C.Extra.01]))))),
0)</f>
        <v>0</v>
      </c>
      <c r="AM53" s="114">
        <f t="array" ref="AM53">IFERROR(
MEDIAN((IF(DATOS_[[Sexo]:[Sexo]]=$B53,IF(DATOS_[[AGRUP. VALOR. PTO.]:[AGRUP. VALOR. PTO.]]=$B51,IF(DATOS_[[Check Periodo Ref.]:[Check Periodo Ref.]]="Dentro",DATOS_[C.Extra.02]))))),
0)</f>
        <v>0</v>
      </c>
      <c r="AN53" s="114">
        <f t="array" ref="AN53">IFERROR(
MEDIAN((IF(DATOS_[[Sexo]:[Sexo]]=$B53,IF(DATOS_[[AGRUP. VALOR. PTO.]:[AGRUP. VALOR. PTO.]]=$B51,IF(DATOS_[[Check Periodo Ref.]:[Check Periodo Ref.]]="Dentro",DATOS_[C.Extra.03]))))),
0)</f>
        <v>0</v>
      </c>
      <c r="AO53" s="114">
        <f t="array" ref="AO53">IFERROR(
MEDIAN((IF(DATOS_[[Sexo]:[Sexo]]=$B53,IF(DATOS_[[AGRUP. VALOR. PTO.]:[AGRUP. VALOR. PTO.]]=$B51,IF(DATOS_[[Check Periodo Ref.]:[Check Periodo Ref.]]="Dentro",DATOS_[C.Extra.04]))))),
0)</f>
        <v>0</v>
      </c>
      <c r="AP53" s="114">
        <f t="array" ref="AP53">IFERROR(
MEDIAN((IF(DATOS_[[Sexo]:[Sexo]]=$B53,IF(DATOS_[[AGRUP. VALOR. PTO.]:[AGRUP. VALOR. PTO.]]=$B51,IF(DATOS_[[Check Periodo Ref.]:[Check Periodo Ref.]]="Dentro",DATOS_[C.Extra.05]))))),
0)</f>
        <v>0</v>
      </c>
      <c r="AQ53" s="115">
        <f t="array" ref="AQ53">IFERROR(
MEDIAN(IF(DATOS_[Sexo]=$B53,IF(DATOS_[AGRUP. VALOR. PTO.]=$B51,IF(DATOS_[Check Periodo Ref.]="Dentro",DATOS_[Tot Extrasalarial Ef],FALSE)))),
0)</f>
        <v>0</v>
      </c>
      <c r="AR53" s="116">
        <f t="array" ref="AR53">IFERROR(
MEDIAN(IF(DATOS_[Sexo]=$B53,IF(DATOS_[AGRUP. VALOR. PTO.]=$B51,IF(DATOS_[Check Periodo Ref.]="Dentro",DATOS_[TOTAL Retrib Ef],FALSE)))),
0)</f>
        <v>0</v>
      </c>
    </row>
    <row r="54" spans="1:44" ht="17.25" hidden="1" thickBot="1" x14ac:dyDescent="0.35">
      <c r="A54" s="42" t="str">
        <f t="shared" ref="A54" si="55">+A55</f>
        <v>[ocultar]</v>
      </c>
      <c r="B54" s="40" t="s">
        <v>273</v>
      </c>
      <c r="C54" s="109"/>
      <c r="D54" s="41"/>
      <c r="E54" s="119" t="str">
        <f t="shared" ref="E54:AR54" si="56">IFERROR((E55-E56)/E55,"")</f>
        <v/>
      </c>
      <c r="F54" s="123" t="str">
        <f t="shared" si="56"/>
        <v/>
      </c>
      <c r="G54" s="123" t="str">
        <f t="shared" si="56"/>
        <v/>
      </c>
      <c r="H54" s="123" t="str">
        <f t="shared" si="56"/>
        <v/>
      </c>
      <c r="I54" s="123" t="str">
        <f t="shared" si="56"/>
        <v/>
      </c>
      <c r="J54" s="123" t="str">
        <f t="shared" si="56"/>
        <v/>
      </c>
      <c r="K54" s="123" t="str">
        <f t="shared" si="56"/>
        <v/>
      </c>
      <c r="L54" s="123" t="str">
        <f t="shared" si="56"/>
        <v/>
      </c>
      <c r="M54" s="123" t="str">
        <f t="shared" si="56"/>
        <v/>
      </c>
      <c r="N54" s="123" t="str">
        <f t="shared" si="56"/>
        <v/>
      </c>
      <c r="O54" s="123" t="str">
        <f t="shared" si="56"/>
        <v/>
      </c>
      <c r="P54" s="123" t="str">
        <f t="shared" si="56"/>
        <v/>
      </c>
      <c r="Q54" s="123" t="str">
        <f t="shared" si="56"/>
        <v/>
      </c>
      <c r="R54" s="123" t="str">
        <f t="shared" si="56"/>
        <v/>
      </c>
      <c r="S54" s="123" t="str">
        <f t="shared" si="56"/>
        <v/>
      </c>
      <c r="T54" s="123" t="str">
        <f t="shared" si="56"/>
        <v/>
      </c>
      <c r="U54" s="123" t="str">
        <f t="shared" si="56"/>
        <v/>
      </c>
      <c r="V54" s="122" t="str">
        <f t="shared" si="56"/>
        <v/>
      </c>
      <c r="W54" s="122" t="str">
        <f t="shared" si="56"/>
        <v/>
      </c>
      <c r="X54" s="122" t="str">
        <f t="shared" si="56"/>
        <v/>
      </c>
      <c r="Y54" s="122" t="str">
        <f t="shared" si="56"/>
        <v/>
      </c>
      <c r="Z54" s="122" t="str">
        <f t="shared" si="56"/>
        <v/>
      </c>
      <c r="AA54" s="122" t="str">
        <f t="shared" si="56"/>
        <v/>
      </c>
      <c r="AB54" s="122" t="str">
        <f t="shared" si="56"/>
        <v/>
      </c>
      <c r="AC54" s="122" t="str">
        <f t="shared" si="56"/>
        <v/>
      </c>
      <c r="AD54" s="122" t="str">
        <f t="shared" si="56"/>
        <v/>
      </c>
      <c r="AE54" s="122" t="str">
        <f t="shared" si="56"/>
        <v/>
      </c>
      <c r="AF54" s="122" t="str">
        <f t="shared" si="56"/>
        <v/>
      </c>
      <c r="AG54" s="122" t="str">
        <f t="shared" si="56"/>
        <v/>
      </c>
      <c r="AH54" s="122" t="str">
        <f t="shared" si="56"/>
        <v/>
      </c>
      <c r="AI54" s="122" t="str">
        <f t="shared" si="56"/>
        <v/>
      </c>
      <c r="AJ54" s="124" t="str">
        <f t="shared" si="56"/>
        <v/>
      </c>
      <c r="AK54" s="128" t="str">
        <f t="shared" si="56"/>
        <v/>
      </c>
      <c r="AL54" s="125" t="str">
        <f t="shared" si="56"/>
        <v/>
      </c>
      <c r="AM54" s="125" t="str">
        <f t="shared" si="56"/>
        <v/>
      </c>
      <c r="AN54" s="125" t="str">
        <f t="shared" si="56"/>
        <v/>
      </c>
      <c r="AO54" s="125" t="str">
        <f t="shared" si="56"/>
        <v/>
      </c>
      <c r="AP54" s="125" t="str">
        <f t="shared" si="56"/>
        <v/>
      </c>
      <c r="AQ54" s="126" t="str">
        <f t="shared" si="56"/>
        <v/>
      </c>
      <c r="AR54" s="127" t="str">
        <f t="shared" si="56"/>
        <v/>
      </c>
    </row>
    <row r="55" spans="1:44" hidden="1" x14ac:dyDescent="0.3">
      <c r="A55" s="42" t="str">
        <f t="shared" ref="A55" si="57">+IF(C55+C56=0,"[ocultar]","")</f>
        <v>[ocultar]</v>
      </c>
      <c r="B55" s="34" t="s">
        <v>162</v>
      </c>
      <c r="C55" s="33">
        <f t="array" ref="C55">SUM(IF($B55=DATOS_[Sexo],
IF($B54=DATOS_[AGRUP. VALOR. PTO.],
IF("Dentro"=DATOS_[Check Periodo Ref.],
1/(COUNTIFS(DATOS_[Sexo],$B55,DATOS_[AGRUP. VALOR. PTO.],$B54,DATOS_[Check Periodo Ref.],"Dentro",DATOS_[id],DATOS_[id]))))))</f>
        <v>0</v>
      </c>
      <c r="D55" s="35">
        <f>COUNTIFS(DATOS_[AGRUP. VALOR. PTO.],$B54,DATOS_[Sexo],$B55,DATOS_[Check Periodo Ref.],"Dentro")</f>
        <v>0</v>
      </c>
      <c r="E55" s="110">
        <f t="array" ref="E55">IFERROR(
MEDIAN(IF(DATOS_[Sexo]=$B55,IF(DATOS_[AGRUP. VALOR. PTO.]=$B54,IF(DATOS_[Check Periodo Ref.]="Dentro",DATOS_[SALARIO BASE Ef],FALSE)))),
0)</f>
        <v>0</v>
      </c>
      <c r="F55" s="111">
        <f t="array" ref="F55">IFERROR(
MEDIAN((IF(DATOS_[[Sexo]:[Sexo]]=$B55,IF(DATOS_[[AGRUP. VALOR. PTO.]:[AGRUP. VALOR. PTO.]]=$B54,IF(DATOS_[[Check Periodo Ref.]:[Check Periodo Ref.]]="Dentro",DATOS_[Conc.Sal.01]))))),
0)</f>
        <v>0</v>
      </c>
      <c r="G55" s="111">
        <f t="array" ref="G55">IFERROR(
MEDIAN((IF(DATOS_[[Sexo]:[Sexo]]=$B55,IF(DATOS_[[AGRUP. VALOR. PTO.]:[AGRUP. VALOR. PTO.]]=$B54,IF(DATOS_[[Check Periodo Ref.]:[Check Periodo Ref.]]="Dentro",DATOS_[Conc.Sal.02]))))),
0)</f>
        <v>0</v>
      </c>
      <c r="H55" s="111">
        <f t="array" ref="H55">IFERROR(
MEDIAN((IF(DATOS_[[Sexo]:[Sexo]]=$B55,IF(DATOS_[[AGRUP. VALOR. PTO.]:[AGRUP. VALOR. PTO.]]=$B54,IF(DATOS_[[Check Periodo Ref.]:[Check Periodo Ref.]]="Dentro",DATOS_[Conc.Sal.03]))))),
0)</f>
        <v>0</v>
      </c>
      <c r="I55" s="111">
        <f t="array" ref="I55">IFERROR(
MEDIAN((IF(DATOS_[[Sexo]:[Sexo]]=$B55,IF(DATOS_[[AGRUP. VALOR. PTO.]:[AGRUP. VALOR. PTO.]]=$B54,IF(DATOS_[[Check Periodo Ref.]:[Check Periodo Ref.]]="Dentro",DATOS_[Conc.Sal.04]))))),
0)</f>
        <v>0</v>
      </c>
      <c r="J55" s="111">
        <f t="array" ref="J55">IFERROR(
MEDIAN((IF(DATOS_[[Sexo]:[Sexo]]=$B55,IF(DATOS_[[AGRUP. VALOR. PTO.]:[AGRUP. VALOR. PTO.]]=$B54,IF(DATOS_[[Check Periodo Ref.]:[Check Periodo Ref.]]="Dentro",DATOS_[Conc.Sal.05]))))),
0)</f>
        <v>0</v>
      </c>
      <c r="K55" s="111">
        <f t="array" ref="K55">IFERROR(
MEDIAN((IF(DATOS_[[Sexo]:[Sexo]]=$B55,IF(DATOS_[[AGRUP. VALOR. PTO.]:[AGRUP. VALOR. PTO.]]=$B54,IF(DATOS_[[Check Periodo Ref.]:[Check Periodo Ref.]]="Dentro",DATOS_[Conc.Sal.06]))))),
0)</f>
        <v>0</v>
      </c>
      <c r="L55" s="111">
        <f t="array" ref="L55">IFERROR(
MEDIAN((IF(DATOS_[[Sexo]:[Sexo]]=$B55,IF(DATOS_[[AGRUP. VALOR. PTO.]:[AGRUP. VALOR. PTO.]]=$B54,IF(DATOS_[[Check Periodo Ref.]:[Check Periodo Ref.]]="Dentro",DATOS_[Conc.Sal.07]))))),
0)</f>
        <v>0</v>
      </c>
      <c r="M55" s="111">
        <f t="array" ref="M55">IFERROR(
MEDIAN((IF(DATOS_[[Sexo]:[Sexo]]=$B55,IF(DATOS_[[AGRUP. VALOR. PTO.]:[AGRUP. VALOR. PTO.]]=$B54,IF(DATOS_[[Check Periodo Ref.]:[Check Periodo Ref.]]="Dentro",DATOS_[Conc.Sal.08]))))),
0)</f>
        <v>0</v>
      </c>
      <c r="N55" s="111">
        <f t="array" ref="N55">IFERROR(
MEDIAN((IF(DATOS_[[Sexo]:[Sexo]]=$B55,IF(DATOS_[[AGRUP. VALOR. PTO.]:[AGRUP. VALOR. PTO.]]=$B54,IF(DATOS_[[Check Periodo Ref.]:[Check Periodo Ref.]]="Dentro",DATOS_[Conc.Sal.09]))))),
0)</f>
        <v>0</v>
      </c>
      <c r="O55" s="111">
        <f t="array" ref="O55">IFERROR(
MEDIAN((IF(DATOS_[[Sexo]:[Sexo]]=$B55,IF(DATOS_[[AGRUP. VALOR. PTO.]:[AGRUP. VALOR. PTO.]]=$B54,IF(DATOS_[[Check Periodo Ref.]:[Check Periodo Ref.]]="Dentro",DATOS_[Conc.Sal.10]))))),
0)</f>
        <v>0</v>
      </c>
      <c r="P55" s="111">
        <f t="array" ref="P55">IFERROR(
MEDIAN((IF(DATOS_[[Sexo]:[Sexo]]=$B55,IF(DATOS_[[AGRUP. VALOR. PTO.]:[AGRUP. VALOR. PTO.]]=$B54,IF(DATOS_[[Check Periodo Ref.]:[Check Periodo Ref.]]="Dentro",DATOS_[Conc.Sal.11]))))),
0)</f>
        <v>0</v>
      </c>
      <c r="Q55" s="111">
        <f t="array" ref="Q55">IFERROR(
MEDIAN((IF(DATOS_[[Sexo]:[Sexo]]=$B55,IF(DATOS_[[AGRUP. VALOR. PTO.]:[AGRUP. VALOR. PTO.]]=$B54,IF(DATOS_[[Check Periodo Ref.]:[Check Periodo Ref.]]="Dentro",DATOS_[Conc.Sal.12]))))),
0)</f>
        <v>0</v>
      </c>
      <c r="R55" s="111">
        <f t="array" ref="R55">IFERROR(
MEDIAN((IF(DATOS_[[Sexo]:[Sexo]]=$B55,IF(DATOS_[[AGRUP. VALOR. PTO.]:[AGRUP. VALOR. PTO.]]=$B54,IF(DATOS_[[Check Periodo Ref.]:[Check Periodo Ref.]]="Dentro",DATOS_[Conc.Sal.13]))))),
0)</f>
        <v>0</v>
      </c>
      <c r="S55" s="111">
        <f t="array" ref="S55">IFERROR(
MEDIAN((IF(DATOS_[[Sexo]:[Sexo]]=$B55,IF(DATOS_[[AGRUP. VALOR. PTO.]:[AGRUP. VALOR. PTO.]]=$B54,IF(DATOS_[[Check Periodo Ref.]:[Check Periodo Ref.]]="Dentro",DATOS_[Conc.Sal.14]))))),
0)</f>
        <v>0</v>
      </c>
      <c r="T55" s="111">
        <f t="array" ref="T55">IFERROR(
MEDIAN((IF(DATOS_[[Sexo]:[Sexo]]=$B55,IF(DATOS_[[AGRUP. VALOR. PTO.]:[AGRUP. VALOR. PTO.]]=$B54,IF(DATOS_[[Check Periodo Ref.]:[Check Periodo Ref.]]="Dentro",DATOS_[Conc.Sal.15]))))),
0)</f>
        <v>0</v>
      </c>
      <c r="U55" s="111">
        <f t="array" ref="U55">IFERROR(
MEDIAN((IF(DATOS_[[Sexo]:[Sexo]]=$B55,IF(DATOS_[[AGRUP. VALOR. PTO.]:[AGRUP. VALOR. PTO.]]=$B54,IF(DATOS_[[Check Periodo Ref.]:[Check Periodo Ref.]]="Dentro",DATOS_[Conc.Sal.16]))))),
0)</f>
        <v>0</v>
      </c>
      <c r="V55" s="111">
        <f t="array" ref="V55">IFERROR(
MEDIAN((IF(DATOS_[[Sexo]:[Sexo]]=$B55,IF(DATOS_[[AGRUP. VALOR. PTO.]:[AGRUP. VALOR. PTO.]]=$B54,IF(DATOS_[[Check Periodo Ref.]:[Check Periodo Ref.]]="Dentro",DATOS_[Conc.Sal.17]))))),
0)</f>
        <v>0</v>
      </c>
      <c r="W55" s="111">
        <f t="array" ref="W55">IFERROR(
MEDIAN((IF(DATOS_[[Sexo]:[Sexo]]=$B55,IF(DATOS_[[AGRUP. VALOR. PTO.]:[AGRUP. VALOR. PTO.]]=$B54,IF(DATOS_[[Check Periodo Ref.]:[Check Periodo Ref.]]="Dentro",DATOS_[Conc.Sal.18]))))),
0)</f>
        <v>0</v>
      </c>
      <c r="X55" s="111">
        <f t="array" ref="X55">IFERROR(
MEDIAN((IF(DATOS_[[Sexo]:[Sexo]]=$B55,IF(DATOS_[[AGRUP. VALOR. PTO.]:[AGRUP. VALOR. PTO.]]=$B54,IF(DATOS_[[Check Periodo Ref.]:[Check Periodo Ref.]]="Dentro",DATOS_[Conc.Sal.19]))))),
0)</f>
        <v>0</v>
      </c>
      <c r="Y55" s="111">
        <f t="array" ref="Y55">IFERROR(
MEDIAN((IF(DATOS_[[Sexo]:[Sexo]]=$B55,IF(DATOS_[[AGRUP. VALOR. PTO.]:[AGRUP. VALOR. PTO.]]=$B54,IF(DATOS_[[Check Periodo Ref.]:[Check Periodo Ref.]]="Dentro",DATOS_[Conc.Sal.20]))))),
0)</f>
        <v>0</v>
      </c>
      <c r="Z55" s="111">
        <f t="array" ref="Z55">IFERROR(
MEDIAN((IF(DATOS_[[Sexo]:[Sexo]]=$B55,IF(DATOS_[[AGRUP. VALOR. PTO.]:[AGRUP. VALOR. PTO.]]=$B54,IF(DATOS_[[Check Periodo Ref.]:[Check Periodo Ref.]]="Dentro",DATOS_[Conc.Sal.21]))))),
0)</f>
        <v>0</v>
      </c>
      <c r="AA55" s="111">
        <f t="array" ref="AA55">IFERROR(
MEDIAN((IF(DATOS_[[Sexo]:[Sexo]]=$B55,IF(DATOS_[[AGRUP. VALOR. PTO.]:[AGRUP. VALOR. PTO.]]=$B54,IF(DATOS_[[Check Periodo Ref.]:[Check Periodo Ref.]]="Dentro",DATOS_[Conc.Sal.22]))))),
0)</f>
        <v>0</v>
      </c>
      <c r="AB55" s="111">
        <f t="array" ref="AB55">IFERROR(
MEDIAN((IF(DATOS_[[Sexo]:[Sexo]]=$B55,IF(DATOS_[[AGRUP. VALOR. PTO.]:[AGRUP. VALOR. PTO.]]=$B54,IF(DATOS_[[Check Periodo Ref.]:[Check Periodo Ref.]]="Dentro",DATOS_[Conc.Sal.23]))))),
0)</f>
        <v>0</v>
      </c>
      <c r="AC55" s="111">
        <f t="array" ref="AC55">IFERROR(
MEDIAN((IF(DATOS_[[Sexo]:[Sexo]]=$B55,IF(DATOS_[[AGRUP. VALOR. PTO.]:[AGRUP. VALOR. PTO.]]=$B54,IF(DATOS_[[Check Periodo Ref.]:[Check Periodo Ref.]]="Dentro",DATOS_[Conc.Sal.24]))))),
0)</f>
        <v>0</v>
      </c>
      <c r="AD55" s="111">
        <f t="array" ref="AD55">IFERROR(
MEDIAN((IF(DATOS_[[Sexo]:[Sexo]]=$B55,IF(DATOS_[[AGRUP. VALOR. PTO.]:[AGRUP. VALOR. PTO.]]=$B54,IF(DATOS_[[Check Periodo Ref.]:[Check Periodo Ref.]]="Dentro",DATOS_[Conc.Sal.25]))))),
0)</f>
        <v>0</v>
      </c>
      <c r="AE55" s="111">
        <f t="array" ref="AE55">IFERROR(
MEDIAN((IF(DATOS_[[Sexo]:[Sexo]]=$B55,IF(DATOS_[[AGRUP. VALOR. PTO.]:[AGRUP. VALOR. PTO.]]=$B54,IF(DATOS_[[Check Periodo Ref.]:[Check Periodo Ref.]]="Dentro",DATOS_[Conc.Sal.26]))))),
0)</f>
        <v>0</v>
      </c>
      <c r="AF55" s="111">
        <f t="array" ref="AF55">IFERROR(
MEDIAN((IF(DATOS_[[Sexo]:[Sexo]]=$B55,IF(DATOS_[[AGRUP. VALOR. PTO.]:[AGRUP. VALOR. PTO.]]=$B54,IF(DATOS_[[Check Periodo Ref.]:[Check Periodo Ref.]]="Dentro",DATOS_[Conc.Sal.27]))))),
0)</f>
        <v>0</v>
      </c>
      <c r="AG55" s="111">
        <f t="array" ref="AG55">IFERROR(
MEDIAN((IF(DATOS_[[Sexo]:[Sexo]]=$B55,IF(DATOS_[[AGRUP. VALOR. PTO.]:[AGRUP. VALOR. PTO.]]=$B54,IF(DATOS_[[Check Periodo Ref.]:[Check Periodo Ref.]]="Dentro",DATOS_[Conc.Sal.28]))))),
0)</f>
        <v>0</v>
      </c>
      <c r="AH55" s="111">
        <f t="array" ref="AH55">IFERROR(
MEDIAN((IF(DATOS_[[Sexo]:[Sexo]]=$B55,IF(DATOS_[[AGRUP. VALOR. PTO.]:[AGRUP. VALOR. PTO.]]=$B54,IF(DATOS_[[Check Periodo Ref.]:[Check Periodo Ref.]]="Dentro",DATOS_[Conc.Sal.29]))))),
0)</f>
        <v>0</v>
      </c>
      <c r="AI55" s="111">
        <f t="array" ref="AI55">IFERROR(
MEDIAN((IF(DATOS_[[Sexo]:[Sexo]]=$B55,IF(DATOS_[[AGRUP. VALOR. PTO.]:[AGRUP. VALOR. PTO.]]=$B54,IF(DATOS_[[Check Periodo Ref.]:[Check Periodo Ref.]]="Dentro",DATOS_[Conc.Sal.30]))))),
0)</f>
        <v>0</v>
      </c>
      <c r="AJ55" s="112">
        <f t="array" ref="AJ55">IFERROR(
MEDIAN(IF(DATOS_[Sexo]=$B55,IF(DATOS_[AGRUP. VALOR. PTO.]=$B54,IF(DATOS_[Check Periodo Ref.]="Dentro",DATOS_[Tot COMPL.SAL Ef],FALSE)))),
0)</f>
        <v>0</v>
      </c>
      <c r="AK55" s="113">
        <f t="array" ref="AK55">IFERROR(
MEDIAN(IF(DATOS_[Sexo]=$B55,IF(DATOS_[AGRUP. VALOR. PTO.]=$B54,IF(DATOS_[Check Periodo Ref.]="Dentro",DATOS_[TOTAL SALARIO Ef],FALSE)))),
0)</f>
        <v>0</v>
      </c>
      <c r="AL55" s="114">
        <f t="array" ref="AL55">IFERROR(
MEDIAN((IF(DATOS_[[Sexo]:[Sexo]]=$B55,IF(DATOS_[[AGRUP. VALOR. PTO.]:[AGRUP. VALOR. PTO.]]=$B54,IF(DATOS_[[Check Periodo Ref.]:[Check Periodo Ref.]]="Dentro",DATOS_[C.Extra.01]))))),
0)</f>
        <v>0</v>
      </c>
      <c r="AM55" s="114">
        <f t="array" ref="AM55">IFERROR(
MEDIAN((IF(DATOS_[[Sexo]:[Sexo]]=$B55,IF(DATOS_[[AGRUP. VALOR. PTO.]:[AGRUP. VALOR. PTO.]]=$B54,IF(DATOS_[[Check Periodo Ref.]:[Check Periodo Ref.]]="Dentro",DATOS_[C.Extra.02]))))),
0)</f>
        <v>0</v>
      </c>
      <c r="AN55" s="114">
        <f t="array" ref="AN55">IFERROR(
MEDIAN((IF(DATOS_[[Sexo]:[Sexo]]=$B55,IF(DATOS_[[AGRUP. VALOR. PTO.]:[AGRUP. VALOR. PTO.]]=$B54,IF(DATOS_[[Check Periodo Ref.]:[Check Periodo Ref.]]="Dentro",DATOS_[C.Extra.03]))))),
0)</f>
        <v>0</v>
      </c>
      <c r="AO55" s="114">
        <f t="array" ref="AO55">IFERROR(
MEDIAN((IF(DATOS_[[Sexo]:[Sexo]]=$B55,IF(DATOS_[[AGRUP. VALOR. PTO.]:[AGRUP. VALOR. PTO.]]=$B54,IF(DATOS_[[Check Periodo Ref.]:[Check Periodo Ref.]]="Dentro",DATOS_[C.Extra.04]))))),
0)</f>
        <v>0</v>
      </c>
      <c r="AP55" s="114">
        <f t="array" ref="AP55">IFERROR(
MEDIAN((IF(DATOS_[[Sexo]:[Sexo]]=$B55,IF(DATOS_[[AGRUP. VALOR. PTO.]:[AGRUP. VALOR. PTO.]]=$B54,IF(DATOS_[[Check Periodo Ref.]:[Check Periodo Ref.]]="Dentro",DATOS_[C.Extra.05]))))),
0)</f>
        <v>0</v>
      </c>
      <c r="AQ55" s="115">
        <f t="array" ref="AQ55">IFERROR(
MEDIAN(IF(DATOS_[Sexo]=$B55,IF(DATOS_[AGRUP. VALOR. PTO.]=$B54,IF(DATOS_[Check Periodo Ref.]="Dentro",DATOS_[Tot Extrasalarial Ef],FALSE)))),
0)</f>
        <v>0</v>
      </c>
      <c r="AR55" s="116">
        <f t="array" ref="AR55">IFERROR(
MEDIAN(IF(DATOS_[Sexo]=$B55,IF(DATOS_[AGRUP. VALOR. PTO.]=$B54,IF(DATOS_[Check Periodo Ref.]="Dentro",DATOS_[TOTAL Retrib Ef],FALSE)))),
0)</f>
        <v>0</v>
      </c>
    </row>
    <row r="56" spans="1:44" hidden="1" x14ac:dyDescent="0.3">
      <c r="A56" s="42" t="str">
        <f t="shared" ref="A56" si="58">+A55</f>
        <v>[ocultar]</v>
      </c>
      <c r="B56" s="34" t="s">
        <v>163</v>
      </c>
      <c r="C56" s="33">
        <f t="array" ref="C56">SUM(IF($B56=DATOS_[Sexo],
IF($B54=DATOS_[AGRUP. VALOR. PTO.],
IF("Dentro"=DATOS_[Check Periodo Ref.],
1/(COUNTIFS(DATOS_[Sexo],$B56,DATOS_[AGRUP. VALOR. PTO.],$B54,DATOS_[Check Periodo Ref.],"Dentro",DATOS_[id],DATOS_[id]))))))</f>
        <v>0</v>
      </c>
      <c r="D56" s="35">
        <f>COUNTIFS(DATOS_[AGRUP. VALOR. PTO.],$B54,DATOS_[Sexo],$B56,DATOS_[Check Periodo Ref.],"Dentro")</f>
        <v>0</v>
      </c>
      <c r="E56" s="110">
        <f t="array" ref="E56">IFERROR(
MEDIAN(IF(DATOS_[Sexo]=$B56,IF(DATOS_[AGRUP. VALOR. PTO.]=$B54,IF(DATOS_[Check Periodo Ref.]="Dentro",DATOS_[SALARIO BASE Ef],FALSE)))),
0)</f>
        <v>0</v>
      </c>
      <c r="F56" s="111">
        <f t="array" ref="F56">IFERROR(
MEDIAN((IF(DATOS_[[Sexo]:[Sexo]]=$B56,IF(DATOS_[[AGRUP. VALOR. PTO.]:[AGRUP. VALOR. PTO.]]=$B54,IF(DATOS_[[Check Periodo Ref.]:[Check Periodo Ref.]]="Dentro",DATOS_[Conc.Sal.01]))))),
0)</f>
        <v>0</v>
      </c>
      <c r="G56" s="111">
        <f t="array" ref="G56">IFERROR(
MEDIAN((IF(DATOS_[[Sexo]:[Sexo]]=$B56,IF(DATOS_[[AGRUP. VALOR. PTO.]:[AGRUP. VALOR. PTO.]]=$B54,IF(DATOS_[[Check Periodo Ref.]:[Check Periodo Ref.]]="Dentro",DATOS_[Conc.Sal.02]))))),
0)</f>
        <v>0</v>
      </c>
      <c r="H56" s="111">
        <f t="array" ref="H56">IFERROR(
MEDIAN((IF(DATOS_[[Sexo]:[Sexo]]=$B56,IF(DATOS_[[AGRUP. VALOR. PTO.]:[AGRUP. VALOR. PTO.]]=$B54,IF(DATOS_[[Check Periodo Ref.]:[Check Periodo Ref.]]="Dentro",DATOS_[Conc.Sal.03]))))),
0)</f>
        <v>0</v>
      </c>
      <c r="I56" s="111">
        <f t="array" ref="I56">IFERROR(
MEDIAN((IF(DATOS_[[Sexo]:[Sexo]]=$B56,IF(DATOS_[[AGRUP. VALOR. PTO.]:[AGRUP. VALOR. PTO.]]=$B54,IF(DATOS_[[Check Periodo Ref.]:[Check Periodo Ref.]]="Dentro",DATOS_[Conc.Sal.04]))))),
0)</f>
        <v>0</v>
      </c>
      <c r="J56" s="111">
        <f t="array" ref="J56">IFERROR(
MEDIAN((IF(DATOS_[[Sexo]:[Sexo]]=$B56,IF(DATOS_[[AGRUP. VALOR. PTO.]:[AGRUP. VALOR. PTO.]]=$B54,IF(DATOS_[[Check Periodo Ref.]:[Check Periodo Ref.]]="Dentro",DATOS_[Conc.Sal.05]))))),
0)</f>
        <v>0</v>
      </c>
      <c r="K56" s="111">
        <f t="array" ref="K56">IFERROR(
MEDIAN((IF(DATOS_[[Sexo]:[Sexo]]=$B56,IF(DATOS_[[AGRUP. VALOR. PTO.]:[AGRUP. VALOR. PTO.]]=$B54,IF(DATOS_[[Check Periodo Ref.]:[Check Periodo Ref.]]="Dentro",DATOS_[Conc.Sal.06]))))),
0)</f>
        <v>0</v>
      </c>
      <c r="L56" s="111">
        <f t="array" ref="L56">IFERROR(
MEDIAN((IF(DATOS_[[Sexo]:[Sexo]]=$B56,IF(DATOS_[[AGRUP. VALOR. PTO.]:[AGRUP. VALOR. PTO.]]=$B54,IF(DATOS_[[Check Periodo Ref.]:[Check Periodo Ref.]]="Dentro",DATOS_[Conc.Sal.07]))))),
0)</f>
        <v>0</v>
      </c>
      <c r="M56" s="111">
        <f t="array" ref="M56">IFERROR(
MEDIAN((IF(DATOS_[[Sexo]:[Sexo]]=$B56,IF(DATOS_[[AGRUP. VALOR. PTO.]:[AGRUP. VALOR. PTO.]]=$B54,IF(DATOS_[[Check Periodo Ref.]:[Check Periodo Ref.]]="Dentro",DATOS_[Conc.Sal.08]))))),
0)</f>
        <v>0</v>
      </c>
      <c r="N56" s="111">
        <f t="array" ref="N56">IFERROR(
MEDIAN((IF(DATOS_[[Sexo]:[Sexo]]=$B56,IF(DATOS_[[AGRUP. VALOR. PTO.]:[AGRUP. VALOR. PTO.]]=$B54,IF(DATOS_[[Check Periodo Ref.]:[Check Periodo Ref.]]="Dentro",DATOS_[Conc.Sal.09]))))),
0)</f>
        <v>0</v>
      </c>
      <c r="O56" s="111">
        <f t="array" ref="O56">IFERROR(
MEDIAN((IF(DATOS_[[Sexo]:[Sexo]]=$B56,IF(DATOS_[[AGRUP. VALOR. PTO.]:[AGRUP. VALOR. PTO.]]=$B54,IF(DATOS_[[Check Periodo Ref.]:[Check Periodo Ref.]]="Dentro",DATOS_[Conc.Sal.10]))))),
0)</f>
        <v>0</v>
      </c>
      <c r="P56" s="111">
        <f t="array" ref="P56">IFERROR(
MEDIAN((IF(DATOS_[[Sexo]:[Sexo]]=$B56,IF(DATOS_[[AGRUP. VALOR. PTO.]:[AGRUP. VALOR. PTO.]]=$B54,IF(DATOS_[[Check Periodo Ref.]:[Check Periodo Ref.]]="Dentro",DATOS_[Conc.Sal.11]))))),
0)</f>
        <v>0</v>
      </c>
      <c r="Q56" s="111">
        <f t="array" ref="Q56">IFERROR(
MEDIAN((IF(DATOS_[[Sexo]:[Sexo]]=$B56,IF(DATOS_[[AGRUP. VALOR. PTO.]:[AGRUP. VALOR. PTO.]]=$B54,IF(DATOS_[[Check Periodo Ref.]:[Check Periodo Ref.]]="Dentro",DATOS_[Conc.Sal.12]))))),
0)</f>
        <v>0</v>
      </c>
      <c r="R56" s="111">
        <f t="array" ref="R56">IFERROR(
MEDIAN((IF(DATOS_[[Sexo]:[Sexo]]=$B56,IF(DATOS_[[AGRUP. VALOR. PTO.]:[AGRUP. VALOR. PTO.]]=$B54,IF(DATOS_[[Check Periodo Ref.]:[Check Periodo Ref.]]="Dentro",DATOS_[Conc.Sal.13]))))),
0)</f>
        <v>0</v>
      </c>
      <c r="S56" s="111">
        <f t="array" ref="S56">IFERROR(
MEDIAN((IF(DATOS_[[Sexo]:[Sexo]]=$B56,IF(DATOS_[[AGRUP. VALOR. PTO.]:[AGRUP. VALOR. PTO.]]=$B54,IF(DATOS_[[Check Periodo Ref.]:[Check Periodo Ref.]]="Dentro",DATOS_[Conc.Sal.14]))))),
0)</f>
        <v>0</v>
      </c>
      <c r="T56" s="111">
        <f t="array" ref="T56">IFERROR(
MEDIAN((IF(DATOS_[[Sexo]:[Sexo]]=$B56,IF(DATOS_[[AGRUP. VALOR. PTO.]:[AGRUP. VALOR. PTO.]]=$B54,IF(DATOS_[[Check Periodo Ref.]:[Check Periodo Ref.]]="Dentro",DATOS_[Conc.Sal.15]))))),
0)</f>
        <v>0</v>
      </c>
      <c r="U56" s="111">
        <f t="array" ref="U56">IFERROR(
MEDIAN((IF(DATOS_[[Sexo]:[Sexo]]=$B56,IF(DATOS_[[AGRUP. VALOR. PTO.]:[AGRUP. VALOR. PTO.]]=$B54,IF(DATOS_[[Check Periodo Ref.]:[Check Periodo Ref.]]="Dentro",DATOS_[Conc.Sal.16]))))),
0)</f>
        <v>0</v>
      </c>
      <c r="V56" s="111">
        <f t="array" ref="V56">IFERROR(
MEDIAN((IF(DATOS_[[Sexo]:[Sexo]]=$B56,IF(DATOS_[[AGRUP. VALOR. PTO.]:[AGRUP. VALOR. PTO.]]=$B54,IF(DATOS_[[Check Periodo Ref.]:[Check Periodo Ref.]]="Dentro",DATOS_[Conc.Sal.17]))))),
0)</f>
        <v>0</v>
      </c>
      <c r="W56" s="111">
        <f t="array" ref="W56">IFERROR(
MEDIAN((IF(DATOS_[[Sexo]:[Sexo]]=$B56,IF(DATOS_[[AGRUP. VALOR. PTO.]:[AGRUP. VALOR. PTO.]]=$B54,IF(DATOS_[[Check Periodo Ref.]:[Check Periodo Ref.]]="Dentro",DATOS_[Conc.Sal.18]))))),
0)</f>
        <v>0</v>
      </c>
      <c r="X56" s="111">
        <f t="array" ref="X56">IFERROR(
MEDIAN((IF(DATOS_[[Sexo]:[Sexo]]=$B56,IF(DATOS_[[AGRUP. VALOR. PTO.]:[AGRUP. VALOR. PTO.]]=$B54,IF(DATOS_[[Check Periodo Ref.]:[Check Periodo Ref.]]="Dentro",DATOS_[Conc.Sal.19]))))),
0)</f>
        <v>0</v>
      </c>
      <c r="Y56" s="111">
        <f t="array" ref="Y56">IFERROR(
MEDIAN((IF(DATOS_[[Sexo]:[Sexo]]=$B56,IF(DATOS_[[AGRUP. VALOR. PTO.]:[AGRUP. VALOR. PTO.]]=$B54,IF(DATOS_[[Check Periodo Ref.]:[Check Periodo Ref.]]="Dentro",DATOS_[Conc.Sal.20]))))),
0)</f>
        <v>0</v>
      </c>
      <c r="Z56" s="111">
        <f t="array" ref="Z56">IFERROR(
MEDIAN((IF(DATOS_[[Sexo]:[Sexo]]=$B56,IF(DATOS_[[AGRUP. VALOR. PTO.]:[AGRUP. VALOR. PTO.]]=$B54,IF(DATOS_[[Check Periodo Ref.]:[Check Periodo Ref.]]="Dentro",DATOS_[Conc.Sal.21]))))),
0)</f>
        <v>0</v>
      </c>
      <c r="AA56" s="111">
        <f t="array" ref="AA56">IFERROR(
MEDIAN((IF(DATOS_[[Sexo]:[Sexo]]=$B56,IF(DATOS_[[AGRUP. VALOR. PTO.]:[AGRUP. VALOR. PTO.]]=$B54,IF(DATOS_[[Check Periodo Ref.]:[Check Periodo Ref.]]="Dentro",DATOS_[Conc.Sal.22]))))),
0)</f>
        <v>0</v>
      </c>
      <c r="AB56" s="111">
        <f t="array" ref="AB56">IFERROR(
MEDIAN((IF(DATOS_[[Sexo]:[Sexo]]=$B56,IF(DATOS_[[AGRUP. VALOR. PTO.]:[AGRUP. VALOR. PTO.]]=$B54,IF(DATOS_[[Check Periodo Ref.]:[Check Periodo Ref.]]="Dentro",DATOS_[Conc.Sal.23]))))),
0)</f>
        <v>0</v>
      </c>
      <c r="AC56" s="111">
        <f t="array" ref="AC56">IFERROR(
MEDIAN((IF(DATOS_[[Sexo]:[Sexo]]=$B56,IF(DATOS_[[AGRUP. VALOR. PTO.]:[AGRUP. VALOR. PTO.]]=$B54,IF(DATOS_[[Check Periodo Ref.]:[Check Periodo Ref.]]="Dentro",DATOS_[Conc.Sal.24]))))),
0)</f>
        <v>0</v>
      </c>
      <c r="AD56" s="111">
        <f t="array" ref="AD56">IFERROR(
MEDIAN((IF(DATOS_[[Sexo]:[Sexo]]=$B56,IF(DATOS_[[AGRUP. VALOR. PTO.]:[AGRUP. VALOR. PTO.]]=$B54,IF(DATOS_[[Check Periodo Ref.]:[Check Periodo Ref.]]="Dentro",DATOS_[Conc.Sal.25]))))),
0)</f>
        <v>0</v>
      </c>
      <c r="AE56" s="111">
        <f t="array" ref="AE56">IFERROR(
MEDIAN((IF(DATOS_[[Sexo]:[Sexo]]=$B56,IF(DATOS_[[AGRUP. VALOR. PTO.]:[AGRUP. VALOR. PTO.]]=$B54,IF(DATOS_[[Check Periodo Ref.]:[Check Periodo Ref.]]="Dentro",DATOS_[Conc.Sal.26]))))),
0)</f>
        <v>0</v>
      </c>
      <c r="AF56" s="111">
        <f t="array" ref="AF56">IFERROR(
MEDIAN((IF(DATOS_[[Sexo]:[Sexo]]=$B56,IF(DATOS_[[AGRUP. VALOR. PTO.]:[AGRUP. VALOR. PTO.]]=$B54,IF(DATOS_[[Check Periodo Ref.]:[Check Periodo Ref.]]="Dentro",DATOS_[Conc.Sal.27]))))),
0)</f>
        <v>0</v>
      </c>
      <c r="AG56" s="111">
        <f t="array" ref="AG56">IFERROR(
MEDIAN((IF(DATOS_[[Sexo]:[Sexo]]=$B56,IF(DATOS_[[AGRUP. VALOR. PTO.]:[AGRUP. VALOR. PTO.]]=$B54,IF(DATOS_[[Check Periodo Ref.]:[Check Periodo Ref.]]="Dentro",DATOS_[Conc.Sal.28]))))),
0)</f>
        <v>0</v>
      </c>
      <c r="AH56" s="111">
        <f t="array" ref="AH56">IFERROR(
MEDIAN((IF(DATOS_[[Sexo]:[Sexo]]=$B56,IF(DATOS_[[AGRUP. VALOR. PTO.]:[AGRUP. VALOR. PTO.]]=$B54,IF(DATOS_[[Check Periodo Ref.]:[Check Periodo Ref.]]="Dentro",DATOS_[Conc.Sal.29]))))),
0)</f>
        <v>0</v>
      </c>
      <c r="AI56" s="111">
        <f t="array" ref="AI56">IFERROR(
MEDIAN((IF(DATOS_[[Sexo]:[Sexo]]=$B56,IF(DATOS_[[AGRUP. VALOR. PTO.]:[AGRUP. VALOR. PTO.]]=$B54,IF(DATOS_[[Check Periodo Ref.]:[Check Periodo Ref.]]="Dentro",DATOS_[Conc.Sal.30]))))),
0)</f>
        <v>0</v>
      </c>
      <c r="AJ56" s="112">
        <f t="array" ref="AJ56">IFERROR(
MEDIAN(IF(DATOS_[Sexo]=$B56,IF(DATOS_[AGRUP. VALOR. PTO.]=$B54,IF(DATOS_[Check Periodo Ref.]="Dentro",DATOS_[Tot COMPL.SAL Ef],FALSE)))),
0)</f>
        <v>0</v>
      </c>
      <c r="AK56" s="113">
        <f t="array" ref="AK56">IFERROR(
MEDIAN(IF(DATOS_[Sexo]=$B56,IF(DATOS_[AGRUP. VALOR. PTO.]=$B54,IF(DATOS_[Check Periodo Ref.]="Dentro",DATOS_[TOTAL SALARIO Ef],FALSE)))),
0)</f>
        <v>0</v>
      </c>
      <c r="AL56" s="114">
        <f t="array" ref="AL56">IFERROR(
MEDIAN((IF(DATOS_[[Sexo]:[Sexo]]=$B56,IF(DATOS_[[AGRUP. VALOR. PTO.]:[AGRUP. VALOR. PTO.]]=$B54,IF(DATOS_[[Check Periodo Ref.]:[Check Periodo Ref.]]="Dentro",DATOS_[C.Extra.01]))))),
0)</f>
        <v>0</v>
      </c>
      <c r="AM56" s="114">
        <f t="array" ref="AM56">IFERROR(
MEDIAN((IF(DATOS_[[Sexo]:[Sexo]]=$B56,IF(DATOS_[[AGRUP. VALOR. PTO.]:[AGRUP. VALOR. PTO.]]=$B54,IF(DATOS_[[Check Periodo Ref.]:[Check Periodo Ref.]]="Dentro",DATOS_[C.Extra.02]))))),
0)</f>
        <v>0</v>
      </c>
      <c r="AN56" s="114">
        <f t="array" ref="AN56">IFERROR(
MEDIAN((IF(DATOS_[[Sexo]:[Sexo]]=$B56,IF(DATOS_[[AGRUP. VALOR. PTO.]:[AGRUP. VALOR. PTO.]]=$B54,IF(DATOS_[[Check Periodo Ref.]:[Check Periodo Ref.]]="Dentro",DATOS_[C.Extra.03]))))),
0)</f>
        <v>0</v>
      </c>
      <c r="AO56" s="114">
        <f t="array" ref="AO56">IFERROR(
MEDIAN((IF(DATOS_[[Sexo]:[Sexo]]=$B56,IF(DATOS_[[AGRUP. VALOR. PTO.]:[AGRUP. VALOR. PTO.]]=$B54,IF(DATOS_[[Check Periodo Ref.]:[Check Periodo Ref.]]="Dentro",DATOS_[C.Extra.04]))))),
0)</f>
        <v>0</v>
      </c>
      <c r="AP56" s="114">
        <f t="array" ref="AP56">IFERROR(
MEDIAN((IF(DATOS_[[Sexo]:[Sexo]]=$B56,IF(DATOS_[[AGRUP. VALOR. PTO.]:[AGRUP. VALOR. PTO.]]=$B54,IF(DATOS_[[Check Periodo Ref.]:[Check Periodo Ref.]]="Dentro",DATOS_[C.Extra.05]))))),
0)</f>
        <v>0</v>
      </c>
      <c r="AQ56" s="115">
        <f t="array" ref="AQ56">IFERROR(
MEDIAN(IF(DATOS_[Sexo]=$B56,IF(DATOS_[AGRUP. VALOR. PTO.]=$B54,IF(DATOS_[Check Periodo Ref.]="Dentro",DATOS_[Tot Extrasalarial Ef],FALSE)))),
0)</f>
        <v>0</v>
      </c>
      <c r="AR56" s="116">
        <f t="array" ref="AR56">IFERROR(
MEDIAN(IF(DATOS_[Sexo]=$B56,IF(DATOS_[AGRUP. VALOR. PTO.]=$B54,IF(DATOS_[Check Periodo Ref.]="Dentro",DATOS_[TOTAL Retrib Ef],FALSE)))),
0)</f>
        <v>0</v>
      </c>
    </row>
    <row r="57" spans="1:44" ht="17.25" hidden="1" thickBot="1" x14ac:dyDescent="0.35">
      <c r="A57" s="42" t="str">
        <f t="shared" ref="A57" si="59">+A58</f>
        <v>[ocultar]</v>
      </c>
      <c r="B57" s="40" t="s">
        <v>274</v>
      </c>
      <c r="C57" s="109"/>
      <c r="D57" s="41"/>
      <c r="E57" s="119" t="str">
        <f t="shared" ref="E57:AR57" si="60">IFERROR((E58-E59)/E58,"")</f>
        <v/>
      </c>
      <c r="F57" s="123" t="str">
        <f t="shared" si="60"/>
        <v/>
      </c>
      <c r="G57" s="123" t="str">
        <f t="shared" si="60"/>
        <v/>
      </c>
      <c r="H57" s="123" t="str">
        <f t="shared" si="60"/>
        <v/>
      </c>
      <c r="I57" s="123" t="str">
        <f t="shared" si="60"/>
        <v/>
      </c>
      <c r="J57" s="123" t="str">
        <f t="shared" si="60"/>
        <v/>
      </c>
      <c r="K57" s="123" t="str">
        <f t="shared" si="60"/>
        <v/>
      </c>
      <c r="L57" s="123" t="str">
        <f t="shared" si="60"/>
        <v/>
      </c>
      <c r="M57" s="123" t="str">
        <f t="shared" si="60"/>
        <v/>
      </c>
      <c r="N57" s="123" t="str">
        <f t="shared" si="60"/>
        <v/>
      </c>
      <c r="O57" s="123" t="str">
        <f t="shared" si="60"/>
        <v/>
      </c>
      <c r="P57" s="123" t="str">
        <f t="shared" si="60"/>
        <v/>
      </c>
      <c r="Q57" s="123" t="str">
        <f t="shared" si="60"/>
        <v/>
      </c>
      <c r="R57" s="123" t="str">
        <f t="shared" si="60"/>
        <v/>
      </c>
      <c r="S57" s="123" t="str">
        <f t="shared" si="60"/>
        <v/>
      </c>
      <c r="T57" s="123" t="str">
        <f t="shared" si="60"/>
        <v/>
      </c>
      <c r="U57" s="123" t="str">
        <f t="shared" si="60"/>
        <v/>
      </c>
      <c r="V57" s="122" t="str">
        <f t="shared" si="60"/>
        <v/>
      </c>
      <c r="W57" s="122" t="str">
        <f t="shared" si="60"/>
        <v/>
      </c>
      <c r="X57" s="122" t="str">
        <f t="shared" si="60"/>
        <v/>
      </c>
      <c r="Y57" s="122" t="str">
        <f t="shared" si="60"/>
        <v/>
      </c>
      <c r="Z57" s="122" t="str">
        <f t="shared" si="60"/>
        <v/>
      </c>
      <c r="AA57" s="122" t="str">
        <f t="shared" si="60"/>
        <v/>
      </c>
      <c r="AB57" s="122" t="str">
        <f t="shared" si="60"/>
        <v/>
      </c>
      <c r="AC57" s="122" t="str">
        <f t="shared" si="60"/>
        <v/>
      </c>
      <c r="AD57" s="122" t="str">
        <f t="shared" si="60"/>
        <v/>
      </c>
      <c r="AE57" s="122" t="str">
        <f t="shared" si="60"/>
        <v/>
      </c>
      <c r="AF57" s="122" t="str">
        <f t="shared" si="60"/>
        <v/>
      </c>
      <c r="AG57" s="122" t="str">
        <f t="shared" si="60"/>
        <v/>
      </c>
      <c r="AH57" s="122" t="str">
        <f t="shared" si="60"/>
        <v/>
      </c>
      <c r="AI57" s="122" t="str">
        <f t="shared" si="60"/>
        <v/>
      </c>
      <c r="AJ57" s="124" t="str">
        <f t="shared" si="60"/>
        <v/>
      </c>
      <c r="AK57" s="128" t="str">
        <f t="shared" si="60"/>
        <v/>
      </c>
      <c r="AL57" s="125" t="str">
        <f t="shared" si="60"/>
        <v/>
      </c>
      <c r="AM57" s="125" t="str">
        <f t="shared" si="60"/>
        <v/>
      </c>
      <c r="AN57" s="125" t="str">
        <f t="shared" si="60"/>
        <v/>
      </c>
      <c r="AO57" s="125" t="str">
        <f t="shared" si="60"/>
        <v/>
      </c>
      <c r="AP57" s="125" t="str">
        <f t="shared" si="60"/>
        <v/>
      </c>
      <c r="AQ57" s="126" t="str">
        <f t="shared" si="60"/>
        <v/>
      </c>
      <c r="AR57" s="127" t="str">
        <f t="shared" si="60"/>
        <v/>
      </c>
    </row>
    <row r="58" spans="1:44" hidden="1" x14ac:dyDescent="0.3">
      <c r="A58" s="42" t="str">
        <f t="shared" ref="A58" si="61">+IF(C58+C59=0,"[ocultar]","")</f>
        <v>[ocultar]</v>
      </c>
      <c r="B58" s="34" t="s">
        <v>162</v>
      </c>
      <c r="C58" s="33">
        <f t="array" ref="C58">SUM(IF($B58=DATOS_[Sexo],
IF($B57=DATOS_[AGRUP. VALOR. PTO.],
IF("Dentro"=DATOS_[Check Periodo Ref.],
1/(COUNTIFS(DATOS_[Sexo],$B58,DATOS_[AGRUP. VALOR. PTO.],$B57,DATOS_[Check Periodo Ref.],"Dentro",DATOS_[id],DATOS_[id]))))))</f>
        <v>0</v>
      </c>
      <c r="D58" s="35">
        <f>COUNTIFS(DATOS_[AGRUP. VALOR. PTO.],$B57,DATOS_[Sexo],$B58,DATOS_[Check Periodo Ref.],"Dentro")</f>
        <v>0</v>
      </c>
      <c r="E58" s="110">
        <f t="array" ref="E58">IFERROR(
MEDIAN(IF(DATOS_[Sexo]=$B58,IF(DATOS_[AGRUP. VALOR. PTO.]=$B57,IF(DATOS_[Check Periodo Ref.]="Dentro",DATOS_[SALARIO BASE Ef],FALSE)))),
0)</f>
        <v>0</v>
      </c>
      <c r="F58" s="111">
        <f t="array" ref="F58">IFERROR(
MEDIAN((IF(DATOS_[[Sexo]:[Sexo]]=$B58,IF(DATOS_[[AGRUP. VALOR. PTO.]:[AGRUP. VALOR. PTO.]]=$B57,IF(DATOS_[[Check Periodo Ref.]:[Check Periodo Ref.]]="Dentro",DATOS_[Conc.Sal.01]))))),
0)</f>
        <v>0</v>
      </c>
      <c r="G58" s="111">
        <f t="array" ref="G58">IFERROR(
MEDIAN((IF(DATOS_[[Sexo]:[Sexo]]=$B58,IF(DATOS_[[AGRUP. VALOR. PTO.]:[AGRUP. VALOR. PTO.]]=$B57,IF(DATOS_[[Check Periodo Ref.]:[Check Periodo Ref.]]="Dentro",DATOS_[Conc.Sal.02]))))),
0)</f>
        <v>0</v>
      </c>
      <c r="H58" s="111">
        <f t="array" ref="H58">IFERROR(
MEDIAN((IF(DATOS_[[Sexo]:[Sexo]]=$B58,IF(DATOS_[[AGRUP. VALOR. PTO.]:[AGRUP. VALOR. PTO.]]=$B57,IF(DATOS_[[Check Periodo Ref.]:[Check Periodo Ref.]]="Dentro",DATOS_[Conc.Sal.03]))))),
0)</f>
        <v>0</v>
      </c>
      <c r="I58" s="111">
        <f t="array" ref="I58">IFERROR(
MEDIAN((IF(DATOS_[[Sexo]:[Sexo]]=$B58,IF(DATOS_[[AGRUP. VALOR. PTO.]:[AGRUP. VALOR. PTO.]]=$B57,IF(DATOS_[[Check Periodo Ref.]:[Check Periodo Ref.]]="Dentro",DATOS_[Conc.Sal.04]))))),
0)</f>
        <v>0</v>
      </c>
      <c r="J58" s="111">
        <f t="array" ref="J58">IFERROR(
MEDIAN((IF(DATOS_[[Sexo]:[Sexo]]=$B58,IF(DATOS_[[AGRUP. VALOR. PTO.]:[AGRUP. VALOR. PTO.]]=$B57,IF(DATOS_[[Check Periodo Ref.]:[Check Periodo Ref.]]="Dentro",DATOS_[Conc.Sal.05]))))),
0)</f>
        <v>0</v>
      </c>
      <c r="K58" s="111">
        <f t="array" ref="K58">IFERROR(
MEDIAN((IF(DATOS_[[Sexo]:[Sexo]]=$B58,IF(DATOS_[[AGRUP. VALOR. PTO.]:[AGRUP. VALOR. PTO.]]=$B57,IF(DATOS_[[Check Periodo Ref.]:[Check Periodo Ref.]]="Dentro",DATOS_[Conc.Sal.06]))))),
0)</f>
        <v>0</v>
      </c>
      <c r="L58" s="111">
        <f t="array" ref="L58">IFERROR(
MEDIAN((IF(DATOS_[[Sexo]:[Sexo]]=$B58,IF(DATOS_[[AGRUP. VALOR. PTO.]:[AGRUP. VALOR. PTO.]]=$B57,IF(DATOS_[[Check Periodo Ref.]:[Check Periodo Ref.]]="Dentro",DATOS_[Conc.Sal.07]))))),
0)</f>
        <v>0</v>
      </c>
      <c r="M58" s="111">
        <f t="array" ref="M58">IFERROR(
MEDIAN((IF(DATOS_[[Sexo]:[Sexo]]=$B58,IF(DATOS_[[AGRUP. VALOR. PTO.]:[AGRUP. VALOR. PTO.]]=$B57,IF(DATOS_[[Check Periodo Ref.]:[Check Periodo Ref.]]="Dentro",DATOS_[Conc.Sal.08]))))),
0)</f>
        <v>0</v>
      </c>
      <c r="N58" s="111">
        <f t="array" ref="N58">IFERROR(
MEDIAN((IF(DATOS_[[Sexo]:[Sexo]]=$B58,IF(DATOS_[[AGRUP. VALOR. PTO.]:[AGRUP. VALOR. PTO.]]=$B57,IF(DATOS_[[Check Periodo Ref.]:[Check Periodo Ref.]]="Dentro",DATOS_[Conc.Sal.09]))))),
0)</f>
        <v>0</v>
      </c>
      <c r="O58" s="111">
        <f t="array" ref="O58">IFERROR(
MEDIAN((IF(DATOS_[[Sexo]:[Sexo]]=$B58,IF(DATOS_[[AGRUP. VALOR. PTO.]:[AGRUP. VALOR. PTO.]]=$B57,IF(DATOS_[[Check Periodo Ref.]:[Check Periodo Ref.]]="Dentro",DATOS_[Conc.Sal.10]))))),
0)</f>
        <v>0</v>
      </c>
      <c r="P58" s="111">
        <f t="array" ref="P58">IFERROR(
MEDIAN((IF(DATOS_[[Sexo]:[Sexo]]=$B58,IF(DATOS_[[AGRUP. VALOR. PTO.]:[AGRUP. VALOR. PTO.]]=$B57,IF(DATOS_[[Check Periodo Ref.]:[Check Periodo Ref.]]="Dentro",DATOS_[Conc.Sal.11]))))),
0)</f>
        <v>0</v>
      </c>
      <c r="Q58" s="111">
        <f t="array" ref="Q58">IFERROR(
MEDIAN((IF(DATOS_[[Sexo]:[Sexo]]=$B58,IF(DATOS_[[AGRUP. VALOR. PTO.]:[AGRUP. VALOR. PTO.]]=$B57,IF(DATOS_[[Check Periodo Ref.]:[Check Periodo Ref.]]="Dentro",DATOS_[Conc.Sal.12]))))),
0)</f>
        <v>0</v>
      </c>
      <c r="R58" s="111">
        <f t="array" ref="R58">IFERROR(
MEDIAN((IF(DATOS_[[Sexo]:[Sexo]]=$B58,IF(DATOS_[[AGRUP. VALOR. PTO.]:[AGRUP. VALOR. PTO.]]=$B57,IF(DATOS_[[Check Periodo Ref.]:[Check Periodo Ref.]]="Dentro",DATOS_[Conc.Sal.13]))))),
0)</f>
        <v>0</v>
      </c>
      <c r="S58" s="111">
        <f t="array" ref="S58">IFERROR(
MEDIAN((IF(DATOS_[[Sexo]:[Sexo]]=$B58,IF(DATOS_[[AGRUP. VALOR. PTO.]:[AGRUP. VALOR. PTO.]]=$B57,IF(DATOS_[[Check Periodo Ref.]:[Check Periodo Ref.]]="Dentro",DATOS_[Conc.Sal.14]))))),
0)</f>
        <v>0</v>
      </c>
      <c r="T58" s="111">
        <f t="array" ref="T58">IFERROR(
MEDIAN((IF(DATOS_[[Sexo]:[Sexo]]=$B58,IF(DATOS_[[AGRUP. VALOR. PTO.]:[AGRUP. VALOR. PTO.]]=$B57,IF(DATOS_[[Check Periodo Ref.]:[Check Periodo Ref.]]="Dentro",DATOS_[Conc.Sal.15]))))),
0)</f>
        <v>0</v>
      </c>
      <c r="U58" s="111">
        <f t="array" ref="U58">IFERROR(
MEDIAN((IF(DATOS_[[Sexo]:[Sexo]]=$B58,IF(DATOS_[[AGRUP. VALOR. PTO.]:[AGRUP. VALOR. PTO.]]=$B57,IF(DATOS_[[Check Periodo Ref.]:[Check Periodo Ref.]]="Dentro",DATOS_[Conc.Sal.16]))))),
0)</f>
        <v>0</v>
      </c>
      <c r="V58" s="111">
        <f t="array" ref="V58">IFERROR(
MEDIAN((IF(DATOS_[[Sexo]:[Sexo]]=$B58,IF(DATOS_[[AGRUP. VALOR. PTO.]:[AGRUP. VALOR. PTO.]]=$B57,IF(DATOS_[[Check Periodo Ref.]:[Check Periodo Ref.]]="Dentro",DATOS_[Conc.Sal.17]))))),
0)</f>
        <v>0</v>
      </c>
      <c r="W58" s="111">
        <f t="array" ref="W58">IFERROR(
MEDIAN((IF(DATOS_[[Sexo]:[Sexo]]=$B58,IF(DATOS_[[AGRUP. VALOR. PTO.]:[AGRUP. VALOR. PTO.]]=$B57,IF(DATOS_[[Check Periodo Ref.]:[Check Periodo Ref.]]="Dentro",DATOS_[Conc.Sal.18]))))),
0)</f>
        <v>0</v>
      </c>
      <c r="X58" s="111">
        <f t="array" ref="X58">IFERROR(
MEDIAN((IF(DATOS_[[Sexo]:[Sexo]]=$B58,IF(DATOS_[[AGRUP. VALOR. PTO.]:[AGRUP. VALOR. PTO.]]=$B57,IF(DATOS_[[Check Periodo Ref.]:[Check Periodo Ref.]]="Dentro",DATOS_[Conc.Sal.19]))))),
0)</f>
        <v>0</v>
      </c>
      <c r="Y58" s="111">
        <f t="array" ref="Y58">IFERROR(
MEDIAN((IF(DATOS_[[Sexo]:[Sexo]]=$B58,IF(DATOS_[[AGRUP. VALOR. PTO.]:[AGRUP. VALOR. PTO.]]=$B57,IF(DATOS_[[Check Periodo Ref.]:[Check Periodo Ref.]]="Dentro",DATOS_[Conc.Sal.20]))))),
0)</f>
        <v>0</v>
      </c>
      <c r="Z58" s="111">
        <f t="array" ref="Z58">IFERROR(
MEDIAN((IF(DATOS_[[Sexo]:[Sexo]]=$B58,IF(DATOS_[[AGRUP. VALOR. PTO.]:[AGRUP. VALOR. PTO.]]=$B57,IF(DATOS_[[Check Periodo Ref.]:[Check Periodo Ref.]]="Dentro",DATOS_[Conc.Sal.21]))))),
0)</f>
        <v>0</v>
      </c>
      <c r="AA58" s="111">
        <f t="array" ref="AA58">IFERROR(
MEDIAN((IF(DATOS_[[Sexo]:[Sexo]]=$B58,IF(DATOS_[[AGRUP. VALOR. PTO.]:[AGRUP. VALOR. PTO.]]=$B57,IF(DATOS_[[Check Periodo Ref.]:[Check Periodo Ref.]]="Dentro",DATOS_[Conc.Sal.22]))))),
0)</f>
        <v>0</v>
      </c>
      <c r="AB58" s="111">
        <f t="array" ref="AB58">IFERROR(
MEDIAN((IF(DATOS_[[Sexo]:[Sexo]]=$B58,IF(DATOS_[[AGRUP. VALOR. PTO.]:[AGRUP. VALOR. PTO.]]=$B57,IF(DATOS_[[Check Periodo Ref.]:[Check Periodo Ref.]]="Dentro",DATOS_[Conc.Sal.23]))))),
0)</f>
        <v>0</v>
      </c>
      <c r="AC58" s="111">
        <f t="array" ref="AC58">IFERROR(
MEDIAN((IF(DATOS_[[Sexo]:[Sexo]]=$B58,IF(DATOS_[[AGRUP. VALOR. PTO.]:[AGRUP. VALOR. PTO.]]=$B57,IF(DATOS_[[Check Periodo Ref.]:[Check Periodo Ref.]]="Dentro",DATOS_[Conc.Sal.24]))))),
0)</f>
        <v>0</v>
      </c>
      <c r="AD58" s="111">
        <f t="array" ref="AD58">IFERROR(
MEDIAN((IF(DATOS_[[Sexo]:[Sexo]]=$B58,IF(DATOS_[[AGRUP. VALOR. PTO.]:[AGRUP. VALOR. PTO.]]=$B57,IF(DATOS_[[Check Periodo Ref.]:[Check Periodo Ref.]]="Dentro",DATOS_[Conc.Sal.25]))))),
0)</f>
        <v>0</v>
      </c>
      <c r="AE58" s="111">
        <f t="array" ref="AE58">IFERROR(
MEDIAN((IF(DATOS_[[Sexo]:[Sexo]]=$B58,IF(DATOS_[[AGRUP. VALOR. PTO.]:[AGRUP. VALOR. PTO.]]=$B57,IF(DATOS_[[Check Periodo Ref.]:[Check Periodo Ref.]]="Dentro",DATOS_[Conc.Sal.26]))))),
0)</f>
        <v>0</v>
      </c>
      <c r="AF58" s="111">
        <f t="array" ref="AF58">IFERROR(
MEDIAN((IF(DATOS_[[Sexo]:[Sexo]]=$B58,IF(DATOS_[[AGRUP. VALOR. PTO.]:[AGRUP. VALOR. PTO.]]=$B57,IF(DATOS_[[Check Periodo Ref.]:[Check Periodo Ref.]]="Dentro",DATOS_[Conc.Sal.27]))))),
0)</f>
        <v>0</v>
      </c>
      <c r="AG58" s="111">
        <f t="array" ref="AG58">IFERROR(
MEDIAN((IF(DATOS_[[Sexo]:[Sexo]]=$B58,IF(DATOS_[[AGRUP. VALOR. PTO.]:[AGRUP. VALOR. PTO.]]=$B57,IF(DATOS_[[Check Periodo Ref.]:[Check Periodo Ref.]]="Dentro",DATOS_[Conc.Sal.28]))))),
0)</f>
        <v>0</v>
      </c>
      <c r="AH58" s="111">
        <f t="array" ref="AH58">IFERROR(
MEDIAN((IF(DATOS_[[Sexo]:[Sexo]]=$B58,IF(DATOS_[[AGRUP. VALOR. PTO.]:[AGRUP. VALOR. PTO.]]=$B57,IF(DATOS_[[Check Periodo Ref.]:[Check Periodo Ref.]]="Dentro",DATOS_[Conc.Sal.29]))))),
0)</f>
        <v>0</v>
      </c>
      <c r="AI58" s="111">
        <f t="array" ref="AI58">IFERROR(
MEDIAN((IF(DATOS_[[Sexo]:[Sexo]]=$B58,IF(DATOS_[[AGRUP. VALOR. PTO.]:[AGRUP. VALOR. PTO.]]=$B57,IF(DATOS_[[Check Periodo Ref.]:[Check Periodo Ref.]]="Dentro",DATOS_[Conc.Sal.30]))))),
0)</f>
        <v>0</v>
      </c>
      <c r="AJ58" s="112">
        <f t="array" ref="AJ58">IFERROR(
MEDIAN(IF(DATOS_[Sexo]=$B58,IF(DATOS_[AGRUP. VALOR. PTO.]=$B57,IF(DATOS_[Check Periodo Ref.]="Dentro",DATOS_[Tot COMPL.SAL Ef],FALSE)))),
0)</f>
        <v>0</v>
      </c>
      <c r="AK58" s="113">
        <f t="array" ref="AK58">IFERROR(
MEDIAN(IF(DATOS_[Sexo]=$B58,IF(DATOS_[AGRUP. VALOR. PTO.]=$B57,IF(DATOS_[Check Periodo Ref.]="Dentro",DATOS_[TOTAL SALARIO Ef],FALSE)))),
0)</f>
        <v>0</v>
      </c>
      <c r="AL58" s="114">
        <f t="array" ref="AL58">IFERROR(
MEDIAN((IF(DATOS_[[Sexo]:[Sexo]]=$B58,IF(DATOS_[[AGRUP. VALOR. PTO.]:[AGRUP. VALOR. PTO.]]=$B57,IF(DATOS_[[Check Periodo Ref.]:[Check Periodo Ref.]]="Dentro",DATOS_[C.Extra.01]))))),
0)</f>
        <v>0</v>
      </c>
      <c r="AM58" s="114">
        <f t="array" ref="AM58">IFERROR(
MEDIAN((IF(DATOS_[[Sexo]:[Sexo]]=$B58,IF(DATOS_[[AGRUP. VALOR. PTO.]:[AGRUP. VALOR. PTO.]]=$B57,IF(DATOS_[[Check Periodo Ref.]:[Check Periodo Ref.]]="Dentro",DATOS_[C.Extra.02]))))),
0)</f>
        <v>0</v>
      </c>
      <c r="AN58" s="114">
        <f t="array" ref="AN58">IFERROR(
MEDIAN((IF(DATOS_[[Sexo]:[Sexo]]=$B58,IF(DATOS_[[AGRUP. VALOR. PTO.]:[AGRUP. VALOR. PTO.]]=$B57,IF(DATOS_[[Check Periodo Ref.]:[Check Periodo Ref.]]="Dentro",DATOS_[C.Extra.03]))))),
0)</f>
        <v>0</v>
      </c>
      <c r="AO58" s="114">
        <f t="array" ref="AO58">IFERROR(
MEDIAN((IF(DATOS_[[Sexo]:[Sexo]]=$B58,IF(DATOS_[[AGRUP. VALOR. PTO.]:[AGRUP. VALOR. PTO.]]=$B57,IF(DATOS_[[Check Periodo Ref.]:[Check Periodo Ref.]]="Dentro",DATOS_[C.Extra.04]))))),
0)</f>
        <v>0</v>
      </c>
      <c r="AP58" s="114">
        <f t="array" ref="AP58">IFERROR(
MEDIAN((IF(DATOS_[[Sexo]:[Sexo]]=$B58,IF(DATOS_[[AGRUP. VALOR. PTO.]:[AGRUP. VALOR. PTO.]]=$B57,IF(DATOS_[[Check Periodo Ref.]:[Check Periodo Ref.]]="Dentro",DATOS_[C.Extra.05]))))),
0)</f>
        <v>0</v>
      </c>
      <c r="AQ58" s="115">
        <f t="array" ref="AQ58">IFERROR(
MEDIAN(IF(DATOS_[Sexo]=$B58,IF(DATOS_[AGRUP. VALOR. PTO.]=$B57,IF(DATOS_[Check Periodo Ref.]="Dentro",DATOS_[Tot Extrasalarial Ef],FALSE)))),
0)</f>
        <v>0</v>
      </c>
      <c r="AR58" s="116">
        <f t="array" ref="AR58">IFERROR(
MEDIAN(IF(DATOS_[Sexo]=$B58,IF(DATOS_[AGRUP. VALOR. PTO.]=$B57,IF(DATOS_[Check Periodo Ref.]="Dentro",DATOS_[TOTAL Retrib Ef],FALSE)))),
0)</f>
        <v>0</v>
      </c>
    </row>
    <row r="59" spans="1:44" hidden="1" x14ac:dyDescent="0.3">
      <c r="A59" s="42" t="str">
        <f t="shared" ref="A59" si="62">+A58</f>
        <v>[ocultar]</v>
      </c>
      <c r="B59" s="34" t="s">
        <v>163</v>
      </c>
      <c r="C59" s="33">
        <f t="array" ref="C59">SUM(IF($B59=DATOS_[Sexo],
IF($B57=DATOS_[AGRUP. VALOR. PTO.],
IF("Dentro"=DATOS_[Check Periodo Ref.],
1/(COUNTIFS(DATOS_[Sexo],$B59,DATOS_[AGRUP. VALOR. PTO.],$B57,DATOS_[Check Periodo Ref.],"Dentro",DATOS_[id],DATOS_[id]))))))</f>
        <v>0</v>
      </c>
      <c r="D59" s="35">
        <f>COUNTIFS(DATOS_[AGRUP. VALOR. PTO.],$B57,DATOS_[Sexo],$B59,DATOS_[Check Periodo Ref.],"Dentro")</f>
        <v>0</v>
      </c>
      <c r="E59" s="110">
        <f t="array" ref="E59">IFERROR(
MEDIAN(IF(DATOS_[Sexo]=$B59,IF(DATOS_[AGRUP. VALOR. PTO.]=$B57,IF(DATOS_[Check Periodo Ref.]="Dentro",DATOS_[SALARIO BASE Ef],FALSE)))),
0)</f>
        <v>0</v>
      </c>
      <c r="F59" s="111">
        <f t="array" ref="F59">IFERROR(
MEDIAN((IF(DATOS_[[Sexo]:[Sexo]]=$B59,IF(DATOS_[[AGRUP. VALOR. PTO.]:[AGRUP. VALOR. PTO.]]=$B57,IF(DATOS_[[Check Periodo Ref.]:[Check Periodo Ref.]]="Dentro",DATOS_[Conc.Sal.01]))))),
0)</f>
        <v>0</v>
      </c>
      <c r="G59" s="111">
        <f t="array" ref="G59">IFERROR(
MEDIAN((IF(DATOS_[[Sexo]:[Sexo]]=$B59,IF(DATOS_[[AGRUP. VALOR. PTO.]:[AGRUP. VALOR. PTO.]]=$B57,IF(DATOS_[[Check Periodo Ref.]:[Check Periodo Ref.]]="Dentro",DATOS_[Conc.Sal.02]))))),
0)</f>
        <v>0</v>
      </c>
      <c r="H59" s="111">
        <f t="array" ref="H59">IFERROR(
MEDIAN((IF(DATOS_[[Sexo]:[Sexo]]=$B59,IF(DATOS_[[AGRUP. VALOR. PTO.]:[AGRUP. VALOR. PTO.]]=$B57,IF(DATOS_[[Check Periodo Ref.]:[Check Periodo Ref.]]="Dentro",DATOS_[Conc.Sal.03]))))),
0)</f>
        <v>0</v>
      </c>
      <c r="I59" s="111">
        <f t="array" ref="I59">IFERROR(
MEDIAN((IF(DATOS_[[Sexo]:[Sexo]]=$B59,IF(DATOS_[[AGRUP. VALOR. PTO.]:[AGRUP. VALOR. PTO.]]=$B57,IF(DATOS_[[Check Periodo Ref.]:[Check Periodo Ref.]]="Dentro",DATOS_[Conc.Sal.04]))))),
0)</f>
        <v>0</v>
      </c>
      <c r="J59" s="111">
        <f t="array" ref="J59">IFERROR(
MEDIAN((IF(DATOS_[[Sexo]:[Sexo]]=$B59,IF(DATOS_[[AGRUP. VALOR. PTO.]:[AGRUP. VALOR. PTO.]]=$B57,IF(DATOS_[[Check Periodo Ref.]:[Check Periodo Ref.]]="Dentro",DATOS_[Conc.Sal.05]))))),
0)</f>
        <v>0</v>
      </c>
      <c r="K59" s="111">
        <f t="array" ref="K59">IFERROR(
MEDIAN((IF(DATOS_[[Sexo]:[Sexo]]=$B59,IF(DATOS_[[AGRUP. VALOR. PTO.]:[AGRUP. VALOR. PTO.]]=$B57,IF(DATOS_[[Check Periodo Ref.]:[Check Periodo Ref.]]="Dentro",DATOS_[Conc.Sal.06]))))),
0)</f>
        <v>0</v>
      </c>
      <c r="L59" s="111">
        <f t="array" ref="L59">IFERROR(
MEDIAN((IF(DATOS_[[Sexo]:[Sexo]]=$B59,IF(DATOS_[[AGRUP. VALOR. PTO.]:[AGRUP. VALOR. PTO.]]=$B57,IF(DATOS_[[Check Periodo Ref.]:[Check Periodo Ref.]]="Dentro",DATOS_[Conc.Sal.07]))))),
0)</f>
        <v>0</v>
      </c>
      <c r="M59" s="111">
        <f t="array" ref="M59">IFERROR(
MEDIAN((IF(DATOS_[[Sexo]:[Sexo]]=$B59,IF(DATOS_[[AGRUP. VALOR. PTO.]:[AGRUP. VALOR. PTO.]]=$B57,IF(DATOS_[[Check Periodo Ref.]:[Check Periodo Ref.]]="Dentro",DATOS_[Conc.Sal.08]))))),
0)</f>
        <v>0</v>
      </c>
      <c r="N59" s="111">
        <f t="array" ref="N59">IFERROR(
MEDIAN((IF(DATOS_[[Sexo]:[Sexo]]=$B59,IF(DATOS_[[AGRUP. VALOR. PTO.]:[AGRUP. VALOR. PTO.]]=$B57,IF(DATOS_[[Check Periodo Ref.]:[Check Periodo Ref.]]="Dentro",DATOS_[Conc.Sal.09]))))),
0)</f>
        <v>0</v>
      </c>
      <c r="O59" s="111">
        <f t="array" ref="O59">IFERROR(
MEDIAN((IF(DATOS_[[Sexo]:[Sexo]]=$B59,IF(DATOS_[[AGRUP. VALOR. PTO.]:[AGRUP. VALOR. PTO.]]=$B57,IF(DATOS_[[Check Periodo Ref.]:[Check Periodo Ref.]]="Dentro",DATOS_[Conc.Sal.10]))))),
0)</f>
        <v>0</v>
      </c>
      <c r="P59" s="111">
        <f t="array" ref="P59">IFERROR(
MEDIAN((IF(DATOS_[[Sexo]:[Sexo]]=$B59,IF(DATOS_[[AGRUP. VALOR. PTO.]:[AGRUP. VALOR. PTO.]]=$B57,IF(DATOS_[[Check Periodo Ref.]:[Check Periodo Ref.]]="Dentro",DATOS_[Conc.Sal.11]))))),
0)</f>
        <v>0</v>
      </c>
      <c r="Q59" s="111">
        <f t="array" ref="Q59">IFERROR(
MEDIAN((IF(DATOS_[[Sexo]:[Sexo]]=$B59,IF(DATOS_[[AGRUP. VALOR. PTO.]:[AGRUP. VALOR. PTO.]]=$B57,IF(DATOS_[[Check Periodo Ref.]:[Check Periodo Ref.]]="Dentro",DATOS_[Conc.Sal.12]))))),
0)</f>
        <v>0</v>
      </c>
      <c r="R59" s="111">
        <f t="array" ref="R59">IFERROR(
MEDIAN((IF(DATOS_[[Sexo]:[Sexo]]=$B59,IF(DATOS_[[AGRUP. VALOR. PTO.]:[AGRUP. VALOR. PTO.]]=$B57,IF(DATOS_[[Check Periodo Ref.]:[Check Periodo Ref.]]="Dentro",DATOS_[Conc.Sal.13]))))),
0)</f>
        <v>0</v>
      </c>
      <c r="S59" s="111">
        <f t="array" ref="S59">IFERROR(
MEDIAN((IF(DATOS_[[Sexo]:[Sexo]]=$B59,IF(DATOS_[[AGRUP. VALOR. PTO.]:[AGRUP. VALOR. PTO.]]=$B57,IF(DATOS_[[Check Periodo Ref.]:[Check Periodo Ref.]]="Dentro",DATOS_[Conc.Sal.14]))))),
0)</f>
        <v>0</v>
      </c>
      <c r="T59" s="111">
        <f t="array" ref="T59">IFERROR(
MEDIAN((IF(DATOS_[[Sexo]:[Sexo]]=$B59,IF(DATOS_[[AGRUP. VALOR. PTO.]:[AGRUP. VALOR. PTO.]]=$B57,IF(DATOS_[[Check Periodo Ref.]:[Check Periodo Ref.]]="Dentro",DATOS_[Conc.Sal.15]))))),
0)</f>
        <v>0</v>
      </c>
      <c r="U59" s="111">
        <f t="array" ref="U59">IFERROR(
MEDIAN((IF(DATOS_[[Sexo]:[Sexo]]=$B59,IF(DATOS_[[AGRUP. VALOR. PTO.]:[AGRUP. VALOR. PTO.]]=$B57,IF(DATOS_[[Check Periodo Ref.]:[Check Periodo Ref.]]="Dentro",DATOS_[Conc.Sal.16]))))),
0)</f>
        <v>0</v>
      </c>
      <c r="V59" s="111">
        <f t="array" ref="V59">IFERROR(
MEDIAN((IF(DATOS_[[Sexo]:[Sexo]]=$B59,IF(DATOS_[[AGRUP. VALOR. PTO.]:[AGRUP. VALOR. PTO.]]=$B57,IF(DATOS_[[Check Periodo Ref.]:[Check Periodo Ref.]]="Dentro",DATOS_[Conc.Sal.17]))))),
0)</f>
        <v>0</v>
      </c>
      <c r="W59" s="111">
        <f t="array" ref="W59">IFERROR(
MEDIAN((IF(DATOS_[[Sexo]:[Sexo]]=$B59,IF(DATOS_[[AGRUP. VALOR. PTO.]:[AGRUP. VALOR. PTO.]]=$B57,IF(DATOS_[[Check Periodo Ref.]:[Check Periodo Ref.]]="Dentro",DATOS_[Conc.Sal.18]))))),
0)</f>
        <v>0</v>
      </c>
      <c r="X59" s="111">
        <f t="array" ref="X59">IFERROR(
MEDIAN((IF(DATOS_[[Sexo]:[Sexo]]=$B59,IF(DATOS_[[AGRUP. VALOR. PTO.]:[AGRUP. VALOR. PTO.]]=$B57,IF(DATOS_[[Check Periodo Ref.]:[Check Periodo Ref.]]="Dentro",DATOS_[Conc.Sal.19]))))),
0)</f>
        <v>0</v>
      </c>
      <c r="Y59" s="111">
        <f t="array" ref="Y59">IFERROR(
MEDIAN((IF(DATOS_[[Sexo]:[Sexo]]=$B59,IF(DATOS_[[AGRUP. VALOR. PTO.]:[AGRUP. VALOR. PTO.]]=$B57,IF(DATOS_[[Check Periodo Ref.]:[Check Periodo Ref.]]="Dentro",DATOS_[Conc.Sal.20]))))),
0)</f>
        <v>0</v>
      </c>
      <c r="Z59" s="111">
        <f t="array" ref="Z59">IFERROR(
MEDIAN((IF(DATOS_[[Sexo]:[Sexo]]=$B59,IF(DATOS_[[AGRUP. VALOR. PTO.]:[AGRUP. VALOR. PTO.]]=$B57,IF(DATOS_[[Check Periodo Ref.]:[Check Periodo Ref.]]="Dentro",DATOS_[Conc.Sal.21]))))),
0)</f>
        <v>0</v>
      </c>
      <c r="AA59" s="111">
        <f t="array" ref="AA59">IFERROR(
MEDIAN((IF(DATOS_[[Sexo]:[Sexo]]=$B59,IF(DATOS_[[AGRUP. VALOR. PTO.]:[AGRUP. VALOR. PTO.]]=$B57,IF(DATOS_[[Check Periodo Ref.]:[Check Periodo Ref.]]="Dentro",DATOS_[Conc.Sal.22]))))),
0)</f>
        <v>0</v>
      </c>
      <c r="AB59" s="111">
        <f t="array" ref="AB59">IFERROR(
MEDIAN((IF(DATOS_[[Sexo]:[Sexo]]=$B59,IF(DATOS_[[AGRUP. VALOR. PTO.]:[AGRUP. VALOR. PTO.]]=$B57,IF(DATOS_[[Check Periodo Ref.]:[Check Periodo Ref.]]="Dentro",DATOS_[Conc.Sal.23]))))),
0)</f>
        <v>0</v>
      </c>
      <c r="AC59" s="111">
        <f t="array" ref="AC59">IFERROR(
MEDIAN((IF(DATOS_[[Sexo]:[Sexo]]=$B59,IF(DATOS_[[AGRUP. VALOR. PTO.]:[AGRUP. VALOR. PTO.]]=$B57,IF(DATOS_[[Check Periodo Ref.]:[Check Periodo Ref.]]="Dentro",DATOS_[Conc.Sal.24]))))),
0)</f>
        <v>0</v>
      </c>
      <c r="AD59" s="111">
        <f t="array" ref="AD59">IFERROR(
MEDIAN((IF(DATOS_[[Sexo]:[Sexo]]=$B59,IF(DATOS_[[AGRUP. VALOR. PTO.]:[AGRUP. VALOR. PTO.]]=$B57,IF(DATOS_[[Check Periodo Ref.]:[Check Periodo Ref.]]="Dentro",DATOS_[Conc.Sal.25]))))),
0)</f>
        <v>0</v>
      </c>
      <c r="AE59" s="111">
        <f t="array" ref="AE59">IFERROR(
MEDIAN((IF(DATOS_[[Sexo]:[Sexo]]=$B59,IF(DATOS_[[AGRUP. VALOR. PTO.]:[AGRUP. VALOR. PTO.]]=$B57,IF(DATOS_[[Check Periodo Ref.]:[Check Periodo Ref.]]="Dentro",DATOS_[Conc.Sal.26]))))),
0)</f>
        <v>0</v>
      </c>
      <c r="AF59" s="111">
        <f t="array" ref="AF59">IFERROR(
MEDIAN((IF(DATOS_[[Sexo]:[Sexo]]=$B59,IF(DATOS_[[AGRUP. VALOR. PTO.]:[AGRUP. VALOR. PTO.]]=$B57,IF(DATOS_[[Check Periodo Ref.]:[Check Periodo Ref.]]="Dentro",DATOS_[Conc.Sal.27]))))),
0)</f>
        <v>0</v>
      </c>
      <c r="AG59" s="111">
        <f t="array" ref="AG59">IFERROR(
MEDIAN((IF(DATOS_[[Sexo]:[Sexo]]=$B59,IF(DATOS_[[AGRUP. VALOR. PTO.]:[AGRUP. VALOR. PTO.]]=$B57,IF(DATOS_[[Check Periodo Ref.]:[Check Periodo Ref.]]="Dentro",DATOS_[Conc.Sal.28]))))),
0)</f>
        <v>0</v>
      </c>
      <c r="AH59" s="111">
        <f t="array" ref="AH59">IFERROR(
MEDIAN((IF(DATOS_[[Sexo]:[Sexo]]=$B59,IF(DATOS_[[AGRUP. VALOR. PTO.]:[AGRUP. VALOR. PTO.]]=$B57,IF(DATOS_[[Check Periodo Ref.]:[Check Periodo Ref.]]="Dentro",DATOS_[Conc.Sal.29]))))),
0)</f>
        <v>0</v>
      </c>
      <c r="AI59" s="111">
        <f t="array" ref="AI59">IFERROR(
MEDIAN((IF(DATOS_[[Sexo]:[Sexo]]=$B59,IF(DATOS_[[AGRUP. VALOR. PTO.]:[AGRUP. VALOR. PTO.]]=$B57,IF(DATOS_[[Check Periodo Ref.]:[Check Periodo Ref.]]="Dentro",DATOS_[Conc.Sal.30]))))),
0)</f>
        <v>0</v>
      </c>
      <c r="AJ59" s="112">
        <f t="array" ref="AJ59">IFERROR(
MEDIAN(IF(DATOS_[Sexo]=$B59,IF(DATOS_[AGRUP. VALOR. PTO.]=$B57,IF(DATOS_[Check Periodo Ref.]="Dentro",DATOS_[Tot COMPL.SAL Ef],FALSE)))),
0)</f>
        <v>0</v>
      </c>
      <c r="AK59" s="113">
        <f t="array" ref="AK59">IFERROR(
MEDIAN(IF(DATOS_[Sexo]=$B59,IF(DATOS_[AGRUP. VALOR. PTO.]=$B57,IF(DATOS_[Check Periodo Ref.]="Dentro",DATOS_[TOTAL SALARIO Ef],FALSE)))),
0)</f>
        <v>0</v>
      </c>
      <c r="AL59" s="114">
        <f t="array" ref="AL59">IFERROR(
MEDIAN((IF(DATOS_[[Sexo]:[Sexo]]=$B59,IF(DATOS_[[AGRUP. VALOR. PTO.]:[AGRUP. VALOR. PTO.]]=$B57,IF(DATOS_[[Check Periodo Ref.]:[Check Periodo Ref.]]="Dentro",DATOS_[C.Extra.01]))))),
0)</f>
        <v>0</v>
      </c>
      <c r="AM59" s="114">
        <f t="array" ref="AM59">IFERROR(
MEDIAN((IF(DATOS_[[Sexo]:[Sexo]]=$B59,IF(DATOS_[[AGRUP. VALOR. PTO.]:[AGRUP. VALOR. PTO.]]=$B57,IF(DATOS_[[Check Periodo Ref.]:[Check Periodo Ref.]]="Dentro",DATOS_[C.Extra.02]))))),
0)</f>
        <v>0</v>
      </c>
      <c r="AN59" s="114">
        <f t="array" ref="AN59">IFERROR(
MEDIAN((IF(DATOS_[[Sexo]:[Sexo]]=$B59,IF(DATOS_[[AGRUP. VALOR. PTO.]:[AGRUP. VALOR. PTO.]]=$B57,IF(DATOS_[[Check Periodo Ref.]:[Check Periodo Ref.]]="Dentro",DATOS_[C.Extra.03]))))),
0)</f>
        <v>0</v>
      </c>
      <c r="AO59" s="114">
        <f t="array" ref="AO59">IFERROR(
MEDIAN((IF(DATOS_[[Sexo]:[Sexo]]=$B59,IF(DATOS_[[AGRUP. VALOR. PTO.]:[AGRUP. VALOR. PTO.]]=$B57,IF(DATOS_[[Check Periodo Ref.]:[Check Periodo Ref.]]="Dentro",DATOS_[C.Extra.04]))))),
0)</f>
        <v>0</v>
      </c>
      <c r="AP59" s="114">
        <f t="array" ref="AP59">IFERROR(
MEDIAN((IF(DATOS_[[Sexo]:[Sexo]]=$B59,IF(DATOS_[[AGRUP. VALOR. PTO.]:[AGRUP. VALOR. PTO.]]=$B57,IF(DATOS_[[Check Periodo Ref.]:[Check Periodo Ref.]]="Dentro",DATOS_[C.Extra.05]))))),
0)</f>
        <v>0</v>
      </c>
      <c r="AQ59" s="115">
        <f t="array" ref="AQ59">IFERROR(
MEDIAN(IF(DATOS_[Sexo]=$B59,IF(DATOS_[AGRUP. VALOR. PTO.]=$B57,IF(DATOS_[Check Periodo Ref.]="Dentro",DATOS_[Tot Extrasalarial Ef],FALSE)))),
0)</f>
        <v>0</v>
      </c>
      <c r="AR59" s="116">
        <f t="array" ref="AR59">IFERROR(
MEDIAN(IF(DATOS_[Sexo]=$B59,IF(DATOS_[AGRUP. VALOR. PTO.]=$B57,IF(DATOS_[Check Periodo Ref.]="Dentro",DATOS_[TOTAL Retrib Ef],FALSE)))),
0)</f>
        <v>0</v>
      </c>
    </row>
    <row r="60" spans="1:44" ht="17.25" hidden="1" thickBot="1" x14ac:dyDescent="0.35">
      <c r="A60" s="42" t="str">
        <f t="shared" ref="A60" si="63">+A61</f>
        <v>[ocultar]</v>
      </c>
      <c r="B60" s="40" t="s">
        <v>275</v>
      </c>
      <c r="C60" s="109"/>
      <c r="D60" s="41"/>
      <c r="E60" s="119" t="str">
        <f t="shared" ref="E60:AR60" si="64">IFERROR((E61-E62)/E61,"")</f>
        <v/>
      </c>
      <c r="F60" s="123" t="str">
        <f t="shared" si="64"/>
        <v/>
      </c>
      <c r="G60" s="123" t="str">
        <f t="shared" si="64"/>
        <v/>
      </c>
      <c r="H60" s="123" t="str">
        <f t="shared" si="64"/>
        <v/>
      </c>
      <c r="I60" s="123" t="str">
        <f t="shared" si="64"/>
        <v/>
      </c>
      <c r="J60" s="123" t="str">
        <f t="shared" si="64"/>
        <v/>
      </c>
      <c r="K60" s="123" t="str">
        <f t="shared" si="64"/>
        <v/>
      </c>
      <c r="L60" s="123" t="str">
        <f t="shared" si="64"/>
        <v/>
      </c>
      <c r="M60" s="123" t="str">
        <f t="shared" si="64"/>
        <v/>
      </c>
      <c r="N60" s="123" t="str">
        <f t="shared" si="64"/>
        <v/>
      </c>
      <c r="O60" s="123" t="str">
        <f t="shared" si="64"/>
        <v/>
      </c>
      <c r="P60" s="123" t="str">
        <f t="shared" si="64"/>
        <v/>
      </c>
      <c r="Q60" s="123" t="str">
        <f t="shared" si="64"/>
        <v/>
      </c>
      <c r="R60" s="123" t="str">
        <f t="shared" si="64"/>
        <v/>
      </c>
      <c r="S60" s="123" t="str">
        <f t="shared" si="64"/>
        <v/>
      </c>
      <c r="T60" s="123" t="str">
        <f t="shared" si="64"/>
        <v/>
      </c>
      <c r="U60" s="123" t="str">
        <f t="shared" si="64"/>
        <v/>
      </c>
      <c r="V60" s="122" t="str">
        <f t="shared" si="64"/>
        <v/>
      </c>
      <c r="W60" s="122" t="str">
        <f t="shared" si="64"/>
        <v/>
      </c>
      <c r="X60" s="122" t="str">
        <f t="shared" si="64"/>
        <v/>
      </c>
      <c r="Y60" s="122" t="str">
        <f t="shared" si="64"/>
        <v/>
      </c>
      <c r="Z60" s="122" t="str">
        <f t="shared" si="64"/>
        <v/>
      </c>
      <c r="AA60" s="122" t="str">
        <f t="shared" si="64"/>
        <v/>
      </c>
      <c r="AB60" s="122" t="str">
        <f t="shared" si="64"/>
        <v/>
      </c>
      <c r="AC60" s="122" t="str">
        <f t="shared" si="64"/>
        <v/>
      </c>
      <c r="AD60" s="122" t="str">
        <f t="shared" si="64"/>
        <v/>
      </c>
      <c r="AE60" s="122" t="str">
        <f t="shared" si="64"/>
        <v/>
      </c>
      <c r="AF60" s="122" t="str">
        <f t="shared" si="64"/>
        <v/>
      </c>
      <c r="AG60" s="122" t="str">
        <f t="shared" si="64"/>
        <v/>
      </c>
      <c r="AH60" s="122" t="str">
        <f t="shared" si="64"/>
        <v/>
      </c>
      <c r="AI60" s="122" t="str">
        <f t="shared" si="64"/>
        <v/>
      </c>
      <c r="AJ60" s="124" t="str">
        <f t="shared" si="64"/>
        <v/>
      </c>
      <c r="AK60" s="128" t="str">
        <f t="shared" si="64"/>
        <v/>
      </c>
      <c r="AL60" s="125" t="str">
        <f t="shared" si="64"/>
        <v/>
      </c>
      <c r="AM60" s="125" t="str">
        <f t="shared" si="64"/>
        <v/>
      </c>
      <c r="AN60" s="125" t="str">
        <f t="shared" si="64"/>
        <v/>
      </c>
      <c r="AO60" s="125" t="str">
        <f t="shared" si="64"/>
        <v/>
      </c>
      <c r="AP60" s="125" t="str">
        <f t="shared" si="64"/>
        <v/>
      </c>
      <c r="AQ60" s="126" t="str">
        <f t="shared" si="64"/>
        <v/>
      </c>
      <c r="AR60" s="127" t="str">
        <f t="shared" si="64"/>
        <v/>
      </c>
    </row>
    <row r="61" spans="1:44" hidden="1" x14ac:dyDescent="0.3">
      <c r="A61" s="42" t="str">
        <f t="shared" ref="A61" si="65">+IF(C61+C62=0,"[ocultar]","")</f>
        <v>[ocultar]</v>
      </c>
      <c r="B61" s="34" t="s">
        <v>162</v>
      </c>
      <c r="C61" s="33">
        <f t="array" ref="C61">SUM(IF($B61=DATOS_[Sexo],
IF($B60=DATOS_[AGRUP. VALOR. PTO.],
IF("Dentro"=DATOS_[Check Periodo Ref.],
1/(COUNTIFS(DATOS_[Sexo],$B61,DATOS_[AGRUP. VALOR. PTO.],$B60,DATOS_[Check Periodo Ref.],"Dentro",DATOS_[id],DATOS_[id]))))))</f>
        <v>0</v>
      </c>
      <c r="D61" s="35">
        <f>COUNTIFS(DATOS_[AGRUP. VALOR. PTO.],$B60,DATOS_[Sexo],$B61,DATOS_[Check Periodo Ref.],"Dentro")</f>
        <v>0</v>
      </c>
      <c r="E61" s="110">
        <f t="array" ref="E61">IFERROR(
MEDIAN(IF(DATOS_[Sexo]=$B61,IF(DATOS_[AGRUP. VALOR. PTO.]=$B60,IF(DATOS_[Check Periodo Ref.]="Dentro",DATOS_[SALARIO BASE Ef],FALSE)))),
0)</f>
        <v>0</v>
      </c>
      <c r="F61" s="111">
        <f t="array" ref="F61">IFERROR(
MEDIAN((IF(DATOS_[[Sexo]:[Sexo]]=$B61,IF(DATOS_[[AGRUP. VALOR. PTO.]:[AGRUP. VALOR. PTO.]]=$B60,IF(DATOS_[[Check Periodo Ref.]:[Check Periodo Ref.]]="Dentro",DATOS_[Conc.Sal.01]))))),
0)</f>
        <v>0</v>
      </c>
      <c r="G61" s="111">
        <f t="array" ref="G61">IFERROR(
MEDIAN((IF(DATOS_[[Sexo]:[Sexo]]=$B61,IF(DATOS_[[AGRUP. VALOR. PTO.]:[AGRUP. VALOR. PTO.]]=$B60,IF(DATOS_[[Check Periodo Ref.]:[Check Periodo Ref.]]="Dentro",DATOS_[Conc.Sal.02]))))),
0)</f>
        <v>0</v>
      </c>
      <c r="H61" s="111">
        <f t="array" ref="H61">IFERROR(
MEDIAN((IF(DATOS_[[Sexo]:[Sexo]]=$B61,IF(DATOS_[[AGRUP. VALOR. PTO.]:[AGRUP. VALOR. PTO.]]=$B60,IF(DATOS_[[Check Periodo Ref.]:[Check Periodo Ref.]]="Dentro",DATOS_[Conc.Sal.03]))))),
0)</f>
        <v>0</v>
      </c>
      <c r="I61" s="111">
        <f t="array" ref="I61">IFERROR(
MEDIAN((IF(DATOS_[[Sexo]:[Sexo]]=$B61,IF(DATOS_[[AGRUP. VALOR. PTO.]:[AGRUP. VALOR. PTO.]]=$B60,IF(DATOS_[[Check Periodo Ref.]:[Check Periodo Ref.]]="Dentro",DATOS_[Conc.Sal.04]))))),
0)</f>
        <v>0</v>
      </c>
      <c r="J61" s="111">
        <f t="array" ref="J61">IFERROR(
MEDIAN((IF(DATOS_[[Sexo]:[Sexo]]=$B61,IF(DATOS_[[AGRUP. VALOR. PTO.]:[AGRUP. VALOR. PTO.]]=$B60,IF(DATOS_[[Check Periodo Ref.]:[Check Periodo Ref.]]="Dentro",DATOS_[Conc.Sal.05]))))),
0)</f>
        <v>0</v>
      </c>
      <c r="K61" s="111">
        <f t="array" ref="K61">IFERROR(
MEDIAN((IF(DATOS_[[Sexo]:[Sexo]]=$B61,IF(DATOS_[[AGRUP. VALOR. PTO.]:[AGRUP. VALOR. PTO.]]=$B60,IF(DATOS_[[Check Periodo Ref.]:[Check Periodo Ref.]]="Dentro",DATOS_[Conc.Sal.06]))))),
0)</f>
        <v>0</v>
      </c>
      <c r="L61" s="111">
        <f t="array" ref="L61">IFERROR(
MEDIAN((IF(DATOS_[[Sexo]:[Sexo]]=$B61,IF(DATOS_[[AGRUP. VALOR. PTO.]:[AGRUP. VALOR. PTO.]]=$B60,IF(DATOS_[[Check Periodo Ref.]:[Check Periodo Ref.]]="Dentro",DATOS_[Conc.Sal.07]))))),
0)</f>
        <v>0</v>
      </c>
      <c r="M61" s="111">
        <f t="array" ref="M61">IFERROR(
MEDIAN((IF(DATOS_[[Sexo]:[Sexo]]=$B61,IF(DATOS_[[AGRUP. VALOR. PTO.]:[AGRUP. VALOR. PTO.]]=$B60,IF(DATOS_[[Check Periodo Ref.]:[Check Periodo Ref.]]="Dentro",DATOS_[Conc.Sal.08]))))),
0)</f>
        <v>0</v>
      </c>
      <c r="N61" s="111">
        <f t="array" ref="N61">IFERROR(
MEDIAN((IF(DATOS_[[Sexo]:[Sexo]]=$B61,IF(DATOS_[[AGRUP. VALOR. PTO.]:[AGRUP. VALOR. PTO.]]=$B60,IF(DATOS_[[Check Periodo Ref.]:[Check Periodo Ref.]]="Dentro",DATOS_[Conc.Sal.09]))))),
0)</f>
        <v>0</v>
      </c>
      <c r="O61" s="111">
        <f t="array" ref="O61">IFERROR(
MEDIAN((IF(DATOS_[[Sexo]:[Sexo]]=$B61,IF(DATOS_[[AGRUP. VALOR. PTO.]:[AGRUP. VALOR. PTO.]]=$B60,IF(DATOS_[[Check Periodo Ref.]:[Check Periodo Ref.]]="Dentro",DATOS_[Conc.Sal.10]))))),
0)</f>
        <v>0</v>
      </c>
      <c r="P61" s="111">
        <f t="array" ref="P61">IFERROR(
MEDIAN((IF(DATOS_[[Sexo]:[Sexo]]=$B61,IF(DATOS_[[AGRUP. VALOR. PTO.]:[AGRUP. VALOR. PTO.]]=$B60,IF(DATOS_[[Check Periodo Ref.]:[Check Periodo Ref.]]="Dentro",DATOS_[Conc.Sal.11]))))),
0)</f>
        <v>0</v>
      </c>
      <c r="Q61" s="111">
        <f t="array" ref="Q61">IFERROR(
MEDIAN((IF(DATOS_[[Sexo]:[Sexo]]=$B61,IF(DATOS_[[AGRUP. VALOR. PTO.]:[AGRUP. VALOR. PTO.]]=$B60,IF(DATOS_[[Check Periodo Ref.]:[Check Periodo Ref.]]="Dentro",DATOS_[Conc.Sal.12]))))),
0)</f>
        <v>0</v>
      </c>
      <c r="R61" s="111">
        <f t="array" ref="R61">IFERROR(
MEDIAN((IF(DATOS_[[Sexo]:[Sexo]]=$B61,IF(DATOS_[[AGRUP. VALOR. PTO.]:[AGRUP. VALOR. PTO.]]=$B60,IF(DATOS_[[Check Periodo Ref.]:[Check Periodo Ref.]]="Dentro",DATOS_[Conc.Sal.13]))))),
0)</f>
        <v>0</v>
      </c>
      <c r="S61" s="111">
        <f t="array" ref="S61">IFERROR(
MEDIAN((IF(DATOS_[[Sexo]:[Sexo]]=$B61,IF(DATOS_[[AGRUP. VALOR. PTO.]:[AGRUP. VALOR. PTO.]]=$B60,IF(DATOS_[[Check Periodo Ref.]:[Check Periodo Ref.]]="Dentro",DATOS_[Conc.Sal.14]))))),
0)</f>
        <v>0</v>
      </c>
      <c r="T61" s="111">
        <f t="array" ref="T61">IFERROR(
MEDIAN((IF(DATOS_[[Sexo]:[Sexo]]=$B61,IF(DATOS_[[AGRUP. VALOR. PTO.]:[AGRUP. VALOR. PTO.]]=$B60,IF(DATOS_[[Check Periodo Ref.]:[Check Periodo Ref.]]="Dentro",DATOS_[Conc.Sal.15]))))),
0)</f>
        <v>0</v>
      </c>
      <c r="U61" s="111">
        <f t="array" ref="U61">IFERROR(
MEDIAN((IF(DATOS_[[Sexo]:[Sexo]]=$B61,IF(DATOS_[[AGRUP. VALOR. PTO.]:[AGRUP. VALOR. PTO.]]=$B60,IF(DATOS_[[Check Periodo Ref.]:[Check Periodo Ref.]]="Dentro",DATOS_[Conc.Sal.16]))))),
0)</f>
        <v>0</v>
      </c>
      <c r="V61" s="111">
        <f t="array" ref="V61">IFERROR(
MEDIAN((IF(DATOS_[[Sexo]:[Sexo]]=$B61,IF(DATOS_[[AGRUP. VALOR. PTO.]:[AGRUP. VALOR. PTO.]]=$B60,IF(DATOS_[[Check Periodo Ref.]:[Check Periodo Ref.]]="Dentro",DATOS_[Conc.Sal.17]))))),
0)</f>
        <v>0</v>
      </c>
      <c r="W61" s="111">
        <f t="array" ref="W61">IFERROR(
MEDIAN((IF(DATOS_[[Sexo]:[Sexo]]=$B61,IF(DATOS_[[AGRUP. VALOR. PTO.]:[AGRUP. VALOR. PTO.]]=$B60,IF(DATOS_[[Check Periodo Ref.]:[Check Periodo Ref.]]="Dentro",DATOS_[Conc.Sal.18]))))),
0)</f>
        <v>0</v>
      </c>
      <c r="X61" s="111">
        <f t="array" ref="X61">IFERROR(
MEDIAN((IF(DATOS_[[Sexo]:[Sexo]]=$B61,IF(DATOS_[[AGRUP. VALOR. PTO.]:[AGRUP. VALOR. PTO.]]=$B60,IF(DATOS_[[Check Periodo Ref.]:[Check Periodo Ref.]]="Dentro",DATOS_[Conc.Sal.19]))))),
0)</f>
        <v>0</v>
      </c>
      <c r="Y61" s="111">
        <f t="array" ref="Y61">IFERROR(
MEDIAN((IF(DATOS_[[Sexo]:[Sexo]]=$B61,IF(DATOS_[[AGRUP. VALOR. PTO.]:[AGRUP. VALOR. PTO.]]=$B60,IF(DATOS_[[Check Periodo Ref.]:[Check Periodo Ref.]]="Dentro",DATOS_[Conc.Sal.20]))))),
0)</f>
        <v>0</v>
      </c>
      <c r="Z61" s="111">
        <f t="array" ref="Z61">IFERROR(
MEDIAN((IF(DATOS_[[Sexo]:[Sexo]]=$B61,IF(DATOS_[[AGRUP. VALOR. PTO.]:[AGRUP. VALOR. PTO.]]=$B60,IF(DATOS_[[Check Periodo Ref.]:[Check Periodo Ref.]]="Dentro",DATOS_[Conc.Sal.21]))))),
0)</f>
        <v>0</v>
      </c>
      <c r="AA61" s="111">
        <f t="array" ref="AA61">IFERROR(
MEDIAN((IF(DATOS_[[Sexo]:[Sexo]]=$B61,IF(DATOS_[[AGRUP. VALOR. PTO.]:[AGRUP. VALOR. PTO.]]=$B60,IF(DATOS_[[Check Periodo Ref.]:[Check Periodo Ref.]]="Dentro",DATOS_[Conc.Sal.22]))))),
0)</f>
        <v>0</v>
      </c>
      <c r="AB61" s="111">
        <f t="array" ref="AB61">IFERROR(
MEDIAN((IF(DATOS_[[Sexo]:[Sexo]]=$B61,IF(DATOS_[[AGRUP. VALOR. PTO.]:[AGRUP. VALOR. PTO.]]=$B60,IF(DATOS_[[Check Periodo Ref.]:[Check Periodo Ref.]]="Dentro",DATOS_[Conc.Sal.23]))))),
0)</f>
        <v>0</v>
      </c>
      <c r="AC61" s="111">
        <f t="array" ref="AC61">IFERROR(
MEDIAN((IF(DATOS_[[Sexo]:[Sexo]]=$B61,IF(DATOS_[[AGRUP. VALOR. PTO.]:[AGRUP. VALOR. PTO.]]=$B60,IF(DATOS_[[Check Periodo Ref.]:[Check Periodo Ref.]]="Dentro",DATOS_[Conc.Sal.24]))))),
0)</f>
        <v>0</v>
      </c>
      <c r="AD61" s="111">
        <f t="array" ref="AD61">IFERROR(
MEDIAN((IF(DATOS_[[Sexo]:[Sexo]]=$B61,IF(DATOS_[[AGRUP. VALOR. PTO.]:[AGRUP. VALOR. PTO.]]=$B60,IF(DATOS_[[Check Periodo Ref.]:[Check Periodo Ref.]]="Dentro",DATOS_[Conc.Sal.25]))))),
0)</f>
        <v>0</v>
      </c>
      <c r="AE61" s="111">
        <f t="array" ref="AE61">IFERROR(
MEDIAN((IF(DATOS_[[Sexo]:[Sexo]]=$B61,IF(DATOS_[[AGRUP. VALOR. PTO.]:[AGRUP. VALOR. PTO.]]=$B60,IF(DATOS_[[Check Periodo Ref.]:[Check Periodo Ref.]]="Dentro",DATOS_[Conc.Sal.26]))))),
0)</f>
        <v>0</v>
      </c>
      <c r="AF61" s="111">
        <f t="array" ref="AF61">IFERROR(
MEDIAN((IF(DATOS_[[Sexo]:[Sexo]]=$B61,IF(DATOS_[[AGRUP. VALOR. PTO.]:[AGRUP. VALOR. PTO.]]=$B60,IF(DATOS_[[Check Periodo Ref.]:[Check Periodo Ref.]]="Dentro",DATOS_[Conc.Sal.27]))))),
0)</f>
        <v>0</v>
      </c>
      <c r="AG61" s="111">
        <f t="array" ref="AG61">IFERROR(
MEDIAN((IF(DATOS_[[Sexo]:[Sexo]]=$B61,IF(DATOS_[[AGRUP. VALOR. PTO.]:[AGRUP. VALOR. PTO.]]=$B60,IF(DATOS_[[Check Periodo Ref.]:[Check Periodo Ref.]]="Dentro",DATOS_[Conc.Sal.28]))))),
0)</f>
        <v>0</v>
      </c>
      <c r="AH61" s="111">
        <f t="array" ref="AH61">IFERROR(
MEDIAN((IF(DATOS_[[Sexo]:[Sexo]]=$B61,IF(DATOS_[[AGRUP. VALOR. PTO.]:[AGRUP. VALOR. PTO.]]=$B60,IF(DATOS_[[Check Periodo Ref.]:[Check Periodo Ref.]]="Dentro",DATOS_[Conc.Sal.29]))))),
0)</f>
        <v>0</v>
      </c>
      <c r="AI61" s="111">
        <f t="array" ref="AI61">IFERROR(
MEDIAN((IF(DATOS_[[Sexo]:[Sexo]]=$B61,IF(DATOS_[[AGRUP. VALOR. PTO.]:[AGRUP. VALOR. PTO.]]=$B60,IF(DATOS_[[Check Periodo Ref.]:[Check Periodo Ref.]]="Dentro",DATOS_[Conc.Sal.30]))))),
0)</f>
        <v>0</v>
      </c>
      <c r="AJ61" s="112">
        <f t="array" ref="AJ61">IFERROR(
MEDIAN(IF(DATOS_[Sexo]=$B61,IF(DATOS_[AGRUP. VALOR. PTO.]=$B60,IF(DATOS_[Check Periodo Ref.]="Dentro",DATOS_[Tot COMPL.SAL Ef],FALSE)))),
0)</f>
        <v>0</v>
      </c>
      <c r="AK61" s="113">
        <f t="array" ref="AK61">IFERROR(
MEDIAN(IF(DATOS_[Sexo]=$B61,IF(DATOS_[AGRUP. VALOR. PTO.]=$B60,IF(DATOS_[Check Periodo Ref.]="Dentro",DATOS_[TOTAL SALARIO Ef],FALSE)))),
0)</f>
        <v>0</v>
      </c>
      <c r="AL61" s="114">
        <f t="array" ref="AL61">IFERROR(
MEDIAN((IF(DATOS_[[Sexo]:[Sexo]]=$B61,IF(DATOS_[[AGRUP. VALOR. PTO.]:[AGRUP. VALOR. PTO.]]=$B60,IF(DATOS_[[Check Periodo Ref.]:[Check Periodo Ref.]]="Dentro",DATOS_[C.Extra.01]))))),
0)</f>
        <v>0</v>
      </c>
      <c r="AM61" s="114">
        <f t="array" ref="AM61">IFERROR(
MEDIAN((IF(DATOS_[[Sexo]:[Sexo]]=$B61,IF(DATOS_[[AGRUP. VALOR. PTO.]:[AGRUP. VALOR. PTO.]]=$B60,IF(DATOS_[[Check Periodo Ref.]:[Check Periodo Ref.]]="Dentro",DATOS_[C.Extra.02]))))),
0)</f>
        <v>0</v>
      </c>
      <c r="AN61" s="114">
        <f t="array" ref="AN61">IFERROR(
MEDIAN((IF(DATOS_[[Sexo]:[Sexo]]=$B61,IF(DATOS_[[AGRUP. VALOR. PTO.]:[AGRUP. VALOR. PTO.]]=$B60,IF(DATOS_[[Check Periodo Ref.]:[Check Periodo Ref.]]="Dentro",DATOS_[C.Extra.03]))))),
0)</f>
        <v>0</v>
      </c>
      <c r="AO61" s="114">
        <f t="array" ref="AO61">IFERROR(
MEDIAN((IF(DATOS_[[Sexo]:[Sexo]]=$B61,IF(DATOS_[[AGRUP. VALOR. PTO.]:[AGRUP. VALOR. PTO.]]=$B60,IF(DATOS_[[Check Periodo Ref.]:[Check Periodo Ref.]]="Dentro",DATOS_[C.Extra.04]))))),
0)</f>
        <v>0</v>
      </c>
      <c r="AP61" s="114">
        <f t="array" ref="AP61">IFERROR(
MEDIAN((IF(DATOS_[[Sexo]:[Sexo]]=$B61,IF(DATOS_[[AGRUP. VALOR. PTO.]:[AGRUP. VALOR. PTO.]]=$B60,IF(DATOS_[[Check Periodo Ref.]:[Check Periodo Ref.]]="Dentro",DATOS_[C.Extra.05]))))),
0)</f>
        <v>0</v>
      </c>
      <c r="AQ61" s="115">
        <f t="array" ref="AQ61">IFERROR(
MEDIAN(IF(DATOS_[Sexo]=$B61,IF(DATOS_[AGRUP. VALOR. PTO.]=$B60,IF(DATOS_[Check Periodo Ref.]="Dentro",DATOS_[Tot Extrasalarial Ef],FALSE)))),
0)</f>
        <v>0</v>
      </c>
      <c r="AR61" s="116">
        <f t="array" ref="AR61">IFERROR(
MEDIAN(IF(DATOS_[Sexo]=$B61,IF(DATOS_[AGRUP. VALOR. PTO.]=$B60,IF(DATOS_[Check Periodo Ref.]="Dentro",DATOS_[TOTAL Retrib Ef],FALSE)))),
0)</f>
        <v>0</v>
      </c>
    </row>
    <row r="62" spans="1:44" hidden="1" x14ac:dyDescent="0.3">
      <c r="A62" s="42" t="str">
        <f t="shared" ref="A62" si="66">+A61</f>
        <v>[ocultar]</v>
      </c>
      <c r="B62" s="34" t="s">
        <v>163</v>
      </c>
      <c r="C62" s="33">
        <f t="array" ref="C62">SUM(IF($B62=DATOS_[Sexo],
IF($B60=DATOS_[AGRUP. VALOR. PTO.],
IF("Dentro"=DATOS_[Check Periodo Ref.],
1/(COUNTIFS(DATOS_[Sexo],$B62,DATOS_[AGRUP. VALOR. PTO.],$B60,DATOS_[Check Periodo Ref.],"Dentro",DATOS_[id],DATOS_[id]))))))</f>
        <v>0</v>
      </c>
      <c r="D62" s="35">
        <f>COUNTIFS(DATOS_[AGRUP. VALOR. PTO.],$B60,DATOS_[Sexo],$B62,DATOS_[Check Periodo Ref.],"Dentro")</f>
        <v>0</v>
      </c>
      <c r="E62" s="110">
        <f t="array" ref="E62">IFERROR(
MEDIAN(IF(DATOS_[Sexo]=$B62,IF(DATOS_[AGRUP. VALOR. PTO.]=$B60,IF(DATOS_[Check Periodo Ref.]="Dentro",DATOS_[SALARIO BASE Ef],FALSE)))),
0)</f>
        <v>0</v>
      </c>
      <c r="F62" s="111">
        <f t="array" ref="F62">IFERROR(
MEDIAN((IF(DATOS_[[Sexo]:[Sexo]]=$B62,IF(DATOS_[[AGRUP. VALOR. PTO.]:[AGRUP. VALOR. PTO.]]=$B60,IF(DATOS_[[Check Periodo Ref.]:[Check Periodo Ref.]]="Dentro",DATOS_[Conc.Sal.01]))))),
0)</f>
        <v>0</v>
      </c>
      <c r="G62" s="111">
        <f t="array" ref="G62">IFERROR(
MEDIAN((IF(DATOS_[[Sexo]:[Sexo]]=$B62,IF(DATOS_[[AGRUP. VALOR. PTO.]:[AGRUP. VALOR. PTO.]]=$B60,IF(DATOS_[[Check Periodo Ref.]:[Check Periodo Ref.]]="Dentro",DATOS_[Conc.Sal.02]))))),
0)</f>
        <v>0</v>
      </c>
      <c r="H62" s="111">
        <f t="array" ref="H62">IFERROR(
MEDIAN((IF(DATOS_[[Sexo]:[Sexo]]=$B62,IF(DATOS_[[AGRUP. VALOR. PTO.]:[AGRUP. VALOR. PTO.]]=$B60,IF(DATOS_[[Check Periodo Ref.]:[Check Periodo Ref.]]="Dentro",DATOS_[Conc.Sal.03]))))),
0)</f>
        <v>0</v>
      </c>
      <c r="I62" s="111">
        <f t="array" ref="I62">IFERROR(
MEDIAN((IF(DATOS_[[Sexo]:[Sexo]]=$B62,IF(DATOS_[[AGRUP. VALOR. PTO.]:[AGRUP. VALOR. PTO.]]=$B60,IF(DATOS_[[Check Periodo Ref.]:[Check Periodo Ref.]]="Dentro",DATOS_[Conc.Sal.04]))))),
0)</f>
        <v>0</v>
      </c>
      <c r="J62" s="111">
        <f t="array" ref="J62">IFERROR(
MEDIAN((IF(DATOS_[[Sexo]:[Sexo]]=$B62,IF(DATOS_[[AGRUP. VALOR. PTO.]:[AGRUP. VALOR. PTO.]]=$B60,IF(DATOS_[[Check Periodo Ref.]:[Check Periodo Ref.]]="Dentro",DATOS_[Conc.Sal.05]))))),
0)</f>
        <v>0</v>
      </c>
      <c r="K62" s="111">
        <f t="array" ref="K62">IFERROR(
MEDIAN((IF(DATOS_[[Sexo]:[Sexo]]=$B62,IF(DATOS_[[AGRUP. VALOR. PTO.]:[AGRUP. VALOR. PTO.]]=$B60,IF(DATOS_[[Check Periodo Ref.]:[Check Periodo Ref.]]="Dentro",DATOS_[Conc.Sal.06]))))),
0)</f>
        <v>0</v>
      </c>
      <c r="L62" s="111">
        <f t="array" ref="L62">IFERROR(
MEDIAN((IF(DATOS_[[Sexo]:[Sexo]]=$B62,IF(DATOS_[[AGRUP. VALOR. PTO.]:[AGRUP. VALOR. PTO.]]=$B60,IF(DATOS_[[Check Periodo Ref.]:[Check Periodo Ref.]]="Dentro",DATOS_[Conc.Sal.07]))))),
0)</f>
        <v>0</v>
      </c>
      <c r="M62" s="111">
        <f t="array" ref="M62">IFERROR(
MEDIAN((IF(DATOS_[[Sexo]:[Sexo]]=$B62,IF(DATOS_[[AGRUP. VALOR. PTO.]:[AGRUP. VALOR. PTO.]]=$B60,IF(DATOS_[[Check Periodo Ref.]:[Check Periodo Ref.]]="Dentro",DATOS_[Conc.Sal.08]))))),
0)</f>
        <v>0</v>
      </c>
      <c r="N62" s="111">
        <f t="array" ref="N62">IFERROR(
MEDIAN((IF(DATOS_[[Sexo]:[Sexo]]=$B62,IF(DATOS_[[AGRUP. VALOR. PTO.]:[AGRUP. VALOR. PTO.]]=$B60,IF(DATOS_[[Check Periodo Ref.]:[Check Periodo Ref.]]="Dentro",DATOS_[Conc.Sal.09]))))),
0)</f>
        <v>0</v>
      </c>
      <c r="O62" s="111">
        <f t="array" ref="O62">IFERROR(
MEDIAN((IF(DATOS_[[Sexo]:[Sexo]]=$B62,IF(DATOS_[[AGRUP. VALOR. PTO.]:[AGRUP. VALOR. PTO.]]=$B60,IF(DATOS_[[Check Periodo Ref.]:[Check Periodo Ref.]]="Dentro",DATOS_[Conc.Sal.10]))))),
0)</f>
        <v>0</v>
      </c>
      <c r="P62" s="111">
        <f t="array" ref="P62">IFERROR(
MEDIAN((IF(DATOS_[[Sexo]:[Sexo]]=$B62,IF(DATOS_[[AGRUP. VALOR. PTO.]:[AGRUP. VALOR. PTO.]]=$B60,IF(DATOS_[[Check Periodo Ref.]:[Check Periodo Ref.]]="Dentro",DATOS_[Conc.Sal.11]))))),
0)</f>
        <v>0</v>
      </c>
      <c r="Q62" s="111">
        <f t="array" ref="Q62">IFERROR(
MEDIAN((IF(DATOS_[[Sexo]:[Sexo]]=$B62,IF(DATOS_[[AGRUP. VALOR. PTO.]:[AGRUP. VALOR. PTO.]]=$B60,IF(DATOS_[[Check Periodo Ref.]:[Check Periodo Ref.]]="Dentro",DATOS_[Conc.Sal.12]))))),
0)</f>
        <v>0</v>
      </c>
      <c r="R62" s="111">
        <f t="array" ref="R62">IFERROR(
MEDIAN((IF(DATOS_[[Sexo]:[Sexo]]=$B62,IF(DATOS_[[AGRUP. VALOR. PTO.]:[AGRUP. VALOR. PTO.]]=$B60,IF(DATOS_[[Check Periodo Ref.]:[Check Periodo Ref.]]="Dentro",DATOS_[Conc.Sal.13]))))),
0)</f>
        <v>0</v>
      </c>
      <c r="S62" s="111">
        <f t="array" ref="S62">IFERROR(
MEDIAN((IF(DATOS_[[Sexo]:[Sexo]]=$B62,IF(DATOS_[[AGRUP. VALOR. PTO.]:[AGRUP. VALOR. PTO.]]=$B60,IF(DATOS_[[Check Periodo Ref.]:[Check Periodo Ref.]]="Dentro",DATOS_[Conc.Sal.14]))))),
0)</f>
        <v>0</v>
      </c>
      <c r="T62" s="111">
        <f t="array" ref="T62">IFERROR(
MEDIAN((IF(DATOS_[[Sexo]:[Sexo]]=$B62,IF(DATOS_[[AGRUP. VALOR. PTO.]:[AGRUP. VALOR. PTO.]]=$B60,IF(DATOS_[[Check Periodo Ref.]:[Check Periodo Ref.]]="Dentro",DATOS_[Conc.Sal.15]))))),
0)</f>
        <v>0</v>
      </c>
      <c r="U62" s="111">
        <f t="array" ref="U62">IFERROR(
MEDIAN((IF(DATOS_[[Sexo]:[Sexo]]=$B62,IF(DATOS_[[AGRUP. VALOR. PTO.]:[AGRUP. VALOR. PTO.]]=$B60,IF(DATOS_[[Check Periodo Ref.]:[Check Periodo Ref.]]="Dentro",DATOS_[Conc.Sal.16]))))),
0)</f>
        <v>0</v>
      </c>
      <c r="V62" s="111">
        <f t="array" ref="V62">IFERROR(
MEDIAN((IF(DATOS_[[Sexo]:[Sexo]]=$B62,IF(DATOS_[[AGRUP. VALOR. PTO.]:[AGRUP. VALOR. PTO.]]=$B60,IF(DATOS_[[Check Periodo Ref.]:[Check Periodo Ref.]]="Dentro",DATOS_[Conc.Sal.17]))))),
0)</f>
        <v>0</v>
      </c>
      <c r="W62" s="111">
        <f t="array" ref="W62">IFERROR(
MEDIAN((IF(DATOS_[[Sexo]:[Sexo]]=$B62,IF(DATOS_[[AGRUP. VALOR. PTO.]:[AGRUP. VALOR. PTO.]]=$B60,IF(DATOS_[[Check Periodo Ref.]:[Check Periodo Ref.]]="Dentro",DATOS_[Conc.Sal.18]))))),
0)</f>
        <v>0</v>
      </c>
      <c r="X62" s="111">
        <f t="array" ref="X62">IFERROR(
MEDIAN((IF(DATOS_[[Sexo]:[Sexo]]=$B62,IF(DATOS_[[AGRUP. VALOR. PTO.]:[AGRUP. VALOR. PTO.]]=$B60,IF(DATOS_[[Check Periodo Ref.]:[Check Periodo Ref.]]="Dentro",DATOS_[Conc.Sal.19]))))),
0)</f>
        <v>0</v>
      </c>
      <c r="Y62" s="111">
        <f t="array" ref="Y62">IFERROR(
MEDIAN((IF(DATOS_[[Sexo]:[Sexo]]=$B62,IF(DATOS_[[AGRUP. VALOR. PTO.]:[AGRUP. VALOR. PTO.]]=$B60,IF(DATOS_[[Check Periodo Ref.]:[Check Periodo Ref.]]="Dentro",DATOS_[Conc.Sal.20]))))),
0)</f>
        <v>0</v>
      </c>
      <c r="Z62" s="111">
        <f t="array" ref="Z62">IFERROR(
MEDIAN((IF(DATOS_[[Sexo]:[Sexo]]=$B62,IF(DATOS_[[AGRUP. VALOR. PTO.]:[AGRUP. VALOR. PTO.]]=$B60,IF(DATOS_[[Check Periodo Ref.]:[Check Periodo Ref.]]="Dentro",DATOS_[Conc.Sal.21]))))),
0)</f>
        <v>0</v>
      </c>
      <c r="AA62" s="111">
        <f t="array" ref="AA62">IFERROR(
MEDIAN((IF(DATOS_[[Sexo]:[Sexo]]=$B62,IF(DATOS_[[AGRUP. VALOR. PTO.]:[AGRUP. VALOR. PTO.]]=$B60,IF(DATOS_[[Check Periodo Ref.]:[Check Periodo Ref.]]="Dentro",DATOS_[Conc.Sal.22]))))),
0)</f>
        <v>0</v>
      </c>
      <c r="AB62" s="111">
        <f t="array" ref="AB62">IFERROR(
MEDIAN((IF(DATOS_[[Sexo]:[Sexo]]=$B62,IF(DATOS_[[AGRUP. VALOR. PTO.]:[AGRUP. VALOR. PTO.]]=$B60,IF(DATOS_[[Check Periodo Ref.]:[Check Periodo Ref.]]="Dentro",DATOS_[Conc.Sal.23]))))),
0)</f>
        <v>0</v>
      </c>
      <c r="AC62" s="111">
        <f t="array" ref="AC62">IFERROR(
MEDIAN((IF(DATOS_[[Sexo]:[Sexo]]=$B62,IF(DATOS_[[AGRUP. VALOR. PTO.]:[AGRUP. VALOR. PTO.]]=$B60,IF(DATOS_[[Check Periodo Ref.]:[Check Periodo Ref.]]="Dentro",DATOS_[Conc.Sal.24]))))),
0)</f>
        <v>0</v>
      </c>
      <c r="AD62" s="111">
        <f t="array" ref="AD62">IFERROR(
MEDIAN((IF(DATOS_[[Sexo]:[Sexo]]=$B62,IF(DATOS_[[AGRUP. VALOR. PTO.]:[AGRUP. VALOR. PTO.]]=$B60,IF(DATOS_[[Check Periodo Ref.]:[Check Periodo Ref.]]="Dentro",DATOS_[Conc.Sal.25]))))),
0)</f>
        <v>0</v>
      </c>
      <c r="AE62" s="111">
        <f t="array" ref="AE62">IFERROR(
MEDIAN((IF(DATOS_[[Sexo]:[Sexo]]=$B62,IF(DATOS_[[AGRUP. VALOR. PTO.]:[AGRUP. VALOR. PTO.]]=$B60,IF(DATOS_[[Check Periodo Ref.]:[Check Periodo Ref.]]="Dentro",DATOS_[Conc.Sal.26]))))),
0)</f>
        <v>0</v>
      </c>
      <c r="AF62" s="111">
        <f t="array" ref="AF62">IFERROR(
MEDIAN((IF(DATOS_[[Sexo]:[Sexo]]=$B62,IF(DATOS_[[AGRUP. VALOR. PTO.]:[AGRUP. VALOR. PTO.]]=$B60,IF(DATOS_[[Check Periodo Ref.]:[Check Periodo Ref.]]="Dentro",DATOS_[Conc.Sal.27]))))),
0)</f>
        <v>0</v>
      </c>
      <c r="AG62" s="111">
        <f t="array" ref="AG62">IFERROR(
MEDIAN((IF(DATOS_[[Sexo]:[Sexo]]=$B62,IF(DATOS_[[AGRUP. VALOR. PTO.]:[AGRUP. VALOR. PTO.]]=$B60,IF(DATOS_[[Check Periodo Ref.]:[Check Periodo Ref.]]="Dentro",DATOS_[Conc.Sal.28]))))),
0)</f>
        <v>0</v>
      </c>
      <c r="AH62" s="111">
        <f t="array" ref="AH62">IFERROR(
MEDIAN((IF(DATOS_[[Sexo]:[Sexo]]=$B62,IF(DATOS_[[AGRUP. VALOR. PTO.]:[AGRUP. VALOR. PTO.]]=$B60,IF(DATOS_[[Check Periodo Ref.]:[Check Periodo Ref.]]="Dentro",DATOS_[Conc.Sal.29]))))),
0)</f>
        <v>0</v>
      </c>
      <c r="AI62" s="111">
        <f t="array" ref="AI62">IFERROR(
MEDIAN((IF(DATOS_[[Sexo]:[Sexo]]=$B62,IF(DATOS_[[AGRUP. VALOR. PTO.]:[AGRUP. VALOR. PTO.]]=$B60,IF(DATOS_[[Check Periodo Ref.]:[Check Periodo Ref.]]="Dentro",DATOS_[Conc.Sal.30]))))),
0)</f>
        <v>0</v>
      </c>
      <c r="AJ62" s="112">
        <f t="array" ref="AJ62">IFERROR(
MEDIAN(IF(DATOS_[Sexo]=$B62,IF(DATOS_[AGRUP. VALOR. PTO.]=$B60,IF(DATOS_[Check Periodo Ref.]="Dentro",DATOS_[Tot COMPL.SAL Ef],FALSE)))),
0)</f>
        <v>0</v>
      </c>
      <c r="AK62" s="113">
        <f t="array" ref="AK62">IFERROR(
MEDIAN(IF(DATOS_[Sexo]=$B62,IF(DATOS_[AGRUP. VALOR. PTO.]=$B60,IF(DATOS_[Check Periodo Ref.]="Dentro",DATOS_[TOTAL SALARIO Ef],FALSE)))),
0)</f>
        <v>0</v>
      </c>
      <c r="AL62" s="114">
        <f t="array" ref="AL62">IFERROR(
MEDIAN((IF(DATOS_[[Sexo]:[Sexo]]=$B62,IF(DATOS_[[AGRUP. VALOR. PTO.]:[AGRUP. VALOR. PTO.]]=$B60,IF(DATOS_[[Check Periodo Ref.]:[Check Periodo Ref.]]="Dentro",DATOS_[C.Extra.01]))))),
0)</f>
        <v>0</v>
      </c>
      <c r="AM62" s="114">
        <f t="array" ref="AM62">IFERROR(
MEDIAN((IF(DATOS_[[Sexo]:[Sexo]]=$B62,IF(DATOS_[[AGRUP. VALOR. PTO.]:[AGRUP. VALOR. PTO.]]=$B60,IF(DATOS_[[Check Periodo Ref.]:[Check Periodo Ref.]]="Dentro",DATOS_[C.Extra.02]))))),
0)</f>
        <v>0</v>
      </c>
      <c r="AN62" s="114">
        <f t="array" ref="AN62">IFERROR(
MEDIAN((IF(DATOS_[[Sexo]:[Sexo]]=$B62,IF(DATOS_[[AGRUP. VALOR. PTO.]:[AGRUP. VALOR. PTO.]]=$B60,IF(DATOS_[[Check Periodo Ref.]:[Check Periodo Ref.]]="Dentro",DATOS_[C.Extra.03]))))),
0)</f>
        <v>0</v>
      </c>
      <c r="AO62" s="114">
        <f t="array" ref="AO62">IFERROR(
MEDIAN((IF(DATOS_[[Sexo]:[Sexo]]=$B62,IF(DATOS_[[AGRUP. VALOR. PTO.]:[AGRUP. VALOR. PTO.]]=$B60,IF(DATOS_[[Check Periodo Ref.]:[Check Periodo Ref.]]="Dentro",DATOS_[C.Extra.04]))))),
0)</f>
        <v>0</v>
      </c>
      <c r="AP62" s="114">
        <f t="array" ref="AP62">IFERROR(
MEDIAN((IF(DATOS_[[Sexo]:[Sexo]]=$B62,IF(DATOS_[[AGRUP. VALOR. PTO.]:[AGRUP. VALOR. PTO.]]=$B60,IF(DATOS_[[Check Periodo Ref.]:[Check Periodo Ref.]]="Dentro",DATOS_[C.Extra.05]))))),
0)</f>
        <v>0</v>
      </c>
      <c r="AQ62" s="115">
        <f t="array" ref="AQ62">IFERROR(
MEDIAN(IF(DATOS_[Sexo]=$B62,IF(DATOS_[AGRUP. VALOR. PTO.]=$B60,IF(DATOS_[Check Periodo Ref.]="Dentro",DATOS_[Tot Extrasalarial Ef],FALSE)))),
0)</f>
        <v>0</v>
      </c>
      <c r="AR62" s="116">
        <f t="array" ref="AR62">IFERROR(
MEDIAN(IF(DATOS_[Sexo]=$B62,IF(DATOS_[AGRUP. VALOR. PTO.]=$B60,IF(DATOS_[Check Periodo Ref.]="Dentro",DATOS_[TOTAL Retrib Ef],FALSE)))),
0)</f>
        <v>0</v>
      </c>
    </row>
    <row r="63" spans="1:44" ht="17.25" hidden="1" thickBot="1" x14ac:dyDescent="0.35">
      <c r="A63" s="42" t="str">
        <f t="shared" ref="A63" si="67">+A64</f>
        <v>[ocultar]</v>
      </c>
      <c r="B63" s="40" t="s">
        <v>276</v>
      </c>
      <c r="C63" s="109"/>
      <c r="D63" s="41"/>
      <c r="E63" s="119" t="str">
        <f t="shared" ref="E63:AR63" si="68">IFERROR((E64-E65)/E64,"")</f>
        <v/>
      </c>
      <c r="F63" s="123" t="str">
        <f t="shared" si="68"/>
        <v/>
      </c>
      <c r="G63" s="123" t="str">
        <f t="shared" si="68"/>
        <v/>
      </c>
      <c r="H63" s="123" t="str">
        <f t="shared" si="68"/>
        <v/>
      </c>
      <c r="I63" s="123" t="str">
        <f t="shared" si="68"/>
        <v/>
      </c>
      <c r="J63" s="123" t="str">
        <f t="shared" si="68"/>
        <v/>
      </c>
      <c r="K63" s="123" t="str">
        <f t="shared" si="68"/>
        <v/>
      </c>
      <c r="L63" s="123" t="str">
        <f t="shared" si="68"/>
        <v/>
      </c>
      <c r="M63" s="123" t="str">
        <f t="shared" si="68"/>
        <v/>
      </c>
      <c r="N63" s="123" t="str">
        <f t="shared" si="68"/>
        <v/>
      </c>
      <c r="O63" s="123" t="str">
        <f t="shared" si="68"/>
        <v/>
      </c>
      <c r="P63" s="123" t="str">
        <f t="shared" si="68"/>
        <v/>
      </c>
      <c r="Q63" s="123" t="str">
        <f t="shared" si="68"/>
        <v/>
      </c>
      <c r="R63" s="123" t="str">
        <f t="shared" si="68"/>
        <v/>
      </c>
      <c r="S63" s="123" t="str">
        <f t="shared" si="68"/>
        <v/>
      </c>
      <c r="T63" s="123" t="str">
        <f t="shared" si="68"/>
        <v/>
      </c>
      <c r="U63" s="123" t="str">
        <f t="shared" si="68"/>
        <v/>
      </c>
      <c r="V63" s="122" t="str">
        <f t="shared" si="68"/>
        <v/>
      </c>
      <c r="W63" s="122" t="str">
        <f t="shared" si="68"/>
        <v/>
      </c>
      <c r="X63" s="122" t="str">
        <f t="shared" si="68"/>
        <v/>
      </c>
      <c r="Y63" s="122" t="str">
        <f t="shared" si="68"/>
        <v/>
      </c>
      <c r="Z63" s="122" t="str">
        <f t="shared" si="68"/>
        <v/>
      </c>
      <c r="AA63" s="122" t="str">
        <f t="shared" si="68"/>
        <v/>
      </c>
      <c r="AB63" s="122" t="str">
        <f t="shared" si="68"/>
        <v/>
      </c>
      <c r="AC63" s="122" t="str">
        <f t="shared" si="68"/>
        <v/>
      </c>
      <c r="AD63" s="122" t="str">
        <f t="shared" si="68"/>
        <v/>
      </c>
      <c r="AE63" s="122" t="str">
        <f t="shared" si="68"/>
        <v/>
      </c>
      <c r="AF63" s="122" t="str">
        <f t="shared" si="68"/>
        <v/>
      </c>
      <c r="AG63" s="122" t="str">
        <f t="shared" si="68"/>
        <v/>
      </c>
      <c r="AH63" s="122" t="str">
        <f t="shared" si="68"/>
        <v/>
      </c>
      <c r="AI63" s="122" t="str">
        <f t="shared" si="68"/>
        <v/>
      </c>
      <c r="AJ63" s="124" t="str">
        <f t="shared" si="68"/>
        <v/>
      </c>
      <c r="AK63" s="128" t="str">
        <f t="shared" si="68"/>
        <v/>
      </c>
      <c r="AL63" s="125" t="str">
        <f t="shared" si="68"/>
        <v/>
      </c>
      <c r="AM63" s="125" t="str">
        <f t="shared" si="68"/>
        <v/>
      </c>
      <c r="AN63" s="125" t="str">
        <f t="shared" si="68"/>
        <v/>
      </c>
      <c r="AO63" s="125" t="str">
        <f t="shared" si="68"/>
        <v/>
      </c>
      <c r="AP63" s="125" t="str">
        <f t="shared" si="68"/>
        <v/>
      </c>
      <c r="AQ63" s="126" t="str">
        <f t="shared" si="68"/>
        <v/>
      </c>
      <c r="AR63" s="127" t="str">
        <f t="shared" si="68"/>
        <v/>
      </c>
    </row>
    <row r="64" spans="1:44" hidden="1" x14ac:dyDescent="0.3">
      <c r="A64" s="42" t="str">
        <f t="shared" ref="A64" si="69">+IF(C64+C65=0,"[ocultar]","")</f>
        <v>[ocultar]</v>
      </c>
      <c r="B64" s="34" t="s">
        <v>162</v>
      </c>
      <c r="C64" s="33">
        <f t="array" ref="C64">SUM(IF($B64=DATOS_[Sexo],
IF($B63=DATOS_[AGRUP. VALOR. PTO.],
IF("Dentro"=DATOS_[Check Periodo Ref.],
1/(COUNTIFS(DATOS_[Sexo],$B64,DATOS_[AGRUP. VALOR. PTO.],$B63,DATOS_[Check Periodo Ref.],"Dentro",DATOS_[id],DATOS_[id]))))))</f>
        <v>0</v>
      </c>
      <c r="D64" s="35">
        <f>COUNTIFS(DATOS_[AGRUP. VALOR. PTO.],$B63,DATOS_[Sexo],$B64,DATOS_[Check Periodo Ref.],"Dentro")</f>
        <v>0</v>
      </c>
      <c r="E64" s="110">
        <f t="array" ref="E64">IFERROR(
MEDIAN(IF(DATOS_[Sexo]=$B64,IF(DATOS_[AGRUP. VALOR. PTO.]=$B63,IF(DATOS_[Check Periodo Ref.]="Dentro",DATOS_[SALARIO BASE Ef],FALSE)))),
0)</f>
        <v>0</v>
      </c>
      <c r="F64" s="111">
        <f t="array" ref="F64">IFERROR(
MEDIAN((IF(DATOS_[[Sexo]:[Sexo]]=$B64,IF(DATOS_[[AGRUP. VALOR. PTO.]:[AGRUP. VALOR. PTO.]]=$B63,IF(DATOS_[[Check Periodo Ref.]:[Check Periodo Ref.]]="Dentro",DATOS_[Conc.Sal.01]))))),
0)</f>
        <v>0</v>
      </c>
      <c r="G64" s="111">
        <f t="array" ref="G64">IFERROR(
MEDIAN((IF(DATOS_[[Sexo]:[Sexo]]=$B64,IF(DATOS_[[AGRUP. VALOR. PTO.]:[AGRUP. VALOR. PTO.]]=$B63,IF(DATOS_[[Check Periodo Ref.]:[Check Periodo Ref.]]="Dentro",DATOS_[Conc.Sal.02]))))),
0)</f>
        <v>0</v>
      </c>
      <c r="H64" s="111">
        <f t="array" ref="H64">IFERROR(
MEDIAN((IF(DATOS_[[Sexo]:[Sexo]]=$B64,IF(DATOS_[[AGRUP. VALOR. PTO.]:[AGRUP. VALOR. PTO.]]=$B63,IF(DATOS_[[Check Periodo Ref.]:[Check Periodo Ref.]]="Dentro",DATOS_[Conc.Sal.03]))))),
0)</f>
        <v>0</v>
      </c>
      <c r="I64" s="111">
        <f t="array" ref="I64">IFERROR(
MEDIAN((IF(DATOS_[[Sexo]:[Sexo]]=$B64,IF(DATOS_[[AGRUP. VALOR. PTO.]:[AGRUP. VALOR. PTO.]]=$B63,IF(DATOS_[[Check Periodo Ref.]:[Check Periodo Ref.]]="Dentro",DATOS_[Conc.Sal.04]))))),
0)</f>
        <v>0</v>
      </c>
      <c r="J64" s="111">
        <f t="array" ref="J64">IFERROR(
MEDIAN((IF(DATOS_[[Sexo]:[Sexo]]=$B64,IF(DATOS_[[AGRUP. VALOR. PTO.]:[AGRUP. VALOR. PTO.]]=$B63,IF(DATOS_[[Check Periodo Ref.]:[Check Periodo Ref.]]="Dentro",DATOS_[Conc.Sal.05]))))),
0)</f>
        <v>0</v>
      </c>
      <c r="K64" s="111">
        <f t="array" ref="K64">IFERROR(
MEDIAN((IF(DATOS_[[Sexo]:[Sexo]]=$B64,IF(DATOS_[[AGRUP. VALOR. PTO.]:[AGRUP. VALOR. PTO.]]=$B63,IF(DATOS_[[Check Periodo Ref.]:[Check Periodo Ref.]]="Dentro",DATOS_[Conc.Sal.06]))))),
0)</f>
        <v>0</v>
      </c>
      <c r="L64" s="111">
        <f t="array" ref="L64">IFERROR(
MEDIAN((IF(DATOS_[[Sexo]:[Sexo]]=$B64,IF(DATOS_[[AGRUP. VALOR. PTO.]:[AGRUP. VALOR. PTO.]]=$B63,IF(DATOS_[[Check Periodo Ref.]:[Check Periodo Ref.]]="Dentro",DATOS_[Conc.Sal.07]))))),
0)</f>
        <v>0</v>
      </c>
      <c r="M64" s="111">
        <f t="array" ref="M64">IFERROR(
MEDIAN((IF(DATOS_[[Sexo]:[Sexo]]=$B64,IF(DATOS_[[AGRUP. VALOR. PTO.]:[AGRUP. VALOR. PTO.]]=$B63,IF(DATOS_[[Check Periodo Ref.]:[Check Periodo Ref.]]="Dentro",DATOS_[Conc.Sal.08]))))),
0)</f>
        <v>0</v>
      </c>
      <c r="N64" s="111">
        <f t="array" ref="N64">IFERROR(
MEDIAN((IF(DATOS_[[Sexo]:[Sexo]]=$B64,IF(DATOS_[[AGRUP. VALOR. PTO.]:[AGRUP. VALOR. PTO.]]=$B63,IF(DATOS_[[Check Periodo Ref.]:[Check Periodo Ref.]]="Dentro",DATOS_[Conc.Sal.09]))))),
0)</f>
        <v>0</v>
      </c>
      <c r="O64" s="111">
        <f t="array" ref="O64">IFERROR(
MEDIAN((IF(DATOS_[[Sexo]:[Sexo]]=$B64,IF(DATOS_[[AGRUP. VALOR. PTO.]:[AGRUP. VALOR. PTO.]]=$B63,IF(DATOS_[[Check Periodo Ref.]:[Check Periodo Ref.]]="Dentro",DATOS_[Conc.Sal.10]))))),
0)</f>
        <v>0</v>
      </c>
      <c r="P64" s="111">
        <f t="array" ref="P64">IFERROR(
MEDIAN((IF(DATOS_[[Sexo]:[Sexo]]=$B64,IF(DATOS_[[AGRUP. VALOR. PTO.]:[AGRUP. VALOR. PTO.]]=$B63,IF(DATOS_[[Check Periodo Ref.]:[Check Periodo Ref.]]="Dentro",DATOS_[Conc.Sal.11]))))),
0)</f>
        <v>0</v>
      </c>
      <c r="Q64" s="111">
        <f t="array" ref="Q64">IFERROR(
MEDIAN((IF(DATOS_[[Sexo]:[Sexo]]=$B64,IF(DATOS_[[AGRUP. VALOR. PTO.]:[AGRUP. VALOR. PTO.]]=$B63,IF(DATOS_[[Check Periodo Ref.]:[Check Periodo Ref.]]="Dentro",DATOS_[Conc.Sal.12]))))),
0)</f>
        <v>0</v>
      </c>
      <c r="R64" s="111">
        <f t="array" ref="R64">IFERROR(
MEDIAN((IF(DATOS_[[Sexo]:[Sexo]]=$B64,IF(DATOS_[[AGRUP. VALOR. PTO.]:[AGRUP. VALOR. PTO.]]=$B63,IF(DATOS_[[Check Periodo Ref.]:[Check Periodo Ref.]]="Dentro",DATOS_[Conc.Sal.13]))))),
0)</f>
        <v>0</v>
      </c>
      <c r="S64" s="111">
        <f t="array" ref="S64">IFERROR(
MEDIAN((IF(DATOS_[[Sexo]:[Sexo]]=$B64,IF(DATOS_[[AGRUP. VALOR. PTO.]:[AGRUP. VALOR. PTO.]]=$B63,IF(DATOS_[[Check Periodo Ref.]:[Check Periodo Ref.]]="Dentro",DATOS_[Conc.Sal.14]))))),
0)</f>
        <v>0</v>
      </c>
      <c r="T64" s="111">
        <f t="array" ref="T64">IFERROR(
MEDIAN((IF(DATOS_[[Sexo]:[Sexo]]=$B64,IF(DATOS_[[AGRUP. VALOR. PTO.]:[AGRUP. VALOR. PTO.]]=$B63,IF(DATOS_[[Check Periodo Ref.]:[Check Periodo Ref.]]="Dentro",DATOS_[Conc.Sal.15]))))),
0)</f>
        <v>0</v>
      </c>
      <c r="U64" s="111">
        <f t="array" ref="U64">IFERROR(
MEDIAN((IF(DATOS_[[Sexo]:[Sexo]]=$B64,IF(DATOS_[[AGRUP. VALOR. PTO.]:[AGRUP. VALOR. PTO.]]=$B63,IF(DATOS_[[Check Periodo Ref.]:[Check Periodo Ref.]]="Dentro",DATOS_[Conc.Sal.16]))))),
0)</f>
        <v>0</v>
      </c>
      <c r="V64" s="111">
        <f t="array" ref="V64">IFERROR(
MEDIAN((IF(DATOS_[[Sexo]:[Sexo]]=$B64,IF(DATOS_[[AGRUP. VALOR. PTO.]:[AGRUP. VALOR. PTO.]]=$B63,IF(DATOS_[[Check Periodo Ref.]:[Check Periodo Ref.]]="Dentro",DATOS_[Conc.Sal.17]))))),
0)</f>
        <v>0</v>
      </c>
      <c r="W64" s="111">
        <f t="array" ref="W64">IFERROR(
MEDIAN((IF(DATOS_[[Sexo]:[Sexo]]=$B64,IF(DATOS_[[AGRUP. VALOR. PTO.]:[AGRUP. VALOR. PTO.]]=$B63,IF(DATOS_[[Check Periodo Ref.]:[Check Periodo Ref.]]="Dentro",DATOS_[Conc.Sal.18]))))),
0)</f>
        <v>0</v>
      </c>
      <c r="X64" s="111">
        <f t="array" ref="X64">IFERROR(
MEDIAN((IF(DATOS_[[Sexo]:[Sexo]]=$B64,IF(DATOS_[[AGRUP. VALOR. PTO.]:[AGRUP. VALOR. PTO.]]=$B63,IF(DATOS_[[Check Periodo Ref.]:[Check Periodo Ref.]]="Dentro",DATOS_[Conc.Sal.19]))))),
0)</f>
        <v>0</v>
      </c>
      <c r="Y64" s="111">
        <f t="array" ref="Y64">IFERROR(
MEDIAN((IF(DATOS_[[Sexo]:[Sexo]]=$B64,IF(DATOS_[[AGRUP. VALOR. PTO.]:[AGRUP. VALOR. PTO.]]=$B63,IF(DATOS_[[Check Periodo Ref.]:[Check Periodo Ref.]]="Dentro",DATOS_[Conc.Sal.20]))))),
0)</f>
        <v>0</v>
      </c>
      <c r="Z64" s="111">
        <f t="array" ref="Z64">IFERROR(
MEDIAN((IF(DATOS_[[Sexo]:[Sexo]]=$B64,IF(DATOS_[[AGRUP. VALOR. PTO.]:[AGRUP. VALOR. PTO.]]=$B63,IF(DATOS_[[Check Periodo Ref.]:[Check Periodo Ref.]]="Dentro",DATOS_[Conc.Sal.21]))))),
0)</f>
        <v>0</v>
      </c>
      <c r="AA64" s="111">
        <f t="array" ref="AA64">IFERROR(
MEDIAN((IF(DATOS_[[Sexo]:[Sexo]]=$B64,IF(DATOS_[[AGRUP. VALOR. PTO.]:[AGRUP. VALOR. PTO.]]=$B63,IF(DATOS_[[Check Periodo Ref.]:[Check Periodo Ref.]]="Dentro",DATOS_[Conc.Sal.22]))))),
0)</f>
        <v>0</v>
      </c>
      <c r="AB64" s="111">
        <f t="array" ref="AB64">IFERROR(
MEDIAN((IF(DATOS_[[Sexo]:[Sexo]]=$B64,IF(DATOS_[[AGRUP. VALOR. PTO.]:[AGRUP. VALOR. PTO.]]=$B63,IF(DATOS_[[Check Periodo Ref.]:[Check Periodo Ref.]]="Dentro",DATOS_[Conc.Sal.23]))))),
0)</f>
        <v>0</v>
      </c>
      <c r="AC64" s="111">
        <f t="array" ref="AC64">IFERROR(
MEDIAN((IF(DATOS_[[Sexo]:[Sexo]]=$B64,IF(DATOS_[[AGRUP. VALOR. PTO.]:[AGRUP. VALOR. PTO.]]=$B63,IF(DATOS_[[Check Periodo Ref.]:[Check Periodo Ref.]]="Dentro",DATOS_[Conc.Sal.24]))))),
0)</f>
        <v>0</v>
      </c>
      <c r="AD64" s="111">
        <f t="array" ref="AD64">IFERROR(
MEDIAN((IF(DATOS_[[Sexo]:[Sexo]]=$B64,IF(DATOS_[[AGRUP. VALOR. PTO.]:[AGRUP. VALOR. PTO.]]=$B63,IF(DATOS_[[Check Periodo Ref.]:[Check Periodo Ref.]]="Dentro",DATOS_[Conc.Sal.25]))))),
0)</f>
        <v>0</v>
      </c>
      <c r="AE64" s="111">
        <f t="array" ref="AE64">IFERROR(
MEDIAN((IF(DATOS_[[Sexo]:[Sexo]]=$B64,IF(DATOS_[[AGRUP. VALOR. PTO.]:[AGRUP. VALOR. PTO.]]=$B63,IF(DATOS_[[Check Periodo Ref.]:[Check Periodo Ref.]]="Dentro",DATOS_[Conc.Sal.26]))))),
0)</f>
        <v>0</v>
      </c>
      <c r="AF64" s="111">
        <f t="array" ref="AF64">IFERROR(
MEDIAN((IF(DATOS_[[Sexo]:[Sexo]]=$B64,IF(DATOS_[[AGRUP. VALOR. PTO.]:[AGRUP. VALOR. PTO.]]=$B63,IF(DATOS_[[Check Periodo Ref.]:[Check Periodo Ref.]]="Dentro",DATOS_[Conc.Sal.27]))))),
0)</f>
        <v>0</v>
      </c>
      <c r="AG64" s="111">
        <f t="array" ref="AG64">IFERROR(
MEDIAN((IF(DATOS_[[Sexo]:[Sexo]]=$B64,IF(DATOS_[[AGRUP. VALOR. PTO.]:[AGRUP. VALOR. PTO.]]=$B63,IF(DATOS_[[Check Periodo Ref.]:[Check Periodo Ref.]]="Dentro",DATOS_[Conc.Sal.28]))))),
0)</f>
        <v>0</v>
      </c>
      <c r="AH64" s="111">
        <f t="array" ref="AH64">IFERROR(
MEDIAN((IF(DATOS_[[Sexo]:[Sexo]]=$B64,IF(DATOS_[[AGRUP. VALOR. PTO.]:[AGRUP. VALOR. PTO.]]=$B63,IF(DATOS_[[Check Periodo Ref.]:[Check Periodo Ref.]]="Dentro",DATOS_[Conc.Sal.29]))))),
0)</f>
        <v>0</v>
      </c>
      <c r="AI64" s="111">
        <f t="array" ref="AI64">IFERROR(
MEDIAN((IF(DATOS_[[Sexo]:[Sexo]]=$B64,IF(DATOS_[[AGRUP. VALOR. PTO.]:[AGRUP. VALOR. PTO.]]=$B63,IF(DATOS_[[Check Periodo Ref.]:[Check Periodo Ref.]]="Dentro",DATOS_[Conc.Sal.30]))))),
0)</f>
        <v>0</v>
      </c>
      <c r="AJ64" s="112">
        <f t="array" ref="AJ64">IFERROR(
MEDIAN(IF(DATOS_[Sexo]=$B64,IF(DATOS_[AGRUP. VALOR. PTO.]=$B63,IF(DATOS_[Check Periodo Ref.]="Dentro",DATOS_[Tot COMPL.SAL Ef],FALSE)))),
0)</f>
        <v>0</v>
      </c>
      <c r="AK64" s="113">
        <f t="array" ref="AK64">IFERROR(
MEDIAN(IF(DATOS_[Sexo]=$B64,IF(DATOS_[AGRUP. VALOR. PTO.]=$B63,IF(DATOS_[Check Periodo Ref.]="Dentro",DATOS_[TOTAL SALARIO Ef],FALSE)))),
0)</f>
        <v>0</v>
      </c>
      <c r="AL64" s="114">
        <f t="array" ref="AL64">IFERROR(
MEDIAN((IF(DATOS_[[Sexo]:[Sexo]]=$B64,IF(DATOS_[[AGRUP. VALOR. PTO.]:[AGRUP. VALOR. PTO.]]=$B63,IF(DATOS_[[Check Periodo Ref.]:[Check Periodo Ref.]]="Dentro",DATOS_[C.Extra.01]))))),
0)</f>
        <v>0</v>
      </c>
      <c r="AM64" s="114">
        <f t="array" ref="AM64">IFERROR(
MEDIAN((IF(DATOS_[[Sexo]:[Sexo]]=$B64,IF(DATOS_[[AGRUP. VALOR. PTO.]:[AGRUP. VALOR. PTO.]]=$B63,IF(DATOS_[[Check Periodo Ref.]:[Check Periodo Ref.]]="Dentro",DATOS_[C.Extra.02]))))),
0)</f>
        <v>0</v>
      </c>
      <c r="AN64" s="114">
        <f t="array" ref="AN64">IFERROR(
MEDIAN((IF(DATOS_[[Sexo]:[Sexo]]=$B64,IF(DATOS_[[AGRUP. VALOR. PTO.]:[AGRUP. VALOR. PTO.]]=$B63,IF(DATOS_[[Check Periodo Ref.]:[Check Periodo Ref.]]="Dentro",DATOS_[C.Extra.03]))))),
0)</f>
        <v>0</v>
      </c>
      <c r="AO64" s="114">
        <f t="array" ref="AO64">IFERROR(
MEDIAN((IF(DATOS_[[Sexo]:[Sexo]]=$B64,IF(DATOS_[[AGRUP. VALOR. PTO.]:[AGRUP. VALOR. PTO.]]=$B63,IF(DATOS_[[Check Periodo Ref.]:[Check Periodo Ref.]]="Dentro",DATOS_[C.Extra.04]))))),
0)</f>
        <v>0</v>
      </c>
      <c r="AP64" s="114">
        <f t="array" ref="AP64">IFERROR(
MEDIAN((IF(DATOS_[[Sexo]:[Sexo]]=$B64,IF(DATOS_[[AGRUP. VALOR. PTO.]:[AGRUP. VALOR. PTO.]]=$B63,IF(DATOS_[[Check Periodo Ref.]:[Check Periodo Ref.]]="Dentro",DATOS_[C.Extra.05]))))),
0)</f>
        <v>0</v>
      </c>
      <c r="AQ64" s="115">
        <f t="array" ref="AQ64">IFERROR(
MEDIAN(IF(DATOS_[Sexo]=$B64,IF(DATOS_[AGRUP. VALOR. PTO.]=$B63,IF(DATOS_[Check Periodo Ref.]="Dentro",DATOS_[Tot Extrasalarial Ef],FALSE)))),
0)</f>
        <v>0</v>
      </c>
      <c r="AR64" s="116">
        <f t="array" ref="AR64">IFERROR(
MEDIAN(IF(DATOS_[Sexo]=$B64,IF(DATOS_[AGRUP. VALOR. PTO.]=$B63,IF(DATOS_[Check Periodo Ref.]="Dentro",DATOS_[TOTAL Retrib Ef],FALSE)))),
0)</f>
        <v>0</v>
      </c>
    </row>
    <row r="65" spans="1:44" hidden="1" x14ac:dyDescent="0.3">
      <c r="A65" s="42" t="str">
        <f t="shared" ref="A65" si="70">+A64</f>
        <v>[ocultar]</v>
      </c>
      <c r="B65" s="34" t="s">
        <v>163</v>
      </c>
      <c r="C65" s="33">
        <f t="array" ref="C65">SUM(IF($B65=DATOS_[Sexo],
IF($B63=DATOS_[AGRUP. VALOR. PTO.],
IF("Dentro"=DATOS_[Check Periodo Ref.],
1/(COUNTIFS(DATOS_[Sexo],$B65,DATOS_[AGRUP. VALOR. PTO.],$B63,DATOS_[Check Periodo Ref.],"Dentro",DATOS_[id],DATOS_[id]))))))</f>
        <v>0</v>
      </c>
      <c r="D65" s="35">
        <f>COUNTIFS(DATOS_[AGRUP. VALOR. PTO.],$B63,DATOS_[Sexo],$B65,DATOS_[Check Periodo Ref.],"Dentro")</f>
        <v>0</v>
      </c>
      <c r="E65" s="110">
        <f t="array" ref="E65">IFERROR(
MEDIAN(IF(DATOS_[Sexo]=$B65,IF(DATOS_[AGRUP. VALOR. PTO.]=$B63,IF(DATOS_[Check Periodo Ref.]="Dentro",DATOS_[SALARIO BASE Ef],FALSE)))),
0)</f>
        <v>0</v>
      </c>
      <c r="F65" s="111">
        <f t="array" ref="F65">IFERROR(
MEDIAN((IF(DATOS_[[Sexo]:[Sexo]]=$B65,IF(DATOS_[[AGRUP. VALOR. PTO.]:[AGRUP. VALOR. PTO.]]=$B63,IF(DATOS_[[Check Periodo Ref.]:[Check Periodo Ref.]]="Dentro",DATOS_[Conc.Sal.01]))))),
0)</f>
        <v>0</v>
      </c>
      <c r="G65" s="111">
        <f t="array" ref="G65">IFERROR(
MEDIAN((IF(DATOS_[[Sexo]:[Sexo]]=$B65,IF(DATOS_[[AGRUP. VALOR. PTO.]:[AGRUP. VALOR. PTO.]]=$B63,IF(DATOS_[[Check Periodo Ref.]:[Check Periodo Ref.]]="Dentro",DATOS_[Conc.Sal.02]))))),
0)</f>
        <v>0</v>
      </c>
      <c r="H65" s="111">
        <f t="array" ref="H65">IFERROR(
MEDIAN((IF(DATOS_[[Sexo]:[Sexo]]=$B65,IF(DATOS_[[AGRUP. VALOR. PTO.]:[AGRUP. VALOR. PTO.]]=$B63,IF(DATOS_[[Check Periodo Ref.]:[Check Periodo Ref.]]="Dentro",DATOS_[Conc.Sal.03]))))),
0)</f>
        <v>0</v>
      </c>
      <c r="I65" s="111">
        <f t="array" ref="I65">IFERROR(
MEDIAN((IF(DATOS_[[Sexo]:[Sexo]]=$B65,IF(DATOS_[[AGRUP. VALOR. PTO.]:[AGRUP. VALOR. PTO.]]=$B63,IF(DATOS_[[Check Periodo Ref.]:[Check Periodo Ref.]]="Dentro",DATOS_[Conc.Sal.04]))))),
0)</f>
        <v>0</v>
      </c>
      <c r="J65" s="111">
        <f t="array" ref="J65">IFERROR(
MEDIAN((IF(DATOS_[[Sexo]:[Sexo]]=$B65,IF(DATOS_[[AGRUP. VALOR. PTO.]:[AGRUP. VALOR. PTO.]]=$B63,IF(DATOS_[[Check Periodo Ref.]:[Check Periodo Ref.]]="Dentro",DATOS_[Conc.Sal.05]))))),
0)</f>
        <v>0</v>
      </c>
      <c r="K65" s="111">
        <f t="array" ref="K65">IFERROR(
MEDIAN((IF(DATOS_[[Sexo]:[Sexo]]=$B65,IF(DATOS_[[AGRUP. VALOR. PTO.]:[AGRUP. VALOR. PTO.]]=$B63,IF(DATOS_[[Check Periodo Ref.]:[Check Periodo Ref.]]="Dentro",DATOS_[Conc.Sal.06]))))),
0)</f>
        <v>0</v>
      </c>
      <c r="L65" s="111">
        <f t="array" ref="L65">IFERROR(
MEDIAN((IF(DATOS_[[Sexo]:[Sexo]]=$B65,IF(DATOS_[[AGRUP. VALOR. PTO.]:[AGRUP. VALOR. PTO.]]=$B63,IF(DATOS_[[Check Periodo Ref.]:[Check Periodo Ref.]]="Dentro",DATOS_[Conc.Sal.07]))))),
0)</f>
        <v>0</v>
      </c>
      <c r="M65" s="111">
        <f t="array" ref="M65">IFERROR(
MEDIAN((IF(DATOS_[[Sexo]:[Sexo]]=$B65,IF(DATOS_[[AGRUP. VALOR. PTO.]:[AGRUP. VALOR. PTO.]]=$B63,IF(DATOS_[[Check Periodo Ref.]:[Check Periodo Ref.]]="Dentro",DATOS_[Conc.Sal.08]))))),
0)</f>
        <v>0</v>
      </c>
      <c r="N65" s="111">
        <f t="array" ref="N65">IFERROR(
MEDIAN((IF(DATOS_[[Sexo]:[Sexo]]=$B65,IF(DATOS_[[AGRUP. VALOR. PTO.]:[AGRUP. VALOR. PTO.]]=$B63,IF(DATOS_[[Check Periodo Ref.]:[Check Periodo Ref.]]="Dentro",DATOS_[Conc.Sal.09]))))),
0)</f>
        <v>0</v>
      </c>
      <c r="O65" s="111">
        <f t="array" ref="O65">IFERROR(
MEDIAN((IF(DATOS_[[Sexo]:[Sexo]]=$B65,IF(DATOS_[[AGRUP. VALOR. PTO.]:[AGRUP. VALOR. PTO.]]=$B63,IF(DATOS_[[Check Periodo Ref.]:[Check Periodo Ref.]]="Dentro",DATOS_[Conc.Sal.10]))))),
0)</f>
        <v>0</v>
      </c>
      <c r="P65" s="111">
        <f t="array" ref="P65">IFERROR(
MEDIAN((IF(DATOS_[[Sexo]:[Sexo]]=$B65,IF(DATOS_[[AGRUP. VALOR. PTO.]:[AGRUP. VALOR. PTO.]]=$B63,IF(DATOS_[[Check Periodo Ref.]:[Check Periodo Ref.]]="Dentro",DATOS_[Conc.Sal.11]))))),
0)</f>
        <v>0</v>
      </c>
      <c r="Q65" s="111">
        <f t="array" ref="Q65">IFERROR(
MEDIAN((IF(DATOS_[[Sexo]:[Sexo]]=$B65,IF(DATOS_[[AGRUP. VALOR. PTO.]:[AGRUP. VALOR. PTO.]]=$B63,IF(DATOS_[[Check Periodo Ref.]:[Check Periodo Ref.]]="Dentro",DATOS_[Conc.Sal.12]))))),
0)</f>
        <v>0</v>
      </c>
      <c r="R65" s="111">
        <f t="array" ref="R65">IFERROR(
MEDIAN((IF(DATOS_[[Sexo]:[Sexo]]=$B65,IF(DATOS_[[AGRUP. VALOR. PTO.]:[AGRUP. VALOR. PTO.]]=$B63,IF(DATOS_[[Check Periodo Ref.]:[Check Periodo Ref.]]="Dentro",DATOS_[Conc.Sal.13]))))),
0)</f>
        <v>0</v>
      </c>
      <c r="S65" s="111">
        <f t="array" ref="S65">IFERROR(
MEDIAN((IF(DATOS_[[Sexo]:[Sexo]]=$B65,IF(DATOS_[[AGRUP. VALOR. PTO.]:[AGRUP. VALOR. PTO.]]=$B63,IF(DATOS_[[Check Periodo Ref.]:[Check Periodo Ref.]]="Dentro",DATOS_[Conc.Sal.14]))))),
0)</f>
        <v>0</v>
      </c>
      <c r="T65" s="111">
        <f t="array" ref="T65">IFERROR(
MEDIAN((IF(DATOS_[[Sexo]:[Sexo]]=$B65,IF(DATOS_[[AGRUP. VALOR. PTO.]:[AGRUP. VALOR. PTO.]]=$B63,IF(DATOS_[[Check Periodo Ref.]:[Check Periodo Ref.]]="Dentro",DATOS_[Conc.Sal.15]))))),
0)</f>
        <v>0</v>
      </c>
      <c r="U65" s="111">
        <f t="array" ref="U65">IFERROR(
MEDIAN((IF(DATOS_[[Sexo]:[Sexo]]=$B65,IF(DATOS_[[AGRUP. VALOR. PTO.]:[AGRUP. VALOR. PTO.]]=$B63,IF(DATOS_[[Check Periodo Ref.]:[Check Periodo Ref.]]="Dentro",DATOS_[Conc.Sal.16]))))),
0)</f>
        <v>0</v>
      </c>
      <c r="V65" s="111">
        <f t="array" ref="V65">IFERROR(
MEDIAN((IF(DATOS_[[Sexo]:[Sexo]]=$B65,IF(DATOS_[[AGRUP. VALOR. PTO.]:[AGRUP. VALOR. PTO.]]=$B63,IF(DATOS_[[Check Periodo Ref.]:[Check Periodo Ref.]]="Dentro",DATOS_[Conc.Sal.17]))))),
0)</f>
        <v>0</v>
      </c>
      <c r="W65" s="111">
        <f t="array" ref="W65">IFERROR(
MEDIAN((IF(DATOS_[[Sexo]:[Sexo]]=$B65,IF(DATOS_[[AGRUP. VALOR. PTO.]:[AGRUP. VALOR. PTO.]]=$B63,IF(DATOS_[[Check Periodo Ref.]:[Check Periodo Ref.]]="Dentro",DATOS_[Conc.Sal.18]))))),
0)</f>
        <v>0</v>
      </c>
      <c r="X65" s="111">
        <f t="array" ref="X65">IFERROR(
MEDIAN((IF(DATOS_[[Sexo]:[Sexo]]=$B65,IF(DATOS_[[AGRUP. VALOR. PTO.]:[AGRUP. VALOR. PTO.]]=$B63,IF(DATOS_[[Check Periodo Ref.]:[Check Periodo Ref.]]="Dentro",DATOS_[Conc.Sal.19]))))),
0)</f>
        <v>0</v>
      </c>
      <c r="Y65" s="111">
        <f t="array" ref="Y65">IFERROR(
MEDIAN((IF(DATOS_[[Sexo]:[Sexo]]=$B65,IF(DATOS_[[AGRUP. VALOR. PTO.]:[AGRUP. VALOR. PTO.]]=$B63,IF(DATOS_[[Check Periodo Ref.]:[Check Periodo Ref.]]="Dentro",DATOS_[Conc.Sal.20]))))),
0)</f>
        <v>0</v>
      </c>
      <c r="Z65" s="111">
        <f t="array" ref="Z65">IFERROR(
MEDIAN((IF(DATOS_[[Sexo]:[Sexo]]=$B65,IF(DATOS_[[AGRUP. VALOR. PTO.]:[AGRUP. VALOR. PTO.]]=$B63,IF(DATOS_[[Check Periodo Ref.]:[Check Periodo Ref.]]="Dentro",DATOS_[Conc.Sal.21]))))),
0)</f>
        <v>0</v>
      </c>
      <c r="AA65" s="111">
        <f t="array" ref="AA65">IFERROR(
MEDIAN((IF(DATOS_[[Sexo]:[Sexo]]=$B65,IF(DATOS_[[AGRUP. VALOR. PTO.]:[AGRUP. VALOR. PTO.]]=$B63,IF(DATOS_[[Check Periodo Ref.]:[Check Periodo Ref.]]="Dentro",DATOS_[Conc.Sal.22]))))),
0)</f>
        <v>0</v>
      </c>
      <c r="AB65" s="111">
        <f t="array" ref="AB65">IFERROR(
MEDIAN((IF(DATOS_[[Sexo]:[Sexo]]=$B65,IF(DATOS_[[AGRUP. VALOR. PTO.]:[AGRUP. VALOR. PTO.]]=$B63,IF(DATOS_[[Check Periodo Ref.]:[Check Periodo Ref.]]="Dentro",DATOS_[Conc.Sal.23]))))),
0)</f>
        <v>0</v>
      </c>
      <c r="AC65" s="111">
        <f t="array" ref="AC65">IFERROR(
MEDIAN((IF(DATOS_[[Sexo]:[Sexo]]=$B65,IF(DATOS_[[AGRUP. VALOR. PTO.]:[AGRUP. VALOR. PTO.]]=$B63,IF(DATOS_[[Check Periodo Ref.]:[Check Periodo Ref.]]="Dentro",DATOS_[Conc.Sal.24]))))),
0)</f>
        <v>0</v>
      </c>
      <c r="AD65" s="111">
        <f t="array" ref="AD65">IFERROR(
MEDIAN((IF(DATOS_[[Sexo]:[Sexo]]=$B65,IF(DATOS_[[AGRUP. VALOR. PTO.]:[AGRUP. VALOR. PTO.]]=$B63,IF(DATOS_[[Check Periodo Ref.]:[Check Periodo Ref.]]="Dentro",DATOS_[Conc.Sal.25]))))),
0)</f>
        <v>0</v>
      </c>
      <c r="AE65" s="111">
        <f t="array" ref="AE65">IFERROR(
MEDIAN((IF(DATOS_[[Sexo]:[Sexo]]=$B65,IF(DATOS_[[AGRUP. VALOR. PTO.]:[AGRUP. VALOR. PTO.]]=$B63,IF(DATOS_[[Check Periodo Ref.]:[Check Periodo Ref.]]="Dentro",DATOS_[Conc.Sal.26]))))),
0)</f>
        <v>0</v>
      </c>
      <c r="AF65" s="111">
        <f t="array" ref="AF65">IFERROR(
MEDIAN((IF(DATOS_[[Sexo]:[Sexo]]=$B65,IF(DATOS_[[AGRUP. VALOR. PTO.]:[AGRUP. VALOR. PTO.]]=$B63,IF(DATOS_[[Check Periodo Ref.]:[Check Periodo Ref.]]="Dentro",DATOS_[Conc.Sal.27]))))),
0)</f>
        <v>0</v>
      </c>
      <c r="AG65" s="111">
        <f t="array" ref="AG65">IFERROR(
MEDIAN((IF(DATOS_[[Sexo]:[Sexo]]=$B65,IF(DATOS_[[AGRUP. VALOR. PTO.]:[AGRUP. VALOR. PTO.]]=$B63,IF(DATOS_[[Check Periodo Ref.]:[Check Periodo Ref.]]="Dentro",DATOS_[Conc.Sal.28]))))),
0)</f>
        <v>0</v>
      </c>
      <c r="AH65" s="111">
        <f t="array" ref="AH65">IFERROR(
MEDIAN((IF(DATOS_[[Sexo]:[Sexo]]=$B65,IF(DATOS_[[AGRUP. VALOR. PTO.]:[AGRUP. VALOR. PTO.]]=$B63,IF(DATOS_[[Check Periodo Ref.]:[Check Periodo Ref.]]="Dentro",DATOS_[Conc.Sal.29]))))),
0)</f>
        <v>0</v>
      </c>
      <c r="AI65" s="111">
        <f t="array" ref="AI65">IFERROR(
MEDIAN((IF(DATOS_[[Sexo]:[Sexo]]=$B65,IF(DATOS_[[AGRUP. VALOR. PTO.]:[AGRUP. VALOR. PTO.]]=$B63,IF(DATOS_[[Check Periodo Ref.]:[Check Periodo Ref.]]="Dentro",DATOS_[Conc.Sal.30]))))),
0)</f>
        <v>0</v>
      </c>
      <c r="AJ65" s="112">
        <f t="array" ref="AJ65">IFERROR(
MEDIAN(IF(DATOS_[Sexo]=$B65,IF(DATOS_[AGRUP. VALOR. PTO.]=$B63,IF(DATOS_[Check Periodo Ref.]="Dentro",DATOS_[Tot COMPL.SAL Ef],FALSE)))),
0)</f>
        <v>0</v>
      </c>
      <c r="AK65" s="113">
        <f t="array" ref="AK65">IFERROR(
MEDIAN(IF(DATOS_[Sexo]=$B65,IF(DATOS_[AGRUP. VALOR. PTO.]=$B63,IF(DATOS_[Check Periodo Ref.]="Dentro",DATOS_[TOTAL SALARIO Ef],FALSE)))),
0)</f>
        <v>0</v>
      </c>
      <c r="AL65" s="114">
        <f t="array" ref="AL65">IFERROR(
MEDIAN((IF(DATOS_[[Sexo]:[Sexo]]=$B65,IF(DATOS_[[AGRUP. VALOR. PTO.]:[AGRUP. VALOR. PTO.]]=$B63,IF(DATOS_[[Check Periodo Ref.]:[Check Periodo Ref.]]="Dentro",DATOS_[C.Extra.01]))))),
0)</f>
        <v>0</v>
      </c>
      <c r="AM65" s="114">
        <f t="array" ref="AM65">IFERROR(
MEDIAN((IF(DATOS_[[Sexo]:[Sexo]]=$B65,IF(DATOS_[[AGRUP. VALOR. PTO.]:[AGRUP. VALOR. PTO.]]=$B63,IF(DATOS_[[Check Periodo Ref.]:[Check Periodo Ref.]]="Dentro",DATOS_[C.Extra.02]))))),
0)</f>
        <v>0</v>
      </c>
      <c r="AN65" s="114">
        <f t="array" ref="AN65">IFERROR(
MEDIAN((IF(DATOS_[[Sexo]:[Sexo]]=$B65,IF(DATOS_[[AGRUP. VALOR. PTO.]:[AGRUP. VALOR. PTO.]]=$B63,IF(DATOS_[[Check Periodo Ref.]:[Check Periodo Ref.]]="Dentro",DATOS_[C.Extra.03]))))),
0)</f>
        <v>0</v>
      </c>
      <c r="AO65" s="114">
        <f t="array" ref="AO65">IFERROR(
MEDIAN((IF(DATOS_[[Sexo]:[Sexo]]=$B65,IF(DATOS_[[AGRUP. VALOR. PTO.]:[AGRUP. VALOR. PTO.]]=$B63,IF(DATOS_[[Check Periodo Ref.]:[Check Periodo Ref.]]="Dentro",DATOS_[C.Extra.04]))))),
0)</f>
        <v>0</v>
      </c>
      <c r="AP65" s="114">
        <f t="array" ref="AP65">IFERROR(
MEDIAN((IF(DATOS_[[Sexo]:[Sexo]]=$B65,IF(DATOS_[[AGRUP. VALOR. PTO.]:[AGRUP. VALOR. PTO.]]=$B63,IF(DATOS_[[Check Periodo Ref.]:[Check Periodo Ref.]]="Dentro",DATOS_[C.Extra.05]))))),
0)</f>
        <v>0</v>
      </c>
      <c r="AQ65" s="115">
        <f t="array" ref="AQ65">IFERROR(
MEDIAN(IF(DATOS_[Sexo]=$B65,IF(DATOS_[AGRUP. VALOR. PTO.]=$B63,IF(DATOS_[Check Periodo Ref.]="Dentro",DATOS_[Tot Extrasalarial Ef],FALSE)))),
0)</f>
        <v>0</v>
      </c>
      <c r="AR65" s="116">
        <f t="array" ref="AR65">IFERROR(
MEDIAN(IF(DATOS_[Sexo]=$B65,IF(DATOS_[AGRUP. VALOR. PTO.]=$B63,IF(DATOS_[Check Periodo Ref.]="Dentro",DATOS_[TOTAL Retrib Ef],FALSE)))),
0)</f>
        <v>0</v>
      </c>
    </row>
    <row r="66" spans="1:44" ht="17.25" hidden="1" thickBot="1" x14ac:dyDescent="0.35">
      <c r="A66" s="42" t="str">
        <f t="shared" ref="A66" si="71">+A67</f>
        <v>[ocultar]</v>
      </c>
      <c r="B66" s="40" t="s">
        <v>277</v>
      </c>
      <c r="C66" s="109"/>
      <c r="D66" s="41"/>
      <c r="E66" s="119" t="str">
        <f t="shared" ref="E66:AR66" si="72">IFERROR((E67-E68)/E67,"")</f>
        <v/>
      </c>
      <c r="F66" s="123" t="str">
        <f t="shared" si="72"/>
        <v/>
      </c>
      <c r="G66" s="123" t="str">
        <f t="shared" si="72"/>
        <v/>
      </c>
      <c r="H66" s="123" t="str">
        <f t="shared" si="72"/>
        <v/>
      </c>
      <c r="I66" s="123" t="str">
        <f t="shared" si="72"/>
        <v/>
      </c>
      <c r="J66" s="123" t="str">
        <f t="shared" si="72"/>
        <v/>
      </c>
      <c r="K66" s="123" t="str">
        <f t="shared" si="72"/>
        <v/>
      </c>
      <c r="L66" s="123" t="str">
        <f t="shared" si="72"/>
        <v/>
      </c>
      <c r="M66" s="123" t="str">
        <f t="shared" si="72"/>
        <v/>
      </c>
      <c r="N66" s="123" t="str">
        <f t="shared" si="72"/>
        <v/>
      </c>
      <c r="O66" s="123" t="str">
        <f t="shared" si="72"/>
        <v/>
      </c>
      <c r="P66" s="123" t="str">
        <f t="shared" si="72"/>
        <v/>
      </c>
      <c r="Q66" s="123" t="str">
        <f t="shared" si="72"/>
        <v/>
      </c>
      <c r="R66" s="123" t="str">
        <f t="shared" si="72"/>
        <v/>
      </c>
      <c r="S66" s="123" t="str">
        <f t="shared" si="72"/>
        <v/>
      </c>
      <c r="T66" s="123" t="str">
        <f t="shared" si="72"/>
        <v/>
      </c>
      <c r="U66" s="123" t="str">
        <f t="shared" si="72"/>
        <v/>
      </c>
      <c r="V66" s="122" t="str">
        <f t="shared" si="72"/>
        <v/>
      </c>
      <c r="W66" s="122" t="str">
        <f t="shared" si="72"/>
        <v/>
      </c>
      <c r="X66" s="122" t="str">
        <f t="shared" si="72"/>
        <v/>
      </c>
      <c r="Y66" s="122" t="str">
        <f t="shared" si="72"/>
        <v/>
      </c>
      <c r="Z66" s="122" t="str">
        <f t="shared" si="72"/>
        <v/>
      </c>
      <c r="AA66" s="122" t="str">
        <f t="shared" si="72"/>
        <v/>
      </c>
      <c r="AB66" s="122" t="str">
        <f t="shared" si="72"/>
        <v/>
      </c>
      <c r="AC66" s="122" t="str">
        <f t="shared" si="72"/>
        <v/>
      </c>
      <c r="AD66" s="122" t="str">
        <f t="shared" si="72"/>
        <v/>
      </c>
      <c r="AE66" s="122" t="str">
        <f t="shared" si="72"/>
        <v/>
      </c>
      <c r="AF66" s="122" t="str">
        <f t="shared" si="72"/>
        <v/>
      </c>
      <c r="AG66" s="122" t="str">
        <f t="shared" si="72"/>
        <v/>
      </c>
      <c r="AH66" s="122" t="str">
        <f t="shared" si="72"/>
        <v/>
      </c>
      <c r="AI66" s="122" t="str">
        <f t="shared" si="72"/>
        <v/>
      </c>
      <c r="AJ66" s="124" t="str">
        <f t="shared" si="72"/>
        <v/>
      </c>
      <c r="AK66" s="128" t="str">
        <f t="shared" si="72"/>
        <v/>
      </c>
      <c r="AL66" s="125" t="str">
        <f t="shared" si="72"/>
        <v/>
      </c>
      <c r="AM66" s="125" t="str">
        <f t="shared" si="72"/>
        <v/>
      </c>
      <c r="AN66" s="125" t="str">
        <f t="shared" si="72"/>
        <v/>
      </c>
      <c r="AO66" s="125" t="str">
        <f t="shared" si="72"/>
        <v/>
      </c>
      <c r="AP66" s="125" t="str">
        <f t="shared" si="72"/>
        <v/>
      </c>
      <c r="AQ66" s="126" t="str">
        <f t="shared" si="72"/>
        <v/>
      </c>
      <c r="AR66" s="127" t="str">
        <f t="shared" si="72"/>
        <v/>
      </c>
    </row>
    <row r="67" spans="1:44" hidden="1" x14ac:dyDescent="0.3">
      <c r="A67" s="42" t="str">
        <f t="shared" ref="A67" si="73">+IF(C67+C68=0,"[ocultar]","")</f>
        <v>[ocultar]</v>
      </c>
      <c r="B67" s="34" t="s">
        <v>162</v>
      </c>
      <c r="C67" s="33">
        <f t="array" ref="C67">SUM(IF($B67=DATOS_[Sexo],
IF($B66=DATOS_[AGRUP. VALOR. PTO.],
IF("Dentro"=DATOS_[Check Periodo Ref.],
1/(COUNTIFS(DATOS_[Sexo],$B67,DATOS_[AGRUP. VALOR. PTO.],$B66,DATOS_[Check Periodo Ref.],"Dentro",DATOS_[id],DATOS_[id]))))))</f>
        <v>0</v>
      </c>
      <c r="D67" s="35">
        <f>COUNTIFS(DATOS_[AGRUP. VALOR. PTO.],$B66,DATOS_[Sexo],$B67,DATOS_[Check Periodo Ref.],"Dentro")</f>
        <v>0</v>
      </c>
      <c r="E67" s="110">
        <f t="array" ref="E67">IFERROR(
MEDIAN(IF(DATOS_[Sexo]=$B67,IF(DATOS_[AGRUP. VALOR. PTO.]=$B66,IF(DATOS_[Check Periodo Ref.]="Dentro",DATOS_[SALARIO BASE Ef],FALSE)))),
0)</f>
        <v>0</v>
      </c>
      <c r="F67" s="111">
        <f t="array" ref="F67">IFERROR(
MEDIAN((IF(DATOS_[[Sexo]:[Sexo]]=$B67,IF(DATOS_[[AGRUP. VALOR. PTO.]:[AGRUP. VALOR. PTO.]]=$B66,IF(DATOS_[[Check Periodo Ref.]:[Check Periodo Ref.]]="Dentro",DATOS_[Conc.Sal.01]))))),
0)</f>
        <v>0</v>
      </c>
      <c r="G67" s="111">
        <f t="array" ref="G67">IFERROR(
MEDIAN((IF(DATOS_[[Sexo]:[Sexo]]=$B67,IF(DATOS_[[AGRUP. VALOR. PTO.]:[AGRUP. VALOR. PTO.]]=$B66,IF(DATOS_[[Check Periodo Ref.]:[Check Periodo Ref.]]="Dentro",DATOS_[Conc.Sal.02]))))),
0)</f>
        <v>0</v>
      </c>
      <c r="H67" s="111">
        <f t="array" ref="H67">IFERROR(
MEDIAN((IF(DATOS_[[Sexo]:[Sexo]]=$B67,IF(DATOS_[[AGRUP. VALOR. PTO.]:[AGRUP. VALOR. PTO.]]=$B66,IF(DATOS_[[Check Periodo Ref.]:[Check Periodo Ref.]]="Dentro",DATOS_[Conc.Sal.03]))))),
0)</f>
        <v>0</v>
      </c>
      <c r="I67" s="111">
        <f t="array" ref="I67">IFERROR(
MEDIAN((IF(DATOS_[[Sexo]:[Sexo]]=$B67,IF(DATOS_[[AGRUP. VALOR. PTO.]:[AGRUP. VALOR. PTO.]]=$B66,IF(DATOS_[[Check Periodo Ref.]:[Check Periodo Ref.]]="Dentro",DATOS_[Conc.Sal.04]))))),
0)</f>
        <v>0</v>
      </c>
      <c r="J67" s="111">
        <f t="array" ref="J67">IFERROR(
MEDIAN((IF(DATOS_[[Sexo]:[Sexo]]=$B67,IF(DATOS_[[AGRUP. VALOR. PTO.]:[AGRUP. VALOR. PTO.]]=$B66,IF(DATOS_[[Check Periodo Ref.]:[Check Periodo Ref.]]="Dentro",DATOS_[Conc.Sal.05]))))),
0)</f>
        <v>0</v>
      </c>
      <c r="K67" s="111">
        <f t="array" ref="K67">IFERROR(
MEDIAN((IF(DATOS_[[Sexo]:[Sexo]]=$B67,IF(DATOS_[[AGRUP. VALOR. PTO.]:[AGRUP. VALOR. PTO.]]=$B66,IF(DATOS_[[Check Periodo Ref.]:[Check Periodo Ref.]]="Dentro",DATOS_[Conc.Sal.06]))))),
0)</f>
        <v>0</v>
      </c>
      <c r="L67" s="111">
        <f t="array" ref="L67">IFERROR(
MEDIAN((IF(DATOS_[[Sexo]:[Sexo]]=$B67,IF(DATOS_[[AGRUP. VALOR. PTO.]:[AGRUP. VALOR. PTO.]]=$B66,IF(DATOS_[[Check Periodo Ref.]:[Check Periodo Ref.]]="Dentro",DATOS_[Conc.Sal.07]))))),
0)</f>
        <v>0</v>
      </c>
      <c r="M67" s="111">
        <f t="array" ref="M67">IFERROR(
MEDIAN((IF(DATOS_[[Sexo]:[Sexo]]=$B67,IF(DATOS_[[AGRUP. VALOR. PTO.]:[AGRUP. VALOR. PTO.]]=$B66,IF(DATOS_[[Check Periodo Ref.]:[Check Periodo Ref.]]="Dentro",DATOS_[Conc.Sal.08]))))),
0)</f>
        <v>0</v>
      </c>
      <c r="N67" s="111">
        <f t="array" ref="N67">IFERROR(
MEDIAN((IF(DATOS_[[Sexo]:[Sexo]]=$B67,IF(DATOS_[[AGRUP. VALOR. PTO.]:[AGRUP. VALOR. PTO.]]=$B66,IF(DATOS_[[Check Periodo Ref.]:[Check Periodo Ref.]]="Dentro",DATOS_[Conc.Sal.09]))))),
0)</f>
        <v>0</v>
      </c>
      <c r="O67" s="111">
        <f t="array" ref="O67">IFERROR(
MEDIAN((IF(DATOS_[[Sexo]:[Sexo]]=$B67,IF(DATOS_[[AGRUP. VALOR. PTO.]:[AGRUP. VALOR. PTO.]]=$B66,IF(DATOS_[[Check Periodo Ref.]:[Check Periodo Ref.]]="Dentro",DATOS_[Conc.Sal.10]))))),
0)</f>
        <v>0</v>
      </c>
      <c r="P67" s="111">
        <f t="array" ref="P67">IFERROR(
MEDIAN((IF(DATOS_[[Sexo]:[Sexo]]=$B67,IF(DATOS_[[AGRUP. VALOR. PTO.]:[AGRUP. VALOR. PTO.]]=$B66,IF(DATOS_[[Check Periodo Ref.]:[Check Periodo Ref.]]="Dentro",DATOS_[Conc.Sal.11]))))),
0)</f>
        <v>0</v>
      </c>
      <c r="Q67" s="111">
        <f t="array" ref="Q67">IFERROR(
MEDIAN((IF(DATOS_[[Sexo]:[Sexo]]=$B67,IF(DATOS_[[AGRUP. VALOR. PTO.]:[AGRUP. VALOR. PTO.]]=$B66,IF(DATOS_[[Check Periodo Ref.]:[Check Periodo Ref.]]="Dentro",DATOS_[Conc.Sal.12]))))),
0)</f>
        <v>0</v>
      </c>
      <c r="R67" s="111">
        <f t="array" ref="R67">IFERROR(
MEDIAN((IF(DATOS_[[Sexo]:[Sexo]]=$B67,IF(DATOS_[[AGRUP. VALOR. PTO.]:[AGRUP. VALOR. PTO.]]=$B66,IF(DATOS_[[Check Periodo Ref.]:[Check Periodo Ref.]]="Dentro",DATOS_[Conc.Sal.13]))))),
0)</f>
        <v>0</v>
      </c>
      <c r="S67" s="111">
        <f t="array" ref="S67">IFERROR(
MEDIAN((IF(DATOS_[[Sexo]:[Sexo]]=$B67,IF(DATOS_[[AGRUP. VALOR. PTO.]:[AGRUP. VALOR. PTO.]]=$B66,IF(DATOS_[[Check Periodo Ref.]:[Check Periodo Ref.]]="Dentro",DATOS_[Conc.Sal.14]))))),
0)</f>
        <v>0</v>
      </c>
      <c r="T67" s="111">
        <f t="array" ref="T67">IFERROR(
MEDIAN((IF(DATOS_[[Sexo]:[Sexo]]=$B67,IF(DATOS_[[AGRUP. VALOR. PTO.]:[AGRUP. VALOR. PTO.]]=$B66,IF(DATOS_[[Check Periodo Ref.]:[Check Periodo Ref.]]="Dentro",DATOS_[Conc.Sal.15]))))),
0)</f>
        <v>0</v>
      </c>
      <c r="U67" s="111">
        <f t="array" ref="U67">IFERROR(
MEDIAN((IF(DATOS_[[Sexo]:[Sexo]]=$B67,IF(DATOS_[[AGRUP. VALOR. PTO.]:[AGRUP. VALOR. PTO.]]=$B66,IF(DATOS_[[Check Periodo Ref.]:[Check Periodo Ref.]]="Dentro",DATOS_[Conc.Sal.16]))))),
0)</f>
        <v>0</v>
      </c>
      <c r="V67" s="111">
        <f t="array" ref="V67">IFERROR(
MEDIAN((IF(DATOS_[[Sexo]:[Sexo]]=$B67,IF(DATOS_[[AGRUP. VALOR. PTO.]:[AGRUP. VALOR. PTO.]]=$B66,IF(DATOS_[[Check Periodo Ref.]:[Check Periodo Ref.]]="Dentro",DATOS_[Conc.Sal.17]))))),
0)</f>
        <v>0</v>
      </c>
      <c r="W67" s="111">
        <f t="array" ref="W67">IFERROR(
MEDIAN((IF(DATOS_[[Sexo]:[Sexo]]=$B67,IF(DATOS_[[AGRUP. VALOR. PTO.]:[AGRUP. VALOR. PTO.]]=$B66,IF(DATOS_[[Check Periodo Ref.]:[Check Periodo Ref.]]="Dentro",DATOS_[Conc.Sal.18]))))),
0)</f>
        <v>0</v>
      </c>
      <c r="X67" s="111">
        <f t="array" ref="X67">IFERROR(
MEDIAN((IF(DATOS_[[Sexo]:[Sexo]]=$B67,IF(DATOS_[[AGRUP. VALOR. PTO.]:[AGRUP. VALOR. PTO.]]=$B66,IF(DATOS_[[Check Periodo Ref.]:[Check Periodo Ref.]]="Dentro",DATOS_[Conc.Sal.19]))))),
0)</f>
        <v>0</v>
      </c>
      <c r="Y67" s="111">
        <f t="array" ref="Y67">IFERROR(
MEDIAN((IF(DATOS_[[Sexo]:[Sexo]]=$B67,IF(DATOS_[[AGRUP. VALOR. PTO.]:[AGRUP. VALOR. PTO.]]=$B66,IF(DATOS_[[Check Periodo Ref.]:[Check Periodo Ref.]]="Dentro",DATOS_[Conc.Sal.20]))))),
0)</f>
        <v>0</v>
      </c>
      <c r="Z67" s="111">
        <f t="array" ref="Z67">IFERROR(
MEDIAN((IF(DATOS_[[Sexo]:[Sexo]]=$B67,IF(DATOS_[[AGRUP. VALOR. PTO.]:[AGRUP. VALOR. PTO.]]=$B66,IF(DATOS_[[Check Periodo Ref.]:[Check Periodo Ref.]]="Dentro",DATOS_[Conc.Sal.21]))))),
0)</f>
        <v>0</v>
      </c>
      <c r="AA67" s="111">
        <f t="array" ref="AA67">IFERROR(
MEDIAN((IF(DATOS_[[Sexo]:[Sexo]]=$B67,IF(DATOS_[[AGRUP. VALOR. PTO.]:[AGRUP. VALOR. PTO.]]=$B66,IF(DATOS_[[Check Periodo Ref.]:[Check Periodo Ref.]]="Dentro",DATOS_[Conc.Sal.22]))))),
0)</f>
        <v>0</v>
      </c>
      <c r="AB67" s="111">
        <f t="array" ref="AB67">IFERROR(
MEDIAN((IF(DATOS_[[Sexo]:[Sexo]]=$B67,IF(DATOS_[[AGRUP. VALOR. PTO.]:[AGRUP. VALOR. PTO.]]=$B66,IF(DATOS_[[Check Periodo Ref.]:[Check Periodo Ref.]]="Dentro",DATOS_[Conc.Sal.23]))))),
0)</f>
        <v>0</v>
      </c>
      <c r="AC67" s="111">
        <f t="array" ref="AC67">IFERROR(
MEDIAN((IF(DATOS_[[Sexo]:[Sexo]]=$B67,IF(DATOS_[[AGRUP. VALOR. PTO.]:[AGRUP. VALOR. PTO.]]=$B66,IF(DATOS_[[Check Periodo Ref.]:[Check Periodo Ref.]]="Dentro",DATOS_[Conc.Sal.24]))))),
0)</f>
        <v>0</v>
      </c>
      <c r="AD67" s="111">
        <f t="array" ref="AD67">IFERROR(
MEDIAN((IF(DATOS_[[Sexo]:[Sexo]]=$B67,IF(DATOS_[[AGRUP. VALOR. PTO.]:[AGRUP. VALOR. PTO.]]=$B66,IF(DATOS_[[Check Periodo Ref.]:[Check Periodo Ref.]]="Dentro",DATOS_[Conc.Sal.25]))))),
0)</f>
        <v>0</v>
      </c>
      <c r="AE67" s="111">
        <f t="array" ref="AE67">IFERROR(
MEDIAN((IF(DATOS_[[Sexo]:[Sexo]]=$B67,IF(DATOS_[[AGRUP. VALOR. PTO.]:[AGRUP. VALOR. PTO.]]=$B66,IF(DATOS_[[Check Periodo Ref.]:[Check Periodo Ref.]]="Dentro",DATOS_[Conc.Sal.26]))))),
0)</f>
        <v>0</v>
      </c>
      <c r="AF67" s="111">
        <f t="array" ref="AF67">IFERROR(
MEDIAN((IF(DATOS_[[Sexo]:[Sexo]]=$B67,IF(DATOS_[[AGRUP. VALOR. PTO.]:[AGRUP. VALOR. PTO.]]=$B66,IF(DATOS_[[Check Periodo Ref.]:[Check Periodo Ref.]]="Dentro",DATOS_[Conc.Sal.27]))))),
0)</f>
        <v>0</v>
      </c>
      <c r="AG67" s="111">
        <f t="array" ref="AG67">IFERROR(
MEDIAN((IF(DATOS_[[Sexo]:[Sexo]]=$B67,IF(DATOS_[[AGRUP. VALOR. PTO.]:[AGRUP. VALOR. PTO.]]=$B66,IF(DATOS_[[Check Periodo Ref.]:[Check Periodo Ref.]]="Dentro",DATOS_[Conc.Sal.28]))))),
0)</f>
        <v>0</v>
      </c>
      <c r="AH67" s="111">
        <f t="array" ref="AH67">IFERROR(
MEDIAN((IF(DATOS_[[Sexo]:[Sexo]]=$B67,IF(DATOS_[[AGRUP. VALOR. PTO.]:[AGRUP. VALOR. PTO.]]=$B66,IF(DATOS_[[Check Periodo Ref.]:[Check Periodo Ref.]]="Dentro",DATOS_[Conc.Sal.29]))))),
0)</f>
        <v>0</v>
      </c>
      <c r="AI67" s="111">
        <f t="array" ref="AI67">IFERROR(
MEDIAN((IF(DATOS_[[Sexo]:[Sexo]]=$B67,IF(DATOS_[[AGRUP. VALOR. PTO.]:[AGRUP. VALOR. PTO.]]=$B66,IF(DATOS_[[Check Periodo Ref.]:[Check Periodo Ref.]]="Dentro",DATOS_[Conc.Sal.30]))))),
0)</f>
        <v>0</v>
      </c>
      <c r="AJ67" s="112">
        <f t="array" ref="AJ67">IFERROR(
MEDIAN(IF(DATOS_[Sexo]=$B67,IF(DATOS_[AGRUP. VALOR. PTO.]=$B66,IF(DATOS_[Check Periodo Ref.]="Dentro",DATOS_[Tot COMPL.SAL Ef],FALSE)))),
0)</f>
        <v>0</v>
      </c>
      <c r="AK67" s="113">
        <f t="array" ref="AK67">IFERROR(
MEDIAN(IF(DATOS_[Sexo]=$B67,IF(DATOS_[AGRUP. VALOR. PTO.]=$B66,IF(DATOS_[Check Periodo Ref.]="Dentro",DATOS_[TOTAL SALARIO Ef],FALSE)))),
0)</f>
        <v>0</v>
      </c>
      <c r="AL67" s="114">
        <f t="array" ref="AL67">IFERROR(
MEDIAN((IF(DATOS_[[Sexo]:[Sexo]]=$B67,IF(DATOS_[[AGRUP. VALOR. PTO.]:[AGRUP. VALOR. PTO.]]=$B66,IF(DATOS_[[Check Periodo Ref.]:[Check Periodo Ref.]]="Dentro",DATOS_[C.Extra.01]))))),
0)</f>
        <v>0</v>
      </c>
      <c r="AM67" s="114">
        <f t="array" ref="AM67">IFERROR(
MEDIAN((IF(DATOS_[[Sexo]:[Sexo]]=$B67,IF(DATOS_[[AGRUP. VALOR. PTO.]:[AGRUP. VALOR. PTO.]]=$B66,IF(DATOS_[[Check Periodo Ref.]:[Check Periodo Ref.]]="Dentro",DATOS_[C.Extra.02]))))),
0)</f>
        <v>0</v>
      </c>
      <c r="AN67" s="114">
        <f t="array" ref="AN67">IFERROR(
MEDIAN((IF(DATOS_[[Sexo]:[Sexo]]=$B67,IF(DATOS_[[AGRUP. VALOR. PTO.]:[AGRUP. VALOR. PTO.]]=$B66,IF(DATOS_[[Check Periodo Ref.]:[Check Periodo Ref.]]="Dentro",DATOS_[C.Extra.03]))))),
0)</f>
        <v>0</v>
      </c>
      <c r="AO67" s="114">
        <f t="array" ref="AO67">IFERROR(
MEDIAN((IF(DATOS_[[Sexo]:[Sexo]]=$B67,IF(DATOS_[[AGRUP. VALOR. PTO.]:[AGRUP. VALOR. PTO.]]=$B66,IF(DATOS_[[Check Periodo Ref.]:[Check Periodo Ref.]]="Dentro",DATOS_[C.Extra.04]))))),
0)</f>
        <v>0</v>
      </c>
      <c r="AP67" s="114">
        <f t="array" ref="AP67">IFERROR(
MEDIAN((IF(DATOS_[[Sexo]:[Sexo]]=$B67,IF(DATOS_[[AGRUP. VALOR. PTO.]:[AGRUP. VALOR. PTO.]]=$B66,IF(DATOS_[[Check Periodo Ref.]:[Check Periodo Ref.]]="Dentro",DATOS_[C.Extra.05]))))),
0)</f>
        <v>0</v>
      </c>
      <c r="AQ67" s="115">
        <f t="array" ref="AQ67">IFERROR(
MEDIAN(IF(DATOS_[Sexo]=$B67,IF(DATOS_[AGRUP. VALOR. PTO.]=$B66,IF(DATOS_[Check Periodo Ref.]="Dentro",DATOS_[Tot Extrasalarial Ef],FALSE)))),
0)</f>
        <v>0</v>
      </c>
      <c r="AR67" s="116">
        <f t="array" ref="AR67">IFERROR(
MEDIAN(IF(DATOS_[Sexo]=$B67,IF(DATOS_[AGRUP. VALOR. PTO.]=$B66,IF(DATOS_[Check Periodo Ref.]="Dentro",DATOS_[TOTAL Retrib Ef],FALSE)))),
0)</f>
        <v>0</v>
      </c>
    </row>
    <row r="68" spans="1:44" hidden="1" x14ac:dyDescent="0.3">
      <c r="A68" s="42" t="str">
        <f t="shared" ref="A68" si="74">+A67</f>
        <v>[ocultar]</v>
      </c>
      <c r="B68" s="34" t="s">
        <v>163</v>
      </c>
      <c r="C68" s="33">
        <f t="array" ref="C68">SUM(IF($B68=DATOS_[Sexo],
IF($B66=DATOS_[AGRUP. VALOR. PTO.],
IF("Dentro"=DATOS_[Check Periodo Ref.],
1/(COUNTIFS(DATOS_[Sexo],$B68,DATOS_[AGRUP. VALOR. PTO.],$B66,DATOS_[Check Periodo Ref.],"Dentro",DATOS_[id],DATOS_[id]))))))</f>
        <v>0</v>
      </c>
      <c r="D68" s="35">
        <f>COUNTIFS(DATOS_[AGRUP. VALOR. PTO.],$B66,DATOS_[Sexo],$B68,DATOS_[Check Periodo Ref.],"Dentro")</f>
        <v>0</v>
      </c>
      <c r="E68" s="110">
        <f t="array" ref="E68">IFERROR(
MEDIAN(IF(DATOS_[Sexo]=$B68,IF(DATOS_[AGRUP. VALOR. PTO.]=$B66,IF(DATOS_[Check Periodo Ref.]="Dentro",DATOS_[SALARIO BASE Ef],FALSE)))),
0)</f>
        <v>0</v>
      </c>
      <c r="F68" s="111">
        <f t="array" ref="F68">IFERROR(
MEDIAN((IF(DATOS_[[Sexo]:[Sexo]]=$B68,IF(DATOS_[[AGRUP. VALOR. PTO.]:[AGRUP. VALOR. PTO.]]=$B66,IF(DATOS_[[Check Periodo Ref.]:[Check Periodo Ref.]]="Dentro",DATOS_[Conc.Sal.01]))))),
0)</f>
        <v>0</v>
      </c>
      <c r="G68" s="111">
        <f t="array" ref="G68">IFERROR(
MEDIAN((IF(DATOS_[[Sexo]:[Sexo]]=$B68,IF(DATOS_[[AGRUP. VALOR. PTO.]:[AGRUP. VALOR. PTO.]]=$B66,IF(DATOS_[[Check Periodo Ref.]:[Check Periodo Ref.]]="Dentro",DATOS_[Conc.Sal.02]))))),
0)</f>
        <v>0</v>
      </c>
      <c r="H68" s="111">
        <f t="array" ref="H68">IFERROR(
MEDIAN((IF(DATOS_[[Sexo]:[Sexo]]=$B68,IF(DATOS_[[AGRUP. VALOR. PTO.]:[AGRUP. VALOR. PTO.]]=$B66,IF(DATOS_[[Check Periodo Ref.]:[Check Periodo Ref.]]="Dentro",DATOS_[Conc.Sal.03]))))),
0)</f>
        <v>0</v>
      </c>
      <c r="I68" s="111">
        <f t="array" ref="I68">IFERROR(
MEDIAN((IF(DATOS_[[Sexo]:[Sexo]]=$B68,IF(DATOS_[[AGRUP. VALOR. PTO.]:[AGRUP. VALOR. PTO.]]=$B66,IF(DATOS_[[Check Periodo Ref.]:[Check Periodo Ref.]]="Dentro",DATOS_[Conc.Sal.04]))))),
0)</f>
        <v>0</v>
      </c>
      <c r="J68" s="111">
        <f t="array" ref="J68">IFERROR(
MEDIAN((IF(DATOS_[[Sexo]:[Sexo]]=$B68,IF(DATOS_[[AGRUP. VALOR. PTO.]:[AGRUP. VALOR. PTO.]]=$B66,IF(DATOS_[[Check Periodo Ref.]:[Check Periodo Ref.]]="Dentro",DATOS_[Conc.Sal.05]))))),
0)</f>
        <v>0</v>
      </c>
      <c r="K68" s="111">
        <f t="array" ref="K68">IFERROR(
MEDIAN((IF(DATOS_[[Sexo]:[Sexo]]=$B68,IF(DATOS_[[AGRUP. VALOR. PTO.]:[AGRUP. VALOR. PTO.]]=$B66,IF(DATOS_[[Check Periodo Ref.]:[Check Periodo Ref.]]="Dentro",DATOS_[Conc.Sal.06]))))),
0)</f>
        <v>0</v>
      </c>
      <c r="L68" s="111">
        <f t="array" ref="L68">IFERROR(
MEDIAN((IF(DATOS_[[Sexo]:[Sexo]]=$B68,IF(DATOS_[[AGRUP. VALOR. PTO.]:[AGRUP. VALOR. PTO.]]=$B66,IF(DATOS_[[Check Periodo Ref.]:[Check Periodo Ref.]]="Dentro",DATOS_[Conc.Sal.07]))))),
0)</f>
        <v>0</v>
      </c>
      <c r="M68" s="111">
        <f t="array" ref="M68">IFERROR(
MEDIAN((IF(DATOS_[[Sexo]:[Sexo]]=$B68,IF(DATOS_[[AGRUP. VALOR. PTO.]:[AGRUP. VALOR. PTO.]]=$B66,IF(DATOS_[[Check Periodo Ref.]:[Check Periodo Ref.]]="Dentro",DATOS_[Conc.Sal.08]))))),
0)</f>
        <v>0</v>
      </c>
      <c r="N68" s="111">
        <f t="array" ref="N68">IFERROR(
MEDIAN((IF(DATOS_[[Sexo]:[Sexo]]=$B68,IF(DATOS_[[AGRUP. VALOR. PTO.]:[AGRUP. VALOR. PTO.]]=$B66,IF(DATOS_[[Check Periodo Ref.]:[Check Periodo Ref.]]="Dentro",DATOS_[Conc.Sal.09]))))),
0)</f>
        <v>0</v>
      </c>
      <c r="O68" s="111">
        <f t="array" ref="O68">IFERROR(
MEDIAN((IF(DATOS_[[Sexo]:[Sexo]]=$B68,IF(DATOS_[[AGRUP. VALOR. PTO.]:[AGRUP. VALOR. PTO.]]=$B66,IF(DATOS_[[Check Periodo Ref.]:[Check Periodo Ref.]]="Dentro",DATOS_[Conc.Sal.10]))))),
0)</f>
        <v>0</v>
      </c>
      <c r="P68" s="111">
        <f t="array" ref="P68">IFERROR(
MEDIAN((IF(DATOS_[[Sexo]:[Sexo]]=$B68,IF(DATOS_[[AGRUP. VALOR. PTO.]:[AGRUP. VALOR. PTO.]]=$B66,IF(DATOS_[[Check Periodo Ref.]:[Check Periodo Ref.]]="Dentro",DATOS_[Conc.Sal.11]))))),
0)</f>
        <v>0</v>
      </c>
      <c r="Q68" s="111">
        <f t="array" ref="Q68">IFERROR(
MEDIAN((IF(DATOS_[[Sexo]:[Sexo]]=$B68,IF(DATOS_[[AGRUP. VALOR. PTO.]:[AGRUP. VALOR. PTO.]]=$B66,IF(DATOS_[[Check Periodo Ref.]:[Check Periodo Ref.]]="Dentro",DATOS_[Conc.Sal.12]))))),
0)</f>
        <v>0</v>
      </c>
      <c r="R68" s="111">
        <f t="array" ref="R68">IFERROR(
MEDIAN((IF(DATOS_[[Sexo]:[Sexo]]=$B68,IF(DATOS_[[AGRUP. VALOR. PTO.]:[AGRUP. VALOR. PTO.]]=$B66,IF(DATOS_[[Check Periodo Ref.]:[Check Periodo Ref.]]="Dentro",DATOS_[Conc.Sal.13]))))),
0)</f>
        <v>0</v>
      </c>
      <c r="S68" s="111">
        <f t="array" ref="S68">IFERROR(
MEDIAN((IF(DATOS_[[Sexo]:[Sexo]]=$B68,IF(DATOS_[[AGRUP. VALOR. PTO.]:[AGRUP. VALOR. PTO.]]=$B66,IF(DATOS_[[Check Periodo Ref.]:[Check Periodo Ref.]]="Dentro",DATOS_[Conc.Sal.14]))))),
0)</f>
        <v>0</v>
      </c>
      <c r="T68" s="111">
        <f t="array" ref="T68">IFERROR(
MEDIAN((IF(DATOS_[[Sexo]:[Sexo]]=$B68,IF(DATOS_[[AGRUP. VALOR. PTO.]:[AGRUP. VALOR. PTO.]]=$B66,IF(DATOS_[[Check Periodo Ref.]:[Check Periodo Ref.]]="Dentro",DATOS_[Conc.Sal.15]))))),
0)</f>
        <v>0</v>
      </c>
      <c r="U68" s="111">
        <f t="array" ref="U68">IFERROR(
MEDIAN((IF(DATOS_[[Sexo]:[Sexo]]=$B68,IF(DATOS_[[AGRUP. VALOR. PTO.]:[AGRUP. VALOR. PTO.]]=$B66,IF(DATOS_[[Check Periodo Ref.]:[Check Periodo Ref.]]="Dentro",DATOS_[Conc.Sal.16]))))),
0)</f>
        <v>0</v>
      </c>
      <c r="V68" s="111">
        <f t="array" ref="V68">IFERROR(
MEDIAN((IF(DATOS_[[Sexo]:[Sexo]]=$B68,IF(DATOS_[[AGRUP. VALOR. PTO.]:[AGRUP. VALOR. PTO.]]=$B66,IF(DATOS_[[Check Periodo Ref.]:[Check Periodo Ref.]]="Dentro",DATOS_[Conc.Sal.17]))))),
0)</f>
        <v>0</v>
      </c>
      <c r="W68" s="111">
        <f t="array" ref="W68">IFERROR(
MEDIAN((IF(DATOS_[[Sexo]:[Sexo]]=$B68,IF(DATOS_[[AGRUP. VALOR. PTO.]:[AGRUP. VALOR. PTO.]]=$B66,IF(DATOS_[[Check Periodo Ref.]:[Check Periodo Ref.]]="Dentro",DATOS_[Conc.Sal.18]))))),
0)</f>
        <v>0</v>
      </c>
      <c r="X68" s="111">
        <f t="array" ref="X68">IFERROR(
MEDIAN((IF(DATOS_[[Sexo]:[Sexo]]=$B68,IF(DATOS_[[AGRUP. VALOR. PTO.]:[AGRUP. VALOR. PTO.]]=$B66,IF(DATOS_[[Check Periodo Ref.]:[Check Periodo Ref.]]="Dentro",DATOS_[Conc.Sal.19]))))),
0)</f>
        <v>0</v>
      </c>
      <c r="Y68" s="111">
        <f t="array" ref="Y68">IFERROR(
MEDIAN((IF(DATOS_[[Sexo]:[Sexo]]=$B68,IF(DATOS_[[AGRUP. VALOR. PTO.]:[AGRUP. VALOR. PTO.]]=$B66,IF(DATOS_[[Check Periodo Ref.]:[Check Periodo Ref.]]="Dentro",DATOS_[Conc.Sal.20]))))),
0)</f>
        <v>0</v>
      </c>
      <c r="Z68" s="111">
        <f t="array" ref="Z68">IFERROR(
MEDIAN((IF(DATOS_[[Sexo]:[Sexo]]=$B68,IF(DATOS_[[AGRUP. VALOR. PTO.]:[AGRUP. VALOR. PTO.]]=$B66,IF(DATOS_[[Check Periodo Ref.]:[Check Periodo Ref.]]="Dentro",DATOS_[Conc.Sal.21]))))),
0)</f>
        <v>0</v>
      </c>
      <c r="AA68" s="111">
        <f t="array" ref="AA68">IFERROR(
MEDIAN((IF(DATOS_[[Sexo]:[Sexo]]=$B68,IF(DATOS_[[AGRUP. VALOR. PTO.]:[AGRUP. VALOR. PTO.]]=$B66,IF(DATOS_[[Check Periodo Ref.]:[Check Periodo Ref.]]="Dentro",DATOS_[Conc.Sal.22]))))),
0)</f>
        <v>0</v>
      </c>
      <c r="AB68" s="111">
        <f t="array" ref="AB68">IFERROR(
MEDIAN((IF(DATOS_[[Sexo]:[Sexo]]=$B68,IF(DATOS_[[AGRUP. VALOR. PTO.]:[AGRUP. VALOR. PTO.]]=$B66,IF(DATOS_[[Check Periodo Ref.]:[Check Periodo Ref.]]="Dentro",DATOS_[Conc.Sal.23]))))),
0)</f>
        <v>0</v>
      </c>
      <c r="AC68" s="111">
        <f t="array" ref="AC68">IFERROR(
MEDIAN((IF(DATOS_[[Sexo]:[Sexo]]=$B68,IF(DATOS_[[AGRUP. VALOR. PTO.]:[AGRUP. VALOR. PTO.]]=$B66,IF(DATOS_[[Check Periodo Ref.]:[Check Periodo Ref.]]="Dentro",DATOS_[Conc.Sal.24]))))),
0)</f>
        <v>0</v>
      </c>
      <c r="AD68" s="111">
        <f t="array" ref="AD68">IFERROR(
MEDIAN((IF(DATOS_[[Sexo]:[Sexo]]=$B68,IF(DATOS_[[AGRUP. VALOR. PTO.]:[AGRUP. VALOR. PTO.]]=$B66,IF(DATOS_[[Check Periodo Ref.]:[Check Periodo Ref.]]="Dentro",DATOS_[Conc.Sal.25]))))),
0)</f>
        <v>0</v>
      </c>
      <c r="AE68" s="111">
        <f t="array" ref="AE68">IFERROR(
MEDIAN((IF(DATOS_[[Sexo]:[Sexo]]=$B68,IF(DATOS_[[AGRUP. VALOR. PTO.]:[AGRUP. VALOR. PTO.]]=$B66,IF(DATOS_[[Check Periodo Ref.]:[Check Periodo Ref.]]="Dentro",DATOS_[Conc.Sal.26]))))),
0)</f>
        <v>0</v>
      </c>
      <c r="AF68" s="111">
        <f t="array" ref="AF68">IFERROR(
MEDIAN((IF(DATOS_[[Sexo]:[Sexo]]=$B68,IF(DATOS_[[AGRUP. VALOR. PTO.]:[AGRUP. VALOR. PTO.]]=$B66,IF(DATOS_[[Check Periodo Ref.]:[Check Periodo Ref.]]="Dentro",DATOS_[Conc.Sal.27]))))),
0)</f>
        <v>0</v>
      </c>
      <c r="AG68" s="111">
        <f t="array" ref="AG68">IFERROR(
MEDIAN((IF(DATOS_[[Sexo]:[Sexo]]=$B68,IF(DATOS_[[AGRUP. VALOR. PTO.]:[AGRUP. VALOR. PTO.]]=$B66,IF(DATOS_[[Check Periodo Ref.]:[Check Periodo Ref.]]="Dentro",DATOS_[Conc.Sal.28]))))),
0)</f>
        <v>0</v>
      </c>
      <c r="AH68" s="111">
        <f t="array" ref="AH68">IFERROR(
MEDIAN((IF(DATOS_[[Sexo]:[Sexo]]=$B68,IF(DATOS_[[AGRUP. VALOR. PTO.]:[AGRUP. VALOR. PTO.]]=$B66,IF(DATOS_[[Check Periodo Ref.]:[Check Periodo Ref.]]="Dentro",DATOS_[Conc.Sal.29]))))),
0)</f>
        <v>0</v>
      </c>
      <c r="AI68" s="111">
        <f t="array" ref="AI68">IFERROR(
MEDIAN((IF(DATOS_[[Sexo]:[Sexo]]=$B68,IF(DATOS_[[AGRUP. VALOR. PTO.]:[AGRUP. VALOR. PTO.]]=$B66,IF(DATOS_[[Check Periodo Ref.]:[Check Periodo Ref.]]="Dentro",DATOS_[Conc.Sal.30]))))),
0)</f>
        <v>0</v>
      </c>
      <c r="AJ68" s="112">
        <f t="array" ref="AJ68">IFERROR(
MEDIAN(IF(DATOS_[Sexo]=$B68,IF(DATOS_[AGRUP. VALOR. PTO.]=$B66,IF(DATOS_[Check Periodo Ref.]="Dentro",DATOS_[Tot COMPL.SAL Ef],FALSE)))),
0)</f>
        <v>0</v>
      </c>
      <c r="AK68" s="113">
        <f t="array" ref="AK68">IFERROR(
MEDIAN(IF(DATOS_[Sexo]=$B68,IF(DATOS_[AGRUP. VALOR. PTO.]=$B66,IF(DATOS_[Check Periodo Ref.]="Dentro",DATOS_[TOTAL SALARIO Ef],FALSE)))),
0)</f>
        <v>0</v>
      </c>
      <c r="AL68" s="114">
        <f t="array" ref="AL68">IFERROR(
MEDIAN((IF(DATOS_[[Sexo]:[Sexo]]=$B68,IF(DATOS_[[AGRUP. VALOR. PTO.]:[AGRUP. VALOR. PTO.]]=$B66,IF(DATOS_[[Check Periodo Ref.]:[Check Periodo Ref.]]="Dentro",DATOS_[C.Extra.01]))))),
0)</f>
        <v>0</v>
      </c>
      <c r="AM68" s="114">
        <f t="array" ref="AM68">IFERROR(
MEDIAN((IF(DATOS_[[Sexo]:[Sexo]]=$B68,IF(DATOS_[[AGRUP. VALOR. PTO.]:[AGRUP. VALOR. PTO.]]=$B66,IF(DATOS_[[Check Periodo Ref.]:[Check Periodo Ref.]]="Dentro",DATOS_[C.Extra.02]))))),
0)</f>
        <v>0</v>
      </c>
      <c r="AN68" s="114">
        <f t="array" ref="AN68">IFERROR(
MEDIAN((IF(DATOS_[[Sexo]:[Sexo]]=$B68,IF(DATOS_[[AGRUP. VALOR. PTO.]:[AGRUP. VALOR. PTO.]]=$B66,IF(DATOS_[[Check Periodo Ref.]:[Check Periodo Ref.]]="Dentro",DATOS_[C.Extra.03]))))),
0)</f>
        <v>0</v>
      </c>
      <c r="AO68" s="114">
        <f t="array" ref="AO68">IFERROR(
MEDIAN((IF(DATOS_[[Sexo]:[Sexo]]=$B68,IF(DATOS_[[AGRUP. VALOR. PTO.]:[AGRUP. VALOR. PTO.]]=$B66,IF(DATOS_[[Check Periodo Ref.]:[Check Periodo Ref.]]="Dentro",DATOS_[C.Extra.04]))))),
0)</f>
        <v>0</v>
      </c>
      <c r="AP68" s="114">
        <f t="array" ref="AP68">IFERROR(
MEDIAN((IF(DATOS_[[Sexo]:[Sexo]]=$B68,IF(DATOS_[[AGRUP. VALOR. PTO.]:[AGRUP. VALOR. PTO.]]=$B66,IF(DATOS_[[Check Periodo Ref.]:[Check Periodo Ref.]]="Dentro",DATOS_[C.Extra.05]))))),
0)</f>
        <v>0</v>
      </c>
      <c r="AQ68" s="115">
        <f t="array" ref="AQ68">IFERROR(
MEDIAN(IF(DATOS_[Sexo]=$B68,IF(DATOS_[AGRUP. VALOR. PTO.]=$B66,IF(DATOS_[Check Periodo Ref.]="Dentro",DATOS_[Tot Extrasalarial Ef],FALSE)))),
0)</f>
        <v>0</v>
      </c>
      <c r="AR68" s="116">
        <f t="array" ref="AR68">IFERROR(
MEDIAN(IF(DATOS_[Sexo]=$B68,IF(DATOS_[AGRUP. VALOR. PTO.]=$B66,IF(DATOS_[Check Periodo Ref.]="Dentro",DATOS_[TOTAL Retrib Ef],FALSE)))),
0)</f>
        <v>0</v>
      </c>
    </row>
    <row r="69" spans="1:44" ht="17.25" hidden="1" thickBot="1" x14ac:dyDescent="0.35">
      <c r="A69" s="42" t="str">
        <f t="shared" ref="A69" si="75">+A70</f>
        <v>[ocultar]</v>
      </c>
      <c r="B69" s="40" t="s">
        <v>278</v>
      </c>
      <c r="C69" s="109"/>
      <c r="D69" s="41"/>
      <c r="E69" s="119" t="str">
        <f t="shared" ref="E69:AR69" si="76">IFERROR((E70-E71)/E70,"")</f>
        <v/>
      </c>
      <c r="F69" s="123" t="str">
        <f t="shared" si="76"/>
        <v/>
      </c>
      <c r="G69" s="123" t="str">
        <f t="shared" si="76"/>
        <v/>
      </c>
      <c r="H69" s="123" t="str">
        <f t="shared" si="76"/>
        <v/>
      </c>
      <c r="I69" s="123" t="str">
        <f t="shared" si="76"/>
        <v/>
      </c>
      <c r="J69" s="123" t="str">
        <f t="shared" si="76"/>
        <v/>
      </c>
      <c r="K69" s="123" t="str">
        <f t="shared" si="76"/>
        <v/>
      </c>
      <c r="L69" s="123" t="str">
        <f t="shared" si="76"/>
        <v/>
      </c>
      <c r="M69" s="123" t="str">
        <f t="shared" si="76"/>
        <v/>
      </c>
      <c r="N69" s="123" t="str">
        <f t="shared" si="76"/>
        <v/>
      </c>
      <c r="O69" s="123" t="str">
        <f t="shared" si="76"/>
        <v/>
      </c>
      <c r="P69" s="123" t="str">
        <f t="shared" si="76"/>
        <v/>
      </c>
      <c r="Q69" s="123" t="str">
        <f t="shared" si="76"/>
        <v/>
      </c>
      <c r="R69" s="123" t="str">
        <f t="shared" si="76"/>
        <v/>
      </c>
      <c r="S69" s="123" t="str">
        <f t="shared" si="76"/>
        <v/>
      </c>
      <c r="T69" s="123" t="str">
        <f t="shared" si="76"/>
        <v/>
      </c>
      <c r="U69" s="123" t="str">
        <f t="shared" si="76"/>
        <v/>
      </c>
      <c r="V69" s="122" t="str">
        <f t="shared" si="76"/>
        <v/>
      </c>
      <c r="W69" s="122" t="str">
        <f t="shared" si="76"/>
        <v/>
      </c>
      <c r="X69" s="122" t="str">
        <f t="shared" si="76"/>
        <v/>
      </c>
      <c r="Y69" s="122" t="str">
        <f t="shared" si="76"/>
        <v/>
      </c>
      <c r="Z69" s="122" t="str">
        <f t="shared" si="76"/>
        <v/>
      </c>
      <c r="AA69" s="122" t="str">
        <f t="shared" si="76"/>
        <v/>
      </c>
      <c r="AB69" s="122" t="str">
        <f t="shared" si="76"/>
        <v/>
      </c>
      <c r="AC69" s="122" t="str">
        <f t="shared" si="76"/>
        <v/>
      </c>
      <c r="AD69" s="122" t="str">
        <f t="shared" si="76"/>
        <v/>
      </c>
      <c r="AE69" s="122" t="str">
        <f t="shared" si="76"/>
        <v/>
      </c>
      <c r="AF69" s="122" t="str">
        <f t="shared" si="76"/>
        <v/>
      </c>
      <c r="AG69" s="122" t="str">
        <f t="shared" si="76"/>
        <v/>
      </c>
      <c r="AH69" s="122" t="str">
        <f t="shared" si="76"/>
        <v/>
      </c>
      <c r="AI69" s="122" t="str">
        <f t="shared" si="76"/>
        <v/>
      </c>
      <c r="AJ69" s="124" t="str">
        <f t="shared" si="76"/>
        <v/>
      </c>
      <c r="AK69" s="128" t="str">
        <f t="shared" si="76"/>
        <v/>
      </c>
      <c r="AL69" s="125" t="str">
        <f t="shared" si="76"/>
        <v/>
      </c>
      <c r="AM69" s="125" t="str">
        <f t="shared" si="76"/>
        <v/>
      </c>
      <c r="AN69" s="125" t="str">
        <f t="shared" si="76"/>
        <v/>
      </c>
      <c r="AO69" s="125" t="str">
        <f t="shared" si="76"/>
        <v/>
      </c>
      <c r="AP69" s="125" t="str">
        <f t="shared" si="76"/>
        <v/>
      </c>
      <c r="AQ69" s="126" t="str">
        <f t="shared" si="76"/>
        <v/>
      </c>
      <c r="AR69" s="127" t="str">
        <f t="shared" si="76"/>
        <v/>
      </c>
    </row>
    <row r="70" spans="1:44" hidden="1" x14ac:dyDescent="0.3">
      <c r="A70" s="42" t="str">
        <f t="shared" ref="A70" si="77">+IF(C70+C71=0,"[ocultar]","")</f>
        <v>[ocultar]</v>
      </c>
      <c r="B70" s="34" t="s">
        <v>162</v>
      </c>
      <c r="C70" s="33">
        <f t="array" ref="C70">SUM(IF($B70=DATOS_[Sexo],
IF($B69=DATOS_[AGRUP. VALOR. PTO.],
IF("Dentro"=DATOS_[Check Periodo Ref.],
1/(COUNTIFS(DATOS_[Sexo],$B70,DATOS_[AGRUP. VALOR. PTO.],$B69,DATOS_[Check Periodo Ref.],"Dentro",DATOS_[id],DATOS_[id]))))))</f>
        <v>0</v>
      </c>
      <c r="D70" s="35">
        <f>COUNTIFS(DATOS_[AGRUP. VALOR. PTO.],$B69,DATOS_[Sexo],$B70,DATOS_[Check Periodo Ref.],"Dentro")</f>
        <v>0</v>
      </c>
      <c r="E70" s="110">
        <f t="array" ref="E70">IFERROR(
MEDIAN(IF(DATOS_[Sexo]=$B70,IF(DATOS_[AGRUP. VALOR. PTO.]=$B69,IF(DATOS_[Check Periodo Ref.]="Dentro",DATOS_[SALARIO BASE Ef],FALSE)))),
0)</f>
        <v>0</v>
      </c>
      <c r="F70" s="111">
        <f t="array" ref="F70">IFERROR(
MEDIAN((IF(DATOS_[[Sexo]:[Sexo]]=$B70,IF(DATOS_[[AGRUP. VALOR. PTO.]:[AGRUP. VALOR. PTO.]]=$B69,IF(DATOS_[[Check Periodo Ref.]:[Check Periodo Ref.]]="Dentro",DATOS_[Conc.Sal.01]))))),
0)</f>
        <v>0</v>
      </c>
      <c r="G70" s="111">
        <f t="array" ref="G70">IFERROR(
MEDIAN((IF(DATOS_[[Sexo]:[Sexo]]=$B70,IF(DATOS_[[AGRUP. VALOR. PTO.]:[AGRUP. VALOR. PTO.]]=$B69,IF(DATOS_[[Check Periodo Ref.]:[Check Periodo Ref.]]="Dentro",DATOS_[Conc.Sal.02]))))),
0)</f>
        <v>0</v>
      </c>
      <c r="H70" s="111">
        <f t="array" ref="H70">IFERROR(
MEDIAN((IF(DATOS_[[Sexo]:[Sexo]]=$B70,IF(DATOS_[[AGRUP. VALOR. PTO.]:[AGRUP. VALOR. PTO.]]=$B69,IF(DATOS_[[Check Periodo Ref.]:[Check Periodo Ref.]]="Dentro",DATOS_[Conc.Sal.03]))))),
0)</f>
        <v>0</v>
      </c>
      <c r="I70" s="111">
        <f t="array" ref="I70">IFERROR(
MEDIAN((IF(DATOS_[[Sexo]:[Sexo]]=$B70,IF(DATOS_[[AGRUP. VALOR. PTO.]:[AGRUP. VALOR. PTO.]]=$B69,IF(DATOS_[[Check Periodo Ref.]:[Check Periodo Ref.]]="Dentro",DATOS_[Conc.Sal.04]))))),
0)</f>
        <v>0</v>
      </c>
      <c r="J70" s="111">
        <f t="array" ref="J70">IFERROR(
MEDIAN((IF(DATOS_[[Sexo]:[Sexo]]=$B70,IF(DATOS_[[AGRUP. VALOR. PTO.]:[AGRUP. VALOR. PTO.]]=$B69,IF(DATOS_[[Check Periodo Ref.]:[Check Periodo Ref.]]="Dentro",DATOS_[Conc.Sal.05]))))),
0)</f>
        <v>0</v>
      </c>
      <c r="K70" s="111">
        <f t="array" ref="K70">IFERROR(
MEDIAN((IF(DATOS_[[Sexo]:[Sexo]]=$B70,IF(DATOS_[[AGRUP. VALOR. PTO.]:[AGRUP. VALOR. PTO.]]=$B69,IF(DATOS_[[Check Periodo Ref.]:[Check Periodo Ref.]]="Dentro",DATOS_[Conc.Sal.06]))))),
0)</f>
        <v>0</v>
      </c>
      <c r="L70" s="111">
        <f t="array" ref="L70">IFERROR(
MEDIAN((IF(DATOS_[[Sexo]:[Sexo]]=$B70,IF(DATOS_[[AGRUP. VALOR. PTO.]:[AGRUP. VALOR. PTO.]]=$B69,IF(DATOS_[[Check Periodo Ref.]:[Check Periodo Ref.]]="Dentro",DATOS_[Conc.Sal.07]))))),
0)</f>
        <v>0</v>
      </c>
      <c r="M70" s="111">
        <f t="array" ref="M70">IFERROR(
MEDIAN((IF(DATOS_[[Sexo]:[Sexo]]=$B70,IF(DATOS_[[AGRUP. VALOR. PTO.]:[AGRUP. VALOR. PTO.]]=$B69,IF(DATOS_[[Check Periodo Ref.]:[Check Periodo Ref.]]="Dentro",DATOS_[Conc.Sal.08]))))),
0)</f>
        <v>0</v>
      </c>
      <c r="N70" s="111">
        <f t="array" ref="N70">IFERROR(
MEDIAN((IF(DATOS_[[Sexo]:[Sexo]]=$B70,IF(DATOS_[[AGRUP. VALOR. PTO.]:[AGRUP. VALOR. PTO.]]=$B69,IF(DATOS_[[Check Periodo Ref.]:[Check Periodo Ref.]]="Dentro",DATOS_[Conc.Sal.09]))))),
0)</f>
        <v>0</v>
      </c>
      <c r="O70" s="111">
        <f t="array" ref="O70">IFERROR(
MEDIAN((IF(DATOS_[[Sexo]:[Sexo]]=$B70,IF(DATOS_[[AGRUP. VALOR. PTO.]:[AGRUP. VALOR. PTO.]]=$B69,IF(DATOS_[[Check Periodo Ref.]:[Check Periodo Ref.]]="Dentro",DATOS_[Conc.Sal.10]))))),
0)</f>
        <v>0</v>
      </c>
      <c r="P70" s="111">
        <f t="array" ref="P70">IFERROR(
MEDIAN((IF(DATOS_[[Sexo]:[Sexo]]=$B70,IF(DATOS_[[AGRUP. VALOR. PTO.]:[AGRUP. VALOR. PTO.]]=$B69,IF(DATOS_[[Check Periodo Ref.]:[Check Periodo Ref.]]="Dentro",DATOS_[Conc.Sal.11]))))),
0)</f>
        <v>0</v>
      </c>
      <c r="Q70" s="111">
        <f t="array" ref="Q70">IFERROR(
MEDIAN((IF(DATOS_[[Sexo]:[Sexo]]=$B70,IF(DATOS_[[AGRUP. VALOR. PTO.]:[AGRUP. VALOR. PTO.]]=$B69,IF(DATOS_[[Check Periodo Ref.]:[Check Periodo Ref.]]="Dentro",DATOS_[Conc.Sal.12]))))),
0)</f>
        <v>0</v>
      </c>
      <c r="R70" s="111">
        <f t="array" ref="R70">IFERROR(
MEDIAN((IF(DATOS_[[Sexo]:[Sexo]]=$B70,IF(DATOS_[[AGRUP. VALOR. PTO.]:[AGRUP. VALOR. PTO.]]=$B69,IF(DATOS_[[Check Periodo Ref.]:[Check Periodo Ref.]]="Dentro",DATOS_[Conc.Sal.13]))))),
0)</f>
        <v>0</v>
      </c>
      <c r="S70" s="111">
        <f t="array" ref="S70">IFERROR(
MEDIAN((IF(DATOS_[[Sexo]:[Sexo]]=$B70,IF(DATOS_[[AGRUP. VALOR. PTO.]:[AGRUP. VALOR. PTO.]]=$B69,IF(DATOS_[[Check Periodo Ref.]:[Check Periodo Ref.]]="Dentro",DATOS_[Conc.Sal.14]))))),
0)</f>
        <v>0</v>
      </c>
      <c r="T70" s="111">
        <f t="array" ref="T70">IFERROR(
MEDIAN((IF(DATOS_[[Sexo]:[Sexo]]=$B70,IF(DATOS_[[AGRUP. VALOR. PTO.]:[AGRUP. VALOR. PTO.]]=$B69,IF(DATOS_[[Check Periodo Ref.]:[Check Periodo Ref.]]="Dentro",DATOS_[Conc.Sal.15]))))),
0)</f>
        <v>0</v>
      </c>
      <c r="U70" s="111">
        <f t="array" ref="U70">IFERROR(
MEDIAN((IF(DATOS_[[Sexo]:[Sexo]]=$B70,IF(DATOS_[[AGRUP. VALOR. PTO.]:[AGRUP. VALOR. PTO.]]=$B69,IF(DATOS_[[Check Periodo Ref.]:[Check Periodo Ref.]]="Dentro",DATOS_[Conc.Sal.16]))))),
0)</f>
        <v>0</v>
      </c>
      <c r="V70" s="111">
        <f t="array" ref="V70">IFERROR(
MEDIAN((IF(DATOS_[[Sexo]:[Sexo]]=$B70,IF(DATOS_[[AGRUP. VALOR. PTO.]:[AGRUP. VALOR. PTO.]]=$B69,IF(DATOS_[[Check Periodo Ref.]:[Check Periodo Ref.]]="Dentro",DATOS_[Conc.Sal.17]))))),
0)</f>
        <v>0</v>
      </c>
      <c r="W70" s="111">
        <f t="array" ref="W70">IFERROR(
MEDIAN((IF(DATOS_[[Sexo]:[Sexo]]=$B70,IF(DATOS_[[AGRUP. VALOR. PTO.]:[AGRUP. VALOR. PTO.]]=$B69,IF(DATOS_[[Check Periodo Ref.]:[Check Periodo Ref.]]="Dentro",DATOS_[Conc.Sal.18]))))),
0)</f>
        <v>0</v>
      </c>
      <c r="X70" s="111">
        <f t="array" ref="X70">IFERROR(
MEDIAN((IF(DATOS_[[Sexo]:[Sexo]]=$B70,IF(DATOS_[[AGRUP. VALOR. PTO.]:[AGRUP. VALOR. PTO.]]=$B69,IF(DATOS_[[Check Periodo Ref.]:[Check Periodo Ref.]]="Dentro",DATOS_[Conc.Sal.19]))))),
0)</f>
        <v>0</v>
      </c>
      <c r="Y70" s="111">
        <f t="array" ref="Y70">IFERROR(
MEDIAN((IF(DATOS_[[Sexo]:[Sexo]]=$B70,IF(DATOS_[[AGRUP. VALOR. PTO.]:[AGRUP. VALOR. PTO.]]=$B69,IF(DATOS_[[Check Periodo Ref.]:[Check Periodo Ref.]]="Dentro",DATOS_[Conc.Sal.20]))))),
0)</f>
        <v>0</v>
      </c>
      <c r="Z70" s="111">
        <f t="array" ref="Z70">IFERROR(
MEDIAN((IF(DATOS_[[Sexo]:[Sexo]]=$B70,IF(DATOS_[[AGRUP. VALOR. PTO.]:[AGRUP. VALOR. PTO.]]=$B69,IF(DATOS_[[Check Periodo Ref.]:[Check Periodo Ref.]]="Dentro",DATOS_[Conc.Sal.21]))))),
0)</f>
        <v>0</v>
      </c>
      <c r="AA70" s="111">
        <f t="array" ref="AA70">IFERROR(
MEDIAN((IF(DATOS_[[Sexo]:[Sexo]]=$B70,IF(DATOS_[[AGRUP. VALOR. PTO.]:[AGRUP. VALOR. PTO.]]=$B69,IF(DATOS_[[Check Periodo Ref.]:[Check Periodo Ref.]]="Dentro",DATOS_[Conc.Sal.22]))))),
0)</f>
        <v>0</v>
      </c>
      <c r="AB70" s="111">
        <f t="array" ref="AB70">IFERROR(
MEDIAN((IF(DATOS_[[Sexo]:[Sexo]]=$B70,IF(DATOS_[[AGRUP. VALOR. PTO.]:[AGRUP. VALOR. PTO.]]=$B69,IF(DATOS_[[Check Periodo Ref.]:[Check Periodo Ref.]]="Dentro",DATOS_[Conc.Sal.23]))))),
0)</f>
        <v>0</v>
      </c>
      <c r="AC70" s="111">
        <f t="array" ref="AC70">IFERROR(
MEDIAN((IF(DATOS_[[Sexo]:[Sexo]]=$B70,IF(DATOS_[[AGRUP. VALOR. PTO.]:[AGRUP. VALOR. PTO.]]=$B69,IF(DATOS_[[Check Periodo Ref.]:[Check Periodo Ref.]]="Dentro",DATOS_[Conc.Sal.24]))))),
0)</f>
        <v>0</v>
      </c>
      <c r="AD70" s="111">
        <f t="array" ref="AD70">IFERROR(
MEDIAN((IF(DATOS_[[Sexo]:[Sexo]]=$B70,IF(DATOS_[[AGRUP. VALOR. PTO.]:[AGRUP. VALOR. PTO.]]=$B69,IF(DATOS_[[Check Periodo Ref.]:[Check Periodo Ref.]]="Dentro",DATOS_[Conc.Sal.25]))))),
0)</f>
        <v>0</v>
      </c>
      <c r="AE70" s="111">
        <f t="array" ref="AE70">IFERROR(
MEDIAN((IF(DATOS_[[Sexo]:[Sexo]]=$B70,IF(DATOS_[[AGRUP. VALOR. PTO.]:[AGRUP. VALOR. PTO.]]=$B69,IF(DATOS_[[Check Periodo Ref.]:[Check Periodo Ref.]]="Dentro",DATOS_[Conc.Sal.26]))))),
0)</f>
        <v>0</v>
      </c>
      <c r="AF70" s="111">
        <f t="array" ref="AF70">IFERROR(
MEDIAN((IF(DATOS_[[Sexo]:[Sexo]]=$B70,IF(DATOS_[[AGRUP. VALOR. PTO.]:[AGRUP. VALOR. PTO.]]=$B69,IF(DATOS_[[Check Periodo Ref.]:[Check Periodo Ref.]]="Dentro",DATOS_[Conc.Sal.27]))))),
0)</f>
        <v>0</v>
      </c>
      <c r="AG70" s="111">
        <f t="array" ref="AG70">IFERROR(
MEDIAN((IF(DATOS_[[Sexo]:[Sexo]]=$B70,IF(DATOS_[[AGRUP. VALOR. PTO.]:[AGRUP. VALOR. PTO.]]=$B69,IF(DATOS_[[Check Periodo Ref.]:[Check Periodo Ref.]]="Dentro",DATOS_[Conc.Sal.28]))))),
0)</f>
        <v>0</v>
      </c>
      <c r="AH70" s="111">
        <f t="array" ref="AH70">IFERROR(
MEDIAN((IF(DATOS_[[Sexo]:[Sexo]]=$B70,IF(DATOS_[[AGRUP. VALOR. PTO.]:[AGRUP. VALOR. PTO.]]=$B69,IF(DATOS_[[Check Periodo Ref.]:[Check Periodo Ref.]]="Dentro",DATOS_[Conc.Sal.29]))))),
0)</f>
        <v>0</v>
      </c>
      <c r="AI70" s="111">
        <f t="array" ref="AI70">IFERROR(
MEDIAN((IF(DATOS_[[Sexo]:[Sexo]]=$B70,IF(DATOS_[[AGRUP. VALOR. PTO.]:[AGRUP. VALOR. PTO.]]=$B69,IF(DATOS_[[Check Periodo Ref.]:[Check Periodo Ref.]]="Dentro",DATOS_[Conc.Sal.30]))))),
0)</f>
        <v>0</v>
      </c>
      <c r="AJ70" s="112">
        <f t="array" ref="AJ70">IFERROR(
MEDIAN(IF(DATOS_[Sexo]=$B70,IF(DATOS_[AGRUP. VALOR. PTO.]=$B69,IF(DATOS_[Check Periodo Ref.]="Dentro",DATOS_[Tot COMPL.SAL Ef],FALSE)))),
0)</f>
        <v>0</v>
      </c>
      <c r="AK70" s="113">
        <f t="array" ref="AK70">IFERROR(
MEDIAN(IF(DATOS_[Sexo]=$B70,IF(DATOS_[AGRUP. VALOR. PTO.]=$B69,IF(DATOS_[Check Periodo Ref.]="Dentro",DATOS_[TOTAL SALARIO Ef],FALSE)))),
0)</f>
        <v>0</v>
      </c>
      <c r="AL70" s="114">
        <f t="array" ref="AL70">IFERROR(
MEDIAN((IF(DATOS_[[Sexo]:[Sexo]]=$B70,IF(DATOS_[[AGRUP. VALOR. PTO.]:[AGRUP. VALOR. PTO.]]=$B69,IF(DATOS_[[Check Periodo Ref.]:[Check Periodo Ref.]]="Dentro",DATOS_[C.Extra.01]))))),
0)</f>
        <v>0</v>
      </c>
      <c r="AM70" s="114">
        <f t="array" ref="AM70">IFERROR(
MEDIAN((IF(DATOS_[[Sexo]:[Sexo]]=$B70,IF(DATOS_[[AGRUP. VALOR. PTO.]:[AGRUP. VALOR. PTO.]]=$B69,IF(DATOS_[[Check Periodo Ref.]:[Check Periodo Ref.]]="Dentro",DATOS_[C.Extra.02]))))),
0)</f>
        <v>0</v>
      </c>
      <c r="AN70" s="114">
        <f t="array" ref="AN70">IFERROR(
MEDIAN((IF(DATOS_[[Sexo]:[Sexo]]=$B70,IF(DATOS_[[AGRUP. VALOR. PTO.]:[AGRUP. VALOR. PTO.]]=$B69,IF(DATOS_[[Check Periodo Ref.]:[Check Periodo Ref.]]="Dentro",DATOS_[C.Extra.03]))))),
0)</f>
        <v>0</v>
      </c>
      <c r="AO70" s="114">
        <f t="array" ref="AO70">IFERROR(
MEDIAN((IF(DATOS_[[Sexo]:[Sexo]]=$B70,IF(DATOS_[[AGRUP. VALOR. PTO.]:[AGRUP. VALOR. PTO.]]=$B69,IF(DATOS_[[Check Periodo Ref.]:[Check Periodo Ref.]]="Dentro",DATOS_[C.Extra.04]))))),
0)</f>
        <v>0</v>
      </c>
      <c r="AP70" s="114">
        <f t="array" ref="AP70">IFERROR(
MEDIAN((IF(DATOS_[[Sexo]:[Sexo]]=$B70,IF(DATOS_[[AGRUP. VALOR. PTO.]:[AGRUP. VALOR. PTO.]]=$B69,IF(DATOS_[[Check Periodo Ref.]:[Check Periodo Ref.]]="Dentro",DATOS_[C.Extra.05]))))),
0)</f>
        <v>0</v>
      </c>
      <c r="AQ70" s="115">
        <f t="array" ref="AQ70">IFERROR(
MEDIAN(IF(DATOS_[Sexo]=$B70,IF(DATOS_[AGRUP. VALOR. PTO.]=$B69,IF(DATOS_[Check Periodo Ref.]="Dentro",DATOS_[Tot Extrasalarial Ef],FALSE)))),
0)</f>
        <v>0</v>
      </c>
      <c r="AR70" s="116">
        <f t="array" ref="AR70">IFERROR(
MEDIAN(IF(DATOS_[Sexo]=$B70,IF(DATOS_[AGRUP. VALOR. PTO.]=$B69,IF(DATOS_[Check Periodo Ref.]="Dentro",DATOS_[TOTAL Retrib Ef],FALSE)))),
0)</f>
        <v>0</v>
      </c>
    </row>
    <row r="71" spans="1:44" hidden="1" x14ac:dyDescent="0.3">
      <c r="A71" s="42" t="str">
        <f t="shared" ref="A71" si="78">+A70</f>
        <v>[ocultar]</v>
      </c>
      <c r="B71" s="34" t="s">
        <v>163</v>
      </c>
      <c r="C71" s="33">
        <f t="array" ref="C71">SUM(IF($B71=DATOS_[Sexo],
IF($B69=DATOS_[AGRUP. VALOR. PTO.],
IF("Dentro"=DATOS_[Check Periodo Ref.],
1/(COUNTIFS(DATOS_[Sexo],$B71,DATOS_[AGRUP. VALOR. PTO.],$B69,DATOS_[Check Periodo Ref.],"Dentro",DATOS_[id],DATOS_[id]))))))</f>
        <v>0</v>
      </c>
      <c r="D71" s="35">
        <f>COUNTIFS(DATOS_[AGRUP. VALOR. PTO.],$B69,DATOS_[Sexo],$B71,DATOS_[Check Periodo Ref.],"Dentro")</f>
        <v>0</v>
      </c>
      <c r="E71" s="110">
        <f t="array" ref="E71">IFERROR(
MEDIAN(IF(DATOS_[Sexo]=$B71,IF(DATOS_[AGRUP. VALOR. PTO.]=$B69,IF(DATOS_[Check Periodo Ref.]="Dentro",DATOS_[SALARIO BASE Ef],FALSE)))),
0)</f>
        <v>0</v>
      </c>
      <c r="F71" s="111">
        <f t="array" ref="F71">IFERROR(
MEDIAN((IF(DATOS_[[Sexo]:[Sexo]]=$B71,IF(DATOS_[[AGRUP. VALOR. PTO.]:[AGRUP. VALOR. PTO.]]=$B69,IF(DATOS_[[Check Periodo Ref.]:[Check Periodo Ref.]]="Dentro",DATOS_[Conc.Sal.01]))))),
0)</f>
        <v>0</v>
      </c>
      <c r="G71" s="111">
        <f t="array" ref="G71">IFERROR(
MEDIAN((IF(DATOS_[[Sexo]:[Sexo]]=$B71,IF(DATOS_[[AGRUP. VALOR. PTO.]:[AGRUP. VALOR. PTO.]]=$B69,IF(DATOS_[[Check Periodo Ref.]:[Check Periodo Ref.]]="Dentro",DATOS_[Conc.Sal.02]))))),
0)</f>
        <v>0</v>
      </c>
      <c r="H71" s="111">
        <f t="array" ref="H71">IFERROR(
MEDIAN((IF(DATOS_[[Sexo]:[Sexo]]=$B71,IF(DATOS_[[AGRUP. VALOR. PTO.]:[AGRUP. VALOR. PTO.]]=$B69,IF(DATOS_[[Check Periodo Ref.]:[Check Periodo Ref.]]="Dentro",DATOS_[Conc.Sal.03]))))),
0)</f>
        <v>0</v>
      </c>
      <c r="I71" s="111">
        <f t="array" ref="I71">IFERROR(
MEDIAN((IF(DATOS_[[Sexo]:[Sexo]]=$B71,IF(DATOS_[[AGRUP. VALOR. PTO.]:[AGRUP. VALOR. PTO.]]=$B69,IF(DATOS_[[Check Periodo Ref.]:[Check Periodo Ref.]]="Dentro",DATOS_[Conc.Sal.04]))))),
0)</f>
        <v>0</v>
      </c>
      <c r="J71" s="111">
        <f t="array" ref="J71">IFERROR(
MEDIAN((IF(DATOS_[[Sexo]:[Sexo]]=$B71,IF(DATOS_[[AGRUP. VALOR. PTO.]:[AGRUP. VALOR. PTO.]]=$B69,IF(DATOS_[[Check Periodo Ref.]:[Check Periodo Ref.]]="Dentro",DATOS_[Conc.Sal.05]))))),
0)</f>
        <v>0</v>
      </c>
      <c r="K71" s="111">
        <f t="array" ref="K71">IFERROR(
MEDIAN((IF(DATOS_[[Sexo]:[Sexo]]=$B71,IF(DATOS_[[AGRUP. VALOR. PTO.]:[AGRUP. VALOR. PTO.]]=$B69,IF(DATOS_[[Check Periodo Ref.]:[Check Periodo Ref.]]="Dentro",DATOS_[Conc.Sal.06]))))),
0)</f>
        <v>0</v>
      </c>
      <c r="L71" s="111">
        <f t="array" ref="L71">IFERROR(
MEDIAN((IF(DATOS_[[Sexo]:[Sexo]]=$B71,IF(DATOS_[[AGRUP. VALOR. PTO.]:[AGRUP. VALOR. PTO.]]=$B69,IF(DATOS_[[Check Periodo Ref.]:[Check Periodo Ref.]]="Dentro",DATOS_[Conc.Sal.07]))))),
0)</f>
        <v>0</v>
      </c>
      <c r="M71" s="111">
        <f t="array" ref="M71">IFERROR(
MEDIAN((IF(DATOS_[[Sexo]:[Sexo]]=$B71,IF(DATOS_[[AGRUP. VALOR. PTO.]:[AGRUP. VALOR. PTO.]]=$B69,IF(DATOS_[[Check Periodo Ref.]:[Check Periodo Ref.]]="Dentro",DATOS_[Conc.Sal.08]))))),
0)</f>
        <v>0</v>
      </c>
      <c r="N71" s="111">
        <f t="array" ref="N71">IFERROR(
MEDIAN((IF(DATOS_[[Sexo]:[Sexo]]=$B71,IF(DATOS_[[AGRUP. VALOR. PTO.]:[AGRUP. VALOR. PTO.]]=$B69,IF(DATOS_[[Check Periodo Ref.]:[Check Periodo Ref.]]="Dentro",DATOS_[Conc.Sal.09]))))),
0)</f>
        <v>0</v>
      </c>
      <c r="O71" s="111">
        <f t="array" ref="O71">IFERROR(
MEDIAN((IF(DATOS_[[Sexo]:[Sexo]]=$B71,IF(DATOS_[[AGRUP. VALOR. PTO.]:[AGRUP. VALOR. PTO.]]=$B69,IF(DATOS_[[Check Periodo Ref.]:[Check Periodo Ref.]]="Dentro",DATOS_[Conc.Sal.10]))))),
0)</f>
        <v>0</v>
      </c>
      <c r="P71" s="111">
        <f t="array" ref="P71">IFERROR(
MEDIAN((IF(DATOS_[[Sexo]:[Sexo]]=$B71,IF(DATOS_[[AGRUP. VALOR. PTO.]:[AGRUP. VALOR. PTO.]]=$B69,IF(DATOS_[[Check Periodo Ref.]:[Check Periodo Ref.]]="Dentro",DATOS_[Conc.Sal.11]))))),
0)</f>
        <v>0</v>
      </c>
      <c r="Q71" s="111">
        <f t="array" ref="Q71">IFERROR(
MEDIAN((IF(DATOS_[[Sexo]:[Sexo]]=$B71,IF(DATOS_[[AGRUP. VALOR. PTO.]:[AGRUP. VALOR. PTO.]]=$B69,IF(DATOS_[[Check Periodo Ref.]:[Check Periodo Ref.]]="Dentro",DATOS_[Conc.Sal.12]))))),
0)</f>
        <v>0</v>
      </c>
      <c r="R71" s="111">
        <f t="array" ref="R71">IFERROR(
MEDIAN((IF(DATOS_[[Sexo]:[Sexo]]=$B71,IF(DATOS_[[AGRUP. VALOR. PTO.]:[AGRUP. VALOR. PTO.]]=$B69,IF(DATOS_[[Check Periodo Ref.]:[Check Periodo Ref.]]="Dentro",DATOS_[Conc.Sal.13]))))),
0)</f>
        <v>0</v>
      </c>
      <c r="S71" s="111">
        <f t="array" ref="S71">IFERROR(
MEDIAN((IF(DATOS_[[Sexo]:[Sexo]]=$B71,IF(DATOS_[[AGRUP. VALOR. PTO.]:[AGRUP. VALOR. PTO.]]=$B69,IF(DATOS_[[Check Periodo Ref.]:[Check Periodo Ref.]]="Dentro",DATOS_[Conc.Sal.14]))))),
0)</f>
        <v>0</v>
      </c>
      <c r="T71" s="111">
        <f t="array" ref="T71">IFERROR(
MEDIAN((IF(DATOS_[[Sexo]:[Sexo]]=$B71,IF(DATOS_[[AGRUP. VALOR. PTO.]:[AGRUP. VALOR. PTO.]]=$B69,IF(DATOS_[[Check Periodo Ref.]:[Check Periodo Ref.]]="Dentro",DATOS_[Conc.Sal.15]))))),
0)</f>
        <v>0</v>
      </c>
      <c r="U71" s="111">
        <f t="array" ref="U71">IFERROR(
MEDIAN((IF(DATOS_[[Sexo]:[Sexo]]=$B71,IF(DATOS_[[AGRUP. VALOR. PTO.]:[AGRUP. VALOR. PTO.]]=$B69,IF(DATOS_[[Check Periodo Ref.]:[Check Periodo Ref.]]="Dentro",DATOS_[Conc.Sal.16]))))),
0)</f>
        <v>0</v>
      </c>
      <c r="V71" s="111">
        <f t="array" ref="V71">IFERROR(
MEDIAN((IF(DATOS_[[Sexo]:[Sexo]]=$B71,IF(DATOS_[[AGRUP. VALOR. PTO.]:[AGRUP. VALOR. PTO.]]=$B69,IF(DATOS_[[Check Periodo Ref.]:[Check Periodo Ref.]]="Dentro",DATOS_[Conc.Sal.17]))))),
0)</f>
        <v>0</v>
      </c>
      <c r="W71" s="111">
        <f t="array" ref="W71">IFERROR(
MEDIAN((IF(DATOS_[[Sexo]:[Sexo]]=$B71,IF(DATOS_[[AGRUP. VALOR. PTO.]:[AGRUP. VALOR. PTO.]]=$B69,IF(DATOS_[[Check Periodo Ref.]:[Check Periodo Ref.]]="Dentro",DATOS_[Conc.Sal.18]))))),
0)</f>
        <v>0</v>
      </c>
      <c r="X71" s="111">
        <f t="array" ref="X71">IFERROR(
MEDIAN((IF(DATOS_[[Sexo]:[Sexo]]=$B71,IF(DATOS_[[AGRUP. VALOR. PTO.]:[AGRUP. VALOR. PTO.]]=$B69,IF(DATOS_[[Check Periodo Ref.]:[Check Periodo Ref.]]="Dentro",DATOS_[Conc.Sal.19]))))),
0)</f>
        <v>0</v>
      </c>
      <c r="Y71" s="111">
        <f t="array" ref="Y71">IFERROR(
MEDIAN((IF(DATOS_[[Sexo]:[Sexo]]=$B71,IF(DATOS_[[AGRUP. VALOR. PTO.]:[AGRUP. VALOR. PTO.]]=$B69,IF(DATOS_[[Check Periodo Ref.]:[Check Periodo Ref.]]="Dentro",DATOS_[Conc.Sal.20]))))),
0)</f>
        <v>0</v>
      </c>
      <c r="Z71" s="111">
        <f t="array" ref="Z71">IFERROR(
MEDIAN((IF(DATOS_[[Sexo]:[Sexo]]=$B71,IF(DATOS_[[AGRUP. VALOR. PTO.]:[AGRUP. VALOR. PTO.]]=$B69,IF(DATOS_[[Check Periodo Ref.]:[Check Periodo Ref.]]="Dentro",DATOS_[Conc.Sal.21]))))),
0)</f>
        <v>0</v>
      </c>
      <c r="AA71" s="111">
        <f t="array" ref="AA71">IFERROR(
MEDIAN((IF(DATOS_[[Sexo]:[Sexo]]=$B71,IF(DATOS_[[AGRUP. VALOR. PTO.]:[AGRUP. VALOR. PTO.]]=$B69,IF(DATOS_[[Check Periodo Ref.]:[Check Periodo Ref.]]="Dentro",DATOS_[Conc.Sal.22]))))),
0)</f>
        <v>0</v>
      </c>
      <c r="AB71" s="111">
        <f t="array" ref="AB71">IFERROR(
MEDIAN((IF(DATOS_[[Sexo]:[Sexo]]=$B71,IF(DATOS_[[AGRUP. VALOR. PTO.]:[AGRUP. VALOR. PTO.]]=$B69,IF(DATOS_[[Check Periodo Ref.]:[Check Periodo Ref.]]="Dentro",DATOS_[Conc.Sal.23]))))),
0)</f>
        <v>0</v>
      </c>
      <c r="AC71" s="111">
        <f t="array" ref="AC71">IFERROR(
MEDIAN((IF(DATOS_[[Sexo]:[Sexo]]=$B71,IF(DATOS_[[AGRUP. VALOR. PTO.]:[AGRUP. VALOR. PTO.]]=$B69,IF(DATOS_[[Check Periodo Ref.]:[Check Periodo Ref.]]="Dentro",DATOS_[Conc.Sal.24]))))),
0)</f>
        <v>0</v>
      </c>
      <c r="AD71" s="111">
        <f t="array" ref="AD71">IFERROR(
MEDIAN((IF(DATOS_[[Sexo]:[Sexo]]=$B71,IF(DATOS_[[AGRUP. VALOR. PTO.]:[AGRUP. VALOR. PTO.]]=$B69,IF(DATOS_[[Check Periodo Ref.]:[Check Periodo Ref.]]="Dentro",DATOS_[Conc.Sal.25]))))),
0)</f>
        <v>0</v>
      </c>
      <c r="AE71" s="111">
        <f t="array" ref="AE71">IFERROR(
MEDIAN((IF(DATOS_[[Sexo]:[Sexo]]=$B71,IF(DATOS_[[AGRUP. VALOR. PTO.]:[AGRUP. VALOR. PTO.]]=$B69,IF(DATOS_[[Check Periodo Ref.]:[Check Periodo Ref.]]="Dentro",DATOS_[Conc.Sal.26]))))),
0)</f>
        <v>0</v>
      </c>
      <c r="AF71" s="111">
        <f t="array" ref="AF71">IFERROR(
MEDIAN((IF(DATOS_[[Sexo]:[Sexo]]=$B71,IF(DATOS_[[AGRUP. VALOR. PTO.]:[AGRUP. VALOR. PTO.]]=$B69,IF(DATOS_[[Check Periodo Ref.]:[Check Periodo Ref.]]="Dentro",DATOS_[Conc.Sal.27]))))),
0)</f>
        <v>0</v>
      </c>
      <c r="AG71" s="111">
        <f t="array" ref="AG71">IFERROR(
MEDIAN((IF(DATOS_[[Sexo]:[Sexo]]=$B71,IF(DATOS_[[AGRUP. VALOR. PTO.]:[AGRUP. VALOR. PTO.]]=$B69,IF(DATOS_[[Check Periodo Ref.]:[Check Periodo Ref.]]="Dentro",DATOS_[Conc.Sal.28]))))),
0)</f>
        <v>0</v>
      </c>
      <c r="AH71" s="111">
        <f t="array" ref="AH71">IFERROR(
MEDIAN((IF(DATOS_[[Sexo]:[Sexo]]=$B71,IF(DATOS_[[AGRUP. VALOR. PTO.]:[AGRUP. VALOR. PTO.]]=$B69,IF(DATOS_[[Check Periodo Ref.]:[Check Periodo Ref.]]="Dentro",DATOS_[Conc.Sal.29]))))),
0)</f>
        <v>0</v>
      </c>
      <c r="AI71" s="111">
        <f t="array" ref="AI71">IFERROR(
MEDIAN((IF(DATOS_[[Sexo]:[Sexo]]=$B71,IF(DATOS_[[AGRUP. VALOR. PTO.]:[AGRUP. VALOR. PTO.]]=$B69,IF(DATOS_[[Check Periodo Ref.]:[Check Periodo Ref.]]="Dentro",DATOS_[Conc.Sal.30]))))),
0)</f>
        <v>0</v>
      </c>
      <c r="AJ71" s="112">
        <f t="array" ref="AJ71">IFERROR(
MEDIAN(IF(DATOS_[Sexo]=$B71,IF(DATOS_[AGRUP. VALOR. PTO.]=$B69,IF(DATOS_[Check Periodo Ref.]="Dentro",DATOS_[Tot COMPL.SAL Ef],FALSE)))),
0)</f>
        <v>0</v>
      </c>
      <c r="AK71" s="113">
        <f t="array" ref="AK71">IFERROR(
MEDIAN(IF(DATOS_[Sexo]=$B71,IF(DATOS_[AGRUP. VALOR. PTO.]=$B69,IF(DATOS_[Check Periodo Ref.]="Dentro",DATOS_[TOTAL SALARIO Ef],FALSE)))),
0)</f>
        <v>0</v>
      </c>
      <c r="AL71" s="114">
        <f t="array" ref="AL71">IFERROR(
MEDIAN((IF(DATOS_[[Sexo]:[Sexo]]=$B71,IF(DATOS_[[AGRUP. VALOR. PTO.]:[AGRUP. VALOR. PTO.]]=$B69,IF(DATOS_[[Check Periodo Ref.]:[Check Periodo Ref.]]="Dentro",DATOS_[C.Extra.01]))))),
0)</f>
        <v>0</v>
      </c>
      <c r="AM71" s="114">
        <f t="array" ref="AM71">IFERROR(
MEDIAN((IF(DATOS_[[Sexo]:[Sexo]]=$B71,IF(DATOS_[[AGRUP. VALOR. PTO.]:[AGRUP. VALOR. PTO.]]=$B69,IF(DATOS_[[Check Periodo Ref.]:[Check Periodo Ref.]]="Dentro",DATOS_[C.Extra.02]))))),
0)</f>
        <v>0</v>
      </c>
      <c r="AN71" s="114">
        <f t="array" ref="AN71">IFERROR(
MEDIAN((IF(DATOS_[[Sexo]:[Sexo]]=$B71,IF(DATOS_[[AGRUP. VALOR. PTO.]:[AGRUP. VALOR. PTO.]]=$B69,IF(DATOS_[[Check Periodo Ref.]:[Check Periodo Ref.]]="Dentro",DATOS_[C.Extra.03]))))),
0)</f>
        <v>0</v>
      </c>
      <c r="AO71" s="114">
        <f t="array" ref="AO71">IFERROR(
MEDIAN((IF(DATOS_[[Sexo]:[Sexo]]=$B71,IF(DATOS_[[AGRUP. VALOR. PTO.]:[AGRUP. VALOR. PTO.]]=$B69,IF(DATOS_[[Check Periodo Ref.]:[Check Periodo Ref.]]="Dentro",DATOS_[C.Extra.04]))))),
0)</f>
        <v>0</v>
      </c>
      <c r="AP71" s="114">
        <f t="array" ref="AP71">IFERROR(
MEDIAN((IF(DATOS_[[Sexo]:[Sexo]]=$B71,IF(DATOS_[[AGRUP. VALOR. PTO.]:[AGRUP. VALOR. PTO.]]=$B69,IF(DATOS_[[Check Periodo Ref.]:[Check Periodo Ref.]]="Dentro",DATOS_[C.Extra.05]))))),
0)</f>
        <v>0</v>
      </c>
      <c r="AQ71" s="115">
        <f t="array" ref="AQ71">IFERROR(
MEDIAN(IF(DATOS_[Sexo]=$B71,IF(DATOS_[AGRUP. VALOR. PTO.]=$B69,IF(DATOS_[Check Periodo Ref.]="Dentro",DATOS_[Tot Extrasalarial Ef],FALSE)))),
0)</f>
        <v>0</v>
      </c>
      <c r="AR71" s="116">
        <f t="array" ref="AR71">IFERROR(
MEDIAN(IF(DATOS_[Sexo]=$B71,IF(DATOS_[AGRUP. VALOR. PTO.]=$B69,IF(DATOS_[Check Periodo Ref.]="Dentro",DATOS_[TOTAL Retrib Ef],FALSE)))),
0)</f>
        <v>0</v>
      </c>
    </row>
    <row r="72" spans="1:44" ht="17.25" hidden="1" thickBot="1" x14ac:dyDescent="0.35">
      <c r="A72" s="42" t="str">
        <f t="shared" ref="A72" si="79">+A73</f>
        <v>[ocultar]</v>
      </c>
      <c r="B72" s="40" t="s">
        <v>279</v>
      </c>
      <c r="C72" s="109"/>
      <c r="D72" s="41"/>
      <c r="E72" s="119" t="str">
        <f t="shared" ref="E72:AR72" si="80">IFERROR((E73-E74)/E73,"")</f>
        <v/>
      </c>
      <c r="F72" s="123" t="str">
        <f t="shared" si="80"/>
        <v/>
      </c>
      <c r="G72" s="123" t="str">
        <f t="shared" si="80"/>
        <v/>
      </c>
      <c r="H72" s="123" t="str">
        <f t="shared" si="80"/>
        <v/>
      </c>
      <c r="I72" s="123" t="str">
        <f t="shared" si="80"/>
        <v/>
      </c>
      <c r="J72" s="123" t="str">
        <f t="shared" si="80"/>
        <v/>
      </c>
      <c r="K72" s="123" t="str">
        <f t="shared" si="80"/>
        <v/>
      </c>
      <c r="L72" s="123" t="str">
        <f t="shared" si="80"/>
        <v/>
      </c>
      <c r="M72" s="123" t="str">
        <f t="shared" si="80"/>
        <v/>
      </c>
      <c r="N72" s="123" t="str">
        <f t="shared" si="80"/>
        <v/>
      </c>
      <c r="O72" s="123" t="str">
        <f t="shared" si="80"/>
        <v/>
      </c>
      <c r="P72" s="123" t="str">
        <f t="shared" si="80"/>
        <v/>
      </c>
      <c r="Q72" s="123" t="str">
        <f t="shared" si="80"/>
        <v/>
      </c>
      <c r="R72" s="123" t="str">
        <f t="shared" si="80"/>
        <v/>
      </c>
      <c r="S72" s="123" t="str">
        <f t="shared" si="80"/>
        <v/>
      </c>
      <c r="T72" s="123" t="str">
        <f t="shared" si="80"/>
        <v/>
      </c>
      <c r="U72" s="123" t="str">
        <f t="shared" si="80"/>
        <v/>
      </c>
      <c r="V72" s="122" t="str">
        <f t="shared" si="80"/>
        <v/>
      </c>
      <c r="W72" s="122" t="str">
        <f t="shared" si="80"/>
        <v/>
      </c>
      <c r="X72" s="122" t="str">
        <f t="shared" si="80"/>
        <v/>
      </c>
      <c r="Y72" s="122" t="str">
        <f t="shared" si="80"/>
        <v/>
      </c>
      <c r="Z72" s="122" t="str">
        <f t="shared" si="80"/>
        <v/>
      </c>
      <c r="AA72" s="122" t="str">
        <f t="shared" si="80"/>
        <v/>
      </c>
      <c r="AB72" s="122" t="str">
        <f t="shared" si="80"/>
        <v/>
      </c>
      <c r="AC72" s="122" t="str">
        <f t="shared" si="80"/>
        <v/>
      </c>
      <c r="AD72" s="122" t="str">
        <f t="shared" si="80"/>
        <v/>
      </c>
      <c r="AE72" s="122" t="str">
        <f t="shared" si="80"/>
        <v/>
      </c>
      <c r="AF72" s="122" t="str">
        <f t="shared" si="80"/>
        <v/>
      </c>
      <c r="AG72" s="122" t="str">
        <f t="shared" si="80"/>
        <v/>
      </c>
      <c r="AH72" s="122" t="str">
        <f t="shared" si="80"/>
        <v/>
      </c>
      <c r="AI72" s="122" t="str">
        <f t="shared" si="80"/>
        <v/>
      </c>
      <c r="AJ72" s="124" t="str">
        <f t="shared" si="80"/>
        <v/>
      </c>
      <c r="AK72" s="128" t="str">
        <f t="shared" si="80"/>
        <v/>
      </c>
      <c r="AL72" s="125" t="str">
        <f t="shared" si="80"/>
        <v/>
      </c>
      <c r="AM72" s="125" t="str">
        <f t="shared" si="80"/>
        <v/>
      </c>
      <c r="AN72" s="125" t="str">
        <f t="shared" si="80"/>
        <v/>
      </c>
      <c r="AO72" s="125" t="str">
        <f t="shared" si="80"/>
        <v/>
      </c>
      <c r="AP72" s="125" t="str">
        <f t="shared" si="80"/>
        <v/>
      </c>
      <c r="AQ72" s="126" t="str">
        <f t="shared" si="80"/>
        <v/>
      </c>
      <c r="AR72" s="127" t="str">
        <f t="shared" si="80"/>
        <v/>
      </c>
    </row>
    <row r="73" spans="1:44" hidden="1" x14ac:dyDescent="0.3">
      <c r="A73" s="42" t="str">
        <f t="shared" ref="A73" si="81">+IF(C73+C74=0,"[ocultar]","")</f>
        <v>[ocultar]</v>
      </c>
      <c r="B73" s="34" t="s">
        <v>162</v>
      </c>
      <c r="C73" s="33">
        <f t="array" ref="C73">SUM(IF($B73=DATOS_[Sexo],
IF($B72=DATOS_[AGRUP. VALOR. PTO.],
IF("Dentro"=DATOS_[Check Periodo Ref.],
1/(COUNTIFS(DATOS_[Sexo],$B73,DATOS_[AGRUP. VALOR. PTO.],$B72,DATOS_[Check Periodo Ref.],"Dentro",DATOS_[id],DATOS_[id]))))))</f>
        <v>0</v>
      </c>
      <c r="D73" s="35">
        <f>COUNTIFS(DATOS_[AGRUP. VALOR. PTO.],$B72,DATOS_[Sexo],$B73,DATOS_[Check Periodo Ref.],"Dentro")</f>
        <v>0</v>
      </c>
      <c r="E73" s="110">
        <f t="array" ref="E73">IFERROR(
MEDIAN(IF(DATOS_[Sexo]=$B73,IF(DATOS_[AGRUP. VALOR. PTO.]=$B72,IF(DATOS_[Check Periodo Ref.]="Dentro",DATOS_[SALARIO BASE Ef],FALSE)))),
0)</f>
        <v>0</v>
      </c>
      <c r="F73" s="111">
        <f t="array" ref="F73">IFERROR(
MEDIAN((IF(DATOS_[[Sexo]:[Sexo]]=$B73,IF(DATOS_[[AGRUP. VALOR. PTO.]:[AGRUP. VALOR. PTO.]]=$B72,IF(DATOS_[[Check Periodo Ref.]:[Check Periodo Ref.]]="Dentro",DATOS_[Conc.Sal.01]))))),
0)</f>
        <v>0</v>
      </c>
      <c r="G73" s="111">
        <f t="array" ref="G73">IFERROR(
MEDIAN((IF(DATOS_[[Sexo]:[Sexo]]=$B73,IF(DATOS_[[AGRUP. VALOR. PTO.]:[AGRUP. VALOR. PTO.]]=$B72,IF(DATOS_[[Check Periodo Ref.]:[Check Periodo Ref.]]="Dentro",DATOS_[Conc.Sal.02]))))),
0)</f>
        <v>0</v>
      </c>
      <c r="H73" s="111">
        <f t="array" ref="H73">IFERROR(
MEDIAN((IF(DATOS_[[Sexo]:[Sexo]]=$B73,IF(DATOS_[[AGRUP. VALOR. PTO.]:[AGRUP. VALOR. PTO.]]=$B72,IF(DATOS_[[Check Periodo Ref.]:[Check Periodo Ref.]]="Dentro",DATOS_[Conc.Sal.03]))))),
0)</f>
        <v>0</v>
      </c>
      <c r="I73" s="111">
        <f t="array" ref="I73">IFERROR(
MEDIAN((IF(DATOS_[[Sexo]:[Sexo]]=$B73,IF(DATOS_[[AGRUP. VALOR. PTO.]:[AGRUP. VALOR. PTO.]]=$B72,IF(DATOS_[[Check Periodo Ref.]:[Check Periodo Ref.]]="Dentro",DATOS_[Conc.Sal.04]))))),
0)</f>
        <v>0</v>
      </c>
      <c r="J73" s="111">
        <f t="array" ref="J73">IFERROR(
MEDIAN((IF(DATOS_[[Sexo]:[Sexo]]=$B73,IF(DATOS_[[AGRUP. VALOR. PTO.]:[AGRUP. VALOR. PTO.]]=$B72,IF(DATOS_[[Check Periodo Ref.]:[Check Periodo Ref.]]="Dentro",DATOS_[Conc.Sal.05]))))),
0)</f>
        <v>0</v>
      </c>
      <c r="K73" s="111">
        <f t="array" ref="K73">IFERROR(
MEDIAN((IF(DATOS_[[Sexo]:[Sexo]]=$B73,IF(DATOS_[[AGRUP. VALOR. PTO.]:[AGRUP. VALOR. PTO.]]=$B72,IF(DATOS_[[Check Periodo Ref.]:[Check Periodo Ref.]]="Dentro",DATOS_[Conc.Sal.06]))))),
0)</f>
        <v>0</v>
      </c>
      <c r="L73" s="111">
        <f t="array" ref="L73">IFERROR(
MEDIAN((IF(DATOS_[[Sexo]:[Sexo]]=$B73,IF(DATOS_[[AGRUP. VALOR. PTO.]:[AGRUP. VALOR. PTO.]]=$B72,IF(DATOS_[[Check Periodo Ref.]:[Check Periodo Ref.]]="Dentro",DATOS_[Conc.Sal.07]))))),
0)</f>
        <v>0</v>
      </c>
      <c r="M73" s="111">
        <f t="array" ref="M73">IFERROR(
MEDIAN((IF(DATOS_[[Sexo]:[Sexo]]=$B73,IF(DATOS_[[AGRUP. VALOR. PTO.]:[AGRUP. VALOR. PTO.]]=$B72,IF(DATOS_[[Check Periodo Ref.]:[Check Periodo Ref.]]="Dentro",DATOS_[Conc.Sal.08]))))),
0)</f>
        <v>0</v>
      </c>
      <c r="N73" s="111">
        <f t="array" ref="N73">IFERROR(
MEDIAN((IF(DATOS_[[Sexo]:[Sexo]]=$B73,IF(DATOS_[[AGRUP. VALOR. PTO.]:[AGRUP. VALOR. PTO.]]=$B72,IF(DATOS_[[Check Periodo Ref.]:[Check Periodo Ref.]]="Dentro",DATOS_[Conc.Sal.09]))))),
0)</f>
        <v>0</v>
      </c>
      <c r="O73" s="111">
        <f t="array" ref="O73">IFERROR(
MEDIAN((IF(DATOS_[[Sexo]:[Sexo]]=$B73,IF(DATOS_[[AGRUP. VALOR. PTO.]:[AGRUP. VALOR. PTO.]]=$B72,IF(DATOS_[[Check Periodo Ref.]:[Check Periodo Ref.]]="Dentro",DATOS_[Conc.Sal.10]))))),
0)</f>
        <v>0</v>
      </c>
      <c r="P73" s="111">
        <f t="array" ref="P73">IFERROR(
MEDIAN((IF(DATOS_[[Sexo]:[Sexo]]=$B73,IF(DATOS_[[AGRUP. VALOR. PTO.]:[AGRUP. VALOR. PTO.]]=$B72,IF(DATOS_[[Check Periodo Ref.]:[Check Periodo Ref.]]="Dentro",DATOS_[Conc.Sal.11]))))),
0)</f>
        <v>0</v>
      </c>
      <c r="Q73" s="111">
        <f t="array" ref="Q73">IFERROR(
MEDIAN((IF(DATOS_[[Sexo]:[Sexo]]=$B73,IF(DATOS_[[AGRUP. VALOR. PTO.]:[AGRUP. VALOR. PTO.]]=$B72,IF(DATOS_[[Check Periodo Ref.]:[Check Periodo Ref.]]="Dentro",DATOS_[Conc.Sal.12]))))),
0)</f>
        <v>0</v>
      </c>
      <c r="R73" s="111">
        <f t="array" ref="R73">IFERROR(
MEDIAN((IF(DATOS_[[Sexo]:[Sexo]]=$B73,IF(DATOS_[[AGRUP. VALOR. PTO.]:[AGRUP. VALOR. PTO.]]=$B72,IF(DATOS_[[Check Periodo Ref.]:[Check Periodo Ref.]]="Dentro",DATOS_[Conc.Sal.13]))))),
0)</f>
        <v>0</v>
      </c>
      <c r="S73" s="111">
        <f t="array" ref="S73">IFERROR(
MEDIAN((IF(DATOS_[[Sexo]:[Sexo]]=$B73,IF(DATOS_[[AGRUP. VALOR. PTO.]:[AGRUP. VALOR. PTO.]]=$B72,IF(DATOS_[[Check Periodo Ref.]:[Check Periodo Ref.]]="Dentro",DATOS_[Conc.Sal.14]))))),
0)</f>
        <v>0</v>
      </c>
      <c r="T73" s="111">
        <f t="array" ref="T73">IFERROR(
MEDIAN((IF(DATOS_[[Sexo]:[Sexo]]=$B73,IF(DATOS_[[AGRUP. VALOR. PTO.]:[AGRUP. VALOR. PTO.]]=$B72,IF(DATOS_[[Check Periodo Ref.]:[Check Periodo Ref.]]="Dentro",DATOS_[Conc.Sal.15]))))),
0)</f>
        <v>0</v>
      </c>
      <c r="U73" s="111">
        <f t="array" ref="U73">IFERROR(
MEDIAN((IF(DATOS_[[Sexo]:[Sexo]]=$B73,IF(DATOS_[[AGRUP. VALOR. PTO.]:[AGRUP. VALOR. PTO.]]=$B72,IF(DATOS_[[Check Periodo Ref.]:[Check Periodo Ref.]]="Dentro",DATOS_[Conc.Sal.16]))))),
0)</f>
        <v>0</v>
      </c>
      <c r="V73" s="111">
        <f t="array" ref="V73">IFERROR(
MEDIAN((IF(DATOS_[[Sexo]:[Sexo]]=$B73,IF(DATOS_[[AGRUP. VALOR. PTO.]:[AGRUP. VALOR. PTO.]]=$B72,IF(DATOS_[[Check Periodo Ref.]:[Check Periodo Ref.]]="Dentro",DATOS_[Conc.Sal.17]))))),
0)</f>
        <v>0</v>
      </c>
      <c r="W73" s="111">
        <f t="array" ref="W73">IFERROR(
MEDIAN((IF(DATOS_[[Sexo]:[Sexo]]=$B73,IF(DATOS_[[AGRUP. VALOR. PTO.]:[AGRUP. VALOR. PTO.]]=$B72,IF(DATOS_[[Check Periodo Ref.]:[Check Periodo Ref.]]="Dentro",DATOS_[Conc.Sal.18]))))),
0)</f>
        <v>0</v>
      </c>
      <c r="X73" s="111">
        <f t="array" ref="X73">IFERROR(
MEDIAN((IF(DATOS_[[Sexo]:[Sexo]]=$B73,IF(DATOS_[[AGRUP. VALOR. PTO.]:[AGRUP. VALOR. PTO.]]=$B72,IF(DATOS_[[Check Periodo Ref.]:[Check Periodo Ref.]]="Dentro",DATOS_[Conc.Sal.19]))))),
0)</f>
        <v>0</v>
      </c>
      <c r="Y73" s="111">
        <f t="array" ref="Y73">IFERROR(
MEDIAN((IF(DATOS_[[Sexo]:[Sexo]]=$B73,IF(DATOS_[[AGRUP. VALOR. PTO.]:[AGRUP. VALOR. PTO.]]=$B72,IF(DATOS_[[Check Periodo Ref.]:[Check Periodo Ref.]]="Dentro",DATOS_[Conc.Sal.20]))))),
0)</f>
        <v>0</v>
      </c>
      <c r="Z73" s="111">
        <f t="array" ref="Z73">IFERROR(
MEDIAN((IF(DATOS_[[Sexo]:[Sexo]]=$B73,IF(DATOS_[[AGRUP. VALOR. PTO.]:[AGRUP. VALOR. PTO.]]=$B72,IF(DATOS_[[Check Periodo Ref.]:[Check Periodo Ref.]]="Dentro",DATOS_[Conc.Sal.21]))))),
0)</f>
        <v>0</v>
      </c>
      <c r="AA73" s="111">
        <f t="array" ref="AA73">IFERROR(
MEDIAN((IF(DATOS_[[Sexo]:[Sexo]]=$B73,IF(DATOS_[[AGRUP. VALOR. PTO.]:[AGRUP. VALOR. PTO.]]=$B72,IF(DATOS_[[Check Periodo Ref.]:[Check Periodo Ref.]]="Dentro",DATOS_[Conc.Sal.22]))))),
0)</f>
        <v>0</v>
      </c>
      <c r="AB73" s="111">
        <f t="array" ref="AB73">IFERROR(
MEDIAN((IF(DATOS_[[Sexo]:[Sexo]]=$B73,IF(DATOS_[[AGRUP. VALOR. PTO.]:[AGRUP. VALOR. PTO.]]=$B72,IF(DATOS_[[Check Periodo Ref.]:[Check Periodo Ref.]]="Dentro",DATOS_[Conc.Sal.23]))))),
0)</f>
        <v>0</v>
      </c>
      <c r="AC73" s="111">
        <f t="array" ref="AC73">IFERROR(
MEDIAN((IF(DATOS_[[Sexo]:[Sexo]]=$B73,IF(DATOS_[[AGRUP. VALOR. PTO.]:[AGRUP. VALOR. PTO.]]=$B72,IF(DATOS_[[Check Periodo Ref.]:[Check Periodo Ref.]]="Dentro",DATOS_[Conc.Sal.24]))))),
0)</f>
        <v>0</v>
      </c>
      <c r="AD73" s="111">
        <f t="array" ref="AD73">IFERROR(
MEDIAN((IF(DATOS_[[Sexo]:[Sexo]]=$B73,IF(DATOS_[[AGRUP. VALOR. PTO.]:[AGRUP. VALOR. PTO.]]=$B72,IF(DATOS_[[Check Periodo Ref.]:[Check Periodo Ref.]]="Dentro",DATOS_[Conc.Sal.25]))))),
0)</f>
        <v>0</v>
      </c>
      <c r="AE73" s="111">
        <f t="array" ref="AE73">IFERROR(
MEDIAN((IF(DATOS_[[Sexo]:[Sexo]]=$B73,IF(DATOS_[[AGRUP. VALOR. PTO.]:[AGRUP. VALOR. PTO.]]=$B72,IF(DATOS_[[Check Periodo Ref.]:[Check Periodo Ref.]]="Dentro",DATOS_[Conc.Sal.26]))))),
0)</f>
        <v>0</v>
      </c>
      <c r="AF73" s="111">
        <f t="array" ref="AF73">IFERROR(
MEDIAN((IF(DATOS_[[Sexo]:[Sexo]]=$B73,IF(DATOS_[[AGRUP. VALOR. PTO.]:[AGRUP. VALOR. PTO.]]=$B72,IF(DATOS_[[Check Periodo Ref.]:[Check Periodo Ref.]]="Dentro",DATOS_[Conc.Sal.27]))))),
0)</f>
        <v>0</v>
      </c>
      <c r="AG73" s="111">
        <f t="array" ref="AG73">IFERROR(
MEDIAN((IF(DATOS_[[Sexo]:[Sexo]]=$B73,IF(DATOS_[[AGRUP. VALOR. PTO.]:[AGRUP. VALOR. PTO.]]=$B72,IF(DATOS_[[Check Periodo Ref.]:[Check Periodo Ref.]]="Dentro",DATOS_[Conc.Sal.28]))))),
0)</f>
        <v>0</v>
      </c>
      <c r="AH73" s="111">
        <f t="array" ref="AH73">IFERROR(
MEDIAN((IF(DATOS_[[Sexo]:[Sexo]]=$B73,IF(DATOS_[[AGRUP. VALOR. PTO.]:[AGRUP. VALOR. PTO.]]=$B72,IF(DATOS_[[Check Periodo Ref.]:[Check Periodo Ref.]]="Dentro",DATOS_[Conc.Sal.29]))))),
0)</f>
        <v>0</v>
      </c>
      <c r="AI73" s="111">
        <f t="array" ref="AI73">IFERROR(
MEDIAN((IF(DATOS_[[Sexo]:[Sexo]]=$B73,IF(DATOS_[[AGRUP. VALOR. PTO.]:[AGRUP. VALOR. PTO.]]=$B72,IF(DATOS_[[Check Periodo Ref.]:[Check Periodo Ref.]]="Dentro",DATOS_[Conc.Sal.30]))))),
0)</f>
        <v>0</v>
      </c>
      <c r="AJ73" s="112">
        <f t="array" ref="AJ73">IFERROR(
MEDIAN(IF(DATOS_[Sexo]=$B73,IF(DATOS_[AGRUP. VALOR. PTO.]=$B72,IF(DATOS_[Check Periodo Ref.]="Dentro",DATOS_[Tot COMPL.SAL Ef],FALSE)))),
0)</f>
        <v>0</v>
      </c>
      <c r="AK73" s="113">
        <f t="array" ref="AK73">IFERROR(
MEDIAN(IF(DATOS_[Sexo]=$B73,IF(DATOS_[AGRUP. VALOR. PTO.]=$B72,IF(DATOS_[Check Periodo Ref.]="Dentro",DATOS_[TOTAL SALARIO Ef],FALSE)))),
0)</f>
        <v>0</v>
      </c>
      <c r="AL73" s="114">
        <f t="array" ref="AL73">IFERROR(
MEDIAN((IF(DATOS_[[Sexo]:[Sexo]]=$B73,IF(DATOS_[[AGRUP. VALOR. PTO.]:[AGRUP. VALOR. PTO.]]=$B72,IF(DATOS_[[Check Periodo Ref.]:[Check Periodo Ref.]]="Dentro",DATOS_[C.Extra.01]))))),
0)</f>
        <v>0</v>
      </c>
      <c r="AM73" s="114">
        <f t="array" ref="AM73">IFERROR(
MEDIAN((IF(DATOS_[[Sexo]:[Sexo]]=$B73,IF(DATOS_[[AGRUP. VALOR. PTO.]:[AGRUP. VALOR. PTO.]]=$B72,IF(DATOS_[[Check Periodo Ref.]:[Check Periodo Ref.]]="Dentro",DATOS_[C.Extra.02]))))),
0)</f>
        <v>0</v>
      </c>
      <c r="AN73" s="114">
        <f t="array" ref="AN73">IFERROR(
MEDIAN((IF(DATOS_[[Sexo]:[Sexo]]=$B73,IF(DATOS_[[AGRUP. VALOR. PTO.]:[AGRUP. VALOR. PTO.]]=$B72,IF(DATOS_[[Check Periodo Ref.]:[Check Periodo Ref.]]="Dentro",DATOS_[C.Extra.03]))))),
0)</f>
        <v>0</v>
      </c>
      <c r="AO73" s="114">
        <f t="array" ref="AO73">IFERROR(
MEDIAN((IF(DATOS_[[Sexo]:[Sexo]]=$B73,IF(DATOS_[[AGRUP. VALOR. PTO.]:[AGRUP. VALOR. PTO.]]=$B72,IF(DATOS_[[Check Periodo Ref.]:[Check Periodo Ref.]]="Dentro",DATOS_[C.Extra.04]))))),
0)</f>
        <v>0</v>
      </c>
      <c r="AP73" s="114">
        <f t="array" ref="AP73">IFERROR(
MEDIAN((IF(DATOS_[[Sexo]:[Sexo]]=$B73,IF(DATOS_[[AGRUP. VALOR. PTO.]:[AGRUP. VALOR. PTO.]]=$B72,IF(DATOS_[[Check Periodo Ref.]:[Check Periodo Ref.]]="Dentro",DATOS_[C.Extra.05]))))),
0)</f>
        <v>0</v>
      </c>
      <c r="AQ73" s="115">
        <f t="array" ref="AQ73">IFERROR(
MEDIAN(IF(DATOS_[Sexo]=$B73,IF(DATOS_[AGRUP. VALOR. PTO.]=$B72,IF(DATOS_[Check Periodo Ref.]="Dentro",DATOS_[Tot Extrasalarial Ef],FALSE)))),
0)</f>
        <v>0</v>
      </c>
      <c r="AR73" s="116">
        <f t="array" ref="AR73">IFERROR(
MEDIAN(IF(DATOS_[Sexo]=$B73,IF(DATOS_[AGRUP. VALOR. PTO.]=$B72,IF(DATOS_[Check Periodo Ref.]="Dentro",DATOS_[TOTAL Retrib Ef],FALSE)))),
0)</f>
        <v>0</v>
      </c>
    </row>
    <row r="74" spans="1:44" hidden="1" x14ac:dyDescent="0.3">
      <c r="A74" s="42" t="str">
        <f t="shared" ref="A74" si="82">+A73</f>
        <v>[ocultar]</v>
      </c>
      <c r="B74" s="34" t="s">
        <v>163</v>
      </c>
      <c r="C74" s="33">
        <f t="array" ref="C74">SUM(IF($B74=DATOS_[Sexo],
IF($B72=DATOS_[AGRUP. VALOR. PTO.],
IF("Dentro"=DATOS_[Check Periodo Ref.],
1/(COUNTIFS(DATOS_[Sexo],$B74,DATOS_[AGRUP. VALOR. PTO.],$B72,DATOS_[Check Periodo Ref.],"Dentro",DATOS_[id],DATOS_[id]))))))</f>
        <v>0</v>
      </c>
      <c r="D74" s="35">
        <f>COUNTIFS(DATOS_[AGRUP. VALOR. PTO.],$B72,DATOS_[Sexo],$B74,DATOS_[Check Periodo Ref.],"Dentro")</f>
        <v>0</v>
      </c>
      <c r="E74" s="110">
        <f t="array" ref="E74">IFERROR(
MEDIAN(IF(DATOS_[Sexo]=$B74,IF(DATOS_[AGRUP. VALOR. PTO.]=$B72,IF(DATOS_[Check Periodo Ref.]="Dentro",DATOS_[SALARIO BASE Ef],FALSE)))),
0)</f>
        <v>0</v>
      </c>
      <c r="F74" s="111">
        <f t="array" ref="F74">IFERROR(
MEDIAN((IF(DATOS_[[Sexo]:[Sexo]]=$B74,IF(DATOS_[[AGRUP. VALOR. PTO.]:[AGRUP. VALOR. PTO.]]=$B72,IF(DATOS_[[Check Periodo Ref.]:[Check Periodo Ref.]]="Dentro",DATOS_[Conc.Sal.01]))))),
0)</f>
        <v>0</v>
      </c>
      <c r="G74" s="111">
        <f t="array" ref="G74">IFERROR(
MEDIAN((IF(DATOS_[[Sexo]:[Sexo]]=$B74,IF(DATOS_[[AGRUP. VALOR. PTO.]:[AGRUP. VALOR. PTO.]]=$B72,IF(DATOS_[[Check Periodo Ref.]:[Check Periodo Ref.]]="Dentro",DATOS_[Conc.Sal.02]))))),
0)</f>
        <v>0</v>
      </c>
      <c r="H74" s="111">
        <f t="array" ref="H74">IFERROR(
MEDIAN((IF(DATOS_[[Sexo]:[Sexo]]=$B74,IF(DATOS_[[AGRUP. VALOR. PTO.]:[AGRUP. VALOR. PTO.]]=$B72,IF(DATOS_[[Check Periodo Ref.]:[Check Periodo Ref.]]="Dentro",DATOS_[Conc.Sal.03]))))),
0)</f>
        <v>0</v>
      </c>
      <c r="I74" s="111">
        <f t="array" ref="I74">IFERROR(
MEDIAN((IF(DATOS_[[Sexo]:[Sexo]]=$B74,IF(DATOS_[[AGRUP. VALOR. PTO.]:[AGRUP. VALOR. PTO.]]=$B72,IF(DATOS_[[Check Periodo Ref.]:[Check Periodo Ref.]]="Dentro",DATOS_[Conc.Sal.04]))))),
0)</f>
        <v>0</v>
      </c>
      <c r="J74" s="111">
        <f t="array" ref="J74">IFERROR(
MEDIAN((IF(DATOS_[[Sexo]:[Sexo]]=$B74,IF(DATOS_[[AGRUP. VALOR. PTO.]:[AGRUP. VALOR. PTO.]]=$B72,IF(DATOS_[[Check Periodo Ref.]:[Check Periodo Ref.]]="Dentro",DATOS_[Conc.Sal.05]))))),
0)</f>
        <v>0</v>
      </c>
      <c r="K74" s="111">
        <f t="array" ref="K74">IFERROR(
MEDIAN((IF(DATOS_[[Sexo]:[Sexo]]=$B74,IF(DATOS_[[AGRUP. VALOR. PTO.]:[AGRUP. VALOR. PTO.]]=$B72,IF(DATOS_[[Check Periodo Ref.]:[Check Periodo Ref.]]="Dentro",DATOS_[Conc.Sal.06]))))),
0)</f>
        <v>0</v>
      </c>
      <c r="L74" s="111">
        <f t="array" ref="L74">IFERROR(
MEDIAN((IF(DATOS_[[Sexo]:[Sexo]]=$B74,IF(DATOS_[[AGRUP. VALOR. PTO.]:[AGRUP. VALOR. PTO.]]=$B72,IF(DATOS_[[Check Periodo Ref.]:[Check Periodo Ref.]]="Dentro",DATOS_[Conc.Sal.07]))))),
0)</f>
        <v>0</v>
      </c>
      <c r="M74" s="111">
        <f t="array" ref="M74">IFERROR(
MEDIAN((IF(DATOS_[[Sexo]:[Sexo]]=$B74,IF(DATOS_[[AGRUP. VALOR. PTO.]:[AGRUP. VALOR. PTO.]]=$B72,IF(DATOS_[[Check Periodo Ref.]:[Check Periodo Ref.]]="Dentro",DATOS_[Conc.Sal.08]))))),
0)</f>
        <v>0</v>
      </c>
      <c r="N74" s="111">
        <f t="array" ref="N74">IFERROR(
MEDIAN((IF(DATOS_[[Sexo]:[Sexo]]=$B74,IF(DATOS_[[AGRUP. VALOR. PTO.]:[AGRUP. VALOR. PTO.]]=$B72,IF(DATOS_[[Check Periodo Ref.]:[Check Periodo Ref.]]="Dentro",DATOS_[Conc.Sal.09]))))),
0)</f>
        <v>0</v>
      </c>
      <c r="O74" s="111">
        <f t="array" ref="O74">IFERROR(
MEDIAN((IF(DATOS_[[Sexo]:[Sexo]]=$B74,IF(DATOS_[[AGRUP. VALOR. PTO.]:[AGRUP. VALOR. PTO.]]=$B72,IF(DATOS_[[Check Periodo Ref.]:[Check Periodo Ref.]]="Dentro",DATOS_[Conc.Sal.10]))))),
0)</f>
        <v>0</v>
      </c>
      <c r="P74" s="111">
        <f t="array" ref="P74">IFERROR(
MEDIAN((IF(DATOS_[[Sexo]:[Sexo]]=$B74,IF(DATOS_[[AGRUP. VALOR. PTO.]:[AGRUP. VALOR. PTO.]]=$B72,IF(DATOS_[[Check Periodo Ref.]:[Check Periodo Ref.]]="Dentro",DATOS_[Conc.Sal.11]))))),
0)</f>
        <v>0</v>
      </c>
      <c r="Q74" s="111">
        <f t="array" ref="Q74">IFERROR(
MEDIAN((IF(DATOS_[[Sexo]:[Sexo]]=$B74,IF(DATOS_[[AGRUP. VALOR. PTO.]:[AGRUP. VALOR. PTO.]]=$B72,IF(DATOS_[[Check Periodo Ref.]:[Check Periodo Ref.]]="Dentro",DATOS_[Conc.Sal.12]))))),
0)</f>
        <v>0</v>
      </c>
      <c r="R74" s="111">
        <f t="array" ref="R74">IFERROR(
MEDIAN((IF(DATOS_[[Sexo]:[Sexo]]=$B74,IF(DATOS_[[AGRUP. VALOR. PTO.]:[AGRUP. VALOR. PTO.]]=$B72,IF(DATOS_[[Check Periodo Ref.]:[Check Periodo Ref.]]="Dentro",DATOS_[Conc.Sal.13]))))),
0)</f>
        <v>0</v>
      </c>
      <c r="S74" s="111">
        <f t="array" ref="S74">IFERROR(
MEDIAN((IF(DATOS_[[Sexo]:[Sexo]]=$B74,IF(DATOS_[[AGRUP. VALOR. PTO.]:[AGRUP. VALOR. PTO.]]=$B72,IF(DATOS_[[Check Periodo Ref.]:[Check Periodo Ref.]]="Dentro",DATOS_[Conc.Sal.14]))))),
0)</f>
        <v>0</v>
      </c>
      <c r="T74" s="111">
        <f t="array" ref="T74">IFERROR(
MEDIAN((IF(DATOS_[[Sexo]:[Sexo]]=$B74,IF(DATOS_[[AGRUP. VALOR. PTO.]:[AGRUP. VALOR. PTO.]]=$B72,IF(DATOS_[[Check Periodo Ref.]:[Check Periodo Ref.]]="Dentro",DATOS_[Conc.Sal.15]))))),
0)</f>
        <v>0</v>
      </c>
      <c r="U74" s="111">
        <f t="array" ref="U74">IFERROR(
MEDIAN((IF(DATOS_[[Sexo]:[Sexo]]=$B74,IF(DATOS_[[AGRUP. VALOR. PTO.]:[AGRUP. VALOR. PTO.]]=$B72,IF(DATOS_[[Check Periodo Ref.]:[Check Periodo Ref.]]="Dentro",DATOS_[Conc.Sal.16]))))),
0)</f>
        <v>0</v>
      </c>
      <c r="V74" s="111">
        <f t="array" ref="V74">IFERROR(
MEDIAN((IF(DATOS_[[Sexo]:[Sexo]]=$B74,IF(DATOS_[[AGRUP. VALOR. PTO.]:[AGRUP. VALOR. PTO.]]=$B72,IF(DATOS_[[Check Periodo Ref.]:[Check Periodo Ref.]]="Dentro",DATOS_[Conc.Sal.17]))))),
0)</f>
        <v>0</v>
      </c>
      <c r="W74" s="111">
        <f t="array" ref="W74">IFERROR(
MEDIAN((IF(DATOS_[[Sexo]:[Sexo]]=$B74,IF(DATOS_[[AGRUP. VALOR. PTO.]:[AGRUP. VALOR. PTO.]]=$B72,IF(DATOS_[[Check Periodo Ref.]:[Check Periodo Ref.]]="Dentro",DATOS_[Conc.Sal.18]))))),
0)</f>
        <v>0</v>
      </c>
      <c r="X74" s="111">
        <f t="array" ref="X74">IFERROR(
MEDIAN((IF(DATOS_[[Sexo]:[Sexo]]=$B74,IF(DATOS_[[AGRUP. VALOR. PTO.]:[AGRUP. VALOR. PTO.]]=$B72,IF(DATOS_[[Check Periodo Ref.]:[Check Periodo Ref.]]="Dentro",DATOS_[Conc.Sal.19]))))),
0)</f>
        <v>0</v>
      </c>
      <c r="Y74" s="111">
        <f t="array" ref="Y74">IFERROR(
MEDIAN((IF(DATOS_[[Sexo]:[Sexo]]=$B74,IF(DATOS_[[AGRUP. VALOR. PTO.]:[AGRUP. VALOR. PTO.]]=$B72,IF(DATOS_[[Check Periodo Ref.]:[Check Periodo Ref.]]="Dentro",DATOS_[Conc.Sal.20]))))),
0)</f>
        <v>0</v>
      </c>
      <c r="Z74" s="111">
        <f t="array" ref="Z74">IFERROR(
MEDIAN((IF(DATOS_[[Sexo]:[Sexo]]=$B74,IF(DATOS_[[AGRUP. VALOR. PTO.]:[AGRUP. VALOR. PTO.]]=$B72,IF(DATOS_[[Check Periodo Ref.]:[Check Periodo Ref.]]="Dentro",DATOS_[Conc.Sal.21]))))),
0)</f>
        <v>0</v>
      </c>
      <c r="AA74" s="111">
        <f t="array" ref="AA74">IFERROR(
MEDIAN((IF(DATOS_[[Sexo]:[Sexo]]=$B74,IF(DATOS_[[AGRUP. VALOR. PTO.]:[AGRUP. VALOR. PTO.]]=$B72,IF(DATOS_[[Check Periodo Ref.]:[Check Periodo Ref.]]="Dentro",DATOS_[Conc.Sal.22]))))),
0)</f>
        <v>0</v>
      </c>
      <c r="AB74" s="111">
        <f t="array" ref="AB74">IFERROR(
MEDIAN((IF(DATOS_[[Sexo]:[Sexo]]=$B74,IF(DATOS_[[AGRUP. VALOR. PTO.]:[AGRUP. VALOR. PTO.]]=$B72,IF(DATOS_[[Check Periodo Ref.]:[Check Periodo Ref.]]="Dentro",DATOS_[Conc.Sal.23]))))),
0)</f>
        <v>0</v>
      </c>
      <c r="AC74" s="111">
        <f t="array" ref="AC74">IFERROR(
MEDIAN((IF(DATOS_[[Sexo]:[Sexo]]=$B74,IF(DATOS_[[AGRUP. VALOR. PTO.]:[AGRUP. VALOR. PTO.]]=$B72,IF(DATOS_[[Check Periodo Ref.]:[Check Periodo Ref.]]="Dentro",DATOS_[Conc.Sal.24]))))),
0)</f>
        <v>0</v>
      </c>
      <c r="AD74" s="111">
        <f t="array" ref="AD74">IFERROR(
MEDIAN((IF(DATOS_[[Sexo]:[Sexo]]=$B74,IF(DATOS_[[AGRUP. VALOR. PTO.]:[AGRUP. VALOR. PTO.]]=$B72,IF(DATOS_[[Check Periodo Ref.]:[Check Periodo Ref.]]="Dentro",DATOS_[Conc.Sal.25]))))),
0)</f>
        <v>0</v>
      </c>
      <c r="AE74" s="111">
        <f t="array" ref="AE74">IFERROR(
MEDIAN((IF(DATOS_[[Sexo]:[Sexo]]=$B74,IF(DATOS_[[AGRUP. VALOR. PTO.]:[AGRUP. VALOR. PTO.]]=$B72,IF(DATOS_[[Check Periodo Ref.]:[Check Periodo Ref.]]="Dentro",DATOS_[Conc.Sal.26]))))),
0)</f>
        <v>0</v>
      </c>
      <c r="AF74" s="111">
        <f t="array" ref="AF74">IFERROR(
MEDIAN((IF(DATOS_[[Sexo]:[Sexo]]=$B74,IF(DATOS_[[AGRUP. VALOR. PTO.]:[AGRUP. VALOR. PTO.]]=$B72,IF(DATOS_[[Check Periodo Ref.]:[Check Periodo Ref.]]="Dentro",DATOS_[Conc.Sal.27]))))),
0)</f>
        <v>0</v>
      </c>
      <c r="AG74" s="111">
        <f t="array" ref="AG74">IFERROR(
MEDIAN((IF(DATOS_[[Sexo]:[Sexo]]=$B74,IF(DATOS_[[AGRUP. VALOR. PTO.]:[AGRUP. VALOR. PTO.]]=$B72,IF(DATOS_[[Check Periodo Ref.]:[Check Periodo Ref.]]="Dentro",DATOS_[Conc.Sal.28]))))),
0)</f>
        <v>0</v>
      </c>
      <c r="AH74" s="111">
        <f t="array" ref="AH74">IFERROR(
MEDIAN((IF(DATOS_[[Sexo]:[Sexo]]=$B74,IF(DATOS_[[AGRUP. VALOR. PTO.]:[AGRUP. VALOR. PTO.]]=$B72,IF(DATOS_[[Check Periodo Ref.]:[Check Periodo Ref.]]="Dentro",DATOS_[Conc.Sal.29]))))),
0)</f>
        <v>0</v>
      </c>
      <c r="AI74" s="111">
        <f t="array" ref="AI74">IFERROR(
MEDIAN((IF(DATOS_[[Sexo]:[Sexo]]=$B74,IF(DATOS_[[AGRUP. VALOR. PTO.]:[AGRUP. VALOR. PTO.]]=$B72,IF(DATOS_[[Check Periodo Ref.]:[Check Periodo Ref.]]="Dentro",DATOS_[Conc.Sal.30]))))),
0)</f>
        <v>0</v>
      </c>
      <c r="AJ74" s="112">
        <f t="array" ref="AJ74">IFERROR(
MEDIAN(IF(DATOS_[Sexo]=$B74,IF(DATOS_[AGRUP. VALOR. PTO.]=$B72,IF(DATOS_[Check Periodo Ref.]="Dentro",DATOS_[Tot COMPL.SAL Ef],FALSE)))),
0)</f>
        <v>0</v>
      </c>
      <c r="AK74" s="113">
        <f t="array" ref="AK74">IFERROR(
MEDIAN(IF(DATOS_[Sexo]=$B74,IF(DATOS_[AGRUP. VALOR. PTO.]=$B72,IF(DATOS_[Check Periodo Ref.]="Dentro",DATOS_[TOTAL SALARIO Ef],FALSE)))),
0)</f>
        <v>0</v>
      </c>
      <c r="AL74" s="114">
        <f t="array" ref="AL74">IFERROR(
MEDIAN((IF(DATOS_[[Sexo]:[Sexo]]=$B74,IF(DATOS_[[AGRUP. VALOR. PTO.]:[AGRUP. VALOR. PTO.]]=$B72,IF(DATOS_[[Check Periodo Ref.]:[Check Periodo Ref.]]="Dentro",DATOS_[C.Extra.01]))))),
0)</f>
        <v>0</v>
      </c>
      <c r="AM74" s="114">
        <f t="array" ref="AM74">IFERROR(
MEDIAN((IF(DATOS_[[Sexo]:[Sexo]]=$B74,IF(DATOS_[[AGRUP. VALOR. PTO.]:[AGRUP. VALOR. PTO.]]=$B72,IF(DATOS_[[Check Periodo Ref.]:[Check Periodo Ref.]]="Dentro",DATOS_[C.Extra.02]))))),
0)</f>
        <v>0</v>
      </c>
      <c r="AN74" s="114">
        <f t="array" ref="AN74">IFERROR(
MEDIAN((IF(DATOS_[[Sexo]:[Sexo]]=$B74,IF(DATOS_[[AGRUP. VALOR. PTO.]:[AGRUP. VALOR. PTO.]]=$B72,IF(DATOS_[[Check Periodo Ref.]:[Check Periodo Ref.]]="Dentro",DATOS_[C.Extra.03]))))),
0)</f>
        <v>0</v>
      </c>
      <c r="AO74" s="114">
        <f t="array" ref="AO74">IFERROR(
MEDIAN((IF(DATOS_[[Sexo]:[Sexo]]=$B74,IF(DATOS_[[AGRUP. VALOR. PTO.]:[AGRUP. VALOR. PTO.]]=$B72,IF(DATOS_[[Check Periodo Ref.]:[Check Periodo Ref.]]="Dentro",DATOS_[C.Extra.04]))))),
0)</f>
        <v>0</v>
      </c>
      <c r="AP74" s="114">
        <f t="array" ref="AP74">IFERROR(
MEDIAN((IF(DATOS_[[Sexo]:[Sexo]]=$B74,IF(DATOS_[[AGRUP. VALOR. PTO.]:[AGRUP. VALOR. PTO.]]=$B72,IF(DATOS_[[Check Periodo Ref.]:[Check Periodo Ref.]]="Dentro",DATOS_[C.Extra.05]))))),
0)</f>
        <v>0</v>
      </c>
      <c r="AQ74" s="115">
        <f t="array" ref="AQ74">IFERROR(
MEDIAN(IF(DATOS_[Sexo]=$B74,IF(DATOS_[AGRUP. VALOR. PTO.]=$B72,IF(DATOS_[Check Periodo Ref.]="Dentro",DATOS_[Tot Extrasalarial Ef],FALSE)))),
0)</f>
        <v>0</v>
      </c>
      <c r="AR74" s="116">
        <f t="array" ref="AR74">IFERROR(
MEDIAN(IF(DATOS_[Sexo]=$B74,IF(DATOS_[AGRUP. VALOR. PTO.]=$B72,IF(DATOS_[Check Periodo Ref.]="Dentro",DATOS_[TOTAL Retrib Ef],FALSE)))),
0)</f>
        <v>0</v>
      </c>
    </row>
    <row r="75" spans="1:44" ht="17.25" hidden="1" thickBot="1" x14ac:dyDescent="0.35">
      <c r="A75" s="42" t="str">
        <f t="shared" ref="A75" si="83">+A76</f>
        <v>[ocultar]</v>
      </c>
      <c r="B75" s="40" t="s">
        <v>280</v>
      </c>
      <c r="C75" s="109"/>
      <c r="D75" s="41"/>
      <c r="E75" s="119" t="str">
        <f t="shared" ref="E75:AR75" si="84">IFERROR((E76-E77)/E76,"")</f>
        <v/>
      </c>
      <c r="F75" s="123" t="str">
        <f t="shared" si="84"/>
        <v/>
      </c>
      <c r="G75" s="123" t="str">
        <f t="shared" si="84"/>
        <v/>
      </c>
      <c r="H75" s="123" t="str">
        <f t="shared" si="84"/>
        <v/>
      </c>
      <c r="I75" s="123" t="str">
        <f t="shared" si="84"/>
        <v/>
      </c>
      <c r="J75" s="123" t="str">
        <f t="shared" si="84"/>
        <v/>
      </c>
      <c r="K75" s="123" t="str">
        <f t="shared" si="84"/>
        <v/>
      </c>
      <c r="L75" s="123" t="str">
        <f t="shared" si="84"/>
        <v/>
      </c>
      <c r="M75" s="123" t="str">
        <f t="shared" si="84"/>
        <v/>
      </c>
      <c r="N75" s="123" t="str">
        <f t="shared" si="84"/>
        <v/>
      </c>
      <c r="O75" s="123" t="str">
        <f t="shared" si="84"/>
        <v/>
      </c>
      <c r="P75" s="123" t="str">
        <f t="shared" si="84"/>
        <v/>
      </c>
      <c r="Q75" s="123" t="str">
        <f t="shared" si="84"/>
        <v/>
      </c>
      <c r="R75" s="123" t="str">
        <f t="shared" si="84"/>
        <v/>
      </c>
      <c r="S75" s="123" t="str">
        <f t="shared" si="84"/>
        <v/>
      </c>
      <c r="T75" s="123" t="str">
        <f t="shared" si="84"/>
        <v/>
      </c>
      <c r="U75" s="123" t="str">
        <f t="shared" si="84"/>
        <v/>
      </c>
      <c r="V75" s="122" t="str">
        <f t="shared" si="84"/>
        <v/>
      </c>
      <c r="W75" s="122" t="str">
        <f t="shared" si="84"/>
        <v/>
      </c>
      <c r="X75" s="122" t="str">
        <f t="shared" si="84"/>
        <v/>
      </c>
      <c r="Y75" s="122" t="str">
        <f t="shared" si="84"/>
        <v/>
      </c>
      <c r="Z75" s="122" t="str">
        <f t="shared" si="84"/>
        <v/>
      </c>
      <c r="AA75" s="122" t="str">
        <f t="shared" si="84"/>
        <v/>
      </c>
      <c r="AB75" s="122" t="str">
        <f t="shared" si="84"/>
        <v/>
      </c>
      <c r="AC75" s="122" t="str">
        <f t="shared" si="84"/>
        <v/>
      </c>
      <c r="AD75" s="122" t="str">
        <f t="shared" si="84"/>
        <v/>
      </c>
      <c r="AE75" s="122" t="str">
        <f t="shared" si="84"/>
        <v/>
      </c>
      <c r="AF75" s="122" t="str">
        <f t="shared" si="84"/>
        <v/>
      </c>
      <c r="AG75" s="122" t="str">
        <f t="shared" si="84"/>
        <v/>
      </c>
      <c r="AH75" s="122" t="str">
        <f t="shared" si="84"/>
        <v/>
      </c>
      <c r="AI75" s="122" t="str">
        <f t="shared" si="84"/>
        <v/>
      </c>
      <c r="AJ75" s="124" t="str">
        <f t="shared" si="84"/>
        <v/>
      </c>
      <c r="AK75" s="128" t="str">
        <f t="shared" si="84"/>
        <v/>
      </c>
      <c r="AL75" s="125" t="str">
        <f t="shared" si="84"/>
        <v/>
      </c>
      <c r="AM75" s="125" t="str">
        <f t="shared" si="84"/>
        <v/>
      </c>
      <c r="AN75" s="125" t="str">
        <f t="shared" si="84"/>
        <v/>
      </c>
      <c r="AO75" s="125" t="str">
        <f t="shared" si="84"/>
        <v/>
      </c>
      <c r="AP75" s="125" t="str">
        <f t="shared" si="84"/>
        <v/>
      </c>
      <c r="AQ75" s="126" t="str">
        <f t="shared" si="84"/>
        <v/>
      </c>
      <c r="AR75" s="127" t="str">
        <f t="shared" si="84"/>
        <v/>
      </c>
    </row>
    <row r="76" spans="1:44" hidden="1" x14ac:dyDescent="0.3">
      <c r="A76" s="42" t="str">
        <f t="shared" ref="A76" si="85">+IF(C76+C77=0,"[ocultar]","")</f>
        <v>[ocultar]</v>
      </c>
      <c r="B76" s="34" t="s">
        <v>162</v>
      </c>
      <c r="C76" s="33">
        <f t="array" ref="C76">SUM(IF($B76=DATOS_[Sexo],
IF($B75=DATOS_[AGRUP. VALOR. PTO.],
IF("Dentro"=DATOS_[Check Periodo Ref.],
1/(COUNTIFS(DATOS_[Sexo],$B76,DATOS_[AGRUP. VALOR. PTO.],$B75,DATOS_[Check Periodo Ref.],"Dentro",DATOS_[id],DATOS_[id]))))))</f>
        <v>0</v>
      </c>
      <c r="D76" s="35">
        <f>COUNTIFS(DATOS_[AGRUP. VALOR. PTO.],$B75,DATOS_[Sexo],$B76,DATOS_[Check Periodo Ref.],"Dentro")</f>
        <v>0</v>
      </c>
      <c r="E76" s="110">
        <f t="array" ref="E76">IFERROR(
MEDIAN(IF(DATOS_[Sexo]=$B76,IF(DATOS_[AGRUP. VALOR. PTO.]=$B75,IF(DATOS_[Check Periodo Ref.]="Dentro",DATOS_[SALARIO BASE Ef],FALSE)))),
0)</f>
        <v>0</v>
      </c>
      <c r="F76" s="111">
        <f t="array" ref="F76">IFERROR(
MEDIAN((IF(DATOS_[[Sexo]:[Sexo]]=$B76,IF(DATOS_[[AGRUP. VALOR. PTO.]:[AGRUP. VALOR. PTO.]]=$B75,IF(DATOS_[[Check Periodo Ref.]:[Check Periodo Ref.]]="Dentro",DATOS_[Conc.Sal.01]))))),
0)</f>
        <v>0</v>
      </c>
      <c r="G76" s="111">
        <f t="array" ref="G76">IFERROR(
MEDIAN((IF(DATOS_[[Sexo]:[Sexo]]=$B76,IF(DATOS_[[AGRUP. VALOR. PTO.]:[AGRUP. VALOR. PTO.]]=$B75,IF(DATOS_[[Check Periodo Ref.]:[Check Periodo Ref.]]="Dentro",DATOS_[Conc.Sal.02]))))),
0)</f>
        <v>0</v>
      </c>
      <c r="H76" s="111">
        <f t="array" ref="H76">IFERROR(
MEDIAN((IF(DATOS_[[Sexo]:[Sexo]]=$B76,IF(DATOS_[[AGRUP. VALOR. PTO.]:[AGRUP. VALOR. PTO.]]=$B75,IF(DATOS_[[Check Periodo Ref.]:[Check Periodo Ref.]]="Dentro",DATOS_[Conc.Sal.03]))))),
0)</f>
        <v>0</v>
      </c>
      <c r="I76" s="111">
        <f t="array" ref="I76">IFERROR(
MEDIAN((IF(DATOS_[[Sexo]:[Sexo]]=$B76,IF(DATOS_[[AGRUP. VALOR. PTO.]:[AGRUP. VALOR. PTO.]]=$B75,IF(DATOS_[[Check Periodo Ref.]:[Check Periodo Ref.]]="Dentro",DATOS_[Conc.Sal.04]))))),
0)</f>
        <v>0</v>
      </c>
      <c r="J76" s="111">
        <f t="array" ref="J76">IFERROR(
MEDIAN((IF(DATOS_[[Sexo]:[Sexo]]=$B76,IF(DATOS_[[AGRUP. VALOR. PTO.]:[AGRUP. VALOR. PTO.]]=$B75,IF(DATOS_[[Check Periodo Ref.]:[Check Periodo Ref.]]="Dentro",DATOS_[Conc.Sal.05]))))),
0)</f>
        <v>0</v>
      </c>
      <c r="K76" s="111">
        <f t="array" ref="K76">IFERROR(
MEDIAN((IF(DATOS_[[Sexo]:[Sexo]]=$B76,IF(DATOS_[[AGRUP. VALOR. PTO.]:[AGRUP. VALOR. PTO.]]=$B75,IF(DATOS_[[Check Periodo Ref.]:[Check Periodo Ref.]]="Dentro",DATOS_[Conc.Sal.06]))))),
0)</f>
        <v>0</v>
      </c>
      <c r="L76" s="111">
        <f t="array" ref="L76">IFERROR(
MEDIAN((IF(DATOS_[[Sexo]:[Sexo]]=$B76,IF(DATOS_[[AGRUP. VALOR. PTO.]:[AGRUP. VALOR. PTO.]]=$B75,IF(DATOS_[[Check Periodo Ref.]:[Check Periodo Ref.]]="Dentro",DATOS_[Conc.Sal.07]))))),
0)</f>
        <v>0</v>
      </c>
      <c r="M76" s="111">
        <f t="array" ref="M76">IFERROR(
MEDIAN((IF(DATOS_[[Sexo]:[Sexo]]=$B76,IF(DATOS_[[AGRUP. VALOR. PTO.]:[AGRUP. VALOR. PTO.]]=$B75,IF(DATOS_[[Check Periodo Ref.]:[Check Periodo Ref.]]="Dentro",DATOS_[Conc.Sal.08]))))),
0)</f>
        <v>0</v>
      </c>
      <c r="N76" s="111">
        <f t="array" ref="N76">IFERROR(
MEDIAN((IF(DATOS_[[Sexo]:[Sexo]]=$B76,IF(DATOS_[[AGRUP. VALOR. PTO.]:[AGRUP. VALOR. PTO.]]=$B75,IF(DATOS_[[Check Periodo Ref.]:[Check Periodo Ref.]]="Dentro",DATOS_[Conc.Sal.09]))))),
0)</f>
        <v>0</v>
      </c>
      <c r="O76" s="111">
        <f t="array" ref="O76">IFERROR(
MEDIAN((IF(DATOS_[[Sexo]:[Sexo]]=$B76,IF(DATOS_[[AGRUP. VALOR. PTO.]:[AGRUP. VALOR. PTO.]]=$B75,IF(DATOS_[[Check Periodo Ref.]:[Check Periodo Ref.]]="Dentro",DATOS_[Conc.Sal.10]))))),
0)</f>
        <v>0</v>
      </c>
      <c r="P76" s="111">
        <f t="array" ref="P76">IFERROR(
MEDIAN((IF(DATOS_[[Sexo]:[Sexo]]=$B76,IF(DATOS_[[AGRUP. VALOR. PTO.]:[AGRUP. VALOR. PTO.]]=$B75,IF(DATOS_[[Check Periodo Ref.]:[Check Periodo Ref.]]="Dentro",DATOS_[Conc.Sal.11]))))),
0)</f>
        <v>0</v>
      </c>
      <c r="Q76" s="111">
        <f t="array" ref="Q76">IFERROR(
MEDIAN((IF(DATOS_[[Sexo]:[Sexo]]=$B76,IF(DATOS_[[AGRUP. VALOR. PTO.]:[AGRUP. VALOR. PTO.]]=$B75,IF(DATOS_[[Check Periodo Ref.]:[Check Periodo Ref.]]="Dentro",DATOS_[Conc.Sal.12]))))),
0)</f>
        <v>0</v>
      </c>
      <c r="R76" s="111">
        <f t="array" ref="R76">IFERROR(
MEDIAN((IF(DATOS_[[Sexo]:[Sexo]]=$B76,IF(DATOS_[[AGRUP. VALOR. PTO.]:[AGRUP. VALOR. PTO.]]=$B75,IF(DATOS_[[Check Periodo Ref.]:[Check Periodo Ref.]]="Dentro",DATOS_[Conc.Sal.13]))))),
0)</f>
        <v>0</v>
      </c>
      <c r="S76" s="111">
        <f t="array" ref="S76">IFERROR(
MEDIAN((IF(DATOS_[[Sexo]:[Sexo]]=$B76,IF(DATOS_[[AGRUP. VALOR. PTO.]:[AGRUP. VALOR. PTO.]]=$B75,IF(DATOS_[[Check Periodo Ref.]:[Check Periodo Ref.]]="Dentro",DATOS_[Conc.Sal.14]))))),
0)</f>
        <v>0</v>
      </c>
      <c r="T76" s="111">
        <f t="array" ref="T76">IFERROR(
MEDIAN((IF(DATOS_[[Sexo]:[Sexo]]=$B76,IF(DATOS_[[AGRUP. VALOR. PTO.]:[AGRUP. VALOR. PTO.]]=$B75,IF(DATOS_[[Check Periodo Ref.]:[Check Periodo Ref.]]="Dentro",DATOS_[Conc.Sal.15]))))),
0)</f>
        <v>0</v>
      </c>
      <c r="U76" s="111">
        <f t="array" ref="U76">IFERROR(
MEDIAN((IF(DATOS_[[Sexo]:[Sexo]]=$B76,IF(DATOS_[[AGRUP. VALOR. PTO.]:[AGRUP. VALOR. PTO.]]=$B75,IF(DATOS_[[Check Periodo Ref.]:[Check Periodo Ref.]]="Dentro",DATOS_[Conc.Sal.16]))))),
0)</f>
        <v>0</v>
      </c>
      <c r="V76" s="111">
        <f t="array" ref="V76">IFERROR(
MEDIAN((IF(DATOS_[[Sexo]:[Sexo]]=$B76,IF(DATOS_[[AGRUP. VALOR. PTO.]:[AGRUP. VALOR. PTO.]]=$B75,IF(DATOS_[[Check Periodo Ref.]:[Check Periodo Ref.]]="Dentro",DATOS_[Conc.Sal.17]))))),
0)</f>
        <v>0</v>
      </c>
      <c r="W76" s="111">
        <f t="array" ref="W76">IFERROR(
MEDIAN((IF(DATOS_[[Sexo]:[Sexo]]=$B76,IF(DATOS_[[AGRUP. VALOR. PTO.]:[AGRUP. VALOR. PTO.]]=$B75,IF(DATOS_[[Check Periodo Ref.]:[Check Periodo Ref.]]="Dentro",DATOS_[Conc.Sal.18]))))),
0)</f>
        <v>0</v>
      </c>
      <c r="X76" s="111">
        <f t="array" ref="X76">IFERROR(
MEDIAN((IF(DATOS_[[Sexo]:[Sexo]]=$B76,IF(DATOS_[[AGRUP. VALOR. PTO.]:[AGRUP. VALOR. PTO.]]=$B75,IF(DATOS_[[Check Periodo Ref.]:[Check Periodo Ref.]]="Dentro",DATOS_[Conc.Sal.19]))))),
0)</f>
        <v>0</v>
      </c>
      <c r="Y76" s="111">
        <f t="array" ref="Y76">IFERROR(
MEDIAN((IF(DATOS_[[Sexo]:[Sexo]]=$B76,IF(DATOS_[[AGRUP. VALOR. PTO.]:[AGRUP. VALOR. PTO.]]=$B75,IF(DATOS_[[Check Periodo Ref.]:[Check Periodo Ref.]]="Dentro",DATOS_[Conc.Sal.20]))))),
0)</f>
        <v>0</v>
      </c>
      <c r="Z76" s="111">
        <f t="array" ref="Z76">IFERROR(
MEDIAN((IF(DATOS_[[Sexo]:[Sexo]]=$B76,IF(DATOS_[[AGRUP. VALOR. PTO.]:[AGRUP. VALOR. PTO.]]=$B75,IF(DATOS_[[Check Periodo Ref.]:[Check Periodo Ref.]]="Dentro",DATOS_[Conc.Sal.21]))))),
0)</f>
        <v>0</v>
      </c>
      <c r="AA76" s="111">
        <f t="array" ref="AA76">IFERROR(
MEDIAN((IF(DATOS_[[Sexo]:[Sexo]]=$B76,IF(DATOS_[[AGRUP. VALOR. PTO.]:[AGRUP. VALOR. PTO.]]=$B75,IF(DATOS_[[Check Periodo Ref.]:[Check Periodo Ref.]]="Dentro",DATOS_[Conc.Sal.22]))))),
0)</f>
        <v>0</v>
      </c>
      <c r="AB76" s="111">
        <f t="array" ref="AB76">IFERROR(
MEDIAN((IF(DATOS_[[Sexo]:[Sexo]]=$B76,IF(DATOS_[[AGRUP. VALOR. PTO.]:[AGRUP. VALOR. PTO.]]=$B75,IF(DATOS_[[Check Periodo Ref.]:[Check Periodo Ref.]]="Dentro",DATOS_[Conc.Sal.23]))))),
0)</f>
        <v>0</v>
      </c>
      <c r="AC76" s="111">
        <f t="array" ref="AC76">IFERROR(
MEDIAN((IF(DATOS_[[Sexo]:[Sexo]]=$B76,IF(DATOS_[[AGRUP. VALOR. PTO.]:[AGRUP. VALOR. PTO.]]=$B75,IF(DATOS_[[Check Periodo Ref.]:[Check Periodo Ref.]]="Dentro",DATOS_[Conc.Sal.24]))))),
0)</f>
        <v>0</v>
      </c>
      <c r="AD76" s="111">
        <f t="array" ref="AD76">IFERROR(
MEDIAN((IF(DATOS_[[Sexo]:[Sexo]]=$B76,IF(DATOS_[[AGRUP. VALOR. PTO.]:[AGRUP. VALOR. PTO.]]=$B75,IF(DATOS_[[Check Periodo Ref.]:[Check Periodo Ref.]]="Dentro",DATOS_[Conc.Sal.25]))))),
0)</f>
        <v>0</v>
      </c>
      <c r="AE76" s="111">
        <f t="array" ref="AE76">IFERROR(
MEDIAN((IF(DATOS_[[Sexo]:[Sexo]]=$B76,IF(DATOS_[[AGRUP. VALOR. PTO.]:[AGRUP. VALOR. PTO.]]=$B75,IF(DATOS_[[Check Periodo Ref.]:[Check Periodo Ref.]]="Dentro",DATOS_[Conc.Sal.26]))))),
0)</f>
        <v>0</v>
      </c>
      <c r="AF76" s="111">
        <f t="array" ref="AF76">IFERROR(
MEDIAN((IF(DATOS_[[Sexo]:[Sexo]]=$B76,IF(DATOS_[[AGRUP. VALOR. PTO.]:[AGRUP. VALOR. PTO.]]=$B75,IF(DATOS_[[Check Periodo Ref.]:[Check Periodo Ref.]]="Dentro",DATOS_[Conc.Sal.27]))))),
0)</f>
        <v>0</v>
      </c>
      <c r="AG76" s="111">
        <f t="array" ref="AG76">IFERROR(
MEDIAN((IF(DATOS_[[Sexo]:[Sexo]]=$B76,IF(DATOS_[[AGRUP. VALOR. PTO.]:[AGRUP. VALOR. PTO.]]=$B75,IF(DATOS_[[Check Periodo Ref.]:[Check Periodo Ref.]]="Dentro",DATOS_[Conc.Sal.28]))))),
0)</f>
        <v>0</v>
      </c>
      <c r="AH76" s="111">
        <f t="array" ref="AH76">IFERROR(
MEDIAN((IF(DATOS_[[Sexo]:[Sexo]]=$B76,IF(DATOS_[[AGRUP. VALOR. PTO.]:[AGRUP. VALOR. PTO.]]=$B75,IF(DATOS_[[Check Periodo Ref.]:[Check Periodo Ref.]]="Dentro",DATOS_[Conc.Sal.29]))))),
0)</f>
        <v>0</v>
      </c>
      <c r="AI76" s="111">
        <f t="array" ref="AI76">IFERROR(
MEDIAN((IF(DATOS_[[Sexo]:[Sexo]]=$B76,IF(DATOS_[[AGRUP. VALOR. PTO.]:[AGRUP. VALOR. PTO.]]=$B75,IF(DATOS_[[Check Periodo Ref.]:[Check Periodo Ref.]]="Dentro",DATOS_[Conc.Sal.30]))))),
0)</f>
        <v>0</v>
      </c>
      <c r="AJ76" s="112">
        <f t="array" ref="AJ76">IFERROR(
MEDIAN(IF(DATOS_[Sexo]=$B76,IF(DATOS_[AGRUP. VALOR. PTO.]=$B75,IF(DATOS_[Check Periodo Ref.]="Dentro",DATOS_[Tot COMPL.SAL Ef],FALSE)))),
0)</f>
        <v>0</v>
      </c>
      <c r="AK76" s="113">
        <f t="array" ref="AK76">IFERROR(
MEDIAN(IF(DATOS_[Sexo]=$B76,IF(DATOS_[AGRUP. VALOR. PTO.]=$B75,IF(DATOS_[Check Periodo Ref.]="Dentro",DATOS_[TOTAL SALARIO Ef],FALSE)))),
0)</f>
        <v>0</v>
      </c>
      <c r="AL76" s="114">
        <f t="array" ref="AL76">IFERROR(
MEDIAN((IF(DATOS_[[Sexo]:[Sexo]]=$B76,IF(DATOS_[[AGRUP. VALOR. PTO.]:[AGRUP. VALOR. PTO.]]=$B75,IF(DATOS_[[Check Periodo Ref.]:[Check Periodo Ref.]]="Dentro",DATOS_[C.Extra.01]))))),
0)</f>
        <v>0</v>
      </c>
      <c r="AM76" s="114">
        <f t="array" ref="AM76">IFERROR(
MEDIAN((IF(DATOS_[[Sexo]:[Sexo]]=$B76,IF(DATOS_[[AGRUP. VALOR. PTO.]:[AGRUP. VALOR. PTO.]]=$B75,IF(DATOS_[[Check Periodo Ref.]:[Check Periodo Ref.]]="Dentro",DATOS_[C.Extra.02]))))),
0)</f>
        <v>0</v>
      </c>
      <c r="AN76" s="114">
        <f t="array" ref="AN76">IFERROR(
MEDIAN((IF(DATOS_[[Sexo]:[Sexo]]=$B76,IF(DATOS_[[AGRUP. VALOR. PTO.]:[AGRUP. VALOR. PTO.]]=$B75,IF(DATOS_[[Check Periodo Ref.]:[Check Periodo Ref.]]="Dentro",DATOS_[C.Extra.03]))))),
0)</f>
        <v>0</v>
      </c>
      <c r="AO76" s="114">
        <f t="array" ref="AO76">IFERROR(
MEDIAN((IF(DATOS_[[Sexo]:[Sexo]]=$B76,IF(DATOS_[[AGRUP. VALOR. PTO.]:[AGRUP. VALOR. PTO.]]=$B75,IF(DATOS_[[Check Periodo Ref.]:[Check Periodo Ref.]]="Dentro",DATOS_[C.Extra.04]))))),
0)</f>
        <v>0</v>
      </c>
      <c r="AP76" s="114">
        <f t="array" ref="AP76">IFERROR(
MEDIAN((IF(DATOS_[[Sexo]:[Sexo]]=$B76,IF(DATOS_[[AGRUP. VALOR. PTO.]:[AGRUP. VALOR. PTO.]]=$B75,IF(DATOS_[[Check Periodo Ref.]:[Check Periodo Ref.]]="Dentro",DATOS_[C.Extra.05]))))),
0)</f>
        <v>0</v>
      </c>
      <c r="AQ76" s="115">
        <f t="array" ref="AQ76">IFERROR(
MEDIAN(IF(DATOS_[Sexo]=$B76,IF(DATOS_[AGRUP. VALOR. PTO.]=$B75,IF(DATOS_[Check Periodo Ref.]="Dentro",DATOS_[Tot Extrasalarial Ef],FALSE)))),
0)</f>
        <v>0</v>
      </c>
      <c r="AR76" s="116">
        <f t="array" ref="AR76">IFERROR(
MEDIAN(IF(DATOS_[Sexo]=$B76,IF(DATOS_[AGRUP. VALOR. PTO.]=$B75,IF(DATOS_[Check Periodo Ref.]="Dentro",DATOS_[TOTAL Retrib Ef],FALSE)))),
0)</f>
        <v>0</v>
      </c>
    </row>
    <row r="77" spans="1:44" hidden="1" x14ac:dyDescent="0.3">
      <c r="A77" s="42" t="str">
        <f t="shared" ref="A77" si="86">+A76</f>
        <v>[ocultar]</v>
      </c>
      <c r="B77" s="34" t="s">
        <v>163</v>
      </c>
      <c r="C77" s="33">
        <f t="array" ref="C77">SUM(IF($B77=DATOS_[Sexo],
IF($B75=DATOS_[AGRUP. VALOR. PTO.],
IF("Dentro"=DATOS_[Check Periodo Ref.],
1/(COUNTIFS(DATOS_[Sexo],$B77,DATOS_[AGRUP. VALOR. PTO.],$B75,DATOS_[Check Periodo Ref.],"Dentro",DATOS_[id],DATOS_[id]))))))</f>
        <v>0</v>
      </c>
      <c r="D77" s="35">
        <f>COUNTIFS(DATOS_[AGRUP. VALOR. PTO.],$B75,DATOS_[Sexo],$B77,DATOS_[Check Periodo Ref.],"Dentro")</f>
        <v>0</v>
      </c>
      <c r="E77" s="110">
        <f t="array" ref="E77">IFERROR(
MEDIAN(IF(DATOS_[Sexo]=$B77,IF(DATOS_[AGRUP. VALOR. PTO.]=$B75,IF(DATOS_[Check Periodo Ref.]="Dentro",DATOS_[SALARIO BASE Ef],FALSE)))),
0)</f>
        <v>0</v>
      </c>
      <c r="F77" s="111">
        <f t="array" ref="F77">IFERROR(
MEDIAN((IF(DATOS_[[Sexo]:[Sexo]]=$B77,IF(DATOS_[[AGRUP. VALOR. PTO.]:[AGRUP. VALOR. PTO.]]=$B75,IF(DATOS_[[Check Periodo Ref.]:[Check Periodo Ref.]]="Dentro",DATOS_[Conc.Sal.01]))))),
0)</f>
        <v>0</v>
      </c>
      <c r="G77" s="111">
        <f t="array" ref="G77">IFERROR(
MEDIAN((IF(DATOS_[[Sexo]:[Sexo]]=$B77,IF(DATOS_[[AGRUP. VALOR. PTO.]:[AGRUP. VALOR. PTO.]]=$B75,IF(DATOS_[[Check Periodo Ref.]:[Check Periodo Ref.]]="Dentro",DATOS_[Conc.Sal.02]))))),
0)</f>
        <v>0</v>
      </c>
      <c r="H77" s="111">
        <f t="array" ref="H77">IFERROR(
MEDIAN((IF(DATOS_[[Sexo]:[Sexo]]=$B77,IF(DATOS_[[AGRUP. VALOR. PTO.]:[AGRUP. VALOR. PTO.]]=$B75,IF(DATOS_[[Check Periodo Ref.]:[Check Periodo Ref.]]="Dentro",DATOS_[Conc.Sal.03]))))),
0)</f>
        <v>0</v>
      </c>
      <c r="I77" s="111">
        <f t="array" ref="I77">IFERROR(
MEDIAN((IF(DATOS_[[Sexo]:[Sexo]]=$B77,IF(DATOS_[[AGRUP. VALOR. PTO.]:[AGRUP. VALOR. PTO.]]=$B75,IF(DATOS_[[Check Periodo Ref.]:[Check Periodo Ref.]]="Dentro",DATOS_[Conc.Sal.04]))))),
0)</f>
        <v>0</v>
      </c>
      <c r="J77" s="111">
        <f t="array" ref="J77">IFERROR(
MEDIAN((IF(DATOS_[[Sexo]:[Sexo]]=$B77,IF(DATOS_[[AGRUP. VALOR. PTO.]:[AGRUP. VALOR. PTO.]]=$B75,IF(DATOS_[[Check Periodo Ref.]:[Check Periodo Ref.]]="Dentro",DATOS_[Conc.Sal.05]))))),
0)</f>
        <v>0</v>
      </c>
      <c r="K77" s="111">
        <f t="array" ref="K77">IFERROR(
MEDIAN((IF(DATOS_[[Sexo]:[Sexo]]=$B77,IF(DATOS_[[AGRUP. VALOR. PTO.]:[AGRUP. VALOR. PTO.]]=$B75,IF(DATOS_[[Check Periodo Ref.]:[Check Periodo Ref.]]="Dentro",DATOS_[Conc.Sal.06]))))),
0)</f>
        <v>0</v>
      </c>
      <c r="L77" s="111">
        <f t="array" ref="L77">IFERROR(
MEDIAN((IF(DATOS_[[Sexo]:[Sexo]]=$B77,IF(DATOS_[[AGRUP. VALOR. PTO.]:[AGRUP. VALOR. PTO.]]=$B75,IF(DATOS_[[Check Periodo Ref.]:[Check Periodo Ref.]]="Dentro",DATOS_[Conc.Sal.07]))))),
0)</f>
        <v>0</v>
      </c>
      <c r="M77" s="111">
        <f t="array" ref="M77">IFERROR(
MEDIAN((IF(DATOS_[[Sexo]:[Sexo]]=$B77,IF(DATOS_[[AGRUP. VALOR. PTO.]:[AGRUP. VALOR. PTO.]]=$B75,IF(DATOS_[[Check Periodo Ref.]:[Check Periodo Ref.]]="Dentro",DATOS_[Conc.Sal.08]))))),
0)</f>
        <v>0</v>
      </c>
      <c r="N77" s="111">
        <f t="array" ref="N77">IFERROR(
MEDIAN((IF(DATOS_[[Sexo]:[Sexo]]=$B77,IF(DATOS_[[AGRUP. VALOR. PTO.]:[AGRUP. VALOR. PTO.]]=$B75,IF(DATOS_[[Check Periodo Ref.]:[Check Periodo Ref.]]="Dentro",DATOS_[Conc.Sal.09]))))),
0)</f>
        <v>0</v>
      </c>
      <c r="O77" s="111">
        <f t="array" ref="O77">IFERROR(
MEDIAN((IF(DATOS_[[Sexo]:[Sexo]]=$B77,IF(DATOS_[[AGRUP. VALOR. PTO.]:[AGRUP. VALOR. PTO.]]=$B75,IF(DATOS_[[Check Periodo Ref.]:[Check Periodo Ref.]]="Dentro",DATOS_[Conc.Sal.10]))))),
0)</f>
        <v>0</v>
      </c>
      <c r="P77" s="111">
        <f t="array" ref="P77">IFERROR(
MEDIAN((IF(DATOS_[[Sexo]:[Sexo]]=$B77,IF(DATOS_[[AGRUP. VALOR. PTO.]:[AGRUP. VALOR. PTO.]]=$B75,IF(DATOS_[[Check Periodo Ref.]:[Check Periodo Ref.]]="Dentro",DATOS_[Conc.Sal.11]))))),
0)</f>
        <v>0</v>
      </c>
      <c r="Q77" s="111">
        <f t="array" ref="Q77">IFERROR(
MEDIAN((IF(DATOS_[[Sexo]:[Sexo]]=$B77,IF(DATOS_[[AGRUP. VALOR. PTO.]:[AGRUP. VALOR. PTO.]]=$B75,IF(DATOS_[[Check Periodo Ref.]:[Check Periodo Ref.]]="Dentro",DATOS_[Conc.Sal.12]))))),
0)</f>
        <v>0</v>
      </c>
      <c r="R77" s="111">
        <f t="array" ref="R77">IFERROR(
MEDIAN((IF(DATOS_[[Sexo]:[Sexo]]=$B77,IF(DATOS_[[AGRUP. VALOR. PTO.]:[AGRUP. VALOR. PTO.]]=$B75,IF(DATOS_[[Check Periodo Ref.]:[Check Periodo Ref.]]="Dentro",DATOS_[Conc.Sal.13]))))),
0)</f>
        <v>0</v>
      </c>
      <c r="S77" s="111">
        <f t="array" ref="S77">IFERROR(
MEDIAN((IF(DATOS_[[Sexo]:[Sexo]]=$B77,IF(DATOS_[[AGRUP. VALOR. PTO.]:[AGRUP. VALOR. PTO.]]=$B75,IF(DATOS_[[Check Periodo Ref.]:[Check Periodo Ref.]]="Dentro",DATOS_[Conc.Sal.14]))))),
0)</f>
        <v>0</v>
      </c>
      <c r="T77" s="111">
        <f t="array" ref="T77">IFERROR(
MEDIAN((IF(DATOS_[[Sexo]:[Sexo]]=$B77,IF(DATOS_[[AGRUP. VALOR. PTO.]:[AGRUP. VALOR. PTO.]]=$B75,IF(DATOS_[[Check Periodo Ref.]:[Check Periodo Ref.]]="Dentro",DATOS_[Conc.Sal.15]))))),
0)</f>
        <v>0</v>
      </c>
      <c r="U77" s="111">
        <f t="array" ref="U77">IFERROR(
MEDIAN((IF(DATOS_[[Sexo]:[Sexo]]=$B77,IF(DATOS_[[AGRUP. VALOR. PTO.]:[AGRUP. VALOR. PTO.]]=$B75,IF(DATOS_[[Check Periodo Ref.]:[Check Periodo Ref.]]="Dentro",DATOS_[Conc.Sal.16]))))),
0)</f>
        <v>0</v>
      </c>
      <c r="V77" s="111">
        <f t="array" ref="V77">IFERROR(
MEDIAN((IF(DATOS_[[Sexo]:[Sexo]]=$B77,IF(DATOS_[[AGRUP. VALOR. PTO.]:[AGRUP. VALOR. PTO.]]=$B75,IF(DATOS_[[Check Periodo Ref.]:[Check Periodo Ref.]]="Dentro",DATOS_[Conc.Sal.17]))))),
0)</f>
        <v>0</v>
      </c>
      <c r="W77" s="111">
        <f t="array" ref="W77">IFERROR(
MEDIAN((IF(DATOS_[[Sexo]:[Sexo]]=$B77,IF(DATOS_[[AGRUP. VALOR. PTO.]:[AGRUP. VALOR. PTO.]]=$B75,IF(DATOS_[[Check Periodo Ref.]:[Check Periodo Ref.]]="Dentro",DATOS_[Conc.Sal.18]))))),
0)</f>
        <v>0</v>
      </c>
      <c r="X77" s="111">
        <f t="array" ref="X77">IFERROR(
MEDIAN((IF(DATOS_[[Sexo]:[Sexo]]=$B77,IF(DATOS_[[AGRUP. VALOR. PTO.]:[AGRUP. VALOR. PTO.]]=$B75,IF(DATOS_[[Check Periodo Ref.]:[Check Periodo Ref.]]="Dentro",DATOS_[Conc.Sal.19]))))),
0)</f>
        <v>0</v>
      </c>
      <c r="Y77" s="111">
        <f t="array" ref="Y77">IFERROR(
MEDIAN((IF(DATOS_[[Sexo]:[Sexo]]=$B77,IF(DATOS_[[AGRUP. VALOR. PTO.]:[AGRUP. VALOR. PTO.]]=$B75,IF(DATOS_[[Check Periodo Ref.]:[Check Periodo Ref.]]="Dentro",DATOS_[Conc.Sal.20]))))),
0)</f>
        <v>0</v>
      </c>
      <c r="Z77" s="111">
        <f t="array" ref="Z77">IFERROR(
MEDIAN((IF(DATOS_[[Sexo]:[Sexo]]=$B77,IF(DATOS_[[AGRUP. VALOR. PTO.]:[AGRUP. VALOR. PTO.]]=$B75,IF(DATOS_[[Check Periodo Ref.]:[Check Periodo Ref.]]="Dentro",DATOS_[Conc.Sal.21]))))),
0)</f>
        <v>0</v>
      </c>
      <c r="AA77" s="111">
        <f t="array" ref="AA77">IFERROR(
MEDIAN((IF(DATOS_[[Sexo]:[Sexo]]=$B77,IF(DATOS_[[AGRUP. VALOR. PTO.]:[AGRUP. VALOR. PTO.]]=$B75,IF(DATOS_[[Check Periodo Ref.]:[Check Periodo Ref.]]="Dentro",DATOS_[Conc.Sal.22]))))),
0)</f>
        <v>0</v>
      </c>
      <c r="AB77" s="111">
        <f t="array" ref="AB77">IFERROR(
MEDIAN((IF(DATOS_[[Sexo]:[Sexo]]=$B77,IF(DATOS_[[AGRUP. VALOR. PTO.]:[AGRUP. VALOR. PTO.]]=$B75,IF(DATOS_[[Check Periodo Ref.]:[Check Periodo Ref.]]="Dentro",DATOS_[Conc.Sal.23]))))),
0)</f>
        <v>0</v>
      </c>
      <c r="AC77" s="111">
        <f t="array" ref="AC77">IFERROR(
MEDIAN((IF(DATOS_[[Sexo]:[Sexo]]=$B77,IF(DATOS_[[AGRUP. VALOR. PTO.]:[AGRUP. VALOR. PTO.]]=$B75,IF(DATOS_[[Check Periodo Ref.]:[Check Periodo Ref.]]="Dentro",DATOS_[Conc.Sal.24]))))),
0)</f>
        <v>0</v>
      </c>
      <c r="AD77" s="111">
        <f t="array" ref="AD77">IFERROR(
MEDIAN((IF(DATOS_[[Sexo]:[Sexo]]=$B77,IF(DATOS_[[AGRUP. VALOR. PTO.]:[AGRUP. VALOR. PTO.]]=$B75,IF(DATOS_[[Check Periodo Ref.]:[Check Periodo Ref.]]="Dentro",DATOS_[Conc.Sal.25]))))),
0)</f>
        <v>0</v>
      </c>
      <c r="AE77" s="111">
        <f t="array" ref="AE77">IFERROR(
MEDIAN((IF(DATOS_[[Sexo]:[Sexo]]=$B77,IF(DATOS_[[AGRUP. VALOR. PTO.]:[AGRUP. VALOR. PTO.]]=$B75,IF(DATOS_[[Check Periodo Ref.]:[Check Periodo Ref.]]="Dentro",DATOS_[Conc.Sal.26]))))),
0)</f>
        <v>0</v>
      </c>
      <c r="AF77" s="111">
        <f t="array" ref="AF77">IFERROR(
MEDIAN((IF(DATOS_[[Sexo]:[Sexo]]=$B77,IF(DATOS_[[AGRUP. VALOR. PTO.]:[AGRUP. VALOR. PTO.]]=$B75,IF(DATOS_[[Check Periodo Ref.]:[Check Periodo Ref.]]="Dentro",DATOS_[Conc.Sal.27]))))),
0)</f>
        <v>0</v>
      </c>
      <c r="AG77" s="111">
        <f t="array" ref="AG77">IFERROR(
MEDIAN((IF(DATOS_[[Sexo]:[Sexo]]=$B77,IF(DATOS_[[AGRUP. VALOR. PTO.]:[AGRUP. VALOR. PTO.]]=$B75,IF(DATOS_[[Check Periodo Ref.]:[Check Periodo Ref.]]="Dentro",DATOS_[Conc.Sal.28]))))),
0)</f>
        <v>0</v>
      </c>
      <c r="AH77" s="111">
        <f t="array" ref="AH77">IFERROR(
MEDIAN((IF(DATOS_[[Sexo]:[Sexo]]=$B77,IF(DATOS_[[AGRUP. VALOR. PTO.]:[AGRUP. VALOR. PTO.]]=$B75,IF(DATOS_[[Check Periodo Ref.]:[Check Periodo Ref.]]="Dentro",DATOS_[Conc.Sal.29]))))),
0)</f>
        <v>0</v>
      </c>
      <c r="AI77" s="111">
        <f t="array" ref="AI77">IFERROR(
MEDIAN((IF(DATOS_[[Sexo]:[Sexo]]=$B77,IF(DATOS_[[AGRUP. VALOR. PTO.]:[AGRUP. VALOR. PTO.]]=$B75,IF(DATOS_[[Check Periodo Ref.]:[Check Periodo Ref.]]="Dentro",DATOS_[Conc.Sal.30]))))),
0)</f>
        <v>0</v>
      </c>
      <c r="AJ77" s="112">
        <f t="array" ref="AJ77">IFERROR(
MEDIAN(IF(DATOS_[Sexo]=$B77,IF(DATOS_[AGRUP. VALOR. PTO.]=$B75,IF(DATOS_[Check Periodo Ref.]="Dentro",DATOS_[Tot COMPL.SAL Ef],FALSE)))),
0)</f>
        <v>0</v>
      </c>
      <c r="AK77" s="113">
        <f t="array" ref="AK77">IFERROR(
MEDIAN(IF(DATOS_[Sexo]=$B77,IF(DATOS_[AGRUP. VALOR. PTO.]=$B75,IF(DATOS_[Check Periodo Ref.]="Dentro",DATOS_[TOTAL SALARIO Ef],FALSE)))),
0)</f>
        <v>0</v>
      </c>
      <c r="AL77" s="114">
        <f t="array" ref="AL77">IFERROR(
MEDIAN((IF(DATOS_[[Sexo]:[Sexo]]=$B77,IF(DATOS_[[AGRUP. VALOR. PTO.]:[AGRUP. VALOR. PTO.]]=$B75,IF(DATOS_[[Check Periodo Ref.]:[Check Periodo Ref.]]="Dentro",DATOS_[C.Extra.01]))))),
0)</f>
        <v>0</v>
      </c>
      <c r="AM77" s="114">
        <f t="array" ref="AM77">IFERROR(
MEDIAN((IF(DATOS_[[Sexo]:[Sexo]]=$B77,IF(DATOS_[[AGRUP. VALOR. PTO.]:[AGRUP. VALOR. PTO.]]=$B75,IF(DATOS_[[Check Periodo Ref.]:[Check Periodo Ref.]]="Dentro",DATOS_[C.Extra.02]))))),
0)</f>
        <v>0</v>
      </c>
      <c r="AN77" s="114">
        <f t="array" ref="AN77">IFERROR(
MEDIAN((IF(DATOS_[[Sexo]:[Sexo]]=$B77,IF(DATOS_[[AGRUP. VALOR. PTO.]:[AGRUP. VALOR. PTO.]]=$B75,IF(DATOS_[[Check Periodo Ref.]:[Check Periodo Ref.]]="Dentro",DATOS_[C.Extra.03]))))),
0)</f>
        <v>0</v>
      </c>
      <c r="AO77" s="114">
        <f t="array" ref="AO77">IFERROR(
MEDIAN((IF(DATOS_[[Sexo]:[Sexo]]=$B77,IF(DATOS_[[AGRUP. VALOR. PTO.]:[AGRUP. VALOR. PTO.]]=$B75,IF(DATOS_[[Check Periodo Ref.]:[Check Periodo Ref.]]="Dentro",DATOS_[C.Extra.04]))))),
0)</f>
        <v>0</v>
      </c>
      <c r="AP77" s="114">
        <f t="array" ref="AP77">IFERROR(
MEDIAN((IF(DATOS_[[Sexo]:[Sexo]]=$B77,IF(DATOS_[[AGRUP. VALOR. PTO.]:[AGRUP. VALOR. PTO.]]=$B75,IF(DATOS_[[Check Periodo Ref.]:[Check Periodo Ref.]]="Dentro",DATOS_[C.Extra.05]))))),
0)</f>
        <v>0</v>
      </c>
      <c r="AQ77" s="115">
        <f t="array" ref="AQ77">IFERROR(
MEDIAN(IF(DATOS_[Sexo]=$B77,IF(DATOS_[AGRUP. VALOR. PTO.]=$B75,IF(DATOS_[Check Periodo Ref.]="Dentro",DATOS_[Tot Extrasalarial Ef],FALSE)))),
0)</f>
        <v>0</v>
      </c>
      <c r="AR77" s="116">
        <f t="array" ref="AR77">IFERROR(
MEDIAN(IF(DATOS_[Sexo]=$B77,IF(DATOS_[AGRUP. VALOR. PTO.]=$B75,IF(DATOS_[Check Periodo Ref.]="Dentro",DATOS_[TOTAL Retrib Ef],FALSE)))),
0)</f>
        <v>0</v>
      </c>
    </row>
    <row r="78" spans="1:44" ht="17.25" hidden="1" thickBot="1" x14ac:dyDescent="0.35">
      <c r="A78" s="42" t="str">
        <f t="shared" ref="A78" si="87">+A79</f>
        <v>[ocultar]</v>
      </c>
      <c r="B78" s="40" t="s">
        <v>281</v>
      </c>
      <c r="C78" s="109"/>
      <c r="D78" s="41"/>
      <c r="E78" s="119" t="str">
        <f t="shared" ref="E78:AR78" si="88">IFERROR((E79-E80)/E79,"")</f>
        <v/>
      </c>
      <c r="F78" s="123" t="str">
        <f t="shared" si="88"/>
        <v/>
      </c>
      <c r="G78" s="123" t="str">
        <f t="shared" si="88"/>
        <v/>
      </c>
      <c r="H78" s="123" t="str">
        <f t="shared" si="88"/>
        <v/>
      </c>
      <c r="I78" s="123" t="str">
        <f t="shared" si="88"/>
        <v/>
      </c>
      <c r="J78" s="123" t="str">
        <f t="shared" si="88"/>
        <v/>
      </c>
      <c r="K78" s="123" t="str">
        <f t="shared" si="88"/>
        <v/>
      </c>
      <c r="L78" s="123" t="str">
        <f t="shared" si="88"/>
        <v/>
      </c>
      <c r="M78" s="123" t="str">
        <f t="shared" si="88"/>
        <v/>
      </c>
      <c r="N78" s="123" t="str">
        <f t="shared" si="88"/>
        <v/>
      </c>
      <c r="O78" s="123" t="str">
        <f t="shared" si="88"/>
        <v/>
      </c>
      <c r="P78" s="123" t="str">
        <f t="shared" si="88"/>
        <v/>
      </c>
      <c r="Q78" s="123" t="str">
        <f t="shared" si="88"/>
        <v/>
      </c>
      <c r="R78" s="123" t="str">
        <f t="shared" si="88"/>
        <v/>
      </c>
      <c r="S78" s="123" t="str">
        <f t="shared" si="88"/>
        <v/>
      </c>
      <c r="T78" s="123" t="str">
        <f t="shared" si="88"/>
        <v/>
      </c>
      <c r="U78" s="123" t="str">
        <f t="shared" si="88"/>
        <v/>
      </c>
      <c r="V78" s="122" t="str">
        <f t="shared" si="88"/>
        <v/>
      </c>
      <c r="W78" s="122" t="str">
        <f t="shared" si="88"/>
        <v/>
      </c>
      <c r="X78" s="122" t="str">
        <f t="shared" si="88"/>
        <v/>
      </c>
      <c r="Y78" s="122" t="str">
        <f t="shared" si="88"/>
        <v/>
      </c>
      <c r="Z78" s="122" t="str">
        <f t="shared" si="88"/>
        <v/>
      </c>
      <c r="AA78" s="122" t="str">
        <f t="shared" si="88"/>
        <v/>
      </c>
      <c r="AB78" s="122" t="str">
        <f t="shared" si="88"/>
        <v/>
      </c>
      <c r="AC78" s="122" t="str">
        <f t="shared" si="88"/>
        <v/>
      </c>
      <c r="AD78" s="122" t="str">
        <f t="shared" si="88"/>
        <v/>
      </c>
      <c r="AE78" s="122" t="str">
        <f t="shared" si="88"/>
        <v/>
      </c>
      <c r="AF78" s="122" t="str">
        <f t="shared" si="88"/>
        <v/>
      </c>
      <c r="AG78" s="122" t="str">
        <f t="shared" si="88"/>
        <v/>
      </c>
      <c r="AH78" s="122" t="str">
        <f t="shared" si="88"/>
        <v/>
      </c>
      <c r="AI78" s="122" t="str">
        <f t="shared" si="88"/>
        <v/>
      </c>
      <c r="AJ78" s="124" t="str">
        <f t="shared" si="88"/>
        <v/>
      </c>
      <c r="AK78" s="128" t="str">
        <f t="shared" si="88"/>
        <v/>
      </c>
      <c r="AL78" s="125" t="str">
        <f t="shared" si="88"/>
        <v/>
      </c>
      <c r="AM78" s="125" t="str">
        <f t="shared" si="88"/>
        <v/>
      </c>
      <c r="AN78" s="125" t="str">
        <f t="shared" si="88"/>
        <v/>
      </c>
      <c r="AO78" s="125" t="str">
        <f t="shared" si="88"/>
        <v/>
      </c>
      <c r="AP78" s="125" t="str">
        <f t="shared" si="88"/>
        <v/>
      </c>
      <c r="AQ78" s="126" t="str">
        <f t="shared" si="88"/>
        <v/>
      </c>
      <c r="AR78" s="127" t="str">
        <f t="shared" si="88"/>
        <v/>
      </c>
    </row>
    <row r="79" spans="1:44" hidden="1" x14ac:dyDescent="0.3">
      <c r="A79" s="42" t="str">
        <f t="shared" ref="A79" si="89">+IF(C79+C80=0,"[ocultar]","")</f>
        <v>[ocultar]</v>
      </c>
      <c r="B79" s="34" t="s">
        <v>162</v>
      </c>
      <c r="C79" s="33">
        <f t="array" ref="C79">SUM(IF($B79=DATOS_[Sexo],
IF($B78=DATOS_[AGRUP. VALOR. PTO.],
IF("Dentro"=DATOS_[Check Periodo Ref.],
1/(COUNTIFS(DATOS_[Sexo],$B79,DATOS_[AGRUP. VALOR. PTO.],$B78,DATOS_[Check Periodo Ref.],"Dentro",DATOS_[id],DATOS_[id]))))))</f>
        <v>0</v>
      </c>
      <c r="D79" s="35">
        <f>COUNTIFS(DATOS_[AGRUP. VALOR. PTO.],$B78,DATOS_[Sexo],$B79,DATOS_[Check Periodo Ref.],"Dentro")</f>
        <v>0</v>
      </c>
      <c r="E79" s="110">
        <f t="array" ref="E79">IFERROR(
MEDIAN(IF(DATOS_[Sexo]=$B79,IF(DATOS_[AGRUP. VALOR. PTO.]=$B78,IF(DATOS_[Check Periodo Ref.]="Dentro",DATOS_[SALARIO BASE Ef],FALSE)))),
0)</f>
        <v>0</v>
      </c>
      <c r="F79" s="111">
        <f t="array" ref="F79">IFERROR(
MEDIAN((IF(DATOS_[[Sexo]:[Sexo]]=$B79,IF(DATOS_[[AGRUP. VALOR. PTO.]:[AGRUP. VALOR. PTO.]]=$B78,IF(DATOS_[[Check Periodo Ref.]:[Check Periodo Ref.]]="Dentro",DATOS_[Conc.Sal.01]))))),
0)</f>
        <v>0</v>
      </c>
      <c r="G79" s="111">
        <f t="array" ref="G79">IFERROR(
MEDIAN((IF(DATOS_[[Sexo]:[Sexo]]=$B79,IF(DATOS_[[AGRUP. VALOR. PTO.]:[AGRUP. VALOR. PTO.]]=$B78,IF(DATOS_[[Check Periodo Ref.]:[Check Periodo Ref.]]="Dentro",DATOS_[Conc.Sal.02]))))),
0)</f>
        <v>0</v>
      </c>
      <c r="H79" s="111">
        <f t="array" ref="H79">IFERROR(
MEDIAN((IF(DATOS_[[Sexo]:[Sexo]]=$B79,IF(DATOS_[[AGRUP. VALOR. PTO.]:[AGRUP. VALOR. PTO.]]=$B78,IF(DATOS_[[Check Periodo Ref.]:[Check Periodo Ref.]]="Dentro",DATOS_[Conc.Sal.03]))))),
0)</f>
        <v>0</v>
      </c>
      <c r="I79" s="111">
        <f t="array" ref="I79">IFERROR(
MEDIAN((IF(DATOS_[[Sexo]:[Sexo]]=$B79,IF(DATOS_[[AGRUP. VALOR. PTO.]:[AGRUP. VALOR. PTO.]]=$B78,IF(DATOS_[[Check Periodo Ref.]:[Check Periodo Ref.]]="Dentro",DATOS_[Conc.Sal.04]))))),
0)</f>
        <v>0</v>
      </c>
      <c r="J79" s="111">
        <f t="array" ref="J79">IFERROR(
MEDIAN((IF(DATOS_[[Sexo]:[Sexo]]=$B79,IF(DATOS_[[AGRUP. VALOR. PTO.]:[AGRUP. VALOR. PTO.]]=$B78,IF(DATOS_[[Check Periodo Ref.]:[Check Periodo Ref.]]="Dentro",DATOS_[Conc.Sal.05]))))),
0)</f>
        <v>0</v>
      </c>
      <c r="K79" s="111">
        <f t="array" ref="K79">IFERROR(
MEDIAN((IF(DATOS_[[Sexo]:[Sexo]]=$B79,IF(DATOS_[[AGRUP. VALOR. PTO.]:[AGRUP. VALOR. PTO.]]=$B78,IF(DATOS_[[Check Periodo Ref.]:[Check Periodo Ref.]]="Dentro",DATOS_[Conc.Sal.06]))))),
0)</f>
        <v>0</v>
      </c>
      <c r="L79" s="111">
        <f t="array" ref="L79">IFERROR(
MEDIAN((IF(DATOS_[[Sexo]:[Sexo]]=$B79,IF(DATOS_[[AGRUP. VALOR. PTO.]:[AGRUP. VALOR. PTO.]]=$B78,IF(DATOS_[[Check Periodo Ref.]:[Check Periodo Ref.]]="Dentro",DATOS_[Conc.Sal.07]))))),
0)</f>
        <v>0</v>
      </c>
      <c r="M79" s="111">
        <f t="array" ref="M79">IFERROR(
MEDIAN((IF(DATOS_[[Sexo]:[Sexo]]=$B79,IF(DATOS_[[AGRUP. VALOR. PTO.]:[AGRUP. VALOR. PTO.]]=$B78,IF(DATOS_[[Check Periodo Ref.]:[Check Periodo Ref.]]="Dentro",DATOS_[Conc.Sal.08]))))),
0)</f>
        <v>0</v>
      </c>
      <c r="N79" s="111">
        <f t="array" ref="N79">IFERROR(
MEDIAN((IF(DATOS_[[Sexo]:[Sexo]]=$B79,IF(DATOS_[[AGRUP. VALOR. PTO.]:[AGRUP. VALOR. PTO.]]=$B78,IF(DATOS_[[Check Periodo Ref.]:[Check Periodo Ref.]]="Dentro",DATOS_[Conc.Sal.09]))))),
0)</f>
        <v>0</v>
      </c>
      <c r="O79" s="111">
        <f t="array" ref="O79">IFERROR(
MEDIAN((IF(DATOS_[[Sexo]:[Sexo]]=$B79,IF(DATOS_[[AGRUP. VALOR. PTO.]:[AGRUP. VALOR. PTO.]]=$B78,IF(DATOS_[[Check Periodo Ref.]:[Check Periodo Ref.]]="Dentro",DATOS_[Conc.Sal.10]))))),
0)</f>
        <v>0</v>
      </c>
      <c r="P79" s="111">
        <f t="array" ref="P79">IFERROR(
MEDIAN((IF(DATOS_[[Sexo]:[Sexo]]=$B79,IF(DATOS_[[AGRUP. VALOR. PTO.]:[AGRUP. VALOR. PTO.]]=$B78,IF(DATOS_[[Check Periodo Ref.]:[Check Periodo Ref.]]="Dentro",DATOS_[Conc.Sal.11]))))),
0)</f>
        <v>0</v>
      </c>
      <c r="Q79" s="111">
        <f t="array" ref="Q79">IFERROR(
MEDIAN((IF(DATOS_[[Sexo]:[Sexo]]=$B79,IF(DATOS_[[AGRUP. VALOR. PTO.]:[AGRUP. VALOR. PTO.]]=$B78,IF(DATOS_[[Check Periodo Ref.]:[Check Periodo Ref.]]="Dentro",DATOS_[Conc.Sal.12]))))),
0)</f>
        <v>0</v>
      </c>
      <c r="R79" s="111">
        <f t="array" ref="R79">IFERROR(
MEDIAN((IF(DATOS_[[Sexo]:[Sexo]]=$B79,IF(DATOS_[[AGRUP. VALOR. PTO.]:[AGRUP. VALOR. PTO.]]=$B78,IF(DATOS_[[Check Periodo Ref.]:[Check Periodo Ref.]]="Dentro",DATOS_[Conc.Sal.13]))))),
0)</f>
        <v>0</v>
      </c>
      <c r="S79" s="111">
        <f t="array" ref="S79">IFERROR(
MEDIAN((IF(DATOS_[[Sexo]:[Sexo]]=$B79,IF(DATOS_[[AGRUP. VALOR. PTO.]:[AGRUP. VALOR. PTO.]]=$B78,IF(DATOS_[[Check Periodo Ref.]:[Check Periodo Ref.]]="Dentro",DATOS_[Conc.Sal.14]))))),
0)</f>
        <v>0</v>
      </c>
      <c r="T79" s="111">
        <f t="array" ref="T79">IFERROR(
MEDIAN((IF(DATOS_[[Sexo]:[Sexo]]=$B79,IF(DATOS_[[AGRUP. VALOR. PTO.]:[AGRUP. VALOR. PTO.]]=$B78,IF(DATOS_[[Check Periodo Ref.]:[Check Periodo Ref.]]="Dentro",DATOS_[Conc.Sal.15]))))),
0)</f>
        <v>0</v>
      </c>
      <c r="U79" s="111">
        <f t="array" ref="U79">IFERROR(
MEDIAN((IF(DATOS_[[Sexo]:[Sexo]]=$B79,IF(DATOS_[[AGRUP. VALOR. PTO.]:[AGRUP. VALOR. PTO.]]=$B78,IF(DATOS_[[Check Periodo Ref.]:[Check Periodo Ref.]]="Dentro",DATOS_[Conc.Sal.16]))))),
0)</f>
        <v>0</v>
      </c>
      <c r="V79" s="111">
        <f t="array" ref="V79">IFERROR(
MEDIAN((IF(DATOS_[[Sexo]:[Sexo]]=$B79,IF(DATOS_[[AGRUP. VALOR. PTO.]:[AGRUP. VALOR. PTO.]]=$B78,IF(DATOS_[[Check Periodo Ref.]:[Check Periodo Ref.]]="Dentro",DATOS_[Conc.Sal.17]))))),
0)</f>
        <v>0</v>
      </c>
      <c r="W79" s="111">
        <f t="array" ref="W79">IFERROR(
MEDIAN((IF(DATOS_[[Sexo]:[Sexo]]=$B79,IF(DATOS_[[AGRUP. VALOR. PTO.]:[AGRUP. VALOR. PTO.]]=$B78,IF(DATOS_[[Check Periodo Ref.]:[Check Periodo Ref.]]="Dentro",DATOS_[Conc.Sal.18]))))),
0)</f>
        <v>0</v>
      </c>
      <c r="X79" s="111">
        <f t="array" ref="X79">IFERROR(
MEDIAN((IF(DATOS_[[Sexo]:[Sexo]]=$B79,IF(DATOS_[[AGRUP. VALOR. PTO.]:[AGRUP. VALOR. PTO.]]=$B78,IF(DATOS_[[Check Periodo Ref.]:[Check Periodo Ref.]]="Dentro",DATOS_[Conc.Sal.19]))))),
0)</f>
        <v>0</v>
      </c>
      <c r="Y79" s="111">
        <f t="array" ref="Y79">IFERROR(
MEDIAN((IF(DATOS_[[Sexo]:[Sexo]]=$B79,IF(DATOS_[[AGRUP. VALOR. PTO.]:[AGRUP. VALOR. PTO.]]=$B78,IF(DATOS_[[Check Periodo Ref.]:[Check Periodo Ref.]]="Dentro",DATOS_[Conc.Sal.20]))))),
0)</f>
        <v>0</v>
      </c>
      <c r="Z79" s="111">
        <f t="array" ref="Z79">IFERROR(
MEDIAN((IF(DATOS_[[Sexo]:[Sexo]]=$B79,IF(DATOS_[[AGRUP. VALOR. PTO.]:[AGRUP. VALOR. PTO.]]=$B78,IF(DATOS_[[Check Periodo Ref.]:[Check Periodo Ref.]]="Dentro",DATOS_[Conc.Sal.21]))))),
0)</f>
        <v>0</v>
      </c>
      <c r="AA79" s="111">
        <f t="array" ref="AA79">IFERROR(
MEDIAN((IF(DATOS_[[Sexo]:[Sexo]]=$B79,IF(DATOS_[[AGRUP. VALOR. PTO.]:[AGRUP. VALOR. PTO.]]=$B78,IF(DATOS_[[Check Periodo Ref.]:[Check Periodo Ref.]]="Dentro",DATOS_[Conc.Sal.22]))))),
0)</f>
        <v>0</v>
      </c>
      <c r="AB79" s="111">
        <f t="array" ref="AB79">IFERROR(
MEDIAN((IF(DATOS_[[Sexo]:[Sexo]]=$B79,IF(DATOS_[[AGRUP. VALOR. PTO.]:[AGRUP. VALOR. PTO.]]=$B78,IF(DATOS_[[Check Periodo Ref.]:[Check Periodo Ref.]]="Dentro",DATOS_[Conc.Sal.23]))))),
0)</f>
        <v>0</v>
      </c>
      <c r="AC79" s="111">
        <f t="array" ref="AC79">IFERROR(
MEDIAN((IF(DATOS_[[Sexo]:[Sexo]]=$B79,IF(DATOS_[[AGRUP. VALOR. PTO.]:[AGRUP. VALOR. PTO.]]=$B78,IF(DATOS_[[Check Periodo Ref.]:[Check Periodo Ref.]]="Dentro",DATOS_[Conc.Sal.24]))))),
0)</f>
        <v>0</v>
      </c>
      <c r="AD79" s="111">
        <f t="array" ref="AD79">IFERROR(
MEDIAN((IF(DATOS_[[Sexo]:[Sexo]]=$B79,IF(DATOS_[[AGRUP. VALOR. PTO.]:[AGRUP. VALOR. PTO.]]=$B78,IF(DATOS_[[Check Periodo Ref.]:[Check Periodo Ref.]]="Dentro",DATOS_[Conc.Sal.25]))))),
0)</f>
        <v>0</v>
      </c>
      <c r="AE79" s="111">
        <f t="array" ref="AE79">IFERROR(
MEDIAN((IF(DATOS_[[Sexo]:[Sexo]]=$B79,IF(DATOS_[[AGRUP. VALOR. PTO.]:[AGRUP. VALOR. PTO.]]=$B78,IF(DATOS_[[Check Periodo Ref.]:[Check Periodo Ref.]]="Dentro",DATOS_[Conc.Sal.26]))))),
0)</f>
        <v>0</v>
      </c>
      <c r="AF79" s="111">
        <f t="array" ref="AF79">IFERROR(
MEDIAN((IF(DATOS_[[Sexo]:[Sexo]]=$B79,IF(DATOS_[[AGRUP. VALOR. PTO.]:[AGRUP. VALOR. PTO.]]=$B78,IF(DATOS_[[Check Periodo Ref.]:[Check Periodo Ref.]]="Dentro",DATOS_[Conc.Sal.27]))))),
0)</f>
        <v>0</v>
      </c>
      <c r="AG79" s="111">
        <f t="array" ref="AG79">IFERROR(
MEDIAN((IF(DATOS_[[Sexo]:[Sexo]]=$B79,IF(DATOS_[[AGRUP. VALOR. PTO.]:[AGRUP. VALOR. PTO.]]=$B78,IF(DATOS_[[Check Periodo Ref.]:[Check Periodo Ref.]]="Dentro",DATOS_[Conc.Sal.28]))))),
0)</f>
        <v>0</v>
      </c>
      <c r="AH79" s="111">
        <f t="array" ref="AH79">IFERROR(
MEDIAN((IF(DATOS_[[Sexo]:[Sexo]]=$B79,IF(DATOS_[[AGRUP. VALOR. PTO.]:[AGRUP. VALOR. PTO.]]=$B78,IF(DATOS_[[Check Periodo Ref.]:[Check Periodo Ref.]]="Dentro",DATOS_[Conc.Sal.29]))))),
0)</f>
        <v>0</v>
      </c>
      <c r="AI79" s="111">
        <f t="array" ref="AI79">IFERROR(
MEDIAN((IF(DATOS_[[Sexo]:[Sexo]]=$B79,IF(DATOS_[[AGRUP. VALOR. PTO.]:[AGRUP. VALOR. PTO.]]=$B78,IF(DATOS_[[Check Periodo Ref.]:[Check Periodo Ref.]]="Dentro",DATOS_[Conc.Sal.30]))))),
0)</f>
        <v>0</v>
      </c>
      <c r="AJ79" s="112">
        <f t="array" ref="AJ79">IFERROR(
MEDIAN(IF(DATOS_[Sexo]=$B79,IF(DATOS_[AGRUP. VALOR. PTO.]=$B78,IF(DATOS_[Check Periodo Ref.]="Dentro",DATOS_[Tot COMPL.SAL Ef],FALSE)))),
0)</f>
        <v>0</v>
      </c>
      <c r="AK79" s="113">
        <f t="array" ref="AK79">IFERROR(
MEDIAN(IF(DATOS_[Sexo]=$B79,IF(DATOS_[AGRUP. VALOR. PTO.]=$B78,IF(DATOS_[Check Periodo Ref.]="Dentro",DATOS_[TOTAL SALARIO Ef],FALSE)))),
0)</f>
        <v>0</v>
      </c>
      <c r="AL79" s="114">
        <f t="array" ref="AL79">IFERROR(
MEDIAN((IF(DATOS_[[Sexo]:[Sexo]]=$B79,IF(DATOS_[[AGRUP. VALOR. PTO.]:[AGRUP. VALOR. PTO.]]=$B78,IF(DATOS_[[Check Periodo Ref.]:[Check Periodo Ref.]]="Dentro",DATOS_[C.Extra.01]))))),
0)</f>
        <v>0</v>
      </c>
      <c r="AM79" s="114">
        <f t="array" ref="AM79">IFERROR(
MEDIAN((IF(DATOS_[[Sexo]:[Sexo]]=$B79,IF(DATOS_[[AGRUP. VALOR. PTO.]:[AGRUP. VALOR. PTO.]]=$B78,IF(DATOS_[[Check Periodo Ref.]:[Check Periodo Ref.]]="Dentro",DATOS_[C.Extra.02]))))),
0)</f>
        <v>0</v>
      </c>
      <c r="AN79" s="114">
        <f t="array" ref="AN79">IFERROR(
MEDIAN((IF(DATOS_[[Sexo]:[Sexo]]=$B79,IF(DATOS_[[AGRUP. VALOR. PTO.]:[AGRUP. VALOR. PTO.]]=$B78,IF(DATOS_[[Check Periodo Ref.]:[Check Periodo Ref.]]="Dentro",DATOS_[C.Extra.03]))))),
0)</f>
        <v>0</v>
      </c>
      <c r="AO79" s="114">
        <f t="array" ref="AO79">IFERROR(
MEDIAN((IF(DATOS_[[Sexo]:[Sexo]]=$B79,IF(DATOS_[[AGRUP. VALOR. PTO.]:[AGRUP. VALOR. PTO.]]=$B78,IF(DATOS_[[Check Periodo Ref.]:[Check Periodo Ref.]]="Dentro",DATOS_[C.Extra.04]))))),
0)</f>
        <v>0</v>
      </c>
      <c r="AP79" s="114">
        <f t="array" ref="AP79">IFERROR(
MEDIAN((IF(DATOS_[[Sexo]:[Sexo]]=$B79,IF(DATOS_[[AGRUP. VALOR. PTO.]:[AGRUP. VALOR. PTO.]]=$B78,IF(DATOS_[[Check Periodo Ref.]:[Check Periodo Ref.]]="Dentro",DATOS_[C.Extra.05]))))),
0)</f>
        <v>0</v>
      </c>
      <c r="AQ79" s="115">
        <f t="array" ref="AQ79">IFERROR(
MEDIAN(IF(DATOS_[Sexo]=$B79,IF(DATOS_[AGRUP. VALOR. PTO.]=$B78,IF(DATOS_[Check Periodo Ref.]="Dentro",DATOS_[Tot Extrasalarial Ef],FALSE)))),
0)</f>
        <v>0</v>
      </c>
      <c r="AR79" s="116">
        <f t="array" ref="AR79">IFERROR(
MEDIAN(IF(DATOS_[Sexo]=$B79,IF(DATOS_[AGRUP. VALOR. PTO.]=$B78,IF(DATOS_[Check Periodo Ref.]="Dentro",DATOS_[TOTAL Retrib Ef],FALSE)))),
0)</f>
        <v>0</v>
      </c>
    </row>
    <row r="80" spans="1:44" hidden="1" x14ac:dyDescent="0.3">
      <c r="A80" s="42" t="str">
        <f t="shared" ref="A80" si="90">+A79</f>
        <v>[ocultar]</v>
      </c>
      <c r="B80" s="34" t="s">
        <v>163</v>
      </c>
      <c r="C80" s="33">
        <f t="array" ref="C80">SUM(IF($B80=DATOS_[Sexo],
IF($B78=DATOS_[AGRUP. VALOR. PTO.],
IF("Dentro"=DATOS_[Check Periodo Ref.],
1/(COUNTIFS(DATOS_[Sexo],$B80,DATOS_[AGRUP. VALOR. PTO.],$B78,DATOS_[Check Periodo Ref.],"Dentro",DATOS_[id],DATOS_[id]))))))</f>
        <v>0</v>
      </c>
      <c r="D80" s="35">
        <f>COUNTIFS(DATOS_[AGRUP. VALOR. PTO.],$B78,DATOS_[Sexo],$B80,DATOS_[Check Periodo Ref.],"Dentro")</f>
        <v>0</v>
      </c>
      <c r="E80" s="110">
        <f t="array" ref="E80">IFERROR(
MEDIAN(IF(DATOS_[Sexo]=$B80,IF(DATOS_[AGRUP. VALOR. PTO.]=$B78,IF(DATOS_[Check Periodo Ref.]="Dentro",DATOS_[SALARIO BASE Ef],FALSE)))),
0)</f>
        <v>0</v>
      </c>
      <c r="F80" s="111">
        <f t="array" ref="F80">IFERROR(
MEDIAN((IF(DATOS_[[Sexo]:[Sexo]]=$B80,IF(DATOS_[[AGRUP. VALOR. PTO.]:[AGRUP. VALOR. PTO.]]=$B78,IF(DATOS_[[Check Periodo Ref.]:[Check Periodo Ref.]]="Dentro",DATOS_[Conc.Sal.01]))))),
0)</f>
        <v>0</v>
      </c>
      <c r="G80" s="111">
        <f t="array" ref="G80">IFERROR(
MEDIAN((IF(DATOS_[[Sexo]:[Sexo]]=$B80,IF(DATOS_[[AGRUP. VALOR. PTO.]:[AGRUP. VALOR. PTO.]]=$B78,IF(DATOS_[[Check Periodo Ref.]:[Check Periodo Ref.]]="Dentro",DATOS_[Conc.Sal.02]))))),
0)</f>
        <v>0</v>
      </c>
      <c r="H80" s="111">
        <f t="array" ref="H80">IFERROR(
MEDIAN((IF(DATOS_[[Sexo]:[Sexo]]=$B80,IF(DATOS_[[AGRUP. VALOR. PTO.]:[AGRUP. VALOR. PTO.]]=$B78,IF(DATOS_[[Check Periodo Ref.]:[Check Periodo Ref.]]="Dentro",DATOS_[Conc.Sal.03]))))),
0)</f>
        <v>0</v>
      </c>
      <c r="I80" s="111">
        <f t="array" ref="I80">IFERROR(
MEDIAN((IF(DATOS_[[Sexo]:[Sexo]]=$B80,IF(DATOS_[[AGRUP. VALOR. PTO.]:[AGRUP. VALOR. PTO.]]=$B78,IF(DATOS_[[Check Periodo Ref.]:[Check Periodo Ref.]]="Dentro",DATOS_[Conc.Sal.04]))))),
0)</f>
        <v>0</v>
      </c>
      <c r="J80" s="111">
        <f t="array" ref="J80">IFERROR(
MEDIAN((IF(DATOS_[[Sexo]:[Sexo]]=$B80,IF(DATOS_[[AGRUP. VALOR. PTO.]:[AGRUP. VALOR. PTO.]]=$B78,IF(DATOS_[[Check Periodo Ref.]:[Check Periodo Ref.]]="Dentro",DATOS_[Conc.Sal.05]))))),
0)</f>
        <v>0</v>
      </c>
      <c r="K80" s="111">
        <f t="array" ref="K80">IFERROR(
MEDIAN((IF(DATOS_[[Sexo]:[Sexo]]=$B80,IF(DATOS_[[AGRUP. VALOR. PTO.]:[AGRUP. VALOR. PTO.]]=$B78,IF(DATOS_[[Check Periodo Ref.]:[Check Periodo Ref.]]="Dentro",DATOS_[Conc.Sal.06]))))),
0)</f>
        <v>0</v>
      </c>
      <c r="L80" s="111">
        <f t="array" ref="L80">IFERROR(
MEDIAN((IF(DATOS_[[Sexo]:[Sexo]]=$B80,IF(DATOS_[[AGRUP. VALOR. PTO.]:[AGRUP. VALOR. PTO.]]=$B78,IF(DATOS_[[Check Periodo Ref.]:[Check Periodo Ref.]]="Dentro",DATOS_[Conc.Sal.07]))))),
0)</f>
        <v>0</v>
      </c>
      <c r="M80" s="111">
        <f t="array" ref="M80">IFERROR(
MEDIAN((IF(DATOS_[[Sexo]:[Sexo]]=$B80,IF(DATOS_[[AGRUP. VALOR. PTO.]:[AGRUP. VALOR. PTO.]]=$B78,IF(DATOS_[[Check Periodo Ref.]:[Check Periodo Ref.]]="Dentro",DATOS_[Conc.Sal.08]))))),
0)</f>
        <v>0</v>
      </c>
      <c r="N80" s="111">
        <f t="array" ref="N80">IFERROR(
MEDIAN((IF(DATOS_[[Sexo]:[Sexo]]=$B80,IF(DATOS_[[AGRUP. VALOR. PTO.]:[AGRUP. VALOR. PTO.]]=$B78,IF(DATOS_[[Check Periodo Ref.]:[Check Periodo Ref.]]="Dentro",DATOS_[Conc.Sal.09]))))),
0)</f>
        <v>0</v>
      </c>
      <c r="O80" s="111">
        <f t="array" ref="O80">IFERROR(
MEDIAN((IF(DATOS_[[Sexo]:[Sexo]]=$B80,IF(DATOS_[[AGRUP. VALOR. PTO.]:[AGRUP. VALOR. PTO.]]=$B78,IF(DATOS_[[Check Periodo Ref.]:[Check Periodo Ref.]]="Dentro",DATOS_[Conc.Sal.10]))))),
0)</f>
        <v>0</v>
      </c>
      <c r="P80" s="111">
        <f t="array" ref="P80">IFERROR(
MEDIAN((IF(DATOS_[[Sexo]:[Sexo]]=$B80,IF(DATOS_[[AGRUP. VALOR. PTO.]:[AGRUP. VALOR. PTO.]]=$B78,IF(DATOS_[[Check Periodo Ref.]:[Check Periodo Ref.]]="Dentro",DATOS_[Conc.Sal.11]))))),
0)</f>
        <v>0</v>
      </c>
      <c r="Q80" s="111">
        <f t="array" ref="Q80">IFERROR(
MEDIAN((IF(DATOS_[[Sexo]:[Sexo]]=$B80,IF(DATOS_[[AGRUP. VALOR. PTO.]:[AGRUP. VALOR. PTO.]]=$B78,IF(DATOS_[[Check Periodo Ref.]:[Check Periodo Ref.]]="Dentro",DATOS_[Conc.Sal.12]))))),
0)</f>
        <v>0</v>
      </c>
      <c r="R80" s="111">
        <f t="array" ref="R80">IFERROR(
MEDIAN((IF(DATOS_[[Sexo]:[Sexo]]=$B80,IF(DATOS_[[AGRUP. VALOR. PTO.]:[AGRUP. VALOR. PTO.]]=$B78,IF(DATOS_[[Check Periodo Ref.]:[Check Periodo Ref.]]="Dentro",DATOS_[Conc.Sal.13]))))),
0)</f>
        <v>0</v>
      </c>
      <c r="S80" s="111">
        <f t="array" ref="S80">IFERROR(
MEDIAN((IF(DATOS_[[Sexo]:[Sexo]]=$B80,IF(DATOS_[[AGRUP. VALOR. PTO.]:[AGRUP. VALOR. PTO.]]=$B78,IF(DATOS_[[Check Periodo Ref.]:[Check Periodo Ref.]]="Dentro",DATOS_[Conc.Sal.14]))))),
0)</f>
        <v>0</v>
      </c>
      <c r="T80" s="111">
        <f t="array" ref="T80">IFERROR(
MEDIAN((IF(DATOS_[[Sexo]:[Sexo]]=$B80,IF(DATOS_[[AGRUP. VALOR. PTO.]:[AGRUP. VALOR. PTO.]]=$B78,IF(DATOS_[[Check Periodo Ref.]:[Check Periodo Ref.]]="Dentro",DATOS_[Conc.Sal.15]))))),
0)</f>
        <v>0</v>
      </c>
      <c r="U80" s="111">
        <f t="array" ref="U80">IFERROR(
MEDIAN((IF(DATOS_[[Sexo]:[Sexo]]=$B80,IF(DATOS_[[AGRUP. VALOR. PTO.]:[AGRUP. VALOR. PTO.]]=$B78,IF(DATOS_[[Check Periodo Ref.]:[Check Periodo Ref.]]="Dentro",DATOS_[Conc.Sal.16]))))),
0)</f>
        <v>0</v>
      </c>
      <c r="V80" s="111">
        <f t="array" ref="V80">IFERROR(
MEDIAN((IF(DATOS_[[Sexo]:[Sexo]]=$B80,IF(DATOS_[[AGRUP. VALOR. PTO.]:[AGRUP. VALOR. PTO.]]=$B78,IF(DATOS_[[Check Periodo Ref.]:[Check Periodo Ref.]]="Dentro",DATOS_[Conc.Sal.17]))))),
0)</f>
        <v>0</v>
      </c>
      <c r="W80" s="111">
        <f t="array" ref="W80">IFERROR(
MEDIAN((IF(DATOS_[[Sexo]:[Sexo]]=$B80,IF(DATOS_[[AGRUP. VALOR. PTO.]:[AGRUP. VALOR. PTO.]]=$B78,IF(DATOS_[[Check Periodo Ref.]:[Check Periodo Ref.]]="Dentro",DATOS_[Conc.Sal.18]))))),
0)</f>
        <v>0</v>
      </c>
      <c r="X80" s="111">
        <f t="array" ref="X80">IFERROR(
MEDIAN((IF(DATOS_[[Sexo]:[Sexo]]=$B80,IF(DATOS_[[AGRUP. VALOR. PTO.]:[AGRUP. VALOR. PTO.]]=$B78,IF(DATOS_[[Check Periodo Ref.]:[Check Periodo Ref.]]="Dentro",DATOS_[Conc.Sal.19]))))),
0)</f>
        <v>0</v>
      </c>
      <c r="Y80" s="111">
        <f t="array" ref="Y80">IFERROR(
MEDIAN((IF(DATOS_[[Sexo]:[Sexo]]=$B80,IF(DATOS_[[AGRUP. VALOR. PTO.]:[AGRUP. VALOR. PTO.]]=$B78,IF(DATOS_[[Check Periodo Ref.]:[Check Periodo Ref.]]="Dentro",DATOS_[Conc.Sal.20]))))),
0)</f>
        <v>0</v>
      </c>
      <c r="Z80" s="111">
        <f t="array" ref="Z80">IFERROR(
MEDIAN((IF(DATOS_[[Sexo]:[Sexo]]=$B80,IF(DATOS_[[AGRUP. VALOR. PTO.]:[AGRUP. VALOR. PTO.]]=$B78,IF(DATOS_[[Check Periodo Ref.]:[Check Periodo Ref.]]="Dentro",DATOS_[Conc.Sal.21]))))),
0)</f>
        <v>0</v>
      </c>
      <c r="AA80" s="111">
        <f t="array" ref="AA80">IFERROR(
MEDIAN((IF(DATOS_[[Sexo]:[Sexo]]=$B80,IF(DATOS_[[AGRUP. VALOR. PTO.]:[AGRUP. VALOR. PTO.]]=$B78,IF(DATOS_[[Check Periodo Ref.]:[Check Periodo Ref.]]="Dentro",DATOS_[Conc.Sal.22]))))),
0)</f>
        <v>0</v>
      </c>
      <c r="AB80" s="111">
        <f t="array" ref="AB80">IFERROR(
MEDIAN((IF(DATOS_[[Sexo]:[Sexo]]=$B80,IF(DATOS_[[AGRUP. VALOR. PTO.]:[AGRUP. VALOR. PTO.]]=$B78,IF(DATOS_[[Check Periodo Ref.]:[Check Periodo Ref.]]="Dentro",DATOS_[Conc.Sal.23]))))),
0)</f>
        <v>0</v>
      </c>
      <c r="AC80" s="111">
        <f t="array" ref="AC80">IFERROR(
MEDIAN((IF(DATOS_[[Sexo]:[Sexo]]=$B80,IF(DATOS_[[AGRUP. VALOR. PTO.]:[AGRUP. VALOR. PTO.]]=$B78,IF(DATOS_[[Check Periodo Ref.]:[Check Periodo Ref.]]="Dentro",DATOS_[Conc.Sal.24]))))),
0)</f>
        <v>0</v>
      </c>
      <c r="AD80" s="111">
        <f t="array" ref="AD80">IFERROR(
MEDIAN((IF(DATOS_[[Sexo]:[Sexo]]=$B80,IF(DATOS_[[AGRUP. VALOR. PTO.]:[AGRUP. VALOR. PTO.]]=$B78,IF(DATOS_[[Check Periodo Ref.]:[Check Periodo Ref.]]="Dentro",DATOS_[Conc.Sal.25]))))),
0)</f>
        <v>0</v>
      </c>
      <c r="AE80" s="111">
        <f t="array" ref="AE80">IFERROR(
MEDIAN((IF(DATOS_[[Sexo]:[Sexo]]=$B80,IF(DATOS_[[AGRUP. VALOR. PTO.]:[AGRUP. VALOR. PTO.]]=$B78,IF(DATOS_[[Check Periodo Ref.]:[Check Periodo Ref.]]="Dentro",DATOS_[Conc.Sal.26]))))),
0)</f>
        <v>0</v>
      </c>
      <c r="AF80" s="111">
        <f t="array" ref="AF80">IFERROR(
MEDIAN((IF(DATOS_[[Sexo]:[Sexo]]=$B80,IF(DATOS_[[AGRUP. VALOR. PTO.]:[AGRUP. VALOR. PTO.]]=$B78,IF(DATOS_[[Check Periodo Ref.]:[Check Periodo Ref.]]="Dentro",DATOS_[Conc.Sal.27]))))),
0)</f>
        <v>0</v>
      </c>
      <c r="AG80" s="111">
        <f t="array" ref="AG80">IFERROR(
MEDIAN((IF(DATOS_[[Sexo]:[Sexo]]=$B80,IF(DATOS_[[AGRUP. VALOR. PTO.]:[AGRUP. VALOR. PTO.]]=$B78,IF(DATOS_[[Check Periodo Ref.]:[Check Periodo Ref.]]="Dentro",DATOS_[Conc.Sal.28]))))),
0)</f>
        <v>0</v>
      </c>
      <c r="AH80" s="111">
        <f t="array" ref="AH80">IFERROR(
MEDIAN((IF(DATOS_[[Sexo]:[Sexo]]=$B80,IF(DATOS_[[AGRUP. VALOR. PTO.]:[AGRUP. VALOR. PTO.]]=$B78,IF(DATOS_[[Check Periodo Ref.]:[Check Periodo Ref.]]="Dentro",DATOS_[Conc.Sal.29]))))),
0)</f>
        <v>0</v>
      </c>
      <c r="AI80" s="111">
        <f t="array" ref="AI80">IFERROR(
MEDIAN((IF(DATOS_[[Sexo]:[Sexo]]=$B80,IF(DATOS_[[AGRUP. VALOR. PTO.]:[AGRUP. VALOR. PTO.]]=$B78,IF(DATOS_[[Check Periodo Ref.]:[Check Periodo Ref.]]="Dentro",DATOS_[Conc.Sal.30]))))),
0)</f>
        <v>0</v>
      </c>
      <c r="AJ80" s="112">
        <f t="array" ref="AJ80">IFERROR(
MEDIAN(IF(DATOS_[Sexo]=$B80,IF(DATOS_[AGRUP. VALOR. PTO.]=$B78,IF(DATOS_[Check Periodo Ref.]="Dentro",DATOS_[Tot COMPL.SAL Ef],FALSE)))),
0)</f>
        <v>0</v>
      </c>
      <c r="AK80" s="113">
        <f t="array" ref="AK80">IFERROR(
MEDIAN(IF(DATOS_[Sexo]=$B80,IF(DATOS_[AGRUP. VALOR. PTO.]=$B78,IF(DATOS_[Check Periodo Ref.]="Dentro",DATOS_[TOTAL SALARIO Ef],FALSE)))),
0)</f>
        <v>0</v>
      </c>
      <c r="AL80" s="114">
        <f t="array" ref="AL80">IFERROR(
MEDIAN((IF(DATOS_[[Sexo]:[Sexo]]=$B80,IF(DATOS_[[AGRUP. VALOR. PTO.]:[AGRUP. VALOR. PTO.]]=$B78,IF(DATOS_[[Check Periodo Ref.]:[Check Periodo Ref.]]="Dentro",DATOS_[C.Extra.01]))))),
0)</f>
        <v>0</v>
      </c>
      <c r="AM80" s="114">
        <f t="array" ref="AM80">IFERROR(
MEDIAN((IF(DATOS_[[Sexo]:[Sexo]]=$B80,IF(DATOS_[[AGRUP. VALOR. PTO.]:[AGRUP. VALOR. PTO.]]=$B78,IF(DATOS_[[Check Periodo Ref.]:[Check Periodo Ref.]]="Dentro",DATOS_[C.Extra.02]))))),
0)</f>
        <v>0</v>
      </c>
      <c r="AN80" s="114">
        <f t="array" ref="AN80">IFERROR(
MEDIAN((IF(DATOS_[[Sexo]:[Sexo]]=$B80,IF(DATOS_[[AGRUP. VALOR. PTO.]:[AGRUP. VALOR. PTO.]]=$B78,IF(DATOS_[[Check Periodo Ref.]:[Check Periodo Ref.]]="Dentro",DATOS_[C.Extra.03]))))),
0)</f>
        <v>0</v>
      </c>
      <c r="AO80" s="114">
        <f t="array" ref="AO80">IFERROR(
MEDIAN((IF(DATOS_[[Sexo]:[Sexo]]=$B80,IF(DATOS_[[AGRUP. VALOR. PTO.]:[AGRUP. VALOR. PTO.]]=$B78,IF(DATOS_[[Check Periodo Ref.]:[Check Periodo Ref.]]="Dentro",DATOS_[C.Extra.04]))))),
0)</f>
        <v>0</v>
      </c>
      <c r="AP80" s="114">
        <f t="array" ref="AP80">IFERROR(
MEDIAN((IF(DATOS_[[Sexo]:[Sexo]]=$B80,IF(DATOS_[[AGRUP. VALOR. PTO.]:[AGRUP. VALOR. PTO.]]=$B78,IF(DATOS_[[Check Periodo Ref.]:[Check Periodo Ref.]]="Dentro",DATOS_[C.Extra.05]))))),
0)</f>
        <v>0</v>
      </c>
      <c r="AQ80" s="115">
        <f t="array" ref="AQ80">IFERROR(
MEDIAN(IF(DATOS_[Sexo]=$B80,IF(DATOS_[AGRUP. VALOR. PTO.]=$B78,IF(DATOS_[Check Periodo Ref.]="Dentro",DATOS_[Tot Extrasalarial Ef],FALSE)))),
0)</f>
        <v>0</v>
      </c>
      <c r="AR80" s="116">
        <f t="array" ref="AR80">IFERROR(
MEDIAN(IF(DATOS_[Sexo]=$B80,IF(DATOS_[AGRUP. VALOR. PTO.]=$B78,IF(DATOS_[Check Periodo Ref.]="Dentro",DATOS_[TOTAL Retrib Ef],FALSE)))),
0)</f>
        <v>0</v>
      </c>
    </row>
    <row r="81" spans="1:44" ht="17.25" hidden="1" thickBot="1" x14ac:dyDescent="0.35">
      <c r="A81" s="42" t="str">
        <f t="shared" ref="A81" si="91">+A82</f>
        <v>[ocultar]</v>
      </c>
      <c r="B81" s="40" t="s">
        <v>282</v>
      </c>
      <c r="C81" s="109"/>
      <c r="D81" s="41"/>
      <c r="E81" s="119" t="str">
        <f t="shared" ref="E81:AR81" si="92">IFERROR((E82-E83)/E82,"")</f>
        <v/>
      </c>
      <c r="F81" s="123" t="str">
        <f t="shared" si="92"/>
        <v/>
      </c>
      <c r="G81" s="123" t="str">
        <f t="shared" si="92"/>
        <v/>
      </c>
      <c r="H81" s="123" t="str">
        <f t="shared" si="92"/>
        <v/>
      </c>
      <c r="I81" s="123" t="str">
        <f t="shared" si="92"/>
        <v/>
      </c>
      <c r="J81" s="123" t="str">
        <f t="shared" si="92"/>
        <v/>
      </c>
      <c r="K81" s="123" t="str">
        <f t="shared" si="92"/>
        <v/>
      </c>
      <c r="L81" s="123" t="str">
        <f t="shared" si="92"/>
        <v/>
      </c>
      <c r="M81" s="123" t="str">
        <f t="shared" si="92"/>
        <v/>
      </c>
      <c r="N81" s="123" t="str">
        <f t="shared" si="92"/>
        <v/>
      </c>
      <c r="O81" s="123" t="str">
        <f t="shared" si="92"/>
        <v/>
      </c>
      <c r="P81" s="123" t="str">
        <f t="shared" si="92"/>
        <v/>
      </c>
      <c r="Q81" s="123" t="str">
        <f t="shared" si="92"/>
        <v/>
      </c>
      <c r="R81" s="123" t="str">
        <f t="shared" si="92"/>
        <v/>
      </c>
      <c r="S81" s="123" t="str">
        <f t="shared" si="92"/>
        <v/>
      </c>
      <c r="T81" s="123" t="str">
        <f t="shared" si="92"/>
        <v/>
      </c>
      <c r="U81" s="123" t="str">
        <f t="shared" si="92"/>
        <v/>
      </c>
      <c r="V81" s="122" t="str">
        <f t="shared" si="92"/>
        <v/>
      </c>
      <c r="W81" s="122" t="str">
        <f t="shared" si="92"/>
        <v/>
      </c>
      <c r="X81" s="122" t="str">
        <f t="shared" si="92"/>
        <v/>
      </c>
      <c r="Y81" s="122" t="str">
        <f t="shared" si="92"/>
        <v/>
      </c>
      <c r="Z81" s="122" t="str">
        <f t="shared" si="92"/>
        <v/>
      </c>
      <c r="AA81" s="122" t="str">
        <f t="shared" si="92"/>
        <v/>
      </c>
      <c r="AB81" s="122" t="str">
        <f t="shared" si="92"/>
        <v/>
      </c>
      <c r="AC81" s="122" t="str">
        <f t="shared" si="92"/>
        <v/>
      </c>
      <c r="AD81" s="122" t="str">
        <f t="shared" si="92"/>
        <v/>
      </c>
      <c r="AE81" s="122" t="str">
        <f t="shared" si="92"/>
        <v/>
      </c>
      <c r="AF81" s="122" t="str">
        <f t="shared" si="92"/>
        <v/>
      </c>
      <c r="AG81" s="122" t="str">
        <f t="shared" si="92"/>
        <v/>
      </c>
      <c r="AH81" s="122" t="str">
        <f t="shared" si="92"/>
        <v/>
      </c>
      <c r="AI81" s="122" t="str">
        <f t="shared" si="92"/>
        <v/>
      </c>
      <c r="AJ81" s="124" t="str">
        <f t="shared" si="92"/>
        <v/>
      </c>
      <c r="AK81" s="128" t="str">
        <f t="shared" si="92"/>
        <v/>
      </c>
      <c r="AL81" s="125" t="str">
        <f t="shared" si="92"/>
        <v/>
      </c>
      <c r="AM81" s="125" t="str">
        <f t="shared" si="92"/>
        <v/>
      </c>
      <c r="AN81" s="125" t="str">
        <f t="shared" si="92"/>
        <v/>
      </c>
      <c r="AO81" s="125" t="str">
        <f t="shared" si="92"/>
        <v/>
      </c>
      <c r="AP81" s="125" t="str">
        <f t="shared" si="92"/>
        <v/>
      </c>
      <c r="AQ81" s="126" t="str">
        <f t="shared" si="92"/>
        <v/>
      </c>
      <c r="AR81" s="127" t="str">
        <f t="shared" si="92"/>
        <v/>
      </c>
    </row>
    <row r="82" spans="1:44" hidden="1" x14ac:dyDescent="0.3">
      <c r="A82" s="42" t="str">
        <f t="shared" ref="A82" si="93">+IF(C82+C83=0,"[ocultar]","")</f>
        <v>[ocultar]</v>
      </c>
      <c r="B82" s="34" t="s">
        <v>162</v>
      </c>
      <c r="C82" s="33">
        <f t="array" ref="C82">SUM(IF($B82=DATOS_[Sexo],
IF($B81=DATOS_[AGRUP. VALOR. PTO.],
IF("Dentro"=DATOS_[Check Periodo Ref.],
1/(COUNTIFS(DATOS_[Sexo],$B82,DATOS_[AGRUP. VALOR. PTO.],$B81,DATOS_[Check Periodo Ref.],"Dentro",DATOS_[id],DATOS_[id]))))))</f>
        <v>0</v>
      </c>
      <c r="D82" s="35">
        <f>COUNTIFS(DATOS_[AGRUP. VALOR. PTO.],$B81,DATOS_[Sexo],$B82,DATOS_[Check Periodo Ref.],"Dentro")</f>
        <v>0</v>
      </c>
      <c r="E82" s="110">
        <f t="array" ref="E82">IFERROR(
MEDIAN(IF(DATOS_[Sexo]=$B82,IF(DATOS_[AGRUP. VALOR. PTO.]=$B81,IF(DATOS_[Check Periodo Ref.]="Dentro",DATOS_[SALARIO BASE Ef],FALSE)))),
0)</f>
        <v>0</v>
      </c>
      <c r="F82" s="111">
        <f t="array" ref="F82">IFERROR(
MEDIAN((IF(DATOS_[[Sexo]:[Sexo]]=$B82,IF(DATOS_[[AGRUP. VALOR. PTO.]:[AGRUP. VALOR. PTO.]]=$B81,IF(DATOS_[[Check Periodo Ref.]:[Check Periodo Ref.]]="Dentro",DATOS_[Conc.Sal.01]))))),
0)</f>
        <v>0</v>
      </c>
      <c r="G82" s="111">
        <f t="array" ref="G82">IFERROR(
MEDIAN((IF(DATOS_[[Sexo]:[Sexo]]=$B82,IF(DATOS_[[AGRUP. VALOR. PTO.]:[AGRUP. VALOR. PTO.]]=$B81,IF(DATOS_[[Check Periodo Ref.]:[Check Periodo Ref.]]="Dentro",DATOS_[Conc.Sal.02]))))),
0)</f>
        <v>0</v>
      </c>
      <c r="H82" s="111">
        <f t="array" ref="H82">IFERROR(
MEDIAN((IF(DATOS_[[Sexo]:[Sexo]]=$B82,IF(DATOS_[[AGRUP. VALOR. PTO.]:[AGRUP. VALOR. PTO.]]=$B81,IF(DATOS_[[Check Periodo Ref.]:[Check Periodo Ref.]]="Dentro",DATOS_[Conc.Sal.03]))))),
0)</f>
        <v>0</v>
      </c>
      <c r="I82" s="111">
        <f t="array" ref="I82">IFERROR(
MEDIAN((IF(DATOS_[[Sexo]:[Sexo]]=$B82,IF(DATOS_[[AGRUP. VALOR. PTO.]:[AGRUP. VALOR. PTO.]]=$B81,IF(DATOS_[[Check Periodo Ref.]:[Check Periodo Ref.]]="Dentro",DATOS_[Conc.Sal.04]))))),
0)</f>
        <v>0</v>
      </c>
      <c r="J82" s="111">
        <f t="array" ref="J82">IFERROR(
MEDIAN((IF(DATOS_[[Sexo]:[Sexo]]=$B82,IF(DATOS_[[AGRUP. VALOR. PTO.]:[AGRUP. VALOR. PTO.]]=$B81,IF(DATOS_[[Check Periodo Ref.]:[Check Periodo Ref.]]="Dentro",DATOS_[Conc.Sal.05]))))),
0)</f>
        <v>0</v>
      </c>
      <c r="K82" s="111">
        <f t="array" ref="K82">IFERROR(
MEDIAN((IF(DATOS_[[Sexo]:[Sexo]]=$B82,IF(DATOS_[[AGRUP. VALOR. PTO.]:[AGRUP. VALOR. PTO.]]=$B81,IF(DATOS_[[Check Periodo Ref.]:[Check Periodo Ref.]]="Dentro",DATOS_[Conc.Sal.06]))))),
0)</f>
        <v>0</v>
      </c>
      <c r="L82" s="111">
        <f t="array" ref="L82">IFERROR(
MEDIAN((IF(DATOS_[[Sexo]:[Sexo]]=$B82,IF(DATOS_[[AGRUP. VALOR. PTO.]:[AGRUP. VALOR. PTO.]]=$B81,IF(DATOS_[[Check Periodo Ref.]:[Check Periodo Ref.]]="Dentro",DATOS_[Conc.Sal.07]))))),
0)</f>
        <v>0</v>
      </c>
      <c r="M82" s="111">
        <f t="array" ref="M82">IFERROR(
MEDIAN((IF(DATOS_[[Sexo]:[Sexo]]=$B82,IF(DATOS_[[AGRUP. VALOR. PTO.]:[AGRUP. VALOR. PTO.]]=$B81,IF(DATOS_[[Check Periodo Ref.]:[Check Periodo Ref.]]="Dentro",DATOS_[Conc.Sal.08]))))),
0)</f>
        <v>0</v>
      </c>
      <c r="N82" s="111">
        <f t="array" ref="N82">IFERROR(
MEDIAN((IF(DATOS_[[Sexo]:[Sexo]]=$B82,IF(DATOS_[[AGRUP. VALOR. PTO.]:[AGRUP. VALOR. PTO.]]=$B81,IF(DATOS_[[Check Periodo Ref.]:[Check Periodo Ref.]]="Dentro",DATOS_[Conc.Sal.09]))))),
0)</f>
        <v>0</v>
      </c>
      <c r="O82" s="111">
        <f t="array" ref="O82">IFERROR(
MEDIAN((IF(DATOS_[[Sexo]:[Sexo]]=$B82,IF(DATOS_[[AGRUP. VALOR. PTO.]:[AGRUP. VALOR. PTO.]]=$B81,IF(DATOS_[[Check Periodo Ref.]:[Check Periodo Ref.]]="Dentro",DATOS_[Conc.Sal.10]))))),
0)</f>
        <v>0</v>
      </c>
      <c r="P82" s="111">
        <f t="array" ref="P82">IFERROR(
MEDIAN((IF(DATOS_[[Sexo]:[Sexo]]=$B82,IF(DATOS_[[AGRUP. VALOR. PTO.]:[AGRUP. VALOR. PTO.]]=$B81,IF(DATOS_[[Check Periodo Ref.]:[Check Periodo Ref.]]="Dentro",DATOS_[Conc.Sal.11]))))),
0)</f>
        <v>0</v>
      </c>
      <c r="Q82" s="111">
        <f t="array" ref="Q82">IFERROR(
MEDIAN((IF(DATOS_[[Sexo]:[Sexo]]=$B82,IF(DATOS_[[AGRUP. VALOR. PTO.]:[AGRUP. VALOR. PTO.]]=$B81,IF(DATOS_[[Check Periodo Ref.]:[Check Periodo Ref.]]="Dentro",DATOS_[Conc.Sal.12]))))),
0)</f>
        <v>0</v>
      </c>
      <c r="R82" s="111">
        <f t="array" ref="R82">IFERROR(
MEDIAN((IF(DATOS_[[Sexo]:[Sexo]]=$B82,IF(DATOS_[[AGRUP. VALOR. PTO.]:[AGRUP. VALOR. PTO.]]=$B81,IF(DATOS_[[Check Periodo Ref.]:[Check Periodo Ref.]]="Dentro",DATOS_[Conc.Sal.13]))))),
0)</f>
        <v>0</v>
      </c>
      <c r="S82" s="111">
        <f t="array" ref="S82">IFERROR(
MEDIAN((IF(DATOS_[[Sexo]:[Sexo]]=$B82,IF(DATOS_[[AGRUP. VALOR. PTO.]:[AGRUP. VALOR. PTO.]]=$B81,IF(DATOS_[[Check Periodo Ref.]:[Check Periodo Ref.]]="Dentro",DATOS_[Conc.Sal.14]))))),
0)</f>
        <v>0</v>
      </c>
      <c r="T82" s="111">
        <f t="array" ref="T82">IFERROR(
MEDIAN((IF(DATOS_[[Sexo]:[Sexo]]=$B82,IF(DATOS_[[AGRUP. VALOR. PTO.]:[AGRUP. VALOR. PTO.]]=$B81,IF(DATOS_[[Check Periodo Ref.]:[Check Periodo Ref.]]="Dentro",DATOS_[Conc.Sal.15]))))),
0)</f>
        <v>0</v>
      </c>
      <c r="U82" s="111">
        <f t="array" ref="U82">IFERROR(
MEDIAN((IF(DATOS_[[Sexo]:[Sexo]]=$B82,IF(DATOS_[[AGRUP. VALOR. PTO.]:[AGRUP. VALOR. PTO.]]=$B81,IF(DATOS_[[Check Periodo Ref.]:[Check Periodo Ref.]]="Dentro",DATOS_[Conc.Sal.16]))))),
0)</f>
        <v>0</v>
      </c>
      <c r="V82" s="111">
        <f t="array" ref="V82">IFERROR(
MEDIAN((IF(DATOS_[[Sexo]:[Sexo]]=$B82,IF(DATOS_[[AGRUP. VALOR. PTO.]:[AGRUP. VALOR. PTO.]]=$B81,IF(DATOS_[[Check Periodo Ref.]:[Check Periodo Ref.]]="Dentro",DATOS_[Conc.Sal.17]))))),
0)</f>
        <v>0</v>
      </c>
      <c r="W82" s="111">
        <f t="array" ref="W82">IFERROR(
MEDIAN((IF(DATOS_[[Sexo]:[Sexo]]=$B82,IF(DATOS_[[AGRUP. VALOR. PTO.]:[AGRUP. VALOR. PTO.]]=$B81,IF(DATOS_[[Check Periodo Ref.]:[Check Periodo Ref.]]="Dentro",DATOS_[Conc.Sal.18]))))),
0)</f>
        <v>0</v>
      </c>
      <c r="X82" s="111">
        <f t="array" ref="X82">IFERROR(
MEDIAN((IF(DATOS_[[Sexo]:[Sexo]]=$B82,IF(DATOS_[[AGRUP. VALOR. PTO.]:[AGRUP. VALOR. PTO.]]=$B81,IF(DATOS_[[Check Periodo Ref.]:[Check Periodo Ref.]]="Dentro",DATOS_[Conc.Sal.19]))))),
0)</f>
        <v>0</v>
      </c>
      <c r="Y82" s="111">
        <f t="array" ref="Y82">IFERROR(
MEDIAN((IF(DATOS_[[Sexo]:[Sexo]]=$B82,IF(DATOS_[[AGRUP. VALOR. PTO.]:[AGRUP. VALOR. PTO.]]=$B81,IF(DATOS_[[Check Periodo Ref.]:[Check Periodo Ref.]]="Dentro",DATOS_[Conc.Sal.20]))))),
0)</f>
        <v>0</v>
      </c>
      <c r="Z82" s="111">
        <f t="array" ref="Z82">IFERROR(
MEDIAN((IF(DATOS_[[Sexo]:[Sexo]]=$B82,IF(DATOS_[[AGRUP. VALOR. PTO.]:[AGRUP. VALOR. PTO.]]=$B81,IF(DATOS_[[Check Periodo Ref.]:[Check Periodo Ref.]]="Dentro",DATOS_[Conc.Sal.21]))))),
0)</f>
        <v>0</v>
      </c>
      <c r="AA82" s="111">
        <f t="array" ref="AA82">IFERROR(
MEDIAN((IF(DATOS_[[Sexo]:[Sexo]]=$B82,IF(DATOS_[[AGRUP. VALOR. PTO.]:[AGRUP. VALOR. PTO.]]=$B81,IF(DATOS_[[Check Periodo Ref.]:[Check Periodo Ref.]]="Dentro",DATOS_[Conc.Sal.22]))))),
0)</f>
        <v>0</v>
      </c>
      <c r="AB82" s="111">
        <f t="array" ref="AB82">IFERROR(
MEDIAN((IF(DATOS_[[Sexo]:[Sexo]]=$B82,IF(DATOS_[[AGRUP. VALOR. PTO.]:[AGRUP. VALOR. PTO.]]=$B81,IF(DATOS_[[Check Periodo Ref.]:[Check Periodo Ref.]]="Dentro",DATOS_[Conc.Sal.23]))))),
0)</f>
        <v>0</v>
      </c>
      <c r="AC82" s="111">
        <f t="array" ref="AC82">IFERROR(
MEDIAN((IF(DATOS_[[Sexo]:[Sexo]]=$B82,IF(DATOS_[[AGRUP. VALOR. PTO.]:[AGRUP. VALOR. PTO.]]=$B81,IF(DATOS_[[Check Periodo Ref.]:[Check Periodo Ref.]]="Dentro",DATOS_[Conc.Sal.24]))))),
0)</f>
        <v>0</v>
      </c>
      <c r="AD82" s="111">
        <f t="array" ref="AD82">IFERROR(
MEDIAN((IF(DATOS_[[Sexo]:[Sexo]]=$B82,IF(DATOS_[[AGRUP. VALOR. PTO.]:[AGRUP. VALOR. PTO.]]=$B81,IF(DATOS_[[Check Periodo Ref.]:[Check Periodo Ref.]]="Dentro",DATOS_[Conc.Sal.25]))))),
0)</f>
        <v>0</v>
      </c>
      <c r="AE82" s="111">
        <f t="array" ref="AE82">IFERROR(
MEDIAN((IF(DATOS_[[Sexo]:[Sexo]]=$B82,IF(DATOS_[[AGRUP. VALOR. PTO.]:[AGRUP. VALOR. PTO.]]=$B81,IF(DATOS_[[Check Periodo Ref.]:[Check Periodo Ref.]]="Dentro",DATOS_[Conc.Sal.26]))))),
0)</f>
        <v>0</v>
      </c>
      <c r="AF82" s="111">
        <f t="array" ref="AF82">IFERROR(
MEDIAN((IF(DATOS_[[Sexo]:[Sexo]]=$B82,IF(DATOS_[[AGRUP. VALOR. PTO.]:[AGRUP. VALOR. PTO.]]=$B81,IF(DATOS_[[Check Periodo Ref.]:[Check Periodo Ref.]]="Dentro",DATOS_[Conc.Sal.27]))))),
0)</f>
        <v>0</v>
      </c>
      <c r="AG82" s="111">
        <f t="array" ref="AG82">IFERROR(
MEDIAN((IF(DATOS_[[Sexo]:[Sexo]]=$B82,IF(DATOS_[[AGRUP. VALOR. PTO.]:[AGRUP. VALOR. PTO.]]=$B81,IF(DATOS_[[Check Periodo Ref.]:[Check Periodo Ref.]]="Dentro",DATOS_[Conc.Sal.28]))))),
0)</f>
        <v>0</v>
      </c>
      <c r="AH82" s="111">
        <f t="array" ref="AH82">IFERROR(
MEDIAN((IF(DATOS_[[Sexo]:[Sexo]]=$B82,IF(DATOS_[[AGRUP. VALOR. PTO.]:[AGRUP. VALOR. PTO.]]=$B81,IF(DATOS_[[Check Periodo Ref.]:[Check Periodo Ref.]]="Dentro",DATOS_[Conc.Sal.29]))))),
0)</f>
        <v>0</v>
      </c>
      <c r="AI82" s="111">
        <f t="array" ref="AI82">IFERROR(
MEDIAN((IF(DATOS_[[Sexo]:[Sexo]]=$B82,IF(DATOS_[[AGRUP. VALOR. PTO.]:[AGRUP. VALOR. PTO.]]=$B81,IF(DATOS_[[Check Periodo Ref.]:[Check Periodo Ref.]]="Dentro",DATOS_[Conc.Sal.30]))))),
0)</f>
        <v>0</v>
      </c>
      <c r="AJ82" s="112">
        <f t="array" ref="AJ82">IFERROR(
MEDIAN(IF(DATOS_[Sexo]=$B82,IF(DATOS_[AGRUP. VALOR. PTO.]=$B81,IF(DATOS_[Check Periodo Ref.]="Dentro",DATOS_[Tot COMPL.SAL Ef],FALSE)))),
0)</f>
        <v>0</v>
      </c>
      <c r="AK82" s="113">
        <f t="array" ref="AK82">IFERROR(
MEDIAN(IF(DATOS_[Sexo]=$B82,IF(DATOS_[AGRUP. VALOR. PTO.]=$B81,IF(DATOS_[Check Periodo Ref.]="Dentro",DATOS_[TOTAL SALARIO Ef],FALSE)))),
0)</f>
        <v>0</v>
      </c>
      <c r="AL82" s="114">
        <f t="array" ref="AL82">IFERROR(
MEDIAN((IF(DATOS_[[Sexo]:[Sexo]]=$B82,IF(DATOS_[[AGRUP. VALOR. PTO.]:[AGRUP. VALOR. PTO.]]=$B81,IF(DATOS_[[Check Periodo Ref.]:[Check Periodo Ref.]]="Dentro",DATOS_[C.Extra.01]))))),
0)</f>
        <v>0</v>
      </c>
      <c r="AM82" s="114">
        <f t="array" ref="AM82">IFERROR(
MEDIAN((IF(DATOS_[[Sexo]:[Sexo]]=$B82,IF(DATOS_[[AGRUP. VALOR. PTO.]:[AGRUP. VALOR. PTO.]]=$B81,IF(DATOS_[[Check Periodo Ref.]:[Check Periodo Ref.]]="Dentro",DATOS_[C.Extra.02]))))),
0)</f>
        <v>0</v>
      </c>
      <c r="AN82" s="114">
        <f t="array" ref="AN82">IFERROR(
MEDIAN((IF(DATOS_[[Sexo]:[Sexo]]=$B82,IF(DATOS_[[AGRUP. VALOR. PTO.]:[AGRUP. VALOR. PTO.]]=$B81,IF(DATOS_[[Check Periodo Ref.]:[Check Periodo Ref.]]="Dentro",DATOS_[C.Extra.03]))))),
0)</f>
        <v>0</v>
      </c>
      <c r="AO82" s="114">
        <f t="array" ref="AO82">IFERROR(
MEDIAN((IF(DATOS_[[Sexo]:[Sexo]]=$B82,IF(DATOS_[[AGRUP. VALOR. PTO.]:[AGRUP. VALOR. PTO.]]=$B81,IF(DATOS_[[Check Periodo Ref.]:[Check Periodo Ref.]]="Dentro",DATOS_[C.Extra.04]))))),
0)</f>
        <v>0</v>
      </c>
      <c r="AP82" s="114">
        <f t="array" ref="AP82">IFERROR(
MEDIAN((IF(DATOS_[[Sexo]:[Sexo]]=$B82,IF(DATOS_[[AGRUP. VALOR. PTO.]:[AGRUP. VALOR. PTO.]]=$B81,IF(DATOS_[[Check Periodo Ref.]:[Check Periodo Ref.]]="Dentro",DATOS_[C.Extra.05]))))),
0)</f>
        <v>0</v>
      </c>
      <c r="AQ82" s="115">
        <f t="array" ref="AQ82">IFERROR(
MEDIAN(IF(DATOS_[Sexo]=$B82,IF(DATOS_[AGRUP. VALOR. PTO.]=$B81,IF(DATOS_[Check Periodo Ref.]="Dentro",DATOS_[Tot Extrasalarial Ef],FALSE)))),
0)</f>
        <v>0</v>
      </c>
      <c r="AR82" s="116">
        <f t="array" ref="AR82">IFERROR(
MEDIAN(IF(DATOS_[Sexo]=$B82,IF(DATOS_[AGRUP. VALOR. PTO.]=$B81,IF(DATOS_[Check Periodo Ref.]="Dentro",DATOS_[TOTAL Retrib Ef],FALSE)))),
0)</f>
        <v>0</v>
      </c>
    </row>
    <row r="83" spans="1:44" hidden="1" x14ac:dyDescent="0.3">
      <c r="A83" s="42" t="str">
        <f t="shared" ref="A83" si="94">+A82</f>
        <v>[ocultar]</v>
      </c>
      <c r="B83" s="34" t="s">
        <v>163</v>
      </c>
      <c r="C83" s="33">
        <f t="array" ref="C83">SUM(IF($B83=DATOS_[Sexo],
IF($B81=DATOS_[AGRUP. VALOR. PTO.],
IF("Dentro"=DATOS_[Check Periodo Ref.],
1/(COUNTIFS(DATOS_[Sexo],$B83,DATOS_[AGRUP. VALOR. PTO.],$B81,DATOS_[Check Periodo Ref.],"Dentro",DATOS_[id],DATOS_[id]))))))</f>
        <v>0</v>
      </c>
      <c r="D83" s="35">
        <f>COUNTIFS(DATOS_[AGRUP. VALOR. PTO.],$B81,DATOS_[Sexo],$B83,DATOS_[Check Periodo Ref.],"Dentro")</f>
        <v>0</v>
      </c>
      <c r="E83" s="110">
        <f t="array" ref="E83">IFERROR(
MEDIAN(IF(DATOS_[Sexo]=$B83,IF(DATOS_[AGRUP. VALOR. PTO.]=$B81,IF(DATOS_[Check Periodo Ref.]="Dentro",DATOS_[SALARIO BASE Ef],FALSE)))),
0)</f>
        <v>0</v>
      </c>
      <c r="F83" s="111">
        <f t="array" ref="F83">IFERROR(
MEDIAN((IF(DATOS_[[Sexo]:[Sexo]]=$B83,IF(DATOS_[[AGRUP. VALOR. PTO.]:[AGRUP. VALOR. PTO.]]=$B81,IF(DATOS_[[Check Periodo Ref.]:[Check Periodo Ref.]]="Dentro",DATOS_[Conc.Sal.01]))))),
0)</f>
        <v>0</v>
      </c>
      <c r="G83" s="111">
        <f t="array" ref="G83">IFERROR(
MEDIAN((IF(DATOS_[[Sexo]:[Sexo]]=$B83,IF(DATOS_[[AGRUP. VALOR. PTO.]:[AGRUP. VALOR. PTO.]]=$B81,IF(DATOS_[[Check Periodo Ref.]:[Check Periodo Ref.]]="Dentro",DATOS_[Conc.Sal.02]))))),
0)</f>
        <v>0</v>
      </c>
      <c r="H83" s="111">
        <f t="array" ref="H83">IFERROR(
MEDIAN((IF(DATOS_[[Sexo]:[Sexo]]=$B83,IF(DATOS_[[AGRUP. VALOR. PTO.]:[AGRUP. VALOR. PTO.]]=$B81,IF(DATOS_[[Check Periodo Ref.]:[Check Periodo Ref.]]="Dentro",DATOS_[Conc.Sal.03]))))),
0)</f>
        <v>0</v>
      </c>
      <c r="I83" s="111">
        <f t="array" ref="I83">IFERROR(
MEDIAN((IF(DATOS_[[Sexo]:[Sexo]]=$B83,IF(DATOS_[[AGRUP. VALOR. PTO.]:[AGRUP. VALOR. PTO.]]=$B81,IF(DATOS_[[Check Periodo Ref.]:[Check Periodo Ref.]]="Dentro",DATOS_[Conc.Sal.04]))))),
0)</f>
        <v>0</v>
      </c>
      <c r="J83" s="111">
        <f t="array" ref="J83">IFERROR(
MEDIAN((IF(DATOS_[[Sexo]:[Sexo]]=$B83,IF(DATOS_[[AGRUP. VALOR. PTO.]:[AGRUP. VALOR. PTO.]]=$B81,IF(DATOS_[[Check Periodo Ref.]:[Check Periodo Ref.]]="Dentro",DATOS_[Conc.Sal.05]))))),
0)</f>
        <v>0</v>
      </c>
      <c r="K83" s="111">
        <f t="array" ref="K83">IFERROR(
MEDIAN((IF(DATOS_[[Sexo]:[Sexo]]=$B83,IF(DATOS_[[AGRUP. VALOR. PTO.]:[AGRUP. VALOR. PTO.]]=$B81,IF(DATOS_[[Check Periodo Ref.]:[Check Periodo Ref.]]="Dentro",DATOS_[Conc.Sal.06]))))),
0)</f>
        <v>0</v>
      </c>
      <c r="L83" s="111">
        <f t="array" ref="L83">IFERROR(
MEDIAN((IF(DATOS_[[Sexo]:[Sexo]]=$B83,IF(DATOS_[[AGRUP. VALOR. PTO.]:[AGRUP. VALOR. PTO.]]=$B81,IF(DATOS_[[Check Periodo Ref.]:[Check Periodo Ref.]]="Dentro",DATOS_[Conc.Sal.07]))))),
0)</f>
        <v>0</v>
      </c>
      <c r="M83" s="111">
        <f t="array" ref="M83">IFERROR(
MEDIAN((IF(DATOS_[[Sexo]:[Sexo]]=$B83,IF(DATOS_[[AGRUP. VALOR. PTO.]:[AGRUP. VALOR. PTO.]]=$B81,IF(DATOS_[[Check Periodo Ref.]:[Check Periodo Ref.]]="Dentro",DATOS_[Conc.Sal.08]))))),
0)</f>
        <v>0</v>
      </c>
      <c r="N83" s="111">
        <f t="array" ref="N83">IFERROR(
MEDIAN((IF(DATOS_[[Sexo]:[Sexo]]=$B83,IF(DATOS_[[AGRUP. VALOR. PTO.]:[AGRUP. VALOR. PTO.]]=$B81,IF(DATOS_[[Check Periodo Ref.]:[Check Periodo Ref.]]="Dentro",DATOS_[Conc.Sal.09]))))),
0)</f>
        <v>0</v>
      </c>
      <c r="O83" s="111">
        <f t="array" ref="O83">IFERROR(
MEDIAN((IF(DATOS_[[Sexo]:[Sexo]]=$B83,IF(DATOS_[[AGRUP. VALOR. PTO.]:[AGRUP. VALOR. PTO.]]=$B81,IF(DATOS_[[Check Periodo Ref.]:[Check Periodo Ref.]]="Dentro",DATOS_[Conc.Sal.10]))))),
0)</f>
        <v>0</v>
      </c>
      <c r="P83" s="111">
        <f t="array" ref="P83">IFERROR(
MEDIAN((IF(DATOS_[[Sexo]:[Sexo]]=$B83,IF(DATOS_[[AGRUP. VALOR. PTO.]:[AGRUP. VALOR. PTO.]]=$B81,IF(DATOS_[[Check Periodo Ref.]:[Check Periodo Ref.]]="Dentro",DATOS_[Conc.Sal.11]))))),
0)</f>
        <v>0</v>
      </c>
      <c r="Q83" s="111">
        <f t="array" ref="Q83">IFERROR(
MEDIAN((IF(DATOS_[[Sexo]:[Sexo]]=$B83,IF(DATOS_[[AGRUP. VALOR. PTO.]:[AGRUP. VALOR. PTO.]]=$B81,IF(DATOS_[[Check Periodo Ref.]:[Check Periodo Ref.]]="Dentro",DATOS_[Conc.Sal.12]))))),
0)</f>
        <v>0</v>
      </c>
      <c r="R83" s="111">
        <f t="array" ref="R83">IFERROR(
MEDIAN((IF(DATOS_[[Sexo]:[Sexo]]=$B83,IF(DATOS_[[AGRUP. VALOR. PTO.]:[AGRUP. VALOR. PTO.]]=$B81,IF(DATOS_[[Check Periodo Ref.]:[Check Periodo Ref.]]="Dentro",DATOS_[Conc.Sal.13]))))),
0)</f>
        <v>0</v>
      </c>
      <c r="S83" s="111">
        <f t="array" ref="S83">IFERROR(
MEDIAN((IF(DATOS_[[Sexo]:[Sexo]]=$B83,IF(DATOS_[[AGRUP. VALOR. PTO.]:[AGRUP. VALOR. PTO.]]=$B81,IF(DATOS_[[Check Periodo Ref.]:[Check Periodo Ref.]]="Dentro",DATOS_[Conc.Sal.14]))))),
0)</f>
        <v>0</v>
      </c>
      <c r="T83" s="111">
        <f t="array" ref="T83">IFERROR(
MEDIAN((IF(DATOS_[[Sexo]:[Sexo]]=$B83,IF(DATOS_[[AGRUP. VALOR. PTO.]:[AGRUP. VALOR. PTO.]]=$B81,IF(DATOS_[[Check Periodo Ref.]:[Check Periodo Ref.]]="Dentro",DATOS_[Conc.Sal.15]))))),
0)</f>
        <v>0</v>
      </c>
      <c r="U83" s="111">
        <f t="array" ref="U83">IFERROR(
MEDIAN((IF(DATOS_[[Sexo]:[Sexo]]=$B83,IF(DATOS_[[AGRUP. VALOR. PTO.]:[AGRUP. VALOR. PTO.]]=$B81,IF(DATOS_[[Check Periodo Ref.]:[Check Periodo Ref.]]="Dentro",DATOS_[Conc.Sal.16]))))),
0)</f>
        <v>0</v>
      </c>
      <c r="V83" s="111">
        <f t="array" ref="V83">IFERROR(
MEDIAN((IF(DATOS_[[Sexo]:[Sexo]]=$B83,IF(DATOS_[[AGRUP. VALOR. PTO.]:[AGRUP. VALOR. PTO.]]=$B81,IF(DATOS_[[Check Periodo Ref.]:[Check Periodo Ref.]]="Dentro",DATOS_[Conc.Sal.17]))))),
0)</f>
        <v>0</v>
      </c>
      <c r="W83" s="111">
        <f t="array" ref="W83">IFERROR(
MEDIAN((IF(DATOS_[[Sexo]:[Sexo]]=$B83,IF(DATOS_[[AGRUP. VALOR. PTO.]:[AGRUP. VALOR. PTO.]]=$B81,IF(DATOS_[[Check Periodo Ref.]:[Check Periodo Ref.]]="Dentro",DATOS_[Conc.Sal.18]))))),
0)</f>
        <v>0</v>
      </c>
      <c r="X83" s="111">
        <f t="array" ref="X83">IFERROR(
MEDIAN((IF(DATOS_[[Sexo]:[Sexo]]=$B83,IF(DATOS_[[AGRUP. VALOR. PTO.]:[AGRUP. VALOR. PTO.]]=$B81,IF(DATOS_[[Check Periodo Ref.]:[Check Periodo Ref.]]="Dentro",DATOS_[Conc.Sal.19]))))),
0)</f>
        <v>0</v>
      </c>
      <c r="Y83" s="111">
        <f t="array" ref="Y83">IFERROR(
MEDIAN((IF(DATOS_[[Sexo]:[Sexo]]=$B83,IF(DATOS_[[AGRUP. VALOR. PTO.]:[AGRUP. VALOR. PTO.]]=$B81,IF(DATOS_[[Check Periodo Ref.]:[Check Periodo Ref.]]="Dentro",DATOS_[Conc.Sal.20]))))),
0)</f>
        <v>0</v>
      </c>
      <c r="Z83" s="111">
        <f t="array" ref="Z83">IFERROR(
MEDIAN((IF(DATOS_[[Sexo]:[Sexo]]=$B83,IF(DATOS_[[AGRUP. VALOR. PTO.]:[AGRUP. VALOR. PTO.]]=$B81,IF(DATOS_[[Check Periodo Ref.]:[Check Periodo Ref.]]="Dentro",DATOS_[Conc.Sal.21]))))),
0)</f>
        <v>0</v>
      </c>
      <c r="AA83" s="111">
        <f t="array" ref="AA83">IFERROR(
MEDIAN((IF(DATOS_[[Sexo]:[Sexo]]=$B83,IF(DATOS_[[AGRUP. VALOR. PTO.]:[AGRUP. VALOR. PTO.]]=$B81,IF(DATOS_[[Check Periodo Ref.]:[Check Periodo Ref.]]="Dentro",DATOS_[Conc.Sal.22]))))),
0)</f>
        <v>0</v>
      </c>
      <c r="AB83" s="111">
        <f t="array" ref="AB83">IFERROR(
MEDIAN((IF(DATOS_[[Sexo]:[Sexo]]=$B83,IF(DATOS_[[AGRUP. VALOR. PTO.]:[AGRUP. VALOR. PTO.]]=$B81,IF(DATOS_[[Check Periodo Ref.]:[Check Periodo Ref.]]="Dentro",DATOS_[Conc.Sal.23]))))),
0)</f>
        <v>0</v>
      </c>
      <c r="AC83" s="111">
        <f t="array" ref="AC83">IFERROR(
MEDIAN((IF(DATOS_[[Sexo]:[Sexo]]=$B83,IF(DATOS_[[AGRUP. VALOR. PTO.]:[AGRUP. VALOR. PTO.]]=$B81,IF(DATOS_[[Check Periodo Ref.]:[Check Periodo Ref.]]="Dentro",DATOS_[Conc.Sal.24]))))),
0)</f>
        <v>0</v>
      </c>
      <c r="AD83" s="111">
        <f t="array" ref="AD83">IFERROR(
MEDIAN((IF(DATOS_[[Sexo]:[Sexo]]=$B83,IF(DATOS_[[AGRUP. VALOR. PTO.]:[AGRUP. VALOR. PTO.]]=$B81,IF(DATOS_[[Check Periodo Ref.]:[Check Periodo Ref.]]="Dentro",DATOS_[Conc.Sal.25]))))),
0)</f>
        <v>0</v>
      </c>
      <c r="AE83" s="111">
        <f t="array" ref="AE83">IFERROR(
MEDIAN((IF(DATOS_[[Sexo]:[Sexo]]=$B83,IF(DATOS_[[AGRUP. VALOR. PTO.]:[AGRUP. VALOR. PTO.]]=$B81,IF(DATOS_[[Check Periodo Ref.]:[Check Periodo Ref.]]="Dentro",DATOS_[Conc.Sal.26]))))),
0)</f>
        <v>0</v>
      </c>
      <c r="AF83" s="111">
        <f t="array" ref="AF83">IFERROR(
MEDIAN((IF(DATOS_[[Sexo]:[Sexo]]=$B83,IF(DATOS_[[AGRUP. VALOR. PTO.]:[AGRUP. VALOR. PTO.]]=$B81,IF(DATOS_[[Check Periodo Ref.]:[Check Periodo Ref.]]="Dentro",DATOS_[Conc.Sal.27]))))),
0)</f>
        <v>0</v>
      </c>
      <c r="AG83" s="111">
        <f t="array" ref="AG83">IFERROR(
MEDIAN((IF(DATOS_[[Sexo]:[Sexo]]=$B83,IF(DATOS_[[AGRUP. VALOR. PTO.]:[AGRUP. VALOR. PTO.]]=$B81,IF(DATOS_[[Check Periodo Ref.]:[Check Periodo Ref.]]="Dentro",DATOS_[Conc.Sal.28]))))),
0)</f>
        <v>0</v>
      </c>
      <c r="AH83" s="111">
        <f t="array" ref="AH83">IFERROR(
MEDIAN((IF(DATOS_[[Sexo]:[Sexo]]=$B83,IF(DATOS_[[AGRUP. VALOR. PTO.]:[AGRUP. VALOR. PTO.]]=$B81,IF(DATOS_[[Check Periodo Ref.]:[Check Periodo Ref.]]="Dentro",DATOS_[Conc.Sal.29]))))),
0)</f>
        <v>0</v>
      </c>
      <c r="AI83" s="111">
        <f t="array" ref="AI83">IFERROR(
MEDIAN((IF(DATOS_[[Sexo]:[Sexo]]=$B83,IF(DATOS_[[AGRUP. VALOR. PTO.]:[AGRUP. VALOR. PTO.]]=$B81,IF(DATOS_[[Check Periodo Ref.]:[Check Periodo Ref.]]="Dentro",DATOS_[Conc.Sal.30]))))),
0)</f>
        <v>0</v>
      </c>
      <c r="AJ83" s="112">
        <f t="array" ref="AJ83">IFERROR(
MEDIAN(IF(DATOS_[Sexo]=$B83,IF(DATOS_[AGRUP. VALOR. PTO.]=$B81,IF(DATOS_[Check Periodo Ref.]="Dentro",DATOS_[Tot COMPL.SAL Ef],FALSE)))),
0)</f>
        <v>0</v>
      </c>
      <c r="AK83" s="113">
        <f t="array" ref="AK83">IFERROR(
MEDIAN(IF(DATOS_[Sexo]=$B83,IF(DATOS_[AGRUP. VALOR. PTO.]=$B81,IF(DATOS_[Check Periodo Ref.]="Dentro",DATOS_[TOTAL SALARIO Ef],FALSE)))),
0)</f>
        <v>0</v>
      </c>
      <c r="AL83" s="114">
        <f t="array" ref="AL83">IFERROR(
MEDIAN((IF(DATOS_[[Sexo]:[Sexo]]=$B83,IF(DATOS_[[AGRUP. VALOR. PTO.]:[AGRUP. VALOR. PTO.]]=$B81,IF(DATOS_[[Check Periodo Ref.]:[Check Periodo Ref.]]="Dentro",DATOS_[C.Extra.01]))))),
0)</f>
        <v>0</v>
      </c>
      <c r="AM83" s="114">
        <f t="array" ref="AM83">IFERROR(
MEDIAN((IF(DATOS_[[Sexo]:[Sexo]]=$B83,IF(DATOS_[[AGRUP. VALOR. PTO.]:[AGRUP. VALOR. PTO.]]=$B81,IF(DATOS_[[Check Periodo Ref.]:[Check Periodo Ref.]]="Dentro",DATOS_[C.Extra.02]))))),
0)</f>
        <v>0</v>
      </c>
      <c r="AN83" s="114">
        <f t="array" ref="AN83">IFERROR(
MEDIAN((IF(DATOS_[[Sexo]:[Sexo]]=$B83,IF(DATOS_[[AGRUP. VALOR. PTO.]:[AGRUP. VALOR. PTO.]]=$B81,IF(DATOS_[[Check Periodo Ref.]:[Check Periodo Ref.]]="Dentro",DATOS_[C.Extra.03]))))),
0)</f>
        <v>0</v>
      </c>
      <c r="AO83" s="114">
        <f t="array" ref="AO83">IFERROR(
MEDIAN((IF(DATOS_[[Sexo]:[Sexo]]=$B83,IF(DATOS_[[AGRUP. VALOR. PTO.]:[AGRUP. VALOR. PTO.]]=$B81,IF(DATOS_[[Check Periodo Ref.]:[Check Periodo Ref.]]="Dentro",DATOS_[C.Extra.04]))))),
0)</f>
        <v>0</v>
      </c>
      <c r="AP83" s="114">
        <f t="array" ref="AP83">IFERROR(
MEDIAN((IF(DATOS_[[Sexo]:[Sexo]]=$B83,IF(DATOS_[[AGRUP. VALOR. PTO.]:[AGRUP. VALOR. PTO.]]=$B81,IF(DATOS_[[Check Periodo Ref.]:[Check Periodo Ref.]]="Dentro",DATOS_[C.Extra.05]))))),
0)</f>
        <v>0</v>
      </c>
      <c r="AQ83" s="115">
        <f t="array" ref="AQ83">IFERROR(
MEDIAN(IF(DATOS_[Sexo]=$B83,IF(DATOS_[AGRUP. VALOR. PTO.]=$B81,IF(DATOS_[Check Periodo Ref.]="Dentro",DATOS_[Tot Extrasalarial Ef],FALSE)))),
0)</f>
        <v>0</v>
      </c>
      <c r="AR83" s="116">
        <f t="array" ref="AR83">IFERROR(
MEDIAN(IF(DATOS_[Sexo]=$B83,IF(DATOS_[AGRUP. VALOR. PTO.]=$B81,IF(DATOS_[Check Periodo Ref.]="Dentro",DATOS_[TOTAL Retrib Ef],FALSE)))),
0)</f>
        <v>0</v>
      </c>
    </row>
    <row r="84" spans="1:44" ht="17.25" hidden="1" thickBot="1" x14ac:dyDescent="0.35">
      <c r="A84" s="42" t="str">
        <f t="shared" ref="A84" si="95">+A85</f>
        <v>[ocultar]</v>
      </c>
      <c r="B84" s="40" t="s">
        <v>283</v>
      </c>
      <c r="C84" s="109"/>
      <c r="D84" s="41"/>
      <c r="E84" s="119" t="str">
        <f t="shared" ref="E84:AR84" si="96">IFERROR((E85-E86)/E85,"")</f>
        <v/>
      </c>
      <c r="F84" s="123" t="str">
        <f t="shared" si="96"/>
        <v/>
      </c>
      <c r="G84" s="123" t="str">
        <f t="shared" si="96"/>
        <v/>
      </c>
      <c r="H84" s="123" t="str">
        <f t="shared" si="96"/>
        <v/>
      </c>
      <c r="I84" s="123" t="str">
        <f t="shared" si="96"/>
        <v/>
      </c>
      <c r="J84" s="123" t="str">
        <f t="shared" si="96"/>
        <v/>
      </c>
      <c r="K84" s="123" t="str">
        <f t="shared" si="96"/>
        <v/>
      </c>
      <c r="L84" s="123" t="str">
        <f t="shared" si="96"/>
        <v/>
      </c>
      <c r="M84" s="123" t="str">
        <f t="shared" si="96"/>
        <v/>
      </c>
      <c r="N84" s="123" t="str">
        <f t="shared" si="96"/>
        <v/>
      </c>
      <c r="O84" s="123" t="str">
        <f t="shared" si="96"/>
        <v/>
      </c>
      <c r="P84" s="123" t="str">
        <f t="shared" si="96"/>
        <v/>
      </c>
      <c r="Q84" s="123" t="str">
        <f t="shared" si="96"/>
        <v/>
      </c>
      <c r="R84" s="123" t="str">
        <f t="shared" si="96"/>
        <v/>
      </c>
      <c r="S84" s="123" t="str">
        <f t="shared" si="96"/>
        <v/>
      </c>
      <c r="T84" s="123" t="str">
        <f t="shared" si="96"/>
        <v/>
      </c>
      <c r="U84" s="123" t="str">
        <f t="shared" si="96"/>
        <v/>
      </c>
      <c r="V84" s="122" t="str">
        <f t="shared" si="96"/>
        <v/>
      </c>
      <c r="W84" s="122" t="str">
        <f t="shared" si="96"/>
        <v/>
      </c>
      <c r="X84" s="122" t="str">
        <f t="shared" si="96"/>
        <v/>
      </c>
      <c r="Y84" s="122" t="str">
        <f t="shared" si="96"/>
        <v/>
      </c>
      <c r="Z84" s="122" t="str">
        <f t="shared" si="96"/>
        <v/>
      </c>
      <c r="AA84" s="122" t="str">
        <f t="shared" si="96"/>
        <v/>
      </c>
      <c r="AB84" s="122" t="str">
        <f t="shared" si="96"/>
        <v/>
      </c>
      <c r="AC84" s="122" t="str">
        <f t="shared" si="96"/>
        <v/>
      </c>
      <c r="AD84" s="122" t="str">
        <f t="shared" si="96"/>
        <v/>
      </c>
      <c r="AE84" s="122" t="str">
        <f t="shared" si="96"/>
        <v/>
      </c>
      <c r="AF84" s="122" t="str">
        <f t="shared" si="96"/>
        <v/>
      </c>
      <c r="AG84" s="122" t="str">
        <f t="shared" si="96"/>
        <v/>
      </c>
      <c r="AH84" s="122" t="str">
        <f t="shared" si="96"/>
        <v/>
      </c>
      <c r="AI84" s="122" t="str">
        <f t="shared" si="96"/>
        <v/>
      </c>
      <c r="AJ84" s="124" t="str">
        <f t="shared" si="96"/>
        <v/>
      </c>
      <c r="AK84" s="128" t="str">
        <f t="shared" si="96"/>
        <v/>
      </c>
      <c r="AL84" s="125" t="str">
        <f t="shared" si="96"/>
        <v/>
      </c>
      <c r="AM84" s="125" t="str">
        <f t="shared" si="96"/>
        <v/>
      </c>
      <c r="AN84" s="125" t="str">
        <f t="shared" si="96"/>
        <v/>
      </c>
      <c r="AO84" s="125" t="str">
        <f t="shared" si="96"/>
        <v/>
      </c>
      <c r="AP84" s="125" t="str">
        <f t="shared" si="96"/>
        <v/>
      </c>
      <c r="AQ84" s="126" t="str">
        <f t="shared" si="96"/>
        <v/>
      </c>
      <c r="AR84" s="127" t="str">
        <f t="shared" si="96"/>
        <v/>
      </c>
    </row>
    <row r="85" spans="1:44" hidden="1" x14ac:dyDescent="0.3">
      <c r="A85" s="42" t="str">
        <f t="shared" ref="A85" si="97">+IF(C85+C86=0,"[ocultar]","")</f>
        <v>[ocultar]</v>
      </c>
      <c r="B85" s="34" t="s">
        <v>162</v>
      </c>
      <c r="C85" s="33">
        <f t="array" ref="C85">SUM(IF($B85=DATOS_[Sexo],
IF($B84=DATOS_[AGRUP. VALOR. PTO.],
IF("Dentro"=DATOS_[Check Periodo Ref.],
1/(COUNTIFS(DATOS_[Sexo],$B85,DATOS_[AGRUP. VALOR. PTO.],$B84,DATOS_[Check Periodo Ref.],"Dentro",DATOS_[id],DATOS_[id]))))))</f>
        <v>0</v>
      </c>
      <c r="D85" s="35">
        <f>COUNTIFS(DATOS_[AGRUP. VALOR. PTO.],$B84,DATOS_[Sexo],$B85,DATOS_[Check Periodo Ref.],"Dentro")</f>
        <v>0</v>
      </c>
      <c r="E85" s="110">
        <f t="array" ref="E85">IFERROR(
MEDIAN(IF(DATOS_[Sexo]=$B85,IF(DATOS_[AGRUP. VALOR. PTO.]=$B84,IF(DATOS_[Check Periodo Ref.]="Dentro",DATOS_[SALARIO BASE Ef],FALSE)))),
0)</f>
        <v>0</v>
      </c>
      <c r="F85" s="111">
        <f t="array" ref="F85">IFERROR(
MEDIAN((IF(DATOS_[[Sexo]:[Sexo]]=$B85,IF(DATOS_[[AGRUP. VALOR. PTO.]:[AGRUP. VALOR. PTO.]]=$B84,IF(DATOS_[[Check Periodo Ref.]:[Check Periodo Ref.]]="Dentro",DATOS_[Conc.Sal.01]))))),
0)</f>
        <v>0</v>
      </c>
      <c r="G85" s="111">
        <f t="array" ref="G85">IFERROR(
MEDIAN((IF(DATOS_[[Sexo]:[Sexo]]=$B85,IF(DATOS_[[AGRUP. VALOR. PTO.]:[AGRUP. VALOR. PTO.]]=$B84,IF(DATOS_[[Check Periodo Ref.]:[Check Periodo Ref.]]="Dentro",DATOS_[Conc.Sal.02]))))),
0)</f>
        <v>0</v>
      </c>
      <c r="H85" s="111">
        <f t="array" ref="H85">IFERROR(
MEDIAN((IF(DATOS_[[Sexo]:[Sexo]]=$B85,IF(DATOS_[[AGRUP. VALOR. PTO.]:[AGRUP. VALOR. PTO.]]=$B84,IF(DATOS_[[Check Periodo Ref.]:[Check Periodo Ref.]]="Dentro",DATOS_[Conc.Sal.03]))))),
0)</f>
        <v>0</v>
      </c>
      <c r="I85" s="111">
        <f t="array" ref="I85">IFERROR(
MEDIAN((IF(DATOS_[[Sexo]:[Sexo]]=$B85,IF(DATOS_[[AGRUP. VALOR. PTO.]:[AGRUP. VALOR. PTO.]]=$B84,IF(DATOS_[[Check Periodo Ref.]:[Check Periodo Ref.]]="Dentro",DATOS_[Conc.Sal.04]))))),
0)</f>
        <v>0</v>
      </c>
      <c r="J85" s="111">
        <f t="array" ref="J85">IFERROR(
MEDIAN((IF(DATOS_[[Sexo]:[Sexo]]=$B85,IF(DATOS_[[AGRUP. VALOR. PTO.]:[AGRUP. VALOR. PTO.]]=$B84,IF(DATOS_[[Check Periodo Ref.]:[Check Periodo Ref.]]="Dentro",DATOS_[Conc.Sal.05]))))),
0)</f>
        <v>0</v>
      </c>
      <c r="K85" s="111">
        <f t="array" ref="K85">IFERROR(
MEDIAN((IF(DATOS_[[Sexo]:[Sexo]]=$B85,IF(DATOS_[[AGRUP. VALOR. PTO.]:[AGRUP. VALOR. PTO.]]=$B84,IF(DATOS_[[Check Periodo Ref.]:[Check Periodo Ref.]]="Dentro",DATOS_[Conc.Sal.06]))))),
0)</f>
        <v>0</v>
      </c>
      <c r="L85" s="111">
        <f t="array" ref="L85">IFERROR(
MEDIAN((IF(DATOS_[[Sexo]:[Sexo]]=$B85,IF(DATOS_[[AGRUP. VALOR. PTO.]:[AGRUP. VALOR. PTO.]]=$B84,IF(DATOS_[[Check Periodo Ref.]:[Check Periodo Ref.]]="Dentro",DATOS_[Conc.Sal.07]))))),
0)</f>
        <v>0</v>
      </c>
      <c r="M85" s="111">
        <f t="array" ref="M85">IFERROR(
MEDIAN((IF(DATOS_[[Sexo]:[Sexo]]=$B85,IF(DATOS_[[AGRUP. VALOR. PTO.]:[AGRUP. VALOR. PTO.]]=$B84,IF(DATOS_[[Check Periodo Ref.]:[Check Periodo Ref.]]="Dentro",DATOS_[Conc.Sal.08]))))),
0)</f>
        <v>0</v>
      </c>
      <c r="N85" s="111">
        <f t="array" ref="N85">IFERROR(
MEDIAN((IF(DATOS_[[Sexo]:[Sexo]]=$B85,IF(DATOS_[[AGRUP. VALOR. PTO.]:[AGRUP. VALOR. PTO.]]=$B84,IF(DATOS_[[Check Periodo Ref.]:[Check Periodo Ref.]]="Dentro",DATOS_[Conc.Sal.09]))))),
0)</f>
        <v>0</v>
      </c>
      <c r="O85" s="111">
        <f t="array" ref="O85">IFERROR(
MEDIAN((IF(DATOS_[[Sexo]:[Sexo]]=$B85,IF(DATOS_[[AGRUP. VALOR. PTO.]:[AGRUP. VALOR. PTO.]]=$B84,IF(DATOS_[[Check Periodo Ref.]:[Check Periodo Ref.]]="Dentro",DATOS_[Conc.Sal.10]))))),
0)</f>
        <v>0</v>
      </c>
      <c r="P85" s="111">
        <f t="array" ref="P85">IFERROR(
MEDIAN((IF(DATOS_[[Sexo]:[Sexo]]=$B85,IF(DATOS_[[AGRUP. VALOR. PTO.]:[AGRUP. VALOR. PTO.]]=$B84,IF(DATOS_[[Check Periodo Ref.]:[Check Periodo Ref.]]="Dentro",DATOS_[Conc.Sal.11]))))),
0)</f>
        <v>0</v>
      </c>
      <c r="Q85" s="111">
        <f t="array" ref="Q85">IFERROR(
MEDIAN((IF(DATOS_[[Sexo]:[Sexo]]=$B85,IF(DATOS_[[AGRUP. VALOR. PTO.]:[AGRUP. VALOR. PTO.]]=$B84,IF(DATOS_[[Check Periodo Ref.]:[Check Periodo Ref.]]="Dentro",DATOS_[Conc.Sal.12]))))),
0)</f>
        <v>0</v>
      </c>
      <c r="R85" s="111">
        <f t="array" ref="R85">IFERROR(
MEDIAN((IF(DATOS_[[Sexo]:[Sexo]]=$B85,IF(DATOS_[[AGRUP. VALOR. PTO.]:[AGRUP. VALOR. PTO.]]=$B84,IF(DATOS_[[Check Periodo Ref.]:[Check Periodo Ref.]]="Dentro",DATOS_[Conc.Sal.13]))))),
0)</f>
        <v>0</v>
      </c>
      <c r="S85" s="111">
        <f t="array" ref="S85">IFERROR(
MEDIAN((IF(DATOS_[[Sexo]:[Sexo]]=$B85,IF(DATOS_[[AGRUP. VALOR. PTO.]:[AGRUP. VALOR. PTO.]]=$B84,IF(DATOS_[[Check Periodo Ref.]:[Check Periodo Ref.]]="Dentro",DATOS_[Conc.Sal.14]))))),
0)</f>
        <v>0</v>
      </c>
      <c r="T85" s="111">
        <f t="array" ref="T85">IFERROR(
MEDIAN((IF(DATOS_[[Sexo]:[Sexo]]=$B85,IF(DATOS_[[AGRUP. VALOR. PTO.]:[AGRUP. VALOR. PTO.]]=$B84,IF(DATOS_[[Check Periodo Ref.]:[Check Periodo Ref.]]="Dentro",DATOS_[Conc.Sal.15]))))),
0)</f>
        <v>0</v>
      </c>
      <c r="U85" s="111">
        <f t="array" ref="U85">IFERROR(
MEDIAN((IF(DATOS_[[Sexo]:[Sexo]]=$B85,IF(DATOS_[[AGRUP. VALOR. PTO.]:[AGRUP. VALOR. PTO.]]=$B84,IF(DATOS_[[Check Periodo Ref.]:[Check Periodo Ref.]]="Dentro",DATOS_[Conc.Sal.16]))))),
0)</f>
        <v>0</v>
      </c>
      <c r="V85" s="111">
        <f t="array" ref="V85">IFERROR(
MEDIAN((IF(DATOS_[[Sexo]:[Sexo]]=$B85,IF(DATOS_[[AGRUP. VALOR. PTO.]:[AGRUP. VALOR. PTO.]]=$B84,IF(DATOS_[[Check Periodo Ref.]:[Check Periodo Ref.]]="Dentro",DATOS_[Conc.Sal.17]))))),
0)</f>
        <v>0</v>
      </c>
      <c r="W85" s="111">
        <f t="array" ref="W85">IFERROR(
MEDIAN((IF(DATOS_[[Sexo]:[Sexo]]=$B85,IF(DATOS_[[AGRUP. VALOR. PTO.]:[AGRUP. VALOR. PTO.]]=$B84,IF(DATOS_[[Check Periodo Ref.]:[Check Periodo Ref.]]="Dentro",DATOS_[Conc.Sal.18]))))),
0)</f>
        <v>0</v>
      </c>
      <c r="X85" s="111">
        <f t="array" ref="X85">IFERROR(
MEDIAN((IF(DATOS_[[Sexo]:[Sexo]]=$B85,IF(DATOS_[[AGRUP. VALOR. PTO.]:[AGRUP. VALOR. PTO.]]=$B84,IF(DATOS_[[Check Periodo Ref.]:[Check Periodo Ref.]]="Dentro",DATOS_[Conc.Sal.19]))))),
0)</f>
        <v>0</v>
      </c>
      <c r="Y85" s="111">
        <f t="array" ref="Y85">IFERROR(
MEDIAN((IF(DATOS_[[Sexo]:[Sexo]]=$B85,IF(DATOS_[[AGRUP. VALOR. PTO.]:[AGRUP. VALOR. PTO.]]=$B84,IF(DATOS_[[Check Periodo Ref.]:[Check Periodo Ref.]]="Dentro",DATOS_[Conc.Sal.20]))))),
0)</f>
        <v>0</v>
      </c>
      <c r="Z85" s="111">
        <f t="array" ref="Z85">IFERROR(
MEDIAN((IF(DATOS_[[Sexo]:[Sexo]]=$B85,IF(DATOS_[[AGRUP. VALOR. PTO.]:[AGRUP. VALOR. PTO.]]=$B84,IF(DATOS_[[Check Periodo Ref.]:[Check Periodo Ref.]]="Dentro",DATOS_[Conc.Sal.21]))))),
0)</f>
        <v>0</v>
      </c>
      <c r="AA85" s="111">
        <f t="array" ref="AA85">IFERROR(
MEDIAN((IF(DATOS_[[Sexo]:[Sexo]]=$B85,IF(DATOS_[[AGRUP. VALOR. PTO.]:[AGRUP. VALOR. PTO.]]=$B84,IF(DATOS_[[Check Periodo Ref.]:[Check Periodo Ref.]]="Dentro",DATOS_[Conc.Sal.22]))))),
0)</f>
        <v>0</v>
      </c>
      <c r="AB85" s="111">
        <f t="array" ref="AB85">IFERROR(
MEDIAN((IF(DATOS_[[Sexo]:[Sexo]]=$B85,IF(DATOS_[[AGRUP. VALOR. PTO.]:[AGRUP. VALOR. PTO.]]=$B84,IF(DATOS_[[Check Periodo Ref.]:[Check Periodo Ref.]]="Dentro",DATOS_[Conc.Sal.23]))))),
0)</f>
        <v>0</v>
      </c>
      <c r="AC85" s="111">
        <f t="array" ref="AC85">IFERROR(
MEDIAN((IF(DATOS_[[Sexo]:[Sexo]]=$B85,IF(DATOS_[[AGRUP. VALOR. PTO.]:[AGRUP. VALOR. PTO.]]=$B84,IF(DATOS_[[Check Periodo Ref.]:[Check Periodo Ref.]]="Dentro",DATOS_[Conc.Sal.24]))))),
0)</f>
        <v>0</v>
      </c>
      <c r="AD85" s="111">
        <f t="array" ref="AD85">IFERROR(
MEDIAN((IF(DATOS_[[Sexo]:[Sexo]]=$B85,IF(DATOS_[[AGRUP. VALOR. PTO.]:[AGRUP. VALOR. PTO.]]=$B84,IF(DATOS_[[Check Periodo Ref.]:[Check Periodo Ref.]]="Dentro",DATOS_[Conc.Sal.25]))))),
0)</f>
        <v>0</v>
      </c>
      <c r="AE85" s="111">
        <f t="array" ref="AE85">IFERROR(
MEDIAN((IF(DATOS_[[Sexo]:[Sexo]]=$B85,IF(DATOS_[[AGRUP. VALOR. PTO.]:[AGRUP. VALOR. PTO.]]=$B84,IF(DATOS_[[Check Periodo Ref.]:[Check Periodo Ref.]]="Dentro",DATOS_[Conc.Sal.26]))))),
0)</f>
        <v>0</v>
      </c>
      <c r="AF85" s="111">
        <f t="array" ref="AF85">IFERROR(
MEDIAN((IF(DATOS_[[Sexo]:[Sexo]]=$B85,IF(DATOS_[[AGRUP. VALOR. PTO.]:[AGRUP. VALOR. PTO.]]=$B84,IF(DATOS_[[Check Periodo Ref.]:[Check Periodo Ref.]]="Dentro",DATOS_[Conc.Sal.27]))))),
0)</f>
        <v>0</v>
      </c>
      <c r="AG85" s="111">
        <f t="array" ref="AG85">IFERROR(
MEDIAN((IF(DATOS_[[Sexo]:[Sexo]]=$B85,IF(DATOS_[[AGRUP. VALOR. PTO.]:[AGRUP. VALOR. PTO.]]=$B84,IF(DATOS_[[Check Periodo Ref.]:[Check Periodo Ref.]]="Dentro",DATOS_[Conc.Sal.28]))))),
0)</f>
        <v>0</v>
      </c>
      <c r="AH85" s="111">
        <f t="array" ref="AH85">IFERROR(
MEDIAN((IF(DATOS_[[Sexo]:[Sexo]]=$B85,IF(DATOS_[[AGRUP. VALOR. PTO.]:[AGRUP. VALOR. PTO.]]=$B84,IF(DATOS_[[Check Periodo Ref.]:[Check Periodo Ref.]]="Dentro",DATOS_[Conc.Sal.29]))))),
0)</f>
        <v>0</v>
      </c>
      <c r="AI85" s="111">
        <f t="array" ref="AI85">IFERROR(
MEDIAN((IF(DATOS_[[Sexo]:[Sexo]]=$B85,IF(DATOS_[[AGRUP. VALOR. PTO.]:[AGRUP. VALOR. PTO.]]=$B84,IF(DATOS_[[Check Periodo Ref.]:[Check Periodo Ref.]]="Dentro",DATOS_[Conc.Sal.30]))))),
0)</f>
        <v>0</v>
      </c>
      <c r="AJ85" s="112">
        <f t="array" ref="AJ85">IFERROR(
MEDIAN(IF(DATOS_[Sexo]=$B85,IF(DATOS_[AGRUP. VALOR. PTO.]=$B84,IF(DATOS_[Check Periodo Ref.]="Dentro",DATOS_[Tot COMPL.SAL Ef],FALSE)))),
0)</f>
        <v>0</v>
      </c>
      <c r="AK85" s="113">
        <f t="array" ref="AK85">IFERROR(
MEDIAN(IF(DATOS_[Sexo]=$B85,IF(DATOS_[AGRUP. VALOR. PTO.]=$B84,IF(DATOS_[Check Periodo Ref.]="Dentro",DATOS_[TOTAL SALARIO Ef],FALSE)))),
0)</f>
        <v>0</v>
      </c>
      <c r="AL85" s="114">
        <f t="array" ref="AL85">IFERROR(
MEDIAN((IF(DATOS_[[Sexo]:[Sexo]]=$B85,IF(DATOS_[[AGRUP. VALOR. PTO.]:[AGRUP. VALOR. PTO.]]=$B84,IF(DATOS_[[Check Periodo Ref.]:[Check Periodo Ref.]]="Dentro",DATOS_[C.Extra.01]))))),
0)</f>
        <v>0</v>
      </c>
      <c r="AM85" s="114">
        <f t="array" ref="AM85">IFERROR(
MEDIAN((IF(DATOS_[[Sexo]:[Sexo]]=$B85,IF(DATOS_[[AGRUP. VALOR. PTO.]:[AGRUP. VALOR. PTO.]]=$B84,IF(DATOS_[[Check Periodo Ref.]:[Check Periodo Ref.]]="Dentro",DATOS_[C.Extra.02]))))),
0)</f>
        <v>0</v>
      </c>
      <c r="AN85" s="114">
        <f t="array" ref="AN85">IFERROR(
MEDIAN((IF(DATOS_[[Sexo]:[Sexo]]=$B85,IF(DATOS_[[AGRUP. VALOR. PTO.]:[AGRUP. VALOR. PTO.]]=$B84,IF(DATOS_[[Check Periodo Ref.]:[Check Periodo Ref.]]="Dentro",DATOS_[C.Extra.03]))))),
0)</f>
        <v>0</v>
      </c>
      <c r="AO85" s="114">
        <f t="array" ref="AO85">IFERROR(
MEDIAN((IF(DATOS_[[Sexo]:[Sexo]]=$B85,IF(DATOS_[[AGRUP. VALOR. PTO.]:[AGRUP. VALOR. PTO.]]=$B84,IF(DATOS_[[Check Periodo Ref.]:[Check Periodo Ref.]]="Dentro",DATOS_[C.Extra.04]))))),
0)</f>
        <v>0</v>
      </c>
      <c r="AP85" s="114">
        <f t="array" ref="AP85">IFERROR(
MEDIAN((IF(DATOS_[[Sexo]:[Sexo]]=$B85,IF(DATOS_[[AGRUP. VALOR. PTO.]:[AGRUP. VALOR. PTO.]]=$B84,IF(DATOS_[[Check Periodo Ref.]:[Check Periodo Ref.]]="Dentro",DATOS_[C.Extra.05]))))),
0)</f>
        <v>0</v>
      </c>
      <c r="AQ85" s="115">
        <f t="array" ref="AQ85">IFERROR(
MEDIAN(IF(DATOS_[Sexo]=$B85,IF(DATOS_[AGRUP. VALOR. PTO.]=$B84,IF(DATOS_[Check Periodo Ref.]="Dentro",DATOS_[Tot Extrasalarial Ef],FALSE)))),
0)</f>
        <v>0</v>
      </c>
      <c r="AR85" s="116">
        <f t="array" ref="AR85">IFERROR(
MEDIAN(IF(DATOS_[Sexo]=$B85,IF(DATOS_[AGRUP. VALOR. PTO.]=$B84,IF(DATOS_[Check Periodo Ref.]="Dentro",DATOS_[TOTAL Retrib Ef],FALSE)))),
0)</f>
        <v>0</v>
      </c>
    </row>
    <row r="86" spans="1:44" hidden="1" x14ac:dyDescent="0.3">
      <c r="A86" s="42" t="str">
        <f t="shared" ref="A86" si="98">+A85</f>
        <v>[ocultar]</v>
      </c>
      <c r="B86" s="34" t="s">
        <v>163</v>
      </c>
      <c r="C86" s="33">
        <f t="array" ref="C86">SUM(IF($B86=DATOS_[Sexo],
IF($B84=DATOS_[AGRUP. VALOR. PTO.],
IF("Dentro"=DATOS_[Check Periodo Ref.],
1/(COUNTIFS(DATOS_[Sexo],$B86,DATOS_[AGRUP. VALOR. PTO.],$B84,DATOS_[Check Periodo Ref.],"Dentro",DATOS_[id],DATOS_[id]))))))</f>
        <v>0</v>
      </c>
      <c r="D86" s="35">
        <f>COUNTIFS(DATOS_[AGRUP. VALOR. PTO.],$B84,DATOS_[Sexo],$B86,DATOS_[Check Periodo Ref.],"Dentro")</f>
        <v>0</v>
      </c>
      <c r="E86" s="110">
        <f t="array" ref="E86">IFERROR(
MEDIAN(IF(DATOS_[Sexo]=$B86,IF(DATOS_[AGRUP. VALOR. PTO.]=$B84,IF(DATOS_[Check Periodo Ref.]="Dentro",DATOS_[SALARIO BASE Ef],FALSE)))),
0)</f>
        <v>0</v>
      </c>
      <c r="F86" s="111">
        <f t="array" ref="F86">IFERROR(
MEDIAN((IF(DATOS_[[Sexo]:[Sexo]]=$B86,IF(DATOS_[[AGRUP. VALOR. PTO.]:[AGRUP. VALOR. PTO.]]=$B84,IF(DATOS_[[Check Periodo Ref.]:[Check Periodo Ref.]]="Dentro",DATOS_[Conc.Sal.01]))))),
0)</f>
        <v>0</v>
      </c>
      <c r="G86" s="111">
        <f t="array" ref="G86">IFERROR(
MEDIAN((IF(DATOS_[[Sexo]:[Sexo]]=$B86,IF(DATOS_[[AGRUP. VALOR. PTO.]:[AGRUP. VALOR. PTO.]]=$B84,IF(DATOS_[[Check Periodo Ref.]:[Check Periodo Ref.]]="Dentro",DATOS_[Conc.Sal.02]))))),
0)</f>
        <v>0</v>
      </c>
      <c r="H86" s="111">
        <f t="array" ref="H86">IFERROR(
MEDIAN((IF(DATOS_[[Sexo]:[Sexo]]=$B86,IF(DATOS_[[AGRUP. VALOR. PTO.]:[AGRUP. VALOR. PTO.]]=$B84,IF(DATOS_[[Check Periodo Ref.]:[Check Periodo Ref.]]="Dentro",DATOS_[Conc.Sal.03]))))),
0)</f>
        <v>0</v>
      </c>
      <c r="I86" s="111">
        <f t="array" ref="I86">IFERROR(
MEDIAN((IF(DATOS_[[Sexo]:[Sexo]]=$B86,IF(DATOS_[[AGRUP. VALOR. PTO.]:[AGRUP. VALOR. PTO.]]=$B84,IF(DATOS_[[Check Periodo Ref.]:[Check Periodo Ref.]]="Dentro",DATOS_[Conc.Sal.04]))))),
0)</f>
        <v>0</v>
      </c>
      <c r="J86" s="111">
        <f t="array" ref="J86">IFERROR(
MEDIAN((IF(DATOS_[[Sexo]:[Sexo]]=$B86,IF(DATOS_[[AGRUP. VALOR. PTO.]:[AGRUP. VALOR. PTO.]]=$B84,IF(DATOS_[[Check Periodo Ref.]:[Check Periodo Ref.]]="Dentro",DATOS_[Conc.Sal.05]))))),
0)</f>
        <v>0</v>
      </c>
      <c r="K86" s="111">
        <f t="array" ref="K86">IFERROR(
MEDIAN((IF(DATOS_[[Sexo]:[Sexo]]=$B86,IF(DATOS_[[AGRUP. VALOR. PTO.]:[AGRUP. VALOR. PTO.]]=$B84,IF(DATOS_[[Check Periodo Ref.]:[Check Periodo Ref.]]="Dentro",DATOS_[Conc.Sal.06]))))),
0)</f>
        <v>0</v>
      </c>
      <c r="L86" s="111">
        <f t="array" ref="L86">IFERROR(
MEDIAN((IF(DATOS_[[Sexo]:[Sexo]]=$B86,IF(DATOS_[[AGRUP. VALOR. PTO.]:[AGRUP. VALOR. PTO.]]=$B84,IF(DATOS_[[Check Periodo Ref.]:[Check Periodo Ref.]]="Dentro",DATOS_[Conc.Sal.07]))))),
0)</f>
        <v>0</v>
      </c>
      <c r="M86" s="111">
        <f t="array" ref="M86">IFERROR(
MEDIAN((IF(DATOS_[[Sexo]:[Sexo]]=$B86,IF(DATOS_[[AGRUP. VALOR. PTO.]:[AGRUP. VALOR. PTO.]]=$B84,IF(DATOS_[[Check Periodo Ref.]:[Check Periodo Ref.]]="Dentro",DATOS_[Conc.Sal.08]))))),
0)</f>
        <v>0</v>
      </c>
      <c r="N86" s="111">
        <f t="array" ref="N86">IFERROR(
MEDIAN((IF(DATOS_[[Sexo]:[Sexo]]=$B86,IF(DATOS_[[AGRUP. VALOR. PTO.]:[AGRUP. VALOR. PTO.]]=$B84,IF(DATOS_[[Check Periodo Ref.]:[Check Periodo Ref.]]="Dentro",DATOS_[Conc.Sal.09]))))),
0)</f>
        <v>0</v>
      </c>
      <c r="O86" s="111">
        <f t="array" ref="O86">IFERROR(
MEDIAN((IF(DATOS_[[Sexo]:[Sexo]]=$B86,IF(DATOS_[[AGRUP. VALOR. PTO.]:[AGRUP. VALOR. PTO.]]=$B84,IF(DATOS_[[Check Periodo Ref.]:[Check Periodo Ref.]]="Dentro",DATOS_[Conc.Sal.10]))))),
0)</f>
        <v>0</v>
      </c>
      <c r="P86" s="111">
        <f t="array" ref="P86">IFERROR(
MEDIAN((IF(DATOS_[[Sexo]:[Sexo]]=$B86,IF(DATOS_[[AGRUP. VALOR. PTO.]:[AGRUP. VALOR. PTO.]]=$B84,IF(DATOS_[[Check Periodo Ref.]:[Check Periodo Ref.]]="Dentro",DATOS_[Conc.Sal.11]))))),
0)</f>
        <v>0</v>
      </c>
      <c r="Q86" s="111">
        <f t="array" ref="Q86">IFERROR(
MEDIAN((IF(DATOS_[[Sexo]:[Sexo]]=$B86,IF(DATOS_[[AGRUP. VALOR. PTO.]:[AGRUP. VALOR. PTO.]]=$B84,IF(DATOS_[[Check Periodo Ref.]:[Check Periodo Ref.]]="Dentro",DATOS_[Conc.Sal.12]))))),
0)</f>
        <v>0</v>
      </c>
      <c r="R86" s="111">
        <f t="array" ref="R86">IFERROR(
MEDIAN((IF(DATOS_[[Sexo]:[Sexo]]=$B86,IF(DATOS_[[AGRUP. VALOR. PTO.]:[AGRUP. VALOR. PTO.]]=$B84,IF(DATOS_[[Check Periodo Ref.]:[Check Periodo Ref.]]="Dentro",DATOS_[Conc.Sal.13]))))),
0)</f>
        <v>0</v>
      </c>
      <c r="S86" s="111">
        <f t="array" ref="S86">IFERROR(
MEDIAN((IF(DATOS_[[Sexo]:[Sexo]]=$B86,IF(DATOS_[[AGRUP. VALOR. PTO.]:[AGRUP. VALOR. PTO.]]=$B84,IF(DATOS_[[Check Periodo Ref.]:[Check Periodo Ref.]]="Dentro",DATOS_[Conc.Sal.14]))))),
0)</f>
        <v>0</v>
      </c>
      <c r="T86" s="111">
        <f t="array" ref="T86">IFERROR(
MEDIAN((IF(DATOS_[[Sexo]:[Sexo]]=$B86,IF(DATOS_[[AGRUP. VALOR. PTO.]:[AGRUP. VALOR. PTO.]]=$B84,IF(DATOS_[[Check Periodo Ref.]:[Check Periodo Ref.]]="Dentro",DATOS_[Conc.Sal.15]))))),
0)</f>
        <v>0</v>
      </c>
      <c r="U86" s="111">
        <f t="array" ref="U86">IFERROR(
MEDIAN((IF(DATOS_[[Sexo]:[Sexo]]=$B86,IF(DATOS_[[AGRUP. VALOR. PTO.]:[AGRUP. VALOR. PTO.]]=$B84,IF(DATOS_[[Check Periodo Ref.]:[Check Periodo Ref.]]="Dentro",DATOS_[Conc.Sal.16]))))),
0)</f>
        <v>0</v>
      </c>
      <c r="V86" s="111">
        <f t="array" ref="V86">IFERROR(
MEDIAN((IF(DATOS_[[Sexo]:[Sexo]]=$B86,IF(DATOS_[[AGRUP. VALOR. PTO.]:[AGRUP. VALOR. PTO.]]=$B84,IF(DATOS_[[Check Periodo Ref.]:[Check Periodo Ref.]]="Dentro",DATOS_[Conc.Sal.17]))))),
0)</f>
        <v>0</v>
      </c>
      <c r="W86" s="111">
        <f t="array" ref="W86">IFERROR(
MEDIAN((IF(DATOS_[[Sexo]:[Sexo]]=$B86,IF(DATOS_[[AGRUP. VALOR. PTO.]:[AGRUP. VALOR. PTO.]]=$B84,IF(DATOS_[[Check Periodo Ref.]:[Check Periodo Ref.]]="Dentro",DATOS_[Conc.Sal.18]))))),
0)</f>
        <v>0</v>
      </c>
      <c r="X86" s="111">
        <f t="array" ref="X86">IFERROR(
MEDIAN((IF(DATOS_[[Sexo]:[Sexo]]=$B86,IF(DATOS_[[AGRUP. VALOR. PTO.]:[AGRUP. VALOR. PTO.]]=$B84,IF(DATOS_[[Check Periodo Ref.]:[Check Periodo Ref.]]="Dentro",DATOS_[Conc.Sal.19]))))),
0)</f>
        <v>0</v>
      </c>
      <c r="Y86" s="111">
        <f t="array" ref="Y86">IFERROR(
MEDIAN((IF(DATOS_[[Sexo]:[Sexo]]=$B86,IF(DATOS_[[AGRUP. VALOR. PTO.]:[AGRUP. VALOR. PTO.]]=$B84,IF(DATOS_[[Check Periodo Ref.]:[Check Periodo Ref.]]="Dentro",DATOS_[Conc.Sal.20]))))),
0)</f>
        <v>0</v>
      </c>
      <c r="Z86" s="111">
        <f t="array" ref="Z86">IFERROR(
MEDIAN((IF(DATOS_[[Sexo]:[Sexo]]=$B86,IF(DATOS_[[AGRUP. VALOR. PTO.]:[AGRUP. VALOR. PTO.]]=$B84,IF(DATOS_[[Check Periodo Ref.]:[Check Periodo Ref.]]="Dentro",DATOS_[Conc.Sal.21]))))),
0)</f>
        <v>0</v>
      </c>
      <c r="AA86" s="111">
        <f t="array" ref="AA86">IFERROR(
MEDIAN((IF(DATOS_[[Sexo]:[Sexo]]=$B86,IF(DATOS_[[AGRUP. VALOR. PTO.]:[AGRUP. VALOR. PTO.]]=$B84,IF(DATOS_[[Check Periodo Ref.]:[Check Periodo Ref.]]="Dentro",DATOS_[Conc.Sal.22]))))),
0)</f>
        <v>0</v>
      </c>
      <c r="AB86" s="111">
        <f t="array" ref="AB86">IFERROR(
MEDIAN((IF(DATOS_[[Sexo]:[Sexo]]=$B86,IF(DATOS_[[AGRUP. VALOR. PTO.]:[AGRUP. VALOR. PTO.]]=$B84,IF(DATOS_[[Check Periodo Ref.]:[Check Periodo Ref.]]="Dentro",DATOS_[Conc.Sal.23]))))),
0)</f>
        <v>0</v>
      </c>
      <c r="AC86" s="111">
        <f t="array" ref="AC86">IFERROR(
MEDIAN((IF(DATOS_[[Sexo]:[Sexo]]=$B86,IF(DATOS_[[AGRUP. VALOR. PTO.]:[AGRUP. VALOR. PTO.]]=$B84,IF(DATOS_[[Check Periodo Ref.]:[Check Periodo Ref.]]="Dentro",DATOS_[Conc.Sal.24]))))),
0)</f>
        <v>0</v>
      </c>
      <c r="AD86" s="111">
        <f t="array" ref="AD86">IFERROR(
MEDIAN((IF(DATOS_[[Sexo]:[Sexo]]=$B86,IF(DATOS_[[AGRUP. VALOR. PTO.]:[AGRUP. VALOR. PTO.]]=$B84,IF(DATOS_[[Check Periodo Ref.]:[Check Periodo Ref.]]="Dentro",DATOS_[Conc.Sal.25]))))),
0)</f>
        <v>0</v>
      </c>
      <c r="AE86" s="111">
        <f t="array" ref="AE86">IFERROR(
MEDIAN((IF(DATOS_[[Sexo]:[Sexo]]=$B86,IF(DATOS_[[AGRUP. VALOR. PTO.]:[AGRUP. VALOR. PTO.]]=$B84,IF(DATOS_[[Check Periodo Ref.]:[Check Periodo Ref.]]="Dentro",DATOS_[Conc.Sal.26]))))),
0)</f>
        <v>0</v>
      </c>
      <c r="AF86" s="111">
        <f t="array" ref="AF86">IFERROR(
MEDIAN((IF(DATOS_[[Sexo]:[Sexo]]=$B86,IF(DATOS_[[AGRUP. VALOR. PTO.]:[AGRUP. VALOR. PTO.]]=$B84,IF(DATOS_[[Check Periodo Ref.]:[Check Periodo Ref.]]="Dentro",DATOS_[Conc.Sal.27]))))),
0)</f>
        <v>0</v>
      </c>
      <c r="AG86" s="111">
        <f t="array" ref="AG86">IFERROR(
MEDIAN((IF(DATOS_[[Sexo]:[Sexo]]=$B86,IF(DATOS_[[AGRUP. VALOR. PTO.]:[AGRUP. VALOR. PTO.]]=$B84,IF(DATOS_[[Check Periodo Ref.]:[Check Periodo Ref.]]="Dentro",DATOS_[Conc.Sal.28]))))),
0)</f>
        <v>0</v>
      </c>
      <c r="AH86" s="111">
        <f t="array" ref="AH86">IFERROR(
MEDIAN((IF(DATOS_[[Sexo]:[Sexo]]=$B86,IF(DATOS_[[AGRUP. VALOR. PTO.]:[AGRUP. VALOR. PTO.]]=$B84,IF(DATOS_[[Check Periodo Ref.]:[Check Periodo Ref.]]="Dentro",DATOS_[Conc.Sal.29]))))),
0)</f>
        <v>0</v>
      </c>
      <c r="AI86" s="111">
        <f t="array" ref="AI86">IFERROR(
MEDIAN((IF(DATOS_[[Sexo]:[Sexo]]=$B86,IF(DATOS_[[AGRUP. VALOR. PTO.]:[AGRUP. VALOR. PTO.]]=$B84,IF(DATOS_[[Check Periodo Ref.]:[Check Periodo Ref.]]="Dentro",DATOS_[Conc.Sal.30]))))),
0)</f>
        <v>0</v>
      </c>
      <c r="AJ86" s="112">
        <f t="array" ref="AJ86">IFERROR(
MEDIAN(IF(DATOS_[Sexo]=$B86,IF(DATOS_[AGRUP. VALOR. PTO.]=$B84,IF(DATOS_[Check Periodo Ref.]="Dentro",DATOS_[Tot COMPL.SAL Ef],FALSE)))),
0)</f>
        <v>0</v>
      </c>
      <c r="AK86" s="113">
        <f t="array" ref="AK86">IFERROR(
MEDIAN(IF(DATOS_[Sexo]=$B86,IF(DATOS_[AGRUP. VALOR. PTO.]=$B84,IF(DATOS_[Check Periodo Ref.]="Dentro",DATOS_[TOTAL SALARIO Ef],FALSE)))),
0)</f>
        <v>0</v>
      </c>
      <c r="AL86" s="114">
        <f t="array" ref="AL86">IFERROR(
MEDIAN((IF(DATOS_[[Sexo]:[Sexo]]=$B86,IF(DATOS_[[AGRUP. VALOR. PTO.]:[AGRUP. VALOR. PTO.]]=$B84,IF(DATOS_[[Check Periodo Ref.]:[Check Periodo Ref.]]="Dentro",DATOS_[C.Extra.01]))))),
0)</f>
        <v>0</v>
      </c>
      <c r="AM86" s="114">
        <f t="array" ref="AM86">IFERROR(
MEDIAN((IF(DATOS_[[Sexo]:[Sexo]]=$B86,IF(DATOS_[[AGRUP. VALOR. PTO.]:[AGRUP. VALOR. PTO.]]=$B84,IF(DATOS_[[Check Periodo Ref.]:[Check Periodo Ref.]]="Dentro",DATOS_[C.Extra.02]))))),
0)</f>
        <v>0</v>
      </c>
      <c r="AN86" s="114">
        <f t="array" ref="AN86">IFERROR(
MEDIAN((IF(DATOS_[[Sexo]:[Sexo]]=$B86,IF(DATOS_[[AGRUP. VALOR. PTO.]:[AGRUP. VALOR. PTO.]]=$B84,IF(DATOS_[[Check Periodo Ref.]:[Check Periodo Ref.]]="Dentro",DATOS_[C.Extra.03]))))),
0)</f>
        <v>0</v>
      </c>
      <c r="AO86" s="114">
        <f t="array" ref="AO86">IFERROR(
MEDIAN((IF(DATOS_[[Sexo]:[Sexo]]=$B86,IF(DATOS_[[AGRUP. VALOR. PTO.]:[AGRUP. VALOR. PTO.]]=$B84,IF(DATOS_[[Check Periodo Ref.]:[Check Periodo Ref.]]="Dentro",DATOS_[C.Extra.04]))))),
0)</f>
        <v>0</v>
      </c>
      <c r="AP86" s="114">
        <f t="array" ref="AP86">IFERROR(
MEDIAN((IF(DATOS_[[Sexo]:[Sexo]]=$B86,IF(DATOS_[[AGRUP. VALOR. PTO.]:[AGRUP. VALOR. PTO.]]=$B84,IF(DATOS_[[Check Periodo Ref.]:[Check Periodo Ref.]]="Dentro",DATOS_[C.Extra.05]))))),
0)</f>
        <v>0</v>
      </c>
      <c r="AQ86" s="115">
        <f t="array" ref="AQ86">IFERROR(
MEDIAN(IF(DATOS_[Sexo]=$B86,IF(DATOS_[AGRUP. VALOR. PTO.]=$B84,IF(DATOS_[Check Periodo Ref.]="Dentro",DATOS_[Tot Extrasalarial Ef],FALSE)))),
0)</f>
        <v>0</v>
      </c>
      <c r="AR86" s="116">
        <f t="array" ref="AR86">IFERROR(
MEDIAN(IF(DATOS_[Sexo]=$B86,IF(DATOS_[AGRUP. VALOR. PTO.]=$B84,IF(DATOS_[Check Periodo Ref.]="Dentro",DATOS_[TOTAL Retrib Ef],FALSE)))),
0)</f>
        <v>0</v>
      </c>
    </row>
    <row r="87" spans="1:44" ht="17.25" hidden="1" thickBot="1" x14ac:dyDescent="0.35">
      <c r="A87" s="42" t="str">
        <f t="shared" ref="A87" si="99">+A88</f>
        <v>[ocultar]</v>
      </c>
      <c r="B87" s="40" t="s">
        <v>284</v>
      </c>
      <c r="C87" s="109"/>
      <c r="D87" s="41"/>
      <c r="E87" s="119" t="str">
        <f t="shared" ref="E87:AR87" si="100">IFERROR((E88-E89)/E88,"")</f>
        <v/>
      </c>
      <c r="F87" s="123" t="str">
        <f t="shared" si="100"/>
        <v/>
      </c>
      <c r="G87" s="123" t="str">
        <f t="shared" si="100"/>
        <v/>
      </c>
      <c r="H87" s="123" t="str">
        <f t="shared" si="100"/>
        <v/>
      </c>
      <c r="I87" s="123" t="str">
        <f t="shared" si="100"/>
        <v/>
      </c>
      <c r="J87" s="123" t="str">
        <f t="shared" si="100"/>
        <v/>
      </c>
      <c r="K87" s="123" t="str">
        <f t="shared" si="100"/>
        <v/>
      </c>
      <c r="L87" s="123" t="str">
        <f t="shared" si="100"/>
        <v/>
      </c>
      <c r="M87" s="123" t="str">
        <f t="shared" si="100"/>
        <v/>
      </c>
      <c r="N87" s="123" t="str">
        <f t="shared" si="100"/>
        <v/>
      </c>
      <c r="O87" s="123" t="str">
        <f t="shared" si="100"/>
        <v/>
      </c>
      <c r="P87" s="123" t="str">
        <f t="shared" si="100"/>
        <v/>
      </c>
      <c r="Q87" s="123" t="str">
        <f t="shared" si="100"/>
        <v/>
      </c>
      <c r="R87" s="123" t="str">
        <f t="shared" si="100"/>
        <v/>
      </c>
      <c r="S87" s="123" t="str">
        <f t="shared" si="100"/>
        <v/>
      </c>
      <c r="T87" s="123" t="str">
        <f t="shared" si="100"/>
        <v/>
      </c>
      <c r="U87" s="123" t="str">
        <f t="shared" si="100"/>
        <v/>
      </c>
      <c r="V87" s="122" t="str">
        <f t="shared" si="100"/>
        <v/>
      </c>
      <c r="W87" s="122" t="str">
        <f t="shared" si="100"/>
        <v/>
      </c>
      <c r="X87" s="122" t="str">
        <f t="shared" si="100"/>
        <v/>
      </c>
      <c r="Y87" s="122" t="str">
        <f t="shared" si="100"/>
        <v/>
      </c>
      <c r="Z87" s="122" t="str">
        <f t="shared" si="100"/>
        <v/>
      </c>
      <c r="AA87" s="122" t="str">
        <f t="shared" si="100"/>
        <v/>
      </c>
      <c r="AB87" s="122" t="str">
        <f t="shared" si="100"/>
        <v/>
      </c>
      <c r="AC87" s="122" t="str">
        <f t="shared" si="100"/>
        <v/>
      </c>
      <c r="AD87" s="122" t="str">
        <f t="shared" si="100"/>
        <v/>
      </c>
      <c r="AE87" s="122" t="str">
        <f t="shared" si="100"/>
        <v/>
      </c>
      <c r="AF87" s="122" t="str">
        <f t="shared" si="100"/>
        <v/>
      </c>
      <c r="AG87" s="122" t="str">
        <f t="shared" si="100"/>
        <v/>
      </c>
      <c r="AH87" s="122" t="str">
        <f t="shared" si="100"/>
        <v/>
      </c>
      <c r="AI87" s="122" t="str">
        <f t="shared" si="100"/>
        <v/>
      </c>
      <c r="AJ87" s="124" t="str">
        <f t="shared" si="100"/>
        <v/>
      </c>
      <c r="AK87" s="128" t="str">
        <f t="shared" si="100"/>
        <v/>
      </c>
      <c r="AL87" s="125" t="str">
        <f t="shared" si="100"/>
        <v/>
      </c>
      <c r="AM87" s="125" t="str">
        <f t="shared" si="100"/>
        <v/>
      </c>
      <c r="AN87" s="125" t="str">
        <f t="shared" si="100"/>
        <v/>
      </c>
      <c r="AO87" s="125" t="str">
        <f t="shared" si="100"/>
        <v/>
      </c>
      <c r="AP87" s="125" t="str">
        <f t="shared" si="100"/>
        <v/>
      </c>
      <c r="AQ87" s="126" t="str">
        <f t="shared" si="100"/>
        <v/>
      </c>
      <c r="AR87" s="127" t="str">
        <f t="shared" si="100"/>
        <v/>
      </c>
    </row>
    <row r="88" spans="1:44" hidden="1" x14ac:dyDescent="0.3">
      <c r="A88" s="42" t="str">
        <f t="shared" ref="A88" si="101">+IF(C88+C89=0,"[ocultar]","")</f>
        <v>[ocultar]</v>
      </c>
      <c r="B88" s="34" t="s">
        <v>162</v>
      </c>
      <c r="C88" s="33">
        <f t="array" ref="C88">SUM(IF($B88=DATOS_[Sexo],
IF($B87=DATOS_[AGRUP. VALOR. PTO.],
IF("Dentro"=DATOS_[Check Periodo Ref.],
1/(COUNTIFS(DATOS_[Sexo],$B88,DATOS_[AGRUP. VALOR. PTO.],$B87,DATOS_[Check Periodo Ref.],"Dentro",DATOS_[id],DATOS_[id]))))))</f>
        <v>0</v>
      </c>
      <c r="D88" s="35">
        <f>COUNTIFS(DATOS_[AGRUP. VALOR. PTO.],$B87,DATOS_[Sexo],$B88,DATOS_[Check Periodo Ref.],"Dentro")</f>
        <v>0</v>
      </c>
      <c r="E88" s="110">
        <f t="array" ref="E88">IFERROR(
MEDIAN(IF(DATOS_[Sexo]=$B88,IF(DATOS_[AGRUP. VALOR. PTO.]=$B87,IF(DATOS_[Check Periodo Ref.]="Dentro",DATOS_[SALARIO BASE Ef],FALSE)))),
0)</f>
        <v>0</v>
      </c>
      <c r="F88" s="111">
        <f t="array" ref="F88">IFERROR(
MEDIAN((IF(DATOS_[[Sexo]:[Sexo]]=$B88,IF(DATOS_[[AGRUP. VALOR. PTO.]:[AGRUP. VALOR. PTO.]]=$B87,IF(DATOS_[[Check Periodo Ref.]:[Check Periodo Ref.]]="Dentro",DATOS_[Conc.Sal.01]))))),
0)</f>
        <v>0</v>
      </c>
      <c r="G88" s="111">
        <f t="array" ref="G88">IFERROR(
MEDIAN((IF(DATOS_[[Sexo]:[Sexo]]=$B88,IF(DATOS_[[AGRUP. VALOR. PTO.]:[AGRUP. VALOR. PTO.]]=$B87,IF(DATOS_[[Check Periodo Ref.]:[Check Periodo Ref.]]="Dentro",DATOS_[Conc.Sal.02]))))),
0)</f>
        <v>0</v>
      </c>
      <c r="H88" s="111">
        <f t="array" ref="H88">IFERROR(
MEDIAN((IF(DATOS_[[Sexo]:[Sexo]]=$B88,IF(DATOS_[[AGRUP. VALOR. PTO.]:[AGRUP. VALOR. PTO.]]=$B87,IF(DATOS_[[Check Periodo Ref.]:[Check Periodo Ref.]]="Dentro",DATOS_[Conc.Sal.03]))))),
0)</f>
        <v>0</v>
      </c>
      <c r="I88" s="111">
        <f t="array" ref="I88">IFERROR(
MEDIAN((IF(DATOS_[[Sexo]:[Sexo]]=$B88,IF(DATOS_[[AGRUP. VALOR. PTO.]:[AGRUP. VALOR. PTO.]]=$B87,IF(DATOS_[[Check Periodo Ref.]:[Check Periodo Ref.]]="Dentro",DATOS_[Conc.Sal.04]))))),
0)</f>
        <v>0</v>
      </c>
      <c r="J88" s="111">
        <f t="array" ref="J88">IFERROR(
MEDIAN((IF(DATOS_[[Sexo]:[Sexo]]=$B88,IF(DATOS_[[AGRUP. VALOR. PTO.]:[AGRUP. VALOR. PTO.]]=$B87,IF(DATOS_[[Check Periodo Ref.]:[Check Periodo Ref.]]="Dentro",DATOS_[Conc.Sal.05]))))),
0)</f>
        <v>0</v>
      </c>
      <c r="K88" s="111">
        <f t="array" ref="K88">IFERROR(
MEDIAN((IF(DATOS_[[Sexo]:[Sexo]]=$B88,IF(DATOS_[[AGRUP. VALOR. PTO.]:[AGRUP. VALOR. PTO.]]=$B87,IF(DATOS_[[Check Periodo Ref.]:[Check Periodo Ref.]]="Dentro",DATOS_[Conc.Sal.06]))))),
0)</f>
        <v>0</v>
      </c>
      <c r="L88" s="111">
        <f t="array" ref="L88">IFERROR(
MEDIAN((IF(DATOS_[[Sexo]:[Sexo]]=$B88,IF(DATOS_[[AGRUP. VALOR. PTO.]:[AGRUP. VALOR. PTO.]]=$B87,IF(DATOS_[[Check Periodo Ref.]:[Check Periodo Ref.]]="Dentro",DATOS_[Conc.Sal.07]))))),
0)</f>
        <v>0</v>
      </c>
      <c r="M88" s="111">
        <f t="array" ref="M88">IFERROR(
MEDIAN((IF(DATOS_[[Sexo]:[Sexo]]=$B88,IF(DATOS_[[AGRUP. VALOR. PTO.]:[AGRUP. VALOR. PTO.]]=$B87,IF(DATOS_[[Check Periodo Ref.]:[Check Periodo Ref.]]="Dentro",DATOS_[Conc.Sal.08]))))),
0)</f>
        <v>0</v>
      </c>
      <c r="N88" s="111">
        <f t="array" ref="N88">IFERROR(
MEDIAN((IF(DATOS_[[Sexo]:[Sexo]]=$B88,IF(DATOS_[[AGRUP. VALOR. PTO.]:[AGRUP. VALOR. PTO.]]=$B87,IF(DATOS_[[Check Periodo Ref.]:[Check Periodo Ref.]]="Dentro",DATOS_[Conc.Sal.09]))))),
0)</f>
        <v>0</v>
      </c>
      <c r="O88" s="111">
        <f t="array" ref="O88">IFERROR(
MEDIAN((IF(DATOS_[[Sexo]:[Sexo]]=$B88,IF(DATOS_[[AGRUP. VALOR. PTO.]:[AGRUP. VALOR. PTO.]]=$B87,IF(DATOS_[[Check Periodo Ref.]:[Check Periodo Ref.]]="Dentro",DATOS_[Conc.Sal.10]))))),
0)</f>
        <v>0</v>
      </c>
      <c r="P88" s="111">
        <f t="array" ref="P88">IFERROR(
MEDIAN((IF(DATOS_[[Sexo]:[Sexo]]=$B88,IF(DATOS_[[AGRUP. VALOR. PTO.]:[AGRUP. VALOR. PTO.]]=$B87,IF(DATOS_[[Check Periodo Ref.]:[Check Periodo Ref.]]="Dentro",DATOS_[Conc.Sal.11]))))),
0)</f>
        <v>0</v>
      </c>
      <c r="Q88" s="111">
        <f t="array" ref="Q88">IFERROR(
MEDIAN((IF(DATOS_[[Sexo]:[Sexo]]=$B88,IF(DATOS_[[AGRUP. VALOR. PTO.]:[AGRUP. VALOR. PTO.]]=$B87,IF(DATOS_[[Check Periodo Ref.]:[Check Periodo Ref.]]="Dentro",DATOS_[Conc.Sal.12]))))),
0)</f>
        <v>0</v>
      </c>
      <c r="R88" s="111">
        <f t="array" ref="R88">IFERROR(
MEDIAN((IF(DATOS_[[Sexo]:[Sexo]]=$B88,IF(DATOS_[[AGRUP. VALOR. PTO.]:[AGRUP. VALOR. PTO.]]=$B87,IF(DATOS_[[Check Periodo Ref.]:[Check Periodo Ref.]]="Dentro",DATOS_[Conc.Sal.13]))))),
0)</f>
        <v>0</v>
      </c>
      <c r="S88" s="111">
        <f t="array" ref="S88">IFERROR(
MEDIAN((IF(DATOS_[[Sexo]:[Sexo]]=$B88,IF(DATOS_[[AGRUP. VALOR. PTO.]:[AGRUP. VALOR. PTO.]]=$B87,IF(DATOS_[[Check Periodo Ref.]:[Check Periodo Ref.]]="Dentro",DATOS_[Conc.Sal.14]))))),
0)</f>
        <v>0</v>
      </c>
      <c r="T88" s="111">
        <f t="array" ref="T88">IFERROR(
MEDIAN((IF(DATOS_[[Sexo]:[Sexo]]=$B88,IF(DATOS_[[AGRUP. VALOR. PTO.]:[AGRUP. VALOR. PTO.]]=$B87,IF(DATOS_[[Check Periodo Ref.]:[Check Periodo Ref.]]="Dentro",DATOS_[Conc.Sal.15]))))),
0)</f>
        <v>0</v>
      </c>
      <c r="U88" s="111">
        <f t="array" ref="U88">IFERROR(
MEDIAN((IF(DATOS_[[Sexo]:[Sexo]]=$B88,IF(DATOS_[[AGRUP. VALOR. PTO.]:[AGRUP. VALOR. PTO.]]=$B87,IF(DATOS_[[Check Periodo Ref.]:[Check Periodo Ref.]]="Dentro",DATOS_[Conc.Sal.16]))))),
0)</f>
        <v>0</v>
      </c>
      <c r="V88" s="111">
        <f t="array" ref="V88">IFERROR(
MEDIAN((IF(DATOS_[[Sexo]:[Sexo]]=$B88,IF(DATOS_[[AGRUP. VALOR. PTO.]:[AGRUP. VALOR. PTO.]]=$B87,IF(DATOS_[[Check Periodo Ref.]:[Check Periodo Ref.]]="Dentro",DATOS_[Conc.Sal.17]))))),
0)</f>
        <v>0</v>
      </c>
      <c r="W88" s="111">
        <f t="array" ref="W88">IFERROR(
MEDIAN((IF(DATOS_[[Sexo]:[Sexo]]=$B88,IF(DATOS_[[AGRUP. VALOR. PTO.]:[AGRUP. VALOR. PTO.]]=$B87,IF(DATOS_[[Check Periodo Ref.]:[Check Periodo Ref.]]="Dentro",DATOS_[Conc.Sal.18]))))),
0)</f>
        <v>0</v>
      </c>
      <c r="X88" s="111">
        <f t="array" ref="X88">IFERROR(
MEDIAN((IF(DATOS_[[Sexo]:[Sexo]]=$B88,IF(DATOS_[[AGRUP. VALOR. PTO.]:[AGRUP. VALOR. PTO.]]=$B87,IF(DATOS_[[Check Periodo Ref.]:[Check Periodo Ref.]]="Dentro",DATOS_[Conc.Sal.19]))))),
0)</f>
        <v>0</v>
      </c>
      <c r="Y88" s="111">
        <f t="array" ref="Y88">IFERROR(
MEDIAN((IF(DATOS_[[Sexo]:[Sexo]]=$B88,IF(DATOS_[[AGRUP. VALOR. PTO.]:[AGRUP. VALOR. PTO.]]=$B87,IF(DATOS_[[Check Periodo Ref.]:[Check Periodo Ref.]]="Dentro",DATOS_[Conc.Sal.20]))))),
0)</f>
        <v>0</v>
      </c>
      <c r="Z88" s="111">
        <f t="array" ref="Z88">IFERROR(
MEDIAN((IF(DATOS_[[Sexo]:[Sexo]]=$B88,IF(DATOS_[[AGRUP. VALOR. PTO.]:[AGRUP. VALOR. PTO.]]=$B87,IF(DATOS_[[Check Periodo Ref.]:[Check Periodo Ref.]]="Dentro",DATOS_[Conc.Sal.21]))))),
0)</f>
        <v>0</v>
      </c>
      <c r="AA88" s="111">
        <f t="array" ref="AA88">IFERROR(
MEDIAN((IF(DATOS_[[Sexo]:[Sexo]]=$B88,IF(DATOS_[[AGRUP. VALOR. PTO.]:[AGRUP. VALOR. PTO.]]=$B87,IF(DATOS_[[Check Periodo Ref.]:[Check Periodo Ref.]]="Dentro",DATOS_[Conc.Sal.22]))))),
0)</f>
        <v>0</v>
      </c>
      <c r="AB88" s="111">
        <f t="array" ref="AB88">IFERROR(
MEDIAN((IF(DATOS_[[Sexo]:[Sexo]]=$B88,IF(DATOS_[[AGRUP. VALOR. PTO.]:[AGRUP. VALOR. PTO.]]=$B87,IF(DATOS_[[Check Periodo Ref.]:[Check Periodo Ref.]]="Dentro",DATOS_[Conc.Sal.23]))))),
0)</f>
        <v>0</v>
      </c>
      <c r="AC88" s="111">
        <f t="array" ref="AC88">IFERROR(
MEDIAN((IF(DATOS_[[Sexo]:[Sexo]]=$B88,IF(DATOS_[[AGRUP. VALOR. PTO.]:[AGRUP. VALOR. PTO.]]=$B87,IF(DATOS_[[Check Periodo Ref.]:[Check Periodo Ref.]]="Dentro",DATOS_[Conc.Sal.24]))))),
0)</f>
        <v>0</v>
      </c>
      <c r="AD88" s="111">
        <f t="array" ref="AD88">IFERROR(
MEDIAN((IF(DATOS_[[Sexo]:[Sexo]]=$B88,IF(DATOS_[[AGRUP. VALOR. PTO.]:[AGRUP. VALOR. PTO.]]=$B87,IF(DATOS_[[Check Periodo Ref.]:[Check Periodo Ref.]]="Dentro",DATOS_[Conc.Sal.25]))))),
0)</f>
        <v>0</v>
      </c>
      <c r="AE88" s="111">
        <f t="array" ref="AE88">IFERROR(
MEDIAN((IF(DATOS_[[Sexo]:[Sexo]]=$B88,IF(DATOS_[[AGRUP. VALOR. PTO.]:[AGRUP. VALOR. PTO.]]=$B87,IF(DATOS_[[Check Periodo Ref.]:[Check Periodo Ref.]]="Dentro",DATOS_[Conc.Sal.26]))))),
0)</f>
        <v>0</v>
      </c>
      <c r="AF88" s="111">
        <f t="array" ref="AF88">IFERROR(
MEDIAN((IF(DATOS_[[Sexo]:[Sexo]]=$B88,IF(DATOS_[[AGRUP. VALOR. PTO.]:[AGRUP. VALOR. PTO.]]=$B87,IF(DATOS_[[Check Periodo Ref.]:[Check Periodo Ref.]]="Dentro",DATOS_[Conc.Sal.27]))))),
0)</f>
        <v>0</v>
      </c>
      <c r="AG88" s="111">
        <f t="array" ref="AG88">IFERROR(
MEDIAN((IF(DATOS_[[Sexo]:[Sexo]]=$B88,IF(DATOS_[[AGRUP. VALOR. PTO.]:[AGRUP. VALOR. PTO.]]=$B87,IF(DATOS_[[Check Periodo Ref.]:[Check Periodo Ref.]]="Dentro",DATOS_[Conc.Sal.28]))))),
0)</f>
        <v>0</v>
      </c>
      <c r="AH88" s="111">
        <f t="array" ref="AH88">IFERROR(
MEDIAN((IF(DATOS_[[Sexo]:[Sexo]]=$B88,IF(DATOS_[[AGRUP. VALOR. PTO.]:[AGRUP. VALOR. PTO.]]=$B87,IF(DATOS_[[Check Periodo Ref.]:[Check Periodo Ref.]]="Dentro",DATOS_[Conc.Sal.29]))))),
0)</f>
        <v>0</v>
      </c>
      <c r="AI88" s="111">
        <f t="array" ref="AI88">IFERROR(
MEDIAN((IF(DATOS_[[Sexo]:[Sexo]]=$B88,IF(DATOS_[[AGRUP. VALOR. PTO.]:[AGRUP. VALOR. PTO.]]=$B87,IF(DATOS_[[Check Periodo Ref.]:[Check Periodo Ref.]]="Dentro",DATOS_[Conc.Sal.30]))))),
0)</f>
        <v>0</v>
      </c>
      <c r="AJ88" s="112">
        <f t="array" ref="AJ88">IFERROR(
MEDIAN(IF(DATOS_[Sexo]=$B88,IF(DATOS_[AGRUP. VALOR. PTO.]=$B87,IF(DATOS_[Check Periodo Ref.]="Dentro",DATOS_[Tot COMPL.SAL Ef],FALSE)))),
0)</f>
        <v>0</v>
      </c>
      <c r="AK88" s="113">
        <f t="array" ref="AK88">IFERROR(
MEDIAN(IF(DATOS_[Sexo]=$B88,IF(DATOS_[AGRUP. VALOR. PTO.]=$B87,IF(DATOS_[Check Periodo Ref.]="Dentro",DATOS_[TOTAL SALARIO Ef],FALSE)))),
0)</f>
        <v>0</v>
      </c>
      <c r="AL88" s="114">
        <f t="array" ref="AL88">IFERROR(
MEDIAN((IF(DATOS_[[Sexo]:[Sexo]]=$B88,IF(DATOS_[[AGRUP. VALOR. PTO.]:[AGRUP. VALOR. PTO.]]=$B87,IF(DATOS_[[Check Periodo Ref.]:[Check Periodo Ref.]]="Dentro",DATOS_[C.Extra.01]))))),
0)</f>
        <v>0</v>
      </c>
      <c r="AM88" s="114">
        <f t="array" ref="AM88">IFERROR(
MEDIAN((IF(DATOS_[[Sexo]:[Sexo]]=$B88,IF(DATOS_[[AGRUP. VALOR. PTO.]:[AGRUP. VALOR. PTO.]]=$B87,IF(DATOS_[[Check Periodo Ref.]:[Check Periodo Ref.]]="Dentro",DATOS_[C.Extra.02]))))),
0)</f>
        <v>0</v>
      </c>
      <c r="AN88" s="114">
        <f t="array" ref="AN88">IFERROR(
MEDIAN((IF(DATOS_[[Sexo]:[Sexo]]=$B88,IF(DATOS_[[AGRUP. VALOR. PTO.]:[AGRUP. VALOR. PTO.]]=$B87,IF(DATOS_[[Check Periodo Ref.]:[Check Periodo Ref.]]="Dentro",DATOS_[C.Extra.03]))))),
0)</f>
        <v>0</v>
      </c>
      <c r="AO88" s="114">
        <f t="array" ref="AO88">IFERROR(
MEDIAN((IF(DATOS_[[Sexo]:[Sexo]]=$B88,IF(DATOS_[[AGRUP. VALOR. PTO.]:[AGRUP. VALOR. PTO.]]=$B87,IF(DATOS_[[Check Periodo Ref.]:[Check Periodo Ref.]]="Dentro",DATOS_[C.Extra.04]))))),
0)</f>
        <v>0</v>
      </c>
      <c r="AP88" s="114">
        <f t="array" ref="AP88">IFERROR(
MEDIAN((IF(DATOS_[[Sexo]:[Sexo]]=$B88,IF(DATOS_[[AGRUP. VALOR. PTO.]:[AGRUP. VALOR. PTO.]]=$B87,IF(DATOS_[[Check Periodo Ref.]:[Check Periodo Ref.]]="Dentro",DATOS_[C.Extra.05]))))),
0)</f>
        <v>0</v>
      </c>
      <c r="AQ88" s="115">
        <f t="array" ref="AQ88">IFERROR(
MEDIAN(IF(DATOS_[Sexo]=$B88,IF(DATOS_[AGRUP. VALOR. PTO.]=$B87,IF(DATOS_[Check Periodo Ref.]="Dentro",DATOS_[Tot Extrasalarial Ef],FALSE)))),
0)</f>
        <v>0</v>
      </c>
      <c r="AR88" s="116">
        <f t="array" ref="AR88">IFERROR(
MEDIAN(IF(DATOS_[Sexo]=$B88,IF(DATOS_[AGRUP. VALOR. PTO.]=$B87,IF(DATOS_[Check Periodo Ref.]="Dentro",DATOS_[TOTAL Retrib Ef],FALSE)))),
0)</f>
        <v>0</v>
      </c>
    </row>
    <row r="89" spans="1:44" hidden="1" x14ac:dyDescent="0.3">
      <c r="A89" s="42" t="str">
        <f t="shared" ref="A89" si="102">+A88</f>
        <v>[ocultar]</v>
      </c>
      <c r="B89" s="34" t="s">
        <v>163</v>
      </c>
      <c r="C89" s="33">
        <f t="array" ref="C89">SUM(IF($B89=DATOS_[Sexo],
IF($B87=DATOS_[AGRUP. VALOR. PTO.],
IF("Dentro"=DATOS_[Check Periodo Ref.],
1/(COUNTIFS(DATOS_[Sexo],$B89,DATOS_[AGRUP. VALOR. PTO.],$B87,DATOS_[Check Periodo Ref.],"Dentro",DATOS_[id],DATOS_[id]))))))</f>
        <v>0</v>
      </c>
      <c r="D89" s="35">
        <f>COUNTIFS(DATOS_[AGRUP. VALOR. PTO.],$B87,DATOS_[Sexo],$B89,DATOS_[Check Periodo Ref.],"Dentro")</f>
        <v>0</v>
      </c>
      <c r="E89" s="110">
        <f t="array" ref="E89">IFERROR(
MEDIAN(IF(DATOS_[Sexo]=$B89,IF(DATOS_[AGRUP. VALOR. PTO.]=$B87,IF(DATOS_[Check Periodo Ref.]="Dentro",DATOS_[SALARIO BASE Ef],FALSE)))),
0)</f>
        <v>0</v>
      </c>
      <c r="F89" s="111">
        <f t="array" ref="F89">IFERROR(
MEDIAN((IF(DATOS_[[Sexo]:[Sexo]]=$B89,IF(DATOS_[[AGRUP. VALOR. PTO.]:[AGRUP. VALOR. PTO.]]=$B87,IF(DATOS_[[Check Periodo Ref.]:[Check Periodo Ref.]]="Dentro",DATOS_[Conc.Sal.01]))))),
0)</f>
        <v>0</v>
      </c>
      <c r="G89" s="111">
        <f t="array" ref="G89">IFERROR(
MEDIAN((IF(DATOS_[[Sexo]:[Sexo]]=$B89,IF(DATOS_[[AGRUP. VALOR. PTO.]:[AGRUP. VALOR. PTO.]]=$B87,IF(DATOS_[[Check Periodo Ref.]:[Check Periodo Ref.]]="Dentro",DATOS_[Conc.Sal.02]))))),
0)</f>
        <v>0</v>
      </c>
      <c r="H89" s="111">
        <f t="array" ref="H89">IFERROR(
MEDIAN((IF(DATOS_[[Sexo]:[Sexo]]=$B89,IF(DATOS_[[AGRUP. VALOR. PTO.]:[AGRUP. VALOR. PTO.]]=$B87,IF(DATOS_[[Check Periodo Ref.]:[Check Periodo Ref.]]="Dentro",DATOS_[Conc.Sal.03]))))),
0)</f>
        <v>0</v>
      </c>
      <c r="I89" s="111">
        <f t="array" ref="I89">IFERROR(
MEDIAN((IF(DATOS_[[Sexo]:[Sexo]]=$B89,IF(DATOS_[[AGRUP. VALOR. PTO.]:[AGRUP. VALOR. PTO.]]=$B87,IF(DATOS_[[Check Periodo Ref.]:[Check Periodo Ref.]]="Dentro",DATOS_[Conc.Sal.04]))))),
0)</f>
        <v>0</v>
      </c>
      <c r="J89" s="111">
        <f t="array" ref="J89">IFERROR(
MEDIAN((IF(DATOS_[[Sexo]:[Sexo]]=$B89,IF(DATOS_[[AGRUP. VALOR. PTO.]:[AGRUP. VALOR. PTO.]]=$B87,IF(DATOS_[[Check Periodo Ref.]:[Check Periodo Ref.]]="Dentro",DATOS_[Conc.Sal.05]))))),
0)</f>
        <v>0</v>
      </c>
      <c r="K89" s="111">
        <f t="array" ref="K89">IFERROR(
MEDIAN((IF(DATOS_[[Sexo]:[Sexo]]=$B89,IF(DATOS_[[AGRUP. VALOR. PTO.]:[AGRUP. VALOR. PTO.]]=$B87,IF(DATOS_[[Check Periodo Ref.]:[Check Periodo Ref.]]="Dentro",DATOS_[Conc.Sal.06]))))),
0)</f>
        <v>0</v>
      </c>
      <c r="L89" s="111">
        <f t="array" ref="L89">IFERROR(
MEDIAN((IF(DATOS_[[Sexo]:[Sexo]]=$B89,IF(DATOS_[[AGRUP. VALOR. PTO.]:[AGRUP. VALOR. PTO.]]=$B87,IF(DATOS_[[Check Periodo Ref.]:[Check Periodo Ref.]]="Dentro",DATOS_[Conc.Sal.07]))))),
0)</f>
        <v>0</v>
      </c>
      <c r="M89" s="111">
        <f t="array" ref="M89">IFERROR(
MEDIAN((IF(DATOS_[[Sexo]:[Sexo]]=$B89,IF(DATOS_[[AGRUP. VALOR. PTO.]:[AGRUP. VALOR. PTO.]]=$B87,IF(DATOS_[[Check Periodo Ref.]:[Check Periodo Ref.]]="Dentro",DATOS_[Conc.Sal.08]))))),
0)</f>
        <v>0</v>
      </c>
      <c r="N89" s="111">
        <f t="array" ref="N89">IFERROR(
MEDIAN((IF(DATOS_[[Sexo]:[Sexo]]=$B89,IF(DATOS_[[AGRUP. VALOR. PTO.]:[AGRUP. VALOR. PTO.]]=$B87,IF(DATOS_[[Check Periodo Ref.]:[Check Periodo Ref.]]="Dentro",DATOS_[Conc.Sal.09]))))),
0)</f>
        <v>0</v>
      </c>
      <c r="O89" s="111">
        <f t="array" ref="O89">IFERROR(
MEDIAN((IF(DATOS_[[Sexo]:[Sexo]]=$B89,IF(DATOS_[[AGRUP. VALOR. PTO.]:[AGRUP. VALOR. PTO.]]=$B87,IF(DATOS_[[Check Periodo Ref.]:[Check Periodo Ref.]]="Dentro",DATOS_[Conc.Sal.10]))))),
0)</f>
        <v>0</v>
      </c>
      <c r="P89" s="111">
        <f t="array" ref="P89">IFERROR(
MEDIAN((IF(DATOS_[[Sexo]:[Sexo]]=$B89,IF(DATOS_[[AGRUP. VALOR. PTO.]:[AGRUP. VALOR. PTO.]]=$B87,IF(DATOS_[[Check Periodo Ref.]:[Check Periodo Ref.]]="Dentro",DATOS_[Conc.Sal.11]))))),
0)</f>
        <v>0</v>
      </c>
      <c r="Q89" s="111">
        <f t="array" ref="Q89">IFERROR(
MEDIAN((IF(DATOS_[[Sexo]:[Sexo]]=$B89,IF(DATOS_[[AGRUP. VALOR. PTO.]:[AGRUP. VALOR. PTO.]]=$B87,IF(DATOS_[[Check Periodo Ref.]:[Check Periodo Ref.]]="Dentro",DATOS_[Conc.Sal.12]))))),
0)</f>
        <v>0</v>
      </c>
      <c r="R89" s="111">
        <f t="array" ref="R89">IFERROR(
MEDIAN((IF(DATOS_[[Sexo]:[Sexo]]=$B89,IF(DATOS_[[AGRUP. VALOR. PTO.]:[AGRUP. VALOR. PTO.]]=$B87,IF(DATOS_[[Check Periodo Ref.]:[Check Periodo Ref.]]="Dentro",DATOS_[Conc.Sal.13]))))),
0)</f>
        <v>0</v>
      </c>
      <c r="S89" s="111">
        <f t="array" ref="S89">IFERROR(
MEDIAN((IF(DATOS_[[Sexo]:[Sexo]]=$B89,IF(DATOS_[[AGRUP. VALOR. PTO.]:[AGRUP. VALOR. PTO.]]=$B87,IF(DATOS_[[Check Periodo Ref.]:[Check Periodo Ref.]]="Dentro",DATOS_[Conc.Sal.14]))))),
0)</f>
        <v>0</v>
      </c>
      <c r="T89" s="111">
        <f t="array" ref="T89">IFERROR(
MEDIAN((IF(DATOS_[[Sexo]:[Sexo]]=$B89,IF(DATOS_[[AGRUP. VALOR. PTO.]:[AGRUP. VALOR. PTO.]]=$B87,IF(DATOS_[[Check Periodo Ref.]:[Check Periodo Ref.]]="Dentro",DATOS_[Conc.Sal.15]))))),
0)</f>
        <v>0</v>
      </c>
      <c r="U89" s="111">
        <f t="array" ref="U89">IFERROR(
MEDIAN((IF(DATOS_[[Sexo]:[Sexo]]=$B89,IF(DATOS_[[AGRUP. VALOR. PTO.]:[AGRUP. VALOR. PTO.]]=$B87,IF(DATOS_[[Check Periodo Ref.]:[Check Periodo Ref.]]="Dentro",DATOS_[Conc.Sal.16]))))),
0)</f>
        <v>0</v>
      </c>
      <c r="V89" s="111">
        <f t="array" ref="V89">IFERROR(
MEDIAN((IF(DATOS_[[Sexo]:[Sexo]]=$B89,IF(DATOS_[[AGRUP. VALOR. PTO.]:[AGRUP. VALOR. PTO.]]=$B87,IF(DATOS_[[Check Periodo Ref.]:[Check Periodo Ref.]]="Dentro",DATOS_[Conc.Sal.17]))))),
0)</f>
        <v>0</v>
      </c>
      <c r="W89" s="111">
        <f t="array" ref="W89">IFERROR(
MEDIAN((IF(DATOS_[[Sexo]:[Sexo]]=$B89,IF(DATOS_[[AGRUP. VALOR. PTO.]:[AGRUP. VALOR. PTO.]]=$B87,IF(DATOS_[[Check Periodo Ref.]:[Check Periodo Ref.]]="Dentro",DATOS_[Conc.Sal.18]))))),
0)</f>
        <v>0</v>
      </c>
      <c r="X89" s="111">
        <f t="array" ref="X89">IFERROR(
MEDIAN((IF(DATOS_[[Sexo]:[Sexo]]=$B89,IF(DATOS_[[AGRUP. VALOR. PTO.]:[AGRUP. VALOR. PTO.]]=$B87,IF(DATOS_[[Check Periodo Ref.]:[Check Periodo Ref.]]="Dentro",DATOS_[Conc.Sal.19]))))),
0)</f>
        <v>0</v>
      </c>
      <c r="Y89" s="111">
        <f t="array" ref="Y89">IFERROR(
MEDIAN((IF(DATOS_[[Sexo]:[Sexo]]=$B89,IF(DATOS_[[AGRUP. VALOR. PTO.]:[AGRUP. VALOR. PTO.]]=$B87,IF(DATOS_[[Check Periodo Ref.]:[Check Periodo Ref.]]="Dentro",DATOS_[Conc.Sal.20]))))),
0)</f>
        <v>0</v>
      </c>
      <c r="Z89" s="111">
        <f t="array" ref="Z89">IFERROR(
MEDIAN((IF(DATOS_[[Sexo]:[Sexo]]=$B89,IF(DATOS_[[AGRUP. VALOR. PTO.]:[AGRUP. VALOR. PTO.]]=$B87,IF(DATOS_[[Check Periodo Ref.]:[Check Periodo Ref.]]="Dentro",DATOS_[Conc.Sal.21]))))),
0)</f>
        <v>0</v>
      </c>
      <c r="AA89" s="111">
        <f t="array" ref="AA89">IFERROR(
MEDIAN((IF(DATOS_[[Sexo]:[Sexo]]=$B89,IF(DATOS_[[AGRUP. VALOR. PTO.]:[AGRUP. VALOR. PTO.]]=$B87,IF(DATOS_[[Check Periodo Ref.]:[Check Periodo Ref.]]="Dentro",DATOS_[Conc.Sal.22]))))),
0)</f>
        <v>0</v>
      </c>
      <c r="AB89" s="111">
        <f t="array" ref="AB89">IFERROR(
MEDIAN((IF(DATOS_[[Sexo]:[Sexo]]=$B89,IF(DATOS_[[AGRUP. VALOR. PTO.]:[AGRUP. VALOR. PTO.]]=$B87,IF(DATOS_[[Check Periodo Ref.]:[Check Periodo Ref.]]="Dentro",DATOS_[Conc.Sal.23]))))),
0)</f>
        <v>0</v>
      </c>
      <c r="AC89" s="111">
        <f t="array" ref="AC89">IFERROR(
MEDIAN((IF(DATOS_[[Sexo]:[Sexo]]=$B89,IF(DATOS_[[AGRUP. VALOR. PTO.]:[AGRUP. VALOR. PTO.]]=$B87,IF(DATOS_[[Check Periodo Ref.]:[Check Periodo Ref.]]="Dentro",DATOS_[Conc.Sal.24]))))),
0)</f>
        <v>0</v>
      </c>
      <c r="AD89" s="111">
        <f t="array" ref="AD89">IFERROR(
MEDIAN((IF(DATOS_[[Sexo]:[Sexo]]=$B89,IF(DATOS_[[AGRUP. VALOR. PTO.]:[AGRUP. VALOR. PTO.]]=$B87,IF(DATOS_[[Check Periodo Ref.]:[Check Periodo Ref.]]="Dentro",DATOS_[Conc.Sal.25]))))),
0)</f>
        <v>0</v>
      </c>
      <c r="AE89" s="111">
        <f t="array" ref="AE89">IFERROR(
MEDIAN((IF(DATOS_[[Sexo]:[Sexo]]=$B89,IF(DATOS_[[AGRUP. VALOR. PTO.]:[AGRUP. VALOR. PTO.]]=$B87,IF(DATOS_[[Check Periodo Ref.]:[Check Periodo Ref.]]="Dentro",DATOS_[Conc.Sal.26]))))),
0)</f>
        <v>0</v>
      </c>
      <c r="AF89" s="111">
        <f t="array" ref="AF89">IFERROR(
MEDIAN((IF(DATOS_[[Sexo]:[Sexo]]=$B89,IF(DATOS_[[AGRUP. VALOR. PTO.]:[AGRUP. VALOR. PTO.]]=$B87,IF(DATOS_[[Check Periodo Ref.]:[Check Periodo Ref.]]="Dentro",DATOS_[Conc.Sal.27]))))),
0)</f>
        <v>0</v>
      </c>
      <c r="AG89" s="111">
        <f t="array" ref="AG89">IFERROR(
MEDIAN((IF(DATOS_[[Sexo]:[Sexo]]=$B89,IF(DATOS_[[AGRUP. VALOR. PTO.]:[AGRUP. VALOR. PTO.]]=$B87,IF(DATOS_[[Check Periodo Ref.]:[Check Periodo Ref.]]="Dentro",DATOS_[Conc.Sal.28]))))),
0)</f>
        <v>0</v>
      </c>
      <c r="AH89" s="111">
        <f t="array" ref="AH89">IFERROR(
MEDIAN((IF(DATOS_[[Sexo]:[Sexo]]=$B89,IF(DATOS_[[AGRUP. VALOR. PTO.]:[AGRUP. VALOR. PTO.]]=$B87,IF(DATOS_[[Check Periodo Ref.]:[Check Periodo Ref.]]="Dentro",DATOS_[Conc.Sal.29]))))),
0)</f>
        <v>0</v>
      </c>
      <c r="AI89" s="111">
        <f t="array" ref="AI89">IFERROR(
MEDIAN((IF(DATOS_[[Sexo]:[Sexo]]=$B89,IF(DATOS_[[AGRUP. VALOR. PTO.]:[AGRUP. VALOR. PTO.]]=$B87,IF(DATOS_[[Check Periodo Ref.]:[Check Periodo Ref.]]="Dentro",DATOS_[Conc.Sal.30]))))),
0)</f>
        <v>0</v>
      </c>
      <c r="AJ89" s="112">
        <f t="array" ref="AJ89">IFERROR(
MEDIAN(IF(DATOS_[Sexo]=$B89,IF(DATOS_[AGRUP. VALOR. PTO.]=$B87,IF(DATOS_[Check Periodo Ref.]="Dentro",DATOS_[Tot COMPL.SAL Ef],FALSE)))),
0)</f>
        <v>0</v>
      </c>
      <c r="AK89" s="113">
        <f t="array" ref="AK89">IFERROR(
MEDIAN(IF(DATOS_[Sexo]=$B89,IF(DATOS_[AGRUP. VALOR. PTO.]=$B87,IF(DATOS_[Check Periodo Ref.]="Dentro",DATOS_[TOTAL SALARIO Ef],FALSE)))),
0)</f>
        <v>0</v>
      </c>
      <c r="AL89" s="114">
        <f t="array" ref="AL89">IFERROR(
MEDIAN((IF(DATOS_[[Sexo]:[Sexo]]=$B89,IF(DATOS_[[AGRUP. VALOR. PTO.]:[AGRUP. VALOR. PTO.]]=$B87,IF(DATOS_[[Check Periodo Ref.]:[Check Periodo Ref.]]="Dentro",DATOS_[C.Extra.01]))))),
0)</f>
        <v>0</v>
      </c>
      <c r="AM89" s="114">
        <f t="array" ref="AM89">IFERROR(
MEDIAN((IF(DATOS_[[Sexo]:[Sexo]]=$B89,IF(DATOS_[[AGRUP. VALOR. PTO.]:[AGRUP. VALOR. PTO.]]=$B87,IF(DATOS_[[Check Periodo Ref.]:[Check Periodo Ref.]]="Dentro",DATOS_[C.Extra.02]))))),
0)</f>
        <v>0</v>
      </c>
      <c r="AN89" s="114">
        <f t="array" ref="AN89">IFERROR(
MEDIAN((IF(DATOS_[[Sexo]:[Sexo]]=$B89,IF(DATOS_[[AGRUP. VALOR. PTO.]:[AGRUP. VALOR. PTO.]]=$B87,IF(DATOS_[[Check Periodo Ref.]:[Check Periodo Ref.]]="Dentro",DATOS_[C.Extra.03]))))),
0)</f>
        <v>0</v>
      </c>
      <c r="AO89" s="114">
        <f t="array" ref="AO89">IFERROR(
MEDIAN((IF(DATOS_[[Sexo]:[Sexo]]=$B89,IF(DATOS_[[AGRUP. VALOR. PTO.]:[AGRUP. VALOR. PTO.]]=$B87,IF(DATOS_[[Check Periodo Ref.]:[Check Periodo Ref.]]="Dentro",DATOS_[C.Extra.04]))))),
0)</f>
        <v>0</v>
      </c>
      <c r="AP89" s="114">
        <f t="array" ref="AP89">IFERROR(
MEDIAN((IF(DATOS_[[Sexo]:[Sexo]]=$B89,IF(DATOS_[[AGRUP. VALOR. PTO.]:[AGRUP. VALOR. PTO.]]=$B87,IF(DATOS_[[Check Periodo Ref.]:[Check Periodo Ref.]]="Dentro",DATOS_[C.Extra.05]))))),
0)</f>
        <v>0</v>
      </c>
      <c r="AQ89" s="115">
        <f t="array" ref="AQ89">IFERROR(
MEDIAN(IF(DATOS_[Sexo]=$B89,IF(DATOS_[AGRUP. VALOR. PTO.]=$B87,IF(DATOS_[Check Periodo Ref.]="Dentro",DATOS_[Tot Extrasalarial Ef],FALSE)))),
0)</f>
        <v>0</v>
      </c>
      <c r="AR89" s="116">
        <f t="array" ref="AR89">IFERROR(
MEDIAN(IF(DATOS_[Sexo]=$B89,IF(DATOS_[AGRUP. VALOR. PTO.]=$B87,IF(DATOS_[Check Periodo Ref.]="Dentro",DATOS_[TOTAL Retrib Ef],FALSE)))),
0)</f>
        <v>0</v>
      </c>
    </row>
    <row r="90" spans="1:44" ht="17.25" hidden="1" thickBot="1" x14ac:dyDescent="0.35">
      <c r="A90" s="42" t="str">
        <f t="shared" ref="A90" si="103">+A91</f>
        <v>[ocultar]</v>
      </c>
      <c r="B90" s="40" t="s">
        <v>285</v>
      </c>
      <c r="C90" s="109"/>
      <c r="D90" s="41"/>
      <c r="E90" s="119" t="str">
        <f t="shared" ref="E90:AR90" si="104">IFERROR((E91-E92)/E91,"")</f>
        <v/>
      </c>
      <c r="F90" s="123" t="str">
        <f t="shared" si="104"/>
        <v/>
      </c>
      <c r="G90" s="123" t="str">
        <f t="shared" si="104"/>
        <v/>
      </c>
      <c r="H90" s="123" t="str">
        <f t="shared" si="104"/>
        <v/>
      </c>
      <c r="I90" s="123" t="str">
        <f t="shared" si="104"/>
        <v/>
      </c>
      <c r="J90" s="123" t="str">
        <f t="shared" si="104"/>
        <v/>
      </c>
      <c r="K90" s="123" t="str">
        <f t="shared" si="104"/>
        <v/>
      </c>
      <c r="L90" s="123" t="str">
        <f t="shared" si="104"/>
        <v/>
      </c>
      <c r="M90" s="123" t="str">
        <f t="shared" si="104"/>
        <v/>
      </c>
      <c r="N90" s="123" t="str">
        <f t="shared" si="104"/>
        <v/>
      </c>
      <c r="O90" s="123" t="str">
        <f t="shared" si="104"/>
        <v/>
      </c>
      <c r="P90" s="123" t="str">
        <f t="shared" si="104"/>
        <v/>
      </c>
      <c r="Q90" s="123" t="str">
        <f t="shared" si="104"/>
        <v/>
      </c>
      <c r="R90" s="123" t="str">
        <f t="shared" si="104"/>
        <v/>
      </c>
      <c r="S90" s="123" t="str">
        <f t="shared" si="104"/>
        <v/>
      </c>
      <c r="T90" s="123" t="str">
        <f t="shared" si="104"/>
        <v/>
      </c>
      <c r="U90" s="123" t="str">
        <f t="shared" si="104"/>
        <v/>
      </c>
      <c r="V90" s="122" t="str">
        <f t="shared" si="104"/>
        <v/>
      </c>
      <c r="W90" s="122" t="str">
        <f t="shared" si="104"/>
        <v/>
      </c>
      <c r="X90" s="122" t="str">
        <f t="shared" si="104"/>
        <v/>
      </c>
      <c r="Y90" s="122" t="str">
        <f t="shared" si="104"/>
        <v/>
      </c>
      <c r="Z90" s="122" t="str">
        <f t="shared" si="104"/>
        <v/>
      </c>
      <c r="AA90" s="122" t="str">
        <f t="shared" si="104"/>
        <v/>
      </c>
      <c r="AB90" s="122" t="str">
        <f t="shared" si="104"/>
        <v/>
      </c>
      <c r="AC90" s="122" t="str">
        <f t="shared" si="104"/>
        <v/>
      </c>
      <c r="AD90" s="122" t="str">
        <f t="shared" si="104"/>
        <v/>
      </c>
      <c r="AE90" s="122" t="str">
        <f t="shared" si="104"/>
        <v/>
      </c>
      <c r="AF90" s="122" t="str">
        <f t="shared" si="104"/>
        <v/>
      </c>
      <c r="AG90" s="122" t="str">
        <f t="shared" si="104"/>
        <v/>
      </c>
      <c r="AH90" s="122" t="str">
        <f t="shared" si="104"/>
        <v/>
      </c>
      <c r="AI90" s="122" t="str">
        <f t="shared" si="104"/>
        <v/>
      </c>
      <c r="AJ90" s="124" t="str">
        <f t="shared" si="104"/>
        <v/>
      </c>
      <c r="AK90" s="128" t="str">
        <f t="shared" si="104"/>
        <v/>
      </c>
      <c r="AL90" s="125" t="str">
        <f t="shared" si="104"/>
        <v/>
      </c>
      <c r="AM90" s="125" t="str">
        <f t="shared" si="104"/>
        <v/>
      </c>
      <c r="AN90" s="125" t="str">
        <f t="shared" si="104"/>
        <v/>
      </c>
      <c r="AO90" s="125" t="str">
        <f t="shared" si="104"/>
        <v/>
      </c>
      <c r="AP90" s="125" t="str">
        <f t="shared" si="104"/>
        <v/>
      </c>
      <c r="AQ90" s="126" t="str">
        <f t="shared" si="104"/>
        <v/>
      </c>
      <c r="AR90" s="127" t="str">
        <f t="shared" si="104"/>
        <v/>
      </c>
    </row>
    <row r="91" spans="1:44" hidden="1" x14ac:dyDescent="0.3">
      <c r="A91" s="42" t="str">
        <f t="shared" ref="A91" si="105">+IF(C91+C92=0,"[ocultar]","")</f>
        <v>[ocultar]</v>
      </c>
      <c r="B91" s="34" t="s">
        <v>162</v>
      </c>
      <c r="C91" s="33">
        <f t="array" ref="C91">SUM(IF($B91=DATOS_[Sexo],
IF($B90=DATOS_[AGRUP. VALOR. PTO.],
IF("Dentro"=DATOS_[Check Periodo Ref.],
1/(COUNTIFS(DATOS_[Sexo],$B91,DATOS_[AGRUP. VALOR. PTO.],$B90,DATOS_[Check Periodo Ref.],"Dentro",DATOS_[id],DATOS_[id]))))))</f>
        <v>0</v>
      </c>
      <c r="D91" s="35">
        <f>COUNTIFS(DATOS_[AGRUP. VALOR. PTO.],$B90,DATOS_[Sexo],$B91,DATOS_[Check Periodo Ref.],"Dentro")</f>
        <v>0</v>
      </c>
      <c r="E91" s="110">
        <f t="array" ref="E91">IFERROR(
MEDIAN(IF(DATOS_[Sexo]=$B91,IF(DATOS_[AGRUP. VALOR. PTO.]=$B90,IF(DATOS_[Check Periodo Ref.]="Dentro",DATOS_[SALARIO BASE Ef],FALSE)))),
0)</f>
        <v>0</v>
      </c>
      <c r="F91" s="111">
        <f t="array" ref="F91">IFERROR(
MEDIAN((IF(DATOS_[[Sexo]:[Sexo]]=$B91,IF(DATOS_[[AGRUP. VALOR. PTO.]:[AGRUP. VALOR. PTO.]]=$B90,IF(DATOS_[[Check Periodo Ref.]:[Check Periodo Ref.]]="Dentro",DATOS_[Conc.Sal.01]))))),
0)</f>
        <v>0</v>
      </c>
      <c r="G91" s="111">
        <f t="array" ref="G91">IFERROR(
MEDIAN((IF(DATOS_[[Sexo]:[Sexo]]=$B91,IF(DATOS_[[AGRUP. VALOR. PTO.]:[AGRUP. VALOR. PTO.]]=$B90,IF(DATOS_[[Check Periodo Ref.]:[Check Periodo Ref.]]="Dentro",DATOS_[Conc.Sal.02]))))),
0)</f>
        <v>0</v>
      </c>
      <c r="H91" s="111">
        <f t="array" ref="H91">IFERROR(
MEDIAN((IF(DATOS_[[Sexo]:[Sexo]]=$B91,IF(DATOS_[[AGRUP. VALOR. PTO.]:[AGRUP. VALOR. PTO.]]=$B90,IF(DATOS_[[Check Periodo Ref.]:[Check Periodo Ref.]]="Dentro",DATOS_[Conc.Sal.03]))))),
0)</f>
        <v>0</v>
      </c>
      <c r="I91" s="111">
        <f t="array" ref="I91">IFERROR(
MEDIAN((IF(DATOS_[[Sexo]:[Sexo]]=$B91,IF(DATOS_[[AGRUP. VALOR. PTO.]:[AGRUP. VALOR. PTO.]]=$B90,IF(DATOS_[[Check Periodo Ref.]:[Check Periodo Ref.]]="Dentro",DATOS_[Conc.Sal.04]))))),
0)</f>
        <v>0</v>
      </c>
      <c r="J91" s="111">
        <f t="array" ref="J91">IFERROR(
MEDIAN((IF(DATOS_[[Sexo]:[Sexo]]=$B91,IF(DATOS_[[AGRUP. VALOR. PTO.]:[AGRUP. VALOR. PTO.]]=$B90,IF(DATOS_[[Check Periodo Ref.]:[Check Periodo Ref.]]="Dentro",DATOS_[Conc.Sal.05]))))),
0)</f>
        <v>0</v>
      </c>
      <c r="K91" s="111">
        <f t="array" ref="K91">IFERROR(
MEDIAN((IF(DATOS_[[Sexo]:[Sexo]]=$B91,IF(DATOS_[[AGRUP. VALOR. PTO.]:[AGRUP. VALOR. PTO.]]=$B90,IF(DATOS_[[Check Periodo Ref.]:[Check Periodo Ref.]]="Dentro",DATOS_[Conc.Sal.06]))))),
0)</f>
        <v>0</v>
      </c>
      <c r="L91" s="111">
        <f t="array" ref="L91">IFERROR(
MEDIAN((IF(DATOS_[[Sexo]:[Sexo]]=$B91,IF(DATOS_[[AGRUP. VALOR. PTO.]:[AGRUP. VALOR. PTO.]]=$B90,IF(DATOS_[[Check Periodo Ref.]:[Check Periodo Ref.]]="Dentro",DATOS_[Conc.Sal.07]))))),
0)</f>
        <v>0</v>
      </c>
      <c r="M91" s="111">
        <f t="array" ref="M91">IFERROR(
MEDIAN((IF(DATOS_[[Sexo]:[Sexo]]=$B91,IF(DATOS_[[AGRUP. VALOR. PTO.]:[AGRUP. VALOR. PTO.]]=$B90,IF(DATOS_[[Check Periodo Ref.]:[Check Periodo Ref.]]="Dentro",DATOS_[Conc.Sal.08]))))),
0)</f>
        <v>0</v>
      </c>
      <c r="N91" s="111">
        <f t="array" ref="N91">IFERROR(
MEDIAN((IF(DATOS_[[Sexo]:[Sexo]]=$B91,IF(DATOS_[[AGRUP. VALOR. PTO.]:[AGRUP. VALOR. PTO.]]=$B90,IF(DATOS_[[Check Periodo Ref.]:[Check Periodo Ref.]]="Dentro",DATOS_[Conc.Sal.09]))))),
0)</f>
        <v>0</v>
      </c>
      <c r="O91" s="111">
        <f t="array" ref="O91">IFERROR(
MEDIAN((IF(DATOS_[[Sexo]:[Sexo]]=$B91,IF(DATOS_[[AGRUP. VALOR. PTO.]:[AGRUP. VALOR. PTO.]]=$B90,IF(DATOS_[[Check Periodo Ref.]:[Check Periodo Ref.]]="Dentro",DATOS_[Conc.Sal.10]))))),
0)</f>
        <v>0</v>
      </c>
      <c r="P91" s="111">
        <f t="array" ref="P91">IFERROR(
MEDIAN((IF(DATOS_[[Sexo]:[Sexo]]=$B91,IF(DATOS_[[AGRUP. VALOR. PTO.]:[AGRUP. VALOR. PTO.]]=$B90,IF(DATOS_[[Check Periodo Ref.]:[Check Periodo Ref.]]="Dentro",DATOS_[Conc.Sal.11]))))),
0)</f>
        <v>0</v>
      </c>
      <c r="Q91" s="111">
        <f t="array" ref="Q91">IFERROR(
MEDIAN((IF(DATOS_[[Sexo]:[Sexo]]=$B91,IF(DATOS_[[AGRUP. VALOR. PTO.]:[AGRUP. VALOR. PTO.]]=$B90,IF(DATOS_[[Check Periodo Ref.]:[Check Periodo Ref.]]="Dentro",DATOS_[Conc.Sal.12]))))),
0)</f>
        <v>0</v>
      </c>
      <c r="R91" s="111">
        <f t="array" ref="R91">IFERROR(
MEDIAN((IF(DATOS_[[Sexo]:[Sexo]]=$B91,IF(DATOS_[[AGRUP. VALOR. PTO.]:[AGRUP. VALOR. PTO.]]=$B90,IF(DATOS_[[Check Periodo Ref.]:[Check Periodo Ref.]]="Dentro",DATOS_[Conc.Sal.13]))))),
0)</f>
        <v>0</v>
      </c>
      <c r="S91" s="111">
        <f t="array" ref="S91">IFERROR(
MEDIAN((IF(DATOS_[[Sexo]:[Sexo]]=$B91,IF(DATOS_[[AGRUP. VALOR. PTO.]:[AGRUP. VALOR. PTO.]]=$B90,IF(DATOS_[[Check Periodo Ref.]:[Check Periodo Ref.]]="Dentro",DATOS_[Conc.Sal.14]))))),
0)</f>
        <v>0</v>
      </c>
      <c r="T91" s="111">
        <f t="array" ref="T91">IFERROR(
MEDIAN((IF(DATOS_[[Sexo]:[Sexo]]=$B91,IF(DATOS_[[AGRUP. VALOR. PTO.]:[AGRUP. VALOR. PTO.]]=$B90,IF(DATOS_[[Check Periodo Ref.]:[Check Periodo Ref.]]="Dentro",DATOS_[Conc.Sal.15]))))),
0)</f>
        <v>0</v>
      </c>
      <c r="U91" s="111">
        <f t="array" ref="U91">IFERROR(
MEDIAN((IF(DATOS_[[Sexo]:[Sexo]]=$B91,IF(DATOS_[[AGRUP. VALOR. PTO.]:[AGRUP. VALOR. PTO.]]=$B90,IF(DATOS_[[Check Periodo Ref.]:[Check Periodo Ref.]]="Dentro",DATOS_[Conc.Sal.16]))))),
0)</f>
        <v>0</v>
      </c>
      <c r="V91" s="111">
        <f t="array" ref="V91">IFERROR(
MEDIAN((IF(DATOS_[[Sexo]:[Sexo]]=$B91,IF(DATOS_[[AGRUP. VALOR. PTO.]:[AGRUP. VALOR. PTO.]]=$B90,IF(DATOS_[[Check Periodo Ref.]:[Check Periodo Ref.]]="Dentro",DATOS_[Conc.Sal.17]))))),
0)</f>
        <v>0</v>
      </c>
      <c r="W91" s="111">
        <f t="array" ref="W91">IFERROR(
MEDIAN((IF(DATOS_[[Sexo]:[Sexo]]=$B91,IF(DATOS_[[AGRUP. VALOR. PTO.]:[AGRUP. VALOR. PTO.]]=$B90,IF(DATOS_[[Check Periodo Ref.]:[Check Periodo Ref.]]="Dentro",DATOS_[Conc.Sal.18]))))),
0)</f>
        <v>0</v>
      </c>
      <c r="X91" s="111">
        <f t="array" ref="X91">IFERROR(
MEDIAN((IF(DATOS_[[Sexo]:[Sexo]]=$B91,IF(DATOS_[[AGRUP. VALOR. PTO.]:[AGRUP. VALOR. PTO.]]=$B90,IF(DATOS_[[Check Periodo Ref.]:[Check Periodo Ref.]]="Dentro",DATOS_[Conc.Sal.19]))))),
0)</f>
        <v>0</v>
      </c>
      <c r="Y91" s="111">
        <f t="array" ref="Y91">IFERROR(
MEDIAN((IF(DATOS_[[Sexo]:[Sexo]]=$B91,IF(DATOS_[[AGRUP. VALOR. PTO.]:[AGRUP. VALOR. PTO.]]=$B90,IF(DATOS_[[Check Periodo Ref.]:[Check Periodo Ref.]]="Dentro",DATOS_[Conc.Sal.20]))))),
0)</f>
        <v>0</v>
      </c>
      <c r="Z91" s="111">
        <f t="array" ref="Z91">IFERROR(
MEDIAN((IF(DATOS_[[Sexo]:[Sexo]]=$B91,IF(DATOS_[[AGRUP. VALOR. PTO.]:[AGRUP. VALOR. PTO.]]=$B90,IF(DATOS_[[Check Periodo Ref.]:[Check Periodo Ref.]]="Dentro",DATOS_[Conc.Sal.21]))))),
0)</f>
        <v>0</v>
      </c>
      <c r="AA91" s="111">
        <f t="array" ref="AA91">IFERROR(
MEDIAN((IF(DATOS_[[Sexo]:[Sexo]]=$B91,IF(DATOS_[[AGRUP. VALOR. PTO.]:[AGRUP. VALOR. PTO.]]=$B90,IF(DATOS_[[Check Periodo Ref.]:[Check Periodo Ref.]]="Dentro",DATOS_[Conc.Sal.22]))))),
0)</f>
        <v>0</v>
      </c>
      <c r="AB91" s="111">
        <f t="array" ref="AB91">IFERROR(
MEDIAN((IF(DATOS_[[Sexo]:[Sexo]]=$B91,IF(DATOS_[[AGRUP. VALOR. PTO.]:[AGRUP. VALOR. PTO.]]=$B90,IF(DATOS_[[Check Periodo Ref.]:[Check Periodo Ref.]]="Dentro",DATOS_[Conc.Sal.23]))))),
0)</f>
        <v>0</v>
      </c>
      <c r="AC91" s="111">
        <f t="array" ref="AC91">IFERROR(
MEDIAN((IF(DATOS_[[Sexo]:[Sexo]]=$B91,IF(DATOS_[[AGRUP. VALOR. PTO.]:[AGRUP. VALOR. PTO.]]=$B90,IF(DATOS_[[Check Periodo Ref.]:[Check Periodo Ref.]]="Dentro",DATOS_[Conc.Sal.24]))))),
0)</f>
        <v>0</v>
      </c>
      <c r="AD91" s="111">
        <f t="array" ref="AD91">IFERROR(
MEDIAN((IF(DATOS_[[Sexo]:[Sexo]]=$B91,IF(DATOS_[[AGRUP. VALOR. PTO.]:[AGRUP. VALOR. PTO.]]=$B90,IF(DATOS_[[Check Periodo Ref.]:[Check Periodo Ref.]]="Dentro",DATOS_[Conc.Sal.25]))))),
0)</f>
        <v>0</v>
      </c>
      <c r="AE91" s="111">
        <f t="array" ref="AE91">IFERROR(
MEDIAN((IF(DATOS_[[Sexo]:[Sexo]]=$B91,IF(DATOS_[[AGRUP. VALOR. PTO.]:[AGRUP. VALOR. PTO.]]=$B90,IF(DATOS_[[Check Periodo Ref.]:[Check Periodo Ref.]]="Dentro",DATOS_[Conc.Sal.26]))))),
0)</f>
        <v>0</v>
      </c>
      <c r="AF91" s="111">
        <f t="array" ref="AF91">IFERROR(
MEDIAN((IF(DATOS_[[Sexo]:[Sexo]]=$B91,IF(DATOS_[[AGRUP. VALOR. PTO.]:[AGRUP. VALOR. PTO.]]=$B90,IF(DATOS_[[Check Periodo Ref.]:[Check Periodo Ref.]]="Dentro",DATOS_[Conc.Sal.27]))))),
0)</f>
        <v>0</v>
      </c>
      <c r="AG91" s="111">
        <f t="array" ref="AG91">IFERROR(
MEDIAN((IF(DATOS_[[Sexo]:[Sexo]]=$B91,IF(DATOS_[[AGRUP. VALOR. PTO.]:[AGRUP. VALOR. PTO.]]=$B90,IF(DATOS_[[Check Periodo Ref.]:[Check Periodo Ref.]]="Dentro",DATOS_[Conc.Sal.28]))))),
0)</f>
        <v>0</v>
      </c>
      <c r="AH91" s="111">
        <f t="array" ref="AH91">IFERROR(
MEDIAN((IF(DATOS_[[Sexo]:[Sexo]]=$B91,IF(DATOS_[[AGRUP. VALOR. PTO.]:[AGRUP. VALOR. PTO.]]=$B90,IF(DATOS_[[Check Periodo Ref.]:[Check Periodo Ref.]]="Dentro",DATOS_[Conc.Sal.29]))))),
0)</f>
        <v>0</v>
      </c>
      <c r="AI91" s="111">
        <f t="array" ref="AI91">IFERROR(
MEDIAN((IF(DATOS_[[Sexo]:[Sexo]]=$B91,IF(DATOS_[[AGRUP. VALOR. PTO.]:[AGRUP. VALOR. PTO.]]=$B90,IF(DATOS_[[Check Periodo Ref.]:[Check Periodo Ref.]]="Dentro",DATOS_[Conc.Sal.30]))))),
0)</f>
        <v>0</v>
      </c>
      <c r="AJ91" s="112">
        <f t="array" ref="AJ91">IFERROR(
MEDIAN(IF(DATOS_[Sexo]=$B91,IF(DATOS_[AGRUP. VALOR. PTO.]=$B90,IF(DATOS_[Check Periodo Ref.]="Dentro",DATOS_[Tot COMPL.SAL Ef],FALSE)))),
0)</f>
        <v>0</v>
      </c>
      <c r="AK91" s="113">
        <f t="array" ref="AK91">IFERROR(
MEDIAN(IF(DATOS_[Sexo]=$B91,IF(DATOS_[AGRUP. VALOR. PTO.]=$B90,IF(DATOS_[Check Periodo Ref.]="Dentro",DATOS_[TOTAL SALARIO Ef],FALSE)))),
0)</f>
        <v>0</v>
      </c>
      <c r="AL91" s="114">
        <f t="array" ref="AL91">IFERROR(
MEDIAN((IF(DATOS_[[Sexo]:[Sexo]]=$B91,IF(DATOS_[[AGRUP. VALOR. PTO.]:[AGRUP. VALOR. PTO.]]=$B90,IF(DATOS_[[Check Periodo Ref.]:[Check Periodo Ref.]]="Dentro",DATOS_[C.Extra.01]))))),
0)</f>
        <v>0</v>
      </c>
      <c r="AM91" s="114">
        <f t="array" ref="AM91">IFERROR(
MEDIAN((IF(DATOS_[[Sexo]:[Sexo]]=$B91,IF(DATOS_[[AGRUP. VALOR. PTO.]:[AGRUP. VALOR. PTO.]]=$B90,IF(DATOS_[[Check Periodo Ref.]:[Check Periodo Ref.]]="Dentro",DATOS_[C.Extra.02]))))),
0)</f>
        <v>0</v>
      </c>
      <c r="AN91" s="114">
        <f t="array" ref="AN91">IFERROR(
MEDIAN((IF(DATOS_[[Sexo]:[Sexo]]=$B91,IF(DATOS_[[AGRUP. VALOR. PTO.]:[AGRUP. VALOR. PTO.]]=$B90,IF(DATOS_[[Check Periodo Ref.]:[Check Periodo Ref.]]="Dentro",DATOS_[C.Extra.03]))))),
0)</f>
        <v>0</v>
      </c>
      <c r="AO91" s="114">
        <f t="array" ref="AO91">IFERROR(
MEDIAN((IF(DATOS_[[Sexo]:[Sexo]]=$B91,IF(DATOS_[[AGRUP. VALOR. PTO.]:[AGRUP. VALOR. PTO.]]=$B90,IF(DATOS_[[Check Periodo Ref.]:[Check Periodo Ref.]]="Dentro",DATOS_[C.Extra.04]))))),
0)</f>
        <v>0</v>
      </c>
      <c r="AP91" s="114">
        <f t="array" ref="AP91">IFERROR(
MEDIAN((IF(DATOS_[[Sexo]:[Sexo]]=$B91,IF(DATOS_[[AGRUP. VALOR. PTO.]:[AGRUP. VALOR. PTO.]]=$B90,IF(DATOS_[[Check Periodo Ref.]:[Check Periodo Ref.]]="Dentro",DATOS_[C.Extra.05]))))),
0)</f>
        <v>0</v>
      </c>
      <c r="AQ91" s="115">
        <f t="array" ref="AQ91">IFERROR(
MEDIAN(IF(DATOS_[Sexo]=$B91,IF(DATOS_[AGRUP. VALOR. PTO.]=$B90,IF(DATOS_[Check Periodo Ref.]="Dentro",DATOS_[Tot Extrasalarial Ef],FALSE)))),
0)</f>
        <v>0</v>
      </c>
      <c r="AR91" s="116">
        <f t="array" ref="AR91">IFERROR(
MEDIAN(IF(DATOS_[Sexo]=$B91,IF(DATOS_[AGRUP. VALOR. PTO.]=$B90,IF(DATOS_[Check Periodo Ref.]="Dentro",DATOS_[TOTAL Retrib Ef],FALSE)))),
0)</f>
        <v>0</v>
      </c>
    </row>
    <row r="92" spans="1:44" hidden="1" x14ac:dyDescent="0.3">
      <c r="A92" s="42" t="str">
        <f t="shared" ref="A92" si="106">+A91</f>
        <v>[ocultar]</v>
      </c>
      <c r="B92" s="34" t="s">
        <v>163</v>
      </c>
      <c r="C92" s="33">
        <f t="array" ref="C92">SUM(IF($B92=DATOS_[Sexo],
IF($B90=DATOS_[AGRUP. VALOR. PTO.],
IF("Dentro"=DATOS_[Check Periodo Ref.],
1/(COUNTIFS(DATOS_[Sexo],$B92,DATOS_[AGRUP. VALOR. PTO.],$B90,DATOS_[Check Periodo Ref.],"Dentro",DATOS_[id],DATOS_[id]))))))</f>
        <v>0</v>
      </c>
      <c r="D92" s="35">
        <f>COUNTIFS(DATOS_[AGRUP. VALOR. PTO.],$B90,DATOS_[Sexo],$B92,DATOS_[Check Periodo Ref.],"Dentro")</f>
        <v>0</v>
      </c>
      <c r="E92" s="110">
        <f t="array" ref="E92">IFERROR(
MEDIAN(IF(DATOS_[Sexo]=$B92,IF(DATOS_[AGRUP. VALOR. PTO.]=$B90,IF(DATOS_[Check Periodo Ref.]="Dentro",DATOS_[SALARIO BASE Ef],FALSE)))),
0)</f>
        <v>0</v>
      </c>
      <c r="F92" s="111">
        <f t="array" ref="F92">IFERROR(
MEDIAN((IF(DATOS_[[Sexo]:[Sexo]]=$B92,IF(DATOS_[[AGRUP. VALOR. PTO.]:[AGRUP. VALOR. PTO.]]=$B90,IF(DATOS_[[Check Periodo Ref.]:[Check Periodo Ref.]]="Dentro",DATOS_[Conc.Sal.01]))))),
0)</f>
        <v>0</v>
      </c>
      <c r="G92" s="111">
        <f t="array" ref="G92">IFERROR(
MEDIAN((IF(DATOS_[[Sexo]:[Sexo]]=$B92,IF(DATOS_[[AGRUP. VALOR. PTO.]:[AGRUP. VALOR. PTO.]]=$B90,IF(DATOS_[[Check Periodo Ref.]:[Check Periodo Ref.]]="Dentro",DATOS_[Conc.Sal.02]))))),
0)</f>
        <v>0</v>
      </c>
      <c r="H92" s="111">
        <f t="array" ref="H92">IFERROR(
MEDIAN((IF(DATOS_[[Sexo]:[Sexo]]=$B92,IF(DATOS_[[AGRUP. VALOR. PTO.]:[AGRUP. VALOR. PTO.]]=$B90,IF(DATOS_[[Check Periodo Ref.]:[Check Periodo Ref.]]="Dentro",DATOS_[Conc.Sal.03]))))),
0)</f>
        <v>0</v>
      </c>
      <c r="I92" s="111">
        <f t="array" ref="I92">IFERROR(
MEDIAN((IF(DATOS_[[Sexo]:[Sexo]]=$B92,IF(DATOS_[[AGRUP. VALOR. PTO.]:[AGRUP. VALOR. PTO.]]=$B90,IF(DATOS_[[Check Periodo Ref.]:[Check Periodo Ref.]]="Dentro",DATOS_[Conc.Sal.04]))))),
0)</f>
        <v>0</v>
      </c>
      <c r="J92" s="111">
        <f t="array" ref="J92">IFERROR(
MEDIAN((IF(DATOS_[[Sexo]:[Sexo]]=$B92,IF(DATOS_[[AGRUP. VALOR. PTO.]:[AGRUP. VALOR. PTO.]]=$B90,IF(DATOS_[[Check Periodo Ref.]:[Check Periodo Ref.]]="Dentro",DATOS_[Conc.Sal.05]))))),
0)</f>
        <v>0</v>
      </c>
      <c r="K92" s="111">
        <f t="array" ref="K92">IFERROR(
MEDIAN((IF(DATOS_[[Sexo]:[Sexo]]=$B92,IF(DATOS_[[AGRUP. VALOR. PTO.]:[AGRUP. VALOR. PTO.]]=$B90,IF(DATOS_[[Check Periodo Ref.]:[Check Periodo Ref.]]="Dentro",DATOS_[Conc.Sal.06]))))),
0)</f>
        <v>0</v>
      </c>
      <c r="L92" s="111">
        <f t="array" ref="L92">IFERROR(
MEDIAN((IF(DATOS_[[Sexo]:[Sexo]]=$B92,IF(DATOS_[[AGRUP. VALOR. PTO.]:[AGRUP. VALOR. PTO.]]=$B90,IF(DATOS_[[Check Periodo Ref.]:[Check Periodo Ref.]]="Dentro",DATOS_[Conc.Sal.07]))))),
0)</f>
        <v>0</v>
      </c>
      <c r="M92" s="111">
        <f t="array" ref="M92">IFERROR(
MEDIAN((IF(DATOS_[[Sexo]:[Sexo]]=$B92,IF(DATOS_[[AGRUP. VALOR. PTO.]:[AGRUP. VALOR. PTO.]]=$B90,IF(DATOS_[[Check Periodo Ref.]:[Check Periodo Ref.]]="Dentro",DATOS_[Conc.Sal.08]))))),
0)</f>
        <v>0</v>
      </c>
      <c r="N92" s="111">
        <f t="array" ref="N92">IFERROR(
MEDIAN((IF(DATOS_[[Sexo]:[Sexo]]=$B92,IF(DATOS_[[AGRUP. VALOR. PTO.]:[AGRUP. VALOR. PTO.]]=$B90,IF(DATOS_[[Check Periodo Ref.]:[Check Periodo Ref.]]="Dentro",DATOS_[Conc.Sal.09]))))),
0)</f>
        <v>0</v>
      </c>
      <c r="O92" s="111">
        <f t="array" ref="O92">IFERROR(
MEDIAN((IF(DATOS_[[Sexo]:[Sexo]]=$B92,IF(DATOS_[[AGRUP. VALOR. PTO.]:[AGRUP. VALOR. PTO.]]=$B90,IF(DATOS_[[Check Periodo Ref.]:[Check Periodo Ref.]]="Dentro",DATOS_[Conc.Sal.10]))))),
0)</f>
        <v>0</v>
      </c>
      <c r="P92" s="111">
        <f t="array" ref="P92">IFERROR(
MEDIAN((IF(DATOS_[[Sexo]:[Sexo]]=$B92,IF(DATOS_[[AGRUP. VALOR. PTO.]:[AGRUP. VALOR. PTO.]]=$B90,IF(DATOS_[[Check Periodo Ref.]:[Check Periodo Ref.]]="Dentro",DATOS_[Conc.Sal.11]))))),
0)</f>
        <v>0</v>
      </c>
      <c r="Q92" s="111">
        <f t="array" ref="Q92">IFERROR(
MEDIAN((IF(DATOS_[[Sexo]:[Sexo]]=$B92,IF(DATOS_[[AGRUP. VALOR. PTO.]:[AGRUP. VALOR. PTO.]]=$B90,IF(DATOS_[[Check Periodo Ref.]:[Check Periodo Ref.]]="Dentro",DATOS_[Conc.Sal.12]))))),
0)</f>
        <v>0</v>
      </c>
      <c r="R92" s="111">
        <f t="array" ref="R92">IFERROR(
MEDIAN((IF(DATOS_[[Sexo]:[Sexo]]=$B92,IF(DATOS_[[AGRUP. VALOR. PTO.]:[AGRUP. VALOR. PTO.]]=$B90,IF(DATOS_[[Check Periodo Ref.]:[Check Periodo Ref.]]="Dentro",DATOS_[Conc.Sal.13]))))),
0)</f>
        <v>0</v>
      </c>
      <c r="S92" s="111">
        <f t="array" ref="S92">IFERROR(
MEDIAN((IF(DATOS_[[Sexo]:[Sexo]]=$B92,IF(DATOS_[[AGRUP. VALOR. PTO.]:[AGRUP. VALOR. PTO.]]=$B90,IF(DATOS_[[Check Periodo Ref.]:[Check Periodo Ref.]]="Dentro",DATOS_[Conc.Sal.14]))))),
0)</f>
        <v>0</v>
      </c>
      <c r="T92" s="111">
        <f t="array" ref="T92">IFERROR(
MEDIAN((IF(DATOS_[[Sexo]:[Sexo]]=$B92,IF(DATOS_[[AGRUP. VALOR. PTO.]:[AGRUP. VALOR. PTO.]]=$B90,IF(DATOS_[[Check Periodo Ref.]:[Check Periodo Ref.]]="Dentro",DATOS_[Conc.Sal.15]))))),
0)</f>
        <v>0</v>
      </c>
      <c r="U92" s="111">
        <f t="array" ref="U92">IFERROR(
MEDIAN((IF(DATOS_[[Sexo]:[Sexo]]=$B92,IF(DATOS_[[AGRUP. VALOR. PTO.]:[AGRUP. VALOR. PTO.]]=$B90,IF(DATOS_[[Check Periodo Ref.]:[Check Periodo Ref.]]="Dentro",DATOS_[Conc.Sal.16]))))),
0)</f>
        <v>0</v>
      </c>
      <c r="V92" s="111">
        <f t="array" ref="V92">IFERROR(
MEDIAN((IF(DATOS_[[Sexo]:[Sexo]]=$B92,IF(DATOS_[[AGRUP. VALOR. PTO.]:[AGRUP. VALOR. PTO.]]=$B90,IF(DATOS_[[Check Periodo Ref.]:[Check Periodo Ref.]]="Dentro",DATOS_[Conc.Sal.17]))))),
0)</f>
        <v>0</v>
      </c>
      <c r="W92" s="111">
        <f t="array" ref="W92">IFERROR(
MEDIAN((IF(DATOS_[[Sexo]:[Sexo]]=$B92,IF(DATOS_[[AGRUP. VALOR. PTO.]:[AGRUP. VALOR. PTO.]]=$B90,IF(DATOS_[[Check Periodo Ref.]:[Check Periodo Ref.]]="Dentro",DATOS_[Conc.Sal.18]))))),
0)</f>
        <v>0</v>
      </c>
      <c r="X92" s="111">
        <f t="array" ref="X92">IFERROR(
MEDIAN((IF(DATOS_[[Sexo]:[Sexo]]=$B92,IF(DATOS_[[AGRUP. VALOR. PTO.]:[AGRUP. VALOR. PTO.]]=$B90,IF(DATOS_[[Check Periodo Ref.]:[Check Periodo Ref.]]="Dentro",DATOS_[Conc.Sal.19]))))),
0)</f>
        <v>0</v>
      </c>
      <c r="Y92" s="111">
        <f t="array" ref="Y92">IFERROR(
MEDIAN((IF(DATOS_[[Sexo]:[Sexo]]=$B92,IF(DATOS_[[AGRUP. VALOR. PTO.]:[AGRUP. VALOR. PTO.]]=$B90,IF(DATOS_[[Check Periodo Ref.]:[Check Periodo Ref.]]="Dentro",DATOS_[Conc.Sal.20]))))),
0)</f>
        <v>0</v>
      </c>
      <c r="Z92" s="111">
        <f t="array" ref="Z92">IFERROR(
MEDIAN((IF(DATOS_[[Sexo]:[Sexo]]=$B92,IF(DATOS_[[AGRUP. VALOR. PTO.]:[AGRUP. VALOR. PTO.]]=$B90,IF(DATOS_[[Check Periodo Ref.]:[Check Periodo Ref.]]="Dentro",DATOS_[Conc.Sal.21]))))),
0)</f>
        <v>0</v>
      </c>
      <c r="AA92" s="111">
        <f t="array" ref="AA92">IFERROR(
MEDIAN((IF(DATOS_[[Sexo]:[Sexo]]=$B92,IF(DATOS_[[AGRUP. VALOR. PTO.]:[AGRUP. VALOR. PTO.]]=$B90,IF(DATOS_[[Check Periodo Ref.]:[Check Periodo Ref.]]="Dentro",DATOS_[Conc.Sal.22]))))),
0)</f>
        <v>0</v>
      </c>
      <c r="AB92" s="111">
        <f t="array" ref="AB92">IFERROR(
MEDIAN((IF(DATOS_[[Sexo]:[Sexo]]=$B92,IF(DATOS_[[AGRUP. VALOR. PTO.]:[AGRUP. VALOR. PTO.]]=$B90,IF(DATOS_[[Check Periodo Ref.]:[Check Periodo Ref.]]="Dentro",DATOS_[Conc.Sal.23]))))),
0)</f>
        <v>0</v>
      </c>
      <c r="AC92" s="111">
        <f t="array" ref="AC92">IFERROR(
MEDIAN((IF(DATOS_[[Sexo]:[Sexo]]=$B92,IF(DATOS_[[AGRUP. VALOR. PTO.]:[AGRUP. VALOR. PTO.]]=$B90,IF(DATOS_[[Check Periodo Ref.]:[Check Periodo Ref.]]="Dentro",DATOS_[Conc.Sal.24]))))),
0)</f>
        <v>0</v>
      </c>
      <c r="AD92" s="111">
        <f t="array" ref="AD92">IFERROR(
MEDIAN((IF(DATOS_[[Sexo]:[Sexo]]=$B92,IF(DATOS_[[AGRUP. VALOR. PTO.]:[AGRUP. VALOR. PTO.]]=$B90,IF(DATOS_[[Check Periodo Ref.]:[Check Periodo Ref.]]="Dentro",DATOS_[Conc.Sal.25]))))),
0)</f>
        <v>0</v>
      </c>
      <c r="AE92" s="111">
        <f t="array" ref="AE92">IFERROR(
MEDIAN((IF(DATOS_[[Sexo]:[Sexo]]=$B92,IF(DATOS_[[AGRUP. VALOR. PTO.]:[AGRUP. VALOR. PTO.]]=$B90,IF(DATOS_[[Check Periodo Ref.]:[Check Periodo Ref.]]="Dentro",DATOS_[Conc.Sal.26]))))),
0)</f>
        <v>0</v>
      </c>
      <c r="AF92" s="111">
        <f t="array" ref="AF92">IFERROR(
MEDIAN((IF(DATOS_[[Sexo]:[Sexo]]=$B92,IF(DATOS_[[AGRUP. VALOR. PTO.]:[AGRUP. VALOR. PTO.]]=$B90,IF(DATOS_[[Check Periodo Ref.]:[Check Periodo Ref.]]="Dentro",DATOS_[Conc.Sal.27]))))),
0)</f>
        <v>0</v>
      </c>
      <c r="AG92" s="111">
        <f t="array" ref="AG92">IFERROR(
MEDIAN((IF(DATOS_[[Sexo]:[Sexo]]=$B92,IF(DATOS_[[AGRUP. VALOR. PTO.]:[AGRUP. VALOR. PTO.]]=$B90,IF(DATOS_[[Check Periodo Ref.]:[Check Periodo Ref.]]="Dentro",DATOS_[Conc.Sal.28]))))),
0)</f>
        <v>0</v>
      </c>
      <c r="AH92" s="111">
        <f t="array" ref="AH92">IFERROR(
MEDIAN((IF(DATOS_[[Sexo]:[Sexo]]=$B92,IF(DATOS_[[AGRUP. VALOR. PTO.]:[AGRUP. VALOR. PTO.]]=$B90,IF(DATOS_[[Check Periodo Ref.]:[Check Periodo Ref.]]="Dentro",DATOS_[Conc.Sal.29]))))),
0)</f>
        <v>0</v>
      </c>
      <c r="AI92" s="111">
        <f t="array" ref="AI92">IFERROR(
MEDIAN((IF(DATOS_[[Sexo]:[Sexo]]=$B92,IF(DATOS_[[AGRUP. VALOR. PTO.]:[AGRUP. VALOR. PTO.]]=$B90,IF(DATOS_[[Check Periodo Ref.]:[Check Periodo Ref.]]="Dentro",DATOS_[Conc.Sal.30]))))),
0)</f>
        <v>0</v>
      </c>
      <c r="AJ92" s="112">
        <f t="array" ref="AJ92">IFERROR(
MEDIAN(IF(DATOS_[Sexo]=$B92,IF(DATOS_[AGRUP. VALOR. PTO.]=$B90,IF(DATOS_[Check Periodo Ref.]="Dentro",DATOS_[Tot COMPL.SAL Ef],FALSE)))),
0)</f>
        <v>0</v>
      </c>
      <c r="AK92" s="113">
        <f t="array" ref="AK92">IFERROR(
MEDIAN(IF(DATOS_[Sexo]=$B92,IF(DATOS_[AGRUP. VALOR. PTO.]=$B90,IF(DATOS_[Check Periodo Ref.]="Dentro",DATOS_[TOTAL SALARIO Ef],FALSE)))),
0)</f>
        <v>0</v>
      </c>
      <c r="AL92" s="114">
        <f t="array" ref="AL92">IFERROR(
MEDIAN((IF(DATOS_[[Sexo]:[Sexo]]=$B92,IF(DATOS_[[AGRUP. VALOR. PTO.]:[AGRUP. VALOR. PTO.]]=$B90,IF(DATOS_[[Check Periodo Ref.]:[Check Periodo Ref.]]="Dentro",DATOS_[C.Extra.01]))))),
0)</f>
        <v>0</v>
      </c>
      <c r="AM92" s="114">
        <f t="array" ref="AM92">IFERROR(
MEDIAN((IF(DATOS_[[Sexo]:[Sexo]]=$B92,IF(DATOS_[[AGRUP. VALOR. PTO.]:[AGRUP. VALOR. PTO.]]=$B90,IF(DATOS_[[Check Periodo Ref.]:[Check Periodo Ref.]]="Dentro",DATOS_[C.Extra.02]))))),
0)</f>
        <v>0</v>
      </c>
      <c r="AN92" s="114">
        <f t="array" ref="AN92">IFERROR(
MEDIAN((IF(DATOS_[[Sexo]:[Sexo]]=$B92,IF(DATOS_[[AGRUP. VALOR. PTO.]:[AGRUP. VALOR. PTO.]]=$B90,IF(DATOS_[[Check Periodo Ref.]:[Check Periodo Ref.]]="Dentro",DATOS_[C.Extra.03]))))),
0)</f>
        <v>0</v>
      </c>
      <c r="AO92" s="114">
        <f t="array" ref="AO92">IFERROR(
MEDIAN((IF(DATOS_[[Sexo]:[Sexo]]=$B92,IF(DATOS_[[AGRUP. VALOR. PTO.]:[AGRUP. VALOR. PTO.]]=$B90,IF(DATOS_[[Check Periodo Ref.]:[Check Periodo Ref.]]="Dentro",DATOS_[C.Extra.04]))))),
0)</f>
        <v>0</v>
      </c>
      <c r="AP92" s="114">
        <f t="array" ref="AP92">IFERROR(
MEDIAN((IF(DATOS_[[Sexo]:[Sexo]]=$B92,IF(DATOS_[[AGRUP. VALOR. PTO.]:[AGRUP. VALOR. PTO.]]=$B90,IF(DATOS_[[Check Periodo Ref.]:[Check Periodo Ref.]]="Dentro",DATOS_[C.Extra.05]))))),
0)</f>
        <v>0</v>
      </c>
      <c r="AQ92" s="115">
        <f t="array" ref="AQ92">IFERROR(
MEDIAN(IF(DATOS_[Sexo]=$B92,IF(DATOS_[AGRUP. VALOR. PTO.]=$B90,IF(DATOS_[Check Periodo Ref.]="Dentro",DATOS_[Tot Extrasalarial Ef],FALSE)))),
0)</f>
        <v>0</v>
      </c>
      <c r="AR92" s="116">
        <f t="array" ref="AR92">IFERROR(
MEDIAN(IF(DATOS_[Sexo]=$B92,IF(DATOS_[AGRUP. VALOR. PTO.]=$B90,IF(DATOS_[Check Periodo Ref.]="Dentro",DATOS_[TOTAL Retrib Ef],FALSE)))),
0)</f>
        <v>0</v>
      </c>
    </row>
    <row r="93" spans="1:44" ht="17.25" hidden="1" thickBot="1" x14ac:dyDescent="0.35">
      <c r="A93" s="42" t="str">
        <f t="shared" ref="A93" si="107">+A94</f>
        <v>[ocultar]</v>
      </c>
      <c r="B93" s="40" t="s">
        <v>286</v>
      </c>
      <c r="C93" s="109"/>
      <c r="D93" s="41"/>
      <c r="E93" s="119" t="str">
        <f t="shared" ref="E93:AR93" si="108">IFERROR((E94-E95)/E94,"")</f>
        <v/>
      </c>
      <c r="F93" s="123" t="str">
        <f t="shared" si="108"/>
        <v/>
      </c>
      <c r="G93" s="123" t="str">
        <f t="shared" si="108"/>
        <v/>
      </c>
      <c r="H93" s="123" t="str">
        <f t="shared" si="108"/>
        <v/>
      </c>
      <c r="I93" s="123" t="str">
        <f t="shared" si="108"/>
        <v/>
      </c>
      <c r="J93" s="123" t="str">
        <f t="shared" si="108"/>
        <v/>
      </c>
      <c r="K93" s="123" t="str">
        <f t="shared" si="108"/>
        <v/>
      </c>
      <c r="L93" s="123" t="str">
        <f t="shared" si="108"/>
        <v/>
      </c>
      <c r="M93" s="123" t="str">
        <f t="shared" si="108"/>
        <v/>
      </c>
      <c r="N93" s="123" t="str">
        <f t="shared" si="108"/>
        <v/>
      </c>
      <c r="O93" s="123" t="str">
        <f t="shared" si="108"/>
        <v/>
      </c>
      <c r="P93" s="123" t="str">
        <f t="shared" si="108"/>
        <v/>
      </c>
      <c r="Q93" s="123" t="str">
        <f t="shared" si="108"/>
        <v/>
      </c>
      <c r="R93" s="123" t="str">
        <f t="shared" si="108"/>
        <v/>
      </c>
      <c r="S93" s="123" t="str">
        <f t="shared" si="108"/>
        <v/>
      </c>
      <c r="T93" s="123" t="str">
        <f t="shared" si="108"/>
        <v/>
      </c>
      <c r="U93" s="123" t="str">
        <f t="shared" si="108"/>
        <v/>
      </c>
      <c r="V93" s="122" t="str">
        <f t="shared" si="108"/>
        <v/>
      </c>
      <c r="W93" s="122" t="str">
        <f t="shared" si="108"/>
        <v/>
      </c>
      <c r="X93" s="122" t="str">
        <f t="shared" si="108"/>
        <v/>
      </c>
      <c r="Y93" s="122" t="str">
        <f t="shared" si="108"/>
        <v/>
      </c>
      <c r="Z93" s="122" t="str">
        <f t="shared" si="108"/>
        <v/>
      </c>
      <c r="AA93" s="122" t="str">
        <f t="shared" si="108"/>
        <v/>
      </c>
      <c r="AB93" s="122" t="str">
        <f t="shared" si="108"/>
        <v/>
      </c>
      <c r="AC93" s="122" t="str">
        <f t="shared" si="108"/>
        <v/>
      </c>
      <c r="AD93" s="122" t="str">
        <f t="shared" si="108"/>
        <v/>
      </c>
      <c r="AE93" s="122" t="str">
        <f t="shared" si="108"/>
        <v/>
      </c>
      <c r="AF93" s="122" t="str">
        <f t="shared" si="108"/>
        <v/>
      </c>
      <c r="AG93" s="122" t="str">
        <f t="shared" si="108"/>
        <v/>
      </c>
      <c r="AH93" s="122" t="str">
        <f t="shared" si="108"/>
        <v/>
      </c>
      <c r="AI93" s="122" t="str">
        <f t="shared" si="108"/>
        <v/>
      </c>
      <c r="AJ93" s="124" t="str">
        <f t="shared" si="108"/>
        <v/>
      </c>
      <c r="AK93" s="128" t="str">
        <f t="shared" si="108"/>
        <v/>
      </c>
      <c r="AL93" s="125" t="str">
        <f t="shared" si="108"/>
        <v/>
      </c>
      <c r="AM93" s="125" t="str">
        <f t="shared" si="108"/>
        <v/>
      </c>
      <c r="AN93" s="125" t="str">
        <f t="shared" si="108"/>
        <v/>
      </c>
      <c r="AO93" s="125" t="str">
        <f t="shared" si="108"/>
        <v/>
      </c>
      <c r="AP93" s="125" t="str">
        <f t="shared" si="108"/>
        <v/>
      </c>
      <c r="AQ93" s="126" t="str">
        <f t="shared" si="108"/>
        <v/>
      </c>
      <c r="AR93" s="127" t="str">
        <f t="shared" si="108"/>
        <v/>
      </c>
    </row>
    <row r="94" spans="1:44" hidden="1" x14ac:dyDescent="0.3">
      <c r="A94" s="42" t="str">
        <f t="shared" ref="A94" si="109">+IF(C94+C95=0,"[ocultar]","")</f>
        <v>[ocultar]</v>
      </c>
      <c r="B94" s="34" t="s">
        <v>162</v>
      </c>
      <c r="C94" s="33">
        <f t="array" ref="C94">SUM(IF($B94=DATOS_[Sexo],
IF($B93=DATOS_[AGRUP. VALOR. PTO.],
IF("Dentro"=DATOS_[Check Periodo Ref.],
1/(COUNTIFS(DATOS_[Sexo],$B94,DATOS_[AGRUP. VALOR. PTO.],$B93,DATOS_[Check Periodo Ref.],"Dentro",DATOS_[id],DATOS_[id]))))))</f>
        <v>0</v>
      </c>
      <c r="D94" s="35">
        <f>COUNTIFS(DATOS_[AGRUP. VALOR. PTO.],$B93,DATOS_[Sexo],$B94,DATOS_[Check Periodo Ref.],"Dentro")</f>
        <v>0</v>
      </c>
      <c r="E94" s="110">
        <f t="array" ref="E94">IFERROR(
MEDIAN(IF(DATOS_[Sexo]=$B94,IF(DATOS_[AGRUP. VALOR. PTO.]=$B93,IF(DATOS_[Check Periodo Ref.]="Dentro",DATOS_[SALARIO BASE Ef],FALSE)))),
0)</f>
        <v>0</v>
      </c>
      <c r="F94" s="111">
        <f t="array" ref="F94">IFERROR(
MEDIAN((IF(DATOS_[[Sexo]:[Sexo]]=$B94,IF(DATOS_[[AGRUP. VALOR. PTO.]:[AGRUP. VALOR. PTO.]]=$B93,IF(DATOS_[[Check Periodo Ref.]:[Check Periodo Ref.]]="Dentro",DATOS_[Conc.Sal.01]))))),
0)</f>
        <v>0</v>
      </c>
      <c r="G94" s="111">
        <f t="array" ref="G94">IFERROR(
MEDIAN((IF(DATOS_[[Sexo]:[Sexo]]=$B94,IF(DATOS_[[AGRUP. VALOR. PTO.]:[AGRUP. VALOR. PTO.]]=$B93,IF(DATOS_[[Check Periodo Ref.]:[Check Periodo Ref.]]="Dentro",DATOS_[Conc.Sal.02]))))),
0)</f>
        <v>0</v>
      </c>
      <c r="H94" s="111">
        <f t="array" ref="H94">IFERROR(
MEDIAN((IF(DATOS_[[Sexo]:[Sexo]]=$B94,IF(DATOS_[[AGRUP. VALOR. PTO.]:[AGRUP. VALOR. PTO.]]=$B93,IF(DATOS_[[Check Periodo Ref.]:[Check Periodo Ref.]]="Dentro",DATOS_[Conc.Sal.03]))))),
0)</f>
        <v>0</v>
      </c>
      <c r="I94" s="111">
        <f t="array" ref="I94">IFERROR(
MEDIAN((IF(DATOS_[[Sexo]:[Sexo]]=$B94,IF(DATOS_[[AGRUP. VALOR. PTO.]:[AGRUP. VALOR. PTO.]]=$B93,IF(DATOS_[[Check Periodo Ref.]:[Check Periodo Ref.]]="Dentro",DATOS_[Conc.Sal.04]))))),
0)</f>
        <v>0</v>
      </c>
      <c r="J94" s="111">
        <f t="array" ref="J94">IFERROR(
MEDIAN((IF(DATOS_[[Sexo]:[Sexo]]=$B94,IF(DATOS_[[AGRUP. VALOR. PTO.]:[AGRUP. VALOR. PTO.]]=$B93,IF(DATOS_[[Check Periodo Ref.]:[Check Periodo Ref.]]="Dentro",DATOS_[Conc.Sal.05]))))),
0)</f>
        <v>0</v>
      </c>
      <c r="K94" s="111">
        <f t="array" ref="K94">IFERROR(
MEDIAN((IF(DATOS_[[Sexo]:[Sexo]]=$B94,IF(DATOS_[[AGRUP. VALOR. PTO.]:[AGRUP. VALOR. PTO.]]=$B93,IF(DATOS_[[Check Periodo Ref.]:[Check Periodo Ref.]]="Dentro",DATOS_[Conc.Sal.06]))))),
0)</f>
        <v>0</v>
      </c>
      <c r="L94" s="111">
        <f t="array" ref="L94">IFERROR(
MEDIAN((IF(DATOS_[[Sexo]:[Sexo]]=$B94,IF(DATOS_[[AGRUP. VALOR. PTO.]:[AGRUP. VALOR. PTO.]]=$B93,IF(DATOS_[[Check Periodo Ref.]:[Check Periodo Ref.]]="Dentro",DATOS_[Conc.Sal.07]))))),
0)</f>
        <v>0</v>
      </c>
      <c r="M94" s="111">
        <f t="array" ref="M94">IFERROR(
MEDIAN((IF(DATOS_[[Sexo]:[Sexo]]=$B94,IF(DATOS_[[AGRUP. VALOR. PTO.]:[AGRUP. VALOR. PTO.]]=$B93,IF(DATOS_[[Check Periodo Ref.]:[Check Periodo Ref.]]="Dentro",DATOS_[Conc.Sal.08]))))),
0)</f>
        <v>0</v>
      </c>
      <c r="N94" s="111">
        <f t="array" ref="N94">IFERROR(
MEDIAN((IF(DATOS_[[Sexo]:[Sexo]]=$B94,IF(DATOS_[[AGRUP. VALOR. PTO.]:[AGRUP. VALOR. PTO.]]=$B93,IF(DATOS_[[Check Periodo Ref.]:[Check Periodo Ref.]]="Dentro",DATOS_[Conc.Sal.09]))))),
0)</f>
        <v>0</v>
      </c>
      <c r="O94" s="111">
        <f t="array" ref="O94">IFERROR(
MEDIAN((IF(DATOS_[[Sexo]:[Sexo]]=$B94,IF(DATOS_[[AGRUP. VALOR. PTO.]:[AGRUP. VALOR. PTO.]]=$B93,IF(DATOS_[[Check Periodo Ref.]:[Check Periodo Ref.]]="Dentro",DATOS_[Conc.Sal.10]))))),
0)</f>
        <v>0</v>
      </c>
      <c r="P94" s="111">
        <f t="array" ref="P94">IFERROR(
MEDIAN((IF(DATOS_[[Sexo]:[Sexo]]=$B94,IF(DATOS_[[AGRUP. VALOR. PTO.]:[AGRUP. VALOR. PTO.]]=$B93,IF(DATOS_[[Check Periodo Ref.]:[Check Periodo Ref.]]="Dentro",DATOS_[Conc.Sal.11]))))),
0)</f>
        <v>0</v>
      </c>
      <c r="Q94" s="111">
        <f t="array" ref="Q94">IFERROR(
MEDIAN((IF(DATOS_[[Sexo]:[Sexo]]=$B94,IF(DATOS_[[AGRUP. VALOR. PTO.]:[AGRUP. VALOR. PTO.]]=$B93,IF(DATOS_[[Check Periodo Ref.]:[Check Periodo Ref.]]="Dentro",DATOS_[Conc.Sal.12]))))),
0)</f>
        <v>0</v>
      </c>
      <c r="R94" s="111">
        <f t="array" ref="R94">IFERROR(
MEDIAN((IF(DATOS_[[Sexo]:[Sexo]]=$B94,IF(DATOS_[[AGRUP. VALOR. PTO.]:[AGRUP. VALOR. PTO.]]=$B93,IF(DATOS_[[Check Periodo Ref.]:[Check Periodo Ref.]]="Dentro",DATOS_[Conc.Sal.13]))))),
0)</f>
        <v>0</v>
      </c>
      <c r="S94" s="111">
        <f t="array" ref="S94">IFERROR(
MEDIAN((IF(DATOS_[[Sexo]:[Sexo]]=$B94,IF(DATOS_[[AGRUP. VALOR. PTO.]:[AGRUP. VALOR. PTO.]]=$B93,IF(DATOS_[[Check Periodo Ref.]:[Check Periodo Ref.]]="Dentro",DATOS_[Conc.Sal.14]))))),
0)</f>
        <v>0</v>
      </c>
      <c r="T94" s="111">
        <f t="array" ref="T94">IFERROR(
MEDIAN((IF(DATOS_[[Sexo]:[Sexo]]=$B94,IF(DATOS_[[AGRUP. VALOR. PTO.]:[AGRUP. VALOR. PTO.]]=$B93,IF(DATOS_[[Check Periodo Ref.]:[Check Periodo Ref.]]="Dentro",DATOS_[Conc.Sal.15]))))),
0)</f>
        <v>0</v>
      </c>
      <c r="U94" s="111">
        <f t="array" ref="U94">IFERROR(
MEDIAN((IF(DATOS_[[Sexo]:[Sexo]]=$B94,IF(DATOS_[[AGRUP. VALOR. PTO.]:[AGRUP. VALOR. PTO.]]=$B93,IF(DATOS_[[Check Periodo Ref.]:[Check Periodo Ref.]]="Dentro",DATOS_[Conc.Sal.16]))))),
0)</f>
        <v>0</v>
      </c>
      <c r="V94" s="111">
        <f t="array" ref="V94">IFERROR(
MEDIAN((IF(DATOS_[[Sexo]:[Sexo]]=$B94,IF(DATOS_[[AGRUP. VALOR. PTO.]:[AGRUP. VALOR. PTO.]]=$B93,IF(DATOS_[[Check Periodo Ref.]:[Check Periodo Ref.]]="Dentro",DATOS_[Conc.Sal.17]))))),
0)</f>
        <v>0</v>
      </c>
      <c r="W94" s="111">
        <f t="array" ref="W94">IFERROR(
MEDIAN((IF(DATOS_[[Sexo]:[Sexo]]=$B94,IF(DATOS_[[AGRUP. VALOR. PTO.]:[AGRUP. VALOR. PTO.]]=$B93,IF(DATOS_[[Check Periodo Ref.]:[Check Periodo Ref.]]="Dentro",DATOS_[Conc.Sal.18]))))),
0)</f>
        <v>0</v>
      </c>
      <c r="X94" s="111">
        <f t="array" ref="X94">IFERROR(
MEDIAN((IF(DATOS_[[Sexo]:[Sexo]]=$B94,IF(DATOS_[[AGRUP. VALOR. PTO.]:[AGRUP. VALOR. PTO.]]=$B93,IF(DATOS_[[Check Periodo Ref.]:[Check Periodo Ref.]]="Dentro",DATOS_[Conc.Sal.19]))))),
0)</f>
        <v>0</v>
      </c>
      <c r="Y94" s="111">
        <f t="array" ref="Y94">IFERROR(
MEDIAN((IF(DATOS_[[Sexo]:[Sexo]]=$B94,IF(DATOS_[[AGRUP. VALOR. PTO.]:[AGRUP. VALOR. PTO.]]=$B93,IF(DATOS_[[Check Periodo Ref.]:[Check Periodo Ref.]]="Dentro",DATOS_[Conc.Sal.20]))))),
0)</f>
        <v>0</v>
      </c>
      <c r="Z94" s="111">
        <f t="array" ref="Z94">IFERROR(
MEDIAN((IF(DATOS_[[Sexo]:[Sexo]]=$B94,IF(DATOS_[[AGRUP. VALOR. PTO.]:[AGRUP. VALOR. PTO.]]=$B93,IF(DATOS_[[Check Periodo Ref.]:[Check Periodo Ref.]]="Dentro",DATOS_[Conc.Sal.21]))))),
0)</f>
        <v>0</v>
      </c>
      <c r="AA94" s="111">
        <f t="array" ref="AA94">IFERROR(
MEDIAN((IF(DATOS_[[Sexo]:[Sexo]]=$B94,IF(DATOS_[[AGRUP. VALOR. PTO.]:[AGRUP. VALOR. PTO.]]=$B93,IF(DATOS_[[Check Periodo Ref.]:[Check Periodo Ref.]]="Dentro",DATOS_[Conc.Sal.22]))))),
0)</f>
        <v>0</v>
      </c>
      <c r="AB94" s="111">
        <f t="array" ref="AB94">IFERROR(
MEDIAN((IF(DATOS_[[Sexo]:[Sexo]]=$B94,IF(DATOS_[[AGRUP. VALOR. PTO.]:[AGRUP. VALOR. PTO.]]=$B93,IF(DATOS_[[Check Periodo Ref.]:[Check Periodo Ref.]]="Dentro",DATOS_[Conc.Sal.23]))))),
0)</f>
        <v>0</v>
      </c>
      <c r="AC94" s="111">
        <f t="array" ref="AC94">IFERROR(
MEDIAN((IF(DATOS_[[Sexo]:[Sexo]]=$B94,IF(DATOS_[[AGRUP. VALOR. PTO.]:[AGRUP. VALOR. PTO.]]=$B93,IF(DATOS_[[Check Periodo Ref.]:[Check Periodo Ref.]]="Dentro",DATOS_[Conc.Sal.24]))))),
0)</f>
        <v>0</v>
      </c>
      <c r="AD94" s="111">
        <f t="array" ref="AD94">IFERROR(
MEDIAN((IF(DATOS_[[Sexo]:[Sexo]]=$B94,IF(DATOS_[[AGRUP. VALOR. PTO.]:[AGRUP. VALOR. PTO.]]=$B93,IF(DATOS_[[Check Periodo Ref.]:[Check Periodo Ref.]]="Dentro",DATOS_[Conc.Sal.25]))))),
0)</f>
        <v>0</v>
      </c>
      <c r="AE94" s="111">
        <f t="array" ref="AE94">IFERROR(
MEDIAN((IF(DATOS_[[Sexo]:[Sexo]]=$B94,IF(DATOS_[[AGRUP. VALOR. PTO.]:[AGRUP. VALOR. PTO.]]=$B93,IF(DATOS_[[Check Periodo Ref.]:[Check Periodo Ref.]]="Dentro",DATOS_[Conc.Sal.26]))))),
0)</f>
        <v>0</v>
      </c>
      <c r="AF94" s="111">
        <f t="array" ref="AF94">IFERROR(
MEDIAN((IF(DATOS_[[Sexo]:[Sexo]]=$B94,IF(DATOS_[[AGRUP. VALOR. PTO.]:[AGRUP. VALOR. PTO.]]=$B93,IF(DATOS_[[Check Periodo Ref.]:[Check Periodo Ref.]]="Dentro",DATOS_[Conc.Sal.27]))))),
0)</f>
        <v>0</v>
      </c>
      <c r="AG94" s="111">
        <f t="array" ref="AG94">IFERROR(
MEDIAN((IF(DATOS_[[Sexo]:[Sexo]]=$B94,IF(DATOS_[[AGRUP. VALOR. PTO.]:[AGRUP. VALOR. PTO.]]=$B93,IF(DATOS_[[Check Periodo Ref.]:[Check Periodo Ref.]]="Dentro",DATOS_[Conc.Sal.28]))))),
0)</f>
        <v>0</v>
      </c>
      <c r="AH94" s="111">
        <f t="array" ref="AH94">IFERROR(
MEDIAN((IF(DATOS_[[Sexo]:[Sexo]]=$B94,IF(DATOS_[[AGRUP. VALOR. PTO.]:[AGRUP. VALOR. PTO.]]=$B93,IF(DATOS_[[Check Periodo Ref.]:[Check Periodo Ref.]]="Dentro",DATOS_[Conc.Sal.29]))))),
0)</f>
        <v>0</v>
      </c>
      <c r="AI94" s="111">
        <f t="array" ref="AI94">IFERROR(
MEDIAN((IF(DATOS_[[Sexo]:[Sexo]]=$B94,IF(DATOS_[[AGRUP. VALOR. PTO.]:[AGRUP. VALOR. PTO.]]=$B93,IF(DATOS_[[Check Periodo Ref.]:[Check Periodo Ref.]]="Dentro",DATOS_[Conc.Sal.30]))))),
0)</f>
        <v>0</v>
      </c>
      <c r="AJ94" s="112">
        <f t="array" ref="AJ94">IFERROR(
MEDIAN(IF(DATOS_[Sexo]=$B94,IF(DATOS_[AGRUP. VALOR. PTO.]=$B93,IF(DATOS_[Check Periodo Ref.]="Dentro",DATOS_[Tot COMPL.SAL Ef],FALSE)))),
0)</f>
        <v>0</v>
      </c>
      <c r="AK94" s="113">
        <f t="array" ref="AK94">IFERROR(
MEDIAN(IF(DATOS_[Sexo]=$B94,IF(DATOS_[AGRUP. VALOR. PTO.]=$B93,IF(DATOS_[Check Periodo Ref.]="Dentro",DATOS_[TOTAL SALARIO Ef],FALSE)))),
0)</f>
        <v>0</v>
      </c>
      <c r="AL94" s="114">
        <f t="array" ref="AL94">IFERROR(
MEDIAN((IF(DATOS_[[Sexo]:[Sexo]]=$B94,IF(DATOS_[[AGRUP. VALOR. PTO.]:[AGRUP. VALOR. PTO.]]=$B93,IF(DATOS_[[Check Periodo Ref.]:[Check Periodo Ref.]]="Dentro",DATOS_[C.Extra.01]))))),
0)</f>
        <v>0</v>
      </c>
      <c r="AM94" s="114">
        <f t="array" ref="AM94">IFERROR(
MEDIAN((IF(DATOS_[[Sexo]:[Sexo]]=$B94,IF(DATOS_[[AGRUP. VALOR. PTO.]:[AGRUP. VALOR. PTO.]]=$B93,IF(DATOS_[[Check Periodo Ref.]:[Check Periodo Ref.]]="Dentro",DATOS_[C.Extra.02]))))),
0)</f>
        <v>0</v>
      </c>
      <c r="AN94" s="114">
        <f t="array" ref="AN94">IFERROR(
MEDIAN((IF(DATOS_[[Sexo]:[Sexo]]=$B94,IF(DATOS_[[AGRUP. VALOR. PTO.]:[AGRUP. VALOR. PTO.]]=$B93,IF(DATOS_[[Check Periodo Ref.]:[Check Periodo Ref.]]="Dentro",DATOS_[C.Extra.03]))))),
0)</f>
        <v>0</v>
      </c>
      <c r="AO94" s="114">
        <f t="array" ref="AO94">IFERROR(
MEDIAN((IF(DATOS_[[Sexo]:[Sexo]]=$B94,IF(DATOS_[[AGRUP. VALOR. PTO.]:[AGRUP. VALOR. PTO.]]=$B93,IF(DATOS_[[Check Periodo Ref.]:[Check Periodo Ref.]]="Dentro",DATOS_[C.Extra.04]))))),
0)</f>
        <v>0</v>
      </c>
      <c r="AP94" s="114">
        <f t="array" ref="AP94">IFERROR(
MEDIAN((IF(DATOS_[[Sexo]:[Sexo]]=$B94,IF(DATOS_[[AGRUP. VALOR. PTO.]:[AGRUP. VALOR. PTO.]]=$B93,IF(DATOS_[[Check Periodo Ref.]:[Check Periodo Ref.]]="Dentro",DATOS_[C.Extra.05]))))),
0)</f>
        <v>0</v>
      </c>
      <c r="AQ94" s="115">
        <f t="array" ref="AQ94">IFERROR(
MEDIAN(IF(DATOS_[Sexo]=$B94,IF(DATOS_[AGRUP. VALOR. PTO.]=$B93,IF(DATOS_[Check Periodo Ref.]="Dentro",DATOS_[Tot Extrasalarial Ef],FALSE)))),
0)</f>
        <v>0</v>
      </c>
      <c r="AR94" s="116">
        <f t="array" ref="AR94">IFERROR(
MEDIAN(IF(DATOS_[Sexo]=$B94,IF(DATOS_[AGRUP. VALOR. PTO.]=$B93,IF(DATOS_[Check Periodo Ref.]="Dentro",DATOS_[TOTAL Retrib Ef],FALSE)))),
0)</f>
        <v>0</v>
      </c>
    </row>
    <row r="95" spans="1:44" hidden="1" x14ac:dyDescent="0.3">
      <c r="A95" s="42" t="str">
        <f t="shared" ref="A95" si="110">+A94</f>
        <v>[ocultar]</v>
      </c>
      <c r="B95" s="34" t="s">
        <v>163</v>
      </c>
      <c r="C95" s="33">
        <f t="array" ref="C95">SUM(IF($B95=DATOS_[Sexo],
IF($B93=DATOS_[AGRUP. VALOR. PTO.],
IF("Dentro"=DATOS_[Check Periodo Ref.],
1/(COUNTIFS(DATOS_[Sexo],$B95,DATOS_[AGRUP. VALOR. PTO.],$B93,DATOS_[Check Periodo Ref.],"Dentro",DATOS_[id],DATOS_[id]))))))</f>
        <v>0</v>
      </c>
      <c r="D95" s="35">
        <f>COUNTIFS(DATOS_[AGRUP. VALOR. PTO.],$B93,DATOS_[Sexo],$B95,DATOS_[Check Periodo Ref.],"Dentro")</f>
        <v>0</v>
      </c>
      <c r="E95" s="110">
        <f t="array" ref="E95">IFERROR(
MEDIAN(IF(DATOS_[Sexo]=$B95,IF(DATOS_[AGRUP. VALOR. PTO.]=$B93,IF(DATOS_[Check Periodo Ref.]="Dentro",DATOS_[SALARIO BASE Ef],FALSE)))),
0)</f>
        <v>0</v>
      </c>
      <c r="F95" s="111">
        <f t="array" ref="F95">IFERROR(
MEDIAN((IF(DATOS_[[Sexo]:[Sexo]]=$B95,IF(DATOS_[[AGRUP. VALOR. PTO.]:[AGRUP. VALOR. PTO.]]=$B93,IF(DATOS_[[Check Periodo Ref.]:[Check Periodo Ref.]]="Dentro",DATOS_[Conc.Sal.01]))))),
0)</f>
        <v>0</v>
      </c>
      <c r="G95" s="111">
        <f t="array" ref="G95">IFERROR(
MEDIAN((IF(DATOS_[[Sexo]:[Sexo]]=$B95,IF(DATOS_[[AGRUP. VALOR. PTO.]:[AGRUP. VALOR. PTO.]]=$B93,IF(DATOS_[[Check Periodo Ref.]:[Check Periodo Ref.]]="Dentro",DATOS_[Conc.Sal.02]))))),
0)</f>
        <v>0</v>
      </c>
      <c r="H95" s="111">
        <f t="array" ref="H95">IFERROR(
MEDIAN((IF(DATOS_[[Sexo]:[Sexo]]=$B95,IF(DATOS_[[AGRUP. VALOR. PTO.]:[AGRUP. VALOR. PTO.]]=$B93,IF(DATOS_[[Check Periodo Ref.]:[Check Periodo Ref.]]="Dentro",DATOS_[Conc.Sal.03]))))),
0)</f>
        <v>0</v>
      </c>
      <c r="I95" s="111">
        <f t="array" ref="I95">IFERROR(
MEDIAN((IF(DATOS_[[Sexo]:[Sexo]]=$B95,IF(DATOS_[[AGRUP. VALOR. PTO.]:[AGRUP. VALOR. PTO.]]=$B93,IF(DATOS_[[Check Periodo Ref.]:[Check Periodo Ref.]]="Dentro",DATOS_[Conc.Sal.04]))))),
0)</f>
        <v>0</v>
      </c>
      <c r="J95" s="111">
        <f t="array" ref="J95">IFERROR(
MEDIAN((IF(DATOS_[[Sexo]:[Sexo]]=$B95,IF(DATOS_[[AGRUP. VALOR. PTO.]:[AGRUP. VALOR. PTO.]]=$B93,IF(DATOS_[[Check Periodo Ref.]:[Check Periodo Ref.]]="Dentro",DATOS_[Conc.Sal.05]))))),
0)</f>
        <v>0</v>
      </c>
      <c r="K95" s="111">
        <f t="array" ref="K95">IFERROR(
MEDIAN((IF(DATOS_[[Sexo]:[Sexo]]=$B95,IF(DATOS_[[AGRUP. VALOR. PTO.]:[AGRUP. VALOR. PTO.]]=$B93,IF(DATOS_[[Check Periodo Ref.]:[Check Periodo Ref.]]="Dentro",DATOS_[Conc.Sal.06]))))),
0)</f>
        <v>0</v>
      </c>
      <c r="L95" s="111">
        <f t="array" ref="L95">IFERROR(
MEDIAN((IF(DATOS_[[Sexo]:[Sexo]]=$B95,IF(DATOS_[[AGRUP. VALOR. PTO.]:[AGRUP. VALOR. PTO.]]=$B93,IF(DATOS_[[Check Periodo Ref.]:[Check Periodo Ref.]]="Dentro",DATOS_[Conc.Sal.07]))))),
0)</f>
        <v>0</v>
      </c>
      <c r="M95" s="111">
        <f t="array" ref="M95">IFERROR(
MEDIAN((IF(DATOS_[[Sexo]:[Sexo]]=$B95,IF(DATOS_[[AGRUP. VALOR. PTO.]:[AGRUP. VALOR. PTO.]]=$B93,IF(DATOS_[[Check Periodo Ref.]:[Check Periodo Ref.]]="Dentro",DATOS_[Conc.Sal.08]))))),
0)</f>
        <v>0</v>
      </c>
      <c r="N95" s="111">
        <f t="array" ref="N95">IFERROR(
MEDIAN((IF(DATOS_[[Sexo]:[Sexo]]=$B95,IF(DATOS_[[AGRUP. VALOR. PTO.]:[AGRUP. VALOR. PTO.]]=$B93,IF(DATOS_[[Check Periodo Ref.]:[Check Periodo Ref.]]="Dentro",DATOS_[Conc.Sal.09]))))),
0)</f>
        <v>0</v>
      </c>
      <c r="O95" s="111">
        <f t="array" ref="O95">IFERROR(
MEDIAN((IF(DATOS_[[Sexo]:[Sexo]]=$B95,IF(DATOS_[[AGRUP. VALOR. PTO.]:[AGRUP. VALOR. PTO.]]=$B93,IF(DATOS_[[Check Periodo Ref.]:[Check Periodo Ref.]]="Dentro",DATOS_[Conc.Sal.10]))))),
0)</f>
        <v>0</v>
      </c>
      <c r="P95" s="111">
        <f t="array" ref="P95">IFERROR(
MEDIAN((IF(DATOS_[[Sexo]:[Sexo]]=$B95,IF(DATOS_[[AGRUP. VALOR. PTO.]:[AGRUP. VALOR. PTO.]]=$B93,IF(DATOS_[[Check Periodo Ref.]:[Check Periodo Ref.]]="Dentro",DATOS_[Conc.Sal.11]))))),
0)</f>
        <v>0</v>
      </c>
      <c r="Q95" s="111">
        <f t="array" ref="Q95">IFERROR(
MEDIAN((IF(DATOS_[[Sexo]:[Sexo]]=$B95,IF(DATOS_[[AGRUP. VALOR. PTO.]:[AGRUP. VALOR. PTO.]]=$B93,IF(DATOS_[[Check Periodo Ref.]:[Check Periodo Ref.]]="Dentro",DATOS_[Conc.Sal.12]))))),
0)</f>
        <v>0</v>
      </c>
      <c r="R95" s="111">
        <f t="array" ref="R95">IFERROR(
MEDIAN((IF(DATOS_[[Sexo]:[Sexo]]=$B95,IF(DATOS_[[AGRUP. VALOR. PTO.]:[AGRUP. VALOR. PTO.]]=$B93,IF(DATOS_[[Check Periodo Ref.]:[Check Periodo Ref.]]="Dentro",DATOS_[Conc.Sal.13]))))),
0)</f>
        <v>0</v>
      </c>
      <c r="S95" s="111">
        <f t="array" ref="S95">IFERROR(
MEDIAN((IF(DATOS_[[Sexo]:[Sexo]]=$B95,IF(DATOS_[[AGRUP. VALOR. PTO.]:[AGRUP. VALOR. PTO.]]=$B93,IF(DATOS_[[Check Periodo Ref.]:[Check Periodo Ref.]]="Dentro",DATOS_[Conc.Sal.14]))))),
0)</f>
        <v>0</v>
      </c>
      <c r="T95" s="111">
        <f t="array" ref="T95">IFERROR(
MEDIAN((IF(DATOS_[[Sexo]:[Sexo]]=$B95,IF(DATOS_[[AGRUP. VALOR. PTO.]:[AGRUP. VALOR. PTO.]]=$B93,IF(DATOS_[[Check Periodo Ref.]:[Check Periodo Ref.]]="Dentro",DATOS_[Conc.Sal.15]))))),
0)</f>
        <v>0</v>
      </c>
      <c r="U95" s="111">
        <f t="array" ref="U95">IFERROR(
MEDIAN((IF(DATOS_[[Sexo]:[Sexo]]=$B95,IF(DATOS_[[AGRUP. VALOR. PTO.]:[AGRUP. VALOR. PTO.]]=$B93,IF(DATOS_[[Check Periodo Ref.]:[Check Periodo Ref.]]="Dentro",DATOS_[Conc.Sal.16]))))),
0)</f>
        <v>0</v>
      </c>
      <c r="V95" s="111">
        <f t="array" ref="V95">IFERROR(
MEDIAN((IF(DATOS_[[Sexo]:[Sexo]]=$B95,IF(DATOS_[[AGRUP. VALOR. PTO.]:[AGRUP. VALOR. PTO.]]=$B93,IF(DATOS_[[Check Periodo Ref.]:[Check Periodo Ref.]]="Dentro",DATOS_[Conc.Sal.17]))))),
0)</f>
        <v>0</v>
      </c>
      <c r="W95" s="111">
        <f t="array" ref="W95">IFERROR(
MEDIAN((IF(DATOS_[[Sexo]:[Sexo]]=$B95,IF(DATOS_[[AGRUP. VALOR. PTO.]:[AGRUP. VALOR. PTO.]]=$B93,IF(DATOS_[[Check Periodo Ref.]:[Check Periodo Ref.]]="Dentro",DATOS_[Conc.Sal.18]))))),
0)</f>
        <v>0</v>
      </c>
      <c r="X95" s="111">
        <f t="array" ref="X95">IFERROR(
MEDIAN((IF(DATOS_[[Sexo]:[Sexo]]=$B95,IF(DATOS_[[AGRUP. VALOR. PTO.]:[AGRUP. VALOR. PTO.]]=$B93,IF(DATOS_[[Check Periodo Ref.]:[Check Periodo Ref.]]="Dentro",DATOS_[Conc.Sal.19]))))),
0)</f>
        <v>0</v>
      </c>
      <c r="Y95" s="111">
        <f t="array" ref="Y95">IFERROR(
MEDIAN((IF(DATOS_[[Sexo]:[Sexo]]=$B95,IF(DATOS_[[AGRUP. VALOR. PTO.]:[AGRUP. VALOR. PTO.]]=$B93,IF(DATOS_[[Check Periodo Ref.]:[Check Periodo Ref.]]="Dentro",DATOS_[Conc.Sal.20]))))),
0)</f>
        <v>0</v>
      </c>
      <c r="Z95" s="111">
        <f t="array" ref="Z95">IFERROR(
MEDIAN((IF(DATOS_[[Sexo]:[Sexo]]=$B95,IF(DATOS_[[AGRUP. VALOR. PTO.]:[AGRUP. VALOR. PTO.]]=$B93,IF(DATOS_[[Check Periodo Ref.]:[Check Periodo Ref.]]="Dentro",DATOS_[Conc.Sal.21]))))),
0)</f>
        <v>0</v>
      </c>
      <c r="AA95" s="111">
        <f t="array" ref="AA95">IFERROR(
MEDIAN((IF(DATOS_[[Sexo]:[Sexo]]=$B95,IF(DATOS_[[AGRUP. VALOR. PTO.]:[AGRUP. VALOR. PTO.]]=$B93,IF(DATOS_[[Check Periodo Ref.]:[Check Periodo Ref.]]="Dentro",DATOS_[Conc.Sal.22]))))),
0)</f>
        <v>0</v>
      </c>
      <c r="AB95" s="111">
        <f t="array" ref="AB95">IFERROR(
MEDIAN((IF(DATOS_[[Sexo]:[Sexo]]=$B95,IF(DATOS_[[AGRUP. VALOR. PTO.]:[AGRUP. VALOR. PTO.]]=$B93,IF(DATOS_[[Check Periodo Ref.]:[Check Periodo Ref.]]="Dentro",DATOS_[Conc.Sal.23]))))),
0)</f>
        <v>0</v>
      </c>
      <c r="AC95" s="111">
        <f t="array" ref="AC95">IFERROR(
MEDIAN((IF(DATOS_[[Sexo]:[Sexo]]=$B95,IF(DATOS_[[AGRUP. VALOR. PTO.]:[AGRUP. VALOR. PTO.]]=$B93,IF(DATOS_[[Check Periodo Ref.]:[Check Periodo Ref.]]="Dentro",DATOS_[Conc.Sal.24]))))),
0)</f>
        <v>0</v>
      </c>
      <c r="AD95" s="111">
        <f t="array" ref="AD95">IFERROR(
MEDIAN((IF(DATOS_[[Sexo]:[Sexo]]=$B95,IF(DATOS_[[AGRUP. VALOR. PTO.]:[AGRUP. VALOR. PTO.]]=$B93,IF(DATOS_[[Check Periodo Ref.]:[Check Periodo Ref.]]="Dentro",DATOS_[Conc.Sal.25]))))),
0)</f>
        <v>0</v>
      </c>
      <c r="AE95" s="111">
        <f t="array" ref="AE95">IFERROR(
MEDIAN((IF(DATOS_[[Sexo]:[Sexo]]=$B95,IF(DATOS_[[AGRUP. VALOR. PTO.]:[AGRUP. VALOR. PTO.]]=$B93,IF(DATOS_[[Check Periodo Ref.]:[Check Periodo Ref.]]="Dentro",DATOS_[Conc.Sal.26]))))),
0)</f>
        <v>0</v>
      </c>
      <c r="AF95" s="111">
        <f t="array" ref="AF95">IFERROR(
MEDIAN((IF(DATOS_[[Sexo]:[Sexo]]=$B95,IF(DATOS_[[AGRUP. VALOR. PTO.]:[AGRUP. VALOR. PTO.]]=$B93,IF(DATOS_[[Check Periodo Ref.]:[Check Periodo Ref.]]="Dentro",DATOS_[Conc.Sal.27]))))),
0)</f>
        <v>0</v>
      </c>
      <c r="AG95" s="111">
        <f t="array" ref="AG95">IFERROR(
MEDIAN((IF(DATOS_[[Sexo]:[Sexo]]=$B95,IF(DATOS_[[AGRUP. VALOR. PTO.]:[AGRUP. VALOR. PTO.]]=$B93,IF(DATOS_[[Check Periodo Ref.]:[Check Periodo Ref.]]="Dentro",DATOS_[Conc.Sal.28]))))),
0)</f>
        <v>0</v>
      </c>
      <c r="AH95" s="111">
        <f t="array" ref="AH95">IFERROR(
MEDIAN((IF(DATOS_[[Sexo]:[Sexo]]=$B95,IF(DATOS_[[AGRUP. VALOR. PTO.]:[AGRUP. VALOR. PTO.]]=$B93,IF(DATOS_[[Check Periodo Ref.]:[Check Periodo Ref.]]="Dentro",DATOS_[Conc.Sal.29]))))),
0)</f>
        <v>0</v>
      </c>
      <c r="AI95" s="111">
        <f t="array" ref="AI95">IFERROR(
MEDIAN((IF(DATOS_[[Sexo]:[Sexo]]=$B95,IF(DATOS_[[AGRUP. VALOR. PTO.]:[AGRUP. VALOR. PTO.]]=$B93,IF(DATOS_[[Check Periodo Ref.]:[Check Periodo Ref.]]="Dentro",DATOS_[Conc.Sal.30]))))),
0)</f>
        <v>0</v>
      </c>
      <c r="AJ95" s="112">
        <f t="array" ref="AJ95">IFERROR(
MEDIAN(IF(DATOS_[Sexo]=$B95,IF(DATOS_[AGRUP. VALOR. PTO.]=$B93,IF(DATOS_[Check Periodo Ref.]="Dentro",DATOS_[Tot COMPL.SAL Ef],FALSE)))),
0)</f>
        <v>0</v>
      </c>
      <c r="AK95" s="113">
        <f t="array" ref="AK95">IFERROR(
MEDIAN(IF(DATOS_[Sexo]=$B95,IF(DATOS_[AGRUP. VALOR. PTO.]=$B93,IF(DATOS_[Check Periodo Ref.]="Dentro",DATOS_[TOTAL SALARIO Ef],FALSE)))),
0)</f>
        <v>0</v>
      </c>
      <c r="AL95" s="114">
        <f t="array" ref="AL95">IFERROR(
MEDIAN((IF(DATOS_[[Sexo]:[Sexo]]=$B95,IF(DATOS_[[AGRUP. VALOR. PTO.]:[AGRUP. VALOR. PTO.]]=$B93,IF(DATOS_[[Check Periodo Ref.]:[Check Periodo Ref.]]="Dentro",DATOS_[C.Extra.01]))))),
0)</f>
        <v>0</v>
      </c>
      <c r="AM95" s="114">
        <f t="array" ref="AM95">IFERROR(
MEDIAN((IF(DATOS_[[Sexo]:[Sexo]]=$B95,IF(DATOS_[[AGRUP. VALOR. PTO.]:[AGRUP. VALOR. PTO.]]=$B93,IF(DATOS_[[Check Periodo Ref.]:[Check Periodo Ref.]]="Dentro",DATOS_[C.Extra.02]))))),
0)</f>
        <v>0</v>
      </c>
      <c r="AN95" s="114">
        <f t="array" ref="AN95">IFERROR(
MEDIAN((IF(DATOS_[[Sexo]:[Sexo]]=$B95,IF(DATOS_[[AGRUP. VALOR. PTO.]:[AGRUP. VALOR. PTO.]]=$B93,IF(DATOS_[[Check Periodo Ref.]:[Check Periodo Ref.]]="Dentro",DATOS_[C.Extra.03]))))),
0)</f>
        <v>0</v>
      </c>
      <c r="AO95" s="114">
        <f t="array" ref="AO95">IFERROR(
MEDIAN((IF(DATOS_[[Sexo]:[Sexo]]=$B95,IF(DATOS_[[AGRUP. VALOR. PTO.]:[AGRUP. VALOR. PTO.]]=$B93,IF(DATOS_[[Check Periodo Ref.]:[Check Periodo Ref.]]="Dentro",DATOS_[C.Extra.04]))))),
0)</f>
        <v>0</v>
      </c>
      <c r="AP95" s="114">
        <f t="array" ref="AP95">IFERROR(
MEDIAN((IF(DATOS_[[Sexo]:[Sexo]]=$B95,IF(DATOS_[[AGRUP. VALOR. PTO.]:[AGRUP. VALOR. PTO.]]=$B93,IF(DATOS_[[Check Periodo Ref.]:[Check Periodo Ref.]]="Dentro",DATOS_[C.Extra.05]))))),
0)</f>
        <v>0</v>
      </c>
      <c r="AQ95" s="115">
        <f t="array" ref="AQ95">IFERROR(
MEDIAN(IF(DATOS_[Sexo]=$B95,IF(DATOS_[AGRUP. VALOR. PTO.]=$B93,IF(DATOS_[Check Periodo Ref.]="Dentro",DATOS_[Tot Extrasalarial Ef],FALSE)))),
0)</f>
        <v>0</v>
      </c>
      <c r="AR95" s="116">
        <f t="array" ref="AR95">IFERROR(
MEDIAN(IF(DATOS_[Sexo]=$B95,IF(DATOS_[AGRUP. VALOR. PTO.]=$B93,IF(DATOS_[Check Periodo Ref.]="Dentro",DATOS_[TOTAL Retrib Ef],FALSE)))),
0)</f>
        <v>0</v>
      </c>
    </row>
    <row r="96" spans="1:44" ht="17.25" hidden="1" thickBot="1" x14ac:dyDescent="0.35">
      <c r="A96" s="42" t="str">
        <f t="shared" ref="A96" si="111">+A97</f>
        <v>[ocultar]</v>
      </c>
      <c r="B96" s="40" t="s">
        <v>287</v>
      </c>
      <c r="C96" s="109"/>
      <c r="D96" s="41"/>
      <c r="E96" s="119" t="str">
        <f t="shared" ref="E96:AR96" si="112">IFERROR((E97-E98)/E97,"")</f>
        <v/>
      </c>
      <c r="F96" s="123" t="str">
        <f t="shared" si="112"/>
        <v/>
      </c>
      <c r="G96" s="123" t="str">
        <f t="shared" si="112"/>
        <v/>
      </c>
      <c r="H96" s="123" t="str">
        <f t="shared" si="112"/>
        <v/>
      </c>
      <c r="I96" s="123" t="str">
        <f t="shared" si="112"/>
        <v/>
      </c>
      <c r="J96" s="123" t="str">
        <f t="shared" si="112"/>
        <v/>
      </c>
      <c r="K96" s="123" t="str">
        <f t="shared" si="112"/>
        <v/>
      </c>
      <c r="L96" s="123" t="str">
        <f t="shared" si="112"/>
        <v/>
      </c>
      <c r="M96" s="123" t="str">
        <f t="shared" si="112"/>
        <v/>
      </c>
      <c r="N96" s="123" t="str">
        <f t="shared" si="112"/>
        <v/>
      </c>
      <c r="O96" s="123" t="str">
        <f t="shared" si="112"/>
        <v/>
      </c>
      <c r="P96" s="123" t="str">
        <f t="shared" si="112"/>
        <v/>
      </c>
      <c r="Q96" s="123" t="str">
        <f t="shared" si="112"/>
        <v/>
      </c>
      <c r="R96" s="123" t="str">
        <f t="shared" si="112"/>
        <v/>
      </c>
      <c r="S96" s="123" t="str">
        <f t="shared" si="112"/>
        <v/>
      </c>
      <c r="T96" s="123" t="str">
        <f t="shared" si="112"/>
        <v/>
      </c>
      <c r="U96" s="123" t="str">
        <f t="shared" si="112"/>
        <v/>
      </c>
      <c r="V96" s="122" t="str">
        <f t="shared" si="112"/>
        <v/>
      </c>
      <c r="W96" s="122" t="str">
        <f t="shared" si="112"/>
        <v/>
      </c>
      <c r="X96" s="122" t="str">
        <f t="shared" si="112"/>
        <v/>
      </c>
      <c r="Y96" s="122" t="str">
        <f t="shared" si="112"/>
        <v/>
      </c>
      <c r="Z96" s="122" t="str">
        <f t="shared" si="112"/>
        <v/>
      </c>
      <c r="AA96" s="122" t="str">
        <f t="shared" si="112"/>
        <v/>
      </c>
      <c r="AB96" s="122" t="str">
        <f t="shared" si="112"/>
        <v/>
      </c>
      <c r="AC96" s="122" t="str">
        <f t="shared" si="112"/>
        <v/>
      </c>
      <c r="AD96" s="122" t="str">
        <f t="shared" si="112"/>
        <v/>
      </c>
      <c r="AE96" s="122" t="str">
        <f t="shared" si="112"/>
        <v/>
      </c>
      <c r="AF96" s="122" t="str">
        <f t="shared" si="112"/>
        <v/>
      </c>
      <c r="AG96" s="122" t="str">
        <f t="shared" si="112"/>
        <v/>
      </c>
      <c r="AH96" s="122" t="str">
        <f t="shared" si="112"/>
        <v/>
      </c>
      <c r="AI96" s="122" t="str">
        <f t="shared" si="112"/>
        <v/>
      </c>
      <c r="AJ96" s="124" t="str">
        <f t="shared" si="112"/>
        <v/>
      </c>
      <c r="AK96" s="128" t="str">
        <f t="shared" si="112"/>
        <v/>
      </c>
      <c r="AL96" s="125" t="str">
        <f t="shared" si="112"/>
        <v/>
      </c>
      <c r="AM96" s="125" t="str">
        <f t="shared" si="112"/>
        <v/>
      </c>
      <c r="AN96" s="125" t="str">
        <f t="shared" si="112"/>
        <v/>
      </c>
      <c r="AO96" s="125" t="str">
        <f t="shared" si="112"/>
        <v/>
      </c>
      <c r="AP96" s="125" t="str">
        <f t="shared" si="112"/>
        <v/>
      </c>
      <c r="AQ96" s="126" t="str">
        <f t="shared" si="112"/>
        <v/>
      </c>
      <c r="AR96" s="127" t="str">
        <f t="shared" si="112"/>
        <v/>
      </c>
    </row>
    <row r="97" spans="1:44" hidden="1" x14ac:dyDescent="0.3">
      <c r="A97" s="42" t="str">
        <f t="shared" ref="A97" si="113">+IF(C97+C98=0,"[ocultar]","")</f>
        <v>[ocultar]</v>
      </c>
      <c r="B97" s="34" t="s">
        <v>162</v>
      </c>
      <c r="C97" s="33">
        <f t="array" ref="C97">SUM(IF($B97=DATOS_[Sexo],
IF($B96=DATOS_[AGRUP. VALOR. PTO.],
IF("Dentro"=DATOS_[Check Periodo Ref.],
1/(COUNTIFS(DATOS_[Sexo],$B97,DATOS_[AGRUP. VALOR. PTO.],$B96,DATOS_[Check Periodo Ref.],"Dentro",DATOS_[id],DATOS_[id]))))))</f>
        <v>0</v>
      </c>
      <c r="D97" s="35">
        <f>COUNTIFS(DATOS_[AGRUP. VALOR. PTO.],$B96,DATOS_[Sexo],$B97,DATOS_[Check Periodo Ref.],"Dentro")</f>
        <v>0</v>
      </c>
      <c r="E97" s="110">
        <f t="array" ref="E97">IFERROR(
MEDIAN(IF(DATOS_[Sexo]=$B97,IF(DATOS_[AGRUP. VALOR. PTO.]=$B96,IF(DATOS_[Check Periodo Ref.]="Dentro",DATOS_[SALARIO BASE Ef],FALSE)))),
0)</f>
        <v>0</v>
      </c>
      <c r="F97" s="111">
        <f t="array" ref="F97">IFERROR(
MEDIAN((IF(DATOS_[[Sexo]:[Sexo]]=$B97,IF(DATOS_[[AGRUP. VALOR. PTO.]:[AGRUP. VALOR. PTO.]]=$B96,IF(DATOS_[[Check Periodo Ref.]:[Check Periodo Ref.]]="Dentro",DATOS_[Conc.Sal.01]))))),
0)</f>
        <v>0</v>
      </c>
      <c r="G97" s="111">
        <f t="array" ref="G97">IFERROR(
MEDIAN((IF(DATOS_[[Sexo]:[Sexo]]=$B97,IF(DATOS_[[AGRUP. VALOR. PTO.]:[AGRUP. VALOR. PTO.]]=$B96,IF(DATOS_[[Check Periodo Ref.]:[Check Periodo Ref.]]="Dentro",DATOS_[Conc.Sal.02]))))),
0)</f>
        <v>0</v>
      </c>
      <c r="H97" s="111">
        <f t="array" ref="H97">IFERROR(
MEDIAN((IF(DATOS_[[Sexo]:[Sexo]]=$B97,IF(DATOS_[[AGRUP. VALOR. PTO.]:[AGRUP. VALOR. PTO.]]=$B96,IF(DATOS_[[Check Periodo Ref.]:[Check Periodo Ref.]]="Dentro",DATOS_[Conc.Sal.03]))))),
0)</f>
        <v>0</v>
      </c>
      <c r="I97" s="111">
        <f t="array" ref="I97">IFERROR(
MEDIAN((IF(DATOS_[[Sexo]:[Sexo]]=$B97,IF(DATOS_[[AGRUP. VALOR. PTO.]:[AGRUP. VALOR. PTO.]]=$B96,IF(DATOS_[[Check Periodo Ref.]:[Check Periodo Ref.]]="Dentro",DATOS_[Conc.Sal.04]))))),
0)</f>
        <v>0</v>
      </c>
      <c r="J97" s="111">
        <f t="array" ref="J97">IFERROR(
MEDIAN((IF(DATOS_[[Sexo]:[Sexo]]=$B97,IF(DATOS_[[AGRUP. VALOR. PTO.]:[AGRUP. VALOR. PTO.]]=$B96,IF(DATOS_[[Check Periodo Ref.]:[Check Periodo Ref.]]="Dentro",DATOS_[Conc.Sal.05]))))),
0)</f>
        <v>0</v>
      </c>
      <c r="K97" s="111">
        <f t="array" ref="K97">IFERROR(
MEDIAN((IF(DATOS_[[Sexo]:[Sexo]]=$B97,IF(DATOS_[[AGRUP. VALOR. PTO.]:[AGRUP. VALOR. PTO.]]=$B96,IF(DATOS_[[Check Periodo Ref.]:[Check Periodo Ref.]]="Dentro",DATOS_[Conc.Sal.06]))))),
0)</f>
        <v>0</v>
      </c>
      <c r="L97" s="111">
        <f t="array" ref="L97">IFERROR(
MEDIAN((IF(DATOS_[[Sexo]:[Sexo]]=$B97,IF(DATOS_[[AGRUP. VALOR. PTO.]:[AGRUP. VALOR. PTO.]]=$B96,IF(DATOS_[[Check Periodo Ref.]:[Check Periodo Ref.]]="Dentro",DATOS_[Conc.Sal.07]))))),
0)</f>
        <v>0</v>
      </c>
      <c r="M97" s="111">
        <f t="array" ref="M97">IFERROR(
MEDIAN((IF(DATOS_[[Sexo]:[Sexo]]=$B97,IF(DATOS_[[AGRUP. VALOR. PTO.]:[AGRUP. VALOR. PTO.]]=$B96,IF(DATOS_[[Check Periodo Ref.]:[Check Periodo Ref.]]="Dentro",DATOS_[Conc.Sal.08]))))),
0)</f>
        <v>0</v>
      </c>
      <c r="N97" s="111">
        <f t="array" ref="N97">IFERROR(
MEDIAN((IF(DATOS_[[Sexo]:[Sexo]]=$B97,IF(DATOS_[[AGRUP. VALOR. PTO.]:[AGRUP. VALOR. PTO.]]=$B96,IF(DATOS_[[Check Periodo Ref.]:[Check Periodo Ref.]]="Dentro",DATOS_[Conc.Sal.09]))))),
0)</f>
        <v>0</v>
      </c>
      <c r="O97" s="111">
        <f t="array" ref="O97">IFERROR(
MEDIAN((IF(DATOS_[[Sexo]:[Sexo]]=$B97,IF(DATOS_[[AGRUP. VALOR. PTO.]:[AGRUP. VALOR. PTO.]]=$B96,IF(DATOS_[[Check Periodo Ref.]:[Check Periodo Ref.]]="Dentro",DATOS_[Conc.Sal.10]))))),
0)</f>
        <v>0</v>
      </c>
      <c r="P97" s="111">
        <f t="array" ref="P97">IFERROR(
MEDIAN((IF(DATOS_[[Sexo]:[Sexo]]=$B97,IF(DATOS_[[AGRUP. VALOR. PTO.]:[AGRUP. VALOR. PTO.]]=$B96,IF(DATOS_[[Check Periodo Ref.]:[Check Periodo Ref.]]="Dentro",DATOS_[Conc.Sal.11]))))),
0)</f>
        <v>0</v>
      </c>
      <c r="Q97" s="111">
        <f t="array" ref="Q97">IFERROR(
MEDIAN((IF(DATOS_[[Sexo]:[Sexo]]=$B97,IF(DATOS_[[AGRUP. VALOR. PTO.]:[AGRUP. VALOR. PTO.]]=$B96,IF(DATOS_[[Check Periodo Ref.]:[Check Periodo Ref.]]="Dentro",DATOS_[Conc.Sal.12]))))),
0)</f>
        <v>0</v>
      </c>
      <c r="R97" s="111">
        <f t="array" ref="R97">IFERROR(
MEDIAN((IF(DATOS_[[Sexo]:[Sexo]]=$B97,IF(DATOS_[[AGRUP. VALOR. PTO.]:[AGRUP. VALOR. PTO.]]=$B96,IF(DATOS_[[Check Periodo Ref.]:[Check Periodo Ref.]]="Dentro",DATOS_[Conc.Sal.13]))))),
0)</f>
        <v>0</v>
      </c>
      <c r="S97" s="111">
        <f t="array" ref="S97">IFERROR(
MEDIAN((IF(DATOS_[[Sexo]:[Sexo]]=$B97,IF(DATOS_[[AGRUP. VALOR. PTO.]:[AGRUP. VALOR. PTO.]]=$B96,IF(DATOS_[[Check Periodo Ref.]:[Check Periodo Ref.]]="Dentro",DATOS_[Conc.Sal.14]))))),
0)</f>
        <v>0</v>
      </c>
      <c r="T97" s="111">
        <f t="array" ref="T97">IFERROR(
MEDIAN((IF(DATOS_[[Sexo]:[Sexo]]=$B97,IF(DATOS_[[AGRUP. VALOR. PTO.]:[AGRUP. VALOR. PTO.]]=$B96,IF(DATOS_[[Check Periodo Ref.]:[Check Periodo Ref.]]="Dentro",DATOS_[Conc.Sal.15]))))),
0)</f>
        <v>0</v>
      </c>
      <c r="U97" s="111">
        <f t="array" ref="U97">IFERROR(
MEDIAN((IF(DATOS_[[Sexo]:[Sexo]]=$B97,IF(DATOS_[[AGRUP. VALOR. PTO.]:[AGRUP. VALOR. PTO.]]=$B96,IF(DATOS_[[Check Periodo Ref.]:[Check Periodo Ref.]]="Dentro",DATOS_[Conc.Sal.16]))))),
0)</f>
        <v>0</v>
      </c>
      <c r="V97" s="111">
        <f t="array" ref="V97">IFERROR(
MEDIAN((IF(DATOS_[[Sexo]:[Sexo]]=$B97,IF(DATOS_[[AGRUP. VALOR. PTO.]:[AGRUP. VALOR. PTO.]]=$B96,IF(DATOS_[[Check Periodo Ref.]:[Check Periodo Ref.]]="Dentro",DATOS_[Conc.Sal.17]))))),
0)</f>
        <v>0</v>
      </c>
      <c r="W97" s="111">
        <f t="array" ref="W97">IFERROR(
MEDIAN((IF(DATOS_[[Sexo]:[Sexo]]=$B97,IF(DATOS_[[AGRUP. VALOR. PTO.]:[AGRUP. VALOR. PTO.]]=$B96,IF(DATOS_[[Check Periodo Ref.]:[Check Periodo Ref.]]="Dentro",DATOS_[Conc.Sal.18]))))),
0)</f>
        <v>0</v>
      </c>
      <c r="X97" s="111">
        <f t="array" ref="X97">IFERROR(
MEDIAN((IF(DATOS_[[Sexo]:[Sexo]]=$B97,IF(DATOS_[[AGRUP. VALOR. PTO.]:[AGRUP. VALOR. PTO.]]=$B96,IF(DATOS_[[Check Periodo Ref.]:[Check Periodo Ref.]]="Dentro",DATOS_[Conc.Sal.19]))))),
0)</f>
        <v>0</v>
      </c>
      <c r="Y97" s="111">
        <f t="array" ref="Y97">IFERROR(
MEDIAN((IF(DATOS_[[Sexo]:[Sexo]]=$B97,IF(DATOS_[[AGRUP. VALOR. PTO.]:[AGRUP. VALOR. PTO.]]=$B96,IF(DATOS_[[Check Periodo Ref.]:[Check Periodo Ref.]]="Dentro",DATOS_[Conc.Sal.20]))))),
0)</f>
        <v>0</v>
      </c>
      <c r="Z97" s="111">
        <f t="array" ref="Z97">IFERROR(
MEDIAN((IF(DATOS_[[Sexo]:[Sexo]]=$B97,IF(DATOS_[[AGRUP. VALOR. PTO.]:[AGRUP. VALOR. PTO.]]=$B96,IF(DATOS_[[Check Periodo Ref.]:[Check Periodo Ref.]]="Dentro",DATOS_[Conc.Sal.21]))))),
0)</f>
        <v>0</v>
      </c>
      <c r="AA97" s="111">
        <f t="array" ref="AA97">IFERROR(
MEDIAN((IF(DATOS_[[Sexo]:[Sexo]]=$B97,IF(DATOS_[[AGRUP. VALOR. PTO.]:[AGRUP. VALOR. PTO.]]=$B96,IF(DATOS_[[Check Periodo Ref.]:[Check Periodo Ref.]]="Dentro",DATOS_[Conc.Sal.22]))))),
0)</f>
        <v>0</v>
      </c>
      <c r="AB97" s="111">
        <f t="array" ref="AB97">IFERROR(
MEDIAN((IF(DATOS_[[Sexo]:[Sexo]]=$B97,IF(DATOS_[[AGRUP. VALOR. PTO.]:[AGRUP. VALOR. PTO.]]=$B96,IF(DATOS_[[Check Periodo Ref.]:[Check Periodo Ref.]]="Dentro",DATOS_[Conc.Sal.23]))))),
0)</f>
        <v>0</v>
      </c>
      <c r="AC97" s="111">
        <f t="array" ref="AC97">IFERROR(
MEDIAN((IF(DATOS_[[Sexo]:[Sexo]]=$B97,IF(DATOS_[[AGRUP. VALOR. PTO.]:[AGRUP. VALOR. PTO.]]=$B96,IF(DATOS_[[Check Periodo Ref.]:[Check Periodo Ref.]]="Dentro",DATOS_[Conc.Sal.24]))))),
0)</f>
        <v>0</v>
      </c>
      <c r="AD97" s="111">
        <f t="array" ref="AD97">IFERROR(
MEDIAN((IF(DATOS_[[Sexo]:[Sexo]]=$B97,IF(DATOS_[[AGRUP. VALOR. PTO.]:[AGRUP. VALOR. PTO.]]=$B96,IF(DATOS_[[Check Periodo Ref.]:[Check Periodo Ref.]]="Dentro",DATOS_[Conc.Sal.25]))))),
0)</f>
        <v>0</v>
      </c>
      <c r="AE97" s="111">
        <f t="array" ref="AE97">IFERROR(
MEDIAN((IF(DATOS_[[Sexo]:[Sexo]]=$B97,IF(DATOS_[[AGRUP. VALOR. PTO.]:[AGRUP. VALOR. PTO.]]=$B96,IF(DATOS_[[Check Periodo Ref.]:[Check Periodo Ref.]]="Dentro",DATOS_[Conc.Sal.26]))))),
0)</f>
        <v>0</v>
      </c>
      <c r="AF97" s="111">
        <f t="array" ref="AF97">IFERROR(
MEDIAN((IF(DATOS_[[Sexo]:[Sexo]]=$B97,IF(DATOS_[[AGRUP. VALOR. PTO.]:[AGRUP. VALOR. PTO.]]=$B96,IF(DATOS_[[Check Periodo Ref.]:[Check Periodo Ref.]]="Dentro",DATOS_[Conc.Sal.27]))))),
0)</f>
        <v>0</v>
      </c>
      <c r="AG97" s="111">
        <f t="array" ref="AG97">IFERROR(
MEDIAN((IF(DATOS_[[Sexo]:[Sexo]]=$B97,IF(DATOS_[[AGRUP. VALOR. PTO.]:[AGRUP. VALOR. PTO.]]=$B96,IF(DATOS_[[Check Periodo Ref.]:[Check Periodo Ref.]]="Dentro",DATOS_[Conc.Sal.28]))))),
0)</f>
        <v>0</v>
      </c>
      <c r="AH97" s="111">
        <f t="array" ref="AH97">IFERROR(
MEDIAN((IF(DATOS_[[Sexo]:[Sexo]]=$B97,IF(DATOS_[[AGRUP. VALOR. PTO.]:[AGRUP. VALOR. PTO.]]=$B96,IF(DATOS_[[Check Periodo Ref.]:[Check Periodo Ref.]]="Dentro",DATOS_[Conc.Sal.29]))))),
0)</f>
        <v>0</v>
      </c>
      <c r="AI97" s="111">
        <f t="array" ref="AI97">IFERROR(
MEDIAN((IF(DATOS_[[Sexo]:[Sexo]]=$B97,IF(DATOS_[[AGRUP. VALOR. PTO.]:[AGRUP. VALOR. PTO.]]=$B96,IF(DATOS_[[Check Periodo Ref.]:[Check Periodo Ref.]]="Dentro",DATOS_[Conc.Sal.30]))))),
0)</f>
        <v>0</v>
      </c>
      <c r="AJ97" s="112">
        <f t="array" ref="AJ97">IFERROR(
MEDIAN(IF(DATOS_[Sexo]=$B97,IF(DATOS_[AGRUP. VALOR. PTO.]=$B96,IF(DATOS_[Check Periodo Ref.]="Dentro",DATOS_[Tot COMPL.SAL Ef],FALSE)))),
0)</f>
        <v>0</v>
      </c>
      <c r="AK97" s="113">
        <f t="array" ref="AK97">IFERROR(
MEDIAN(IF(DATOS_[Sexo]=$B97,IF(DATOS_[AGRUP. VALOR. PTO.]=$B96,IF(DATOS_[Check Periodo Ref.]="Dentro",DATOS_[TOTAL SALARIO Ef],FALSE)))),
0)</f>
        <v>0</v>
      </c>
      <c r="AL97" s="114">
        <f t="array" ref="AL97">IFERROR(
MEDIAN((IF(DATOS_[[Sexo]:[Sexo]]=$B97,IF(DATOS_[[AGRUP. VALOR. PTO.]:[AGRUP. VALOR. PTO.]]=$B96,IF(DATOS_[[Check Periodo Ref.]:[Check Periodo Ref.]]="Dentro",DATOS_[C.Extra.01]))))),
0)</f>
        <v>0</v>
      </c>
      <c r="AM97" s="114">
        <f t="array" ref="AM97">IFERROR(
MEDIAN((IF(DATOS_[[Sexo]:[Sexo]]=$B97,IF(DATOS_[[AGRUP. VALOR. PTO.]:[AGRUP. VALOR. PTO.]]=$B96,IF(DATOS_[[Check Periodo Ref.]:[Check Periodo Ref.]]="Dentro",DATOS_[C.Extra.02]))))),
0)</f>
        <v>0</v>
      </c>
      <c r="AN97" s="114">
        <f t="array" ref="AN97">IFERROR(
MEDIAN((IF(DATOS_[[Sexo]:[Sexo]]=$B97,IF(DATOS_[[AGRUP. VALOR. PTO.]:[AGRUP. VALOR. PTO.]]=$B96,IF(DATOS_[[Check Periodo Ref.]:[Check Periodo Ref.]]="Dentro",DATOS_[C.Extra.03]))))),
0)</f>
        <v>0</v>
      </c>
      <c r="AO97" s="114">
        <f t="array" ref="AO97">IFERROR(
MEDIAN((IF(DATOS_[[Sexo]:[Sexo]]=$B97,IF(DATOS_[[AGRUP. VALOR. PTO.]:[AGRUP. VALOR. PTO.]]=$B96,IF(DATOS_[[Check Periodo Ref.]:[Check Periodo Ref.]]="Dentro",DATOS_[C.Extra.04]))))),
0)</f>
        <v>0</v>
      </c>
      <c r="AP97" s="114">
        <f t="array" ref="AP97">IFERROR(
MEDIAN((IF(DATOS_[[Sexo]:[Sexo]]=$B97,IF(DATOS_[[AGRUP. VALOR. PTO.]:[AGRUP. VALOR. PTO.]]=$B96,IF(DATOS_[[Check Periodo Ref.]:[Check Periodo Ref.]]="Dentro",DATOS_[C.Extra.05]))))),
0)</f>
        <v>0</v>
      </c>
      <c r="AQ97" s="115">
        <f t="array" ref="AQ97">IFERROR(
MEDIAN(IF(DATOS_[Sexo]=$B97,IF(DATOS_[AGRUP. VALOR. PTO.]=$B96,IF(DATOS_[Check Periodo Ref.]="Dentro",DATOS_[Tot Extrasalarial Ef],FALSE)))),
0)</f>
        <v>0</v>
      </c>
      <c r="AR97" s="116">
        <f t="array" ref="AR97">IFERROR(
MEDIAN(IF(DATOS_[Sexo]=$B97,IF(DATOS_[AGRUP. VALOR. PTO.]=$B96,IF(DATOS_[Check Periodo Ref.]="Dentro",DATOS_[TOTAL Retrib Ef],FALSE)))),
0)</f>
        <v>0</v>
      </c>
    </row>
    <row r="98" spans="1:44" hidden="1" x14ac:dyDescent="0.3">
      <c r="A98" s="42" t="str">
        <f t="shared" ref="A98" si="114">+A97</f>
        <v>[ocultar]</v>
      </c>
      <c r="B98" s="34" t="s">
        <v>163</v>
      </c>
      <c r="C98" s="33">
        <f t="array" ref="C98">SUM(IF($B98=DATOS_[Sexo],
IF($B96=DATOS_[AGRUP. VALOR. PTO.],
IF("Dentro"=DATOS_[Check Periodo Ref.],
1/(COUNTIFS(DATOS_[Sexo],$B98,DATOS_[AGRUP. VALOR. PTO.],$B96,DATOS_[Check Periodo Ref.],"Dentro",DATOS_[id],DATOS_[id]))))))</f>
        <v>0</v>
      </c>
      <c r="D98" s="35">
        <f>COUNTIFS(DATOS_[AGRUP. VALOR. PTO.],$B96,DATOS_[Sexo],$B98,DATOS_[Check Periodo Ref.],"Dentro")</f>
        <v>0</v>
      </c>
      <c r="E98" s="110">
        <f t="array" ref="E98">IFERROR(
MEDIAN(IF(DATOS_[Sexo]=$B98,IF(DATOS_[AGRUP. VALOR. PTO.]=$B96,IF(DATOS_[Check Periodo Ref.]="Dentro",DATOS_[SALARIO BASE Ef],FALSE)))),
0)</f>
        <v>0</v>
      </c>
      <c r="F98" s="111">
        <f t="array" ref="F98">IFERROR(
MEDIAN((IF(DATOS_[[Sexo]:[Sexo]]=$B98,IF(DATOS_[[AGRUP. VALOR. PTO.]:[AGRUP. VALOR. PTO.]]=$B96,IF(DATOS_[[Check Periodo Ref.]:[Check Periodo Ref.]]="Dentro",DATOS_[Conc.Sal.01]))))),
0)</f>
        <v>0</v>
      </c>
      <c r="G98" s="111">
        <f t="array" ref="G98">IFERROR(
MEDIAN((IF(DATOS_[[Sexo]:[Sexo]]=$B98,IF(DATOS_[[AGRUP. VALOR. PTO.]:[AGRUP. VALOR. PTO.]]=$B96,IF(DATOS_[[Check Periodo Ref.]:[Check Periodo Ref.]]="Dentro",DATOS_[Conc.Sal.02]))))),
0)</f>
        <v>0</v>
      </c>
      <c r="H98" s="111">
        <f t="array" ref="H98">IFERROR(
MEDIAN((IF(DATOS_[[Sexo]:[Sexo]]=$B98,IF(DATOS_[[AGRUP. VALOR. PTO.]:[AGRUP. VALOR. PTO.]]=$B96,IF(DATOS_[[Check Periodo Ref.]:[Check Periodo Ref.]]="Dentro",DATOS_[Conc.Sal.03]))))),
0)</f>
        <v>0</v>
      </c>
      <c r="I98" s="111">
        <f t="array" ref="I98">IFERROR(
MEDIAN((IF(DATOS_[[Sexo]:[Sexo]]=$B98,IF(DATOS_[[AGRUP. VALOR. PTO.]:[AGRUP. VALOR. PTO.]]=$B96,IF(DATOS_[[Check Periodo Ref.]:[Check Periodo Ref.]]="Dentro",DATOS_[Conc.Sal.04]))))),
0)</f>
        <v>0</v>
      </c>
      <c r="J98" s="111">
        <f t="array" ref="J98">IFERROR(
MEDIAN((IF(DATOS_[[Sexo]:[Sexo]]=$B98,IF(DATOS_[[AGRUP. VALOR. PTO.]:[AGRUP. VALOR. PTO.]]=$B96,IF(DATOS_[[Check Periodo Ref.]:[Check Periodo Ref.]]="Dentro",DATOS_[Conc.Sal.05]))))),
0)</f>
        <v>0</v>
      </c>
      <c r="K98" s="111">
        <f t="array" ref="K98">IFERROR(
MEDIAN((IF(DATOS_[[Sexo]:[Sexo]]=$B98,IF(DATOS_[[AGRUP. VALOR. PTO.]:[AGRUP. VALOR. PTO.]]=$B96,IF(DATOS_[[Check Periodo Ref.]:[Check Periodo Ref.]]="Dentro",DATOS_[Conc.Sal.06]))))),
0)</f>
        <v>0</v>
      </c>
      <c r="L98" s="111">
        <f t="array" ref="L98">IFERROR(
MEDIAN((IF(DATOS_[[Sexo]:[Sexo]]=$B98,IF(DATOS_[[AGRUP. VALOR. PTO.]:[AGRUP. VALOR. PTO.]]=$B96,IF(DATOS_[[Check Periodo Ref.]:[Check Periodo Ref.]]="Dentro",DATOS_[Conc.Sal.07]))))),
0)</f>
        <v>0</v>
      </c>
      <c r="M98" s="111">
        <f t="array" ref="M98">IFERROR(
MEDIAN((IF(DATOS_[[Sexo]:[Sexo]]=$B98,IF(DATOS_[[AGRUP. VALOR. PTO.]:[AGRUP. VALOR. PTO.]]=$B96,IF(DATOS_[[Check Periodo Ref.]:[Check Periodo Ref.]]="Dentro",DATOS_[Conc.Sal.08]))))),
0)</f>
        <v>0</v>
      </c>
      <c r="N98" s="111">
        <f t="array" ref="N98">IFERROR(
MEDIAN((IF(DATOS_[[Sexo]:[Sexo]]=$B98,IF(DATOS_[[AGRUP. VALOR. PTO.]:[AGRUP. VALOR. PTO.]]=$B96,IF(DATOS_[[Check Periodo Ref.]:[Check Periodo Ref.]]="Dentro",DATOS_[Conc.Sal.09]))))),
0)</f>
        <v>0</v>
      </c>
      <c r="O98" s="111">
        <f t="array" ref="O98">IFERROR(
MEDIAN((IF(DATOS_[[Sexo]:[Sexo]]=$B98,IF(DATOS_[[AGRUP. VALOR. PTO.]:[AGRUP. VALOR. PTO.]]=$B96,IF(DATOS_[[Check Periodo Ref.]:[Check Periodo Ref.]]="Dentro",DATOS_[Conc.Sal.10]))))),
0)</f>
        <v>0</v>
      </c>
      <c r="P98" s="111">
        <f t="array" ref="P98">IFERROR(
MEDIAN((IF(DATOS_[[Sexo]:[Sexo]]=$B98,IF(DATOS_[[AGRUP. VALOR. PTO.]:[AGRUP. VALOR. PTO.]]=$B96,IF(DATOS_[[Check Periodo Ref.]:[Check Periodo Ref.]]="Dentro",DATOS_[Conc.Sal.11]))))),
0)</f>
        <v>0</v>
      </c>
      <c r="Q98" s="111">
        <f t="array" ref="Q98">IFERROR(
MEDIAN((IF(DATOS_[[Sexo]:[Sexo]]=$B98,IF(DATOS_[[AGRUP. VALOR. PTO.]:[AGRUP. VALOR. PTO.]]=$B96,IF(DATOS_[[Check Periodo Ref.]:[Check Periodo Ref.]]="Dentro",DATOS_[Conc.Sal.12]))))),
0)</f>
        <v>0</v>
      </c>
      <c r="R98" s="111">
        <f t="array" ref="R98">IFERROR(
MEDIAN((IF(DATOS_[[Sexo]:[Sexo]]=$B98,IF(DATOS_[[AGRUP. VALOR. PTO.]:[AGRUP. VALOR. PTO.]]=$B96,IF(DATOS_[[Check Periodo Ref.]:[Check Periodo Ref.]]="Dentro",DATOS_[Conc.Sal.13]))))),
0)</f>
        <v>0</v>
      </c>
      <c r="S98" s="111">
        <f t="array" ref="S98">IFERROR(
MEDIAN((IF(DATOS_[[Sexo]:[Sexo]]=$B98,IF(DATOS_[[AGRUP. VALOR. PTO.]:[AGRUP. VALOR. PTO.]]=$B96,IF(DATOS_[[Check Periodo Ref.]:[Check Periodo Ref.]]="Dentro",DATOS_[Conc.Sal.14]))))),
0)</f>
        <v>0</v>
      </c>
      <c r="T98" s="111">
        <f t="array" ref="T98">IFERROR(
MEDIAN((IF(DATOS_[[Sexo]:[Sexo]]=$B98,IF(DATOS_[[AGRUP. VALOR. PTO.]:[AGRUP. VALOR. PTO.]]=$B96,IF(DATOS_[[Check Periodo Ref.]:[Check Periodo Ref.]]="Dentro",DATOS_[Conc.Sal.15]))))),
0)</f>
        <v>0</v>
      </c>
      <c r="U98" s="111">
        <f t="array" ref="U98">IFERROR(
MEDIAN((IF(DATOS_[[Sexo]:[Sexo]]=$B98,IF(DATOS_[[AGRUP. VALOR. PTO.]:[AGRUP. VALOR. PTO.]]=$B96,IF(DATOS_[[Check Periodo Ref.]:[Check Periodo Ref.]]="Dentro",DATOS_[Conc.Sal.16]))))),
0)</f>
        <v>0</v>
      </c>
      <c r="V98" s="111">
        <f t="array" ref="V98">IFERROR(
MEDIAN((IF(DATOS_[[Sexo]:[Sexo]]=$B98,IF(DATOS_[[AGRUP. VALOR. PTO.]:[AGRUP. VALOR. PTO.]]=$B96,IF(DATOS_[[Check Periodo Ref.]:[Check Periodo Ref.]]="Dentro",DATOS_[Conc.Sal.17]))))),
0)</f>
        <v>0</v>
      </c>
      <c r="W98" s="111">
        <f t="array" ref="W98">IFERROR(
MEDIAN((IF(DATOS_[[Sexo]:[Sexo]]=$B98,IF(DATOS_[[AGRUP. VALOR. PTO.]:[AGRUP. VALOR. PTO.]]=$B96,IF(DATOS_[[Check Periodo Ref.]:[Check Periodo Ref.]]="Dentro",DATOS_[Conc.Sal.18]))))),
0)</f>
        <v>0</v>
      </c>
      <c r="X98" s="111">
        <f t="array" ref="X98">IFERROR(
MEDIAN((IF(DATOS_[[Sexo]:[Sexo]]=$B98,IF(DATOS_[[AGRUP. VALOR. PTO.]:[AGRUP. VALOR. PTO.]]=$B96,IF(DATOS_[[Check Periodo Ref.]:[Check Periodo Ref.]]="Dentro",DATOS_[Conc.Sal.19]))))),
0)</f>
        <v>0</v>
      </c>
      <c r="Y98" s="111">
        <f t="array" ref="Y98">IFERROR(
MEDIAN((IF(DATOS_[[Sexo]:[Sexo]]=$B98,IF(DATOS_[[AGRUP. VALOR. PTO.]:[AGRUP. VALOR. PTO.]]=$B96,IF(DATOS_[[Check Periodo Ref.]:[Check Periodo Ref.]]="Dentro",DATOS_[Conc.Sal.20]))))),
0)</f>
        <v>0</v>
      </c>
      <c r="Z98" s="111">
        <f t="array" ref="Z98">IFERROR(
MEDIAN((IF(DATOS_[[Sexo]:[Sexo]]=$B98,IF(DATOS_[[AGRUP. VALOR. PTO.]:[AGRUP. VALOR. PTO.]]=$B96,IF(DATOS_[[Check Periodo Ref.]:[Check Periodo Ref.]]="Dentro",DATOS_[Conc.Sal.21]))))),
0)</f>
        <v>0</v>
      </c>
      <c r="AA98" s="111">
        <f t="array" ref="AA98">IFERROR(
MEDIAN((IF(DATOS_[[Sexo]:[Sexo]]=$B98,IF(DATOS_[[AGRUP. VALOR. PTO.]:[AGRUP. VALOR. PTO.]]=$B96,IF(DATOS_[[Check Periodo Ref.]:[Check Periodo Ref.]]="Dentro",DATOS_[Conc.Sal.22]))))),
0)</f>
        <v>0</v>
      </c>
      <c r="AB98" s="111">
        <f t="array" ref="AB98">IFERROR(
MEDIAN((IF(DATOS_[[Sexo]:[Sexo]]=$B98,IF(DATOS_[[AGRUP. VALOR. PTO.]:[AGRUP. VALOR. PTO.]]=$B96,IF(DATOS_[[Check Periodo Ref.]:[Check Periodo Ref.]]="Dentro",DATOS_[Conc.Sal.23]))))),
0)</f>
        <v>0</v>
      </c>
      <c r="AC98" s="111">
        <f t="array" ref="AC98">IFERROR(
MEDIAN((IF(DATOS_[[Sexo]:[Sexo]]=$B98,IF(DATOS_[[AGRUP. VALOR. PTO.]:[AGRUP. VALOR. PTO.]]=$B96,IF(DATOS_[[Check Periodo Ref.]:[Check Periodo Ref.]]="Dentro",DATOS_[Conc.Sal.24]))))),
0)</f>
        <v>0</v>
      </c>
      <c r="AD98" s="111">
        <f t="array" ref="AD98">IFERROR(
MEDIAN((IF(DATOS_[[Sexo]:[Sexo]]=$B98,IF(DATOS_[[AGRUP. VALOR. PTO.]:[AGRUP. VALOR. PTO.]]=$B96,IF(DATOS_[[Check Periodo Ref.]:[Check Periodo Ref.]]="Dentro",DATOS_[Conc.Sal.25]))))),
0)</f>
        <v>0</v>
      </c>
      <c r="AE98" s="111">
        <f t="array" ref="AE98">IFERROR(
MEDIAN((IF(DATOS_[[Sexo]:[Sexo]]=$B98,IF(DATOS_[[AGRUP. VALOR. PTO.]:[AGRUP. VALOR. PTO.]]=$B96,IF(DATOS_[[Check Periodo Ref.]:[Check Periodo Ref.]]="Dentro",DATOS_[Conc.Sal.26]))))),
0)</f>
        <v>0</v>
      </c>
      <c r="AF98" s="111">
        <f t="array" ref="AF98">IFERROR(
MEDIAN((IF(DATOS_[[Sexo]:[Sexo]]=$B98,IF(DATOS_[[AGRUP. VALOR. PTO.]:[AGRUP. VALOR. PTO.]]=$B96,IF(DATOS_[[Check Periodo Ref.]:[Check Periodo Ref.]]="Dentro",DATOS_[Conc.Sal.27]))))),
0)</f>
        <v>0</v>
      </c>
      <c r="AG98" s="111">
        <f t="array" ref="AG98">IFERROR(
MEDIAN((IF(DATOS_[[Sexo]:[Sexo]]=$B98,IF(DATOS_[[AGRUP. VALOR. PTO.]:[AGRUP. VALOR. PTO.]]=$B96,IF(DATOS_[[Check Periodo Ref.]:[Check Periodo Ref.]]="Dentro",DATOS_[Conc.Sal.28]))))),
0)</f>
        <v>0</v>
      </c>
      <c r="AH98" s="111">
        <f t="array" ref="AH98">IFERROR(
MEDIAN((IF(DATOS_[[Sexo]:[Sexo]]=$B98,IF(DATOS_[[AGRUP. VALOR. PTO.]:[AGRUP. VALOR. PTO.]]=$B96,IF(DATOS_[[Check Periodo Ref.]:[Check Periodo Ref.]]="Dentro",DATOS_[Conc.Sal.29]))))),
0)</f>
        <v>0</v>
      </c>
      <c r="AI98" s="111">
        <f t="array" ref="AI98">IFERROR(
MEDIAN((IF(DATOS_[[Sexo]:[Sexo]]=$B98,IF(DATOS_[[AGRUP. VALOR. PTO.]:[AGRUP. VALOR. PTO.]]=$B96,IF(DATOS_[[Check Periodo Ref.]:[Check Periodo Ref.]]="Dentro",DATOS_[Conc.Sal.30]))))),
0)</f>
        <v>0</v>
      </c>
      <c r="AJ98" s="112">
        <f t="array" ref="AJ98">IFERROR(
MEDIAN(IF(DATOS_[Sexo]=$B98,IF(DATOS_[AGRUP. VALOR. PTO.]=$B96,IF(DATOS_[Check Periodo Ref.]="Dentro",DATOS_[Tot COMPL.SAL Ef],FALSE)))),
0)</f>
        <v>0</v>
      </c>
      <c r="AK98" s="113">
        <f t="array" ref="AK98">IFERROR(
MEDIAN(IF(DATOS_[Sexo]=$B98,IF(DATOS_[AGRUP. VALOR. PTO.]=$B96,IF(DATOS_[Check Periodo Ref.]="Dentro",DATOS_[TOTAL SALARIO Ef],FALSE)))),
0)</f>
        <v>0</v>
      </c>
      <c r="AL98" s="114">
        <f t="array" ref="AL98">IFERROR(
MEDIAN((IF(DATOS_[[Sexo]:[Sexo]]=$B98,IF(DATOS_[[AGRUP. VALOR. PTO.]:[AGRUP. VALOR. PTO.]]=$B96,IF(DATOS_[[Check Periodo Ref.]:[Check Periodo Ref.]]="Dentro",DATOS_[C.Extra.01]))))),
0)</f>
        <v>0</v>
      </c>
      <c r="AM98" s="114">
        <f t="array" ref="AM98">IFERROR(
MEDIAN((IF(DATOS_[[Sexo]:[Sexo]]=$B98,IF(DATOS_[[AGRUP. VALOR. PTO.]:[AGRUP. VALOR. PTO.]]=$B96,IF(DATOS_[[Check Periodo Ref.]:[Check Periodo Ref.]]="Dentro",DATOS_[C.Extra.02]))))),
0)</f>
        <v>0</v>
      </c>
      <c r="AN98" s="114">
        <f t="array" ref="AN98">IFERROR(
MEDIAN((IF(DATOS_[[Sexo]:[Sexo]]=$B98,IF(DATOS_[[AGRUP. VALOR. PTO.]:[AGRUP. VALOR. PTO.]]=$B96,IF(DATOS_[[Check Periodo Ref.]:[Check Periodo Ref.]]="Dentro",DATOS_[C.Extra.03]))))),
0)</f>
        <v>0</v>
      </c>
      <c r="AO98" s="114">
        <f t="array" ref="AO98">IFERROR(
MEDIAN((IF(DATOS_[[Sexo]:[Sexo]]=$B98,IF(DATOS_[[AGRUP. VALOR. PTO.]:[AGRUP. VALOR. PTO.]]=$B96,IF(DATOS_[[Check Periodo Ref.]:[Check Periodo Ref.]]="Dentro",DATOS_[C.Extra.04]))))),
0)</f>
        <v>0</v>
      </c>
      <c r="AP98" s="114">
        <f t="array" ref="AP98">IFERROR(
MEDIAN((IF(DATOS_[[Sexo]:[Sexo]]=$B98,IF(DATOS_[[AGRUP. VALOR. PTO.]:[AGRUP. VALOR. PTO.]]=$B96,IF(DATOS_[[Check Periodo Ref.]:[Check Periodo Ref.]]="Dentro",DATOS_[C.Extra.05]))))),
0)</f>
        <v>0</v>
      </c>
      <c r="AQ98" s="115">
        <f t="array" ref="AQ98">IFERROR(
MEDIAN(IF(DATOS_[Sexo]=$B98,IF(DATOS_[AGRUP. VALOR. PTO.]=$B96,IF(DATOS_[Check Periodo Ref.]="Dentro",DATOS_[Tot Extrasalarial Ef],FALSE)))),
0)</f>
        <v>0</v>
      </c>
      <c r="AR98" s="116">
        <f t="array" ref="AR98">IFERROR(
MEDIAN(IF(DATOS_[Sexo]=$B98,IF(DATOS_[AGRUP. VALOR. PTO.]=$B96,IF(DATOS_[Check Periodo Ref.]="Dentro",DATOS_[TOTAL Retrib Ef],FALSE)))),
0)</f>
        <v>0</v>
      </c>
    </row>
    <row r="99" spans="1:44" ht="17.25" hidden="1" thickBot="1" x14ac:dyDescent="0.35">
      <c r="A99" s="42" t="str">
        <f t="shared" ref="A99" si="115">+A100</f>
        <v>[ocultar]</v>
      </c>
      <c r="B99" s="40" t="s">
        <v>288</v>
      </c>
      <c r="C99" s="109"/>
      <c r="D99" s="41"/>
      <c r="E99" s="119" t="str">
        <f t="shared" ref="E99:AR99" si="116">IFERROR((E100-E101)/E100,"")</f>
        <v/>
      </c>
      <c r="F99" s="123" t="str">
        <f t="shared" si="116"/>
        <v/>
      </c>
      <c r="G99" s="123" t="str">
        <f t="shared" si="116"/>
        <v/>
      </c>
      <c r="H99" s="123" t="str">
        <f t="shared" si="116"/>
        <v/>
      </c>
      <c r="I99" s="123" t="str">
        <f t="shared" si="116"/>
        <v/>
      </c>
      <c r="J99" s="123" t="str">
        <f t="shared" si="116"/>
        <v/>
      </c>
      <c r="K99" s="123" t="str">
        <f t="shared" si="116"/>
        <v/>
      </c>
      <c r="L99" s="123" t="str">
        <f t="shared" si="116"/>
        <v/>
      </c>
      <c r="M99" s="123" t="str">
        <f t="shared" si="116"/>
        <v/>
      </c>
      <c r="N99" s="123" t="str">
        <f t="shared" si="116"/>
        <v/>
      </c>
      <c r="O99" s="123" t="str">
        <f t="shared" si="116"/>
        <v/>
      </c>
      <c r="P99" s="123" t="str">
        <f t="shared" si="116"/>
        <v/>
      </c>
      <c r="Q99" s="123" t="str">
        <f t="shared" si="116"/>
        <v/>
      </c>
      <c r="R99" s="123" t="str">
        <f t="shared" si="116"/>
        <v/>
      </c>
      <c r="S99" s="123" t="str">
        <f t="shared" si="116"/>
        <v/>
      </c>
      <c r="T99" s="123" t="str">
        <f t="shared" si="116"/>
        <v/>
      </c>
      <c r="U99" s="123" t="str">
        <f t="shared" si="116"/>
        <v/>
      </c>
      <c r="V99" s="122" t="str">
        <f t="shared" si="116"/>
        <v/>
      </c>
      <c r="W99" s="122" t="str">
        <f t="shared" si="116"/>
        <v/>
      </c>
      <c r="X99" s="122" t="str">
        <f t="shared" si="116"/>
        <v/>
      </c>
      <c r="Y99" s="122" t="str">
        <f t="shared" si="116"/>
        <v/>
      </c>
      <c r="Z99" s="122" t="str">
        <f t="shared" si="116"/>
        <v/>
      </c>
      <c r="AA99" s="122" t="str">
        <f t="shared" si="116"/>
        <v/>
      </c>
      <c r="AB99" s="122" t="str">
        <f t="shared" si="116"/>
        <v/>
      </c>
      <c r="AC99" s="122" t="str">
        <f t="shared" si="116"/>
        <v/>
      </c>
      <c r="AD99" s="122" t="str">
        <f t="shared" si="116"/>
        <v/>
      </c>
      <c r="AE99" s="122" t="str">
        <f t="shared" si="116"/>
        <v/>
      </c>
      <c r="AF99" s="122" t="str">
        <f t="shared" si="116"/>
        <v/>
      </c>
      <c r="AG99" s="122" t="str">
        <f t="shared" si="116"/>
        <v/>
      </c>
      <c r="AH99" s="122" t="str">
        <f t="shared" si="116"/>
        <v/>
      </c>
      <c r="AI99" s="122" t="str">
        <f t="shared" si="116"/>
        <v/>
      </c>
      <c r="AJ99" s="124" t="str">
        <f t="shared" si="116"/>
        <v/>
      </c>
      <c r="AK99" s="128" t="str">
        <f t="shared" si="116"/>
        <v/>
      </c>
      <c r="AL99" s="125" t="str">
        <f t="shared" si="116"/>
        <v/>
      </c>
      <c r="AM99" s="125" t="str">
        <f t="shared" si="116"/>
        <v/>
      </c>
      <c r="AN99" s="125" t="str">
        <f t="shared" si="116"/>
        <v/>
      </c>
      <c r="AO99" s="125" t="str">
        <f t="shared" si="116"/>
        <v/>
      </c>
      <c r="AP99" s="125" t="str">
        <f t="shared" si="116"/>
        <v/>
      </c>
      <c r="AQ99" s="126" t="str">
        <f t="shared" si="116"/>
        <v/>
      </c>
      <c r="AR99" s="127" t="str">
        <f t="shared" si="116"/>
        <v/>
      </c>
    </row>
    <row r="100" spans="1:44" hidden="1" x14ac:dyDescent="0.3">
      <c r="A100" s="42" t="str">
        <f t="shared" ref="A100" si="117">+IF(C100+C101=0,"[ocultar]","")</f>
        <v>[ocultar]</v>
      </c>
      <c r="B100" s="34" t="s">
        <v>162</v>
      </c>
      <c r="C100" s="33">
        <f t="array" ref="C100">SUM(IF($B100=DATOS_[Sexo],
IF($B99=DATOS_[AGRUP. VALOR. PTO.],
IF("Dentro"=DATOS_[Check Periodo Ref.],
1/(COUNTIFS(DATOS_[Sexo],$B100,DATOS_[AGRUP. VALOR. PTO.],$B99,DATOS_[Check Periodo Ref.],"Dentro",DATOS_[id],DATOS_[id]))))))</f>
        <v>0</v>
      </c>
      <c r="D100" s="35">
        <f>COUNTIFS(DATOS_[AGRUP. VALOR. PTO.],$B99,DATOS_[Sexo],$B100,DATOS_[Check Periodo Ref.],"Dentro")</f>
        <v>0</v>
      </c>
      <c r="E100" s="110">
        <f t="array" ref="E100">IFERROR(
MEDIAN(IF(DATOS_[Sexo]=$B100,IF(DATOS_[AGRUP. VALOR. PTO.]=$B99,IF(DATOS_[Check Periodo Ref.]="Dentro",DATOS_[SALARIO BASE Ef],FALSE)))),
0)</f>
        <v>0</v>
      </c>
      <c r="F100" s="111">
        <f t="array" ref="F100">IFERROR(
MEDIAN((IF(DATOS_[[Sexo]:[Sexo]]=$B100,IF(DATOS_[[AGRUP. VALOR. PTO.]:[AGRUP. VALOR. PTO.]]=$B99,IF(DATOS_[[Check Periodo Ref.]:[Check Periodo Ref.]]="Dentro",DATOS_[Conc.Sal.01]))))),
0)</f>
        <v>0</v>
      </c>
      <c r="G100" s="111">
        <f t="array" ref="G100">IFERROR(
MEDIAN((IF(DATOS_[[Sexo]:[Sexo]]=$B100,IF(DATOS_[[AGRUP. VALOR. PTO.]:[AGRUP. VALOR. PTO.]]=$B99,IF(DATOS_[[Check Periodo Ref.]:[Check Periodo Ref.]]="Dentro",DATOS_[Conc.Sal.02]))))),
0)</f>
        <v>0</v>
      </c>
      <c r="H100" s="111">
        <f t="array" ref="H100">IFERROR(
MEDIAN((IF(DATOS_[[Sexo]:[Sexo]]=$B100,IF(DATOS_[[AGRUP. VALOR. PTO.]:[AGRUP. VALOR. PTO.]]=$B99,IF(DATOS_[[Check Periodo Ref.]:[Check Periodo Ref.]]="Dentro",DATOS_[Conc.Sal.03]))))),
0)</f>
        <v>0</v>
      </c>
      <c r="I100" s="111">
        <f t="array" ref="I100">IFERROR(
MEDIAN((IF(DATOS_[[Sexo]:[Sexo]]=$B100,IF(DATOS_[[AGRUP. VALOR. PTO.]:[AGRUP. VALOR. PTO.]]=$B99,IF(DATOS_[[Check Periodo Ref.]:[Check Periodo Ref.]]="Dentro",DATOS_[Conc.Sal.04]))))),
0)</f>
        <v>0</v>
      </c>
      <c r="J100" s="111">
        <f t="array" ref="J100">IFERROR(
MEDIAN((IF(DATOS_[[Sexo]:[Sexo]]=$B100,IF(DATOS_[[AGRUP. VALOR. PTO.]:[AGRUP. VALOR. PTO.]]=$B99,IF(DATOS_[[Check Periodo Ref.]:[Check Periodo Ref.]]="Dentro",DATOS_[Conc.Sal.05]))))),
0)</f>
        <v>0</v>
      </c>
      <c r="K100" s="111">
        <f t="array" ref="K100">IFERROR(
MEDIAN((IF(DATOS_[[Sexo]:[Sexo]]=$B100,IF(DATOS_[[AGRUP. VALOR. PTO.]:[AGRUP. VALOR. PTO.]]=$B99,IF(DATOS_[[Check Periodo Ref.]:[Check Periodo Ref.]]="Dentro",DATOS_[Conc.Sal.06]))))),
0)</f>
        <v>0</v>
      </c>
      <c r="L100" s="111">
        <f t="array" ref="L100">IFERROR(
MEDIAN((IF(DATOS_[[Sexo]:[Sexo]]=$B100,IF(DATOS_[[AGRUP. VALOR. PTO.]:[AGRUP. VALOR. PTO.]]=$B99,IF(DATOS_[[Check Periodo Ref.]:[Check Periodo Ref.]]="Dentro",DATOS_[Conc.Sal.07]))))),
0)</f>
        <v>0</v>
      </c>
      <c r="M100" s="111">
        <f t="array" ref="M100">IFERROR(
MEDIAN((IF(DATOS_[[Sexo]:[Sexo]]=$B100,IF(DATOS_[[AGRUP. VALOR. PTO.]:[AGRUP. VALOR. PTO.]]=$B99,IF(DATOS_[[Check Periodo Ref.]:[Check Periodo Ref.]]="Dentro",DATOS_[Conc.Sal.08]))))),
0)</f>
        <v>0</v>
      </c>
      <c r="N100" s="111">
        <f t="array" ref="N100">IFERROR(
MEDIAN((IF(DATOS_[[Sexo]:[Sexo]]=$B100,IF(DATOS_[[AGRUP. VALOR. PTO.]:[AGRUP. VALOR. PTO.]]=$B99,IF(DATOS_[[Check Periodo Ref.]:[Check Periodo Ref.]]="Dentro",DATOS_[Conc.Sal.09]))))),
0)</f>
        <v>0</v>
      </c>
      <c r="O100" s="111">
        <f t="array" ref="O100">IFERROR(
MEDIAN((IF(DATOS_[[Sexo]:[Sexo]]=$B100,IF(DATOS_[[AGRUP. VALOR. PTO.]:[AGRUP. VALOR. PTO.]]=$B99,IF(DATOS_[[Check Periodo Ref.]:[Check Periodo Ref.]]="Dentro",DATOS_[Conc.Sal.10]))))),
0)</f>
        <v>0</v>
      </c>
      <c r="P100" s="111">
        <f t="array" ref="P100">IFERROR(
MEDIAN((IF(DATOS_[[Sexo]:[Sexo]]=$B100,IF(DATOS_[[AGRUP. VALOR. PTO.]:[AGRUP. VALOR. PTO.]]=$B99,IF(DATOS_[[Check Periodo Ref.]:[Check Periodo Ref.]]="Dentro",DATOS_[Conc.Sal.11]))))),
0)</f>
        <v>0</v>
      </c>
      <c r="Q100" s="111">
        <f t="array" ref="Q100">IFERROR(
MEDIAN((IF(DATOS_[[Sexo]:[Sexo]]=$B100,IF(DATOS_[[AGRUP. VALOR. PTO.]:[AGRUP. VALOR. PTO.]]=$B99,IF(DATOS_[[Check Periodo Ref.]:[Check Periodo Ref.]]="Dentro",DATOS_[Conc.Sal.12]))))),
0)</f>
        <v>0</v>
      </c>
      <c r="R100" s="111">
        <f t="array" ref="R100">IFERROR(
MEDIAN((IF(DATOS_[[Sexo]:[Sexo]]=$B100,IF(DATOS_[[AGRUP. VALOR. PTO.]:[AGRUP. VALOR. PTO.]]=$B99,IF(DATOS_[[Check Periodo Ref.]:[Check Periodo Ref.]]="Dentro",DATOS_[Conc.Sal.13]))))),
0)</f>
        <v>0</v>
      </c>
      <c r="S100" s="111">
        <f t="array" ref="S100">IFERROR(
MEDIAN((IF(DATOS_[[Sexo]:[Sexo]]=$B100,IF(DATOS_[[AGRUP. VALOR. PTO.]:[AGRUP. VALOR. PTO.]]=$B99,IF(DATOS_[[Check Periodo Ref.]:[Check Periodo Ref.]]="Dentro",DATOS_[Conc.Sal.14]))))),
0)</f>
        <v>0</v>
      </c>
      <c r="T100" s="111">
        <f t="array" ref="T100">IFERROR(
MEDIAN((IF(DATOS_[[Sexo]:[Sexo]]=$B100,IF(DATOS_[[AGRUP. VALOR. PTO.]:[AGRUP. VALOR. PTO.]]=$B99,IF(DATOS_[[Check Periodo Ref.]:[Check Periodo Ref.]]="Dentro",DATOS_[Conc.Sal.15]))))),
0)</f>
        <v>0</v>
      </c>
      <c r="U100" s="111">
        <f t="array" ref="U100">IFERROR(
MEDIAN((IF(DATOS_[[Sexo]:[Sexo]]=$B100,IF(DATOS_[[AGRUP. VALOR. PTO.]:[AGRUP. VALOR. PTO.]]=$B99,IF(DATOS_[[Check Periodo Ref.]:[Check Periodo Ref.]]="Dentro",DATOS_[Conc.Sal.16]))))),
0)</f>
        <v>0</v>
      </c>
      <c r="V100" s="111">
        <f t="array" ref="V100">IFERROR(
MEDIAN((IF(DATOS_[[Sexo]:[Sexo]]=$B100,IF(DATOS_[[AGRUP. VALOR. PTO.]:[AGRUP. VALOR. PTO.]]=$B99,IF(DATOS_[[Check Periodo Ref.]:[Check Periodo Ref.]]="Dentro",DATOS_[Conc.Sal.17]))))),
0)</f>
        <v>0</v>
      </c>
      <c r="W100" s="111">
        <f t="array" ref="W100">IFERROR(
MEDIAN((IF(DATOS_[[Sexo]:[Sexo]]=$B100,IF(DATOS_[[AGRUP. VALOR. PTO.]:[AGRUP. VALOR. PTO.]]=$B99,IF(DATOS_[[Check Periodo Ref.]:[Check Periodo Ref.]]="Dentro",DATOS_[Conc.Sal.18]))))),
0)</f>
        <v>0</v>
      </c>
      <c r="X100" s="111">
        <f t="array" ref="X100">IFERROR(
MEDIAN((IF(DATOS_[[Sexo]:[Sexo]]=$B100,IF(DATOS_[[AGRUP. VALOR. PTO.]:[AGRUP. VALOR. PTO.]]=$B99,IF(DATOS_[[Check Periodo Ref.]:[Check Periodo Ref.]]="Dentro",DATOS_[Conc.Sal.19]))))),
0)</f>
        <v>0</v>
      </c>
      <c r="Y100" s="111">
        <f t="array" ref="Y100">IFERROR(
MEDIAN((IF(DATOS_[[Sexo]:[Sexo]]=$B100,IF(DATOS_[[AGRUP. VALOR. PTO.]:[AGRUP. VALOR. PTO.]]=$B99,IF(DATOS_[[Check Periodo Ref.]:[Check Periodo Ref.]]="Dentro",DATOS_[Conc.Sal.20]))))),
0)</f>
        <v>0</v>
      </c>
      <c r="Z100" s="111">
        <f t="array" ref="Z100">IFERROR(
MEDIAN((IF(DATOS_[[Sexo]:[Sexo]]=$B100,IF(DATOS_[[AGRUP. VALOR. PTO.]:[AGRUP. VALOR. PTO.]]=$B99,IF(DATOS_[[Check Periodo Ref.]:[Check Periodo Ref.]]="Dentro",DATOS_[Conc.Sal.21]))))),
0)</f>
        <v>0</v>
      </c>
      <c r="AA100" s="111">
        <f t="array" ref="AA100">IFERROR(
MEDIAN((IF(DATOS_[[Sexo]:[Sexo]]=$B100,IF(DATOS_[[AGRUP. VALOR. PTO.]:[AGRUP. VALOR. PTO.]]=$B99,IF(DATOS_[[Check Periodo Ref.]:[Check Periodo Ref.]]="Dentro",DATOS_[Conc.Sal.22]))))),
0)</f>
        <v>0</v>
      </c>
      <c r="AB100" s="111">
        <f t="array" ref="AB100">IFERROR(
MEDIAN((IF(DATOS_[[Sexo]:[Sexo]]=$B100,IF(DATOS_[[AGRUP. VALOR. PTO.]:[AGRUP. VALOR. PTO.]]=$B99,IF(DATOS_[[Check Periodo Ref.]:[Check Periodo Ref.]]="Dentro",DATOS_[Conc.Sal.23]))))),
0)</f>
        <v>0</v>
      </c>
      <c r="AC100" s="111">
        <f t="array" ref="AC100">IFERROR(
MEDIAN((IF(DATOS_[[Sexo]:[Sexo]]=$B100,IF(DATOS_[[AGRUP. VALOR. PTO.]:[AGRUP. VALOR. PTO.]]=$B99,IF(DATOS_[[Check Periodo Ref.]:[Check Periodo Ref.]]="Dentro",DATOS_[Conc.Sal.24]))))),
0)</f>
        <v>0</v>
      </c>
      <c r="AD100" s="111">
        <f t="array" ref="AD100">IFERROR(
MEDIAN((IF(DATOS_[[Sexo]:[Sexo]]=$B100,IF(DATOS_[[AGRUP. VALOR. PTO.]:[AGRUP. VALOR. PTO.]]=$B99,IF(DATOS_[[Check Periodo Ref.]:[Check Periodo Ref.]]="Dentro",DATOS_[Conc.Sal.25]))))),
0)</f>
        <v>0</v>
      </c>
      <c r="AE100" s="111">
        <f t="array" ref="AE100">IFERROR(
MEDIAN((IF(DATOS_[[Sexo]:[Sexo]]=$B100,IF(DATOS_[[AGRUP. VALOR. PTO.]:[AGRUP. VALOR. PTO.]]=$B99,IF(DATOS_[[Check Periodo Ref.]:[Check Periodo Ref.]]="Dentro",DATOS_[Conc.Sal.26]))))),
0)</f>
        <v>0</v>
      </c>
      <c r="AF100" s="111">
        <f t="array" ref="AF100">IFERROR(
MEDIAN((IF(DATOS_[[Sexo]:[Sexo]]=$B100,IF(DATOS_[[AGRUP. VALOR. PTO.]:[AGRUP. VALOR. PTO.]]=$B99,IF(DATOS_[[Check Periodo Ref.]:[Check Periodo Ref.]]="Dentro",DATOS_[Conc.Sal.27]))))),
0)</f>
        <v>0</v>
      </c>
      <c r="AG100" s="111">
        <f t="array" ref="AG100">IFERROR(
MEDIAN((IF(DATOS_[[Sexo]:[Sexo]]=$B100,IF(DATOS_[[AGRUP. VALOR. PTO.]:[AGRUP. VALOR. PTO.]]=$B99,IF(DATOS_[[Check Periodo Ref.]:[Check Periodo Ref.]]="Dentro",DATOS_[Conc.Sal.28]))))),
0)</f>
        <v>0</v>
      </c>
      <c r="AH100" s="111">
        <f t="array" ref="AH100">IFERROR(
MEDIAN((IF(DATOS_[[Sexo]:[Sexo]]=$B100,IF(DATOS_[[AGRUP. VALOR. PTO.]:[AGRUP. VALOR. PTO.]]=$B99,IF(DATOS_[[Check Periodo Ref.]:[Check Periodo Ref.]]="Dentro",DATOS_[Conc.Sal.29]))))),
0)</f>
        <v>0</v>
      </c>
      <c r="AI100" s="111">
        <f t="array" ref="AI100">IFERROR(
MEDIAN((IF(DATOS_[[Sexo]:[Sexo]]=$B100,IF(DATOS_[[AGRUP. VALOR. PTO.]:[AGRUP. VALOR. PTO.]]=$B99,IF(DATOS_[[Check Periodo Ref.]:[Check Periodo Ref.]]="Dentro",DATOS_[Conc.Sal.30]))))),
0)</f>
        <v>0</v>
      </c>
      <c r="AJ100" s="112">
        <f t="array" ref="AJ100">IFERROR(
MEDIAN(IF(DATOS_[Sexo]=$B100,IF(DATOS_[AGRUP. VALOR. PTO.]=$B99,IF(DATOS_[Check Periodo Ref.]="Dentro",DATOS_[Tot COMPL.SAL Ef],FALSE)))),
0)</f>
        <v>0</v>
      </c>
      <c r="AK100" s="113">
        <f t="array" ref="AK100">IFERROR(
MEDIAN(IF(DATOS_[Sexo]=$B100,IF(DATOS_[AGRUP. VALOR. PTO.]=$B99,IF(DATOS_[Check Periodo Ref.]="Dentro",DATOS_[TOTAL SALARIO Ef],FALSE)))),
0)</f>
        <v>0</v>
      </c>
      <c r="AL100" s="114">
        <f t="array" ref="AL100">IFERROR(
MEDIAN((IF(DATOS_[[Sexo]:[Sexo]]=$B100,IF(DATOS_[[AGRUP. VALOR. PTO.]:[AGRUP. VALOR. PTO.]]=$B99,IF(DATOS_[[Check Periodo Ref.]:[Check Periodo Ref.]]="Dentro",DATOS_[C.Extra.01]))))),
0)</f>
        <v>0</v>
      </c>
      <c r="AM100" s="114">
        <f t="array" ref="AM100">IFERROR(
MEDIAN((IF(DATOS_[[Sexo]:[Sexo]]=$B100,IF(DATOS_[[AGRUP. VALOR. PTO.]:[AGRUP. VALOR. PTO.]]=$B99,IF(DATOS_[[Check Periodo Ref.]:[Check Periodo Ref.]]="Dentro",DATOS_[C.Extra.02]))))),
0)</f>
        <v>0</v>
      </c>
      <c r="AN100" s="114">
        <f t="array" ref="AN100">IFERROR(
MEDIAN((IF(DATOS_[[Sexo]:[Sexo]]=$B100,IF(DATOS_[[AGRUP. VALOR. PTO.]:[AGRUP. VALOR. PTO.]]=$B99,IF(DATOS_[[Check Periodo Ref.]:[Check Periodo Ref.]]="Dentro",DATOS_[C.Extra.03]))))),
0)</f>
        <v>0</v>
      </c>
      <c r="AO100" s="114">
        <f t="array" ref="AO100">IFERROR(
MEDIAN((IF(DATOS_[[Sexo]:[Sexo]]=$B100,IF(DATOS_[[AGRUP. VALOR. PTO.]:[AGRUP. VALOR. PTO.]]=$B99,IF(DATOS_[[Check Periodo Ref.]:[Check Periodo Ref.]]="Dentro",DATOS_[C.Extra.04]))))),
0)</f>
        <v>0</v>
      </c>
      <c r="AP100" s="114">
        <f t="array" ref="AP100">IFERROR(
MEDIAN((IF(DATOS_[[Sexo]:[Sexo]]=$B100,IF(DATOS_[[AGRUP. VALOR. PTO.]:[AGRUP. VALOR. PTO.]]=$B99,IF(DATOS_[[Check Periodo Ref.]:[Check Periodo Ref.]]="Dentro",DATOS_[C.Extra.05]))))),
0)</f>
        <v>0</v>
      </c>
      <c r="AQ100" s="115">
        <f t="array" ref="AQ100">IFERROR(
MEDIAN(IF(DATOS_[Sexo]=$B100,IF(DATOS_[AGRUP. VALOR. PTO.]=$B99,IF(DATOS_[Check Periodo Ref.]="Dentro",DATOS_[Tot Extrasalarial Ef],FALSE)))),
0)</f>
        <v>0</v>
      </c>
      <c r="AR100" s="116">
        <f t="array" ref="AR100">IFERROR(
MEDIAN(IF(DATOS_[Sexo]=$B100,IF(DATOS_[AGRUP. VALOR. PTO.]=$B99,IF(DATOS_[Check Periodo Ref.]="Dentro",DATOS_[TOTAL Retrib Ef],FALSE)))),
0)</f>
        <v>0</v>
      </c>
    </row>
    <row r="101" spans="1:44" hidden="1" x14ac:dyDescent="0.3">
      <c r="A101" s="42" t="str">
        <f t="shared" ref="A101" si="118">+A100</f>
        <v>[ocultar]</v>
      </c>
      <c r="B101" s="34" t="s">
        <v>163</v>
      </c>
      <c r="C101" s="33">
        <f t="array" ref="C101">SUM(IF($B101=DATOS_[Sexo],
IF($B99=DATOS_[AGRUP. VALOR. PTO.],
IF("Dentro"=DATOS_[Check Periodo Ref.],
1/(COUNTIFS(DATOS_[Sexo],$B101,DATOS_[AGRUP. VALOR. PTO.],$B99,DATOS_[Check Periodo Ref.],"Dentro",DATOS_[id],DATOS_[id]))))))</f>
        <v>0</v>
      </c>
      <c r="D101" s="35">
        <f>COUNTIFS(DATOS_[AGRUP. VALOR. PTO.],$B99,DATOS_[Sexo],$B101,DATOS_[Check Periodo Ref.],"Dentro")</f>
        <v>0</v>
      </c>
      <c r="E101" s="110">
        <f t="array" ref="E101">IFERROR(
MEDIAN(IF(DATOS_[Sexo]=$B101,IF(DATOS_[AGRUP. VALOR. PTO.]=$B99,IF(DATOS_[Check Periodo Ref.]="Dentro",DATOS_[SALARIO BASE Ef],FALSE)))),
0)</f>
        <v>0</v>
      </c>
      <c r="F101" s="111">
        <f t="array" ref="F101">IFERROR(
MEDIAN((IF(DATOS_[[Sexo]:[Sexo]]=$B101,IF(DATOS_[[AGRUP. VALOR. PTO.]:[AGRUP. VALOR. PTO.]]=$B99,IF(DATOS_[[Check Periodo Ref.]:[Check Periodo Ref.]]="Dentro",DATOS_[Conc.Sal.01]))))),
0)</f>
        <v>0</v>
      </c>
      <c r="G101" s="111">
        <f t="array" ref="G101">IFERROR(
MEDIAN((IF(DATOS_[[Sexo]:[Sexo]]=$B101,IF(DATOS_[[AGRUP. VALOR. PTO.]:[AGRUP. VALOR. PTO.]]=$B99,IF(DATOS_[[Check Periodo Ref.]:[Check Periodo Ref.]]="Dentro",DATOS_[Conc.Sal.02]))))),
0)</f>
        <v>0</v>
      </c>
      <c r="H101" s="111">
        <f t="array" ref="H101">IFERROR(
MEDIAN((IF(DATOS_[[Sexo]:[Sexo]]=$B101,IF(DATOS_[[AGRUP. VALOR. PTO.]:[AGRUP. VALOR. PTO.]]=$B99,IF(DATOS_[[Check Periodo Ref.]:[Check Periodo Ref.]]="Dentro",DATOS_[Conc.Sal.03]))))),
0)</f>
        <v>0</v>
      </c>
      <c r="I101" s="111">
        <f t="array" ref="I101">IFERROR(
MEDIAN((IF(DATOS_[[Sexo]:[Sexo]]=$B101,IF(DATOS_[[AGRUP. VALOR. PTO.]:[AGRUP. VALOR. PTO.]]=$B99,IF(DATOS_[[Check Periodo Ref.]:[Check Periodo Ref.]]="Dentro",DATOS_[Conc.Sal.04]))))),
0)</f>
        <v>0</v>
      </c>
      <c r="J101" s="111">
        <f t="array" ref="J101">IFERROR(
MEDIAN((IF(DATOS_[[Sexo]:[Sexo]]=$B101,IF(DATOS_[[AGRUP. VALOR. PTO.]:[AGRUP. VALOR. PTO.]]=$B99,IF(DATOS_[[Check Periodo Ref.]:[Check Periodo Ref.]]="Dentro",DATOS_[Conc.Sal.05]))))),
0)</f>
        <v>0</v>
      </c>
      <c r="K101" s="111">
        <f t="array" ref="K101">IFERROR(
MEDIAN((IF(DATOS_[[Sexo]:[Sexo]]=$B101,IF(DATOS_[[AGRUP. VALOR. PTO.]:[AGRUP. VALOR. PTO.]]=$B99,IF(DATOS_[[Check Periodo Ref.]:[Check Periodo Ref.]]="Dentro",DATOS_[Conc.Sal.06]))))),
0)</f>
        <v>0</v>
      </c>
      <c r="L101" s="111">
        <f t="array" ref="L101">IFERROR(
MEDIAN((IF(DATOS_[[Sexo]:[Sexo]]=$B101,IF(DATOS_[[AGRUP. VALOR. PTO.]:[AGRUP. VALOR. PTO.]]=$B99,IF(DATOS_[[Check Periodo Ref.]:[Check Periodo Ref.]]="Dentro",DATOS_[Conc.Sal.07]))))),
0)</f>
        <v>0</v>
      </c>
      <c r="M101" s="111">
        <f t="array" ref="M101">IFERROR(
MEDIAN((IF(DATOS_[[Sexo]:[Sexo]]=$B101,IF(DATOS_[[AGRUP. VALOR. PTO.]:[AGRUP. VALOR. PTO.]]=$B99,IF(DATOS_[[Check Periodo Ref.]:[Check Periodo Ref.]]="Dentro",DATOS_[Conc.Sal.08]))))),
0)</f>
        <v>0</v>
      </c>
      <c r="N101" s="111">
        <f t="array" ref="N101">IFERROR(
MEDIAN((IF(DATOS_[[Sexo]:[Sexo]]=$B101,IF(DATOS_[[AGRUP. VALOR. PTO.]:[AGRUP. VALOR. PTO.]]=$B99,IF(DATOS_[[Check Periodo Ref.]:[Check Periodo Ref.]]="Dentro",DATOS_[Conc.Sal.09]))))),
0)</f>
        <v>0</v>
      </c>
      <c r="O101" s="111">
        <f t="array" ref="O101">IFERROR(
MEDIAN((IF(DATOS_[[Sexo]:[Sexo]]=$B101,IF(DATOS_[[AGRUP. VALOR. PTO.]:[AGRUP. VALOR. PTO.]]=$B99,IF(DATOS_[[Check Periodo Ref.]:[Check Periodo Ref.]]="Dentro",DATOS_[Conc.Sal.10]))))),
0)</f>
        <v>0</v>
      </c>
      <c r="P101" s="111">
        <f t="array" ref="P101">IFERROR(
MEDIAN((IF(DATOS_[[Sexo]:[Sexo]]=$B101,IF(DATOS_[[AGRUP. VALOR. PTO.]:[AGRUP. VALOR. PTO.]]=$B99,IF(DATOS_[[Check Periodo Ref.]:[Check Periodo Ref.]]="Dentro",DATOS_[Conc.Sal.11]))))),
0)</f>
        <v>0</v>
      </c>
      <c r="Q101" s="111">
        <f t="array" ref="Q101">IFERROR(
MEDIAN((IF(DATOS_[[Sexo]:[Sexo]]=$B101,IF(DATOS_[[AGRUP. VALOR. PTO.]:[AGRUP. VALOR. PTO.]]=$B99,IF(DATOS_[[Check Periodo Ref.]:[Check Periodo Ref.]]="Dentro",DATOS_[Conc.Sal.12]))))),
0)</f>
        <v>0</v>
      </c>
      <c r="R101" s="111">
        <f t="array" ref="R101">IFERROR(
MEDIAN((IF(DATOS_[[Sexo]:[Sexo]]=$B101,IF(DATOS_[[AGRUP. VALOR. PTO.]:[AGRUP. VALOR. PTO.]]=$B99,IF(DATOS_[[Check Periodo Ref.]:[Check Periodo Ref.]]="Dentro",DATOS_[Conc.Sal.13]))))),
0)</f>
        <v>0</v>
      </c>
      <c r="S101" s="111">
        <f t="array" ref="S101">IFERROR(
MEDIAN((IF(DATOS_[[Sexo]:[Sexo]]=$B101,IF(DATOS_[[AGRUP. VALOR. PTO.]:[AGRUP. VALOR. PTO.]]=$B99,IF(DATOS_[[Check Periodo Ref.]:[Check Periodo Ref.]]="Dentro",DATOS_[Conc.Sal.14]))))),
0)</f>
        <v>0</v>
      </c>
      <c r="T101" s="111">
        <f t="array" ref="T101">IFERROR(
MEDIAN((IF(DATOS_[[Sexo]:[Sexo]]=$B101,IF(DATOS_[[AGRUP. VALOR. PTO.]:[AGRUP. VALOR. PTO.]]=$B99,IF(DATOS_[[Check Periodo Ref.]:[Check Periodo Ref.]]="Dentro",DATOS_[Conc.Sal.15]))))),
0)</f>
        <v>0</v>
      </c>
      <c r="U101" s="111">
        <f t="array" ref="U101">IFERROR(
MEDIAN((IF(DATOS_[[Sexo]:[Sexo]]=$B101,IF(DATOS_[[AGRUP. VALOR. PTO.]:[AGRUP. VALOR. PTO.]]=$B99,IF(DATOS_[[Check Periodo Ref.]:[Check Periodo Ref.]]="Dentro",DATOS_[Conc.Sal.16]))))),
0)</f>
        <v>0</v>
      </c>
      <c r="V101" s="111">
        <f t="array" ref="V101">IFERROR(
MEDIAN((IF(DATOS_[[Sexo]:[Sexo]]=$B101,IF(DATOS_[[AGRUP. VALOR. PTO.]:[AGRUP. VALOR. PTO.]]=$B99,IF(DATOS_[[Check Periodo Ref.]:[Check Periodo Ref.]]="Dentro",DATOS_[Conc.Sal.17]))))),
0)</f>
        <v>0</v>
      </c>
      <c r="W101" s="111">
        <f t="array" ref="W101">IFERROR(
MEDIAN((IF(DATOS_[[Sexo]:[Sexo]]=$B101,IF(DATOS_[[AGRUP. VALOR. PTO.]:[AGRUP. VALOR. PTO.]]=$B99,IF(DATOS_[[Check Periodo Ref.]:[Check Periodo Ref.]]="Dentro",DATOS_[Conc.Sal.18]))))),
0)</f>
        <v>0</v>
      </c>
      <c r="X101" s="111">
        <f t="array" ref="X101">IFERROR(
MEDIAN((IF(DATOS_[[Sexo]:[Sexo]]=$B101,IF(DATOS_[[AGRUP. VALOR. PTO.]:[AGRUP. VALOR. PTO.]]=$B99,IF(DATOS_[[Check Periodo Ref.]:[Check Periodo Ref.]]="Dentro",DATOS_[Conc.Sal.19]))))),
0)</f>
        <v>0</v>
      </c>
      <c r="Y101" s="111">
        <f t="array" ref="Y101">IFERROR(
MEDIAN((IF(DATOS_[[Sexo]:[Sexo]]=$B101,IF(DATOS_[[AGRUP. VALOR. PTO.]:[AGRUP. VALOR. PTO.]]=$B99,IF(DATOS_[[Check Periodo Ref.]:[Check Periodo Ref.]]="Dentro",DATOS_[Conc.Sal.20]))))),
0)</f>
        <v>0</v>
      </c>
      <c r="Z101" s="111">
        <f t="array" ref="Z101">IFERROR(
MEDIAN((IF(DATOS_[[Sexo]:[Sexo]]=$B101,IF(DATOS_[[AGRUP. VALOR. PTO.]:[AGRUP. VALOR. PTO.]]=$B99,IF(DATOS_[[Check Periodo Ref.]:[Check Periodo Ref.]]="Dentro",DATOS_[Conc.Sal.21]))))),
0)</f>
        <v>0</v>
      </c>
      <c r="AA101" s="111">
        <f t="array" ref="AA101">IFERROR(
MEDIAN((IF(DATOS_[[Sexo]:[Sexo]]=$B101,IF(DATOS_[[AGRUP. VALOR. PTO.]:[AGRUP. VALOR. PTO.]]=$B99,IF(DATOS_[[Check Periodo Ref.]:[Check Periodo Ref.]]="Dentro",DATOS_[Conc.Sal.22]))))),
0)</f>
        <v>0</v>
      </c>
      <c r="AB101" s="111">
        <f t="array" ref="AB101">IFERROR(
MEDIAN((IF(DATOS_[[Sexo]:[Sexo]]=$B101,IF(DATOS_[[AGRUP. VALOR. PTO.]:[AGRUP. VALOR. PTO.]]=$B99,IF(DATOS_[[Check Periodo Ref.]:[Check Periodo Ref.]]="Dentro",DATOS_[Conc.Sal.23]))))),
0)</f>
        <v>0</v>
      </c>
      <c r="AC101" s="111">
        <f t="array" ref="AC101">IFERROR(
MEDIAN((IF(DATOS_[[Sexo]:[Sexo]]=$B101,IF(DATOS_[[AGRUP. VALOR. PTO.]:[AGRUP. VALOR. PTO.]]=$B99,IF(DATOS_[[Check Periodo Ref.]:[Check Periodo Ref.]]="Dentro",DATOS_[Conc.Sal.24]))))),
0)</f>
        <v>0</v>
      </c>
      <c r="AD101" s="111">
        <f t="array" ref="AD101">IFERROR(
MEDIAN((IF(DATOS_[[Sexo]:[Sexo]]=$B101,IF(DATOS_[[AGRUP. VALOR. PTO.]:[AGRUP. VALOR. PTO.]]=$B99,IF(DATOS_[[Check Periodo Ref.]:[Check Periodo Ref.]]="Dentro",DATOS_[Conc.Sal.25]))))),
0)</f>
        <v>0</v>
      </c>
      <c r="AE101" s="111">
        <f t="array" ref="AE101">IFERROR(
MEDIAN((IF(DATOS_[[Sexo]:[Sexo]]=$B101,IF(DATOS_[[AGRUP. VALOR. PTO.]:[AGRUP. VALOR. PTO.]]=$B99,IF(DATOS_[[Check Periodo Ref.]:[Check Periodo Ref.]]="Dentro",DATOS_[Conc.Sal.26]))))),
0)</f>
        <v>0</v>
      </c>
      <c r="AF101" s="111">
        <f t="array" ref="AF101">IFERROR(
MEDIAN((IF(DATOS_[[Sexo]:[Sexo]]=$B101,IF(DATOS_[[AGRUP. VALOR. PTO.]:[AGRUP. VALOR. PTO.]]=$B99,IF(DATOS_[[Check Periodo Ref.]:[Check Periodo Ref.]]="Dentro",DATOS_[Conc.Sal.27]))))),
0)</f>
        <v>0</v>
      </c>
      <c r="AG101" s="111">
        <f t="array" ref="AG101">IFERROR(
MEDIAN((IF(DATOS_[[Sexo]:[Sexo]]=$B101,IF(DATOS_[[AGRUP. VALOR. PTO.]:[AGRUP. VALOR. PTO.]]=$B99,IF(DATOS_[[Check Periodo Ref.]:[Check Periodo Ref.]]="Dentro",DATOS_[Conc.Sal.28]))))),
0)</f>
        <v>0</v>
      </c>
      <c r="AH101" s="111">
        <f t="array" ref="AH101">IFERROR(
MEDIAN((IF(DATOS_[[Sexo]:[Sexo]]=$B101,IF(DATOS_[[AGRUP. VALOR. PTO.]:[AGRUP. VALOR. PTO.]]=$B99,IF(DATOS_[[Check Periodo Ref.]:[Check Periodo Ref.]]="Dentro",DATOS_[Conc.Sal.29]))))),
0)</f>
        <v>0</v>
      </c>
      <c r="AI101" s="111">
        <f t="array" ref="AI101">IFERROR(
MEDIAN((IF(DATOS_[[Sexo]:[Sexo]]=$B101,IF(DATOS_[[AGRUP. VALOR. PTO.]:[AGRUP. VALOR. PTO.]]=$B99,IF(DATOS_[[Check Periodo Ref.]:[Check Periodo Ref.]]="Dentro",DATOS_[Conc.Sal.30]))))),
0)</f>
        <v>0</v>
      </c>
      <c r="AJ101" s="112">
        <f t="array" ref="AJ101">IFERROR(
MEDIAN(IF(DATOS_[Sexo]=$B101,IF(DATOS_[AGRUP. VALOR. PTO.]=$B99,IF(DATOS_[Check Periodo Ref.]="Dentro",DATOS_[Tot COMPL.SAL Ef],FALSE)))),
0)</f>
        <v>0</v>
      </c>
      <c r="AK101" s="113">
        <f t="array" ref="AK101">IFERROR(
MEDIAN(IF(DATOS_[Sexo]=$B101,IF(DATOS_[AGRUP. VALOR. PTO.]=$B99,IF(DATOS_[Check Periodo Ref.]="Dentro",DATOS_[TOTAL SALARIO Ef],FALSE)))),
0)</f>
        <v>0</v>
      </c>
      <c r="AL101" s="114">
        <f t="array" ref="AL101">IFERROR(
MEDIAN((IF(DATOS_[[Sexo]:[Sexo]]=$B101,IF(DATOS_[[AGRUP. VALOR. PTO.]:[AGRUP. VALOR. PTO.]]=$B99,IF(DATOS_[[Check Periodo Ref.]:[Check Periodo Ref.]]="Dentro",DATOS_[C.Extra.01]))))),
0)</f>
        <v>0</v>
      </c>
      <c r="AM101" s="114">
        <f t="array" ref="AM101">IFERROR(
MEDIAN((IF(DATOS_[[Sexo]:[Sexo]]=$B101,IF(DATOS_[[AGRUP. VALOR. PTO.]:[AGRUP. VALOR. PTO.]]=$B99,IF(DATOS_[[Check Periodo Ref.]:[Check Periodo Ref.]]="Dentro",DATOS_[C.Extra.02]))))),
0)</f>
        <v>0</v>
      </c>
      <c r="AN101" s="114">
        <f t="array" ref="AN101">IFERROR(
MEDIAN((IF(DATOS_[[Sexo]:[Sexo]]=$B101,IF(DATOS_[[AGRUP. VALOR. PTO.]:[AGRUP. VALOR. PTO.]]=$B99,IF(DATOS_[[Check Periodo Ref.]:[Check Periodo Ref.]]="Dentro",DATOS_[C.Extra.03]))))),
0)</f>
        <v>0</v>
      </c>
      <c r="AO101" s="114">
        <f t="array" ref="AO101">IFERROR(
MEDIAN((IF(DATOS_[[Sexo]:[Sexo]]=$B101,IF(DATOS_[[AGRUP. VALOR. PTO.]:[AGRUP. VALOR. PTO.]]=$B99,IF(DATOS_[[Check Periodo Ref.]:[Check Periodo Ref.]]="Dentro",DATOS_[C.Extra.04]))))),
0)</f>
        <v>0</v>
      </c>
      <c r="AP101" s="114">
        <f t="array" ref="AP101">IFERROR(
MEDIAN((IF(DATOS_[[Sexo]:[Sexo]]=$B101,IF(DATOS_[[AGRUP. VALOR. PTO.]:[AGRUP. VALOR. PTO.]]=$B99,IF(DATOS_[[Check Periodo Ref.]:[Check Periodo Ref.]]="Dentro",DATOS_[C.Extra.05]))))),
0)</f>
        <v>0</v>
      </c>
      <c r="AQ101" s="115">
        <f t="array" ref="AQ101">IFERROR(
MEDIAN(IF(DATOS_[Sexo]=$B101,IF(DATOS_[AGRUP. VALOR. PTO.]=$B99,IF(DATOS_[Check Periodo Ref.]="Dentro",DATOS_[Tot Extrasalarial Ef],FALSE)))),
0)</f>
        <v>0</v>
      </c>
      <c r="AR101" s="116">
        <f t="array" ref="AR101">IFERROR(
MEDIAN(IF(DATOS_[Sexo]=$B101,IF(DATOS_[AGRUP. VALOR. PTO.]=$B99,IF(DATOS_[Check Periodo Ref.]="Dentro",DATOS_[TOTAL Retrib Ef],FALSE)))),
0)</f>
        <v>0</v>
      </c>
    </row>
    <row r="102" spans="1:44" ht="17.25" hidden="1" thickBot="1" x14ac:dyDescent="0.35">
      <c r="A102" s="42" t="str">
        <f t="shared" ref="A102" si="119">+A103</f>
        <v>[ocultar]</v>
      </c>
      <c r="B102" s="40" t="s">
        <v>289</v>
      </c>
      <c r="C102" s="109"/>
      <c r="D102" s="41"/>
      <c r="E102" s="119" t="str">
        <f t="shared" ref="E102:AR102" si="120">IFERROR((E103-E104)/E103,"")</f>
        <v/>
      </c>
      <c r="F102" s="123" t="str">
        <f t="shared" si="120"/>
        <v/>
      </c>
      <c r="G102" s="123" t="str">
        <f t="shared" si="120"/>
        <v/>
      </c>
      <c r="H102" s="123" t="str">
        <f t="shared" si="120"/>
        <v/>
      </c>
      <c r="I102" s="123" t="str">
        <f t="shared" si="120"/>
        <v/>
      </c>
      <c r="J102" s="123" t="str">
        <f t="shared" si="120"/>
        <v/>
      </c>
      <c r="K102" s="123" t="str">
        <f t="shared" si="120"/>
        <v/>
      </c>
      <c r="L102" s="123" t="str">
        <f t="shared" si="120"/>
        <v/>
      </c>
      <c r="M102" s="123" t="str">
        <f t="shared" si="120"/>
        <v/>
      </c>
      <c r="N102" s="123" t="str">
        <f t="shared" si="120"/>
        <v/>
      </c>
      <c r="O102" s="123" t="str">
        <f t="shared" si="120"/>
        <v/>
      </c>
      <c r="P102" s="123" t="str">
        <f t="shared" si="120"/>
        <v/>
      </c>
      <c r="Q102" s="123" t="str">
        <f t="shared" si="120"/>
        <v/>
      </c>
      <c r="R102" s="123" t="str">
        <f t="shared" si="120"/>
        <v/>
      </c>
      <c r="S102" s="123" t="str">
        <f t="shared" si="120"/>
        <v/>
      </c>
      <c r="T102" s="123" t="str">
        <f t="shared" si="120"/>
        <v/>
      </c>
      <c r="U102" s="123" t="str">
        <f t="shared" si="120"/>
        <v/>
      </c>
      <c r="V102" s="122" t="str">
        <f t="shared" si="120"/>
        <v/>
      </c>
      <c r="W102" s="122" t="str">
        <f t="shared" si="120"/>
        <v/>
      </c>
      <c r="X102" s="122" t="str">
        <f t="shared" si="120"/>
        <v/>
      </c>
      <c r="Y102" s="122" t="str">
        <f t="shared" si="120"/>
        <v/>
      </c>
      <c r="Z102" s="122" t="str">
        <f t="shared" si="120"/>
        <v/>
      </c>
      <c r="AA102" s="122" t="str">
        <f t="shared" si="120"/>
        <v/>
      </c>
      <c r="AB102" s="122" t="str">
        <f t="shared" si="120"/>
        <v/>
      </c>
      <c r="AC102" s="122" t="str">
        <f t="shared" si="120"/>
        <v/>
      </c>
      <c r="AD102" s="122" t="str">
        <f t="shared" si="120"/>
        <v/>
      </c>
      <c r="AE102" s="122" t="str">
        <f t="shared" si="120"/>
        <v/>
      </c>
      <c r="AF102" s="122" t="str">
        <f t="shared" si="120"/>
        <v/>
      </c>
      <c r="AG102" s="122" t="str">
        <f t="shared" si="120"/>
        <v/>
      </c>
      <c r="AH102" s="122" t="str">
        <f t="shared" si="120"/>
        <v/>
      </c>
      <c r="AI102" s="122" t="str">
        <f t="shared" si="120"/>
        <v/>
      </c>
      <c r="AJ102" s="124" t="str">
        <f t="shared" si="120"/>
        <v/>
      </c>
      <c r="AK102" s="128" t="str">
        <f t="shared" si="120"/>
        <v/>
      </c>
      <c r="AL102" s="125" t="str">
        <f t="shared" si="120"/>
        <v/>
      </c>
      <c r="AM102" s="125" t="str">
        <f t="shared" si="120"/>
        <v/>
      </c>
      <c r="AN102" s="125" t="str">
        <f t="shared" si="120"/>
        <v/>
      </c>
      <c r="AO102" s="125" t="str">
        <f t="shared" si="120"/>
        <v/>
      </c>
      <c r="AP102" s="125" t="str">
        <f t="shared" si="120"/>
        <v/>
      </c>
      <c r="AQ102" s="126" t="str">
        <f t="shared" si="120"/>
        <v/>
      </c>
      <c r="AR102" s="127" t="str">
        <f t="shared" si="120"/>
        <v/>
      </c>
    </row>
    <row r="103" spans="1:44" hidden="1" x14ac:dyDescent="0.3">
      <c r="A103" s="42" t="str">
        <f t="shared" ref="A103" si="121">+IF(C103+C104=0,"[ocultar]","")</f>
        <v>[ocultar]</v>
      </c>
      <c r="B103" s="34" t="s">
        <v>162</v>
      </c>
      <c r="C103" s="33">
        <f t="array" ref="C103">SUM(IF($B103=DATOS_[Sexo],
IF($B102=DATOS_[AGRUP. VALOR. PTO.],
IF("Dentro"=DATOS_[Check Periodo Ref.],
1/(COUNTIFS(DATOS_[Sexo],$B103,DATOS_[AGRUP. VALOR. PTO.],$B102,DATOS_[Check Periodo Ref.],"Dentro",DATOS_[id],DATOS_[id]))))))</f>
        <v>0</v>
      </c>
      <c r="D103" s="35">
        <f>COUNTIFS(DATOS_[AGRUP. VALOR. PTO.],$B102,DATOS_[Sexo],$B103,DATOS_[Check Periodo Ref.],"Dentro")</f>
        <v>0</v>
      </c>
      <c r="E103" s="110">
        <f t="array" ref="E103">IFERROR(
MEDIAN(IF(DATOS_[Sexo]=$B103,IF(DATOS_[AGRUP. VALOR. PTO.]=$B102,IF(DATOS_[Check Periodo Ref.]="Dentro",DATOS_[SALARIO BASE Ef],FALSE)))),
0)</f>
        <v>0</v>
      </c>
      <c r="F103" s="111">
        <f t="array" ref="F103">IFERROR(
MEDIAN((IF(DATOS_[[Sexo]:[Sexo]]=$B103,IF(DATOS_[[AGRUP. VALOR. PTO.]:[AGRUP. VALOR. PTO.]]=$B102,IF(DATOS_[[Check Periodo Ref.]:[Check Periodo Ref.]]="Dentro",DATOS_[Conc.Sal.01]))))),
0)</f>
        <v>0</v>
      </c>
      <c r="G103" s="111">
        <f t="array" ref="G103">IFERROR(
MEDIAN((IF(DATOS_[[Sexo]:[Sexo]]=$B103,IF(DATOS_[[AGRUP. VALOR. PTO.]:[AGRUP. VALOR. PTO.]]=$B102,IF(DATOS_[[Check Periodo Ref.]:[Check Periodo Ref.]]="Dentro",DATOS_[Conc.Sal.02]))))),
0)</f>
        <v>0</v>
      </c>
      <c r="H103" s="111">
        <f t="array" ref="H103">IFERROR(
MEDIAN((IF(DATOS_[[Sexo]:[Sexo]]=$B103,IF(DATOS_[[AGRUP. VALOR. PTO.]:[AGRUP. VALOR. PTO.]]=$B102,IF(DATOS_[[Check Periodo Ref.]:[Check Periodo Ref.]]="Dentro",DATOS_[Conc.Sal.03]))))),
0)</f>
        <v>0</v>
      </c>
      <c r="I103" s="111">
        <f t="array" ref="I103">IFERROR(
MEDIAN((IF(DATOS_[[Sexo]:[Sexo]]=$B103,IF(DATOS_[[AGRUP. VALOR. PTO.]:[AGRUP. VALOR. PTO.]]=$B102,IF(DATOS_[[Check Periodo Ref.]:[Check Periodo Ref.]]="Dentro",DATOS_[Conc.Sal.04]))))),
0)</f>
        <v>0</v>
      </c>
      <c r="J103" s="111">
        <f t="array" ref="J103">IFERROR(
MEDIAN((IF(DATOS_[[Sexo]:[Sexo]]=$B103,IF(DATOS_[[AGRUP. VALOR. PTO.]:[AGRUP. VALOR. PTO.]]=$B102,IF(DATOS_[[Check Periodo Ref.]:[Check Periodo Ref.]]="Dentro",DATOS_[Conc.Sal.05]))))),
0)</f>
        <v>0</v>
      </c>
      <c r="K103" s="111">
        <f t="array" ref="K103">IFERROR(
MEDIAN((IF(DATOS_[[Sexo]:[Sexo]]=$B103,IF(DATOS_[[AGRUP. VALOR. PTO.]:[AGRUP. VALOR. PTO.]]=$B102,IF(DATOS_[[Check Periodo Ref.]:[Check Periodo Ref.]]="Dentro",DATOS_[Conc.Sal.06]))))),
0)</f>
        <v>0</v>
      </c>
      <c r="L103" s="111">
        <f t="array" ref="L103">IFERROR(
MEDIAN((IF(DATOS_[[Sexo]:[Sexo]]=$B103,IF(DATOS_[[AGRUP. VALOR. PTO.]:[AGRUP. VALOR. PTO.]]=$B102,IF(DATOS_[[Check Periodo Ref.]:[Check Periodo Ref.]]="Dentro",DATOS_[Conc.Sal.07]))))),
0)</f>
        <v>0</v>
      </c>
      <c r="M103" s="111">
        <f t="array" ref="M103">IFERROR(
MEDIAN((IF(DATOS_[[Sexo]:[Sexo]]=$B103,IF(DATOS_[[AGRUP. VALOR. PTO.]:[AGRUP. VALOR. PTO.]]=$B102,IF(DATOS_[[Check Periodo Ref.]:[Check Periodo Ref.]]="Dentro",DATOS_[Conc.Sal.08]))))),
0)</f>
        <v>0</v>
      </c>
      <c r="N103" s="111">
        <f t="array" ref="N103">IFERROR(
MEDIAN((IF(DATOS_[[Sexo]:[Sexo]]=$B103,IF(DATOS_[[AGRUP. VALOR. PTO.]:[AGRUP. VALOR. PTO.]]=$B102,IF(DATOS_[[Check Periodo Ref.]:[Check Periodo Ref.]]="Dentro",DATOS_[Conc.Sal.09]))))),
0)</f>
        <v>0</v>
      </c>
      <c r="O103" s="111">
        <f t="array" ref="O103">IFERROR(
MEDIAN((IF(DATOS_[[Sexo]:[Sexo]]=$B103,IF(DATOS_[[AGRUP. VALOR. PTO.]:[AGRUP. VALOR. PTO.]]=$B102,IF(DATOS_[[Check Periodo Ref.]:[Check Periodo Ref.]]="Dentro",DATOS_[Conc.Sal.10]))))),
0)</f>
        <v>0</v>
      </c>
      <c r="P103" s="111">
        <f t="array" ref="P103">IFERROR(
MEDIAN((IF(DATOS_[[Sexo]:[Sexo]]=$B103,IF(DATOS_[[AGRUP. VALOR. PTO.]:[AGRUP. VALOR. PTO.]]=$B102,IF(DATOS_[[Check Periodo Ref.]:[Check Periodo Ref.]]="Dentro",DATOS_[Conc.Sal.11]))))),
0)</f>
        <v>0</v>
      </c>
      <c r="Q103" s="111">
        <f t="array" ref="Q103">IFERROR(
MEDIAN((IF(DATOS_[[Sexo]:[Sexo]]=$B103,IF(DATOS_[[AGRUP. VALOR. PTO.]:[AGRUP. VALOR. PTO.]]=$B102,IF(DATOS_[[Check Periodo Ref.]:[Check Periodo Ref.]]="Dentro",DATOS_[Conc.Sal.12]))))),
0)</f>
        <v>0</v>
      </c>
      <c r="R103" s="111">
        <f t="array" ref="R103">IFERROR(
MEDIAN((IF(DATOS_[[Sexo]:[Sexo]]=$B103,IF(DATOS_[[AGRUP. VALOR. PTO.]:[AGRUP. VALOR. PTO.]]=$B102,IF(DATOS_[[Check Periodo Ref.]:[Check Periodo Ref.]]="Dentro",DATOS_[Conc.Sal.13]))))),
0)</f>
        <v>0</v>
      </c>
      <c r="S103" s="111">
        <f t="array" ref="S103">IFERROR(
MEDIAN((IF(DATOS_[[Sexo]:[Sexo]]=$B103,IF(DATOS_[[AGRUP. VALOR. PTO.]:[AGRUP. VALOR. PTO.]]=$B102,IF(DATOS_[[Check Periodo Ref.]:[Check Periodo Ref.]]="Dentro",DATOS_[Conc.Sal.14]))))),
0)</f>
        <v>0</v>
      </c>
      <c r="T103" s="111">
        <f t="array" ref="T103">IFERROR(
MEDIAN((IF(DATOS_[[Sexo]:[Sexo]]=$B103,IF(DATOS_[[AGRUP. VALOR. PTO.]:[AGRUP. VALOR. PTO.]]=$B102,IF(DATOS_[[Check Periodo Ref.]:[Check Periodo Ref.]]="Dentro",DATOS_[Conc.Sal.15]))))),
0)</f>
        <v>0</v>
      </c>
      <c r="U103" s="111">
        <f t="array" ref="U103">IFERROR(
MEDIAN((IF(DATOS_[[Sexo]:[Sexo]]=$B103,IF(DATOS_[[AGRUP. VALOR. PTO.]:[AGRUP. VALOR. PTO.]]=$B102,IF(DATOS_[[Check Periodo Ref.]:[Check Periodo Ref.]]="Dentro",DATOS_[Conc.Sal.16]))))),
0)</f>
        <v>0</v>
      </c>
      <c r="V103" s="111">
        <f t="array" ref="V103">IFERROR(
MEDIAN((IF(DATOS_[[Sexo]:[Sexo]]=$B103,IF(DATOS_[[AGRUP. VALOR. PTO.]:[AGRUP. VALOR. PTO.]]=$B102,IF(DATOS_[[Check Periodo Ref.]:[Check Periodo Ref.]]="Dentro",DATOS_[Conc.Sal.17]))))),
0)</f>
        <v>0</v>
      </c>
      <c r="W103" s="111">
        <f t="array" ref="W103">IFERROR(
MEDIAN((IF(DATOS_[[Sexo]:[Sexo]]=$B103,IF(DATOS_[[AGRUP. VALOR. PTO.]:[AGRUP. VALOR. PTO.]]=$B102,IF(DATOS_[[Check Periodo Ref.]:[Check Periodo Ref.]]="Dentro",DATOS_[Conc.Sal.18]))))),
0)</f>
        <v>0</v>
      </c>
      <c r="X103" s="111">
        <f t="array" ref="X103">IFERROR(
MEDIAN((IF(DATOS_[[Sexo]:[Sexo]]=$B103,IF(DATOS_[[AGRUP. VALOR. PTO.]:[AGRUP. VALOR. PTO.]]=$B102,IF(DATOS_[[Check Periodo Ref.]:[Check Periodo Ref.]]="Dentro",DATOS_[Conc.Sal.19]))))),
0)</f>
        <v>0</v>
      </c>
      <c r="Y103" s="111">
        <f t="array" ref="Y103">IFERROR(
MEDIAN((IF(DATOS_[[Sexo]:[Sexo]]=$B103,IF(DATOS_[[AGRUP. VALOR. PTO.]:[AGRUP. VALOR. PTO.]]=$B102,IF(DATOS_[[Check Periodo Ref.]:[Check Periodo Ref.]]="Dentro",DATOS_[Conc.Sal.20]))))),
0)</f>
        <v>0</v>
      </c>
      <c r="Z103" s="111">
        <f t="array" ref="Z103">IFERROR(
MEDIAN((IF(DATOS_[[Sexo]:[Sexo]]=$B103,IF(DATOS_[[AGRUP. VALOR. PTO.]:[AGRUP. VALOR. PTO.]]=$B102,IF(DATOS_[[Check Periodo Ref.]:[Check Periodo Ref.]]="Dentro",DATOS_[Conc.Sal.21]))))),
0)</f>
        <v>0</v>
      </c>
      <c r="AA103" s="111">
        <f t="array" ref="AA103">IFERROR(
MEDIAN((IF(DATOS_[[Sexo]:[Sexo]]=$B103,IF(DATOS_[[AGRUP. VALOR. PTO.]:[AGRUP. VALOR. PTO.]]=$B102,IF(DATOS_[[Check Periodo Ref.]:[Check Periodo Ref.]]="Dentro",DATOS_[Conc.Sal.22]))))),
0)</f>
        <v>0</v>
      </c>
      <c r="AB103" s="111">
        <f t="array" ref="AB103">IFERROR(
MEDIAN((IF(DATOS_[[Sexo]:[Sexo]]=$B103,IF(DATOS_[[AGRUP. VALOR. PTO.]:[AGRUP. VALOR. PTO.]]=$B102,IF(DATOS_[[Check Periodo Ref.]:[Check Periodo Ref.]]="Dentro",DATOS_[Conc.Sal.23]))))),
0)</f>
        <v>0</v>
      </c>
      <c r="AC103" s="111">
        <f t="array" ref="AC103">IFERROR(
MEDIAN((IF(DATOS_[[Sexo]:[Sexo]]=$B103,IF(DATOS_[[AGRUP. VALOR. PTO.]:[AGRUP. VALOR. PTO.]]=$B102,IF(DATOS_[[Check Periodo Ref.]:[Check Periodo Ref.]]="Dentro",DATOS_[Conc.Sal.24]))))),
0)</f>
        <v>0</v>
      </c>
      <c r="AD103" s="111">
        <f t="array" ref="AD103">IFERROR(
MEDIAN((IF(DATOS_[[Sexo]:[Sexo]]=$B103,IF(DATOS_[[AGRUP. VALOR. PTO.]:[AGRUP. VALOR. PTO.]]=$B102,IF(DATOS_[[Check Periodo Ref.]:[Check Periodo Ref.]]="Dentro",DATOS_[Conc.Sal.25]))))),
0)</f>
        <v>0</v>
      </c>
      <c r="AE103" s="111">
        <f t="array" ref="AE103">IFERROR(
MEDIAN((IF(DATOS_[[Sexo]:[Sexo]]=$B103,IF(DATOS_[[AGRUP. VALOR. PTO.]:[AGRUP. VALOR. PTO.]]=$B102,IF(DATOS_[[Check Periodo Ref.]:[Check Periodo Ref.]]="Dentro",DATOS_[Conc.Sal.26]))))),
0)</f>
        <v>0</v>
      </c>
      <c r="AF103" s="111">
        <f t="array" ref="AF103">IFERROR(
MEDIAN((IF(DATOS_[[Sexo]:[Sexo]]=$B103,IF(DATOS_[[AGRUP. VALOR. PTO.]:[AGRUP. VALOR. PTO.]]=$B102,IF(DATOS_[[Check Periodo Ref.]:[Check Periodo Ref.]]="Dentro",DATOS_[Conc.Sal.27]))))),
0)</f>
        <v>0</v>
      </c>
      <c r="AG103" s="111">
        <f t="array" ref="AG103">IFERROR(
MEDIAN((IF(DATOS_[[Sexo]:[Sexo]]=$B103,IF(DATOS_[[AGRUP. VALOR. PTO.]:[AGRUP. VALOR. PTO.]]=$B102,IF(DATOS_[[Check Periodo Ref.]:[Check Periodo Ref.]]="Dentro",DATOS_[Conc.Sal.28]))))),
0)</f>
        <v>0</v>
      </c>
      <c r="AH103" s="111">
        <f t="array" ref="AH103">IFERROR(
MEDIAN((IF(DATOS_[[Sexo]:[Sexo]]=$B103,IF(DATOS_[[AGRUP. VALOR. PTO.]:[AGRUP. VALOR. PTO.]]=$B102,IF(DATOS_[[Check Periodo Ref.]:[Check Periodo Ref.]]="Dentro",DATOS_[Conc.Sal.29]))))),
0)</f>
        <v>0</v>
      </c>
      <c r="AI103" s="111">
        <f t="array" ref="AI103">IFERROR(
MEDIAN((IF(DATOS_[[Sexo]:[Sexo]]=$B103,IF(DATOS_[[AGRUP. VALOR. PTO.]:[AGRUP. VALOR. PTO.]]=$B102,IF(DATOS_[[Check Periodo Ref.]:[Check Periodo Ref.]]="Dentro",DATOS_[Conc.Sal.30]))))),
0)</f>
        <v>0</v>
      </c>
      <c r="AJ103" s="112">
        <f t="array" ref="AJ103">IFERROR(
MEDIAN(IF(DATOS_[Sexo]=$B103,IF(DATOS_[AGRUP. VALOR. PTO.]=$B102,IF(DATOS_[Check Periodo Ref.]="Dentro",DATOS_[Tot COMPL.SAL Ef],FALSE)))),
0)</f>
        <v>0</v>
      </c>
      <c r="AK103" s="113">
        <f t="array" ref="AK103">IFERROR(
MEDIAN(IF(DATOS_[Sexo]=$B103,IF(DATOS_[AGRUP. VALOR. PTO.]=$B102,IF(DATOS_[Check Periodo Ref.]="Dentro",DATOS_[TOTAL SALARIO Ef],FALSE)))),
0)</f>
        <v>0</v>
      </c>
      <c r="AL103" s="114">
        <f t="array" ref="AL103">IFERROR(
MEDIAN((IF(DATOS_[[Sexo]:[Sexo]]=$B103,IF(DATOS_[[AGRUP. VALOR. PTO.]:[AGRUP. VALOR. PTO.]]=$B102,IF(DATOS_[[Check Periodo Ref.]:[Check Periodo Ref.]]="Dentro",DATOS_[C.Extra.01]))))),
0)</f>
        <v>0</v>
      </c>
      <c r="AM103" s="114">
        <f t="array" ref="AM103">IFERROR(
MEDIAN((IF(DATOS_[[Sexo]:[Sexo]]=$B103,IF(DATOS_[[AGRUP. VALOR. PTO.]:[AGRUP. VALOR. PTO.]]=$B102,IF(DATOS_[[Check Periodo Ref.]:[Check Periodo Ref.]]="Dentro",DATOS_[C.Extra.02]))))),
0)</f>
        <v>0</v>
      </c>
      <c r="AN103" s="114">
        <f t="array" ref="AN103">IFERROR(
MEDIAN((IF(DATOS_[[Sexo]:[Sexo]]=$B103,IF(DATOS_[[AGRUP. VALOR. PTO.]:[AGRUP. VALOR. PTO.]]=$B102,IF(DATOS_[[Check Periodo Ref.]:[Check Periodo Ref.]]="Dentro",DATOS_[C.Extra.03]))))),
0)</f>
        <v>0</v>
      </c>
      <c r="AO103" s="114">
        <f t="array" ref="AO103">IFERROR(
MEDIAN((IF(DATOS_[[Sexo]:[Sexo]]=$B103,IF(DATOS_[[AGRUP. VALOR. PTO.]:[AGRUP. VALOR. PTO.]]=$B102,IF(DATOS_[[Check Periodo Ref.]:[Check Periodo Ref.]]="Dentro",DATOS_[C.Extra.04]))))),
0)</f>
        <v>0</v>
      </c>
      <c r="AP103" s="114">
        <f t="array" ref="AP103">IFERROR(
MEDIAN((IF(DATOS_[[Sexo]:[Sexo]]=$B103,IF(DATOS_[[AGRUP. VALOR. PTO.]:[AGRUP. VALOR. PTO.]]=$B102,IF(DATOS_[[Check Periodo Ref.]:[Check Periodo Ref.]]="Dentro",DATOS_[C.Extra.05]))))),
0)</f>
        <v>0</v>
      </c>
      <c r="AQ103" s="115">
        <f t="array" ref="AQ103">IFERROR(
MEDIAN(IF(DATOS_[Sexo]=$B103,IF(DATOS_[AGRUP. VALOR. PTO.]=$B102,IF(DATOS_[Check Periodo Ref.]="Dentro",DATOS_[Tot Extrasalarial Ef],FALSE)))),
0)</f>
        <v>0</v>
      </c>
      <c r="AR103" s="116">
        <f t="array" ref="AR103">IFERROR(
MEDIAN(IF(DATOS_[Sexo]=$B103,IF(DATOS_[AGRUP. VALOR. PTO.]=$B102,IF(DATOS_[Check Periodo Ref.]="Dentro",DATOS_[TOTAL Retrib Ef],FALSE)))),
0)</f>
        <v>0</v>
      </c>
    </row>
    <row r="104" spans="1:44" hidden="1" x14ac:dyDescent="0.3">
      <c r="A104" s="42" t="str">
        <f t="shared" ref="A104" si="122">+A103</f>
        <v>[ocultar]</v>
      </c>
      <c r="B104" s="34" t="s">
        <v>163</v>
      </c>
      <c r="C104" s="33">
        <f t="array" ref="C104">SUM(IF($B104=DATOS_[Sexo],
IF($B102=DATOS_[AGRUP. VALOR. PTO.],
IF("Dentro"=DATOS_[Check Periodo Ref.],
1/(COUNTIFS(DATOS_[Sexo],$B104,DATOS_[AGRUP. VALOR. PTO.],$B102,DATOS_[Check Periodo Ref.],"Dentro",DATOS_[id],DATOS_[id]))))))</f>
        <v>0</v>
      </c>
      <c r="D104" s="35">
        <f>COUNTIFS(DATOS_[AGRUP. VALOR. PTO.],$B102,DATOS_[Sexo],$B104,DATOS_[Check Periodo Ref.],"Dentro")</f>
        <v>0</v>
      </c>
      <c r="E104" s="110">
        <f t="array" ref="E104">IFERROR(
MEDIAN(IF(DATOS_[Sexo]=$B104,IF(DATOS_[AGRUP. VALOR. PTO.]=$B102,IF(DATOS_[Check Periodo Ref.]="Dentro",DATOS_[SALARIO BASE Ef],FALSE)))),
0)</f>
        <v>0</v>
      </c>
      <c r="F104" s="111">
        <f t="array" ref="F104">IFERROR(
MEDIAN((IF(DATOS_[[Sexo]:[Sexo]]=$B104,IF(DATOS_[[AGRUP. VALOR. PTO.]:[AGRUP. VALOR. PTO.]]=$B102,IF(DATOS_[[Check Periodo Ref.]:[Check Periodo Ref.]]="Dentro",DATOS_[Conc.Sal.01]))))),
0)</f>
        <v>0</v>
      </c>
      <c r="G104" s="111">
        <f t="array" ref="G104">IFERROR(
MEDIAN((IF(DATOS_[[Sexo]:[Sexo]]=$B104,IF(DATOS_[[AGRUP. VALOR. PTO.]:[AGRUP. VALOR. PTO.]]=$B102,IF(DATOS_[[Check Periodo Ref.]:[Check Periodo Ref.]]="Dentro",DATOS_[Conc.Sal.02]))))),
0)</f>
        <v>0</v>
      </c>
      <c r="H104" s="111">
        <f t="array" ref="H104">IFERROR(
MEDIAN((IF(DATOS_[[Sexo]:[Sexo]]=$B104,IF(DATOS_[[AGRUP. VALOR. PTO.]:[AGRUP. VALOR. PTO.]]=$B102,IF(DATOS_[[Check Periodo Ref.]:[Check Periodo Ref.]]="Dentro",DATOS_[Conc.Sal.03]))))),
0)</f>
        <v>0</v>
      </c>
      <c r="I104" s="111">
        <f t="array" ref="I104">IFERROR(
MEDIAN((IF(DATOS_[[Sexo]:[Sexo]]=$B104,IF(DATOS_[[AGRUP. VALOR. PTO.]:[AGRUP. VALOR. PTO.]]=$B102,IF(DATOS_[[Check Periodo Ref.]:[Check Periodo Ref.]]="Dentro",DATOS_[Conc.Sal.04]))))),
0)</f>
        <v>0</v>
      </c>
      <c r="J104" s="111">
        <f t="array" ref="J104">IFERROR(
MEDIAN((IF(DATOS_[[Sexo]:[Sexo]]=$B104,IF(DATOS_[[AGRUP. VALOR. PTO.]:[AGRUP. VALOR. PTO.]]=$B102,IF(DATOS_[[Check Periodo Ref.]:[Check Periodo Ref.]]="Dentro",DATOS_[Conc.Sal.05]))))),
0)</f>
        <v>0</v>
      </c>
      <c r="K104" s="111">
        <f t="array" ref="K104">IFERROR(
MEDIAN((IF(DATOS_[[Sexo]:[Sexo]]=$B104,IF(DATOS_[[AGRUP. VALOR. PTO.]:[AGRUP. VALOR. PTO.]]=$B102,IF(DATOS_[[Check Periodo Ref.]:[Check Periodo Ref.]]="Dentro",DATOS_[Conc.Sal.06]))))),
0)</f>
        <v>0</v>
      </c>
      <c r="L104" s="111">
        <f t="array" ref="L104">IFERROR(
MEDIAN((IF(DATOS_[[Sexo]:[Sexo]]=$B104,IF(DATOS_[[AGRUP. VALOR. PTO.]:[AGRUP. VALOR. PTO.]]=$B102,IF(DATOS_[[Check Periodo Ref.]:[Check Periodo Ref.]]="Dentro",DATOS_[Conc.Sal.07]))))),
0)</f>
        <v>0</v>
      </c>
      <c r="M104" s="111">
        <f t="array" ref="M104">IFERROR(
MEDIAN((IF(DATOS_[[Sexo]:[Sexo]]=$B104,IF(DATOS_[[AGRUP. VALOR. PTO.]:[AGRUP. VALOR. PTO.]]=$B102,IF(DATOS_[[Check Periodo Ref.]:[Check Periodo Ref.]]="Dentro",DATOS_[Conc.Sal.08]))))),
0)</f>
        <v>0</v>
      </c>
      <c r="N104" s="111">
        <f t="array" ref="N104">IFERROR(
MEDIAN((IF(DATOS_[[Sexo]:[Sexo]]=$B104,IF(DATOS_[[AGRUP. VALOR. PTO.]:[AGRUP. VALOR. PTO.]]=$B102,IF(DATOS_[[Check Periodo Ref.]:[Check Periodo Ref.]]="Dentro",DATOS_[Conc.Sal.09]))))),
0)</f>
        <v>0</v>
      </c>
      <c r="O104" s="111">
        <f t="array" ref="O104">IFERROR(
MEDIAN((IF(DATOS_[[Sexo]:[Sexo]]=$B104,IF(DATOS_[[AGRUP. VALOR. PTO.]:[AGRUP. VALOR. PTO.]]=$B102,IF(DATOS_[[Check Periodo Ref.]:[Check Periodo Ref.]]="Dentro",DATOS_[Conc.Sal.10]))))),
0)</f>
        <v>0</v>
      </c>
      <c r="P104" s="111">
        <f t="array" ref="P104">IFERROR(
MEDIAN((IF(DATOS_[[Sexo]:[Sexo]]=$B104,IF(DATOS_[[AGRUP. VALOR. PTO.]:[AGRUP. VALOR. PTO.]]=$B102,IF(DATOS_[[Check Periodo Ref.]:[Check Periodo Ref.]]="Dentro",DATOS_[Conc.Sal.11]))))),
0)</f>
        <v>0</v>
      </c>
      <c r="Q104" s="111">
        <f t="array" ref="Q104">IFERROR(
MEDIAN((IF(DATOS_[[Sexo]:[Sexo]]=$B104,IF(DATOS_[[AGRUP. VALOR. PTO.]:[AGRUP. VALOR. PTO.]]=$B102,IF(DATOS_[[Check Periodo Ref.]:[Check Periodo Ref.]]="Dentro",DATOS_[Conc.Sal.12]))))),
0)</f>
        <v>0</v>
      </c>
      <c r="R104" s="111">
        <f t="array" ref="R104">IFERROR(
MEDIAN((IF(DATOS_[[Sexo]:[Sexo]]=$B104,IF(DATOS_[[AGRUP. VALOR. PTO.]:[AGRUP. VALOR. PTO.]]=$B102,IF(DATOS_[[Check Periodo Ref.]:[Check Periodo Ref.]]="Dentro",DATOS_[Conc.Sal.13]))))),
0)</f>
        <v>0</v>
      </c>
      <c r="S104" s="111">
        <f t="array" ref="S104">IFERROR(
MEDIAN((IF(DATOS_[[Sexo]:[Sexo]]=$B104,IF(DATOS_[[AGRUP. VALOR. PTO.]:[AGRUP. VALOR. PTO.]]=$B102,IF(DATOS_[[Check Periodo Ref.]:[Check Periodo Ref.]]="Dentro",DATOS_[Conc.Sal.14]))))),
0)</f>
        <v>0</v>
      </c>
      <c r="T104" s="111">
        <f t="array" ref="T104">IFERROR(
MEDIAN((IF(DATOS_[[Sexo]:[Sexo]]=$B104,IF(DATOS_[[AGRUP. VALOR. PTO.]:[AGRUP. VALOR. PTO.]]=$B102,IF(DATOS_[[Check Periodo Ref.]:[Check Periodo Ref.]]="Dentro",DATOS_[Conc.Sal.15]))))),
0)</f>
        <v>0</v>
      </c>
      <c r="U104" s="111">
        <f t="array" ref="U104">IFERROR(
MEDIAN((IF(DATOS_[[Sexo]:[Sexo]]=$B104,IF(DATOS_[[AGRUP. VALOR. PTO.]:[AGRUP. VALOR. PTO.]]=$B102,IF(DATOS_[[Check Periodo Ref.]:[Check Periodo Ref.]]="Dentro",DATOS_[Conc.Sal.16]))))),
0)</f>
        <v>0</v>
      </c>
      <c r="V104" s="111">
        <f t="array" ref="V104">IFERROR(
MEDIAN((IF(DATOS_[[Sexo]:[Sexo]]=$B104,IF(DATOS_[[AGRUP. VALOR. PTO.]:[AGRUP. VALOR. PTO.]]=$B102,IF(DATOS_[[Check Periodo Ref.]:[Check Periodo Ref.]]="Dentro",DATOS_[Conc.Sal.17]))))),
0)</f>
        <v>0</v>
      </c>
      <c r="W104" s="111">
        <f t="array" ref="W104">IFERROR(
MEDIAN((IF(DATOS_[[Sexo]:[Sexo]]=$B104,IF(DATOS_[[AGRUP. VALOR. PTO.]:[AGRUP. VALOR. PTO.]]=$B102,IF(DATOS_[[Check Periodo Ref.]:[Check Periodo Ref.]]="Dentro",DATOS_[Conc.Sal.18]))))),
0)</f>
        <v>0</v>
      </c>
      <c r="X104" s="111">
        <f t="array" ref="X104">IFERROR(
MEDIAN((IF(DATOS_[[Sexo]:[Sexo]]=$B104,IF(DATOS_[[AGRUP. VALOR. PTO.]:[AGRUP. VALOR. PTO.]]=$B102,IF(DATOS_[[Check Periodo Ref.]:[Check Periodo Ref.]]="Dentro",DATOS_[Conc.Sal.19]))))),
0)</f>
        <v>0</v>
      </c>
      <c r="Y104" s="111">
        <f t="array" ref="Y104">IFERROR(
MEDIAN((IF(DATOS_[[Sexo]:[Sexo]]=$B104,IF(DATOS_[[AGRUP. VALOR. PTO.]:[AGRUP. VALOR. PTO.]]=$B102,IF(DATOS_[[Check Periodo Ref.]:[Check Periodo Ref.]]="Dentro",DATOS_[Conc.Sal.20]))))),
0)</f>
        <v>0</v>
      </c>
      <c r="Z104" s="111">
        <f t="array" ref="Z104">IFERROR(
MEDIAN((IF(DATOS_[[Sexo]:[Sexo]]=$B104,IF(DATOS_[[AGRUP. VALOR. PTO.]:[AGRUP. VALOR. PTO.]]=$B102,IF(DATOS_[[Check Periodo Ref.]:[Check Periodo Ref.]]="Dentro",DATOS_[Conc.Sal.21]))))),
0)</f>
        <v>0</v>
      </c>
      <c r="AA104" s="111">
        <f t="array" ref="AA104">IFERROR(
MEDIAN((IF(DATOS_[[Sexo]:[Sexo]]=$B104,IF(DATOS_[[AGRUP. VALOR. PTO.]:[AGRUP. VALOR. PTO.]]=$B102,IF(DATOS_[[Check Periodo Ref.]:[Check Periodo Ref.]]="Dentro",DATOS_[Conc.Sal.22]))))),
0)</f>
        <v>0</v>
      </c>
      <c r="AB104" s="111">
        <f t="array" ref="AB104">IFERROR(
MEDIAN((IF(DATOS_[[Sexo]:[Sexo]]=$B104,IF(DATOS_[[AGRUP. VALOR. PTO.]:[AGRUP. VALOR. PTO.]]=$B102,IF(DATOS_[[Check Periodo Ref.]:[Check Periodo Ref.]]="Dentro",DATOS_[Conc.Sal.23]))))),
0)</f>
        <v>0</v>
      </c>
      <c r="AC104" s="111">
        <f t="array" ref="AC104">IFERROR(
MEDIAN((IF(DATOS_[[Sexo]:[Sexo]]=$B104,IF(DATOS_[[AGRUP. VALOR. PTO.]:[AGRUP. VALOR. PTO.]]=$B102,IF(DATOS_[[Check Periodo Ref.]:[Check Periodo Ref.]]="Dentro",DATOS_[Conc.Sal.24]))))),
0)</f>
        <v>0</v>
      </c>
      <c r="AD104" s="111">
        <f t="array" ref="AD104">IFERROR(
MEDIAN((IF(DATOS_[[Sexo]:[Sexo]]=$B104,IF(DATOS_[[AGRUP. VALOR. PTO.]:[AGRUP. VALOR. PTO.]]=$B102,IF(DATOS_[[Check Periodo Ref.]:[Check Periodo Ref.]]="Dentro",DATOS_[Conc.Sal.25]))))),
0)</f>
        <v>0</v>
      </c>
      <c r="AE104" s="111">
        <f t="array" ref="AE104">IFERROR(
MEDIAN((IF(DATOS_[[Sexo]:[Sexo]]=$B104,IF(DATOS_[[AGRUP. VALOR. PTO.]:[AGRUP. VALOR. PTO.]]=$B102,IF(DATOS_[[Check Periodo Ref.]:[Check Periodo Ref.]]="Dentro",DATOS_[Conc.Sal.26]))))),
0)</f>
        <v>0</v>
      </c>
      <c r="AF104" s="111">
        <f t="array" ref="AF104">IFERROR(
MEDIAN((IF(DATOS_[[Sexo]:[Sexo]]=$B104,IF(DATOS_[[AGRUP. VALOR. PTO.]:[AGRUP. VALOR. PTO.]]=$B102,IF(DATOS_[[Check Periodo Ref.]:[Check Periodo Ref.]]="Dentro",DATOS_[Conc.Sal.27]))))),
0)</f>
        <v>0</v>
      </c>
      <c r="AG104" s="111">
        <f t="array" ref="AG104">IFERROR(
MEDIAN((IF(DATOS_[[Sexo]:[Sexo]]=$B104,IF(DATOS_[[AGRUP. VALOR. PTO.]:[AGRUP. VALOR. PTO.]]=$B102,IF(DATOS_[[Check Periodo Ref.]:[Check Periodo Ref.]]="Dentro",DATOS_[Conc.Sal.28]))))),
0)</f>
        <v>0</v>
      </c>
      <c r="AH104" s="111">
        <f t="array" ref="AH104">IFERROR(
MEDIAN((IF(DATOS_[[Sexo]:[Sexo]]=$B104,IF(DATOS_[[AGRUP. VALOR. PTO.]:[AGRUP. VALOR. PTO.]]=$B102,IF(DATOS_[[Check Periodo Ref.]:[Check Periodo Ref.]]="Dentro",DATOS_[Conc.Sal.29]))))),
0)</f>
        <v>0</v>
      </c>
      <c r="AI104" s="111">
        <f t="array" ref="AI104">IFERROR(
MEDIAN((IF(DATOS_[[Sexo]:[Sexo]]=$B104,IF(DATOS_[[AGRUP. VALOR. PTO.]:[AGRUP. VALOR. PTO.]]=$B102,IF(DATOS_[[Check Periodo Ref.]:[Check Periodo Ref.]]="Dentro",DATOS_[Conc.Sal.30]))))),
0)</f>
        <v>0</v>
      </c>
      <c r="AJ104" s="112">
        <f t="array" ref="AJ104">IFERROR(
MEDIAN(IF(DATOS_[Sexo]=$B104,IF(DATOS_[AGRUP. VALOR. PTO.]=$B102,IF(DATOS_[Check Periodo Ref.]="Dentro",DATOS_[Tot COMPL.SAL Ef],FALSE)))),
0)</f>
        <v>0</v>
      </c>
      <c r="AK104" s="113">
        <f t="array" ref="AK104">IFERROR(
MEDIAN(IF(DATOS_[Sexo]=$B104,IF(DATOS_[AGRUP. VALOR. PTO.]=$B102,IF(DATOS_[Check Periodo Ref.]="Dentro",DATOS_[TOTAL SALARIO Ef],FALSE)))),
0)</f>
        <v>0</v>
      </c>
      <c r="AL104" s="114">
        <f t="array" ref="AL104">IFERROR(
MEDIAN((IF(DATOS_[[Sexo]:[Sexo]]=$B104,IF(DATOS_[[AGRUP. VALOR. PTO.]:[AGRUP. VALOR. PTO.]]=$B102,IF(DATOS_[[Check Periodo Ref.]:[Check Periodo Ref.]]="Dentro",DATOS_[C.Extra.01]))))),
0)</f>
        <v>0</v>
      </c>
      <c r="AM104" s="114">
        <f t="array" ref="AM104">IFERROR(
MEDIAN((IF(DATOS_[[Sexo]:[Sexo]]=$B104,IF(DATOS_[[AGRUP. VALOR. PTO.]:[AGRUP. VALOR. PTO.]]=$B102,IF(DATOS_[[Check Periodo Ref.]:[Check Periodo Ref.]]="Dentro",DATOS_[C.Extra.02]))))),
0)</f>
        <v>0</v>
      </c>
      <c r="AN104" s="114">
        <f t="array" ref="AN104">IFERROR(
MEDIAN((IF(DATOS_[[Sexo]:[Sexo]]=$B104,IF(DATOS_[[AGRUP. VALOR. PTO.]:[AGRUP. VALOR. PTO.]]=$B102,IF(DATOS_[[Check Periodo Ref.]:[Check Periodo Ref.]]="Dentro",DATOS_[C.Extra.03]))))),
0)</f>
        <v>0</v>
      </c>
      <c r="AO104" s="114">
        <f t="array" ref="AO104">IFERROR(
MEDIAN((IF(DATOS_[[Sexo]:[Sexo]]=$B104,IF(DATOS_[[AGRUP. VALOR. PTO.]:[AGRUP. VALOR. PTO.]]=$B102,IF(DATOS_[[Check Periodo Ref.]:[Check Periodo Ref.]]="Dentro",DATOS_[C.Extra.04]))))),
0)</f>
        <v>0</v>
      </c>
      <c r="AP104" s="114">
        <f t="array" ref="AP104">IFERROR(
MEDIAN((IF(DATOS_[[Sexo]:[Sexo]]=$B104,IF(DATOS_[[AGRUP. VALOR. PTO.]:[AGRUP. VALOR. PTO.]]=$B102,IF(DATOS_[[Check Periodo Ref.]:[Check Periodo Ref.]]="Dentro",DATOS_[C.Extra.05]))))),
0)</f>
        <v>0</v>
      </c>
      <c r="AQ104" s="115">
        <f t="array" ref="AQ104">IFERROR(
MEDIAN(IF(DATOS_[Sexo]=$B104,IF(DATOS_[AGRUP. VALOR. PTO.]=$B102,IF(DATOS_[Check Periodo Ref.]="Dentro",DATOS_[Tot Extrasalarial Ef],FALSE)))),
0)</f>
        <v>0</v>
      </c>
      <c r="AR104" s="116">
        <f t="array" ref="AR104">IFERROR(
MEDIAN(IF(DATOS_[Sexo]=$B104,IF(DATOS_[AGRUP. VALOR. PTO.]=$B102,IF(DATOS_[Check Periodo Ref.]="Dentro",DATOS_[TOTAL Retrib Ef],FALSE)))),
0)</f>
        <v>0</v>
      </c>
    </row>
  </sheetData>
  <sheetProtection algorithmName="SHA-512" hashValue="6EUE+6+5E+57qWljD3AEN99YVdwhLuDWAfRZkb+cNBdSutoh7HNyPKyMNGtaBMXFrPevmtxYam41t6kQrnASfQ==" saltValue="zQgSLEkgSEyFa35xULfiug==" spinCount="100000" sheet="1" objects="1" scenarios="1"/>
  <dataConsolidate/>
  <mergeCells count="1">
    <mergeCell ref="AS1:AS11"/>
  </mergeCells>
  <pageMargins left="0.25" right="0.25" top="0.75" bottom="0.75" header="0.3" footer="0.3"/>
  <pageSetup paperSize="9" scale="84"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Y104"/>
  <sheetViews>
    <sheetView showGridLines="0" topLeftCell="M1" zoomScaleNormal="100" workbookViewId="0">
      <selection activeCell="AW1" sqref="AW1:AW11"/>
    </sheetView>
  </sheetViews>
  <sheetFormatPr baseColWidth="10" defaultColWidth="7.28515625" defaultRowHeight="16.5" outlineLevelCol="1" x14ac:dyDescent="0.3"/>
  <cols>
    <col min="1" max="1" width="8.85546875" style="53" customWidth="1"/>
    <col min="2" max="2" width="10.7109375" style="53" customWidth="1"/>
    <col min="3" max="8" width="7.28515625" style="53"/>
    <col min="9" max="9" width="10.42578125" style="53" customWidth="1"/>
    <col min="10" max="10" width="7.28515625" style="53" customWidth="1"/>
    <col min="11" max="11" width="7.42578125" style="53" bestFit="1" customWidth="1"/>
    <col min="12" max="12" width="7.7109375" style="53" bestFit="1" customWidth="1"/>
    <col min="13" max="13" width="7.42578125" style="53" bestFit="1" customWidth="1"/>
    <col min="14" max="14" width="7.28515625" style="53"/>
    <col min="15" max="15" width="7.42578125" style="53" bestFit="1" customWidth="1"/>
    <col min="16" max="16" width="7.7109375" style="53" bestFit="1" customWidth="1"/>
    <col min="17" max="17" width="7.42578125" style="53" customWidth="1"/>
    <col min="18" max="18" width="7.42578125" style="53" hidden="1" customWidth="1"/>
    <col min="19" max="19" width="7.28515625" style="53" hidden="1" customWidth="1"/>
    <col min="20" max="39" width="7.28515625" style="53" hidden="1" customWidth="1" outlineLevel="1"/>
    <col min="40" max="40" width="8.85546875" style="53" customWidth="1" collapsed="1"/>
    <col min="41" max="41" width="8.85546875" style="53" customWidth="1"/>
    <col min="42" max="42" width="7.42578125" style="53" bestFit="1" customWidth="1"/>
    <col min="43" max="45" width="7.28515625" style="53" customWidth="1"/>
    <col min="46" max="46" width="7.28515625" style="53" hidden="1" customWidth="1"/>
    <col min="47" max="48" width="8.85546875" style="53" customWidth="1"/>
    <col min="49" max="49" width="16.7109375" style="53" customWidth="1"/>
    <col min="50" max="16384" width="7.28515625" style="53"/>
  </cols>
  <sheetData>
    <row r="1" spans="1:51" ht="42.6" customHeight="1" x14ac:dyDescent="0.3">
      <c r="E1" s="237" t="s">
        <v>372</v>
      </c>
      <c r="AW1" s="344" t="str">
        <f>+IFERROR(IF(OR(((AV10-AV11)/AV11)&gt;=25%,((AV11-AV10)/AV10)&gt;=25%),AY1,""),"")</f>
        <v/>
      </c>
      <c r="AX1" s="305"/>
      <c r="AY1" s="332" t="s">
        <v>445</v>
      </c>
    </row>
    <row r="2" spans="1:51" ht="13.9" customHeight="1" x14ac:dyDescent="0.3">
      <c r="K2" s="53" t="str">
        <f>+IF(K8="[ocultar]",K8,"")</f>
        <v/>
      </c>
      <c r="L2" s="53" t="str">
        <f t="shared" ref="L2:AT2" si="0">+IF(L8="[ocultar]",L8,"")</f>
        <v/>
      </c>
      <c r="M2" s="53" t="str">
        <f t="shared" si="0"/>
        <v/>
      </c>
      <c r="N2" s="53" t="str">
        <f t="shared" si="0"/>
        <v/>
      </c>
      <c r="O2" s="53" t="str">
        <f t="shared" si="0"/>
        <v/>
      </c>
      <c r="P2" s="53" t="str">
        <f t="shared" si="0"/>
        <v/>
      </c>
      <c r="Q2" s="53" t="str">
        <f t="shared" si="0"/>
        <v/>
      </c>
      <c r="R2" s="53" t="str">
        <f t="shared" si="0"/>
        <v>[ocultar]</v>
      </c>
      <c r="S2" s="53" t="str">
        <f t="shared" si="0"/>
        <v>[ocultar]</v>
      </c>
      <c r="T2" s="53" t="str">
        <f t="shared" si="0"/>
        <v>[ocultar]</v>
      </c>
      <c r="U2" s="53" t="str">
        <f t="shared" si="0"/>
        <v>[ocultar]</v>
      </c>
      <c r="V2" s="53" t="str">
        <f t="shared" si="0"/>
        <v>[ocultar]</v>
      </c>
      <c r="W2" s="53" t="str">
        <f t="shared" si="0"/>
        <v>[ocultar]</v>
      </c>
      <c r="X2" s="53" t="str">
        <f t="shared" si="0"/>
        <v>[ocultar]</v>
      </c>
      <c r="Y2" s="53" t="str">
        <f t="shared" si="0"/>
        <v>[ocultar]</v>
      </c>
      <c r="Z2" s="53" t="str">
        <f t="shared" si="0"/>
        <v>[ocultar]</v>
      </c>
      <c r="AA2" s="53" t="str">
        <f t="shared" si="0"/>
        <v>[ocultar]</v>
      </c>
      <c r="AB2" s="53" t="str">
        <f t="shared" si="0"/>
        <v>[ocultar]</v>
      </c>
      <c r="AC2" s="53" t="str">
        <f t="shared" si="0"/>
        <v>[ocultar]</v>
      </c>
      <c r="AD2" s="53" t="str">
        <f t="shared" si="0"/>
        <v>[ocultar]</v>
      </c>
      <c r="AE2" s="53" t="str">
        <f t="shared" si="0"/>
        <v>[ocultar]</v>
      </c>
      <c r="AF2" s="53" t="str">
        <f t="shared" si="0"/>
        <v>[ocultar]</v>
      </c>
      <c r="AG2" s="53" t="str">
        <f t="shared" si="0"/>
        <v>[ocultar]</v>
      </c>
      <c r="AH2" s="53" t="str">
        <f t="shared" si="0"/>
        <v>[ocultar]</v>
      </c>
      <c r="AI2" s="53" t="str">
        <f t="shared" si="0"/>
        <v>[ocultar]</v>
      </c>
      <c r="AJ2" s="53" t="str">
        <f t="shared" si="0"/>
        <v>[ocultar]</v>
      </c>
      <c r="AK2" s="53" t="str">
        <f t="shared" si="0"/>
        <v>[ocultar]</v>
      </c>
      <c r="AL2" s="53" t="str">
        <f t="shared" si="0"/>
        <v>[ocultar]</v>
      </c>
      <c r="AM2" s="53" t="str">
        <f t="shared" si="0"/>
        <v>[ocultar]</v>
      </c>
      <c r="AN2" s="53" t="str">
        <f t="shared" si="0"/>
        <v/>
      </c>
      <c r="AO2" s="53" t="str">
        <f t="shared" si="0"/>
        <v/>
      </c>
      <c r="AP2" s="53" t="str">
        <f t="shared" si="0"/>
        <v/>
      </c>
      <c r="AQ2" s="53" t="str">
        <f t="shared" si="0"/>
        <v/>
      </c>
      <c r="AR2" s="53" t="str">
        <f t="shared" si="0"/>
        <v/>
      </c>
      <c r="AS2" s="53" t="str">
        <f t="shared" si="0"/>
        <v/>
      </c>
      <c r="AT2" s="53" t="str">
        <f t="shared" si="0"/>
        <v>[ocultar]</v>
      </c>
      <c r="AW2" s="344"/>
      <c r="AX2" s="305"/>
      <c r="AY2" s="305"/>
    </row>
    <row r="3" spans="1:51" ht="13.9" customHeight="1" x14ac:dyDescent="0.3">
      <c r="I3" s="167" t="str">
        <f>+"Razón Social: "&amp;Inicio!C6&amp;"  -  NIF: "&amp;Inicio!C8</f>
        <v>Razón Social: Empresa Ejemplo Ficticio 3  -  NIF: B55512345</v>
      </c>
      <c r="J3" s="155"/>
      <c r="AW3" s="344"/>
      <c r="AX3" s="305"/>
      <c r="AY3" s="305"/>
    </row>
    <row r="4" spans="1:51" ht="13.9" customHeight="1" x14ac:dyDescent="0.3">
      <c r="I4" s="168" t="s">
        <v>97</v>
      </c>
      <c r="J4" s="169"/>
      <c r="AW4" s="344"/>
      <c r="AX4" s="305"/>
      <c r="AY4" s="305"/>
    </row>
    <row r="5" spans="1:51" ht="13.9" customHeight="1" x14ac:dyDescent="0.3">
      <c r="I5" s="153">
        <f>+Inicio!E10</f>
        <v>45292</v>
      </c>
      <c r="J5" s="170" t="str">
        <f>+Inicio!D10</f>
        <v>fecha inicio</v>
      </c>
      <c r="AW5" s="344"/>
      <c r="AX5" s="305"/>
      <c r="AY5" s="305"/>
    </row>
    <row r="6" spans="1:51" ht="13.9" customHeight="1" x14ac:dyDescent="0.3">
      <c r="I6" s="153">
        <f>+Inicio!G10</f>
        <v>45657</v>
      </c>
      <c r="J6" s="170" t="s">
        <v>94</v>
      </c>
      <c r="AW6" s="344"/>
      <c r="AX6" s="305"/>
      <c r="AY6" s="305"/>
    </row>
    <row r="7" spans="1:51" s="118" customFormat="1" ht="13.9" customHeight="1" x14ac:dyDescent="0.25">
      <c r="AW7" s="344"/>
      <c r="AX7" s="307"/>
      <c r="AY7" s="307"/>
    </row>
    <row r="8" spans="1:51" s="56" customFormat="1" ht="46.15" customHeight="1" x14ac:dyDescent="0.25">
      <c r="B8" s="54"/>
      <c r="C8" s="54" t="s">
        <v>225</v>
      </c>
      <c r="D8" s="54" t="s">
        <v>220</v>
      </c>
      <c r="E8" s="54" t="s">
        <v>293</v>
      </c>
      <c r="F8" s="54" t="s">
        <v>291</v>
      </c>
      <c r="G8" s="54" t="s">
        <v>292</v>
      </c>
      <c r="H8" s="54" t="s">
        <v>224</v>
      </c>
      <c r="I8" s="144" t="s">
        <v>217</v>
      </c>
      <c r="J8" s="55" t="str">
        <f>+IF(DATOS!AE6="","[ocultar]",DATOS!AE6)</f>
        <v>MejVol</v>
      </c>
      <c r="K8" s="55" t="str">
        <f>+IF(DATOS!AF6="","[ocultar]",DATOS!AF6)</f>
        <v>Antig.</v>
      </c>
      <c r="L8" s="55" t="str">
        <f>+IF(DATOS!AG6="","[ocultar]",DATOS!AG6)</f>
        <v>Transporte</v>
      </c>
      <c r="M8" s="55" t="str">
        <f>+IF(DATOS!AH6="","[ocultar]",DATOS!AH6)</f>
        <v>Ventas</v>
      </c>
      <c r="N8" s="55" t="str">
        <f>+IF(DATOS!AI6="","[ocultar]",DATOS!AI6)</f>
        <v>Bonus</v>
      </c>
      <c r="O8" s="55" t="str">
        <f>+IF(DATOS!AJ6="","[ocultar]",DATOS!AJ6)</f>
        <v>Coche</v>
      </c>
      <c r="P8" s="55" t="str">
        <f>+IF(DATOS!AK6="","[ocultar]",DATOS!AK6)</f>
        <v>Cesta</v>
      </c>
      <c r="Q8" s="55" t="str">
        <f>+IF(DATOS!AL6="","[ocultar]",DATOS!AL6)</f>
        <v>Nocturnidad</v>
      </c>
      <c r="R8" s="55" t="str">
        <f>+IF(DATOS!AM6="","[ocultar]",DATOS!AM6)</f>
        <v>[ocultar]</v>
      </c>
      <c r="S8" s="55" t="str">
        <f>+IF(DATOS!AN6="","[ocultar]",DATOS!AN6)</f>
        <v>[ocultar]</v>
      </c>
      <c r="T8" s="55" t="str">
        <f>+IF(DATOS!AO6="","[ocultar]",DATOS!AO6)</f>
        <v>[ocultar]</v>
      </c>
      <c r="U8" s="55" t="str">
        <f>+IF(DATOS!AP6="","[ocultar]",DATOS!AP6)</f>
        <v>[ocultar]</v>
      </c>
      <c r="V8" s="55" t="str">
        <f>+IF(DATOS!AQ6="","[ocultar]",DATOS!AQ6)</f>
        <v>[ocultar]</v>
      </c>
      <c r="W8" s="55" t="str">
        <f>+IF(DATOS!AR6="","[ocultar]",DATOS!AR6)</f>
        <v>[ocultar]</v>
      </c>
      <c r="X8" s="55" t="str">
        <f>+IF(DATOS!AS6="","[ocultar]",DATOS!AS6)</f>
        <v>[ocultar]</v>
      </c>
      <c r="Y8" s="55" t="str">
        <f>+IF(DATOS!AT6="","[ocultar]",DATOS!AT6)</f>
        <v>[ocultar]</v>
      </c>
      <c r="Z8" s="55" t="str">
        <f>+IF(DATOS!AU6="","[ocultar]",DATOS!AU6)</f>
        <v>[ocultar]</v>
      </c>
      <c r="AA8" s="55" t="str">
        <f>+IF(DATOS!AV6="","[ocultar]",DATOS!AV6)</f>
        <v>[ocultar]</v>
      </c>
      <c r="AB8" s="55" t="str">
        <f>+IF(DATOS!AW6="","[ocultar]",DATOS!AW6)</f>
        <v>[ocultar]</v>
      </c>
      <c r="AC8" s="55" t="str">
        <f>+IF(DATOS!AX6="","[ocultar]",DATOS!AX6)</f>
        <v>[ocultar]</v>
      </c>
      <c r="AD8" s="55" t="str">
        <f>+IF(DATOS!AY6="","[ocultar]",DATOS!AY6)</f>
        <v>[ocultar]</v>
      </c>
      <c r="AE8" s="55" t="str">
        <f>+IF(DATOS!AZ6="","[ocultar]",DATOS!AZ6)</f>
        <v>[ocultar]</v>
      </c>
      <c r="AF8" s="55" t="str">
        <f>+IF(DATOS!BA6="","[ocultar]",DATOS!BA6)</f>
        <v>[ocultar]</v>
      </c>
      <c r="AG8" s="55" t="str">
        <f>+IF(DATOS!BB6="","[ocultar]",DATOS!BB6)</f>
        <v>[ocultar]</v>
      </c>
      <c r="AH8" s="55" t="str">
        <f>+IF(DATOS!BC6="","[ocultar]",DATOS!BC6)</f>
        <v>[ocultar]</v>
      </c>
      <c r="AI8" s="55" t="str">
        <f>+IF(DATOS!BD6="","[ocultar]",DATOS!BD6)</f>
        <v>[ocultar]</v>
      </c>
      <c r="AJ8" s="55" t="str">
        <f>+IF(DATOS!BE6="","[ocultar]",DATOS!BE6)</f>
        <v>[ocultar]</v>
      </c>
      <c r="AK8" s="55" t="str">
        <f>+IF(DATOS!BF6="","[ocultar]",DATOS!BF6)</f>
        <v>[ocultar]</v>
      </c>
      <c r="AL8" s="55" t="str">
        <f>+IF(DATOS!BG6="","[ocultar]",DATOS!BG6)</f>
        <v>[ocultar]</v>
      </c>
      <c r="AM8" s="55" t="str">
        <f>+IF(DATOS!BH6="","[ocultar]",DATOS!BH6)</f>
        <v>[ocultar]</v>
      </c>
      <c r="AN8" s="67" t="s">
        <v>218</v>
      </c>
      <c r="AO8" s="68" t="s">
        <v>211</v>
      </c>
      <c r="AP8" s="64" t="str">
        <f>+IF(DATOS!BI6="","[ocultar]",DATOS!BI6)</f>
        <v>Dietas</v>
      </c>
      <c r="AQ8" s="64" t="str">
        <f>+IF(DATOS!BJ6="","[ocultar]",DATOS!BJ6)</f>
        <v>Indem</v>
      </c>
      <c r="AR8" s="64" t="str">
        <f>+IF(DATOS!BK6="","[ocultar]",DATOS!BK6)</f>
        <v>ERTE</v>
      </c>
      <c r="AS8" s="64" t="str">
        <f>+IF(DATOS!BL6="","[ocultar]",DATOS!BL6)</f>
        <v>IT</v>
      </c>
      <c r="AT8" s="64" t="str">
        <f>+IF(DATOS!BM6="","[ocultar]",DATOS!BM6)</f>
        <v>[ocultar]</v>
      </c>
      <c r="AU8" s="65" t="s">
        <v>219</v>
      </c>
      <c r="AV8" s="66" t="s">
        <v>212</v>
      </c>
      <c r="AW8" s="344"/>
      <c r="AX8" s="308"/>
      <c r="AY8" s="308"/>
    </row>
    <row r="9" spans="1:51" ht="17.25" thickBot="1" x14ac:dyDescent="0.35">
      <c r="B9" s="62" t="s">
        <v>247</v>
      </c>
      <c r="C9" s="99"/>
      <c r="D9" s="63"/>
      <c r="E9" s="63"/>
      <c r="F9" s="63"/>
      <c r="G9" s="63"/>
      <c r="H9" s="63"/>
      <c r="I9" s="129">
        <f t="shared" ref="I9" si="1">IFERROR((I10-I11)/I10,"")</f>
        <v>3.0399264887292585E-2</v>
      </c>
      <c r="J9" s="130">
        <f>IFERROR((J10-J11)/J10,"")</f>
        <v>0.47696862895734071</v>
      </c>
      <c r="K9" s="131">
        <f t="shared" ref="K9:AV9" si="2">IFERROR((K10-K11)/K10,"")</f>
        <v>0.17203027739821419</v>
      </c>
      <c r="L9" s="131">
        <f t="shared" si="2"/>
        <v>-0.56144307762232326</v>
      </c>
      <c r="M9" s="131">
        <f t="shared" si="2"/>
        <v>-0.16910597778169636</v>
      </c>
      <c r="N9" s="132">
        <f t="shared" si="2"/>
        <v>0.62196765498652296</v>
      </c>
      <c r="O9" s="133">
        <f t="shared" si="2"/>
        <v>0.50227716330513994</v>
      </c>
      <c r="P9" s="133">
        <f t="shared" si="2"/>
        <v>-1.3153120464441358E-2</v>
      </c>
      <c r="Q9" s="133">
        <f t="shared" si="2"/>
        <v>1</v>
      </c>
      <c r="R9" s="133" t="str">
        <f t="shared" si="2"/>
        <v/>
      </c>
      <c r="S9" s="133" t="str">
        <f t="shared" si="2"/>
        <v/>
      </c>
      <c r="T9" s="133" t="str">
        <f t="shared" si="2"/>
        <v/>
      </c>
      <c r="U9" s="133" t="str">
        <f t="shared" si="2"/>
        <v/>
      </c>
      <c r="V9" s="133" t="str">
        <f t="shared" si="2"/>
        <v/>
      </c>
      <c r="W9" s="133" t="str">
        <f t="shared" si="2"/>
        <v/>
      </c>
      <c r="X9" s="133" t="str">
        <f t="shared" si="2"/>
        <v/>
      </c>
      <c r="Y9" s="133" t="str">
        <f t="shared" si="2"/>
        <v/>
      </c>
      <c r="Z9" s="132" t="str">
        <f t="shared" si="2"/>
        <v/>
      </c>
      <c r="AA9" s="132" t="str">
        <f t="shared" si="2"/>
        <v/>
      </c>
      <c r="AB9" s="132" t="str">
        <f t="shared" si="2"/>
        <v/>
      </c>
      <c r="AC9" s="132" t="str">
        <f t="shared" si="2"/>
        <v/>
      </c>
      <c r="AD9" s="132" t="str">
        <f t="shared" si="2"/>
        <v/>
      </c>
      <c r="AE9" s="132" t="str">
        <f t="shared" si="2"/>
        <v/>
      </c>
      <c r="AF9" s="132" t="str">
        <f t="shared" si="2"/>
        <v/>
      </c>
      <c r="AG9" s="132" t="str">
        <f t="shared" si="2"/>
        <v/>
      </c>
      <c r="AH9" s="132" t="str">
        <f t="shared" si="2"/>
        <v/>
      </c>
      <c r="AI9" s="132" t="str">
        <f t="shared" si="2"/>
        <v/>
      </c>
      <c r="AJ9" s="132" t="str">
        <f t="shared" si="2"/>
        <v/>
      </c>
      <c r="AK9" s="132" t="str">
        <f t="shared" si="2"/>
        <v/>
      </c>
      <c r="AL9" s="132" t="str">
        <f t="shared" si="2"/>
        <v/>
      </c>
      <c r="AM9" s="132" t="str">
        <f t="shared" si="2"/>
        <v/>
      </c>
      <c r="AN9" s="134">
        <f t="shared" si="2"/>
        <v>0.47515280006845584</v>
      </c>
      <c r="AO9" s="138">
        <f t="shared" si="2"/>
        <v>0.17621784681686994</v>
      </c>
      <c r="AP9" s="135">
        <f t="shared" si="2"/>
        <v>0.96436058700209648</v>
      </c>
      <c r="AQ9" s="135" t="str">
        <f t="shared" si="2"/>
        <v/>
      </c>
      <c r="AR9" s="135">
        <f t="shared" si="2"/>
        <v>-0.28301886792452846</v>
      </c>
      <c r="AS9" s="135">
        <f t="shared" si="2"/>
        <v>1</v>
      </c>
      <c r="AT9" s="135" t="str">
        <f t="shared" si="2"/>
        <v/>
      </c>
      <c r="AU9" s="136">
        <f t="shared" si="2"/>
        <v>0.56998947185903848</v>
      </c>
      <c r="AV9" s="137">
        <f t="shared" si="2"/>
        <v>0.1794720909160053</v>
      </c>
      <c r="AW9" s="344"/>
      <c r="AX9" s="309"/>
      <c r="AY9" s="309"/>
    </row>
    <row r="10" spans="1:51" x14ac:dyDescent="0.3">
      <c r="B10" s="57" t="s">
        <v>162</v>
      </c>
      <c r="C10" s="56">
        <f t="array" ref="C10">SUM(IF($B10=DATOS_[Sexo],
IF("Dentro"=DATOS_[Check Periodo Ref.],
1/(COUNTIFS(DATOS_[Sexo],$B10,DATOS_[Check Periodo Ref.],"Dentro",DATOS_[id],DATOS_[id])))))</f>
        <v>102</v>
      </c>
      <c r="D10" s="58">
        <f>COUNTIFS(DATOS_[AGRUP. VALOR. PTO.],"&lt;&gt;",DATOS_[Sexo],$B10,DATOS_[Check Periodo Ref.],"Dentro")</f>
        <v>110</v>
      </c>
      <c r="E10" s="58">
        <f>COUNTIFS(DATOS_[AGRUP. VALOR. PTO.],"&lt;&gt;",DATOS_[Sexo],$B10,DATOS_[Check Periodo Ref.],"Dentro",DATOS_[Check Nº SC Norm],"Sí")</f>
        <v>9</v>
      </c>
      <c r="F10" s="58">
        <f>COUNTIFS(DATOS_[AGRUP. VALOR. PTO.],"&lt;&gt;",DATOS_[Sexo],$B10,DATOS_[Check Periodo Ref.],"Dentro",DATOS_[Check Nº SC Anualiz],"Sí")</f>
        <v>12</v>
      </c>
      <c r="G10" s="58">
        <f>COUNTIFS(DATOS_[AGRUP. VALOR. PTO.],"&lt;&gt;",DATOS_[Sexo],$B10,DATOS_[Check Periodo Ref.],"Dentro",DATOS_[Check Nº SC Norm y Anualiz],"Sí")</f>
        <v>1</v>
      </c>
      <c r="H10" s="58">
        <f>COUNTIFS(DATOS_[AGRUP. VALOR. PTO.],"&lt;&gt;",DATOS_[Sexo],$B10,DATOS_[Check Periodo Ref.],"Dentro",DATOS_[Check Equiparación],"Sí")</f>
        <v>22</v>
      </c>
      <c r="I10" s="100">
        <f t="array" ref="I10">IFERROR(
AVERAGE(IF(DATOS_[Sexo]=$B10,IF(DATOS_[Check Equiparado]="Sí",IF(DATOS_[Check Periodo Ref.]="Dentro",DATOS_[SALARIO BASE Eq],FALSE)))),
0)</f>
        <v>13165.444087376336</v>
      </c>
      <c r="J10" s="108">
        <f t="array" ref="J10">IFERROR(
(AVERAGE((IF(DATOS_[[Sexo]:[Sexo]]=$B10,IF(DATOS_[[Check Periodo Ref.]:[Check Periodo Ref.]]="Dentro",IF(DATOS_[[Check Equiparado]:[Check Equiparado]]="Sí",IF(DATOS!AE$5="Sí",(1/DATOS_[[% anualiz]:[% anualiz]]),1)*IF(DATOS!AE$4="Sí",1/DATOS_[[% normaliz]:[% normaliz]],1)*(DATOS_[Conc.Sal.01]))))))),
0)</f>
        <v>2998.1975202355547</v>
      </c>
      <c r="K10" s="108">
        <f t="array" ref="K10">IFERROR(
(AVERAGE((IF(DATOS_[[Sexo]:[Sexo]]=$B10,IF(DATOS_[[Check Periodo Ref.]:[Check Periodo Ref.]]="Dentro",IF(DATOS_[[Check Equiparado]:[Check Equiparado]]="Sí",IF(DATOS!AF$5="Sí",(1/DATOS_[[% anualiz]:[% anualiz]]),1)*IF(DATOS!AF$4="Sí",1/DATOS_[[% normaliz]:[% normaliz]],1)*(DATOS_[Conc.Sal.02]))))))),
0)</f>
        <v>1080.5705426846391</v>
      </c>
      <c r="L10" s="108">
        <f t="array" ref="L10">IFERROR(
(AVERAGE((IF(DATOS_[[Sexo]:[Sexo]]=$B10,IF(DATOS_[[Check Periodo Ref.]:[Check Periodo Ref.]]="Dentro",IF(DATOS_[[Check Equiparado]:[Check Equiparado]]="Sí",IF(DATOS!AG$5="Sí",(1/DATOS_[[% anualiz]:[% anualiz]]),1)*IF(DATOS!AG$4="Sí",1/DATOS_[[% normaliz]:[% normaliz]],1)*(DATOS_[Conc.Sal.03]))))))),
0)</f>
        <v>329.04570758379174</v>
      </c>
      <c r="M10" s="108">
        <f t="array" ref="M10">IFERROR(
(AVERAGE((IF(DATOS_[[Sexo]:[Sexo]]=$B10,IF(DATOS_[[Check Periodo Ref.]:[Check Periodo Ref.]]="Dentro",IF(DATOS_[[Check Equiparado]:[Check Equiparado]]="Sí",IF(DATOS!AH$5="Sí",(1/DATOS_[[% anualiz]:[% anualiz]]),1)*IF(DATOS!AH$4="Sí",1/DATOS_[[% normaliz]:[% normaliz]],1)*(DATOS_[Conc.Sal.04]))))))),
0)</f>
        <v>104.90196078431373</v>
      </c>
      <c r="N10" s="108">
        <f t="array" ref="N10">IFERROR(
(AVERAGE((IF(DATOS_[[Sexo]:[Sexo]]=$B10,IF(DATOS_[[Check Periodo Ref.]:[Check Periodo Ref.]]="Dentro",IF(DATOS_[[Check Equiparado]:[Check Equiparado]]="Sí",IF(DATOS!AI$5="Sí",(1/DATOS_[[% anualiz]:[% anualiz]]),1)*IF(DATOS!AI$4="Sí",1/DATOS_[[% normaliz]:[% normaliz]],1)*(DATOS_[Conc.Sal.05]))))))),
0)</f>
        <v>274.50980392156862</v>
      </c>
      <c r="O10" s="108">
        <f t="array" ref="O10">IFERROR(
(AVERAGE((IF(DATOS_[[Sexo]:[Sexo]]=$B10,IF(DATOS_[[Check Periodo Ref.]:[Check Periodo Ref.]]="Dentro",IF(DATOS_[[Check Equiparado]:[Check Equiparado]]="Sí",IF(DATOS!AJ$5="Sí",(1/DATOS_[[% anualiz]:[% anualiz]]),1)*IF(DATOS!AJ$4="Sí",1/DATOS_[[% normaliz]:[% normaliz]],1)*(DATOS_[Conc.Sal.06]))))))),
0)</f>
        <v>170.58823529411765</v>
      </c>
      <c r="P10" s="108">
        <f t="array" ref="P10">IFERROR(
(AVERAGE((IF(DATOS_[[Sexo]:[Sexo]]=$B10,IF(DATOS_[[Check Periodo Ref.]:[Check Periodo Ref.]]="Dentro",IF(DATOS_[[Check Equiparado]:[Check Equiparado]]="Sí",IF(DATOS!AK$5="Sí",(1/DATOS_[[% anualiz]:[% anualiz]]),1)*IF(DATOS!AK$4="Sí",1/DATOS_[[% normaliz]:[% normaliz]],1)*(DATOS_[Conc.Sal.07]))))))),
0)</f>
        <v>81.568627450980387</v>
      </c>
      <c r="Q10" s="108">
        <f t="array" ref="Q10">IFERROR(
(AVERAGE((IF(DATOS_[[Sexo]:[Sexo]]=$B10,IF(DATOS_[[Check Periodo Ref.]:[Check Periodo Ref.]]="Dentro",IF(DATOS_[[Check Equiparado]:[Check Equiparado]]="Sí",IF(DATOS!AL$5="Sí",(1/DATOS_[[% anualiz]:[% anualiz]]),1)*IF(DATOS!AL$4="Sí",1/DATOS_[[% normaliz]:[% normaliz]],1)*(DATOS_[Conc.Sal.08]))))))),
0)</f>
        <v>1382.6380664056687</v>
      </c>
      <c r="R10" s="108">
        <f t="array" ref="R10">IFERROR(
(AVERAGE((IF(DATOS_[[Sexo]:[Sexo]]=$B10,IF(DATOS_[[Check Periodo Ref.]:[Check Periodo Ref.]]="Dentro",IF(DATOS_[[Check Equiparado]:[Check Equiparado]]="Sí",IF(DATOS!AM$5="Sí",(1/DATOS_[[% anualiz]:[% anualiz]]),1)*IF(DATOS!AM$4="Sí",1/DATOS_[[% normaliz]:[% normaliz]],1)*(DATOS_[Conc.Sal.09]))))))),
0)</f>
        <v>0</v>
      </c>
      <c r="S10" s="108">
        <f t="array" ref="S10">IFERROR(
(AVERAGE((IF(DATOS_[[Sexo]:[Sexo]]=$B10,IF(DATOS_[[Check Periodo Ref.]:[Check Periodo Ref.]]="Dentro",IF(DATOS_[[Check Equiparado]:[Check Equiparado]]="Sí",IF(DATOS!AN$5="Sí",(1/DATOS_[[% anualiz]:[% anualiz]]),1)*IF(DATOS!AN$4="Sí",1/DATOS_[[% normaliz]:[% normaliz]],1)*(DATOS_[Conc.Sal.10]))))))),
0)</f>
        <v>0</v>
      </c>
      <c r="T10" s="108">
        <f t="array" ref="T10">IFERROR(
(AVERAGE((IF(DATOS_[[Sexo]:[Sexo]]=$B10,IF(DATOS_[[Check Periodo Ref.]:[Check Periodo Ref.]]="Dentro",IF(DATOS_[[Check Equiparado]:[Check Equiparado]]="Sí",IF(DATOS!AO$5="Sí",(1/DATOS_[[% anualiz]:[% anualiz]]),1)*IF(DATOS!AO$4="Sí",1/DATOS_[[% normaliz]:[% normaliz]],1)*(DATOS_[Conc.Sal.11]))))))),
0)</f>
        <v>0</v>
      </c>
      <c r="U10" s="108">
        <f t="array" ref="U10">IFERROR(
(AVERAGE((IF(DATOS_[[Sexo]:[Sexo]]=$B10,IF(DATOS_[[Check Periodo Ref.]:[Check Periodo Ref.]]="Dentro",IF(DATOS_[[Check Equiparado]:[Check Equiparado]]="Sí",IF(DATOS!AP$5="Sí",(1/DATOS_[[% anualiz]:[% anualiz]]),1)*IF(DATOS!AP$4="Sí",1/DATOS_[[% normaliz]:[% normaliz]],1)*(DATOS_[Conc.Sal.12]))))))),
0)</f>
        <v>0</v>
      </c>
      <c r="V10" s="108">
        <f t="array" ref="V10">IFERROR(
(AVERAGE((IF(DATOS_[[Sexo]:[Sexo]]=$B10,IF(DATOS_[[Check Periodo Ref.]:[Check Periodo Ref.]]="Dentro",IF(DATOS_[[Check Equiparado]:[Check Equiparado]]="Sí",IF(DATOS!AQ$5="Sí",(1/DATOS_[[% anualiz]:[% anualiz]]),1)*IF(DATOS!AQ$4="Sí",1/DATOS_[[% normaliz]:[% normaliz]],1)*(DATOS_[Conc.Sal.13]))))))),
0)</f>
        <v>0</v>
      </c>
      <c r="W10" s="108">
        <f t="array" ref="W10">IFERROR(
(AVERAGE((IF(DATOS_[[Sexo]:[Sexo]]=$B10,IF(DATOS_[[Check Periodo Ref.]:[Check Periodo Ref.]]="Dentro",IF(DATOS_[[Check Equiparado]:[Check Equiparado]]="Sí",IF(DATOS!AR$5="Sí",(1/DATOS_[[% anualiz]:[% anualiz]]),1)*IF(DATOS!AR$4="Sí",1/DATOS_[[% normaliz]:[% normaliz]],1)*(DATOS_[Conc.Sal.14]))))))),
0)</f>
        <v>0</v>
      </c>
      <c r="X10" s="108">
        <f t="array" ref="X10">IFERROR(
(AVERAGE((IF(DATOS_[[Sexo]:[Sexo]]=$B10,IF(DATOS_[[Check Periodo Ref.]:[Check Periodo Ref.]]="Dentro",IF(DATOS_[[Check Equiparado]:[Check Equiparado]]="Sí",IF(DATOS!AS$5="Sí",(1/DATOS_[[% anualiz]:[% anualiz]]),1)*IF(DATOS!AS$4="Sí",1/DATOS_[[% normaliz]:[% normaliz]],1)*(DATOS_[Conc.Sal.15]))))))),
0)</f>
        <v>0</v>
      </c>
      <c r="Y10" s="108">
        <f t="array" ref="Y10">IFERROR(
(AVERAGE((IF(DATOS_[[Sexo]:[Sexo]]=$B10,IF(DATOS_[[Check Periodo Ref.]:[Check Periodo Ref.]]="Dentro",IF(DATOS_[[Check Equiparado]:[Check Equiparado]]="Sí",IF(DATOS!AT$5="Sí",(1/DATOS_[[% anualiz]:[% anualiz]]),1)*IF(DATOS!AT$4="Sí",1/DATOS_[[% normaliz]:[% normaliz]],1)*(DATOS_[Conc.Sal.16]))))))),
0)</f>
        <v>0</v>
      </c>
      <c r="Z10" s="108">
        <f t="array" ref="Z10">IFERROR(
(AVERAGE((IF(DATOS_[[Sexo]:[Sexo]]=$B10,IF(DATOS_[[Check Periodo Ref.]:[Check Periodo Ref.]]="Dentro",IF(DATOS_[[Check Equiparado]:[Check Equiparado]]="Sí",IF(DATOS!AU$5="Sí",(1/DATOS_[[% anualiz]:[% anualiz]]),1)*IF(DATOS!AU$4="Sí",1/DATOS_[[% normaliz]:[% normaliz]],1)*(DATOS_[Conc.Sal.17]))))))),
0)</f>
        <v>0</v>
      </c>
      <c r="AA10" s="108">
        <f t="array" ref="AA10">IFERROR(
(AVERAGE((IF(DATOS_[[Sexo]:[Sexo]]=$B10,IF(DATOS_[[Check Periodo Ref.]:[Check Periodo Ref.]]="Dentro",IF(DATOS_[[Check Equiparado]:[Check Equiparado]]="Sí",IF(DATOS!AV$5="Sí",(1/DATOS_[[% anualiz]:[% anualiz]]),1)*IF(DATOS!AV$4="Sí",1/DATOS_[[% normaliz]:[% normaliz]],1)*(DATOS_[Conc.Sal.18]))))))),
0)</f>
        <v>0</v>
      </c>
      <c r="AB10" s="108">
        <f t="array" ref="AB10">IFERROR(
(AVERAGE((IF(DATOS_[[Sexo]:[Sexo]]=$B10,IF(DATOS_[[Check Periodo Ref.]:[Check Periodo Ref.]]="Dentro",IF(DATOS_[[Check Equiparado]:[Check Equiparado]]="Sí",IF(DATOS!AW$5="Sí",(1/DATOS_[[% anualiz]:[% anualiz]]),1)*IF(DATOS!AW$4="Sí",1/DATOS_[[% normaliz]:[% normaliz]],1)*(DATOS_[Conc.Sal.19]))))))),
0)</f>
        <v>0</v>
      </c>
      <c r="AC10" s="108">
        <f t="array" ref="AC10">IFERROR(
(AVERAGE((IF(DATOS_[[Sexo]:[Sexo]]=$B10,IF(DATOS_[[Check Periodo Ref.]:[Check Periodo Ref.]]="Dentro",IF(DATOS_[[Check Equiparado]:[Check Equiparado]]="Sí",IF(DATOS!AX$5="Sí",(1/DATOS_[[% anualiz]:[% anualiz]]),1)*IF(DATOS!AX$4="Sí",1/DATOS_[[% normaliz]:[% normaliz]],1)*(DATOS_[Conc.Sal.20]))))))),
0)</f>
        <v>0</v>
      </c>
      <c r="AD10" s="108">
        <f t="array" ref="AD10">IFERROR(
(AVERAGE((IF(DATOS_[[Sexo]:[Sexo]]=$B10,IF(DATOS_[[Check Periodo Ref.]:[Check Periodo Ref.]]="Dentro",IF(DATOS_[[Check Equiparado]:[Check Equiparado]]="Sí",IF(DATOS!AY$5="Sí",(1/DATOS_[[% anualiz]:[% anualiz]]),1)*IF(DATOS!AY$4="Sí",1/DATOS_[[% normaliz]:[% normaliz]],1)*(DATOS_[Conc.Sal.21]))))))),
0)</f>
        <v>0</v>
      </c>
      <c r="AE10" s="108">
        <f t="array" ref="AE10">IFERROR(
(AVERAGE((IF(DATOS_[[Sexo]:[Sexo]]=$B10,IF(DATOS_[[Check Periodo Ref.]:[Check Periodo Ref.]]="Dentro",IF(DATOS_[[Check Equiparado]:[Check Equiparado]]="Sí",IF(DATOS!AZ$5="Sí",(1/DATOS_[[% anualiz]:[% anualiz]]),1)*IF(DATOS!AZ$4="Sí",1/DATOS_[[% normaliz]:[% normaliz]],1)*(DATOS_[Conc.Sal.22]))))))),
0)</f>
        <v>0</v>
      </c>
      <c r="AF10" s="108">
        <f t="array" ref="AF10">IFERROR(
(AVERAGE((IF(DATOS_[[Sexo]:[Sexo]]=$B10,IF(DATOS_[[Check Periodo Ref.]:[Check Periodo Ref.]]="Dentro",IF(DATOS_[[Check Equiparado]:[Check Equiparado]]="Sí",IF(DATOS!BA$5="Sí",(1/DATOS_[[% anualiz]:[% anualiz]]),1)*IF(DATOS!BA$4="Sí",1/DATOS_[[% normaliz]:[% normaliz]],1)*(DATOS_[Conc.Sal.23]))))))),
0)</f>
        <v>0</v>
      </c>
      <c r="AG10" s="108">
        <f t="array" ref="AG10">IFERROR(
(AVERAGE((IF(DATOS_[[Sexo]:[Sexo]]=$B10,IF(DATOS_[[Check Periodo Ref.]:[Check Periodo Ref.]]="Dentro",IF(DATOS_[[Check Equiparado]:[Check Equiparado]]="Sí",IF(DATOS!BB$5="Sí",(1/DATOS_[[% anualiz]:[% anualiz]]),1)*IF(DATOS!BB$4="Sí",1/DATOS_[[% normaliz]:[% normaliz]],1)*(DATOS_[Conc.Sal.24]))))))),
0)</f>
        <v>0</v>
      </c>
      <c r="AH10" s="108">
        <f t="array" ref="AH10">IFERROR(
(AVERAGE((IF(DATOS_[[Sexo]:[Sexo]]=$B10,IF(DATOS_[[Check Periodo Ref.]:[Check Periodo Ref.]]="Dentro",IF(DATOS_[[Check Equiparado]:[Check Equiparado]]="Sí",IF(DATOS!BC$5="Sí",(1/DATOS_[[% anualiz]:[% anualiz]]),1)*IF(DATOS!BC$4="Sí",1/DATOS_[[% normaliz]:[% normaliz]],1)*(DATOS_[Conc.Sal.25]))))))),
0)</f>
        <v>0</v>
      </c>
      <c r="AI10" s="108">
        <f t="array" ref="AI10">IFERROR(
(AVERAGE((IF(DATOS_[[Sexo]:[Sexo]]=$B10,IF(DATOS_[[Check Periodo Ref.]:[Check Periodo Ref.]]="Dentro",IF(DATOS_[[Check Equiparado]:[Check Equiparado]]="Sí",IF(DATOS!BD$5="Sí",(1/DATOS_[[% anualiz]:[% anualiz]]),1)*IF(DATOS!BD$4="Sí",1/DATOS_[[% normaliz]:[% normaliz]],1)*(DATOS_[Conc.Sal.26]))))))),
0)</f>
        <v>0</v>
      </c>
      <c r="AJ10" s="108">
        <f t="array" ref="AJ10">IFERROR(
(AVERAGE((IF(DATOS_[[Sexo]:[Sexo]]=$B10,IF(DATOS_[[Check Periodo Ref.]:[Check Periodo Ref.]]="Dentro",IF(DATOS_[[Check Equiparado]:[Check Equiparado]]="Sí",IF(DATOS!BE$5="Sí",(1/DATOS_[[% anualiz]:[% anualiz]]),1)*IF(DATOS!BE$4="Sí",1/DATOS_[[% normaliz]:[% normaliz]],1)*(DATOS_[Conc.Sal.27]))))))),
0)</f>
        <v>0</v>
      </c>
      <c r="AK10" s="108">
        <f t="array" ref="AK10">IFERROR(
(AVERAGE((IF(DATOS_[[Sexo]:[Sexo]]=$B10,IF(DATOS_[[Check Periodo Ref.]:[Check Periodo Ref.]]="Dentro",IF(DATOS_[[Check Equiparado]:[Check Equiparado]]="Sí",IF(DATOS!BF$5="Sí",(1/DATOS_[[% anualiz]:[% anualiz]]),1)*IF(DATOS!BF$4="Sí",1/DATOS_[[% normaliz]:[% normaliz]],1)*(DATOS_[Conc.Sal.28]))))))),
0)</f>
        <v>0</v>
      </c>
      <c r="AL10" s="108">
        <f t="array" ref="AL10">IFERROR(
(AVERAGE((IF(DATOS_[[Sexo]:[Sexo]]=$B10,IF(DATOS_[[Check Periodo Ref.]:[Check Periodo Ref.]]="Dentro",IF(DATOS_[[Check Equiparado]:[Check Equiparado]]="Sí",IF(DATOS!BG$5="Sí",(1/DATOS_[[% anualiz]:[% anualiz]]),1)*IF(DATOS!BG$4="Sí",1/DATOS_[[% normaliz]:[% normaliz]],1)*(DATOS_[Conc.Sal.29]))))))),
0)</f>
        <v>0</v>
      </c>
      <c r="AM10" s="108">
        <f t="array" ref="AM10">IFERROR(
(AVERAGE((IF(DATOS_[[Sexo]:[Sexo]]=$B10,IF(DATOS_[[Check Periodo Ref.]:[Check Periodo Ref.]]="Dentro",IF(DATOS_[[Check Equiparado]:[Check Equiparado]]="Sí",IF(DATOS!BH$5="Sí",(1/DATOS_[[% anualiz]:[% anualiz]]),1)*IF(DATOS!BH$4="Sí",1/DATOS_[[% normaliz]:[% normaliz]],1)*(DATOS_[Conc.Sal.30]))))))),
0)</f>
        <v>0</v>
      </c>
      <c r="AN10" s="102">
        <f t="array" ref="AN10">IFERROR(
AVERAGE(IF(DATOS_[Sexo]=$B10,IF(DATOS_[Check Equiparado]="Sí",IF(DATOS_[Check Periodo Ref.]="Dentro",DATOS_[Tot COMPL.SAL Eq],FALSE)))),
0)</f>
        <v>6422.0204643606457</v>
      </c>
      <c r="AO10" s="103">
        <f t="array" ref="AO10">IFERROR(
AVERAGE(IF(DATOS_[Sexo]=$B10,IF(DATOS_[Check Equiparado]="Sí",IF(DATOS_[Check Periodo Ref.]="Dentro",DATOS_[TOTAL SALARIO Eq],FALSE)))),
0)</f>
        <v>19587.464551736961</v>
      </c>
      <c r="AP10" s="107">
        <f t="array" ref="AP10">IFERROR(
(AVERAGE((IF(DATOS_[[Sexo]:[Sexo]]=$B10,IF(DATOS_[[Check Periodo Ref.]:[Check Periodo Ref.]]="Dentro",IF(DATOS_[[Check Equiparado]:[Check Equiparado]]="Sí",IF(DATOS!BI$5="Sí",(1/DATOS_[[% anualiz]:[% anualiz]]),1)*IF(DATOS!BI$4="Sí",1/DATOS_[[% normaliz]:[% normaliz]],1)*(DATOS_[C.Extra.01]))))))),
0)</f>
        <v>63.529411764705884</v>
      </c>
      <c r="AQ10" s="107">
        <f t="array" ref="AQ10">IFERROR(
(AVERAGE((IF(DATOS_[[Sexo]:[Sexo]]=$B10,IF(DATOS_[[Check Periodo Ref.]:[Check Periodo Ref.]]="Dentro",IF(DATOS_[[Check Equiparado]:[Check Equiparado]]="Sí",IF(DATOS!BJ$5="Sí",(1/DATOS_[[% anualiz]:[% anualiz]]),1)*IF(DATOS!BJ$4="Sí",1/DATOS_[[% normaliz]:[% normaliz]],1)*(DATOS_[C.Extra.02]))))))),
0)</f>
        <v>0</v>
      </c>
      <c r="AR10" s="107">
        <f t="array" ref="AR10">IFERROR(
(AVERAGE((IF(DATOS_[[Sexo]:[Sexo]]=$B10,IF(DATOS_[[Check Periodo Ref.]:[Check Periodo Ref.]]="Dentro",IF(DATOS_[[Check Equiparado]:[Check Equiparado]]="Sí",IF(DATOS!BK$5="Sí",(1/DATOS_[[% anualiz]:[% anualiz]]),1)*IF(DATOS!BK$4="Sí",1/DATOS_[[% normaliz]:[% normaliz]],1)*(DATOS_[C.Extra.03]))))))),
0)</f>
        <v>52.941176470588232</v>
      </c>
      <c r="AS10" s="107">
        <f t="array" ref="AS10">IFERROR(
(AVERAGE((IF(DATOS_[[Sexo]:[Sexo]]=$B10,IF(DATOS_[[Check Periodo Ref.]:[Check Periodo Ref.]]="Dentro",IF(DATOS_[[Check Equiparado]:[Check Equiparado]]="Sí",IF(DATOS!BL$5="Sí",(1/DATOS_[[% anualiz]:[% anualiz]]),1)*IF(DATOS!BL$4="Sí",1/DATOS_[[% normaliz]:[% normaliz]],1)*(DATOS_[C.Extra.04]))))))),
0)</f>
        <v>46.754901960784316</v>
      </c>
      <c r="AT10" s="107">
        <f t="array" ref="AT10">IFERROR(
(AVERAGE((IF(DATOS_[[Sexo]:[Sexo]]=$B10,IF(DATOS_[[Check Periodo Ref.]:[Check Periodo Ref.]]="Dentro",IF(DATOS_[[Check Equiparado]:[Check Equiparado]]="Sí",IF(DATOS!BM$5="Sí",(1/DATOS_[[% anualiz]:[% anualiz]]),1)*IF(DATOS!BM$4="Sí",1/DATOS_[[% normaliz]:[% normaliz]],1)*(DATOS_[C.Extra.05]))))))),
0)</f>
        <v>0</v>
      </c>
      <c r="AU10" s="105">
        <f t="array" ref="AU10">IFERROR(
AVERAGE(IF(DATOS_[Sexo]=$B10,IF(DATOS_[Check Equiparado]="Sí",IF(DATOS_[Check Periodo Ref.]="Dentro",DATOS_[Tot Extrasalarial Eq],FALSE)))),
0)</f>
        <v>163.22549019607843</v>
      </c>
      <c r="AV10" s="106">
        <f t="array" ref="AV10">IFERROR(
AVERAGE(IF(DATOS_[Sexo]=$B10,IF(DATOS_[Check Equiparado]="Sí",IF(DATOS_[Check Periodo Ref.]="Dentro",DATOS_[TOTAL Retrib Eq],FALSE)))),
0)</f>
        <v>19750.690041933038</v>
      </c>
      <c r="AW10" s="344"/>
      <c r="AX10" s="309"/>
      <c r="AY10" s="309"/>
    </row>
    <row r="11" spans="1:51" x14ac:dyDescent="0.3">
      <c r="B11" s="57" t="s">
        <v>163</v>
      </c>
      <c r="C11" s="56">
        <f t="array" ref="C11">SUM(IF($B11=DATOS_[Sexo],
IF("Dentro"=DATOS_[Check Periodo Ref.],
1/(COUNTIFS(DATOS_[Sexo],$B11,DATOS_[Check Periodo Ref.],"Dentro",DATOS_[id],DATOS_[id])))))</f>
        <v>106</v>
      </c>
      <c r="D11" s="58">
        <f>COUNTIFS(DATOS_[AGRUP. VALOR. PTO.],"&lt;&gt;",DATOS_[Sexo],$B11,DATOS_[Check Periodo Ref.],"Dentro")</f>
        <v>115</v>
      </c>
      <c r="E11" s="58">
        <f>COUNTIFS(DATOS_[AGRUP. VALOR. PTO.],"&lt;&gt;",DATOS_[Sexo],$B11,DATOS_[Check Periodo Ref.],"Dentro",DATOS_[Check Nº SC Norm],"Sí")</f>
        <v>26</v>
      </c>
      <c r="F11" s="58">
        <f>COUNTIFS(DATOS_[AGRUP. VALOR. PTO.],"&lt;&gt;",DATOS_[Sexo],$B11,DATOS_[Check Periodo Ref.],"Dentro",DATOS_[Check Nº SC Anualiz],"Sí")</f>
        <v>11</v>
      </c>
      <c r="G11" s="58">
        <f>COUNTIFS(DATOS_[AGRUP. VALOR. PTO.],"&lt;&gt;",DATOS_[Sexo],$B11,DATOS_[Check Periodo Ref.],"Dentro",DATOS_[Check Nº SC Norm y Anualiz],"Sí")</f>
        <v>1</v>
      </c>
      <c r="H11" s="58">
        <f>COUNTIFS(DATOS_[AGRUP. VALOR. PTO.],"&lt;&gt;",DATOS_[Sexo],$B11,DATOS_[Check Periodo Ref.],"Dentro",DATOS_[Check Equiparación],"Sí")</f>
        <v>38</v>
      </c>
      <c r="I11" s="100">
        <f t="array" ref="I11">IFERROR(
AVERAGE(IF(DATOS_[Sexo]=$B11,IF(DATOS_[Check Equiparado]="Sí",IF(DATOS_[Check Periodo Ref.]="Dentro",DATOS_[SALARIO BASE Eq],FALSE)))),
0)</f>
        <v>12765.224265205343</v>
      </c>
      <c r="J11" s="108">
        <f t="array" ref="J11">IFERROR(
(AVERAGE((IF(DATOS_[[Sexo]:[Sexo]]=$B11,IF(DATOS_[[Check Periodo Ref.]:[Check Periodo Ref.]]="Dentro",IF(DATOS_[[Check Equiparado]:[Check Equiparado]]="Sí",IF(DATOS!AE$5="Sí",(1/DATOS_[[% anualiz]:[% anualiz]]),1)*IF(DATOS!AE$4="Sí",1/DATOS_[[% normaliz]:[% normaliz]],1)*(DATOS_[Conc.Sal.01]))))))),
0)</f>
        <v>1568.1513596655034</v>
      </c>
      <c r="K11" s="108">
        <f t="array" ref="K11">IFERROR(
(AVERAGE((IF(DATOS_[[Sexo]:[Sexo]]=$B11,IF(DATOS_[[Check Periodo Ref.]:[Check Periodo Ref.]]="Dentro",IF(DATOS_[[Check Equiparado]:[Check Equiparado]]="Sí",IF(DATOS!AF$5="Sí",(1/DATOS_[[% anualiz]:[% anualiz]]),1)*IF(DATOS!AF$4="Sí",1/DATOS_[[% normaliz]:[% normaliz]],1)*(DATOS_[Conc.Sal.02]))))))),
0)</f>
        <v>894.67969247826181</v>
      </c>
      <c r="L11" s="108">
        <f t="array" ref="L11">IFERROR(
(AVERAGE((IF(DATOS_[[Sexo]:[Sexo]]=$B11,IF(DATOS_[[Check Periodo Ref.]:[Check Periodo Ref.]]="Dentro",IF(DATOS_[[Check Equiparado]:[Check Equiparado]]="Sí",IF(DATOS!AG$5="Sí",(1/DATOS_[[% anualiz]:[% anualiz]]),1)*IF(DATOS!AG$4="Sí",1/DATOS_[[% normaliz]:[% normaliz]],1)*(DATOS_[Conc.Sal.03]))))))),
0)</f>
        <v>513.7861423280508</v>
      </c>
      <c r="M11" s="108">
        <f t="array" ref="M11">IFERROR(
(AVERAGE((IF(DATOS_[[Sexo]:[Sexo]]=$B11,IF(DATOS_[[Check Periodo Ref.]:[Check Periodo Ref.]]="Dentro",IF(DATOS_[[Check Equiparado]:[Check Equiparado]]="Sí",IF(DATOS!AH$5="Sí",(1/DATOS_[[% anualiz]:[% anualiz]]),1)*IF(DATOS!AH$4="Sí",1/DATOS_[[% normaliz]:[% normaliz]],1)*(DATOS_[Conc.Sal.04]))))))),
0)</f>
        <v>122.64150943396227</v>
      </c>
      <c r="N11" s="108">
        <f t="array" ref="N11">IFERROR(
(AVERAGE((IF(DATOS_[[Sexo]:[Sexo]]=$B11,IF(DATOS_[[Check Periodo Ref.]:[Check Periodo Ref.]]="Dentro",IF(DATOS_[[Check Equiparado]:[Check Equiparado]]="Sí",IF(DATOS!AI$5="Sí",(1/DATOS_[[% anualiz]:[% anualiz]]),1)*IF(DATOS!AI$4="Sí",1/DATOS_[[% normaliz]:[% normaliz]],1)*(DATOS_[Conc.Sal.05]))))))),
0)</f>
        <v>103.77358490566037</v>
      </c>
      <c r="O11" s="108">
        <f t="array" ref="O11">IFERROR(
(AVERAGE((IF(DATOS_[[Sexo]:[Sexo]]=$B11,IF(DATOS_[[Check Periodo Ref.]:[Check Periodo Ref.]]="Dentro",IF(DATOS_[[Check Equiparado]:[Check Equiparado]]="Sí",IF(DATOS!AJ$5="Sí",(1/DATOS_[[% anualiz]:[% anualiz]]),1)*IF(DATOS!AJ$4="Sí",1/DATOS_[[% normaliz]:[% normaliz]],1)*(DATOS_[Conc.Sal.06]))))))),
0)</f>
        <v>84.905660377358487</v>
      </c>
      <c r="P11" s="108">
        <f t="array" ref="P11">IFERROR(
(AVERAGE((IF(DATOS_[[Sexo]:[Sexo]]=$B11,IF(DATOS_[[Check Periodo Ref.]:[Check Periodo Ref.]]="Dentro",IF(DATOS_[[Check Equiparado]:[Check Equiparado]]="Sí",IF(DATOS!AK$5="Sí",(1/DATOS_[[% anualiz]:[% anualiz]]),1)*IF(DATOS!AK$4="Sí",1/DATOS_[[% normaliz]:[% normaliz]],1)*(DATOS_[Conc.Sal.07]))))))),
0)</f>
        <v>82.64150943396227</v>
      </c>
      <c r="Q11" s="108">
        <f t="array" ref="Q11">IFERROR(
(AVERAGE((IF(DATOS_[[Sexo]:[Sexo]]=$B11,IF(DATOS_[[Check Periodo Ref.]:[Check Periodo Ref.]]="Dentro",IF(DATOS_[[Check Equiparado]:[Check Equiparado]]="Sí",IF(DATOS!AL$5="Sí",(1/DATOS_[[% anualiz]:[% anualiz]]),1)*IF(DATOS!AL$4="Sí",1/DATOS_[[% normaliz]:[% normaliz]],1)*(DATOS_[Conc.Sal.08]))))))),
0)</f>
        <v>0</v>
      </c>
      <c r="R11" s="108">
        <f t="array" ref="R11">IFERROR(
(AVERAGE((IF(DATOS_[[Sexo]:[Sexo]]=$B11,IF(DATOS_[[Check Periodo Ref.]:[Check Periodo Ref.]]="Dentro",IF(DATOS_[[Check Equiparado]:[Check Equiparado]]="Sí",IF(DATOS!AM$5="Sí",(1/DATOS_[[% anualiz]:[% anualiz]]),1)*IF(DATOS!AM$4="Sí",1/DATOS_[[% normaliz]:[% normaliz]],1)*(DATOS_[Conc.Sal.09]))))))),
0)</f>
        <v>0</v>
      </c>
      <c r="S11" s="108">
        <f t="array" ref="S11">IFERROR(
(AVERAGE((IF(DATOS_[[Sexo]:[Sexo]]=$B11,IF(DATOS_[[Check Periodo Ref.]:[Check Periodo Ref.]]="Dentro",IF(DATOS_[[Check Equiparado]:[Check Equiparado]]="Sí",IF(DATOS!AN$5="Sí",(1/DATOS_[[% anualiz]:[% anualiz]]),1)*IF(DATOS!AN$4="Sí",1/DATOS_[[% normaliz]:[% normaliz]],1)*(DATOS_[Conc.Sal.10]))))))),
0)</f>
        <v>0</v>
      </c>
      <c r="T11" s="108">
        <f t="array" ref="T11">IFERROR(
(AVERAGE((IF(DATOS_[[Sexo]:[Sexo]]=$B11,IF(DATOS_[[Check Periodo Ref.]:[Check Periodo Ref.]]="Dentro",IF(DATOS_[[Check Equiparado]:[Check Equiparado]]="Sí",IF(DATOS!AO$5="Sí",(1/DATOS_[[% anualiz]:[% anualiz]]),1)*IF(DATOS!AO$4="Sí",1/DATOS_[[% normaliz]:[% normaliz]],1)*(DATOS_[Conc.Sal.11]))))))),
0)</f>
        <v>0</v>
      </c>
      <c r="U11" s="108">
        <f t="array" ref="U11">IFERROR(
(AVERAGE((IF(DATOS_[[Sexo]:[Sexo]]=$B11,IF(DATOS_[[Check Periodo Ref.]:[Check Periodo Ref.]]="Dentro",IF(DATOS_[[Check Equiparado]:[Check Equiparado]]="Sí",IF(DATOS!AP$5="Sí",(1/DATOS_[[% anualiz]:[% anualiz]]),1)*IF(DATOS!AP$4="Sí",1/DATOS_[[% normaliz]:[% normaliz]],1)*(DATOS_[Conc.Sal.12]))))))),
0)</f>
        <v>0</v>
      </c>
      <c r="V11" s="108">
        <f t="array" ref="V11">IFERROR(
(AVERAGE((IF(DATOS_[[Sexo]:[Sexo]]=$B11,IF(DATOS_[[Check Periodo Ref.]:[Check Periodo Ref.]]="Dentro",IF(DATOS_[[Check Equiparado]:[Check Equiparado]]="Sí",IF(DATOS!AQ$5="Sí",(1/DATOS_[[% anualiz]:[% anualiz]]),1)*IF(DATOS!AQ$4="Sí",1/DATOS_[[% normaliz]:[% normaliz]],1)*(DATOS_[Conc.Sal.13]))))))),
0)</f>
        <v>0</v>
      </c>
      <c r="W11" s="108">
        <f t="array" ref="W11">IFERROR(
(AVERAGE((IF(DATOS_[[Sexo]:[Sexo]]=$B11,IF(DATOS_[[Check Periodo Ref.]:[Check Periodo Ref.]]="Dentro",IF(DATOS_[[Check Equiparado]:[Check Equiparado]]="Sí",IF(DATOS!AR$5="Sí",(1/DATOS_[[% anualiz]:[% anualiz]]),1)*IF(DATOS!AR$4="Sí",1/DATOS_[[% normaliz]:[% normaliz]],1)*(DATOS_[Conc.Sal.14]))))))),
0)</f>
        <v>0</v>
      </c>
      <c r="X11" s="108">
        <f t="array" ref="X11">IFERROR(
(AVERAGE((IF(DATOS_[[Sexo]:[Sexo]]=$B11,IF(DATOS_[[Check Periodo Ref.]:[Check Periodo Ref.]]="Dentro",IF(DATOS_[[Check Equiparado]:[Check Equiparado]]="Sí",IF(DATOS!AS$5="Sí",(1/DATOS_[[% anualiz]:[% anualiz]]),1)*IF(DATOS!AS$4="Sí",1/DATOS_[[% normaliz]:[% normaliz]],1)*(DATOS_[Conc.Sal.15]))))))),
0)</f>
        <v>0</v>
      </c>
      <c r="Y11" s="108">
        <f t="array" ref="Y11">IFERROR(
(AVERAGE((IF(DATOS_[[Sexo]:[Sexo]]=$B11,IF(DATOS_[[Check Periodo Ref.]:[Check Periodo Ref.]]="Dentro",IF(DATOS_[[Check Equiparado]:[Check Equiparado]]="Sí",IF(DATOS!AT$5="Sí",(1/DATOS_[[% anualiz]:[% anualiz]]),1)*IF(DATOS!AT$4="Sí",1/DATOS_[[% normaliz]:[% normaliz]],1)*(DATOS_[Conc.Sal.16]))))))),
0)</f>
        <v>0</v>
      </c>
      <c r="Z11" s="108">
        <f t="array" ref="Z11">IFERROR(
(AVERAGE((IF(DATOS_[[Sexo]:[Sexo]]=$B11,IF(DATOS_[[Check Periodo Ref.]:[Check Periodo Ref.]]="Dentro",IF(DATOS_[[Check Equiparado]:[Check Equiparado]]="Sí",IF(DATOS!AU$5="Sí",(1/DATOS_[[% anualiz]:[% anualiz]]),1)*IF(DATOS!AU$4="Sí",1/DATOS_[[% normaliz]:[% normaliz]],1)*(DATOS_[Conc.Sal.17]))))))),
0)</f>
        <v>0</v>
      </c>
      <c r="AA11" s="108">
        <f t="array" ref="AA11">IFERROR(
(AVERAGE((IF(DATOS_[[Sexo]:[Sexo]]=$B11,IF(DATOS_[[Check Periodo Ref.]:[Check Periodo Ref.]]="Dentro",IF(DATOS_[[Check Equiparado]:[Check Equiparado]]="Sí",IF(DATOS!AV$5="Sí",(1/DATOS_[[% anualiz]:[% anualiz]]),1)*IF(DATOS!AV$4="Sí",1/DATOS_[[% normaliz]:[% normaliz]],1)*(DATOS_[Conc.Sal.18]))))))),
0)</f>
        <v>0</v>
      </c>
      <c r="AB11" s="108">
        <f t="array" ref="AB11">IFERROR(
(AVERAGE((IF(DATOS_[[Sexo]:[Sexo]]=$B11,IF(DATOS_[[Check Periodo Ref.]:[Check Periodo Ref.]]="Dentro",IF(DATOS_[[Check Equiparado]:[Check Equiparado]]="Sí",IF(DATOS!AW$5="Sí",(1/DATOS_[[% anualiz]:[% anualiz]]),1)*IF(DATOS!AW$4="Sí",1/DATOS_[[% normaliz]:[% normaliz]],1)*(DATOS_[Conc.Sal.19]))))))),
0)</f>
        <v>0</v>
      </c>
      <c r="AC11" s="108">
        <f t="array" ref="AC11">IFERROR(
(AVERAGE((IF(DATOS_[[Sexo]:[Sexo]]=$B11,IF(DATOS_[[Check Periodo Ref.]:[Check Periodo Ref.]]="Dentro",IF(DATOS_[[Check Equiparado]:[Check Equiparado]]="Sí",IF(DATOS!AX$5="Sí",(1/DATOS_[[% anualiz]:[% anualiz]]),1)*IF(DATOS!AX$4="Sí",1/DATOS_[[% normaliz]:[% normaliz]],1)*(DATOS_[Conc.Sal.20]))))))),
0)</f>
        <v>0</v>
      </c>
      <c r="AD11" s="108">
        <f t="array" ref="AD11">IFERROR(
(AVERAGE((IF(DATOS_[[Sexo]:[Sexo]]=$B11,IF(DATOS_[[Check Periodo Ref.]:[Check Periodo Ref.]]="Dentro",IF(DATOS_[[Check Equiparado]:[Check Equiparado]]="Sí",IF(DATOS!AY$5="Sí",(1/DATOS_[[% anualiz]:[% anualiz]]),1)*IF(DATOS!AY$4="Sí",1/DATOS_[[% normaliz]:[% normaliz]],1)*(DATOS_[Conc.Sal.21]))))))),
0)</f>
        <v>0</v>
      </c>
      <c r="AE11" s="108">
        <f t="array" ref="AE11">IFERROR(
(AVERAGE((IF(DATOS_[[Sexo]:[Sexo]]=$B11,IF(DATOS_[[Check Periodo Ref.]:[Check Periodo Ref.]]="Dentro",IF(DATOS_[[Check Equiparado]:[Check Equiparado]]="Sí",IF(DATOS!AZ$5="Sí",(1/DATOS_[[% anualiz]:[% anualiz]]),1)*IF(DATOS!AZ$4="Sí",1/DATOS_[[% normaliz]:[% normaliz]],1)*(DATOS_[Conc.Sal.22]))))))),
0)</f>
        <v>0</v>
      </c>
      <c r="AF11" s="108">
        <f t="array" ref="AF11">IFERROR(
(AVERAGE((IF(DATOS_[[Sexo]:[Sexo]]=$B11,IF(DATOS_[[Check Periodo Ref.]:[Check Periodo Ref.]]="Dentro",IF(DATOS_[[Check Equiparado]:[Check Equiparado]]="Sí",IF(DATOS!BA$5="Sí",(1/DATOS_[[% anualiz]:[% anualiz]]),1)*IF(DATOS!BA$4="Sí",1/DATOS_[[% normaliz]:[% normaliz]],1)*(DATOS_[Conc.Sal.23]))))))),
0)</f>
        <v>0</v>
      </c>
      <c r="AG11" s="108">
        <f t="array" ref="AG11">IFERROR(
(AVERAGE((IF(DATOS_[[Sexo]:[Sexo]]=$B11,IF(DATOS_[[Check Periodo Ref.]:[Check Periodo Ref.]]="Dentro",IF(DATOS_[[Check Equiparado]:[Check Equiparado]]="Sí",IF(DATOS!BB$5="Sí",(1/DATOS_[[% anualiz]:[% anualiz]]),1)*IF(DATOS!BB$4="Sí",1/DATOS_[[% normaliz]:[% normaliz]],1)*(DATOS_[Conc.Sal.24]))))))),
0)</f>
        <v>0</v>
      </c>
      <c r="AH11" s="108">
        <f t="array" ref="AH11">IFERROR(
(AVERAGE((IF(DATOS_[[Sexo]:[Sexo]]=$B11,IF(DATOS_[[Check Periodo Ref.]:[Check Periodo Ref.]]="Dentro",IF(DATOS_[[Check Equiparado]:[Check Equiparado]]="Sí",IF(DATOS!BC$5="Sí",(1/DATOS_[[% anualiz]:[% anualiz]]),1)*IF(DATOS!BC$4="Sí",1/DATOS_[[% normaliz]:[% normaliz]],1)*(DATOS_[Conc.Sal.25]))))))),
0)</f>
        <v>0</v>
      </c>
      <c r="AI11" s="108">
        <f t="array" ref="AI11">IFERROR(
(AVERAGE((IF(DATOS_[[Sexo]:[Sexo]]=$B11,IF(DATOS_[[Check Periodo Ref.]:[Check Periodo Ref.]]="Dentro",IF(DATOS_[[Check Equiparado]:[Check Equiparado]]="Sí",IF(DATOS!BD$5="Sí",(1/DATOS_[[% anualiz]:[% anualiz]]),1)*IF(DATOS!BD$4="Sí",1/DATOS_[[% normaliz]:[% normaliz]],1)*(DATOS_[Conc.Sal.26]))))))),
0)</f>
        <v>0</v>
      </c>
      <c r="AJ11" s="108">
        <f t="array" ref="AJ11">IFERROR(
(AVERAGE((IF(DATOS_[[Sexo]:[Sexo]]=$B11,IF(DATOS_[[Check Periodo Ref.]:[Check Periodo Ref.]]="Dentro",IF(DATOS_[[Check Equiparado]:[Check Equiparado]]="Sí",IF(DATOS!BE$5="Sí",(1/DATOS_[[% anualiz]:[% anualiz]]),1)*IF(DATOS!BE$4="Sí",1/DATOS_[[% normaliz]:[% normaliz]],1)*(DATOS_[Conc.Sal.27]))))))),
0)</f>
        <v>0</v>
      </c>
      <c r="AK11" s="108">
        <f t="array" ref="AK11">IFERROR(
(AVERAGE((IF(DATOS_[[Sexo]:[Sexo]]=$B11,IF(DATOS_[[Check Periodo Ref.]:[Check Periodo Ref.]]="Dentro",IF(DATOS_[[Check Equiparado]:[Check Equiparado]]="Sí",IF(DATOS!BF$5="Sí",(1/DATOS_[[% anualiz]:[% anualiz]]),1)*IF(DATOS!BF$4="Sí",1/DATOS_[[% normaliz]:[% normaliz]],1)*(DATOS_[Conc.Sal.28]))))))),
0)</f>
        <v>0</v>
      </c>
      <c r="AL11" s="108">
        <f t="array" ref="AL11">IFERROR(
(AVERAGE((IF(DATOS_[[Sexo]:[Sexo]]=$B11,IF(DATOS_[[Check Periodo Ref.]:[Check Periodo Ref.]]="Dentro",IF(DATOS_[[Check Equiparado]:[Check Equiparado]]="Sí",IF(DATOS!BG$5="Sí",(1/DATOS_[[% anualiz]:[% anualiz]]),1)*IF(DATOS!BG$4="Sí",1/DATOS_[[% normaliz]:[% normaliz]],1)*(DATOS_[Conc.Sal.29]))))))),
0)</f>
        <v>0</v>
      </c>
      <c r="AM11" s="108">
        <f t="array" ref="AM11">IFERROR(
(AVERAGE((IF(DATOS_[[Sexo]:[Sexo]]=$B11,IF(DATOS_[[Check Periodo Ref.]:[Check Periodo Ref.]]="Dentro",IF(DATOS_[[Check Equiparado]:[Check Equiparado]]="Sí",IF(DATOS!BH$5="Sí",(1/DATOS_[[% anualiz]:[% anualiz]]),1)*IF(DATOS!BH$4="Sí",1/DATOS_[[% normaliz]:[% normaliz]],1)*(DATOS_[Conc.Sal.30]))))))),
0)</f>
        <v>0</v>
      </c>
      <c r="AN11" s="102">
        <f t="array" ref="AN11">IFERROR(
AVERAGE(IF(DATOS_[Sexo]=$B11,IF(DATOS_[Check Equiparado]="Sí",IF(DATOS_[Check Periodo Ref.]="Dentro",DATOS_[Tot COMPL.SAL Eq],FALSE)))),
0)</f>
        <v>3370.5794586227598</v>
      </c>
      <c r="AO11" s="103">
        <f t="array" ref="AO11">IFERROR(
AVERAGE(IF(DATOS_[Sexo]=$B11,IF(DATOS_[Check Equiparado]="Sí",IF(DATOS_[Check Periodo Ref.]="Dentro",DATOS_[TOTAL SALARIO Eq],FALSE)))),
0)</f>
        <v>16135.803723828107</v>
      </c>
      <c r="AP11" s="107">
        <f t="array" ref="AP11">IFERROR(
(AVERAGE((IF(DATOS_[[Sexo]:[Sexo]]=$B11,IF(DATOS_[[Check Periodo Ref.]:[Check Periodo Ref.]]="Dentro",IF(DATOS_[[Check Equiparado]:[Check Equiparado]]="Sí",IF(DATOS!BI$5="Sí",(1/DATOS_[[% anualiz]:[% anualiz]]),1)*IF(DATOS!BI$4="Sí",1/DATOS_[[% normaliz]:[% normaliz]],1)*(DATOS_[C.Extra.01]))))))),
0)</f>
        <v>2.2641509433962264</v>
      </c>
      <c r="AQ11" s="107">
        <f t="array" ref="AQ11">IFERROR(
(AVERAGE((IF(DATOS_[[Sexo]:[Sexo]]=$B11,IF(DATOS_[[Check Periodo Ref.]:[Check Periodo Ref.]]="Dentro",IF(DATOS_[[Check Equiparado]:[Check Equiparado]]="Sí",IF(DATOS!BJ$5="Sí",(1/DATOS_[[% anualiz]:[% anualiz]]),1)*IF(DATOS!BJ$4="Sí",1/DATOS_[[% normaliz]:[% normaliz]],1)*(DATOS_[C.Extra.02]))))))),
0)</f>
        <v>0</v>
      </c>
      <c r="AR11" s="107">
        <f t="array" ref="AR11">IFERROR(
(AVERAGE((IF(DATOS_[[Sexo]:[Sexo]]=$B11,IF(DATOS_[[Check Periodo Ref.]:[Check Periodo Ref.]]="Dentro",IF(DATOS_[[Check Equiparado]:[Check Equiparado]]="Sí",IF(DATOS!BK$5="Sí",(1/DATOS_[[% anualiz]:[% anualiz]]),1)*IF(DATOS!BK$4="Sí",1/DATOS_[[% normaliz]:[% normaliz]],1)*(DATOS_[C.Extra.03]))))))),
0)</f>
        <v>67.924528301886795</v>
      </c>
      <c r="AS11" s="107">
        <f t="array" ref="AS11">IFERROR(
(AVERAGE((IF(DATOS_[[Sexo]:[Sexo]]=$B11,IF(DATOS_[[Check Periodo Ref.]:[Check Periodo Ref.]]="Dentro",IF(DATOS_[[Check Equiparado]:[Check Equiparado]]="Sí",IF(DATOS!BL$5="Sí",(1/DATOS_[[% anualiz]:[% anualiz]]),1)*IF(DATOS!BL$4="Sí",1/DATOS_[[% normaliz]:[% normaliz]],1)*(DATOS_[C.Extra.04]))))))),
0)</f>
        <v>0</v>
      </c>
      <c r="AT11" s="107">
        <f t="array" ref="AT11">IFERROR(
(AVERAGE((IF(DATOS_[[Sexo]:[Sexo]]=$B11,IF(DATOS_[[Check Periodo Ref.]:[Check Periodo Ref.]]="Dentro",IF(DATOS_[[Check Equiparado]:[Check Equiparado]]="Sí",IF(DATOS!BM$5="Sí",(1/DATOS_[[% anualiz]:[% anualiz]]),1)*IF(DATOS!BM$4="Sí",1/DATOS_[[% normaliz]:[% normaliz]],1)*(DATOS_[C.Extra.05]))))))),
0)</f>
        <v>0</v>
      </c>
      <c r="AU11" s="105">
        <f t="array" ref="AU11">IFERROR(
AVERAGE(IF(DATOS_[Sexo]=$B11,IF(DATOS_[Check Equiparado]="Sí",IF(DATOS_[Check Periodo Ref.]="Dentro",DATOS_[Tot Extrasalarial Eq],FALSE)))),
0)</f>
        <v>70.188679245283012</v>
      </c>
      <c r="AV11" s="106">
        <f t="array" ref="AV11">IFERROR(
AVERAGE(IF(DATOS_[Sexo]=$B11,IF(DATOS_[Check Equiparado]="Sí",IF(DATOS_[Check Periodo Ref.]="Dentro",DATOS_[TOTAL Retrib Eq],FALSE)))),
0)</f>
        <v>16205.992403073391</v>
      </c>
      <c r="AW11" s="344"/>
      <c r="AX11" s="309"/>
      <c r="AY11" s="309"/>
    </row>
    <row r="12" spans="1:51" x14ac:dyDescent="0.3">
      <c r="D12" s="59"/>
      <c r="E12" s="59"/>
      <c r="F12" s="59"/>
      <c r="G12" s="59"/>
      <c r="H12" s="59"/>
      <c r="N12" s="60"/>
      <c r="O12" s="61"/>
      <c r="P12" s="61"/>
      <c r="Q12" s="61"/>
      <c r="R12" s="61"/>
      <c r="S12" s="61"/>
      <c r="T12" s="61"/>
      <c r="U12" s="61"/>
      <c r="V12" s="61"/>
      <c r="W12" s="61"/>
      <c r="X12" s="61"/>
      <c r="Y12" s="61"/>
      <c r="Z12" s="60"/>
      <c r="AA12" s="60"/>
      <c r="AB12" s="60"/>
      <c r="AC12" s="60"/>
      <c r="AD12" s="60"/>
      <c r="AE12" s="60"/>
      <c r="AF12" s="60"/>
      <c r="AG12" s="60"/>
      <c r="AH12" s="60"/>
      <c r="AI12" s="60"/>
      <c r="AJ12" s="60"/>
      <c r="AK12" s="60"/>
      <c r="AL12" s="60"/>
      <c r="AM12" s="60"/>
      <c r="AP12" s="61"/>
      <c r="AQ12" s="61"/>
      <c r="AR12" s="61"/>
      <c r="AS12" s="61"/>
      <c r="AT12" s="61"/>
    </row>
    <row r="13" spans="1:51" x14ac:dyDescent="0.3">
      <c r="D13" s="59"/>
      <c r="E13" s="59"/>
      <c r="F13" s="59"/>
      <c r="G13" s="59"/>
      <c r="H13" s="59"/>
      <c r="N13" s="60"/>
      <c r="O13" s="61"/>
      <c r="P13" s="61"/>
      <c r="Q13" s="61"/>
      <c r="R13" s="61"/>
      <c r="S13" s="61"/>
      <c r="T13" s="61"/>
      <c r="U13" s="61"/>
      <c r="V13" s="61"/>
      <c r="W13" s="61"/>
      <c r="X13" s="61"/>
      <c r="Y13" s="61"/>
      <c r="Z13" s="60"/>
      <c r="AA13" s="60"/>
      <c r="AB13" s="60"/>
      <c r="AC13" s="60"/>
      <c r="AD13" s="60"/>
      <c r="AE13" s="60"/>
      <c r="AF13" s="60"/>
      <c r="AG13" s="60"/>
      <c r="AH13" s="60"/>
      <c r="AI13" s="60"/>
      <c r="AJ13" s="60"/>
      <c r="AK13" s="60"/>
      <c r="AL13" s="60"/>
      <c r="AM13" s="60"/>
      <c r="AP13" s="61"/>
      <c r="AQ13" s="61"/>
      <c r="AR13" s="61"/>
      <c r="AS13" s="61"/>
      <c r="AT13" s="61"/>
    </row>
    <row r="14" spans="1:51" s="56" customFormat="1" ht="46.15" customHeight="1" x14ac:dyDescent="0.25">
      <c r="B14" s="54"/>
      <c r="C14" s="54" t="s">
        <v>225</v>
      </c>
      <c r="D14" s="54" t="s">
        <v>220</v>
      </c>
      <c r="E14" s="54" t="s">
        <v>293</v>
      </c>
      <c r="F14" s="54" t="s">
        <v>291</v>
      </c>
      <c r="G14" s="54" t="s">
        <v>292</v>
      </c>
      <c r="H14" s="54" t="s">
        <v>224</v>
      </c>
      <c r="I14" s="144" t="s">
        <v>217</v>
      </c>
      <c r="J14" s="55" t="str">
        <f>+J8</f>
        <v>MejVol</v>
      </c>
      <c r="K14" s="55" t="str">
        <f t="shared" ref="K14:AM14" si="3">+K8</f>
        <v>Antig.</v>
      </c>
      <c r="L14" s="55" t="str">
        <f t="shared" si="3"/>
        <v>Transporte</v>
      </c>
      <c r="M14" s="55" t="str">
        <f t="shared" si="3"/>
        <v>Ventas</v>
      </c>
      <c r="N14" s="55" t="str">
        <f t="shared" si="3"/>
        <v>Bonus</v>
      </c>
      <c r="O14" s="55" t="str">
        <f t="shared" si="3"/>
        <v>Coche</v>
      </c>
      <c r="P14" s="55" t="str">
        <f t="shared" si="3"/>
        <v>Cesta</v>
      </c>
      <c r="Q14" s="55" t="str">
        <f t="shared" si="3"/>
        <v>Nocturnidad</v>
      </c>
      <c r="R14" s="55" t="str">
        <f t="shared" si="3"/>
        <v>[ocultar]</v>
      </c>
      <c r="S14" s="55" t="str">
        <f t="shared" si="3"/>
        <v>[ocultar]</v>
      </c>
      <c r="T14" s="55" t="str">
        <f t="shared" si="3"/>
        <v>[ocultar]</v>
      </c>
      <c r="U14" s="55" t="str">
        <f t="shared" si="3"/>
        <v>[ocultar]</v>
      </c>
      <c r="V14" s="55" t="str">
        <f t="shared" si="3"/>
        <v>[ocultar]</v>
      </c>
      <c r="W14" s="55" t="str">
        <f t="shared" si="3"/>
        <v>[ocultar]</v>
      </c>
      <c r="X14" s="55" t="str">
        <f t="shared" si="3"/>
        <v>[ocultar]</v>
      </c>
      <c r="Y14" s="55" t="str">
        <f t="shared" si="3"/>
        <v>[ocultar]</v>
      </c>
      <c r="Z14" s="55" t="str">
        <f t="shared" si="3"/>
        <v>[ocultar]</v>
      </c>
      <c r="AA14" s="55" t="str">
        <f t="shared" si="3"/>
        <v>[ocultar]</v>
      </c>
      <c r="AB14" s="55" t="str">
        <f t="shared" si="3"/>
        <v>[ocultar]</v>
      </c>
      <c r="AC14" s="55" t="str">
        <f t="shared" si="3"/>
        <v>[ocultar]</v>
      </c>
      <c r="AD14" s="55" t="str">
        <f t="shared" si="3"/>
        <v>[ocultar]</v>
      </c>
      <c r="AE14" s="55" t="str">
        <f t="shared" si="3"/>
        <v>[ocultar]</v>
      </c>
      <c r="AF14" s="55" t="str">
        <f t="shared" si="3"/>
        <v>[ocultar]</v>
      </c>
      <c r="AG14" s="55" t="str">
        <f t="shared" si="3"/>
        <v>[ocultar]</v>
      </c>
      <c r="AH14" s="55" t="str">
        <f t="shared" si="3"/>
        <v>[ocultar]</v>
      </c>
      <c r="AI14" s="55" t="str">
        <f t="shared" si="3"/>
        <v>[ocultar]</v>
      </c>
      <c r="AJ14" s="55" t="str">
        <f t="shared" si="3"/>
        <v>[ocultar]</v>
      </c>
      <c r="AK14" s="55" t="str">
        <f t="shared" si="3"/>
        <v>[ocultar]</v>
      </c>
      <c r="AL14" s="55" t="str">
        <f t="shared" si="3"/>
        <v>[ocultar]</v>
      </c>
      <c r="AM14" s="55" t="str">
        <f t="shared" si="3"/>
        <v>[ocultar]</v>
      </c>
      <c r="AN14" s="67" t="s">
        <v>218</v>
      </c>
      <c r="AO14" s="68" t="s">
        <v>211</v>
      </c>
      <c r="AP14" s="64" t="str">
        <f>+AP8</f>
        <v>Dietas</v>
      </c>
      <c r="AQ14" s="64" t="str">
        <f t="shared" ref="AQ14:AT14" si="4">+AQ8</f>
        <v>Indem</v>
      </c>
      <c r="AR14" s="64" t="str">
        <f t="shared" si="4"/>
        <v>ERTE</v>
      </c>
      <c r="AS14" s="64" t="str">
        <f t="shared" si="4"/>
        <v>IT</v>
      </c>
      <c r="AT14" s="64" t="str">
        <f t="shared" si="4"/>
        <v>[ocultar]</v>
      </c>
      <c r="AU14" s="65" t="s">
        <v>219</v>
      </c>
      <c r="AV14" s="66" t="s">
        <v>212</v>
      </c>
    </row>
    <row r="15" spans="1:51" ht="17.25" thickBot="1" x14ac:dyDescent="0.35">
      <c r="A15" s="53" t="str">
        <f>+A16</f>
        <v/>
      </c>
      <c r="B15" s="62" t="s">
        <v>308</v>
      </c>
      <c r="C15" s="99"/>
      <c r="D15" s="63"/>
      <c r="E15" s="63"/>
      <c r="F15" s="63"/>
      <c r="G15" s="63"/>
      <c r="H15" s="63"/>
      <c r="I15" s="129">
        <f t="shared" ref="I15" si="5">IFERROR((I16-I17)/I16,"")</f>
        <v>6.2500000000000167E-2</v>
      </c>
      <c r="J15" s="130">
        <f>IFERROR((J16-J17)/J16,"")</f>
        <v>0.40031832373567383</v>
      </c>
      <c r="K15" s="131">
        <f t="shared" ref="K15:AV15" si="6">IFERROR((K16-K17)/K16,"")</f>
        <v>-0.34374999999999994</v>
      </c>
      <c r="L15" s="131" t="str">
        <f t="shared" si="6"/>
        <v/>
      </c>
      <c r="M15" s="131" t="str">
        <f t="shared" si="6"/>
        <v/>
      </c>
      <c r="N15" s="132">
        <f t="shared" si="6"/>
        <v>0.5089285714285714</v>
      </c>
      <c r="O15" s="133">
        <f t="shared" si="6"/>
        <v>0.35344827586206895</v>
      </c>
      <c r="P15" s="133">
        <f t="shared" si="6"/>
        <v>0</v>
      </c>
      <c r="Q15" s="133" t="str">
        <f t="shared" si="6"/>
        <v/>
      </c>
      <c r="R15" s="133" t="str">
        <f t="shared" si="6"/>
        <v/>
      </c>
      <c r="S15" s="133" t="str">
        <f t="shared" si="6"/>
        <v/>
      </c>
      <c r="T15" s="133" t="str">
        <f t="shared" si="6"/>
        <v/>
      </c>
      <c r="U15" s="133" t="str">
        <f t="shared" si="6"/>
        <v/>
      </c>
      <c r="V15" s="133" t="str">
        <f t="shared" si="6"/>
        <v/>
      </c>
      <c r="W15" s="133" t="str">
        <f t="shared" si="6"/>
        <v/>
      </c>
      <c r="X15" s="133" t="str">
        <f t="shared" si="6"/>
        <v/>
      </c>
      <c r="Y15" s="133" t="str">
        <f t="shared" si="6"/>
        <v/>
      </c>
      <c r="Z15" s="132" t="str">
        <f t="shared" si="6"/>
        <v/>
      </c>
      <c r="AA15" s="132" t="str">
        <f t="shared" si="6"/>
        <v/>
      </c>
      <c r="AB15" s="132" t="str">
        <f t="shared" si="6"/>
        <v/>
      </c>
      <c r="AC15" s="132" t="str">
        <f t="shared" si="6"/>
        <v/>
      </c>
      <c r="AD15" s="132" t="str">
        <f t="shared" si="6"/>
        <v/>
      </c>
      <c r="AE15" s="132" t="str">
        <f t="shared" si="6"/>
        <v/>
      </c>
      <c r="AF15" s="132" t="str">
        <f t="shared" si="6"/>
        <v/>
      </c>
      <c r="AG15" s="132" t="str">
        <f t="shared" si="6"/>
        <v/>
      </c>
      <c r="AH15" s="132" t="str">
        <f t="shared" si="6"/>
        <v/>
      </c>
      <c r="AI15" s="132" t="str">
        <f t="shared" si="6"/>
        <v/>
      </c>
      <c r="AJ15" s="132" t="str">
        <f t="shared" si="6"/>
        <v/>
      </c>
      <c r="AK15" s="132" t="str">
        <f t="shared" si="6"/>
        <v/>
      </c>
      <c r="AL15" s="132" t="str">
        <f t="shared" si="6"/>
        <v/>
      </c>
      <c r="AM15" s="132" t="str">
        <f t="shared" si="6"/>
        <v/>
      </c>
      <c r="AN15" s="134">
        <f t="shared" si="6"/>
        <v>0.38046163433196023</v>
      </c>
      <c r="AO15" s="138">
        <f t="shared" si="6"/>
        <v>0.27470569270636508</v>
      </c>
      <c r="AP15" s="135">
        <f t="shared" si="6"/>
        <v>1</v>
      </c>
      <c r="AQ15" s="135" t="str">
        <f t="shared" si="6"/>
        <v/>
      </c>
      <c r="AR15" s="135" t="str">
        <f t="shared" si="6"/>
        <v/>
      </c>
      <c r="AS15" s="135" t="str">
        <f t="shared" si="6"/>
        <v/>
      </c>
      <c r="AT15" s="135" t="str">
        <f t="shared" si="6"/>
        <v/>
      </c>
      <c r="AU15" s="136">
        <f t="shared" si="6"/>
        <v>1</v>
      </c>
      <c r="AV15" s="137">
        <f t="shared" si="6"/>
        <v>0.28998475287535991</v>
      </c>
    </row>
    <row r="16" spans="1:51" x14ac:dyDescent="0.3">
      <c r="A16" s="53" t="str">
        <f>+IF(C16+C17=0,"[ocultar]","")</f>
        <v/>
      </c>
      <c r="B16" s="57" t="s">
        <v>162</v>
      </c>
      <c r="C16" s="56">
        <f t="array" ref="C16">SUM(IF($B16=DATOS_[Sexo],
IF($B15=DATOS_[AGRUP. VALOR. PTO.],
IF("Dentro"=DATOS_[Check Periodo Ref.],
1/(COUNTIFS(DATOS_[Sexo],$B16,DATOS_[AGRUP. VALOR. PTO.],$B15,DATOS_[Check Periodo Ref.],"Dentro",DATOS_[id],DATOS_[id]))))))</f>
        <v>5</v>
      </c>
      <c r="D16" s="58">
        <f>COUNTIFS(DATOS_[AGRUP. VALOR. PTO.],$B15,DATOS_[Sexo],$B16,DATOS_[Check Periodo Ref.],"Dentro")</f>
        <v>5</v>
      </c>
      <c r="E16" s="58">
        <f>COUNTIFS(DATOS_[AGRUP. VALOR. PTO.],$B15,DATOS_[Sexo],$B16,DATOS_[Check Periodo Ref.],"Dentro",DATOS_[Check Nº SC Norm],"Sí")</f>
        <v>1</v>
      </c>
      <c r="F16" s="58">
        <f>COUNTIFS(DATOS_[AGRUP. VALOR. PTO.],$B15,DATOS_[Sexo],$B16,DATOS_[Check Periodo Ref.],"Dentro",DATOS_[Check Nº SC Anualiz],"Sí")</f>
        <v>0</v>
      </c>
      <c r="G16" s="58">
        <f>COUNTIFS(DATOS_[AGRUP. VALOR. PTO.],$B15,DATOS_[Sexo],$B16,DATOS_[Check Periodo Ref.],"Dentro",DATOS_[Check Nº SC Norm y Anualiz],"Sí")</f>
        <v>0</v>
      </c>
      <c r="H16" s="58">
        <f>COUNTIFS(DATOS_[AGRUP. VALOR. PTO.],$B15,DATOS_[Sexo],$B16,DATOS_[Check Periodo Ref.],"Dentro",DATOS_[Check Equiparación],"Sí")</f>
        <v>1</v>
      </c>
      <c r="I16" s="100">
        <f t="array" ref="I16">IFERROR(
AVERAGE(IF(DATOS_[Sexo]=$B16,IF(DATOS_[[AGRUP. VALOR. PTO.]:[AGRUP. VALOR. PTO.]]=$B15,IF(DATOS_[Check Equiparado]="Sí",IF(DATOS_[Check Periodo Ref.]="Dentro",DATOS_[SALARIO BASE Eq],FALSE))))),
0)</f>
        <v>18547.370000000003</v>
      </c>
      <c r="J16" s="101">
        <f t="array" ref="J16">IFERROR(
(AVERAGE((IF(DATOS_[[Sexo]:[Sexo]]=$B16,IF(DATOS_[[AGRUP. VALOR. PTO.]:[AGRUP. VALOR. PTO.]]=$B15,IF(DATOS_[[Check Periodo Ref.]:[Check Periodo Ref.]]="Dentro",IF(DATOS_[[Check Equiparado]:[Check Equiparado]]="Sí",IF(DATOS!AE$5="Sí",(1/DATOS_[[% anualiz]:[% anualiz]]),1)*IF(DATOS!AE$4="Sí",1/DATOS_[[% normaliz]:[% normaliz]],1)*(DATOS_[Conc.Sal.01])))))))),
0)</f>
        <v>26452.629999999997</v>
      </c>
      <c r="K16" s="101">
        <f t="array" ref="K16">IFERROR(
(AVERAGE((IF(DATOS_[[Sexo]:[Sexo]]=$B16,IF(DATOS_[[AGRUP. VALOR. PTO.]:[AGRUP. VALOR. PTO.]]=$B15,IF(DATOS_[[Check Periodo Ref.]:[Check Periodo Ref.]]="Dentro",IF(DATOS_[[Check Equiparado]:[Check Equiparado]]="Sí",IF(DATOS!AF$5="Sí",(1/DATOS_[[% anualiz]:[% anualiz]]),1)*IF(DATOS!AF$4="Sí",1/DATOS_[[% normaliz]:[% normaliz]],1)*(DATOS_[Conc.Sal.02])))))))),
0)</f>
        <v>1483.7896000000001</v>
      </c>
      <c r="L16" s="101">
        <f t="array" ref="L16">IFERROR(
(AVERAGE((IF(DATOS_[[Sexo]:[Sexo]]=$B16,IF(DATOS_[[AGRUP. VALOR. PTO.]:[AGRUP. VALOR. PTO.]]=$B15,IF(DATOS_[[Check Periodo Ref.]:[Check Periodo Ref.]]="Dentro",IF(DATOS_[[Check Equiparado]:[Check Equiparado]]="Sí",IF(DATOS!AG$5="Sí",(1/DATOS_[[% anualiz]:[% anualiz]]),1)*IF(DATOS!AG$4="Sí",1/DATOS_[[% normaliz]:[% normaliz]],1)*(DATOS_[Conc.Sal.03])))))))),
0)</f>
        <v>0</v>
      </c>
      <c r="M16" s="101">
        <f t="array" ref="M16">IFERROR(
(AVERAGE((IF(DATOS_[[Sexo]:[Sexo]]=$B16,IF(DATOS_[[AGRUP. VALOR. PTO.]:[AGRUP. VALOR. PTO.]]=$B15,IF(DATOS_[[Check Periodo Ref.]:[Check Periodo Ref.]]="Dentro",IF(DATOS_[[Check Equiparado]:[Check Equiparado]]="Sí",IF(DATOS!AH$5="Sí",(1/DATOS_[[% anualiz]:[% anualiz]]),1)*IF(DATOS!AH$4="Sí",1/DATOS_[[% normaliz]:[% normaliz]],1)*(DATOS_[Conc.Sal.04])))))))),
0)</f>
        <v>0</v>
      </c>
      <c r="N16" s="101">
        <f t="array" ref="N16">IFERROR(
(AVERAGE((IF(DATOS_[[Sexo]:[Sexo]]=$B16,IF(DATOS_[[AGRUP. VALOR. PTO.]:[AGRUP. VALOR. PTO.]]=$B15,IF(DATOS_[[Check Periodo Ref.]:[Check Periodo Ref.]]="Dentro",IF(DATOS_[[Check Equiparado]:[Check Equiparado]]="Sí",IF(DATOS!AI$5="Sí",(1/DATOS_[[% anualiz]:[% anualiz]]),1)*IF(DATOS!AI$4="Sí",1/DATOS_[[% normaliz]:[% normaliz]],1)*(DATOS_[Conc.Sal.05])))))))),
0)</f>
        <v>5600</v>
      </c>
      <c r="O16" s="101">
        <f t="array" ref="O16">IFERROR(
(AVERAGE((IF(DATOS_[[Sexo]:[Sexo]]=$B16,IF(DATOS_[[AGRUP. VALOR. PTO.]:[AGRUP. VALOR. PTO.]]=$B15,IF(DATOS_[[Check Periodo Ref.]:[Check Periodo Ref.]]="Dentro",IF(DATOS_[[Check Equiparado]:[Check Equiparado]]="Sí",IF(DATOS!AJ$5="Sí",(1/DATOS_[[% anualiz]:[% anualiz]]),1)*IF(DATOS!AJ$4="Sí",1/DATOS_[[% normaliz]:[% normaliz]],1)*(DATOS_[Conc.Sal.06])))))))),
0)</f>
        <v>3480</v>
      </c>
      <c r="P16" s="101">
        <f t="array" ref="P16">IFERROR(
(AVERAGE((IF(DATOS_[[Sexo]:[Sexo]]=$B16,IF(DATOS_[[AGRUP. VALOR. PTO.]:[AGRUP. VALOR. PTO.]]=$B15,IF(DATOS_[[Check Periodo Ref.]:[Check Periodo Ref.]]="Dentro",IF(DATOS_[[Check Equiparado]:[Check Equiparado]]="Sí",IF(DATOS!AK$5="Sí",(1/DATOS_[[% anualiz]:[% anualiz]]),1)*IF(DATOS!AK$4="Sí",1/DATOS_[[% normaliz]:[% normaliz]],1)*(DATOS_[Conc.Sal.07])))))))),
0)</f>
        <v>200</v>
      </c>
      <c r="Q16" s="101">
        <f t="array" ref="Q16">IFERROR(
(AVERAGE((IF(DATOS_[[Sexo]:[Sexo]]=$B16,IF(DATOS_[[AGRUP. VALOR. PTO.]:[AGRUP. VALOR. PTO.]]=$B15,IF(DATOS_[[Check Periodo Ref.]:[Check Periodo Ref.]]="Dentro",IF(DATOS_[[Check Equiparado]:[Check Equiparado]]="Sí",IF(DATOS!AL$5="Sí",(1/DATOS_[[% anualiz]:[% anualiz]]),1)*IF(DATOS!AL$4="Sí",1/DATOS_[[% normaliz]:[% normaliz]],1)*(DATOS_[Conc.Sal.08])))))))),
0)</f>
        <v>0</v>
      </c>
      <c r="R16" s="101">
        <f t="array" ref="R16">IFERROR(
(AVERAGE((IF(DATOS_[[Sexo]:[Sexo]]=$B16,IF(DATOS_[[AGRUP. VALOR. PTO.]:[AGRUP. VALOR. PTO.]]=$B15,IF(DATOS_[[Check Periodo Ref.]:[Check Periodo Ref.]]="Dentro",IF(DATOS_[[Check Equiparado]:[Check Equiparado]]="Sí",IF(DATOS!AM$5="Sí",(1/DATOS_[[% anualiz]:[% anualiz]]),1)*IF(DATOS!AM$4="Sí",1/DATOS_[[% normaliz]:[% normaliz]],1)*(DATOS_[Conc.Sal.09])))))))),
0)</f>
        <v>0</v>
      </c>
      <c r="S16" s="101">
        <f t="array" ref="S16">IFERROR(
(AVERAGE((IF(DATOS_[[Sexo]:[Sexo]]=$B16,IF(DATOS_[[AGRUP. VALOR. PTO.]:[AGRUP. VALOR. PTO.]]=$B15,IF(DATOS_[[Check Periodo Ref.]:[Check Periodo Ref.]]="Dentro",IF(DATOS_[[Check Equiparado]:[Check Equiparado]]="Sí",IF(DATOS!AN$5="Sí",(1/DATOS_[[% anualiz]:[% anualiz]]),1)*IF(DATOS!AN$4="Sí",1/DATOS_[[% normaliz]:[% normaliz]],1)*(DATOS_[Conc.Sal.10])))))))),
0)</f>
        <v>0</v>
      </c>
      <c r="T16" s="101">
        <f t="array" ref="T16">IFERROR(
(AVERAGE((IF(DATOS_[[Sexo]:[Sexo]]=$B16,IF(DATOS_[[AGRUP. VALOR. PTO.]:[AGRUP. VALOR. PTO.]]=$B15,IF(DATOS_[[Check Periodo Ref.]:[Check Periodo Ref.]]="Dentro",IF(DATOS_[[Check Equiparado]:[Check Equiparado]]="Sí",IF(DATOS!AO$5="Sí",(1/DATOS_[[% anualiz]:[% anualiz]]),1)*IF(DATOS!AO$4="Sí",1/DATOS_[[% normaliz]:[% normaliz]],1)*(DATOS_[Conc.Sal.11])))))))),
0)</f>
        <v>0</v>
      </c>
      <c r="U16" s="101">
        <f t="array" ref="U16">IFERROR(
(AVERAGE((IF(DATOS_[[Sexo]:[Sexo]]=$B16,IF(DATOS_[[AGRUP. VALOR. PTO.]:[AGRUP. VALOR. PTO.]]=$B15,IF(DATOS_[[Check Periodo Ref.]:[Check Periodo Ref.]]="Dentro",IF(DATOS_[[Check Equiparado]:[Check Equiparado]]="Sí",IF(DATOS!AP$5="Sí",(1/DATOS_[[% anualiz]:[% anualiz]]),1)*IF(DATOS!AP$4="Sí",1/DATOS_[[% normaliz]:[% normaliz]],1)*(DATOS_[Conc.Sal.12])))))))),
0)</f>
        <v>0</v>
      </c>
      <c r="V16" s="101">
        <f t="array" ref="V16">IFERROR(
(AVERAGE((IF(DATOS_[[Sexo]:[Sexo]]=$B16,IF(DATOS_[[AGRUP. VALOR. PTO.]:[AGRUP. VALOR. PTO.]]=$B15,IF(DATOS_[[Check Periodo Ref.]:[Check Periodo Ref.]]="Dentro",IF(DATOS_[[Check Equiparado]:[Check Equiparado]]="Sí",IF(DATOS!AQ$5="Sí",(1/DATOS_[[% anualiz]:[% anualiz]]),1)*IF(DATOS!AQ$4="Sí",1/DATOS_[[% normaliz]:[% normaliz]],1)*(DATOS_[Conc.Sal.13])))))))),
0)</f>
        <v>0</v>
      </c>
      <c r="W16" s="101">
        <f t="array" ref="W16">IFERROR(
(AVERAGE((IF(DATOS_[[Sexo]:[Sexo]]=$B16,IF(DATOS_[[AGRUP. VALOR. PTO.]:[AGRUP. VALOR. PTO.]]=$B15,IF(DATOS_[[Check Periodo Ref.]:[Check Periodo Ref.]]="Dentro",IF(DATOS_[[Check Equiparado]:[Check Equiparado]]="Sí",IF(DATOS!AR$5="Sí",(1/DATOS_[[% anualiz]:[% anualiz]]),1)*IF(DATOS!AR$4="Sí",1/DATOS_[[% normaliz]:[% normaliz]],1)*(DATOS_[Conc.Sal.14])))))))),
0)</f>
        <v>0</v>
      </c>
      <c r="X16" s="101">
        <f t="array" ref="X16">IFERROR(
(AVERAGE((IF(DATOS_[[Sexo]:[Sexo]]=$B16,IF(DATOS_[[AGRUP. VALOR. PTO.]:[AGRUP. VALOR. PTO.]]=$B15,IF(DATOS_[[Check Periodo Ref.]:[Check Periodo Ref.]]="Dentro",IF(DATOS_[[Check Equiparado]:[Check Equiparado]]="Sí",IF(DATOS!AS$5="Sí",(1/DATOS_[[% anualiz]:[% anualiz]]),1)*IF(DATOS!AS$4="Sí",1/DATOS_[[% normaliz]:[% normaliz]],1)*(DATOS_[Conc.Sal.15])))))))),
0)</f>
        <v>0</v>
      </c>
      <c r="Y16" s="101">
        <f t="array" ref="Y16">IFERROR(
(AVERAGE((IF(DATOS_[[Sexo]:[Sexo]]=$B16,IF(DATOS_[[AGRUP. VALOR. PTO.]:[AGRUP. VALOR. PTO.]]=$B15,IF(DATOS_[[Check Periodo Ref.]:[Check Periodo Ref.]]="Dentro",IF(DATOS_[[Check Equiparado]:[Check Equiparado]]="Sí",IF(DATOS!AT$5="Sí",(1/DATOS_[[% anualiz]:[% anualiz]]),1)*IF(DATOS!AT$4="Sí",1/DATOS_[[% normaliz]:[% normaliz]],1)*(DATOS_[Conc.Sal.16])))))))),
0)</f>
        <v>0</v>
      </c>
      <c r="Z16" s="101">
        <f t="array" ref="Z16">IFERROR(
(AVERAGE((IF(DATOS_[[Sexo]:[Sexo]]=$B16,IF(DATOS_[[AGRUP. VALOR. PTO.]:[AGRUP. VALOR. PTO.]]=$B15,IF(DATOS_[[Check Periodo Ref.]:[Check Periodo Ref.]]="Dentro",IF(DATOS_[[Check Equiparado]:[Check Equiparado]]="Sí",IF(DATOS!AU$5="Sí",(1/DATOS_[[% anualiz]:[% anualiz]]),1)*IF(DATOS!AU$4="Sí",1/DATOS_[[% normaliz]:[% normaliz]],1)*(DATOS_[Conc.Sal.17])))))))),
0)</f>
        <v>0</v>
      </c>
      <c r="AA16" s="101">
        <f t="array" ref="AA16">IFERROR(
(AVERAGE((IF(DATOS_[[Sexo]:[Sexo]]=$B16,IF(DATOS_[[AGRUP. VALOR. PTO.]:[AGRUP. VALOR. PTO.]]=$B15,IF(DATOS_[[Check Periodo Ref.]:[Check Periodo Ref.]]="Dentro",IF(DATOS_[[Check Equiparado]:[Check Equiparado]]="Sí",IF(DATOS!AV$5="Sí",(1/DATOS_[[% anualiz]:[% anualiz]]),1)*IF(DATOS!AV$4="Sí",1/DATOS_[[% normaliz]:[% normaliz]],1)*(DATOS_[Conc.Sal.18])))))))),
0)</f>
        <v>0</v>
      </c>
      <c r="AB16" s="101">
        <f t="array" ref="AB16">IFERROR(
(AVERAGE((IF(DATOS_[[Sexo]:[Sexo]]=$B16,IF(DATOS_[[AGRUP. VALOR. PTO.]:[AGRUP. VALOR. PTO.]]=$B15,IF(DATOS_[[Check Periodo Ref.]:[Check Periodo Ref.]]="Dentro",IF(DATOS_[[Check Equiparado]:[Check Equiparado]]="Sí",IF(DATOS!AW$5="Sí",(1/DATOS_[[% anualiz]:[% anualiz]]),1)*IF(DATOS!AW$4="Sí",1/DATOS_[[% normaliz]:[% normaliz]],1)*(DATOS_[Conc.Sal.19])))))))),
0)</f>
        <v>0</v>
      </c>
      <c r="AC16" s="101">
        <f t="array" ref="AC16">IFERROR(
(AVERAGE((IF(DATOS_[[Sexo]:[Sexo]]=$B16,IF(DATOS_[[AGRUP. VALOR. PTO.]:[AGRUP. VALOR. PTO.]]=$B15,IF(DATOS_[[Check Periodo Ref.]:[Check Periodo Ref.]]="Dentro",IF(DATOS_[[Check Equiparado]:[Check Equiparado]]="Sí",IF(DATOS!AX$5="Sí",(1/DATOS_[[% anualiz]:[% anualiz]]),1)*IF(DATOS!AX$4="Sí",1/DATOS_[[% normaliz]:[% normaliz]],1)*(DATOS_[Conc.Sal.20])))))))),
0)</f>
        <v>0</v>
      </c>
      <c r="AD16" s="101">
        <f t="array" ref="AD16">IFERROR(
(AVERAGE((IF(DATOS_[[Sexo]:[Sexo]]=$B16,IF(DATOS_[[AGRUP. VALOR. PTO.]:[AGRUP. VALOR. PTO.]]=$B15,IF(DATOS_[[Check Periodo Ref.]:[Check Periodo Ref.]]="Dentro",IF(DATOS_[[Check Equiparado]:[Check Equiparado]]="Sí",IF(DATOS!AY$5="Sí",(1/DATOS_[[% anualiz]:[% anualiz]]),1)*IF(DATOS!AY$4="Sí",1/DATOS_[[% normaliz]:[% normaliz]],1)*(DATOS_[Conc.Sal.21])))))))),
0)</f>
        <v>0</v>
      </c>
      <c r="AE16" s="101">
        <f t="array" ref="AE16">IFERROR(
(AVERAGE((IF(DATOS_[[Sexo]:[Sexo]]=$B16,IF(DATOS_[[AGRUP. VALOR. PTO.]:[AGRUP. VALOR. PTO.]]=$B15,IF(DATOS_[[Check Periodo Ref.]:[Check Periodo Ref.]]="Dentro",IF(DATOS_[[Check Equiparado]:[Check Equiparado]]="Sí",IF(DATOS!AZ$5="Sí",(1/DATOS_[[% anualiz]:[% anualiz]]),1)*IF(DATOS!AZ$4="Sí",1/DATOS_[[% normaliz]:[% normaliz]],1)*(DATOS_[Conc.Sal.22])))))))),
0)</f>
        <v>0</v>
      </c>
      <c r="AF16" s="101">
        <f t="array" ref="AF16">IFERROR(
(AVERAGE((IF(DATOS_[[Sexo]:[Sexo]]=$B16,IF(DATOS_[[AGRUP. VALOR. PTO.]:[AGRUP. VALOR. PTO.]]=$B15,IF(DATOS_[[Check Periodo Ref.]:[Check Periodo Ref.]]="Dentro",IF(DATOS_[[Check Equiparado]:[Check Equiparado]]="Sí",IF(DATOS!BA$5="Sí",(1/DATOS_[[% anualiz]:[% anualiz]]),1)*IF(DATOS!BA$4="Sí",1/DATOS_[[% normaliz]:[% normaliz]],1)*(DATOS_[Conc.Sal.23])))))))),
0)</f>
        <v>0</v>
      </c>
      <c r="AG16" s="101">
        <f t="array" ref="AG16">IFERROR(
(AVERAGE((IF(DATOS_[[Sexo]:[Sexo]]=$B16,IF(DATOS_[[AGRUP. VALOR. PTO.]:[AGRUP. VALOR. PTO.]]=$B15,IF(DATOS_[[Check Periodo Ref.]:[Check Periodo Ref.]]="Dentro",IF(DATOS_[[Check Equiparado]:[Check Equiparado]]="Sí",IF(DATOS!BB$5="Sí",(1/DATOS_[[% anualiz]:[% anualiz]]),1)*IF(DATOS!BB$4="Sí",1/DATOS_[[% normaliz]:[% normaliz]],1)*(DATOS_[Conc.Sal.24])))))))),
0)</f>
        <v>0</v>
      </c>
      <c r="AH16" s="101">
        <f t="array" ref="AH16">IFERROR(
(AVERAGE((IF(DATOS_[[Sexo]:[Sexo]]=$B16,IF(DATOS_[[AGRUP. VALOR. PTO.]:[AGRUP. VALOR. PTO.]]=$B15,IF(DATOS_[[Check Periodo Ref.]:[Check Periodo Ref.]]="Dentro",IF(DATOS_[[Check Equiparado]:[Check Equiparado]]="Sí",IF(DATOS!BC$5="Sí",(1/DATOS_[[% anualiz]:[% anualiz]]),1)*IF(DATOS!BC$4="Sí",1/DATOS_[[% normaliz]:[% normaliz]],1)*(DATOS_[Conc.Sal.25])))))))),
0)</f>
        <v>0</v>
      </c>
      <c r="AI16" s="101">
        <f t="array" ref="AI16">IFERROR(
(AVERAGE((IF(DATOS_[[Sexo]:[Sexo]]=$B16,IF(DATOS_[[AGRUP. VALOR. PTO.]:[AGRUP. VALOR. PTO.]]=$B15,IF(DATOS_[[Check Periodo Ref.]:[Check Periodo Ref.]]="Dentro",IF(DATOS_[[Check Equiparado]:[Check Equiparado]]="Sí",IF(DATOS!BD$5="Sí",(1/DATOS_[[% anualiz]:[% anualiz]]),1)*IF(DATOS!BD$4="Sí",1/DATOS_[[% normaliz]:[% normaliz]],1)*(DATOS_[Conc.Sal.26])))))))),
0)</f>
        <v>0</v>
      </c>
      <c r="AJ16" s="101">
        <f t="array" ref="AJ16">IFERROR(
(AVERAGE((IF(DATOS_[[Sexo]:[Sexo]]=$B16,IF(DATOS_[[AGRUP. VALOR. PTO.]:[AGRUP. VALOR. PTO.]]=$B15,IF(DATOS_[[Check Periodo Ref.]:[Check Periodo Ref.]]="Dentro",IF(DATOS_[[Check Equiparado]:[Check Equiparado]]="Sí",IF(DATOS!BE$5="Sí",(1/DATOS_[[% anualiz]:[% anualiz]]),1)*IF(DATOS!BE$4="Sí",1/DATOS_[[% normaliz]:[% normaliz]],1)*(DATOS_[Conc.Sal.27])))))))),
0)</f>
        <v>0</v>
      </c>
      <c r="AK16" s="101">
        <f t="array" ref="AK16">IFERROR(
(AVERAGE((IF(DATOS_[[Sexo]:[Sexo]]=$B16,IF(DATOS_[[AGRUP. VALOR. PTO.]:[AGRUP. VALOR. PTO.]]=$B15,IF(DATOS_[[Check Periodo Ref.]:[Check Periodo Ref.]]="Dentro",IF(DATOS_[[Check Equiparado]:[Check Equiparado]]="Sí",IF(DATOS!BF$5="Sí",(1/DATOS_[[% anualiz]:[% anualiz]]),1)*IF(DATOS!BF$4="Sí",1/DATOS_[[% normaliz]:[% normaliz]],1)*(DATOS_[Conc.Sal.28])))))))),
0)</f>
        <v>0</v>
      </c>
      <c r="AL16" s="101">
        <f t="array" ref="AL16">IFERROR(
(AVERAGE((IF(DATOS_[[Sexo]:[Sexo]]=$B16,IF(DATOS_[[AGRUP. VALOR. PTO.]:[AGRUP. VALOR. PTO.]]=$B15,IF(DATOS_[[Check Periodo Ref.]:[Check Periodo Ref.]]="Dentro",IF(DATOS_[[Check Equiparado]:[Check Equiparado]]="Sí",IF(DATOS!BG$5="Sí",(1/DATOS_[[% anualiz]:[% anualiz]]),1)*IF(DATOS!BG$4="Sí",1/DATOS_[[% normaliz]:[% normaliz]],1)*(DATOS_[Conc.Sal.29])))))))),
0)</f>
        <v>0</v>
      </c>
      <c r="AM16" s="101">
        <f t="array" ref="AM16">IFERROR(
(AVERAGE((IF(DATOS_[[Sexo]:[Sexo]]=$B16,IF(DATOS_[[AGRUP. VALOR. PTO.]:[AGRUP. VALOR. PTO.]]=$B15,IF(DATOS_[[Check Periodo Ref.]:[Check Periodo Ref.]]="Dentro",IF(DATOS_[[Check Equiparado]:[Check Equiparado]]="Sí",IF(DATOS!BH$5="Sí",(1/DATOS_[[% anualiz]:[% anualiz]]),1)*IF(DATOS!BH$4="Sí",1/DATOS_[[% normaliz]:[% normaliz]],1)*(DATOS_[Conc.Sal.30])))))))),
0)</f>
        <v>0</v>
      </c>
      <c r="AN16" s="102">
        <f t="array" ref="AN16">IFERROR(
AVERAGE(IF(DATOS_[Sexo]=$B16,IF(DATOS_[[AGRUP. VALOR. PTO.]:[AGRUP. VALOR. PTO.]]=$B15,IF(DATOS_[Check Equiparado]="Sí",IF(DATOS_[Check Periodo Ref.]="Dentro",DATOS_[Tot COMPL.SAL Eq],FALSE))))),
0)</f>
        <v>37216.419600000001</v>
      </c>
      <c r="AO16" s="103">
        <f t="array" ref="AO16">IFERROR(
AVERAGE(IF(DATOS_[Sexo]=$B16,IF(DATOS_[[AGRUP. VALOR. PTO.]:[AGRUP. VALOR. PTO.]]=$B15,IF(DATOS_[Check Equiparado]="Sí",IF(DATOS_[Check Periodo Ref.]="Dentro",DATOS_[TOTAL SALARIO Eq],FALSE))))),
0)</f>
        <v>55763.789599999996</v>
      </c>
      <c r="AP16" s="104">
        <f t="array" ref="AP16">IFERROR(
(AVERAGE((IF(DATOS_[[Sexo]:[Sexo]]=$B16,IF(DATOS_[[AGRUP. VALOR. PTO.]:[AGRUP. VALOR. PTO.]]=$B15,IF(DATOS_[[Check Periodo Ref.]:[Check Periodo Ref.]]="Dentro",IF(DATOS_[[Check Equiparado]:[Check Equiparado]]="Sí",IF(DATOS!BI$5="Sí",(1/DATOS_[[% anualiz]:[% anualiz]]),1)*IF(DATOS!BI$4="Sí",1/DATOS_[[% normaliz]:[% normaliz]],1)*(DATOS_[C.Extra.01])))))))),
0)</f>
        <v>1200</v>
      </c>
      <c r="AQ16" s="104">
        <f t="array" ref="AQ16">IFERROR(
(AVERAGE((IF(DATOS_[[Sexo]:[Sexo]]=$B16,IF(DATOS_[[AGRUP. VALOR. PTO.]:[AGRUP. VALOR. PTO.]]=$B15,IF(DATOS_[[Check Periodo Ref.]:[Check Periodo Ref.]]="Dentro",IF(DATOS_[[Check Equiparado]:[Check Equiparado]]="Sí",IF(DATOS!BJ$5="Sí",(1/DATOS_[[% anualiz]:[% anualiz]]),1)*IF(DATOS!BJ$4="Sí",1/DATOS_[[% normaliz]:[% normaliz]],1)*(DATOS_[C.Extra.02])))))))),
0)</f>
        <v>0</v>
      </c>
      <c r="AR16" s="104">
        <f t="array" ref="AR16">IFERROR(
(AVERAGE((IF(DATOS_[[Sexo]:[Sexo]]=$B16,IF(DATOS_[[AGRUP. VALOR. PTO.]:[AGRUP. VALOR. PTO.]]=$B15,IF(DATOS_[[Check Periodo Ref.]:[Check Periodo Ref.]]="Dentro",IF(DATOS_[[Check Equiparado]:[Check Equiparado]]="Sí",IF(DATOS!BK$5="Sí",(1/DATOS_[[% anualiz]:[% anualiz]]),1)*IF(DATOS!BK$4="Sí",1/DATOS_[[% normaliz]:[% normaliz]],1)*(DATOS_[C.Extra.03])))))))),
0)</f>
        <v>0</v>
      </c>
      <c r="AS16" s="104">
        <f t="array" ref="AS16">IFERROR(
(AVERAGE((IF(DATOS_[[Sexo]:[Sexo]]=$B16,IF(DATOS_[[AGRUP. VALOR. PTO.]:[AGRUP. VALOR. PTO.]]=$B15,IF(DATOS_[[Check Periodo Ref.]:[Check Periodo Ref.]]="Dentro",IF(DATOS_[[Check Equiparado]:[Check Equiparado]]="Sí",IF(DATOS!BL$5="Sí",(1/DATOS_[[% anualiz]:[% anualiz]]),1)*IF(DATOS!BL$4="Sí",1/DATOS_[[% normaliz]:[% normaliz]],1)*(DATOS_[C.Extra.04])))))))),
0)</f>
        <v>0</v>
      </c>
      <c r="AT16" s="104">
        <f t="array" ref="AT16">IFERROR(
(AVERAGE((IF(DATOS_[[Sexo]:[Sexo]]=$B16,IF(DATOS_[[AGRUP. VALOR. PTO.]:[AGRUP. VALOR. PTO.]]=$B15,IF(DATOS_[[Check Periodo Ref.]:[Check Periodo Ref.]]="Dentro",IF(DATOS_[[Check Equiparado]:[Check Equiparado]]="Sí",IF(DATOS!BM$5="Sí",(1/DATOS_[[% anualiz]:[% anualiz]]),1)*IF(DATOS!BM$4="Sí",1/DATOS_[[% normaliz]:[% normaliz]],1)*(DATOS_[C.Extra.05])))))))),
0)</f>
        <v>0</v>
      </c>
      <c r="AU16" s="105">
        <f t="array" ref="AU16">IFERROR(
AVERAGE(IF(DATOS_[Sexo]=$B16,IF(DATOS_[[AGRUP. VALOR. PTO.]:[AGRUP. VALOR. PTO.]]=$B15,IF(DATOS_[Check Equiparado]="Sí",IF(DATOS_[Check Periodo Ref.]="Dentro",DATOS_[Tot Extrasalarial Eq],FALSE))))),
0)</f>
        <v>1200</v>
      </c>
      <c r="AV16" s="106">
        <f t="array" ref="AV16">IFERROR(
AVERAGE(IF(DATOS_[Sexo]=$B16,IF(DATOS_[[AGRUP. VALOR. PTO.]:[AGRUP. VALOR. PTO.]]=$B15,IF(DATOS_[Check Equiparado]="Sí",IF(DATOS_[Check Periodo Ref.]="Dentro",DATOS_[TOTAL Retrib Eq],FALSE))))),
0)</f>
        <v>56963.789599999996</v>
      </c>
    </row>
    <row r="17" spans="1:48" x14ac:dyDescent="0.3">
      <c r="A17" s="53" t="str">
        <f>+A16</f>
        <v/>
      </c>
      <c r="B17" s="57" t="s">
        <v>163</v>
      </c>
      <c r="C17" s="56">
        <f t="array" ref="C17">SUM(IF($B17=DATOS_[Sexo],
IF($B15=DATOS_[AGRUP. VALOR. PTO.],
IF("Dentro"=DATOS_[Check Periodo Ref.],
1/(COUNTIFS(DATOS_[Sexo],$B17,DATOS_[AGRUP. VALOR. PTO.],$B15,DATOS_[Check Periodo Ref.],"Dentro",DATOS_[id],DATOS_[id]))))))</f>
        <v>4</v>
      </c>
      <c r="D17" s="58">
        <f>COUNTIFS(DATOS_[AGRUP. VALOR. PTO.],$B15,DATOS_[Sexo],$B17,DATOS_[Check Periodo Ref.],"Dentro")</f>
        <v>4</v>
      </c>
      <c r="E17" s="58">
        <f>COUNTIFS(DATOS_[AGRUP. VALOR. PTO.],$B15,DATOS_[Sexo],$B17,DATOS_[Check Periodo Ref.],"Dentro",DATOS_[Check Nº SC Norm],"Sí")</f>
        <v>2</v>
      </c>
      <c r="F17" s="58">
        <f>COUNTIFS(DATOS_[AGRUP. VALOR. PTO.],$B15,DATOS_[Sexo],$B17,DATOS_[Check Periodo Ref.],"Dentro",DATOS_[Check Nº SC Anualiz],"Sí")</f>
        <v>0</v>
      </c>
      <c r="G17" s="58">
        <f>COUNTIFS(DATOS_[AGRUP. VALOR. PTO.],$B15,DATOS_[Sexo],$B17,DATOS_[Check Periodo Ref.],"Dentro",DATOS_[Check Nº SC Norm y Anualiz],"Sí")</f>
        <v>0</v>
      </c>
      <c r="H17" s="58">
        <f>COUNTIFS(DATOS_[AGRUP. VALOR. PTO.],$B15,DATOS_[Sexo],$B17,DATOS_[Check Periodo Ref.],"Dentro",DATOS_[Check Equiparación],"Sí")</f>
        <v>2</v>
      </c>
      <c r="I17" s="100" cm="1">
        <f t="array" ref="I17">IFERROR(
AVERAGE(IF(DATOS_[Sexo]=$B17,IF(DATOS_[[AGRUP. VALOR. PTO.]:[AGRUP. VALOR. PTO.]]=$B15,IF(DATOS_[Check Equiparado]="Sí",IF(DATOS_[Check Periodo Ref.]="Dentro",DATOS_[SALARIO BASE Eq],FALSE))))),
0)</f>
        <v>17388.159374999999</v>
      </c>
      <c r="J17" s="101">
        <f t="array" ref="J17">IFERROR(
(AVERAGE((IF(DATOS_[[Sexo]:[Sexo]]=$B17,IF(DATOS_[[AGRUP. VALOR. PTO.]:[AGRUP. VALOR. PTO.]]=$B15,IF(DATOS_[[Check Periodo Ref.]:[Check Periodo Ref.]]="Dentro",IF(DATOS_[[Check Equiparado]:[Check Equiparado]]="Sí",IF(DATOS!AE$5="Sí",(1/DATOS_[[% anualiz]:[% anualiz]]),1)*IF(DATOS!AE$4="Sí",1/DATOS_[[% normaliz]:[% normaliz]],1)*(DATOS_[Conc.Sal.01])))))))),
0)</f>
        <v>15863.157500000001</v>
      </c>
      <c r="K17" s="101">
        <f t="array" ref="K17">IFERROR(
(AVERAGE((IF(DATOS_[[Sexo]:[Sexo]]=$B17,IF(DATOS_[[AGRUP. VALOR. PTO.]:[AGRUP. VALOR. PTO.]]=$B15,IF(DATOS_[[Check Periodo Ref.]:[Check Periodo Ref.]]="Dentro",IF(DATOS_[[Check Equiparado]:[Check Equiparado]]="Sí",IF(DATOS!AF$5="Sí",(1/DATOS_[[% anualiz]:[% anualiz]]),1)*IF(DATOS!AF$4="Sí",1/DATOS_[[% normaliz]:[% normaliz]],1)*(DATOS_[Conc.Sal.02])))))))),
0)</f>
        <v>1993.842275</v>
      </c>
      <c r="L17" s="101">
        <f t="array" ref="L17">IFERROR(
(AVERAGE((IF(DATOS_[[Sexo]:[Sexo]]=$B17,IF(DATOS_[[AGRUP. VALOR. PTO.]:[AGRUP. VALOR. PTO.]]=$B15,IF(DATOS_[[Check Periodo Ref.]:[Check Periodo Ref.]]="Dentro",IF(DATOS_[[Check Equiparado]:[Check Equiparado]]="Sí",IF(DATOS!AG$5="Sí",(1/DATOS_[[% anualiz]:[% anualiz]]),1)*IF(DATOS!AG$4="Sí",1/DATOS_[[% normaliz]:[% normaliz]],1)*(DATOS_[Conc.Sal.03])))))))),
0)</f>
        <v>0</v>
      </c>
      <c r="M17" s="101">
        <f t="array" ref="M17">IFERROR(
(AVERAGE((IF(DATOS_[[Sexo]:[Sexo]]=$B17,IF(DATOS_[[AGRUP. VALOR. PTO.]:[AGRUP. VALOR. PTO.]]=$B15,IF(DATOS_[[Check Periodo Ref.]:[Check Periodo Ref.]]="Dentro",IF(DATOS_[[Check Equiparado]:[Check Equiparado]]="Sí",IF(DATOS!AH$5="Sí",(1/DATOS_[[% anualiz]:[% anualiz]]),1)*IF(DATOS!AH$4="Sí",1/DATOS_[[% normaliz]:[% normaliz]],1)*(DATOS_[Conc.Sal.04])))))))),
0)</f>
        <v>0</v>
      </c>
      <c r="N17" s="101">
        <f t="array" ref="N17">IFERROR(
(AVERAGE((IF(DATOS_[[Sexo]:[Sexo]]=$B17,IF(DATOS_[[AGRUP. VALOR. PTO.]:[AGRUP. VALOR. PTO.]]=$B15,IF(DATOS_[[Check Periodo Ref.]:[Check Periodo Ref.]]="Dentro",IF(DATOS_[[Check Equiparado]:[Check Equiparado]]="Sí",IF(DATOS!AI$5="Sí",(1/DATOS_[[% anualiz]:[% anualiz]]),1)*IF(DATOS!AI$4="Sí",1/DATOS_[[% normaliz]:[% normaliz]],1)*(DATOS_[Conc.Sal.05])))))))),
0)</f>
        <v>2750</v>
      </c>
      <c r="O17" s="101">
        <f t="array" ref="O17">IFERROR(
(AVERAGE((IF(DATOS_[[Sexo]:[Sexo]]=$B17,IF(DATOS_[[AGRUP. VALOR. PTO.]:[AGRUP. VALOR. PTO.]]=$B15,IF(DATOS_[[Check Periodo Ref.]:[Check Periodo Ref.]]="Dentro",IF(DATOS_[[Check Equiparado]:[Check Equiparado]]="Sí",IF(DATOS!AJ$5="Sí",(1/DATOS_[[% anualiz]:[% anualiz]]),1)*IF(DATOS!AJ$4="Sí",1/DATOS_[[% normaliz]:[% normaliz]],1)*(DATOS_[Conc.Sal.06])))))))),
0)</f>
        <v>2250</v>
      </c>
      <c r="P17" s="101">
        <f t="array" ref="P17">IFERROR(
(AVERAGE((IF(DATOS_[[Sexo]:[Sexo]]=$B17,IF(DATOS_[[AGRUP. VALOR. PTO.]:[AGRUP. VALOR. PTO.]]=$B15,IF(DATOS_[[Check Periodo Ref.]:[Check Periodo Ref.]]="Dentro",IF(DATOS_[[Check Equiparado]:[Check Equiparado]]="Sí",IF(DATOS!AK$5="Sí",(1/DATOS_[[% anualiz]:[% anualiz]]),1)*IF(DATOS!AK$4="Sí",1/DATOS_[[% normaliz]:[% normaliz]],1)*(DATOS_[Conc.Sal.07])))))))),
0)</f>
        <v>200</v>
      </c>
      <c r="Q17" s="101">
        <f t="array" ref="Q17">IFERROR(
(AVERAGE((IF(DATOS_[[Sexo]:[Sexo]]=$B17,IF(DATOS_[[AGRUP. VALOR. PTO.]:[AGRUP. VALOR. PTO.]]=$B15,IF(DATOS_[[Check Periodo Ref.]:[Check Periodo Ref.]]="Dentro",IF(DATOS_[[Check Equiparado]:[Check Equiparado]]="Sí",IF(DATOS!AL$5="Sí",(1/DATOS_[[% anualiz]:[% anualiz]]),1)*IF(DATOS!AL$4="Sí",1/DATOS_[[% normaliz]:[% normaliz]],1)*(DATOS_[Conc.Sal.08])))))))),
0)</f>
        <v>0</v>
      </c>
      <c r="R17" s="101">
        <f t="array" ref="R17">IFERROR(
(AVERAGE((IF(DATOS_[[Sexo]:[Sexo]]=$B17,IF(DATOS_[[AGRUP. VALOR. PTO.]:[AGRUP. VALOR. PTO.]]=$B15,IF(DATOS_[[Check Periodo Ref.]:[Check Periodo Ref.]]="Dentro",IF(DATOS_[[Check Equiparado]:[Check Equiparado]]="Sí",IF(DATOS!AM$5="Sí",(1/DATOS_[[% anualiz]:[% anualiz]]),1)*IF(DATOS!AM$4="Sí",1/DATOS_[[% normaliz]:[% normaliz]],1)*(DATOS_[Conc.Sal.09])))))))),
0)</f>
        <v>0</v>
      </c>
      <c r="S17" s="101">
        <f t="array" ref="S17">IFERROR(
(AVERAGE((IF(DATOS_[[Sexo]:[Sexo]]=$B17,IF(DATOS_[[AGRUP. VALOR. PTO.]:[AGRUP. VALOR. PTO.]]=$B15,IF(DATOS_[[Check Periodo Ref.]:[Check Periodo Ref.]]="Dentro",IF(DATOS_[[Check Equiparado]:[Check Equiparado]]="Sí",IF(DATOS!AN$5="Sí",(1/DATOS_[[% anualiz]:[% anualiz]]),1)*IF(DATOS!AN$4="Sí",1/DATOS_[[% normaliz]:[% normaliz]],1)*(DATOS_[Conc.Sal.10])))))))),
0)</f>
        <v>0</v>
      </c>
      <c r="T17" s="101">
        <f t="array" ref="T17">IFERROR(
(AVERAGE((IF(DATOS_[[Sexo]:[Sexo]]=$B17,IF(DATOS_[[AGRUP. VALOR. PTO.]:[AGRUP. VALOR. PTO.]]=$B15,IF(DATOS_[[Check Periodo Ref.]:[Check Periodo Ref.]]="Dentro",IF(DATOS_[[Check Equiparado]:[Check Equiparado]]="Sí",IF(DATOS!AO$5="Sí",(1/DATOS_[[% anualiz]:[% anualiz]]),1)*IF(DATOS!AO$4="Sí",1/DATOS_[[% normaliz]:[% normaliz]],1)*(DATOS_[Conc.Sal.11])))))))),
0)</f>
        <v>0</v>
      </c>
      <c r="U17" s="101">
        <f t="array" ref="U17">IFERROR(
(AVERAGE((IF(DATOS_[[Sexo]:[Sexo]]=$B17,IF(DATOS_[[AGRUP. VALOR. PTO.]:[AGRUP. VALOR. PTO.]]=$B15,IF(DATOS_[[Check Periodo Ref.]:[Check Periodo Ref.]]="Dentro",IF(DATOS_[[Check Equiparado]:[Check Equiparado]]="Sí",IF(DATOS!AP$5="Sí",(1/DATOS_[[% anualiz]:[% anualiz]]),1)*IF(DATOS!AP$4="Sí",1/DATOS_[[% normaliz]:[% normaliz]],1)*(DATOS_[Conc.Sal.12])))))))),
0)</f>
        <v>0</v>
      </c>
      <c r="V17" s="101">
        <f t="array" ref="V17">IFERROR(
(AVERAGE((IF(DATOS_[[Sexo]:[Sexo]]=$B17,IF(DATOS_[[AGRUP. VALOR. PTO.]:[AGRUP. VALOR. PTO.]]=$B15,IF(DATOS_[[Check Periodo Ref.]:[Check Periodo Ref.]]="Dentro",IF(DATOS_[[Check Equiparado]:[Check Equiparado]]="Sí",IF(DATOS!AQ$5="Sí",(1/DATOS_[[% anualiz]:[% anualiz]]),1)*IF(DATOS!AQ$4="Sí",1/DATOS_[[% normaliz]:[% normaliz]],1)*(DATOS_[Conc.Sal.13])))))))),
0)</f>
        <v>0</v>
      </c>
      <c r="W17" s="101">
        <f t="array" ref="W17">IFERROR(
(AVERAGE((IF(DATOS_[[Sexo]:[Sexo]]=$B17,IF(DATOS_[[AGRUP. VALOR. PTO.]:[AGRUP. VALOR. PTO.]]=$B15,IF(DATOS_[[Check Periodo Ref.]:[Check Periodo Ref.]]="Dentro",IF(DATOS_[[Check Equiparado]:[Check Equiparado]]="Sí",IF(DATOS!AR$5="Sí",(1/DATOS_[[% anualiz]:[% anualiz]]),1)*IF(DATOS!AR$4="Sí",1/DATOS_[[% normaliz]:[% normaliz]],1)*(DATOS_[Conc.Sal.14])))))))),
0)</f>
        <v>0</v>
      </c>
      <c r="X17" s="101">
        <f t="array" ref="X17">IFERROR(
(AVERAGE((IF(DATOS_[[Sexo]:[Sexo]]=$B17,IF(DATOS_[[AGRUP. VALOR. PTO.]:[AGRUP. VALOR. PTO.]]=$B15,IF(DATOS_[[Check Periodo Ref.]:[Check Periodo Ref.]]="Dentro",IF(DATOS_[[Check Equiparado]:[Check Equiparado]]="Sí",IF(DATOS!AS$5="Sí",(1/DATOS_[[% anualiz]:[% anualiz]]),1)*IF(DATOS!AS$4="Sí",1/DATOS_[[% normaliz]:[% normaliz]],1)*(DATOS_[Conc.Sal.15])))))))),
0)</f>
        <v>0</v>
      </c>
      <c r="Y17" s="101">
        <f t="array" ref="Y17">IFERROR(
(AVERAGE((IF(DATOS_[[Sexo]:[Sexo]]=$B17,IF(DATOS_[[AGRUP. VALOR. PTO.]:[AGRUP. VALOR. PTO.]]=$B15,IF(DATOS_[[Check Periodo Ref.]:[Check Periodo Ref.]]="Dentro",IF(DATOS_[[Check Equiparado]:[Check Equiparado]]="Sí",IF(DATOS!AT$5="Sí",(1/DATOS_[[% anualiz]:[% anualiz]]),1)*IF(DATOS!AT$4="Sí",1/DATOS_[[% normaliz]:[% normaliz]],1)*(DATOS_[Conc.Sal.16])))))))),
0)</f>
        <v>0</v>
      </c>
      <c r="Z17" s="101">
        <f t="array" ref="Z17">IFERROR(
(AVERAGE((IF(DATOS_[[Sexo]:[Sexo]]=$B17,IF(DATOS_[[AGRUP. VALOR. PTO.]:[AGRUP. VALOR. PTO.]]=$B15,IF(DATOS_[[Check Periodo Ref.]:[Check Periodo Ref.]]="Dentro",IF(DATOS_[[Check Equiparado]:[Check Equiparado]]="Sí",IF(DATOS!AU$5="Sí",(1/DATOS_[[% anualiz]:[% anualiz]]),1)*IF(DATOS!AU$4="Sí",1/DATOS_[[% normaliz]:[% normaliz]],1)*(DATOS_[Conc.Sal.17])))))))),
0)</f>
        <v>0</v>
      </c>
      <c r="AA17" s="101">
        <f t="array" ref="AA17">IFERROR(
(AVERAGE((IF(DATOS_[[Sexo]:[Sexo]]=$B17,IF(DATOS_[[AGRUP. VALOR. PTO.]:[AGRUP. VALOR. PTO.]]=$B15,IF(DATOS_[[Check Periodo Ref.]:[Check Periodo Ref.]]="Dentro",IF(DATOS_[[Check Equiparado]:[Check Equiparado]]="Sí",IF(DATOS!AV$5="Sí",(1/DATOS_[[% anualiz]:[% anualiz]]),1)*IF(DATOS!AV$4="Sí",1/DATOS_[[% normaliz]:[% normaliz]],1)*(DATOS_[Conc.Sal.18])))))))),
0)</f>
        <v>0</v>
      </c>
      <c r="AB17" s="101">
        <f t="array" ref="AB17">IFERROR(
(AVERAGE((IF(DATOS_[[Sexo]:[Sexo]]=$B17,IF(DATOS_[[AGRUP. VALOR. PTO.]:[AGRUP. VALOR. PTO.]]=$B15,IF(DATOS_[[Check Periodo Ref.]:[Check Periodo Ref.]]="Dentro",IF(DATOS_[[Check Equiparado]:[Check Equiparado]]="Sí",IF(DATOS!AW$5="Sí",(1/DATOS_[[% anualiz]:[% anualiz]]),1)*IF(DATOS!AW$4="Sí",1/DATOS_[[% normaliz]:[% normaliz]],1)*(DATOS_[Conc.Sal.19])))))))),
0)</f>
        <v>0</v>
      </c>
      <c r="AC17" s="101">
        <f t="array" ref="AC17">IFERROR(
(AVERAGE((IF(DATOS_[[Sexo]:[Sexo]]=$B17,IF(DATOS_[[AGRUP. VALOR. PTO.]:[AGRUP. VALOR. PTO.]]=$B15,IF(DATOS_[[Check Periodo Ref.]:[Check Periodo Ref.]]="Dentro",IF(DATOS_[[Check Equiparado]:[Check Equiparado]]="Sí",IF(DATOS!AX$5="Sí",(1/DATOS_[[% anualiz]:[% anualiz]]),1)*IF(DATOS!AX$4="Sí",1/DATOS_[[% normaliz]:[% normaliz]],1)*(DATOS_[Conc.Sal.20])))))))),
0)</f>
        <v>0</v>
      </c>
      <c r="AD17" s="101">
        <f t="array" ref="AD17">IFERROR(
(AVERAGE((IF(DATOS_[[Sexo]:[Sexo]]=$B17,IF(DATOS_[[AGRUP. VALOR. PTO.]:[AGRUP. VALOR. PTO.]]=$B15,IF(DATOS_[[Check Periodo Ref.]:[Check Periodo Ref.]]="Dentro",IF(DATOS_[[Check Equiparado]:[Check Equiparado]]="Sí",IF(DATOS!AY$5="Sí",(1/DATOS_[[% anualiz]:[% anualiz]]),1)*IF(DATOS!AY$4="Sí",1/DATOS_[[% normaliz]:[% normaliz]],1)*(DATOS_[Conc.Sal.21])))))))),
0)</f>
        <v>0</v>
      </c>
      <c r="AE17" s="101">
        <f t="array" ref="AE17">IFERROR(
(AVERAGE((IF(DATOS_[[Sexo]:[Sexo]]=$B17,IF(DATOS_[[AGRUP. VALOR. PTO.]:[AGRUP. VALOR. PTO.]]=$B15,IF(DATOS_[[Check Periodo Ref.]:[Check Periodo Ref.]]="Dentro",IF(DATOS_[[Check Equiparado]:[Check Equiparado]]="Sí",IF(DATOS!AZ$5="Sí",(1/DATOS_[[% anualiz]:[% anualiz]]),1)*IF(DATOS!AZ$4="Sí",1/DATOS_[[% normaliz]:[% normaliz]],1)*(DATOS_[Conc.Sal.22])))))))),
0)</f>
        <v>0</v>
      </c>
      <c r="AF17" s="101">
        <f t="array" ref="AF17">IFERROR(
(AVERAGE((IF(DATOS_[[Sexo]:[Sexo]]=$B17,IF(DATOS_[[AGRUP. VALOR. PTO.]:[AGRUP. VALOR. PTO.]]=$B15,IF(DATOS_[[Check Periodo Ref.]:[Check Periodo Ref.]]="Dentro",IF(DATOS_[[Check Equiparado]:[Check Equiparado]]="Sí",IF(DATOS!BA$5="Sí",(1/DATOS_[[% anualiz]:[% anualiz]]),1)*IF(DATOS!BA$4="Sí",1/DATOS_[[% normaliz]:[% normaliz]],1)*(DATOS_[Conc.Sal.23])))))))),
0)</f>
        <v>0</v>
      </c>
      <c r="AG17" s="101">
        <f t="array" ref="AG17">IFERROR(
(AVERAGE((IF(DATOS_[[Sexo]:[Sexo]]=$B17,IF(DATOS_[[AGRUP. VALOR. PTO.]:[AGRUP. VALOR. PTO.]]=$B15,IF(DATOS_[[Check Periodo Ref.]:[Check Periodo Ref.]]="Dentro",IF(DATOS_[[Check Equiparado]:[Check Equiparado]]="Sí",IF(DATOS!BB$5="Sí",(1/DATOS_[[% anualiz]:[% anualiz]]),1)*IF(DATOS!BB$4="Sí",1/DATOS_[[% normaliz]:[% normaliz]],1)*(DATOS_[Conc.Sal.24])))))))),
0)</f>
        <v>0</v>
      </c>
      <c r="AH17" s="101">
        <f t="array" ref="AH17">IFERROR(
(AVERAGE((IF(DATOS_[[Sexo]:[Sexo]]=$B17,IF(DATOS_[[AGRUP. VALOR. PTO.]:[AGRUP. VALOR. PTO.]]=$B15,IF(DATOS_[[Check Periodo Ref.]:[Check Periodo Ref.]]="Dentro",IF(DATOS_[[Check Equiparado]:[Check Equiparado]]="Sí",IF(DATOS!BC$5="Sí",(1/DATOS_[[% anualiz]:[% anualiz]]),1)*IF(DATOS!BC$4="Sí",1/DATOS_[[% normaliz]:[% normaliz]],1)*(DATOS_[Conc.Sal.25])))))))),
0)</f>
        <v>0</v>
      </c>
      <c r="AI17" s="101">
        <f t="array" ref="AI17">IFERROR(
(AVERAGE((IF(DATOS_[[Sexo]:[Sexo]]=$B17,IF(DATOS_[[AGRUP. VALOR. PTO.]:[AGRUP. VALOR. PTO.]]=$B15,IF(DATOS_[[Check Periodo Ref.]:[Check Periodo Ref.]]="Dentro",IF(DATOS_[[Check Equiparado]:[Check Equiparado]]="Sí",IF(DATOS!BD$5="Sí",(1/DATOS_[[% anualiz]:[% anualiz]]),1)*IF(DATOS!BD$4="Sí",1/DATOS_[[% normaliz]:[% normaliz]],1)*(DATOS_[Conc.Sal.26])))))))),
0)</f>
        <v>0</v>
      </c>
      <c r="AJ17" s="101">
        <f t="array" ref="AJ17">IFERROR(
(AVERAGE((IF(DATOS_[[Sexo]:[Sexo]]=$B17,IF(DATOS_[[AGRUP. VALOR. PTO.]:[AGRUP. VALOR. PTO.]]=$B15,IF(DATOS_[[Check Periodo Ref.]:[Check Periodo Ref.]]="Dentro",IF(DATOS_[[Check Equiparado]:[Check Equiparado]]="Sí",IF(DATOS!BE$5="Sí",(1/DATOS_[[% anualiz]:[% anualiz]]),1)*IF(DATOS!BE$4="Sí",1/DATOS_[[% normaliz]:[% normaliz]],1)*(DATOS_[Conc.Sal.27])))))))),
0)</f>
        <v>0</v>
      </c>
      <c r="AK17" s="101">
        <f t="array" ref="AK17">IFERROR(
(AVERAGE((IF(DATOS_[[Sexo]:[Sexo]]=$B17,IF(DATOS_[[AGRUP. VALOR. PTO.]:[AGRUP. VALOR. PTO.]]=$B15,IF(DATOS_[[Check Periodo Ref.]:[Check Periodo Ref.]]="Dentro",IF(DATOS_[[Check Equiparado]:[Check Equiparado]]="Sí",IF(DATOS!BF$5="Sí",(1/DATOS_[[% anualiz]:[% anualiz]]),1)*IF(DATOS!BF$4="Sí",1/DATOS_[[% normaliz]:[% normaliz]],1)*(DATOS_[Conc.Sal.28])))))))),
0)</f>
        <v>0</v>
      </c>
      <c r="AL17" s="101">
        <f t="array" ref="AL17">IFERROR(
(AVERAGE((IF(DATOS_[[Sexo]:[Sexo]]=$B17,IF(DATOS_[[AGRUP. VALOR. PTO.]:[AGRUP. VALOR. PTO.]]=$B15,IF(DATOS_[[Check Periodo Ref.]:[Check Periodo Ref.]]="Dentro",IF(DATOS_[[Check Equiparado]:[Check Equiparado]]="Sí",IF(DATOS!BG$5="Sí",(1/DATOS_[[% anualiz]:[% anualiz]]),1)*IF(DATOS!BG$4="Sí",1/DATOS_[[% normaliz]:[% normaliz]],1)*(DATOS_[Conc.Sal.29])))))))),
0)</f>
        <v>0</v>
      </c>
      <c r="AM17" s="101">
        <f t="array" ref="AM17">IFERROR(
(AVERAGE((IF(DATOS_[[Sexo]:[Sexo]]=$B17,IF(DATOS_[[AGRUP. VALOR. PTO.]:[AGRUP. VALOR. PTO.]]=$B15,IF(DATOS_[[Check Periodo Ref.]:[Check Periodo Ref.]]="Dentro",IF(DATOS_[[Check Equiparado]:[Check Equiparado]]="Sí",IF(DATOS!BH$5="Sí",(1/DATOS_[[% anualiz]:[% anualiz]]),1)*IF(DATOS!BH$4="Sí",1/DATOS_[[% normaliz]:[% normaliz]],1)*(DATOS_[Conc.Sal.30])))))))),
0)</f>
        <v>0</v>
      </c>
      <c r="AN17" s="102">
        <f t="array" ref="AN17">IFERROR(
AVERAGE(IF(DATOS_[Sexo]=$B17,IF(DATOS_[[AGRUP. VALOR. PTO.]:[AGRUP. VALOR. PTO.]]=$B15,IF(DATOS_[Check Equiparado]="Sí",IF(DATOS_[Check Periodo Ref.]="Dentro",DATOS_[Tot COMPL.SAL Eq],FALSE))))),
0)</f>
        <v>23056.999775000004</v>
      </c>
      <c r="AO17" s="103">
        <f t="array" ref="AO17">IFERROR(
AVERAGE(IF(DATOS_[Sexo]=$B17,IF(DATOS_[[AGRUP. VALOR. PTO.]:[AGRUP. VALOR. PTO.]]=$B15,IF(DATOS_[Check Equiparado]="Sí",IF(DATOS_[Check Periodo Ref.]="Dentro",DATOS_[TOTAL SALARIO Eq],FALSE))))),
0)</f>
        <v>40445.159149999999</v>
      </c>
      <c r="AP17" s="104">
        <f t="array" ref="AP17">IFERROR(
(AVERAGE((IF(DATOS_[[Sexo]:[Sexo]]=$B17,IF(DATOS_[[AGRUP. VALOR. PTO.]:[AGRUP. VALOR. PTO.]]=$B15,IF(DATOS_[[Check Periodo Ref.]:[Check Periodo Ref.]]="Dentro",IF(DATOS_[[Check Equiparado]:[Check Equiparado]]="Sí",IF(DATOS!BI$5="Sí",(1/DATOS_[[% anualiz]:[% anualiz]]),1)*IF(DATOS!BI$4="Sí",1/DATOS_[[% normaliz]:[% normaliz]],1)*(DATOS_[C.Extra.01])))))))),
0)</f>
        <v>0</v>
      </c>
      <c r="AQ17" s="104">
        <f t="array" ref="AQ17">IFERROR(
(AVERAGE((IF(DATOS_[[Sexo]:[Sexo]]=$B17,IF(DATOS_[[AGRUP. VALOR. PTO.]:[AGRUP. VALOR. PTO.]]=$B15,IF(DATOS_[[Check Periodo Ref.]:[Check Periodo Ref.]]="Dentro",IF(DATOS_[[Check Equiparado]:[Check Equiparado]]="Sí",IF(DATOS!BJ$5="Sí",(1/DATOS_[[% anualiz]:[% anualiz]]),1)*IF(DATOS!BJ$4="Sí",1/DATOS_[[% normaliz]:[% normaliz]],1)*(DATOS_[C.Extra.02])))))))),
0)</f>
        <v>0</v>
      </c>
      <c r="AR17" s="104">
        <f t="array" ref="AR17">IFERROR(
(AVERAGE((IF(DATOS_[[Sexo]:[Sexo]]=$B17,IF(DATOS_[[AGRUP. VALOR. PTO.]:[AGRUP. VALOR. PTO.]]=$B15,IF(DATOS_[[Check Periodo Ref.]:[Check Periodo Ref.]]="Dentro",IF(DATOS_[[Check Equiparado]:[Check Equiparado]]="Sí",IF(DATOS!BK$5="Sí",(1/DATOS_[[% anualiz]:[% anualiz]]),1)*IF(DATOS!BK$4="Sí",1/DATOS_[[% normaliz]:[% normaliz]],1)*(DATOS_[C.Extra.03])))))))),
0)</f>
        <v>0</v>
      </c>
      <c r="AS17" s="104">
        <f t="array" ref="AS17">IFERROR(
(AVERAGE((IF(DATOS_[[Sexo]:[Sexo]]=$B17,IF(DATOS_[[AGRUP. VALOR. PTO.]:[AGRUP. VALOR. PTO.]]=$B15,IF(DATOS_[[Check Periodo Ref.]:[Check Periodo Ref.]]="Dentro",IF(DATOS_[[Check Equiparado]:[Check Equiparado]]="Sí",IF(DATOS!BL$5="Sí",(1/DATOS_[[% anualiz]:[% anualiz]]),1)*IF(DATOS!BL$4="Sí",1/DATOS_[[% normaliz]:[% normaliz]],1)*(DATOS_[C.Extra.04])))))))),
0)</f>
        <v>0</v>
      </c>
      <c r="AT17" s="104">
        <f t="array" ref="AT17">IFERROR(
(AVERAGE((IF(DATOS_[[Sexo]:[Sexo]]=$B17,IF(DATOS_[[AGRUP. VALOR. PTO.]:[AGRUP. VALOR. PTO.]]=$B15,IF(DATOS_[[Check Periodo Ref.]:[Check Periodo Ref.]]="Dentro",IF(DATOS_[[Check Equiparado]:[Check Equiparado]]="Sí",IF(DATOS!BM$5="Sí",(1/DATOS_[[% anualiz]:[% anualiz]]),1)*IF(DATOS!BM$4="Sí",1/DATOS_[[% normaliz]:[% normaliz]],1)*(DATOS_[C.Extra.05])))))))),
0)</f>
        <v>0</v>
      </c>
      <c r="AU17" s="105">
        <f t="array" ref="AU17">IFERROR(
AVERAGE(IF(DATOS_[Sexo]=$B17,IF(DATOS_[[AGRUP. VALOR. PTO.]:[AGRUP. VALOR. PTO.]]=$B15,IF(DATOS_[Check Equiparado]="Sí",IF(DATOS_[Check Periodo Ref.]="Dentro",DATOS_[Tot Extrasalarial Eq],FALSE))))),
0)</f>
        <v>0</v>
      </c>
      <c r="AV17" s="106">
        <f t="array" ref="AV17">IFERROR(
AVERAGE(IF(DATOS_[Sexo]=$B17,IF(DATOS_[[AGRUP. VALOR. PTO.]:[AGRUP. VALOR. PTO.]]=$B15,IF(DATOS_[Check Equiparado]="Sí",IF(DATOS_[Check Periodo Ref.]="Dentro",DATOS_[TOTAL Retrib Eq],FALSE))))),
0)</f>
        <v>40445.159149999999</v>
      </c>
    </row>
    <row r="18" spans="1:48" ht="17.25" thickBot="1" x14ac:dyDescent="0.35">
      <c r="A18" s="53" t="str">
        <f t="shared" ref="A18" si="7">+A19</f>
        <v/>
      </c>
      <c r="B18" s="62" t="s">
        <v>304</v>
      </c>
      <c r="C18" s="99"/>
      <c r="D18" s="63"/>
      <c r="E18" s="63"/>
      <c r="F18" s="63"/>
      <c r="G18" s="63"/>
      <c r="H18" s="63"/>
      <c r="I18" s="129">
        <f t="shared" ref="I18:AV18" si="8">IFERROR((I19-I20)/I19,"")</f>
        <v>0</v>
      </c>
      <c r="J18" s="130">
        <f t="shared" si="8"/>
        <v>0.22094258891536891</v>
      </c>
      <c r="K18" s="131">
        <f t="shared" si="8"/>
        <v>0.50000000000000011</v>
      </c>
      <c r="L18" s="131" t="str">
        <f t="shared" si="8"/>
        <v/>
      </c>
      <c r="M18" s="131">
        <f t="shared" si="8"/>
        <v>-0.21495327102803735</v>
      </c>
      <c r="N18" s="132" t="str">
        <f t="shared" si="8"/>
        <v/>
      </c>
      <c r="O18" s="133" t="str">
        <f t="shared" si="8"/>
        <v/>
      </c>
      <c r="P18" s="133">
        <f t="shared" si="8"/>
        <v>0</v>
      </c>
      <c r="Q18" s="133" t="str">
        <f t="shared" si="8"/>
        <v/>
      </c>
      <c r="R18" s="133" t="str">
        <f t="shared" si="8"/>
        <v/>
      </c>
      <c r="S18" s="133" t="str">
        <f t="shared" si="8"/>
        <v/>
      </c>
      <c r="T18" s="133" t="str">
        <f t="shared" si="8"/>
        <v/>
      </c>
      <c r="U18" s="133" t="str">
        <f t="shared" si="8"/>
        <v/>
      </c>
      <c r="V18" s="133" t="str">
        <f t="shared" si="8"/>
        <v/>
      </c>
      <c r="W18" s="133" t="str">
        <f t="shared" si="8"/>
        <v/>
      </c>
      <c r="X18" s="133" t="str">
        <f t="shared" si="8"/>
        <v/>
      </c>
      <c r="Y18" s="133" t="str">
        <f t="shared" si="8"/>
        <v/>
      </c>
      <c r="Z18" s="132" t="str">
        <f t="shared" si="8"/>
        <v/>
      </c>
      <c r="AA18" s="132" t="str">
        <f t="shared" si="8"/>
        <v/>
      </c>
      <c r="AB18" s="132" t="str">
        <f t="shared" si="8"/>
        <v/>
      </c>
      <c r="AC18" s="132" t="str">
        <f t="shared" si="8"/>
        <v/>
      </c>
      <c r="AD18" s="132" t="str">
        <f t="shared" si="8"/>
        <v/>
      </c>
      <c r="AE18" s="132" t="str">
        <f t="shared" si="8"/>
        <v/>
      </c>
      <c r="AF18" s="132" t="str">
        <f t="shared" si="8"/>
        <v/>
      </c>
      <c r="AG18" s="132" t="str">
        <f t="shared" si="8"/>
        <v/>
      </c>
      <c r="AH18" s="132" t="str">
        <f t="shared" si="8"/>
        <v/>
      </c>
      <c r="AI18" s="132" t="str">
        <f t="shared" si="8"/>
        <v/>
      </c>
      <c r="AJ18" s="132" t="str">
        <f t="shared" si="8"/>
        <v/>
      </c>
      <c r="AK18" s="132" t="str">
        <f t="shared" si="8"/>
        <v/>
      </c>
      <c r="AL18" s="132" t="str">
        <f t="shared" si="8"/>
        <v/>
      </c>
      <c r="AM18" s="132" t="str">
        <f t="shared" si="8"/>
        <v/>
      </c>
      <c r="AN18" s="134">
        <f t="shared" si="8"/>
        <v>0.17378449369799379</v>
      </c>
      <c r="AO18" s="138">
        <f t="shared" si="8"/>
        <v>9.4676845446784286E-2</v>
      </c>
      <c r="AP18" s="135" t="str">
        <f t="shared" si="8"/>
        <v/>
      </c>
      <c r="AQ18" s="135" t="str">
        <f t="shared" si="8"/>
        <v/>
      </c>
      <c r="AR18" s="135" t="str">
        <f t="shared" si="8"/>
        <v/>
      </c>
      <c r="AS18" s="135" t="str">
        <f t="shared" si="8"/>
        <v/>
      </c>
      <c r="AT18" s="135" t="str">
        <f t="shared" si="8"/>
        <v/>
      </c>
      <c r="AU18" s="136" t="str">
        <f t="shared" si="8"/>
        <v/>
      </c>
      <c r="AV18" s="137">
        <f t="shared" si="8"/>
        <v>9.4676845446784286E-2</v>
      </c>
    </row>
    <row r="19" spans="1:48" x14ac:dyDescent="0.3">
      <c r="A19" s="53" t="str">
        <f t="shared" ref="A19" si="9">+IF(C19+C20=0,"[ocultar]","")</f>
        <v/>
      </c>
      <c r="B19" s="57" t="s">
        <v>162</v>
      </c>
      <c r="C19" s="56">
        <f t="array" ref="C19">SUM(IF($B19=DATOS_[Sexo],
IF($B18=DATOS_[AGRUP. VALOR. PTO.],
IF("Dentro"=DATOS_[Check Periodo Ref.],
1/(COUNTIFS(DATOS_[Sexo],$B19,DATOS_[AGRUP. VALOR. PTO.],$B18,DATOS_[Check Periodo Ref.],"Dentro",DATOS_[id],DATOS_[id]))))))</f>
        <v>3</v>
      </c>
      <c r="D19" s="58">
        <f>COUNTIFS(DATOS_[AGRUP. VALOR. PTO.],$B18,DATOS_[Sexo],$B19,DATOS_[Check Periodo Ref.],"Dentro")</f>
        <v>3</v>
      </c>
      <c r="E19" s="58">
        <f>COUNTIFS(DATOS_[AGRUP. VALOR. PTO.],$B18,DATOS_[Sexo],$B19,DATOS_[Check Periodo Ref.],"Dentro",DATOS_[Check Nº SC Norm],"Sí")</f>
        <v>0</v>
      </c>
      <c r="F19" s="58">
        <f>COUNTIFS(DATOS_[AGRUP. VALOR. PTO.],$B18,DATOS_[Sexo],$B19,DATOS_[Check Periodo Ref.],"Dentro",DATOS_[Check Nº SC Anualiz],"Sí")</f>
        <v>0</v>
      </c>
      <c r="G19" s="58">
        <f>COUNTIFS(DATOS_[AGRUP. VALOR. PTO.],$B18,DATOS_[Sexo],$B19,DATOS_[Check Periodo Ref.],"Dentro",DATOS_[Check Nº SC Norm y Anualiz],"Sí")</f>
        <v>0</v>
      </c>
      <c r="H19" s="58">
        <f>COUNTIFS(DATOS_[AGRUP. VALOR. PTO.],$B18,DATOS_[Sexo],$B19,DATOS_[Check Periodo Ref.],"Dentro",DATOS_[Check Equiparación],"Sí")</f>
        <v>0</v>
      </c>
      <c r="I19" s="100">
        <f t="array" ref="I19">IFERROR(
AVERAGE(IF(DATOS_[Sexo]=$B19,IF(DATOS_[[AGRUP. VALOR. PTO.]:[AGRUP. VALOR. PTO.]]=$B18,IF(DATOS_[Check Equiparado]="Sí",IF(DATOS_[Check Periodo Ref.]="Dentro",DATOS_[SALARIO BASE Eq],FALSE))))),
0)</f>
        <v>18547.37</v>
      </c>
      <c r="J19" s="101">
        <f t="array" ref="J19">IFERROR(
(AVERAGE((IF(DATOS_[[Sexo]:[Sexo]]=$B19,IF(DATOS_[[AGRUP. VALOR. PTO.]:[AGRUP. VALOR. PTO.]]=$B18,IF(DATOS_[[Check Periodo Ref.]:[Check Periodo Ref.]]="Dentro",IF(DATOS_[[Check Equiparado]:[Check Equiparado]]="Sí",IF(DATOS!AE$5="Sí",(1/DATOS_[[% anualiz]:[% anualiz]]),1)*IF(DATOS!AE$4="Sí",1/DATOS_[[% normaliz]:[% normaliz]],1)*(DATOS_[Conc.Sal.01])))))))),
0)</f>
        <v>16452.63</v>
      </c>
      <c r="K19" s="101">
        <f t="array" ref="K19">IFERROR(
(AVERAGE((IF(DATOS_[[Sexo]:[Sexo]]=$B19,IF(DATOS_[[AGRUP. VALOR. PTO.]:[AGRUP. VALOR. PTO.]]=$B18,IF(DATOS_[[Check Periodo Ref.]:[Check Periodo Ref.]]="Dentro",IF(DATOS_[[Check Equiparado]:[Check Equiparado]]="Sí",IF(DATOS!AF$5="Sí",(1/DATOS_[[% anualiz]:[% anualiz]]),1)*IF(DATOS!AF$4="Sí",1/DATOS_[[% normaliz]:[% normaliz]],1)*(DATOS_[Conc.Sal.02])))))))),
0)</f>
        <v>1978.3861333333334</v>
      </c>
      <c r="L19" s="101">
        <f t="array" ref="L19">IFERROR(
(AVERAGE((IF(DATOS_[[Sexo]:[Sexo]]=$B19,IF(DATOS_[[AGRUP. VALOR. PTO.]:[AGRUP. VALOR. PTO.]]=$B18,IF(DATOS_[[Check Periodo Ref.]:[Check Periodo Ref.]]="Dentro",IF(DATOS_[[Check Equiparado]:[Check Equiparado]]="Sí",IF(DATOS!AG$5="Sí",(1/DATOS_[[% anualiz]:[% anualiz]]),1)*IF(DATOS!AG$4="Sí",1/DATOS_[[% normaliz]:[% normaliz]],1)*(DATOS_[Conc.Sal.03])))))))),
0)</f>
        <v>0</v>
      </c>
      <c r="M19" s="101">
        <f t="array" ref="M19">IFERROR(
(AVERAGE((IF(DATOS_[[Sexo]:[Sexo]]=$B19,IF(DATOS_[[AGRUP. VALOR. PTO.]:[AGRUP. VALOR. PTO.]]=$B18,IF(DATOS_[[Check Periodo Ref.]:[Check Periodo Ref.]]="Dentro",IF(DATOS_[[Check Equiparado]:[Check Equiparado]]="Sí",IF(DATOS!AH$5="Sí",(1/DATOS_[[% anualiz]:[% anualiz]]),1)*IF(DATOS!AH$4="Sí",1/DATOS_[[% normaliz]:[% normaliz]],1)*(DATOS_[Conc.Sal.04])))))))),
0)</f>
        <v>3566.6666666666665</v>
      </c>
      <c r="N19" s="101">
        <f t="array" ref="N19">IFERROR(
(AVERAGE((IF(DATOS_[[Sexo]:[Sexo]]=$B19,IF(DATOS_[[AGRUP. VALOR. PTO.]:[AGRUP. VALOR. PTO.]]=$B18,IF(DATOS_[[Check Periodo Ref.]:[Check Periodo Ref.]]="Dentro",IF(DATOS_[[Check Equiparado]:[Check Equiparado]]="Sí",IF(DATOS!AI$5="Sí",(1/DATOS_[[% anualiz]:[% anualiz]]),1)*IF(DATOS!AI$4="Sí",1/DATOS_[[% normaliz]:[% normaliz]],1)*(DATOS_[Conc.Sal.05])))))))),
0)</f>
        <v>0</v>
      </c>
      <c r="O19" s="101">
        <f t="array" ref="O19">IFERROR(
(AVERAGE((IF(DATOS_[[Sexo]:[Sexo]]=$B19,IF(DATOS_[[AGRUP. VALOR. PTO.]:[AGRUP. VALOR. PTO.]]=$B18,IF(DATOS_[[Check Periodo Ref.]:[Check Periodo Ref.]]="Dentro",IF(DATOS_[[Check Equiparado]:[Check Equiparado]]="Sí",IF(DATOS!AJ$5="Sí",(1/DATOS_[[% anualiz]:[% anualiz]]),1)*IF(DATOS!AJ$4="Sí",1/DATOS_[[% normaliz]:[% normaliz]],1)*(DATOS_[Conc.Sal.06])))))))),
0)</f>
        <v>0</v>
      </c>
      <c r="P19" s="101">
        <f t="array" ref="P19">IFERROR(
(AVERAGE((IF(DATOS_[[Sexo]:[Sexo]]=$B19,IF(DATOS_[[AGRUP. VALOR. PTO.]:[AGRUP. VALOR. PTO.]]=$B18,IF(DATOS_[[Check Periodo Ref.]:[Check Periodo Ref.]]="Dentro",IF(DATOS_[[Check Equiparado]:[Check Equiparado]]="Sí",IF(DATOS!AK$5="Sí",(1/DATOS_[[% anualiz]:[% anualiz]]),1)*IF(DATOS!AK$4="Sí",1/DATOS_[[% normaliz]:[% normaliz]],1)*(DATOS_[Conc.Sal.07])))))))),
0)</f>
        <v>200</v>
      </c>
      <c r="Q19" s="101">
        <f t="array" ref="Q19">IFERROR(
(AVERAGE((IF(DATOS_[[Sexo]:[Sexo]]=$B19,IF(DATOS_[[AGRUP. VALOR. PTO.]:[AGRUP. VALOR. PTO.]]=$B18,IF(DATOS_[[Check Periodo Ref.]:[Check Periodo Ref.]]="Dentro",IF(DATOS_[[Check Equiparado]:[Check Equiparado]]="Sí",IF(DATOS!AL$5="Sí",(1/DATOS_[[% anualiz]:[% anualiz]]),1)*IF(DATOS!AL$4="Sí",1/DATOS_[[% normaliz]:[% normaliz]],1)*(DATOS_[Conc.Sal.08])))))))),
0)</f>
        <v>0</v>
      </c>
      <c r="R19" s="101">
        <f t="array" ref="R19">IFERROR(
(AVERAGE((IF(DATOS_[[Sexo]:[Sexo]]=$B19,IF(DATOS_[[AGRUP. VALOR. PTO.]:[AGRUP. VALOR. PTO.]]=$B18,IF(DATOS_[[Check Periodo Ref.]:[Check Periodo Ref.]]="Dentro",IF(DATOS_[[Check Equiparado]:[Check Equiparado]]="Sí",IF(DATOS!AM$5="Sí",(1/DATOS_[[% anualiz]:[% anualiz]]),1)*IF(DATOS!AM$4="Sí",1/DATOS_[[% normaliz]:[% normaliz]],1)*(DATOS_[Conc.Sal.09])))))))),
0)</f>
        <v>0</v>
      </c>
      <c r="S19" s="101">
        <f t="array" ref="S19">IFERROR(
(AVERAGE((IF(DATOS_[[Sexo]:[Sexo]]=$B19,IF(DATOS_[[AGRUP. VALOR. PTO.]:[AGRUP. VALOR. PTO.]]=$B18,IF(DATOS_[[Check Periodo Ref.]:[Check Periodo Ref.]]="Dentro",IF(DATOS_[[Check Equiparado]:[Check Equiparado]]="Sí",IF(DATOS!AN$5="Sí",(1/DATOS_[[% anualiz]:[% anualiz]]),1)*IF(DATOS!AN$4="Sí",1/DATOS_[[% normaliz]:[% normaliz]],1)*(DATOS_[Conc.Sal.10])))))))),
0)</f>
        <v>0</v>
      </c>
      <c r="T19" s="101">
        <f t="array" ref="T19">IFERROR(
(AVERAGE((IF(DATOS_[[Sexo]:[Sexo]]=$B19,IF(DATOS_[[AGRUP. VALOR. PTO.]:[AGRUP. VALOR. PTO.]]=$B18,IF(DATOS_[[Check Periodo Ref.]:[Check Periodo Ref.]]="Dentro",IF(DATOS_[[Check Equiparado]:[Check Equiparado]]="Sí",IF(DATOS!AO$5="Sí",(1/DATOS_[[% anualiz]:[% anualiz]]),1)*IF(DATOS!AO$4="Sí",1/DATOS_[[% normaliz]:[% normaliz]],1)*(DATOS_[Conc.Sal.11])))))))),
0)</f>
        <v>0</v>
      </c>
      <c r="U19" s="101">
        <f t="array" ref="U19">IFERROR(
(AVERAGE((IF(DATOS_[[Sexo]:[Sexo]]=$B19,IF(DATOS_[[AGRUP. VALOR. PTO.]:[AGRUP. VALOR. PTO.]]=$B18,IF(DATOS_[[Check Periodo Ref.]:[Check Periodo Ref.]]="Dentro",IF(DATOS_[[Check Equiparado]:[Check Equiparado]]="Sí",IF(DATOS!AP$5="Sí",(1/DATOS_[[% anualiz]:[% anualiz]]),1)*IF(DATOS!AP$4="Sí",1/DATOS_[[% normaliz]:[% normaliz]],1)*(DATOS_[Conc.Sal.12])))))))),
0)</f>
        <v>0</v>
      </c>
      <c r="V19" s="101">
        <f t="array" ref="V19">IFERROR(
(AVERAGE((IF(DATOS_[[Sexo]:[Sexo]]=$B19,IF(DATOS_[[AGRUP. VALOR. PTO.]:[AGRUP. VALOR. PTO.]]=$B18,IF(DATOS_[[Check Periodo Ref.]:[Check Periodo Ref.]]="Dentro",IF(DATOS_[[Check Equiparado]:[Check Equiparado]]="Sí",IF(DATOS!AQ$5="Sí",(1/DATOS_[[% anualiz]:[% anualiz]]),1)*IF(DATOS!AQ$4="Sí",1/DATOS_[[% normaliz]:[% normaliz]],1)*(DATOS_[Conc.Sal.13])))))))),
0)</f>
        <v>0</v>
      </c>
      <c r="W19" s="101">
        <f t="array" ref="W19">IFERROR(
(AVERAGE((IF(DATOS_[[Sexo]:[Sexo]]=$B19,IF(DATOS_[[AGRUP. VALOR. PTO.]:[AGRUP. VALOR. PTO.]]=$B18,IF(DATOS_[[Check Periodo Ref.]:[Check Periodo Ref.]]="Dentro",IF(DATOS_[[Check Equiparado]:[Check Equiparado]]="Sí",IF(DATOS!AR$5="Sí",(1/DATOS_[[% anualiz]:[% anualiz]]),1)*IF(DATOS!AR$4="Sí",1/DATOS_[[% normaliz]:[% normaliz]],1)*(DATOS_[Conc.Sal.14])))))))),
0)</f>
        <v>0</v>
      </c>
      <c r="X19" s="101">
        <f t="array" ref="X19">IFERROR(
(AVERAGE((IF(DATOS_[[Sexo]:[Sexo]]=$B19,IF(DATOS_[[AGRUP. VALOR. PTO.]:[AGRUP. VALOR. PTO.]]=$B18,IF(DATOS_[[Check Periodo Ref.]:[Check Periodo Ref.]]="Dentro",IF(DATOS_[[Check Equiparado]:[Check Equiparado]]="Sí",IF(DATOS!AS$5="Sí",(1/DATOS_[[% anualiz]:[% anualiz]]),1)*IF(DATOS!AS$4="Sí",1/DATOS_[[% normaliz]:[% normaliz]],1)*(DATOS_[Conc.Sal.15])))))))),
0)</f>
        <v>0</v>
      </c>
      <c r="Y19" s="101">
        <f t="array" ref="Y19">IFERROR(
(AVERAGE((IF(DATOS_[[Sexo]:[Sexo]]=$B19,IF(DATOS_[[AGRUP. VALOR. PTO.]:[AGRUP. VALOR. PTO.]]=$B18,IF(DATOS_[[Check Periodo Ref.]:[Check Periodo Ref.]]="Dentro",IF(DATOS_[[Check Equiparado]:[Check Equiparado]]="Sí",IF(DATOS!AT$5="Sí",(1/DATOS_[[% anualiz]:[% anualiz]]),1)*IF(DATOS!AT$4="Sí",1/DATOS_[[% normaliz]:[% normaliz]],1)*(DATOS_[Conc.Sal.16])))))))),
0)</f>
        <v>0</v>
      </c>
      <c r="Z19" s="101">
        <f t="array" ref="Z19">IFERROR(
(AVERAGE((IF(DATOS_[[Sexo]:[Sexo]]=$B19,IF(DATOS_[[AGRUP. VALOR. PTO.]:[AGRUP. VALOR. PTO.]]=$B18,IF(DATOS_[[Check Periodo Ref.]:[Check Periodo Ref.]]="Dentro",IF(DATOS_[[Check Equiparado]:[Check Equiparado]]="Sí",IF(DATOS!AU$5="Sí",(1/DATOS_[[% anualiz]:[% anualiz]]),1)*IF(DATOS!AU$4="Sí",1/DATOS_[[% normaliz]:[% normaliz]],1)*(DATOS_[Conc.Sal.17])))))))),
0)</f>
        <v>0</v>
      </c>
      <c r="AA19" s="101">
        <f t="array" ref="AA19">IFERROR(
(AVERAGE((IF(DATOS_[[Sexo]:[Sexo]]=$B19,IF(DATOS_[[AGRUP. VALOR. PTO.]:[AGRUP. VALOR. PTO.]]=$B18,IF(DATOS_[[Check Periodo Ref.]:[Check Periodo Ref.]]="Dentro",IF(DATOS_[[Check Equiparado]:[Check Equiparado]]="Sí",IF(DATOS!AV$5="Sí",(1/DATOS_[[% anualiz]:[% anualiz]]),1)*IF(DATOS!AV$4="Sí",1/DATOS_[[% normaliz]:[% normaliz]],1)*(DATOS_[Conc.Sal.18])))))))),
0)</f>
        <v>0</v>
      </c>
      <c r="AB19" s="101">
        <f t="array" ref="AB19">IFERROR(
(AVERAGE((IF(DATOS_[[Sexo]:[Sexo]]=$B19,IF(DATOS_[[AGRUP. VALOR. PTO.]:[AGRUP. VALOR. PTO.]]=$B18,IF(DATOS_[[Check Periodo Ref.]:[Check Periodo Ref.]]="Dentro",IF(DATOS_[[Check Equiparado]:[Check Equiparado]]="Sí",IF(DATOS!AW$5="Sí",(1/DATOS_[[% anualiz]:[% anualiz]]),1)*IF(DATOS!AW$4="Sí",1/DATOS_[[% normaliz]:[% normaliz]],1)*(DATOS_[Conc.Sal.19])))))))),
0)</f>
        <v>0</v>
      </c>
      <c r="AC19" s="101">
        <f t="array" ref="AC19">IFERROR(
(AVERAGE((IF(DATOS_[[Sexo]:[Sexo]]=$B19,IF(DATOS_[[AGRUP. VALOR. PTO.]:[AGRUP. VALOR. PTO.]]=$B18,IF(DATOS_[[Check Periodo Ref.]:[Check Periodo Ref.]]="Dentro",IF(DATOS_[[Check Equiparado]:[Check Equiparado]]="Sí",IF(DATOS!AX$5="Sí",(1/DATOS_[[% anualiz]:[% anualiz]]),1)*IF(DATOS!AX$4="Sí",1/DATOS_[[% normaliz]:[% normaliz]],1)*(DATOS_[Conc.Sal.20])))))))),
0)</f>
        <v>0</v>
      </c>
      <c r="AD19" s="101">
        <f t="array" ref="AD19">IFERROR(
(AVERAGE((IF(DATOS_[[Sexo]:[Sexo]]=$B19,IF(DATOS_[[AGRUP. VALOR. PTO.]:[AGRUP. VALOR. PTO.]]=$B18,IF(DATOS_[[Check Periodo Ref.]:[Check Periodo Ref.]]="Dentro",IF(DATOS_[[Check Equiparado]:[Check Equiparado]]="Sí",IF(DATOS!AY$5="Sí",(1/DATOS_[[% anualiz]:[% anualiz]]),1)*IF(DATOS!AY$4="Sí",1/DATOS_[[% normaliz]:[% normaliz]],1)*(DATOS_[Conc.Sal.21])))))))),
0)</f>
        <v>0</v>
      </c>
      <c r="AE19" s="101">
        <f t="array" ref="AE19">IFERROR(
(AVERAGE((IF(DATOS_[[Sexo]:[Sexo]]=$B19,IF(DATOS_[[AGRUP. VALOR. PTO.]:[AGRUP. VALOR. PTO.]]=$B18,IF(DATOS_[[Check Periodo Ref.]:[Check Periodo Ref.]]="Dentro",IF(DATOS_[[Check Equiparado]:[Check Equiparado]]="Sí",IF(DATOS!AZ$5="Sí",(1/DATOS_[[% anualiz]:[% anualiz]]),1)*IF(DATOS!AZ$4="Sí",1/DATOS_[[% normaliz]:[% normaliz]],1)*(DATOS_[Conc.Sal.22])))))))),
0)</f>
        <v>0</v>
      </c>
      <c r="AF19" s="101">
        <f t="array" ref="AF19">IFERROR(
(AVERAGE((IF(DATOS_[[Sexo]:[Sexo]]=$B19,IF(DATOS_[[AGRUP. VALOR. PTO.]:[AGRUP. VALOR. PTO.]]=$B18,IF(DATOS_[[Check Periodo Ref.]:[Check Periodo Ref.]]="Dentro",IF(DATOS_[[Check Equiparado]:[Check Equiparado]]="Sí",IF(DATOS!BA$5="Sí",(1/DATOS_[[% anualiz]:[% anualiz]]),1)*IF(DATOS!BA$4="Sí",1/DATOS_[[% normaliz]:[% normaliz]],1)*(DATOS_[Conc.Sal.23])))))))),
0)</f>
        <v>0</v>
      </c>
      <c r="AG19" s="101">
        <f t="array" ref="AG19">IFERROR(
(AVERAGE((IF(DATOS_[[Sexo]:[Sexo]]=$B19,IF(DATOS_[[AGRUP. VALOR. PTO.]:[AGRUP. VALOR. PTO.]]=$B18,IF(DATOS_[[Check Periodo Ref.]:[Check Periodo Ref.]]="Dentro",IF(DATOS_[[Check Equiparado]:[Check Equiparado]]="Sí",IF(DATOS!BB$5="Sí",(1/DATOS_[[% anualiz]:[% anualiz]]),1)*IF(DATOS!BB$4="Sí",1/DATOS_[[% normaliz]:[% normaliz]],1)*(DATOS_[Conc.Sal.24])))))))),
0)</f>
        <v>0</v>
      </c>
      <c r="AH19" s="101">
        <f t="array" ref="AH19">IFERROR(
(AVERAGE((IF(DATOS_[[Sexo]:[Sexo]]=$B19,IF(DATOS_[[AGRUP. VALOR. PTO.]:[AGRUP. VALOR. PTO.]]=$B18,IF(DATOS_[[Check Periodo Ref.]:[Check Periodo Ref.]]="Dentro",IF(DATOS_[[Check Equiparado]:[Check Equiparado]]="Sí",IF(DATOS!BC$5="Sí",(1/DATOS_[[% anualiz]:[% anualiz]]),1)*IF(DATOS!BC$4="Sí",1/DATOS_[[% normaliz]:[% normaliz]],1)*(DATOS_[Conc.Sal.25])))))))),
0)</f>
        <v>0</v>
      </c>
      <c r="AI19" s="101">
        <f t="array" ref="AI19">IFERROR(
(AVERAGE((IF(DATOS_[[Sexo]:[Sexo]]=$B19,IF(DATOS_[[AGRUP. VALOR. PTO.]:[AGRUP. VALOR. PTO.]]=$B18,IF(DATOS_[[Check Periodo Ref.]:[Check Periodo Ref.]]="Dentro",IF(DATOS_[[Check Equiparado]:[Check Equiparado]]="Sí",IF(DATOS!BD$5="Sí",(1/DATOS_[[% anualiz]:[% anualiz]]),1)*IF(DATOS!BD$4="Sí",1/DATOS_[[% normaliz]:[% normaliz]],1)*(DATOS_[Conc.Sal.26])))))))),
0)</f>
        <v>0</v>
      </c>
      <c r="AJ19" s="101">
        <f t="array" ref="AJ19">IFERROR(
(AVERAGE((IF(DATOS_[[Sexo]:[Sexo]]=$B19,IF(DATOS_[[AGRUP. VALOR. PTO.]:[AGRUP. VALOR. PTO.]]=$B18,IF(DATOS_[[Check Periodo Ref.]:[Check Periodo Ref.]]="Dentro",IF(DATOS_[[Check Equiparado]:[Check Equiparado]]="Sí",IF(DATOS!BE$5="Sí",(1/DATOS_[[% anualiz]:[% anualiz]]),1)*IF(DATOS!BE$4="Sí",1/DATOS_[[% normaliz]:[% normaliz]],1)*(DATOS_[Conc.Sal.27])))))))),
0)</f>
        <v>0</v>
      </c>
      <c r="AK19" s="101">
        <f t="array" ref="AK19">IFERROR(
(AVERAGE((IF(DATOS_[[Sexo]:[Sexo]]=$B19,IF(DATOS_[[AGRUP. VALOR. PTO.]:[AGRUP. VALOR. PTO.]]=$B18,IF(DATOS_[[Check Periodo Ref.]:[Check Periodo Ref.]]="Dentro",IF(DATOS_[[Check Equiparado]:[Check Equiparado]]="Sí",IF(DATOS!BF$5="Sí",(1/DATOS_[[% anualiz]:[% anualiz]]),1)*IF(DATOS!BF$4="Sí",1/DATOS_[[% normaliz]:[% normaliz]],1)*(DATOS_[Conc.Sal.28])))))))),
0)</f>
        <v>0</v>
      </c>
      <c r="AL19" s="101">
        <f t="array" ref="AL19">IFERROR(
(AVERAGE((IF(DATOS_[[Sexo]:[Sexo]]=$B19,IF(DATOS_[[AGRUP. VALOR. PTO.]:[AGRUP. VALOR. PTO.]]=$B18,IF(DATOS_[[Check Periodo Ref.]:[Check Periodo Ref.]]="Dentro",IF(DATOS_[[Check Equiparado]:[Check Equiparado]]="Sí",IF(DATOS!BG$5="Sí",(1/DATOS_[[% anualiz]:[% anualiz]]),1)*IF(DATOS!BG$4="Sí",1/DATOS_[[% normaliz]:[% normaliz]],1)*(DATOS_[Conc.Sal.29])))))))),
0)</f>
        <v>0</v>
      </c>
      <c r="AM19" s="101">
        <f t="array" ref="AM19">IFERROR(
(AVERAGE((IF(DATOS_[[Sexo]:[Sexo]]=$B19,IF(DATOS_[[AGRUP. VALOR. PTO.]:[AGRUP. VALOR. PTO.]]=$B18,IF(DATOS_[[Check Periodo Ref.]:[Check Periodo Ref.]]="Dentro",IF(DATOS_[[Check Equiparado]:[Check Equiparado]]="Sí",IF(DATOS!BH$5="Sí",(1/DATOS_[[% anualiz]:[% anualiz]]),1)*IF(DATOS!BH$4="Sí",1/DATOS_[[% normaliz]:[% normaliz]],1)*(DATOS_[Conc.Sal.30])))))))),
0)</f>
        <v>0</v>
      </c>
      <c r="AN19" s="102">
        <f t="array" ref="AN19">IFERROR(
AVERAGE(IF(DATOS_[Sexo]=$B19,IF(DATOS_[[AGRUP. VALOR. PTO.]:[AGRUP. VALOR. PTO.]]=$B18,IF(DATOS_[Check Equiparado]="Sí",IF(DATOS_[Check Periodo Ref.]="Dentro",DATOS_[Tot COMPL.SAL Eq],FALSE))))),
0)</f>
        <v>22197.682799999999</v>
      </c>
      <c r="AO19" s="103">
        <f t="array" ref="AO19">IFERROR(
AVERAGE(IF(DATOS_[Sexo]=$B19,IF(DATOS_[[AGRUP. VALOR. PTO.]:[AGRUP. VALOR. PTO.]]=$B18,IF(DATOS_[Check Equiparado]="Sí",IF(DATOS_[Check Periodo Ref.]="Dentro",DATOS_[TOTAL SALARIO Eq],FALSE))))),
0)</f>
        <v>40745.052799999998</v>
      </c>
      <c r="AP19" s="104">
        <f t="array" ref="AP19">IFERROR(
(AVERAGE((IF(DATOS_[[Sexo]:[Sexo]]=$B19,IF(DATOS_[[AGRUP. VALOR. PTO.]:[AGRUP. VALOR. PTO.]]=$B18,IF(DATOS_[[Check Periodo Ref.]:[Check Periodo Ref.]]="Dentro",IF(DATOS_[[Check Equiparado]:[Check Equiparado]]="Sí",IF(DATOS!BI$5="Sí",(1/DATOS_[[% anualiz]:[% anualiz]]),1)*IF(DATOS!BI$4="Sí",1/DATOS_[[% normaliz]:[% normaliz]],1)*(DATOS_[C.Extra.01])))))))),
0)</f>
        <v>0</v>
      </c>
      <c r="AQ19" s="104">
        <f t="array" ref="AQ19">IFERROR(
(AVERAGE((IF(DATOS_[[Sexo]:[Sexo]]=$B19,IF(DATOS_[[AGRUP. VALOR. PTO.]:[AGRUP. VALOR. PTO.]]=$B18,IF(DATOS_[[Check Periodo Ref.]:[Check Periodo Ref.]]="Dentro",IF(DATOS_[[Check Equiparado]:[Check Equiparado]]="Sí",IF(DATOS!BJ$5="Sí",(1/DATOS_[[% anualiz]:[% anualiz]]),1)*IF(DATOS!BJ$4="Sí",1/DATOS_[[% normaliz]:[% normaliz]],1)*(DATOS_[C.Extra.02])))))))),
0)</f>
        <v>0</v>
      </c>
      <c r="AR19" s="104">
        <f t="array" ref="AR19">IFERROR(
(AVERAGE((IF(DATOS_[[Sexo]:[Sexo]]=$B19,IF(DATOS_[[AGRUP. VALOR. PTO.]:[AGRUP. VALOR. PTO.]]=$B18,IF(DATOS_[[Check Periodo Ref.]:[Check Periodo Ref.]]="Dentro",IF(DATOS_[[Check Equiparado]:[Check Equiparado]]="Sí",IF(DATOS!BK$5="Sí",(1/DATOS_[[% anualiz]:[% anualiz]]),1)*IF(DATOS!BK$4="Sí",1/DATOS_[[% normaliz]:[% normaliz]],1)*(DATOS_[C.Extra.03])))))))),
0)</f>
        <v>0</v>
      </c>
      <c r="AS19" s="104">
        <f t="array" ref="AS19">IFERROR(
(AVERAGE((IF(DATOS_[[Sexo]:[Sexo]]=$B19,IF(DATOS_[[AGRUP. VALOR. PTO.]:[AGRUP. VALOR. PTO.]]=$B18,IF(DATOS_[[Check Periodo Ref.]:[Check Periodo Ref.]]="Dentro",IF(DATOS_[[Check Equiparado]:[Check Equiparado]]="Sí",IF(DATOS!BL$5="Sí",(1/DATOS_[[% anualiz]:[% anualiz]]),1)*IF(DATOS!BL$4="Sí",1/DATOS_[[% normaliz]:[% normaliz]],1)*(DATOS_[C.Extra.04])))))))),
0)</f>
        <v>0</v>
      </c>
      <c r="AT19" s="104">
        <f t="array" ref="AT19">IFERROR(
(AVERAGE((IF(DATOS_[[Sexo]:[Sexo]]=$B19,IF(DATOS_[[AGRUP. VALOR. PTO.]:[AGRUP. VALOR. PTO.]]=$B18,IF(DATOS_[[Check Periodo Ref.]:[Check Periodo Ref.]]="Dentro",IF(DATOS_[[Check Equiparado]:[Check Equiparado]]="Sí",IF(DATOS!BM$5="Sí",(1/DATOS_[[% anualiz]:[% anualiz]]),1)*IF(DATOS!BM$4="Sí",1/DATOS_[[% normaliz]:[% normaliz]],1)*(DATOS_[C.Extra.05])))))))),
0)</f>
        <v>0</v>
      </c>
      <c r="AU19" s="105">
        <f t="array" ref="AU19">IFERROR(
AVERAGE(IF(DATOS_[Sexo]=$B19,IF(DATOS_[[AGRUP. VALOR. PTO.]:[AGRUP. VALOR. PTO.]]=$B18,IF(DATOS_[Check Equiparado]="Sí",IF(DATOS_[Check Periodo Ref.]="Dentro",DATOS_[Tot Extrasalarial Eq],FALSE))))),
0)</f>
        <v>0</v>
      </c>
      <c r="AV19" s="106">
        <f t="array" ref="AV19">IFERROR(
AVERAGE(IF(DATOS_[Sexo]=$B19,IF(DATOS_[[AGRUP. VALOR. PTO.]:[AGRUP. VALOR. PTO.]]=$B18,IF(DATOS_[Check Equiparado]="Sí",IF(DATOS_[Check Periodo Ref.]="Dentro",DATOS_[TOTAL Retrib Eq],FALSE))))),
0)</f>
        <v>40745.052799999998</v>
      </c>
    </row>
    <row r="20" spans="1:48" x14ac:dyDescent="0.3">
      <c r="A20" s="53" t="str">
        <f t="shared" ref="A20" si="10">+A19</f>
        <v/>
      </c>
      <c r="B20" s="57" t="s">
        <v>163</v>
      </c>
      <c r="C20" s="56">
        <f t="array" ref="C20">SUM(IF($B20=DATOS_[Sexo],
IF($B18=DATOS_[AGRUP. VALOR. PTO.],
IF("Dentro"=DATOS_[Check Periodo Ref.],
1/(COUNTIFS(DATOS_[Sexo],$B20,DATOS_[AGRUP. VALOR. PTO.],$B18,DATOS_[Check Periodo Ref.],"Dentro",DATOS_[id],DATOS_[id]))))))</f>
        <v>4</v>
      </c>
      <c r="D20" s="58">
        <f>COUNTIFS(DATOS_[AGRUP. VALOR. PTO.],$B18,DATOS_[Sexo],$B20,DATOS_[Check Periodo Ref.],"Dentro")</f>
        <v>4</v>
      </c>
      <c r="E20" s="58">
        <f>COUNTIFS(DATOS_[AGRUP. VALOR. PTO.],$B18,DATOS_[Sexo],$B20,DATOS_[Check Periodo Ref.],"Dentro",DATOS_[Check Nº SC Norm],"Sí")</f>
        <v>0</v>
      </c>
      <c r="F20" s="58">
        <f>COUNTIFS(DATOS_[AGRUP. VALOR. PTO.],$B18,DATOS_[Sexo],$B20,DATOS_[Check Periodo Ref.],"Dentro",DATOS_[Check Nº SC Anualiz],"Sí")</f>
        <v>1</v>
      </c>
      <c r="G20" s="58">
        <f>COUNTIFS(DATOS_[AGRUP. VALOR. PTO.],$B18,DATOS_[Sexo],$B20,DATOS_[Check Periodo Ref.],"Dentro",DATOS_[Check Nº SC Norm y Anualiz],"Sí")</f>
        <v>0</v>
      </c>
      <c r="H20" s="58">
        <f>COUNTIFS(DATOS_[AGRUP. VALOR. PTO.],$B18,DATOS_[Sexo],$B20,DATOS_[Check Periodo Ref.],"Dentro",DATOS_[Check Equiparación],"Sí")</f>
        <v>1</v>
      </c>
      <c r="I20" s="100" cm="1">
        <f t="array" ref="I20">IFERROR(
AVERAGE(IF(DATOS_[Sexo]=$B20,IF(DATOS_[[AGRUP. VALOR. PTO.]:[AGRUP. VALOR. PTO.]]=$B18,IF(DATOS_[Check Equiparado]="Sí",IF(DATOS_[Check Periodo Ref.]="Dentro",DATOS_[SALARIO BASE Eq],FALSE))))),
0)</f>
        <v>18547.37</v>
      </c>
      <c r="J20" s="101">
        <f t="array" ref="J20">IFERROR(
(AVERAGE((IF(DATOS_[[Sexo]:[Sexo]]=$B20,IF(DATOS_[[AGRUP. VALOR. PTO.]:[AGRUP. VALOR. PTO.]]=$B18,IF(DATOS_[[Check Periodo Ref.]:[Check Periodo Ref.]]="Dentro",IF(DATOS_[[Check Equiparado]:[Check Equiparado]]="Sí",IF(DATOS!AE$5="Sí",(1/DATOS_[[% anualiz]:[% anualiz]]),1)*IF(DATOS!AE$4="Sí",1/DATOS_[[% normaliz]:[% normaliz]],1)*(DATOS_[Conc.Sal.01])))))))),
0)</f>
        <v>12817.543333333335</v>
      </c>
      <c r="K20" s="101">
        <f t="array" ref="K20">IFERROR(
(AVERAGE((IF(DATOS_[[Sexo]:[Sexo]]=$B20,IF(DATOS_[[AGRUP. VALOR. PTO.]:[AGRUP. VALOR. PTO.]]=$B18,IF(DATOS_[[Check Periodo Ref.]:[Check Periodo Ref.]]="Dentro",IF(DATOS_[[Check Equiparado]:[Check Equiparado]]="Sí",IF(DATOS!AF$5="Sí",(1/DATOS_[[% anualiz]:[% anualiz]]),1)*IF(DATOS!AF$4="Sí",1/DATOS_[[% normaliz]:[% normaliz]],1)*(DATOS_[Conc.Sal.02])))))))),
0)</f>
        <v>989.1930666666666</v>
      </c>
      <c r="L20" s="101">
        <f t="array" ref="L20">IFERROR(
(AVERAGE((IF(DATOS_[[Sexo]:[Sexo]]=$B20,IF(DATOS_[[AGRUP. VALOR. PTO.]:[AGRUP. VALOR. PTO.]]=$B18,IF(DATOS_[[Check Periodo Ref.]:[Check Periodo Ref.]]="Dentro",IF(DATOS_[[Check Equiparado]:[Check Equiparado]]="Sí",IF(DATOS!AG$5="Sí",(1/DATOS_[[% anualiz]:[% anualiz]]),1)*IF(DATOS!AG$4="Sí",1/DATOS_[[% normaliz]:[% normaliz]],1)*(DATOS_[Conc.Sal.03])))))))),
0)</f>
        <v>0</v>
      </c>
      <c r="M20" s="101">
        <f t="array" ref="M20">IFERROR(
(AVERAGE((IF(DATOS_[[Sexo]:[Sexo]]=$B20,IF(DATOS_[[AGRUP. VALOR. PTO.]:[AGRUP. VALOR. PTO.]]=$B18,IF(DATOS_[[Check Periodo Ref.]:[Check Periodo Ref.]]="Dentro",IF(DATOS_[[Check Equiparado]:[Check Equiparado]]="Sí",IF(DATOS!AH$5="Sí",(1/DATOS_[[% anualiz]:[% anualiz]]),1)*IF(DATOS!AH$4="Sí",1/DATOS_[[% normaliz]:[% normaliz]],1)*(DATOS_[Conc.Sal.04])))))))),
0)</f>
        <v>4333.333333333333</v>
      </c>
      <c r="N20" s="101">
        <f t="array" ref="N20">IFERROR(
(AVERAGE((IF(DATOS_[[Sexo]:[Sexo]]=$B20,IF(DATOS_[[AGRUP. VALOR. PTO.]:[AGRUP. VALOR. PTO.]]=$B18,IF(DATOS_[[Check Periodo Ref.]:[Check Periodo Ref.]]="Dentro",IF(DATOS_[[Check Equiparado]:[Check Equiparado]]="Sí",IF(DATOS!AI$5="Sí",(1/DATOS_[[% anualiz]:[% anualiz]]),1)*IF(DATOS!AI$4="Sí",1/DATOS_[[% normaliz]:[% normaliz]],1)*(DATOS_[Conc.Sal.05])))))))),
0)</f>
        <v>0</v>
      </c>
      <c r="O20" s="101">
        <f t="array" ref="O20">IFERROR(
(AVERAGE((IF(DATOS_[[Sexo]:[Sexo]]=$B20,IF(DATOS_[[AGRUP. VALOR. PTO.]:[AGRUP. VALOR. PTO.]]=$B18,IF(DATOS_[[Check Periodo Ref.]:[Check Periodo Ref.]]="Dentro",IF(DATOS_[[Check Equiparado]:[Check Equiparado]]="Sí",IF(DATOS!AJ$5="Sí",(1/DATOS_[[% anualiz]:[% anualiz]]),1)*IF(DATOS!AJ$4="Sí",1/DATOS_[[% normaliz]:[% normaliz]],1)*(DATOS_[Conc.Sal.06])))))))),
0)</f>
        <v>0</v>
      </c>
      <c r="P20" s="101">
        <f t="array" ref="P20">IFERROR(
(AVERAGE((IF(DATOS_[[Sexo]:[Sexo]]=$B20,IF(DATOS_[[AGRUP. VALOR. PTO.]:[AGRUP. VALOR. PTO.]]=$B18,IF(DATOS_[[Check Periodo Ref.]:[Check Periodo Ref.]]="Dentro",IF(DATOS_[[Check Equiparado]:[Check Equiparado]]="Sí",IF(DATOS!AK$5="Sí",(1/DATOS_[[% anualiz]:[% anualiz]]),1)*IF(DATOS!AK$4="Sí",1/DATOS_[[% normaliz]:[% normaliz]],1)*(DATOS_[Conc.Sal.07])))))))),
0)</f>
        <v>200</v>
      </c>
      <c r="Q20" s="101">
        <f t="array" ref="Q20">IFERROR(
(AVERAGE((IF(DATOS_[[Sexo]:[Sexo]]=$B20,IF(DATOS_[[AGRUP. VALOR. PTO.]:[AGRUP. VALOR. PTO.]]=$B18,IF(DATOS_[[Check Periodo Ref.]:[Check Periodo Ref.]]="Dentro",IF(DATOS_[[Check Equiparado]:[Check Equiparado]]="Sí",IF(DATOS!AL$5="Sí",(1/DATOS_[[% anualiz]:[% anualiz]]),1)*IF(DATOS!AL$4="Sí",1/DATOS_[[% normaliz]:[% normaliz]],1)*(DATOS_[Conc.Sal.08])))))))),
0)</f>
        <v>0</v>
      </c>
      <c r="R20" s="101">
        <f t="array" ref="R20">IFERROR(
(AVERAGE((IF(DATOS_[[Sexo]:[Sexo]]=$B20,IF(DATOS_[[AGRUP. VALOR. PTO.]:[AGRUP. VALOR. PTO.]]=$B18,IF(DATOS_[[Check Periodo Ref.]:[Check Periodo Ref.]]="Dentro",IF(DATOS_[[Check Equiparado]:[Check Equiparado]]="Sí",IF(DATOS!AM$5="Sí",(1/DATOS_[[% anualiz]:[% anualiz]]),1)*IF(DATOS!AM$4="Sí",1/DATOS_[[% normaliz]:[% normaliz]],1)*(DATOS_[Conc.Sal.09])))))))),
0)</f>
        <v>0</v>
      </c>
      <c r="S20" s="101">
        <f t="array" ref="S20">IFERROR(
(AVERAGE((IF(DATOS_[[Sexo]:[Sexo]]=$B20,IF(DATOS_[[AGRUP. VALOR. PTO.]:[AGRUP. VALOR. PTO.]]=$B18,IF(DATOS_[[Check Periodo Ref.]:[Check Periodo Ref.]]="Dentro",IF(DATOS_[[Check Equiparado]:[Check Equiparado]]="Sí",IF(DATOS!AN$5="Sí",(1/DATOS_[[% anualiz]:[% anualiz]]),1)*IF(DATOS!AN$4="Sí",1/DATOS_[[% normaliz]:[% normaliz]],1)*(DATOS_[Conc.Sal.10])))))))),
0)</f>
        <v>0</v>
      </c>
      <c r="T20" s="101">
        <f t="array" ref="T20">IFERROR(
(AVERAGE((IF(DATOS_[[Sexo]:[Sexo]]=$B20,IF(DATOS_[[AGRUP. VALOR. PTO.]:[AGRUP. VALOR. PTO.]]=$B18,IF(DATOS_[[Check Periodo Ref.]:[Check Periodo Ref.]]="Dentro",IF(DATOS_[[Check Equiparado]:[Check Equiparado]]="Sí",IF(DATOS!AO$5="Sí",(1/DATOS_[[% anualiz]:[% anualiz]]),1)*IF(DATOS!AO$4="Sí",1/DATOS_[[% normaliz]:[% normaliz]],1)*(DATOS_[Conc.Sal.11])))))))),
0)</f>
        <v>0</v>
      </c>
      <c r="U20" s="101">
        <f t="array" ref="U20">IFERROR(
(AVERAGE((IF(DATOS_[[Sexo]:[Sexo]]=$B20,IF(DATOS_[[AGRUP. VALOR. PTO.]:[AGRUP. VALOR. PTO.]]=$B18,IF(DATOS_[[Check Periodo Ref.]:[Check Periodo Ref.]]="Dentro",IF(DATOS_[[Check Equiparado]:[Check Equiparado]]="Sí",IF(DATOS!AP$5="Sí",(1/DATOS_[[% anualiz]:[% anualiz]]),1)*IF(DATOS!AP$4="Sí",1/DATOS_[[% normaliz]:[% normaliz]],1)*(DATOS_[Conc.Sal.12])))))))),
0)</f>
        <v>0</v>
      </c>
      <c r="V20" s="101">
        <f t="array" ref="V20">IFERROR(
(AVERAGE((IF(DATOS_[[Sexo]:[Sexo]]=$B20,IF(DATOS_[[AGRUP. VALOR. PTO.]:[AGRUP. VALOR. PTO.]]=$B18,IF(DATOS_[[Check Periodo Ref.]:[Check Periodo Ref.]]="Dentro",IF(DATOS_[[Check Equiparado]:[Check Equiparado]]="Sí",IF(DATOS!AQ$5="Sí",(1/DATOS_[[% anualiz]:[% anualiz]]),1)*IF(DATOS!AQ$4="Sí",1/DATOS_[[% normaliz]:[% normaliz]],1)*(DATOS_[Conc.Sal.13])))))))),
0)</f>
        <v>0</v>
      </c>
      <c r="W20" s="101">
        <f t="array" ref="W20">IFERROR(
(AVERAGE((IF(DATOS_[[Sexo]:[Sexo]]=$B20,IF(DATOS_[[AGRUP. VALOR. PTO.]:[AGRUP. VALOR. PTO.]]=$B18,IF(DATOS_[[Check Periodo Ref.]:[Check Periodo Ref.]]="Dentro",IF(DATOS_[[Check Equiparado]:[Check Equiparado]]="Sí",IF(DATOS!AR$5="Sí",(1/DATOS_[[% anualiz]:[% anualiz]]),1)*IF(DATOS!AR$4="Sí",1/DATOS_[[% normaliz]:[% normaliz]],1)*(DATOS_[Conc.Sal.14])))))))),
0)</f>
        <v>0</v>
      </c>
      <c r="X20" s="101">
        <f t="array" ref="X20">IFERROR(
(AVERAGE((IF(DATOS_[[Sexo]:[Sexo]]=$B20,IF(DATOS_[[AGRUP. VALOR. PTO.]:[AGRUP. VALOR. PTO.]]=$B18,IF(DATOS_[[Check Periodo Ref.]:[Check Periodo Ref.]]="Dentro",IF(DATOS_[[Check Equiparado]:[Check Equiparado]]="Sí",IF(DATOS!AS$5="Sí",(1/DATOS_[[% anualiz]:[% anualiz]]),1)*IF(DATOS!AS$4="Sí",1/DATOS_[[% normaliz]:[% normaliz]],1)*(DATOS_[Conc.Sal.15])))))))),
0)</f>
        <v>0</v>
      </c>
      <c r="Y20" s="101">
        <f t="array" ref="Y20">IFERROR(
(AVERAGE((IF(DATOS_[[Sexo]:[Sexo]]=$B20,IF(DATOS_[[AGRUP. VALOR. PTO.]:[AGRUP. VALOR. PTO.]]=$B18,IF(DATOS_[[Check Periodo Ref.]:[Check Periodo Ref.]]="Dentro",IF(DATOS_[[Check Equiparado]:[Check Equiparado]]="Sí",IF(DATOS!AT$5="Sí",(1/DATOS_[[% anualiz]:[% anualiz]]),1)*IF(DATOS!AT$4="Sí",1/DATOS_[[% normaliz]:[% normaliz]],1)*(DATOS_[Conc.Sal.16])))))))),
0)</f>
        <v>0</v>
      </c>
      <c r="Z20" s="101">
        <f t="array" ref="Z20">IFERROR(
(AVERAGE((IF(DATOS_[[Sexo]:[Sexo]]=$B20,IF(DATOS_[[AGRUP. VALOR. PTO.]:[AGRUP. VALOR. PTO.]]=$B18,IF(DATOS_[[Check Periodo Ref.]:[Check Periodo Ref.]]="Dentro",IF(DATOS_[[Check Equiparado]:[Check Equiparado]]="Sí",IF(DATOS!AU$5="Sí",(1/DATOS_[[% anualiz]:[% anualiz]]),1)*IF(DATOS!AU$4="Sí",1/DATOS_[[% normaliz]:[% normaliz]],1)*(DATOS_[Conc.Sal.17])))))))),
0)</f>
        <v>0</v>
      </c>
      <c r="AA20" s="101">
        <f t="array" ref="AA20">IFERROR(
(AVERAGE((IF(DATOS_[[Sexo]:[Sexo]]=$B20,IF(DATOS_[[AGRUP. VALOR. PTO.]:[AGRUP. VALOR. PTO.]]=$B18,IF(DATOS_[[Check Periodo Ref.]:[Check Periodo Ref.]]="Dentro",IF(DATOS_[[Check Equiparado]:[Check Equiparado]]="Sí",IF(DATOS!AV$5="Sí",(1/DATOS_[[% anualiz]:[% anualiz]]),1)*IF(DATOS!AV$4="Sí",1/DATOS_[[% normaliz]:[% normaliz]],1)*(DATOS_[Conc.Sal.18])))))))),
0)</f>
        <v>0</v>
      </c>
      <c r="AB20" s="101">
        <f t="array" ref="AB20">IFERROR(
(AVERAGE((IF(DATOS_[[Sexo]:[Sexo]]=$B20,IF(DATOS_[[AGRUP. VALOR. PTO.]:[AGRUP. VALOR. PTO.]]=$B18,IF(DATOS_[[Check Periodo Ref.]:[Check Periodo Ref.]]="Dentro",IF(DATOS_[[Check Equiparado]:[Check Equiparado]]="Sí",IF(DATOS!AW$5="Sí",(1/DATOS_[[% anualiz]:[% anualiz]]),1)*IF(DATOS!AW$4="Sí",1/DATOS_[[% normaliz]:[% normaliz]],1)*(DATOS_[Conc.Sal.19])))))))),
0)</f>
        <v>0</v>
      </c>
      <c r="AC20" s="101">
        <f t="array" ref="AC20">IFERROR(
(AVERAGE((IF(DATOS_[[Sexo]:[Sexo]]=$B20,IF(DATOS_[[AGRUP. VALOR. PTO.]:[AGRUP. VALOR. PTO.]]=$B18,IF(DATOS_[[Check Periodo Ref.]:[Check Periodo Ref.]]="Dentro",IF(DATOS_[[Check Equiparado]:[Check Equiparado]]="Sí",IF(DATOS!AX$5="Sí",(1/DATOS_[[% anualiz]:[% anualiz]]),1)*IF(DATOS!AX$4="Sí",1/DATOS_[[% normaliz]:[% normaliz]],1)*(DATOS_[Conc.Sal.20])))))))),
0)</f>
        <v>0</v>
      </c>
      <c r="AD20" s="101">
        <f t="array" ref="AD20">IFERROR(
(AVERAGE((IF(DATOS_[[Sexo]:[Sexo]]=$B20,IF(DATOS_[[AGRUP. VALOR. PTO.]:[AGRUP. VALOR. PTO.]]=$B18,IF(DATOS_[[Check Periodo Ref.]:[Check Periodo Ref.]]="Dentro",IF(DATOS_[[Check Equiparado]:[Check Equiparado]]="Sí",IF(DATOS!AY$5="Sí",(1/DATOS_[[% anualiz]:[% anualiz]]),1)*IF(DATOS!AY$4="Sí",1/DATOS_[[% normaliz]:[% normaliz]],1)*(DATOS_[Conc.Sal.21])))))))),
0)</f>
        <v>0</v>
      </c>
      <c r="AE20" s="101">
        <f t="array" ref="AE20">IFERROR(
(AVERAGE((IF(DATOS_[[Sexo]:[Sexo]]=$B20,IF(DATOS_[[AGRUP. VALOR. PTO.]:[AGRUP. VALOR. PTO.]]=$B18,IF(DATOS_[[Check Periodo Ref.]:[Check Periodo Ref.]]="Dentro",IF(DATOS_[[Check Equiparado]:[Check Equiparado]]="Sí",IF(DATOS!AZ$5="Sí",(1/DATOS_[[% anualiz]:[% anualiz]]),1)*IF(DATOS!AZ$4="Sí",1/DATOS_[[% normaliz]:[% normaliz]],1)*(DATOS_[Conc.Sal.22])))))))),
0)</f>
        <v>0</v>
      </c>
      <c r="AF20" s="101">
        <f t="array" ref="AF20">IFERROR(
(AVERAGE((IF(DATOS_[[Sexo]:[Sexo]]=$B20,IF(DATOS_[[AGRUP. VALOR. PTO.]:[AGRUP. VALOR. PTO.]]=$B18,IF(DATOS_[[Check Periodo Ref.]:[Check Periodo Ref.]]="Dentro",IF(DATOS_[[Check Equiparado]:[Check Equiparado]]="Sí",IF(DATOS!BA$5="Sí",(1/DATOS_[[% anualiz]:[% anualiz]]),1)*IF(DATOS!BA$4="Sí",1/DATOS_[[% normaliz]:[% normaliz]],1)*(DATOS_[Conc.Sal.23])))))))),
0)</f>
        <v>0</v>
      </c>
      <c r="AG20" s="101">
        <f t="array" ref="AG20">IFERROR(
(AVERAGE((IF(DATOS_[[Sexo]:[Sexo]]=$B20,IF(DATOS_[[AGRUP. VALOR. PTO.]:[AGRUP. VALOR. PTO.]]=$B18,IF(DATOS_[[Check Periodo Ref.]:[Check Periodo Ref.]]="Dentro",IF(DATOS_[[Check Equiparado]:[Check Equiparado]]="Sí",IF(DATOS!BB$5="Sí",(1/DATOS_[[% anualiz]:[% anualiz]]),1)*IF(DATOS!BB$4="Sí",1/DATOS_[[% normaliz]:[% normaliz]],1)*(DATOS_[Conc.Sal.24])))))))),
0)</f>
        <v>0</v>
      </c>
      <c r="AH20" s="101">
        <f t="array" ref="AH20">IFERROR(
(AVERAGE((IF(DATOS_[[Sexo]:[Sexo]]=$B20,IF(DATOS_[[AGRUP. VALOR. PTO.]:[AGRUP. VALOR. PTO.]]=$B18,IF(DATOS_[[Check Periodo Ref.]:[Check Periodo Ref.]]="Dentro",IF(DATOS_[[Check Equiparado]:[Check Equiparado]]="Sí",IF(DATOS!BC$5="Sí",(1/DATOS_[[% anualiz]:[% anualiz]]),1)*IF(DATOS!BC$4="Sí",1/DATOS_[[% normaliz]:[% normaliz]],1)*(DATOS_[Conc.Sal.25])))))))),
0)</f>
        <v>0</v>
      </c>
      <c r="AI20" s="101">
        <f t="array" ref="AI20">IFERROR(
(AVERAGE((IF(DATOS_[[Sexo]:[Sexo]]=$B20,IF(DATOS_[[AGRUP. VALOR. PTO.]:[AGRUP. VALOR. PTO.]]=$B18,IF(DATOS_[[Check Periodo Ref.]:[Check Periodo Ref.]]="Dentro",IF(DATOS_[[Check Equiparado]:[Check Equiparado]]="Sí",IF(DATOS!BD$5="Sí",(1/DATOS_[[% anualiz]:[% anualiz]]),1)*IF(DATOS!BD$4="Sí",1/DATOS_[[% normaliz]:[% normaliz]],1)*(DATOS_[Conc.Sal.26])))))))),
0)</f>
        <v>0</v>
      </c>
      <c r="AJ20" s="101">
        <f t="array" ref="AJ20">IFERROR(
(AVERAGE((IF(DATOS_[[Sexo]:[Sexo]]=$B20,IF(DATOS_[[AGRUP. VALOR. PTO.]:[AGRUP. VALOR. PTO.]]=$B18,IF(DATOS_[[Check Periodo Ref.]:[Check Periodo Ref.]]="Dentro",IF(DATOS_[[Check Equiparado]:[Check Equiparado]]="Sí",IF(DATOS!BE$5="Sí",(1/DATOS_[[% anualiz]:[% anualiz]]),1)*IF(DATOS!BE$4="Sí",1/DATOS_[[% normaliz]:[% normaliz]],1)*(DATOS_[Conc.Sal.27])))))))),
0)</f>
        <v>0</v>
      </c>
      <c r="AK20" s="101">
        <f t="array" ref="AK20">IFERROR(
(AVERAGE((IF(DATOS_[[Sexo]:[Sexo]]=$B20,IF(DATOS_[[AGRUP. VALOR. PTO.]:[AGRUP. VALOR. PTO.]]=$B18,IF(DATOS_[[Check Periodo Ref.]:[Check Periodo Ref.]]="Dentro",IF(DATOS_[[Check Equiparado]:[Check Equiparado]]="Sí",IF(DATOS!BF$5="Sí",(1/DATOS_[[% anualiz]:[% anualiz]]),1)*IF(DATOS!BF$4="Sí",1/DATOS_[[% normaliz]:[% normaliz]],1)*(DATOS_[Conc.Sal.28])))))))),
0)</f>
        <v>0</v>
      </c>
      <c r="AL20" s="101">
        <f t="array" ref="AL20">IFERROR(
(AVERAGE((IF(DATOS_[[Sexo]:[Sexo]]=$B20,IF(DATOS_[[AGRUP. VALOR. PTO.]:[AGRUP. VALOR. PTO.]]=$B18,IF(DATOS_[[Check Periodo Ref.]:[Check Periodo Ref.]]="Dentro",IF(DATOS_[[Check Equiparado]:[Check Equiparado]]="Sí",IF(DATOS!BG$5="Sí",(1/DATOS_[[% anualiz]:[% anualiz]]),1)*IF(DATOS!BG$4="Sí",1/DATOS_[[% normaliz]:[% normaliz]],1)*(DATOS_[Conc.Sal.29])))))))),
0)</f>
        <v>0</v>
      </c>
      <c r="AM20" s="101">
        <f t="array" ref="AM20">IFERROR(
(AVERAGE((IF(DATOS_[[Sexo]:[Sexo]]=$B20,IF(DATOS_[[AGRUP. VALOR. PTO.]:[AGRUP. VALOR. PTO.]]=$B18,IF(DATOS_[[Check Periodo Ref.]:[Check Periodo Ref.]]="Dentro",IF(DATOS_[[Check Equiparado]:[Check Equiparado]]="Sí",IF(DATOS!BH$5="Sí",(1/DATOS_[[% anualiz]:[% anualiz]]),1)*IF(DATOS!BH$4="Sí",1/DATOS_[[% normaliz]:[% normaliz]],1)*(DATOS_[Conc.Sal.30])))))))),
0)</f>
        <v>0</v>
      </c>
      <c r="AN20" s="102">
        <f t="array" ref="AN20">IFERROR(
AVERAGE(IF(DATOS_[Sexo]=$B20,IF(DATOS_[[AGRUP. VALOR. PTO.]:[AGRUP. VALOR. PTO.]]=$B18,IF(DATOS_[Check Equiparado]="Sí",IF(DATOS_[Check Periodo Ref.]="Dentro",DATOS_[Tot COMPL.SAL Eq],FALSE))))),
0)</f>
        <v>18340.069733333334</v>
      </c>
      <c r="AO20" s="103">
        <f t="array" ref="AO20">IFERROR(
AVERAGE(IF(DATOS_[Sexo]=$B20,IF(DATOS_[[AGRUP. VALOR. PTO.]:[AGRUP. VALOR. PTO.]]=$B18,IF(DATOS_[Check Equiparado]="Sí",IF(DATOS_[Check Periodo Ref.]="Dentro",DATOS_[TOTAL SALARIO Eq],FALSE))))),
0)</f>
        <v>36887.439733333333</v>
      </c>
      <c r="AP20" s="104">
        <f t="array" ref="AP20">IFERROR(
(AVERAGE((IF(DATOS_[[Sexo]:[Sexo]]=$B20,IF(DATOS_[[AGRUP. VALOR. PTO.]:[AGRUP. VALOR. PTO.]]=$B18,IF(DATOS_[[Check Periodo Ref.]:[Check Periodo Ref.]]="Dentro",IF(DATOS_[[Check Equiparado]:[Check Equiparado]]="Sí",IF(DATOS!BI$5="Sí",(1/DATOS_[[% anualiz]:[% anualiz]]),1)*IF(DATOS!BI$4="Sí",1/DATOS_[[% normaliz]:[% normaliz]],1)*(DATOS_[C.Extra.01])))))))),
0)</f>
        <v>0</v>
      </c>
      <c r="AQ20" s="104">
        <f t="array" ref="AQ20">IFERROR(
(AVERAGE((IF(DATOS_[[Sexo]:[Sexo]]=$B20,IF(DATOS_[[AGRUP. VALOR. PTO.]:[AGRUP. VALOR. PTO.]]=$B18,IF(DATOS_[[Check Periodo Ref.]:[Check Periodo Ref.]]="Dentro",IF(DATOS_[[Check Equiparado]:[Check Equiparado]]="Sí",IF(DATOS!BJ$5="Sí",(1/DATOS_[[% anualiz]:[% anualiz]]),1)*IF(DATOS!BJ$4="Sí",1/DATOS_[[% normaliz]:[% normaliz]],1)*(DATOS_[C.Extra.02])))))))),
0)</f>
        <v>0</v>
      </c>
      <c r="AR20" s="104">
        <f t="array" ref="AR20">IFERROR(
(AVERAGE((IF(DATOS_[[Sexo]:[Sexo]]=$B20,IF(DATOS_[[AGRUP. VALOR. PTO.]:[AGRUP. VALOR. PTO.]]=$B18,IF(DATOS_[[Check Periodo Ref.]:[Check Periodo Ref.]]="Dentro",IF(DATOS_[[Check Equiparado]:[Check Equiparado]]="Sí",IF(DATOS!BK$5="Sí",(1/DATOS_[[% anualiz]:[% anualiz]]),1)*IF(DATOS!BK$4="Sí",1/DATOS_[[% normaliz]:[% normaliz]],1)*(DATOS_[C.Extra.03])))))))),
0)</f>
        <v>0</v>
      </c>
      <c r="AS20" s="104">
        <f t="array" ref="AS20">IFERROR(
(AVERAGE((IF(DATOS_[[Sexo]:[Sexo]]=$B20,IF(DATOS_[[AGRUP. VALOR. PTO.]:[AGRUP. VALOR. PTO.]]=$B18,IF(DATOS_[[Check Periodo Ref.]:[Check Periodo Ref.]]="Dentro",IF(DATOS_[[Check Equiparado]:[Check Equiparado]]="Sí",IF(DATOS!BL$5="Sí",(1/DATOS_[[% anualiz]:[% anualiz]]),1)*IF(DATOS!BL$4="Sí",1/DATOS_[[% normaliz]:[% normaliz]],1)*(DATOS_[C.Extra.04])))))))),
0)</f>
        <v>0</v>
      </c>
      <c r="AT20" s="104">
        <f t="array" ref="AT20">IFERROR(
(AVERAGE((IF(DATOS_[[Sexo]:[Sexo]]=$B20,IF(DATOS_[[AGRUP. VALOR. PTO.]:[AGRUP. VALOR. PTO.]]=$B18,IF(DATOS_[[Check Periodo Ref.]:[Check Periodo Ref.]]="Dentro",IF(DATOS_[[Check Equiparado]:[Check Equiparado]]="Sí",IF(DATOS!BM$5="Sí",(1/DATOS_[[% anualiz]:[% anualiz]]),1)*IF(DATOS!BM$4="Sí",1/DATOS_[[% normaliz]:[% normaliz]],1)*(DATOS_[C.Extra.05])))))))),
0)</f>
        <v>0</v>
      </c>
      <c r="AU20" s="105">
        <f t="array" ref="AU20">IFERROR(
AVERAGE(IF(DATOS_[Sexo]=$B20,IF(DATOS_[[AGRUP. VALOR. PTO.]:[AGRUP. VALOR. PTO.]]=$B18,IF(DATOS_[Check Equiparado]="Sí",IF(DATOS_[Check Periodo Ref.]="Dentro",DATOS_[Tot Extrasalarial Eq],FALSE))))),
0)</f>
        <v>0</v>
      </c>
      <c r="AV20" s="106">
        <f t="array" ref="AV20">IFERROR(
AVERAGE(IF(DATOS_[Sexo]=$B20,IF(DATOS_[[AGRUP. VALOR. PTO.]:[AGRUP. VALOR. PTO.]]=$B18,IF(DATOS_[Check Equiparado]="Sí",IF(DATOS_[Check Periodo Ref.]="Dentro",DATOS_[TOTAL Retrib Eq],FALSE))))),
0)</f>
        <v>36887.439733333333</v>
      </c>
    </row>
    <row r="21" spans="1:48" ht="17.25" thickBot="1" x14ac:dyDescent="0.35">
      <c r="A21" s="53" t="str">
        <f t="shared" ref="A21" si="11">+A22</f>
        <v/>
      </c>
      <c r="B21" s="62" t="s">
        <v>310</v>
      </c>
      <c r="C21" s="99"/>
      <c r="D21" s="63"/>
      <c r="E21" s="63"/>
      <c r="F21" s="63"/>
      <c r="G21" s="63"/>
      <c r="H21" s="63"/>
      <c r="I21" s="129">
        <f t="shared" ref="I21:AV21" si="12">IFERROR((I22-I23)/I22,"")</f>
        <v>-2.789233904413246E-2</v>
      </c>
      <c r="J21" s="130">
        <f t="shared" si="12"/>
        <v>0.19577434565363575</v>
      </c>
      <c r="K21" s="131">
        <f t="shared" si="12"/>
        <v>-5.3399356678392726E-2</v>
      </c>
      <c r="L21" s="131" t="str">
        <f t="shared" si="12"/>
        <v/>
      </c>
      <c r="M21" s="131" t="str">
        <f t="shared" si="12"/>
        <v/>
      </c>
      <c r="N21" s="132" t="str">
        <f t="shared" si="12"/>
        <v/>
      </c>
      <c r="O21" s="133" t="str">
        <f t="shared" si="12"/>
        <v/>
      </c>
      <c r="P21" s="133">
        <f t="shared" si="12"/>
        <v>-9.5238095238095274E-2</v>
      </c>
      <c r="Q21" s="133" t="str">
        <f t="shared" si="12"/>
        <v/>
      </c>
      <c r="R21" s="133" t="str">
        <f t="shared" si="12"/>
        <v/>
      </c>
      <c r="S21" s="133" t="str">
        <f t="shared" si="12"/>
        <v/>
      </c>
      <c r="T21" s="133" t="str">
        <f t="shared" si="12"/>
        <v/>
      </c>
      <c r="U21" s="133" t="str">
        <f t="shared" si="12"/>
        <v/>
      </c>
      <c r="V21" s="133" t="str">
        <f t="shared" si="12"/>
        <v/>
      </c>
      <c r="W21" s="133" t="str">
        <f t="shared" si="12"/>
        <v/>
      </c>
      <c r="X21" s="133" t="str">
        <f t="shared" si="12"/>
        <v/>
      </c>
      <c r="Y21" s="133" t="str">
        <f t="shared" si="12"/>
        <v/>
      </c>
      <c r="Z21" s="132" t="str">
        <f t="shared" si="12"/>
        <v/>
      </c>
      <c r="AA21" s="132" t="str">
        <f t="shared" si="12"/>
        <v/>
      </c>
      <c r="AB21" s="132" t="str">
        <f t="shared" si="12"/>
        <v/>
      </c>
      <c r="AC21" s="132" t="str">
        <f t="shared" si="12"/>
        <v/>
      </c>
      <c r="AD21" s="132" t="str">
        <f t="shared" si="12"/>
        <v/>
      </c>
      <c r="AE21" s="132" t="str">
        <f t="shared" si="12"/>
        <v/>
      </c>
      <c r="AF21" s="132" t="str">
        <f t="shared" si="12"/>
        <v/>
      </c>
      <c r="AG21" s="132" t="str">
        <f t="shared" si="12"/>
        <v/>
      </c>
      <c r="AH21" s="132" t="str">
        <f t="shared" si="12"/>
        <v/>
      </c>
      <c r="AI21" s="132" t="str">
        <f t="shared" si="12"/>
        <v/>
      </c>
      <c r="AJ21" s="132" t="str">
        <f t="shared" si="12"/>
        <v/>
      </c>
      <c r="AK21" s="132" t="str">
        <f t="shared" si="12"/>
        <v/>
      </c>
      <c r="AL21" s="132" t="str">
        <f t="shared" si="12"/>
        <v/>
      </c>
      <c r="AM21" s="132" t="str">
        <f t="shared" si="12"/>
        <v/>
      </c>
      <c r="AN21" s="134">
        <f t="shared" si="12"/>
        <v>0.10584335599293435</v>
      </c>
      <c r="AO21" s="138">
        <f t="shared" si="12"/>
        <v>6.0160665467540843E-3</v>
      </c>
      <c r="AP21" s="135" t="str">
        <f t="shared" si="12"/>
        <v/>
      </c>
      <c r="AQ21" s="135" t="str">
        <f t="shared" si="12"/>
        <v/>
      </c>
      <c r="AR21" s="135" t="str">
        <f t="shared" si="12"/>
        <v/>
      </c>
      <c r="AS21" s="135">
        <f t="shared" si="12"/>
        <v>1</v>
      </c>
      <c r="AT21" s="135" t="str">
        <f t="shared" si="12"/>
        <v/>
      </c>
      <c r="AU21" s="136">
        <f t="shared" si="12"/>
        <v>1</v>
      </c>
      <c r="AV21" s="137">
        <f t="shared" si="12"/>
        <v>1.5834182270136617E-2</v>
      </c>
    </row>
    <row r="22" spans="1:48" x14ac:dyDescent="0.3">
      <c r="A22" s="53" t="str">
        <f t="shared" ref="A22" si="13">+IF(C22+C23=0,"[ocultar]","")</f>
        <v/>
      </c>
      <c r="B22" s="57" t="s">
        <v>162</v>
      </c>
      <c r="C22" s="56">
        <f t="array" ref="C22">SUM(IF($B22=DATOS_[Sexo],
IF($B21=DATOS_[AGRUP. VALOR. PTO.],
IF("Dentro"=DATOS_[Check Periodo Ref.],
1/(COUNTIFS(DATOS_[Sexo],$B22,DATOS_[AGRUP. VALOR. PTO.],$B21,DATOS_[Check Periodo Ref.],"Dentro",DATOS_[id],DATOS_[id]))))))</f>
        <v>23</v>
      </c>
      <c r="D22" s="58">
        <f>COUNTIFS(DATOS_[AGRUP. VALOR. PTO.],$B21,DATOS_[Sexo],$B22,DATOS_[Check Periodo Ref.],"Dentro")</f>
        <v>24</v>
      </c>
      <c r="E22" s="58">
        <f>COUNTIFS(DATOS_[AGRUP. VALOR. PTO.],$B21,DATOS_[Sexo],$B22,DATOS_[Check Periodo Ref.],"Dentro",DATOS_[Check Nº SC Norm],"Sí")</f>
        <v>3</v>
      </c>
      <c r="F22" s="58">
        <f>COUNTIFS(DATOS_[AGRUP. VALOR. PTO.],$B21,DATOS_[Sexo],$B22,DATOS_[Check Periodo Ref.],"Dentro",DATOS_[Check Nº SC Anualiz],"Sí")</f>
        <v>1</v>
      </c>
      <c r="G22" s="58">
        <f>COUNTIFS(DATOS_[AGRUP. VALOR. PTO.],$B21,DATOS_[Sexo],$B22,DATOS_[Check Periodo Ref.],"Dentro",DATOS_[Check Nº SC Norm y Anualiz],"Sí")</f>
        <v>0</v>
      </c>
      <c r="H22" s="58">
        <f>COUNTIFS(DATOS_[AGRUP. VALOR. PTO.],$B21,DATOS_[Sexo],$B22,DATOS_[Check Periodo Ref.],"Dentro",DATOS_[Check Equiparación],"Sí")</f>
        <v>4</v>
      </c>
      <c r="I22" s="100">
        <f t="array" ref="I22">IFERROR(
AVERAGE(IF(DATOS_[Sexo]=$B22,IF(DATOS_[[AGRUP. VALOR. PTO.]:[AGRUP. VALOR. PTO.]]=$B21,IF(DATOS_[Check Equiparado]="Sí",IF(DATOS_[Check Periodo Ref.]="Dentro",DATOS_[SALARIO BASE Eq],FALSE))))),
0)</f>
        <v>15514.634782608704</v>
      </c>
      <c r="J22" s="101">
        <f t="array" ref="J22">IFERROR(
(AVERAGE((IF(DATOS_[[Sexo]:[Sexo]]=$B22,IF(DATOS_[[AGRUP. VALOR. PTO.]:[AGRUP. VALOR. PTO.]]=$B21,IF(DATOS_[[Check Periodo Ref.]:[Check Periodo Ref.]]="Dentro",IF(DATOS_[[Check Equiparado]:[Check Equiparado]]="Sí",IF(DATOS!AE$5="Sí",(1/DATOS_[[% anualiz]:[% anualiz]]),1)*IF(DATOS!AE$4="Sí",1/DATOS_[[% normaliz]:[% normaliz]],1)*(DATOS_[Conc.Sal.01])))))))),
0)</f>
        <v>3380.1478260869549</v>
      </c>
      <c r="K22" s="101">
        <f t="array" ref="K22">IFERROR(
(AVERAGE((IF(DATOS_[[Sexo]:[Sexo]]=$B22,IF(DATOS_[[AGRUP. VALOR. PTO.]:[AGRUP. VALOR. PTO.]]=$B21,IF(DATOS_[[Check Periodo Ref.]:[Check Periodo Ref.]]="Dentro",IF(DATOS_[[Check Equiparado]:[Check Equiparado]]="Sí",IF(DATOS!AF$5="Sí",(1/DATOS_[[% anualiz]:[% anualiz]]),1)*IF(DATOS!AF$4="Sí",1/DATOS_[[% normaliz]:[% normaliz]],1)*(DATOS_[Conc.Sal.02])))))))),
0)</f>
        <v>1816.6756000000005</v>
      </c>
      <c r="L22" s="101">
        <f t="array" ref="L22">IFERROR(
(AVERAGE((IF(DATOS_[[Sexo]:[Sexo]]=$B22,IF(DATOS_[[AGRUP. VALOR. PTO.]:[AGRUP. VALOR. PTO.]]=$B21,IF(DATOS_[[Check Periodo Ref.]:[Check Periodo Ref.]]="Dentro",IF(DATOS_[[Check Equiparado]:[Check Equiparado]]="Sí",IF(DATOS!AG$5="Sí",(1/DATOS_[[% anualiz]:[% anualiz]]),1)*IF(DATOS!AG$4="Sí",1/DATOS_[[% normaliz]:[% normaliz]],1)*(DATOS_[Conc.Sal.03])))))))),
0)</f>
        <v>0</v>
      </c>
      <c r="M22" s="101">
        <f t="array" ref="M22">IFERROR(
(AVERAGE((IF(DATOS_[[Sexo]:[Sexo]]=$B22,IF(DATOS_[[AGRUP. VALOR. PTO.]:[AGRUP. VALOR. PTO.]]=$B21,IF(DATOS_[[Check Periodo Ref.]:[Check Periodo Ref.]]="Dentro",IF(DATOS_[[Check Equiparado]:[Check Equiparado]]="Sí",IF(DATOS!AH$5="Sí",(1/DATOS_[[% anualiz]:[% anualiz]]),1)*IF(DATOS!AH$4="Sí",1/DATOS_[[% normaliz]:[% normaliz]],1)*(DATOS_[Conc.Sal.04])))))))),
0)</f>
        <v>0</v>
      </c>
      <c r="N22" s="101">
        <f t="array" ref="N22">IFERROR(
(AVERAGE((IF(DATOS_[[Sexo]:[Sexo]]=$B22,IF(DATOS_[[AGRUP. VALOR. PTO.]:[AGRUP. VALOR. PTO.]]=$B21,IF(DATOS_[[Check Periodo Ref.]:[Check Periodo Ref.]]="Dentro",IF(DATOS_[[Check Equiparado]:[Check Equiparado]]="Sí",IF(DATOS!AI$5="Sí",(1/DATOS_[[% anualiz]:[% anualiz]]),1)*IF(DATOS!AI$4="Sí",1/DATOS_[[% normaliz]:[% normaliz]],1)*(DATOS_[Conc.Sal.05])))))))),
0)</f>
        <v>0</v>
      </c>
      <c r="O22" s="101">
        <f t="array" ref="O22">IFERROR(
(AVERAGE((IF(DATOS_[[Sexo]:[Sexo]]=$B22,IF(DATOS_[[AGRUP. VALOR. PTO.]:[AGRUP. VALOR. PTO.]]=$B21,IF(DATOS_[[Check Periodo Ref.]:[Check Periodo Ref.]]="Dentro",IF(DATOS_[[Check Equiparado]:[Check Equiparado]]="Sí",IF(DATOS!AJ$5="Sí",(1/DATOS_[[% anualiz]:[% anualiz]]),1)*IF(DATOS!AJ$4="Sí",1/DATOS_[[% normaliz]:[% normaliz]],1)*(DATOS_[Conc.Sal.06])))))))),
0)</f>
        <v>0</v>
      </c>
      <c r="P22" s="101">
        <f t="array" ref="P22">IFERROR(
(AVERAGE((IF(DATOS_[[Sexo]:[Sexo]]=$B22,IF(DATOS_[[AGRUP. VALOR. PTO.]:[AGRUP. VALOR. PTO.]]=$B21,IF(DATOS_[[Check Periodo Ref.]:[Check Periodo Ref.]]="Dentro",IF(DATOS_[[Check Equiparado]:[Check Equiparado]]="Sí",IF(DATOS!AK$5="Sí",(1/DATOS_[[% anualiz]:[% anualiz]]),1)*IF(DATOS!AK$4="Sí",1/DATOS_[[% normaliz]:[% normaliz]],1)*(DATOS_[Conc.Sal.07])))))))),
0)</f>
        <v>73.043478260869563</v>
      </c>
      <c r="Q22" s="101">
        <f t="array" ref="Q22">IFERROR(
(AVERAGE((IF(DATOS_[[Sexo]:[Sexo]]=$B22,IF(DATOS_[[AGRUP. VALOR. PTO.]:[AGRUP. VALOR. PTO.]]=$B21,IF(DATOS_[[Check Periodo Ref.]:[Check Periodo Ref.]]="Dentro",IF(DATOS_[[Check Equiparado]:[Check Equiparado]]="Sí",IF(DATOS!AL$5="Sí",(1/DATOS_[[% anualiz]:[% anualiz]]),1)*IF(DATOS!AL$4="Sí",1/DATOS_[[% normaliz]:[% normaliz]],1)*(DATOS_[Conc.Sal.08])))))))),
0)</f>
        <v>0</v>
      </c>
      <c r="R22" s="101">
        <f t="array" ref="R22">IFERROR(
(AVERAGE((IF(DATOS_[[Sexo]:[Sexo]]=$B22,IF(DATOS_[[AGRUP. VALOR. PTO.]:[AGRUP. VALOR. PTO.]]=$B21,IF(DATOS_[[Check Periodo Ref.]:[Check Periodo Ref.]]="Dentro",IF(DATOS_[[Check Equiparado]:[Check Equiparado]]="Sí",IF(DATOS!AM$5="Sí",(1/DATOS_[[% anualiz]:[% anualiz]]),1)*IF(DATOS!AM$4="Sí",1/DATOS_[[% normaliz]:[% normaliz]],1)*(DATOS_[Conc.Sal.09])))))))),
0)</f>
        <v>0</v>
      </c>
      <c r="S22" s="101">
        <f t="array" ref="S22">IFERROR(
(AVERAGE((IF(DATOS_[[Sexo]:[Sexo]]=$B22,IF(DATOS_[[AGRUP. VALOR. PTO.]:[AGRUP. VALOR. PTO.]]=$B21,IF(DATOS_[[Check Periodo Ref.]:[Check Periodo Ref.]]="Dentro",IF(DATOS_[[Check Equiparado]:[Check Equiparado]]="Sí",IF(DATOS!AN$5="Sí",(1/DATOS_[[% anualiz]:[% anualiz]]),1)*IF(DATOS!AN$4="Sí",1/DATOS_[[% normaliz]:[% normaliz]],1)*(DATOS_[Conc.Sal.10])))))))),
0)</f>
        <v>0</v>
      </c>
      <c r="T22" s="101">
        <f t="array" ref="T22">IFERROR(
(AVERAGE((IF(DATOS_[[Sexo]:[Sexo]]=$B22,IF(DATOS_[[AGRUP. VALOR. PTO.]:[AGRUP. VALOR. PTO.]]=$B21,IF(DATOS_[[Check Periodo Ref.]:[Check Periodo Ref.]]="Dentro",IF(DATOS_[[Check Equiparado]:[Check Equiparado]]="Sí",IF(DATOS!AO$5="Sí",(1/DATOS_[[% anualiz]:[% anualiz]]),1)*IF(DATOS!AO$4="Sí",1/DATOS_[[% normaliz]:[% normaliz]],1)*(DATOS_[Conc.Sal.11])))))))),
0)</f>
        <v>0</v>
      </c>
      <c r="U22" s="101">
        <f t="array" ref="U22">IFERROR(
(AVERAGE((IF(DATOS_[[Sexo]:[Sexo]]=$B22,IF(DATOS_[[AGRUP. VALOR. PTO.]:[AGRUP. VALOR. PTO.]]=$B21,IF(DATOS_[[Check Periodo Ref.]:[Check Periodo Ref.]]="Dentro",IF(DATOS_[[Check Equiparado]:[Check Equiparado]]="Sí",IF(DATOS!AP$5="Sí",(1/DATOS_[[% anualiz]:[% anualiz]]),1)*IF(DATOS!AP$4="Sí",1/DATOS_[[% normaliz]:[% normaliz]],1)*(DATOS_[Conc.Sal.12])))))))),
0)</f>
        <v>0</v>
      </c>
      <c r="V22" s="101">
        <f t="array" ref="V22">IFERROR(
(AVERAGE((IF(DATOS_[[Sexo]:[Sexo]]=$B22,IF(DATOS_[[AGRUP. VALOR. PTO.]:[AGRUP. VALOR. PTO.]]=$B21,IF(DATOS_[[Check Periodo Ref.]:[Check Periodo Ref.]]="Dentro",IF(DATOS_[[Check Equiparado]:[Check Equiparado]]="Sí",IF(DATOS!AQ$5="Sí",(1/DATOS_[[% anualiz]:[% anualiz]]),1)*IF(DATOS!AQ$4="Sí",1/DATOS_[[% normaliz]:[% normaliz]],1)*(DATOS_[Conc.Sal.13])))))))),
0)</f>
        <v>0</v>
      </c>
      <c r="W22" s="101">
        <f t="array" ref="W22">IFERROR(
(AVERAGE((IF(DATOS_[[Sexo]:[Sexo]]=$B22,IF(DATOS_[[AGRUP. VALOR. PTO.]:[AGRUP. VALOR. PTO.]]=$B21,IF(DATOS_[[Check Periodo Ref.]:[Check Periodo Ref.]]="Dentro",IF(DATOS_[[Check Equiparado]:[Check Equiparado]]="Sí",IF(DATOS!AR$5="Sí",(1/DATOS_[[% anualiz]:[% anualiz]]),1)*IF(DATOS!AR$4="Sí",1/DATOS_[[% normaliz]:[% normaliz]],1)*(DATOS_[Conc.Sal.14])))))))),
0)</f>
        <v>0</v>
      </c>
      <c r="X22" s="101">
        <f t="array" ref="X22">IFERROR(
(AVERAGE((IF(DATOS_[[Sexo]:[Sexo]]=$B22,IF(DATOS_[[AGRUP. VALOR. PTO.]:[AGRUP. VALOR. PTO.]]=$B21,IF(DATOS_[[Check Periodo Ref.]:[Check Periodo Ref.]]="Dentro",IF(DATOS_[[Check Equiparado]:[Check Equiparado]]="Sí",IF(DATOS!AS$5="Sí",(1/DATOS_[[% anualiz]:[% anualiz]]),1)*IF(DATOS!AS$4="Sí",1/DATOS_[[% normaliz]:[% normaliz]],1)*(DATOS_[Conc.Sal.15])))))))),
0)</f>
        <v>0</v>
      </c>
      <c r="Y22" s="101">
        <f t="array" ref="Y22">IFERROR(
(AVERAGE((IF(DATOS_[[Sexo]:[Sexo]]=$B22,IF(DATOS_[[AGRUP. VALOR. PTO.]:[AGRUP. VALOR. PTO.]]=$B21,IF(DATOS_[[Check Periodo Ref.]:[Check Periodo Ref.]]="Dentro",IF(DATOS_[[Check Equiparado]:[Check Equiparado]]="Sí",IF(DATOS!AT$5="Sí",(1/DATOS_[[% anualiz]:[% anualiz]]),1)*IF(DATOS!AT$4="Sí",1/DATOS_[[% normaliz]:[% normaliz]],1)*(DATOS_[Conc.Sal.16])))))))),
0)</f>
        <v>0</v>
      </c>
      <c r="Z22" s="101">
        <f t="array" ref="Z22">IFERROR(
(AVERAGE((IF(DATOS_[[Sexo]:[Sexo]]=$B22,IF(DATOS_[[AGRUP. VALOR. PTO.]:[AGRUP. VALOR. PTO.]]=$B21,IF(DATOS_[[Check Periodo Ref.]:[Check Periodo Ref.]]="Dentro",IF(DATOS_[[Check Equiparado]:[Check Equiparado]]="Sí",IF(DATOS!AU$5="Sí",(1/DATOS_[[% anualiz]:[% anualiz]]),1)*IF(DATOS!AU$4="Sí",1/DATOS_[[% normaliz]:[% normaliz]],1)*(DATOS_[Conc.Sal.17])))))))),
0)</f>
        <v>0</v>
      </c>
      <c r="AA22" s="101">
        <f t="array" ref="AA22">IFERROR(
(AVERAGE((IF(DATOS_[[Sexo]:[Sexo]]=$B22,IF(DATOS_[[AGRUP. VALOR. PTO.]:[AGRUP. VALOR. PTO.]]=$B21,IF(DATOS_[[Check Periodo Ref.]:[Check Periodo Ref.]]="Dentro",IF(DATOS_[[Check Equiparado]:[Check Equiparado]]="Sí",IF(DATOS!AV$5="Sí",(1/DATOS_[[% anualiz]:[% anualiz]]),1)*IF(DATOS!AV$4="Sí",1/DATOS_[[% normaliz]:[% normaliz]],1)*(DATOS_[Conc.Sal.18])))))))),
0)</f>
        <v>0</v>
      </c>
      <c r="AB22" s="101">
        <f t="array" ref="AB22">IFERROR(
(AVERAGE((IF(DATOS_[[Sexo]:[Sexo]]=$B22,IF(DATOS_[[AGRUP. VALOR. PTO.]:[AGRUP. VALOR. PTO.]]=$B21,IF(DATOS_[[Check Periodo Ref.]:[Check Periodo Ref.]]="Dentro",IF(DATOS_[[Check Equiparado]:[Check Equiparado]]="Sí",IF(DATOS!AW$5="Sí",(1/DATOS_[[% anualiz]:[% anualiz]]),1)*IF(DATOS!AW$4="Sí",1/DATOS_[[% normaliz]:[% normaliz]],1)*(DATOS_[Conc.Sal.19])))))))),
0)</f>
        <v>0</v>
      </c>
      <c r="AC22" s="101">
        <f t="array" ref="AC22">IFERROR(
(AVERAGE((IF(DATOS_[[Sexo]:[Sexo]]=$B22,IF(DATOS_[[AGRUP. VALOR. PTO.]:[AGRUP. VALOR. PTO.]]=$B21,IF(DATOS_[[Check Periodo Ref.]:[Check Periodo Ref.]]="Dentro",IF(DATOS_[[Check Equiparado]:[Check Equiparado]]="Sí",IF(DATOS!AX$5="Sí",(1/DATOS_[[% anualiz]:[% anualiz]]),1)*IF(DATOS!AX$4="Sí",1/DATOS_[[% normaliz]:[% normaliz]],1)*(DATOS_[Conc.Sal.20])))))))),
0)</f>
        <v>0</v>
      </c>
      <c r="AD22" s="101">
        <f t="array" ref="AD22">IFERROR(
(AVERAGE((IF(DATOS_[[Sexo]:[Sexo]]=$B22,IF(DATOS_[[AGRUP. VALOR. PTO.]:[AGRUP. VALOR. PTO.]]=$B21,IF(DATOS_[[Check Periodo Ref.]:[Check Periodo Ref.]]="Dentro",IF(DATOS_[[Check Equiparado]:[Check Equiparado]]="Sí",IF(DATOS!AY$5="Sí",(1/DATOS_[[% anualiz]:[% anualiz]]),1)*IF(DATOS!AY$4="Sí",1/DATOS_[[% normaliz]:[% normaliz]],1)*(DATOS_[Conc.Sal.21])))))))),
0)</f>
        <v>0</v>
      </c>
      <c r="AE22" s="101">
        <f t="array" ref="AE22">IFERROR(
(AVERAGE((IF(DATOS_[[Sexo]:[Sexo]]=$B22,IF(DATOS_[[AGRUP. VALOR. PTO.]:[AGRUP. VALOR. PTO.]]=$B21,IF(DATOS_[[Check Periodo Ref.]:[Check Periodo Ref.]]="Dentro",IF(DATOS_[[Check Equiparado]:[Check Equiparado]]="Sí",IF(DATOS!AZ$5="Sí",(1/DATOS_[[% anualiz]:[% anualiz]]),1)*IF(DATOS!AZ$4="Sí",1/DATOS_[[% normaliz]:[% normaliz]],1)*(DATOS_[Conc.Sal.22])))))))),
0)</f>
        <v>0</v>
      </c>
      <c r="AF22" s="101">
        <f t="array" ref="AF22">IFERROR(
(AVERAGE((IF(DATOS_[[Sexo]:[Sexo]]=$B22,IF(DATOS_[[AGRUP. VALOR. PTO.]:[AGRUP. VALOR. PTO.]]=$B21,IF(DATOS_[[Check Periodo Ref.]:[Check Periodo Ref.]]="Dentro",IF(DATOS_[[Check Equiparado]:[Check Equiparado]]="Sí",IF(DATOS!BA$5="Sí",(1/DATOS_[[% anualiz]:[% anualiz]]),1)*IF(DATOS!BA$4="Sí",1/DATOS_[[% normaliz]:[% normaliz]],1)*(DATOS_[Conc.Sal.23])))))))),
0)</f>
        <v>0</v>
      </c>
      <c r="AG22" s="101">
        <f t="array" ref="AG22">IFERROR(
(AVERAGE((IF(DATOS_[[Sexo]:[Sexo]]=$B22,IF(DATOS_[[AGRUP. VALOR. PTO.]:[AGRUP. VALOR. PTO.]]=$B21,IF(DATOS_[[Check Periodo Ref.]:[Check Periodo Ref.]]="Dentro",IF(DATOS_[[Check Equiparado]:[Check Equiparado]]="Sí",IF(DATOS!BB$5="Sí",(1/DATOS_[[% anualiz]:[% anualiz]]),1)*IF(DATOS!BB$4="Sí",1/DATOS_[[% normaliz]:[% normaliz]],1)*(DATOS_[Conc.Sal.24])))))))),
0)</f>
        <v>0</v>
      </c>
      <c r="AH22" s="101">
        <f t="array" ref="AH22">IFERROR(
(AVERAGE((IF(DATOS_[[Sexo]:[Sexo]]=$B22,IF(DATOS_[[AGRUP. VALOR. PTO.]:[AGRUP. VALOR. PTO.]]=$B21,IF(DATOS_[[Check Periodo Ref.]:[Check Periodo Ref.]]="Dentro",IF(DATOS_[[Check Equiparado]:[Check Equiparado]]="Sí",IF(DATOS!BC$5="Sí",(1/DATOS_[[% anualiz]:[% anualiz]]),1)*IF(DATOS!BC$4="Sí",1/DATOS_[[% normaliz]:[% normaliz]],1)*(DATOS_[Conc.Sal.25])))))))),
0)</f>
        <v>0</v>
      </c>
      <c r="AI22" s="101">
        <f t="array" ref="AI22">IFERROR(
(AVERAGE((IF(DATOS_[[Sexo]:[Sexo]]=$B22,IF(DATOS_[[AGRUP. VALOR. PTO.]:[AGRUP. VALOR. PTO.]]=$B21,IF(DATOS_[[Check Periodo Ref.]:[Check Periodo Ref.]]="Dentro",IF(DATOS_[[Check Equiparado]:[Check Equiparado]]="Sí",IF(DATOS!BD$5="Sí",(1/DATOS_[[% anualiz]:[% anualiz]]),1)*IF(DATOS!BD$4="Sí",1/DATOS_[[% normaliz]:[% normaliz]],1)*(DATOS_[Conc.Sal.26])))))))),
0)</f>
        <v>0</v>
      </c>
      <c r="AJ22" s="101">
        <f t="array" ref="AJ22">IFERROR(
(AVERAGE((IF(DATOS_[[Sexo]:[Sexo]]=$B22,IF(DATOS_[[AGRUP. VALOR. PTO.]:[AGRUP. VALOR. PTO.]]=$B21,IF(DATOS_[[Check Periodo Ref.]:[Check Periodo Ref.]]="Dentro",IF(DATOS_[[Check Equiparado]:[Check Equiparado]]="Sí",IF(DATOS!BE$5="Sí",(1/DATOS_[[% anualiz]:[% anualiz]]),1)*IF(DATOS!BE$4="Sí",1/DATOS_[[% normaliz]:[% normaliz]],1)*(DATOS_[Conc.Sal.27])))))))),
0)</f>
        <v>0</v>
      </c>
      <c r="AK22" s="101">
        <f t="array" ref="AK22">IFERROR(
(AVERAGE((IF(DATOS_[[Sexo]:[Sexo]]=$B22,IF(DATOS_[[AGRUP. VALOR. PTO.]:[AGRUP. VALOR. PTO.]]=$B21,IF(DATOS_[[Check Periodo Ref.]:[Check Periodo Ref.]]="Dentro",IF(DATOS_[[Check Equiparado]:[Check Equiparado]]="Sí",IF(DATOS!BF$5="Sí",(1/DATOS_[[% anualiz]:[% anualiz]]),1)*IF(DATOS!BF$4="Sí",1/DATOS_[[% normaliz]:[% normaliz]],1)*(DATOS_[Conc.Sal.28])))))))),
0)</f>
        <v>0</v>
      </c>
      <c r="AL22" s="101">
        <f t="array" ref="AL22">IFERROR(
(AVERAGE((IF(DATOS_[[Sexo]:[Sexo]]=$B22,IF(DATOS_[[AGRUP. VALOR. PTO.]:[AGRUP. VALOR. PTO.]]=$B21,IF(DATOS_[[Check Periodo Ref.]:[Check Periodo Ref.]]="Dentro",IF(DATOS_[[Check Equiparado]:[Check Equiparado]]="Sí",IF(DATOS!BG$5="Sí",(1/DATOS_[[% anualiz]:[% anualiz]]),1)*IF(DATOS!BG$4="Sí",1/DATOS_[[% normaliz]:[% normaliz]],1)*(DATOS_[Conc.Sal.29])))))))),
0)</f>
        <v>0</v>
      </c>
      <c r="AM22" s="101">
        <f t="array" ref="AM22">IFERROR(
(AVERAGE((IF(DATOS_[[Sexo]:[Sexo]]=$B22,IF(DATOS_[[AGRUP. VALOR. PTO.]:[AGRUP. VALOR. PTO.]]=$B21,IF(DATOS_[[Check Periodo Ref.]:[Check Periodo Ref.]]="Dentro",IF(DATOS_[[Check Equiparado]:[Check Equiparado]]="Sí",IF(DATOS!BH$5="Sí",(1/DATOS_[[% anualiz]:[% anualiz]]),1)*IF(DATOS!BH$4="Sí",1/DATOS_[[% normaliz]:[% normaliz]],1)*(DATOS_[Conc.Sal.30])))))))),
0)</f>
        <v>0</v>
      </c>
      <c r="AN22" s="102">
        <f t="array" ref="AN22">IFERROR(
AVERAGE(IF(DATOS_[Sexo]=$B22,IF(DATOS_[[AGRUP. VALOR. PTO.]:[AGRUP. VALOR. PTO.]]=$B21,IF(DATOS_[Check Equiparado]="Sí",IF(DATOS_[Check Periodo Ref.]="Dentro",DATOS_[Tot COMPL.SAL Eq],FALSE))))),
0)</f>
        <v>5269.8669043478258</v>
      </c>
      <c r="AO22" s="103">
        <f t="array" ref="AO22">IFERROR(
AVERAGE(IF(DATOS_[Sexo]=$B22,IF(DATOS_[[AGRUP. VALOR. PTO.]:[AGRUP. VALOR. PTO.]]=$B21,IF(DATOS_[Check Equiparado]="Sí",IF(DATOS_[Check Periodo Ref.]="Dentro",DATOS_[TOTAL SALARIO Eq],FALSE))))),
0)</f>
        <v>20784.501686956522</v>
      </c>
      <c r="AP22" s="104">
        <f t="array" ref="AP22">IFERROR(
(AVERAGE((IF(DATOS_[[Sexo]:[Sexo]]=$B22,IF(DATOS_[[AGRUP. VALOR. PTO.]:[AGRUP. VALOR. PTO.]]=$B21,IF(DATOS_[[Check Periodo Ref.]:[Check Periodo Ref.]]="Dentro",IF(DATOS_[[Check Equiparado]:[Check Equiparado]]="Sí",IF(DATOS!BI$5="Sí",(1/DATOS_[[% anualiz]:[% anualiz]]),1)*IF(DATOS!BI$4="Sí",1/DATOS_[[% normaliz]:[% normaliz]],1)*(DATOS_[C.Extra.01])))))))),
0)</f>
        <v>0</v>
      </c>
      <c r="AQ22" s="104">
        <f t="array" ref="AQ22">IFERROR(
(AVERAGE((IF(DATOS_[[Sexo]:[Sexo]]=$B22,IF(DATOS_[[AGRUP. VALOR. PTO.]:[AGRUP. VALOR. PTO.]]=$B21,IF(DATOS_[[Check Periodo Ref.]:[Check Periodo Ref.]]="Dentro",IF(DATOS_[[Check Equiparado]:[Check Equiparado]]="Sí",IF(DATOS!BJ$5="Sí",(1/DATOS_[[% anualiz]:[% anualiz]]),1)*IF(DATOS!BJ$4="Sí",1/DATOS_[[% normaliz]:[% normaliz]],1)*(DATOS_[C.Extra.02])))))))),
0)</f>
        <v>0</v>
      </c>
      <c r="AR22" s="104">
        <f t="array" ref="AR22">IFERROR(
(AVERAGE((IF(DATOS_[[Sexo]:[Sexo]]=$B22,IF(DATOS_[[AGRUP. VALOR. PTO.]:[AGRUP. VALOR. PTO.]]=$B21,IF(DATOS_[[Check Periodo Ref.]:[Check Periodo Ref.]]="Dentro",IF(DATOS_[[Check Equiparado]:[Check Equiparado]]="Sí",IF(DATOS!BK$5="Sí",(1/DATOS_[[% anualiz]:[% anualiz]]),1)*IF(DATOS!BK$4="Sí",1/DATOS_[[% normaliz]:[% normaliz]],1)*(DATOS_[C.Extra.03])))))))),
0)</f>
        <v>0</v>
      </c>
      <c r="AS22" s="104">
        <f t="array" ref="AS22">IFERROR(
(AVERAGE((IF(DATOS_[[Sexo]:[Sexo]]=$B22,IF(DATOS_[[AGRUP. VALOR. PTO.]:[AGRUP. VALOR. PTO.]]=$B21,IF(DATOS_[[Check Periodo Ref.]:[Check Periodo Ref.]]="Dentro",IF(DATOS_[[Check Equiparado]:[Check Equiparado]]="Sí",IF(DATOS!BL$5="Sí",(1/DATOS_[[% anualiz]:[% anualiz]]),1)*IF(DATOS!BL$4="Sí",1/DATOS_[[% normaliz]:[% normaliz]],1)*(DATOS_[C.Extra.04])))))))),
0)</f>
        <v>207.34782608695653</v>
      </c>
      <c r="AT22" s="104">
        <f t="array" ref="AT22">IFERROR(
(AVERAGE((IF(DATOS_[[Sexo]:[Sexo]]=$B22,IF(DATOS_[[AGRUP. VALOR. PTO.]:[AGRUP. VALOR. PTO.]]=$B21,IF(DATOS_[[Check Periodo Ref.]:[Check Periodo Ref.]]="Dentro",IF(DATOS_[[Check Equiparado]:[Check Equiparado]]="Sí",IF(DATOS!BM$5="Sí",(1/DATOS_[[% anualiz]:[% anualiz]]),1)*IF(DATOS!BM$4="Sí",1/DATOS_[[% normaliz]:[% normaliz]],1)*(DATOS_[C.Extra.05])))))))),
0)</f>
        <v>0</v>
      </c>
      <c r="AU22" s="105">
        <f t="array" ref="AU22">IFERROR(
AVERAGE(IF(DATOS_[Sexo]=$B22,IF(DATOS_[[AGRUP. VALOR. PTO.]:[AGRUP. VALOR. PTO.]]=$B21,IF(DATOS_[Check Equiparado]="Sí",IF(DATOS_[Check Periodo Ref.]="Dentro",DATOS_[Tot Extrasalarial Eq],FALSE))))),
0)</f>
        <v>207.34782608695653</v>
      </c>
      <c r="AV22" s="106">
        <f t="array" ref="AV22">IFERROR(
AVERAGE(IF(DATOS_[Sexo]=$B22,IF(DATOS_[[AGRUP. VALOR. PTO.]:[AGRUP. VALOR. PTO.]]=$B21,IF(DATOS_[Check Equiparado]="Sí",IF(DATOS_[Check Periodo Ref.]="Dentro",DATOS_[TOTAL Retrib Eq],FALSE))))),
0)</f>
        <v>20991.849513043479</v>
      </c>
    </row>
    <row r="23" spans="1:48" x14ac:dyDescent="0.3">
      <c r="A23" s="53" t="str">
        <f t="shared" ref="A23" si="14">+A22</f>
        <v/>
      </c>
      <c r="B23" s="57" t="s">
        <v>163</v>
      </c>
      <c r="C23" s="56">
        <f t="array" ref="C23">SUM(IF($B23=DATOS_[Sexo],
IF($B21=DATOS_[AGRUP. VALOR. PTO.],
IF("Dentro"=DATOS_[Check Periodo Ref.],
1/(COUNTIFS(DATOS_[Sexo],$B23,DATOS_[AGRUP. VALOR. PTO.],$B21,DATOS_[Check Periodo Ref.],"Dentro",DATOS_[id],DATOS_[id]))))))</f>
        <v>13</v>
      </c>
      <c r="D23" s="58">
        <f>COUNTIFS(DATOS_[AGRUP. VALOR. PTO.],$B21,DATOS_[Sexo],$B23,DATOS_[Check Periodo Ref.],"Dentro")</f>
        <v>14</v>
      </c>
      <c r="E23" s="58">
        <f>COUNTIFS(DATOS_[AGRUP. VALOR. PTO.],$B21,DATOS_[Sexo],$B23,DATOS_[Check Periodo Ref.],"Dentro",DATOS_[Check Nº SC Norm],"Sí")</f>
        <v>7</v>
      </c>
      <c r="F23" s="58">
        <f>COUNTIFS(DATOS_[AGRUP. VALOR. PTO.],$B21,DATOS_[Sexo],$B23,DATOS_[Check Periodo Ref.],"Dentro",DATOS_[Check Nº SC Anualiz],"Sí")</f>
        <v>1</v>
      </c>
      <c r="G23" s="58">
        <f>COUNTIFS(DATOS_[AGRUP. VALOR. PTO.],$B21,DATOS_[Sexo],$B23,DATOS_[Check Periodo Ref.],"Dentro",DATOS_[Check Nº SC Norm y Anualiz],"Sí")</f>
        <v>1</v>
      </c>
      <c r="H23" s="58">
        <f>COUNTIFS(DATOS_[AGRUP. VALOR. PTO.],$B21,DATOS_[Sexo],$B23,DATOS_[Check Periodo Ref.],"Dentro",DATOS_[Check Equiparación],"Sí")</f>
        <v>9</v>
      </c>
      <c r="I23" s="100" cm="1">
        <f t="array" ref="I23">IFERROR(
AVERAGE(IF(DATOS_[Sexo]=$B23,IF(DATOS_[[AGRUP. VALOR. PTO.]:[AGRUP. VALOR. PTO.]]=$B21,IF(DATOS_[Check Equiparado]="Sí",IF(DATOS_[Check Periodo Ref.]="Dentro",DATOS_[SALARIO BASE Eq],FALSE))))),
0)</f>
        <v>15947.374236111116</v>
      </c>
      <c r="J23" s="101">
        <f t="array" ref="J23">IFERROR(
(AVERAGE((IF(DATOS_[[Sexo]:[Sexo]]=$B23,IF(DATOS_[[AGRUP. VALOR. PTO.]:[AGRUP. VALOR. PTO.]]=$B21,IF(DATOS_[[Check Periodo Ref.]:[Check Periodo Ref.]]="Dentro",IF(DATOS_[[Check Equiparado]:[Check Equiparado]]="Sí",IF(DATOS!AE$5="Sí",(1/DATOS_[[% anualiz]:[% anualiz]]),1)*IF(DATOS!AE$4="Sí",1/DATOS_[[% normaliz]:[% normaliz]],1)*(DATOS_[Conc.Sal.01])))))))),
0)</f>
        <v>2718.4015972222219</v>
      </c>
      <c r="K23" s="101">
        <f t="array" ref="K23">IFERROR(
(AVERAGE((IF(DATOS_[[Sexo]:[Sexo]]=$B23,IF(DATOS_[[AGRUP. VALOR. PTO.]:[AGRUP. VALOR. PTO.]]=$B21,IF(DATOS_[[Check Periodo Ref.]:[Check Periodo Ref.]]="Dentro",IF(DATOS_[[Check Equiparado]:[Check Equiparado]]="Sí",IF(DATOS!AF$5="Sí",(1/DATOS_[[% anualiz]:[% anualiz]]),1)*IF(DATOS!AF$4="Sí",1/DATOS_[[% normaliz]:[% normaliz]],1)*(DATOS_[Conc.Sal.02])))))))),
0)</f>
        <v>1913.6849083333336</v>
      </c>
      <c r="L23" s="101">
        <f t="array" ref="L23">IFERROR(
(AVERAGE((IF(DATOS_[[Sexo]:[Sexo]]=$B23,IF(DATOS_[[AGRUP. VALOR. PTO.]:[AGRUP. VALOR. PTO.]]=$B21,IF(DATOS_[[Check Periodo Ref.]:[Check Periodo Ref.]]="Dentro",IF(DATOS_[[Check Equiparado]:[Check Equiparado]]="Sí",IF(DATOS!AG$5="Sí",(1/DATOS_[[% anualiz]:[% anualiz]]),1)*IF(DATOS!AG$4="Sí",1/DATOS_[[% normaliz]:[% normaliz]],1)*(DATOS_[Conc.Sal.03])))))))),
0)</f>
        <v>0</v>
      </c>
      <c r="M23" s="101">
        <f t="array" ref="M23">IFERROR(
(AVERAGE((IF(DATOS_[[Sexo]:[Sexo]]=$B23,IF(DATOS_[[AGRUP. VALOR. PTO.]:[AGRUP. VALOR. PTO.]]=$B21,IF(DATOS_[[Check Periodo Ref.]:[Check Periodo Ref.]]="Dentro",IF(DATOS_[[Check Equiparado]:[Check Equiparado]]="Sí",IF(DATOS!AH$5="Sí",(1/DATOS_[[% anualiz]:[% anualiz]]),1)*IF(DATOS!AH$4="Sí",1/DATOS_[[% normaliz]:[% normaliz]],1)*(DATOS_[Conc.Sal.04])))))))),
0)</f>
        <v>0</v>
      </c>
      <c r="N23" s="101">
        <f t="array" ref="N23">IFERROR(
(AVERAGE((IF(DATOS_[[Sexo]:[Sexo]]=$B23,IF(DATOS_[[AGRUP. VALOR. PTO.]:[AGRUP. VALOR. PTO.]]=$B21,IF(DATOS_[[Check Periodo Ref.]:[Check Periodo Ref.]]="Dentro",IF(DATOS_[[Check Equiparado]:[Check Equiparado]]="Sí",IF(DATOS!AI$5="Sí",(1/DATOS_[[% anualiz]:[% anualiz]]),1)*IF(DATOS!AI$4="Sí",1/DATOS_[[% normaliz]:[% normaliz]],1)*(DATOS_[Conc.Sal.05])))))))),
0)</f>
        <v>0</v>
      </c>
      <c r="O23" s="101">
        <f t="array" ref="O23">IFERROR(
(AVERAGE((IF(DATOS_[[Sexo]:[Sexo]]=$B23,IF(DATOS_[[AGRUP. VALOR. PTO.]:[AGRUP. VALOR. PTO.]]=$B21,IF(DATOS_[[Check Periodo Ref.]:[Check Periodo Ref.]]="Dentro",IF(DATOS_[[Check Equiparado]:[Check Equiparado]]="Sí",IF(DATOS!AJ$5="Sí",(1/DATOS_[[% anualiz]:[% anualiz]]),1)*IF(DATOS!AJ$4="Sí",1/DATOS_[[% normaliz]:[% normaliz]],1)*(DATOS_[Conc.Sal.06])))))))),
0)</f>
        <v>0</v>
      </c>
      <c r="P23" s="101">
        <f t="array" ref="P23">IFERROR(
(AVERAGE((IF(DATOS_[[Sexo]:[Sexo]]=$B23,IF(DATOS_[[AGRUP. VALOR. PTO.]:[AGRUP. VALOR. PTO.]]=$B21,IF(DATOS_[[Check Periodo Ref.]:[Check Periodo Ref.]]="Dentro",IF(DATOS_[[Check Equiparado]:[Check Equiparado]]="Sí",IF(DATOS!AK$5="Sí",(1/DATOS_[[% anualiz]:[% anualiz]]),1)*IF(DATOS!AK$4="Sí",1/DATOS_[[% normaliz]:[% normaliz]],1)*(DATOS_[Conc.Sal.07])))))))),
0)</f>
        <v>80</v>
      </c>
      <c r="Q23" s="101">
        <f t="array" ref="Q23">IFERROR(
(AVERAGE((IF(DATOS_[[Sexo]:[Sexo]]=$B23,IF(DATOS_[[AGRUP. VALOR. PTO.]:[AGRUP. VALOR. PTO.]]=$B21,IF(DATOS_[[Check Periodo Ref.]:[Check Periodo Ref.]]="Dentro",IF(DATOS_[[Check Equiparado]:[Check Equiparado]]="Sí",IF(DATOS!AL$5="Sí",(1/DATOS_[[% anualiz]:[% anualiz]]),1)*IF(DATOS!AL$4="Sí",1/DATOS_[[% normaliz]:[% normaliz]],1)*(DATOS_[Conc.Sal.08])))))))),
0)</f>
        <v>0</v>
      </c>
      <c r="R23" s="101">
        <f t="array" ref="R23">IFERROR(
(AVERAGE((IF(DATOS_[[Sexo]:[Sexo]]=$B23,IF(DATOS_[[AGRUP. VALOR. PTO.]:[AGRUP. VALOR. PTO.]]=$B21,IF(DATOS_[[Check Periodo Ref.]:[Check Periodo Ref.]]="Dentro",IF(DATOS_[[Check Equiparado]:[Check Equiparado]]="Sí",IF(DATOS!AM$5="Sí",(1/DATOS_[[% anualiz]:[% anualiz]]),1)*IF(DATOS!AM$4="Sí",1/DATOS_[[% normaliz]:[% normaliz]],1)*(DATOS_[Conc.Sal.09])))))))),
0)</f>
        <v>0</v>
      </c>
      <c r="S23" s="101">
        <f t="array" ref="S23">IFERROR(
(AVERAGE((IF(DATOS_[[Sexo]:[Sexo]]=$B23,IF(DATOS_[[AGRUP. VALOR. PTO.]:[AGRUP. VALOR. PTO.]]=$B21,IF(DATOS_[[Check Periodo Ref.]:[Check Periodo Ref.]]="Dentro",IF(DATOS_[[Check Equiparado]:[Check Equiparado]]="Sí",IF(DATOS!AN$5="Sí",(1/DATOS_[[% anualiz]:[% anualiz]]),1)*IF(DATOS!AN$4="Sí",1/DATOS_[[% normaliz]:[% normaliz]],1)*(DATOS_[Conc.Sal.10])))))))),
0)</f>
        <v>0</v>
      </c>
      <c r="T23" s="101">
        <f t="array" ref="T23">IFERROR(
(AVERAGE((IF(DATOS_[[Sexo]:[Sexo]]=$B23,IF(DATOS_[[AGRUP. VALOR. PTO.]:[AGRUP. VALOR. PTO.]]=$B21,IF(DATOS_[[Check Periodo Ref.]:[Check Periodo Ref.]]="Dentro",IF(DATOS_[[Check Equiparado]:[Check Equiparado]]="Sí",IF(DATOS!AO$5="Sí",(1/DATOS_[[% anualiz]:[% anualiz]]),1)*IF(DATOS!AO$4="Sí",1/DATOS_[[% normaliz]:[% normaliz]],1)*(DATOS_[Conc.Sal.11])))))))),
0)</f>
        <v>0</v>
      </c>
      <c r="U23" s="101">
        <f t="array" ref="U23">IFERROR(
(AVERAGE((IF(DATOS_[[Sexo]:[Sexo]]=$B23,IF(DATOS_[[AGRUP. VALOR. PTO.]:[AGRUP. VALOR. PTO.]]=$B21,IF(DATOS_[[Check Periodo Ref.]:[Check Periodo Ref.]]="Dentro",IF(DATOS_[[Check Equiparado]:[Check Equiparado]]="Sí",IF(DATOS!AP$5="Sí",(1/DATOS_[[% anualiz]:[% anualiz]]),1)*IF(DATOS!AP$4="Sí",1/DATOS_[[% normaliz]:[% normaliz]],1)*(DATOS_[Conc.Sal.12])))))))),
0)</f>
        <v>0</v>
      </c>
      <c r="V23" s="101">
        <f t="array" ref="V23">IFERROR(
(AVERAGE((IF(DATOS_[[Sexo]:[Sexo]]=$B23,IF(DATOS_[[AGRUP. VALOR. PTO.]:[AGRUP. VALOR. PTO.]]=$B21,IF(DATOS_[[Check Periodo Ref.]:[Check Periodo Ref.]]="Dentro",IF(DATOS_[[Check Equiparado]:[Check Equiparado]]="Sí",IF(DATOS!AQ$5="Sí",(1/DATOS_[[% anualiz]:[% anualiz]]),1)*IF(DATOS!AQ$4="Sí",1/DATOS_[[% normaliz]:[% normaliz]],1)*(DATOS_[Conc.Sal.13])))))))),
0)</f>
        <v>0</v>
      </c>
      <c r="W23" s="101">
        <f t="array" ref="W23">IFERROR(
(AVERAGE((IF(DATOS_[[Sexo]:[Sexo]]=$B23,IF(DATOS_[[AGRUP. VALOR. PTO.]:[AGRUP. VALOR. PTO.]]=$B21,IF(DATOS_[[Check Periodo Ref.]:[Check Periodo Ref.]]="Dentro",IF(DATOS_[[Check Equiparado]:[Check Equiparado]]="Sí",IF(DATOS!AR$5="Sí",(1/DATOS_[[% anualiz]:[% anualiz]]),1)*IF(DATOS!AR$4="Sí",1/DATOS_[[% normaliz]:[% normaliz]],1)*(DATOS_[Conc.Sal.14])))))))),
0)</f>
        <v>0</v>
      </c>
      <c r="X23" s="101">
        <f t="array" ref="X23">IFERROR(
(AVERAGE((IF(DATOS_[[Sexo]:[Sexo]]=$B23,IF(DATOS_[[AGRUP. VALOR. PTO.]:[AGRUP. VALOR. PTO.]]=$B21,IF(DATOS_[[Check Periodo Ref.]:[Check Periodo Ref.]]="Dentro",IF(DATOS_[[Check Equiparado]:[Check Equiparado]]="Sí",IF(DATOS!AS$5="Sí",(1/DATOS_[[% anualiz]:[% anualiz]]),1)*IF(DATOS!AS$4="Sí",1/DATOS_[[% normaliz]:[% normaliz]],1)*(DATOS_[Conc.Sal.15])))))))),
0)</f>
        <v>0</v>
      </c>
      <c r="Y23" s="101">
        <f t="array" ref="Y23">IFERROR(
(AVERAGE((IF(DATOS_[[Sexo]:[Sexo]]=$B23,IF(DATOS_[[AGRUP. VALOR. PTO.]:[AGRUP. VALOR. PTO.]]=$B21,IF(DATOS_[[Check Periodo Ref.]:[Check Periodo Ref.]]="Dentro",IF(DATOS_[[Check Equiparado]:[Check Equiparado]]="Sí",IF(DATOS!AT$5="Sí",(1/DATOS_[[% anualiz]:[% anualiz]]),1)*IF(DATOS!AT$4="Sí",1/DATOS_[[% normaliz]:[% normaliz]],1)*(DATOS_[Conc.Sal.16])))))))),
0)</f>
        <v>0</v>
      </c>
      <c r="Z23" s="101">
        <f t="array" ref="Z23">IFERROR(
(AVERAGE((IF(DATOS_[[Sexo]:[Sexo]]=$B23,IF(DATOS_[[AGRUP. VALOR. PTO.]:[AGRUP. VALOR. PTO.]]=$B21,IF(DATOS_[[Check Periodo Ref.]:[Check Periodo Ref.]]="Dentro",IF(DATOS_[[Check Equiparado]:[Check Equiparado]]="Sí",IF(DATOS!AU$5="Sí",(1/DATOS_[[% anualiz]:[% anualiz]]),1)*IF(DATOS!AU$4="Sí",1/DATOS_[[% normaliz]:[% normaliz]],1)*(DATOS_[Conc.Sal.17])))))))),
0)</f>
        <v>0</v>
      </c>
      <c r="AA23" s="101">
        <f t="array" ref="AA23">IFERROR(
(AVERAGE((IF(DATOS_[[Sexo]:[Sexo]]=$B23,IF(DATOS_[[AGRUP. VALOR. PTO.]:[AGRUP. VALOR. PTO.]]=$B21,IF(DATOS_[[Check Periodo Ref.]:[Check Periodo Ref.]]="Dentro",IF(DATOS_[[Check Equiparado]:[Check Equiparado]]="Sí",IF(DATOS!AV$5="Sí",(1/DATOS_[[% anualiz]:[% anualiz]]),1)*IF(DATOS!AV$4="Sí",1/DATOS_[[% normaliz]:[% normaliz]],1)*(DATOS_[Conc.Sal.18])))))))),
0)</f>
        <v>0</v>
      </c>
      <c r="AB23" s="101">
        <f t="array" ref="AB23">IFERROR(
(AVERAGE((IF(DATOS_[[Sexo]:[Sexo]]=$B23,IF(DATOS_[[AGRUP. VALOR. PTO.]:[AGRUP. VALOR. PTO.]]=$B21,IF(DATOS_[[Check Periodo Ref.]:[Check Periodo Ref.]]="Dentro",IF(DATOS_[[Check Equiparado]:[Check Equiparado]]="Sí",IF(DATOS!AW$5="Sí",(1/DATOS_[[% anualiz]:[% anualiz]]),1)*IF(DATOS!AW$4="Sí",1/DATOS_[[% normaliz]:[% normaliz]],1)*(DATOS_[Conc.Sal.19])))))))),
0)</f>
        <v>0</v>
      </c>
      <c r="AC23" s="101">
        <f t="array" ref="AC23">IFERROR(
(AVERAGE((IF(DATOS_[[Sexo]:[Sexo]]=$B23,IF(DATOS_[[AGRUP. VALOR. PTO.]:[AGRUP. VALOR. PTO.]]=$B21,IF(DATOS_[[Check Periodo Ref.]:[Check Periodo Ref.]]="Dentro",IF(DATOS_[[Check Equiparado]:[Check Equiparado]]="Sí",IF(DATOS!AX$5="Sí",(1/DATOS_[[% anualiz]:[% anualiz]]),1)*IF(DATOS!AX$4="Sí",1/DATOS_[[% normaliz]:[% normaliz]],1)*(DATOS_[Conc.Sal.20])))))))),
0)</f>
        <v>0</v>
      </c>
      <c r="AD23" s="101">
        <f t="array" ref="AD23">IFERROR(
(AVERAGE((IF(DATOS_[[Sexo]:[Sexo]]=$B23,IF(DATOS_[[AGRUP. VALOR. PTO.]:[AGRUP. VALOR. PTO.]]=$B21,IF(DATOS_[[Check Periodo Ref.]:[Check Periodo Ref.]]="Dentro",IF(DATOS_[[Check Equiparado]:[Check Equiparado]]="Sí",IF(DATOS!AY$5="Sí",(1/DATOS_[[% anualiz]:[% anualiz]]),1)*IF(DATOS!AY$4="Sí",1/DATOS_[[% normaliz]:[% normaliz]],1)*(DATOS_[Conc.Sal.21])))))))),
0)</f>
        <v>0</v>
      </c>
      <c r="AE23" s="101">
        <f t="array" ref="AE23">IFERROR(
(AVERAGE((IF(DATOS_[[Sexo]:[Sexo]]=$B23,IF(DATOS_[[AGRUP. VALOR. PTO.]:[AGRUP. VALOR. PTO.]]=$B21,IF(DATOS_[[Check Periodo Ref.]:[Check Periodo Ref.]]="Dentro",IF(DATOS_[[Check Equiparado]:[Check Equiparado]]="Sí",IF(DATOS!AZ$5="Sí",(1/DATOS_[[% anualiz]:[% anualiz]]),1)*IF(DATOS!AZ$4="Sí",1/DATOS_[[% normaliz]:[% normaliz]],1)*(DATOS_[Conc.Sal.22])))))))),
0)</f>
        <v>0</v>
      </c>
      <c r="AF23" s="101">
        <f t="array" ref="AF23">IFERROR(
(AVERAGE((IF(DATOS_[[Sexo]:[Sexo]]=$B23,IF(DATOS_[[AGRUP. VALOR. PTO.]:[AGRUP. VALOR. PTO.]]=$B21,IF(DATOS_[[Check Periodo Ref.]:[Check Periodo Ref.]]="Dentro",IF(DATOS_[[Check Equiparado]:[Check Equiparado]]="Sí",IF(DATOS!BA$5="Sí",(1/DATOS_[[% anualiz]:[% anualiz]]),1)*IF(DATOS!BA$4="Sí",1/DATOS_[[% normaliz]:[% normaliz]],1)*(DATOS_[Conc.Sal.23])))))))),
0)</f>
        <v>0</v>
      </c>
      <c r="AG23" s="101">
        <f t="array" ref="AG23">IFERROR(
(AVERAGE((IF(DATOS_[[Sexo]:[Sexo]]=$B23,IF(DATOS_[[AGRUP. VALOR. PTO.]:[AGRUP. VALOR. PTO.]]=$B21,IF(DATOS_[[Check Periodo Ref.]:[Check Periodo Ref.]]="Dentro",IF(DATOS_[[Check Equiparado]:[Check Equiparado]]="Sí",IF(DATOS!BB$5="Sí",(1/DATOS_[[% anualiz]:[% anualiz]]),1)*IF(DATOS!BB$4="Sí",1/DATOS_[[% normaliz]:[% normaliz]],1)*(DATOS_[Conc.Sal.24])))))))),
0)</f>
        <v>0</v>
      </c>
      <c r="AH23" s="101">
        <f t="array" ref="AH23">IFERROR(
(AVERAGE((IF(DATOS_[[Sexo]:[Sexo]]=$B23,IF(DATOS_[[AGRUP. VALOR. PTO.]:[AGRUP. VALOR. PTO.]]=$B21,IF(DATOS_[[Check Periodo Ref.]:[Check Periodo Ref.]]="Dentro",IF(DATOS_[[Check Equiparado]:[Check Equiparado]]="Sí",IF(DATOS!BC$5="Sí",(1/DATOS_[[% anualiz]:[% anualiz]]),1)*IF(DATOS!BC$4="Sí",1/DATOS_[[% normaliz]:[% normaliz]],1)*(DATOS_[Conc.Sal.25])))))))),
0)</f>
        <v>0</v>
      </c>
      <c r="AI23" s="101">
        <f t="array" ref="AI23">IFERROR(
(AVERAGE((IF(DATOS_[[Sexo]:[Sexo]]=$B23,IF(DATOS_[[AGRUP. VALOR. PTO.]:[AGRUP. VALOR. PTO.]]=$B21,IF(DATOS_[[Check Periodo Ref.]:[Check Periodo Ref.]]="Dentro",IF(DATOS_[[Check Equiparado]:[Check Equiparado]]="Sí",IF(DATOS!BD$5="Sí",(1/DATOS_[[% anualiz]:[% anualiz]]),1)*IF(DATOS!BD$4="Sí",1/DATOS_[[% normaliz]:[% normaliz]],1)*(DATOS_[Conc.Sal.26])))))))),
0)</f>
        <v>0</v>
      </c>
      <c r="AJ23" s="101">
        <f t="array" ref="AJ23">IFERROR(
(AVERAGE((IF(DATOS_[[Sexo]:[Sexo]]=$B23,IF(DATOS_[[AGRUP. VALOR. PTO.]:[AGRUP. VALOR. PTO.]]=$B21,IF(DATOS_[[Check Periodo Ref.]:[Check Periodo Ref.]]="Dentro",IF(DATOS_[[Check Equiparado]:[Check Equiparado]]="Sí",IF(DATOS!BE$5="Sí",(1/DATOS_[[% anualiz]:[% anualiz]]),1)*IF(DATOS!BE$4="Sí",1/DATOS_[[% normaliz]:[% normaliz]],1)*(DATOS_[Conc.Sal.27])))))))),
0)</f>
        <v>0</v>
      </c>
      <c r="AK23" s="101">
        <f t="array" ref="AK23">IFERROR(
(AVERAGE((IF(DATOS_[[Sexo]:[Sexo]]=$B23,IF(DATOS_[[AGRUP. VALOR. PTO.]:[AGRUP. VALOR. PTO.]]=$B21,IF(DATOS_[[Check Periodo Ref.]:[Check Periodo Ref.]]="Dentro",IF(DATOS_[[Check Equiparado]:[Check Equiparado]]="Sí",IF(DATOS!BF$5="Sí",(1/DATOS_[[% anualiz]:[% anualiz]]),1)*IF(DATOS!BF$4="Sí",1/DATOS_[[% normaliz]:[% normaliz]],1)*(DATOS_[Conc.Sal.28])))))))),
0)</f>
        <v>0</v>
      </c>
      <c r="AL23" s="101">
        <f t="array" ref="AL23">IFERROR(
(AVERAGE((IF(DATOS_[[Sexo]:[Sexo]]=$B23,IF(DATOS_[[AGRUP. VALOR. PTO.]:[AGRUP. VALOR. PTO.]]=$B21,IF(DATOS_[[Check Periodo Ref.]:[Check Periodo Ref.]]="Dentro",IF(DATOS_[[Check Equiparado]:[Check Equiparado]]="Sí",IF(DATOS!BG$5="Sí",(1/DATOS_[[% anualiz]:[% anualiz]]),1)*IF(DATOS!BG$4="Sí",1/DATOS_[[% normaliz]:[% normaliz]],1)*(DATOS_[Conc.Sal.29])))))))),
0)</f>
        <v>0</v>
      </c>
      <c r="AM23" s="101">
        <f t="array" ref="AM23">IFERROR(
(AVERAGE((IF(DATOS_[[Sexo]:[Sexo]]=$B23,IF(DATOS_[[AGRUP. VALOR. PTO.]:[AGRUP. VALOR. PTO.]]=$B21,IF(DATOS_[[Check Periodo Ref.]:[Check Periodo Ref.]]="Dentro",IF(DATOS_[[Check Equiparado]:[Check Equiparado]]="Sí",IF(DATOS!BH$5="Sí",(1/DATOS_[[% anualiz]:[% anualiz]]),1)*IF(DATOS!BH$4="Sí",1/DATOS_[[% normaliz]:[% normaliz]],1)*(DATOS_[Conc.Sal.30])))))))),
0)</f>
        <v>0</v>
      </c>
      <c r="AN23" s="102">
        <f t="array" ref="AN23">IFERROR(
AVERAGE(IF(DATOS_[Sexo]=$B23,IF(DATOS_[[AGRUP. VALOR. PTO.]:[AGRUP. VALOR. PTO.]]=$B21,IF(DATOS_[Check Equiparado]="Sí",IF(DATOS_[Check Periodo Ref.]="Dentro",DATOS_[Tot COMPL.SAL Eq],FALSE))))),
0)</f>
        <v>4712.086505555556</v>
      </c>
      <c r="AO23" s="103">
        <f t="array" ref="AO23">IFERROR(
AVERAGE(IF(DATOS_[Sexo]=$B23,IF(DATOS_[[AGRUP. VALOR. PTO.]:[AGRUP. VALOR. PTO.]]=$B21,IF(DATOS_[Check Equiparado]="Sí",IF(DATOS_[Check Periodo Ref.]="Dentro",DATOS_[TOTAL SALARIO Eq],FALSE))))),
0)</f>
        <v>20659.460741666669</v>
      </c>
      <c r="AP23" s="104">
        <f t="array" ref="AP23">IFERROR(
(AVERAGE((IF(DATOS_[[Sexo]:[Sexo]]=$B23,IF(DATOS_[[AGRUP. VALOR. PTO.]:[AGRUP. VALOR. PTO.]]=$B21,IF(DATOS_[[Check Periodo Ref.]:[Check Periodo Ref.]]="Dentro",IF(DATOS_[[Check Equiparado]:[Check Equiparado]]="Sí",IF(DATOS!BI$5="Sí",(1/DATOS_[[% anualiz]:[% anualiz]]),1)*IF(DATOS!BI$4="Sí",1/DATOS_[[% normaliz]:[% normaliz]],1)*(DATOS_[C.Extra.01])))))))),
0)</f>
        <v>0</v>
      </c>
      <c r="AQ23" s="104">
        <f t="array" ref="AQ23">IFERROR(
(AVERAGE((IF(DATOS_[[Sexo]:[Sexo]]=$B23,IF(DATOS_[[AGRUP. VALOR. PTO.]:[AGRUP. VALOR. PTO.]]=$B21,IF(DATOS_[[Check Periodo Ref.]:[Check Periodo Ref.]]="Dentro",IF(DATOS_[[Check Equiparado]:[Check Equiparado]]="Sí",IF(DATOS!BJ$5="Sí",(1/DATOS_[[% anualiz]:[% anualiz]]),1)*IF(DATOS!BJ$4="Sí",1/DATOS_[[% normaliz]:[% normaliz]],1)*(DATOS_[C.Extra.02])))))))),
0)</f>
        <v>0</v>
      </c>
      <c r="AR23" s="104">
        <f t="array" ref="AR23">IFERROR(
(AVERAGE((IF(DATOS_[[Sexo]:[Sexo]]=$B23,IF(DATOS_[[AGRUP. VALOR. PTO.]:[AGRUP. VALOR. PTO.]]=$B21,IF(DATOS_[[Check Periodo Ref.]:[Check Periodo Ref.]]="Dentro",IF(DATOS_[[Check Equiparado]:[Check Equiparado]]="Sí",IF(DATOS!BK$5="Sí",(1/DATOS_[[% anualiz]:[% anualiz]]),1)*IF(DATOS!BK$4="Sí",1/DATOS_[[% normaliz]:[% normaliz]],1)*(DATOS_[C.Extra.03])))))))),
0)</f>
        <v>0</v>
      </c>
      <c r="AS23" s="104">
        <f t="array" ref="AS23">IFERROR(
(AVERAGE((IF(DATOS_[[Sexo]:[Sexo]]=$B23,IF(DATOS_[[AGRUP. VALOR. PTO.]:[AGRUP. VALOR. PTO.]]=$B21,IF(DATOS_[[Check Periodo Ref.]:[Check Periodo Ref.]]="Dentro",IF(DATOS_[[Check Equiparado]:[Check Equiparado]]="Sí",IF(DATOS!BL$5="Sí",(1/DATOS_[[% anualiz]:[% anualiz]]),1)*IF(DATOS!BL$4="Sí",1/DATOS_[[% normaliz]:[% normaliz]],1)*(DATOS_[C.Extra.04])))))))),
0)</f>
        <v>0</v>
      </c>
      <c r="AT23" s="104">
        <f t="array" ref="AT23">IFERROR(
(AVERAGE((IF(DATOS_[[Sexo]:[Sexo]]=$B23,IF(DATOS_[[AGRUP. VALOR. PTO.]:[AGRUP. VALOR. PTO.]]=$B21,IF(DATOS_[[Check Periodo Ref.]:[Check Periodo Ref.]]="Dentro",IF(DATOS_[[Check Equiparado]:[Check Equiparado]]="Sí",IF(DATOS!BM$5="Sí",(1/DATOS_[[% anualiz]:[% anualiz]]),1)*IF(DATOS!BM$4="Sí",1/DATOS_[[% normaliz]:[% normaliz]],1)*(DATOS_[C.Extra.05])))))))),
0)</f>
        <v>0</v>
      </c>
      <c r="AU23" s="105">
        <f t="array" ref="AU23">IFERROR(
AVERAGE(IF(DATOS_[Sexo]=$B23,IF(DATOS_[[AGRUP. VALOR. PTO.]:[AGRUP. VALOR. PTO.]]=$B21,IF(DATOS_[Check Equiparado]="Sí",IF(DATOS_[Check Periodo Ref.]="Dentro",DATOS_[Tot Extrasalarial Eq],FALSE))))),
0)</f>
        <v>0</v>
      </c>
      <c r="AV23" s="106">
        <f t="array" ref="AV23">IFERROR(
AVERAGE(IF(DATOS_[Sexo]=$B23,IF(DATOS_[[AGRUP. VALOR. PTO.]:[AGRUP. VALOR. PTO.]]=$B21,IF(DATOS_[Check Equiparado]="Sí",IF(DATOS_[Check Periodo Ref.]="Dentro",DATOS_[TOTAL Retrib Eq],FALSE))))),
0)</f>
        <v>20659.460741666669</v>
      </c>
    </row>
    <row r="24" spans="1:48" ht="17.25" thickBot="1" x14ac:dyDescent="0.35">
      <c r="A24" s="53" t="str">
        <f t="shared" ref="A24" si="15">+A25</f>
        <v/>
      </c>
      <c r="B24" s="62" t="s">
        <v>309</v>
      </c>
      <c r="C24" s="99"/>
      <c r="D24" s="63"/>
      <c r="E24" s="63"/>
      <c r="F24" s="63"/>
      <c r="G24" s="63"/>
      <c r="H24" s="63"/>
      <c r="I24" s="129">
        <f t="shared" ref="I24:AV24" si="16">IFERROR((I25-I26)/I25,"")</f>
        <v>-2.6103837072795049E-2</v>
      </c>
      <c r="J24" s="130">
        <f t="shared" si="16"/>
        <v>0.25514025726071704</v>
      </c>
      <c r="K24" s="131">
        <f t="shared" si="16"/>
        <v>-0.2234877660659195</v>
      </c>
      <c r="L24" s="131">
        <f t="shared" si="16"/>
        <v>-0.23790354184628254</v>
      </c>
      <c r="M24" s="131" t="str">
        <f t="shared" si="16"/>
        <v/>
      </c>
      <c r="N24" s="132" t="str">
        <f t="shared" si="16"/>
        <v/>
      </c>
      <c r="O24" s="133" t="str">
        <f t="shared" si="16"/>
        <v/>
      </c>
      <c r="P24" s="133">
        <f t="shared" si="16"/>
        <v>-3.6184210526315819E-2</v>
      </c>
      <c r="Q24" s="133">
        <f t="shared" si="16"/>
        <v>1</v>
      </c>
      <c r="R24" s="133" t="str">
        <f t="shared" si="16"/>
        <v/>
      </c>
      <c r="S24" s="133" t="str">
        <f t="shared" si="16"/>
        <v/>
      </c>
      <c r="T24" s="133" t="str">
        <f t="shared" si="16"/>
        <v/>
      </c>
      <c r="U24" s="133" t="str">
        <f t="shared" si="16"/>
        <v/>
      </c>
      <c r="V24" s="133" t="str">
        <f t="shared" si="16"/>
        <v/>
      </c>
      <c r="W24" s="133" t="str">
        <f t="shared" si="16"/>
        <v/>
      </c>
      <c r="X24" s="133" t="str">
        <f t="shared" si="16"/>
        <v/>
      </c>
      <c r="Y24" s="133" t="str">
        <f t="shared" si="16"/>
        <v/>
      </c>
      <c r="Z24" s="132" t="str">
        <f t="shared" si="16"/>
        <v/>
      </c>
      <c r="AA24" s="132" t="str">
        <f t="shared" si="16"/>
        <v/>
      </c>
      <c r="AB24" s="132" t="str">
        <f t="shared" si="16"/>
        <v/>
      </c>
      <c r="AC24" s="132" t="str">
        <f t="shared" si="16"/>
        <v/>
      </c>
      <c r="AD24" s="132" t="str">
        <f t="shared" si="16"/>
        <v/>
      </c>
      <c r="AE24" s="132" t="str">
        <f t="shared" si="16"/>
        <v/>
      </c>
      <c r="AF24" s="132" t="str">
        <f t="shared" si="16"/>
        <v/>
      </c>
      <c r="AG24" s="132" t="str">
        <f t="shared" si="16"/>
        <v/>
      </c>
      <c r="AH24" s="132" t="str">
        <f t="shared" si="16"/>
        <v/>
      </c>
      <c r="AI24" s="132" t="str">
        <f t="shared" si="16"/>
        <v/>
      </c>
      <c r="AJ24" s="132" t="str">
        <f t="shared" si="16"/>
        <v/>
      </c>
      <c r="AK24" s="132" t="str">
        <f t="shared" si="16"/>
        <v/>
      </c>
      <c r="AL24" s="132" t="str">
        <f t="shared" si="16"/>
        <v/>
      </c>
      <c r="AM24" s="132" t="str">
        <f t="shared" si="16"/>
        <v/>
      </c>
      <c r="AN24" s="134">
        <f t="shared" si="16"/>
        <v>0.54356769786473258</v>
      </c>
      <c r="AO24" s="138">
        <f t="shared" si="16"/>
        <v>0.15180519913197368</v>
      </c>
      <c r="AP24" s="135">
        <f t="shared" si="16"/>
        <v>0.4078947368421052</v>
      </c>
      <c r="AQ24" s="135" t="str">
        <f t="shared" si="16"/>
        <v/>
      </c>
      <c r="AR24" s="135" t="str">
        <f t="shared" si="16"/>
        <v/>
      </c>
      <c r="AS24" s="135" t="str">
        <f t="shared" si="16"/>
        <v/>
      </c>
      <c r="AT24" s="135" t="str">
        <f t="shared" si="16"/>
        <v/>
      </c>
      <c r="AU24" s="136">
        <f t="shared" si="16"/>
        <v>0.4078947368421052</v>
      </c>
      <c r="AV24" s="137">
        <f t="shared" si="16"/>
        <v>0.15195664928872921</v>
      </c>
    </row>
    <row r="25" spans="1:48" x14ac:dyDescent="0.3">
      <c r="A25" s="53" t="str">
        <f t="shared" ref="A25" si="17">+IF(C25+C26=0,"[ocultar]","")</f>
        <v/>
      </c>
      <c r="B25" s="57" t="s">
        <v>162</v>
      </c>
      <c r="C25" s="56">
        <f t="array" ref="C25">SUM(IF($B25=DATOS_[Sexo],
IF($B24=DATOS_[AGRUP. VALOR. PTO.],
IF("Dentro"=DATOS_[Check Periodo Ref.],
1/(COUNTIFS(DATOS_[Sexo],$B25,DATOS_[AGRUP. VALOR. PTO.],$B24,DATOS_[Check Periodo Ref.],"Dentro",DATOS_[id],DATOS_[id]))))))</f>
        <v>46</v>
      </c>
      <c r="D25" s="58">
        <f>COUNTIFS(DATOS_[AGRUP. VALOR. PTO.],$B24,DATOS_[Sexo],$B25,DATOS_[Check Periodo Ref.],"Dentro")</f>
        <v>47</v>
      </c>
      <c r="E25" s="58">
        <f>COUNTIFS(DATOS_[AGRUP. VALOR. PTO.],$B24,DATOS_[Sexo],$B25,DATOS_[Check Periodo Ref.],"Dentro",DATOS_[Check Nº SC Norm],"Sí")</f>
        <v>1</v>
      </c>
      <c r="F25" s="58">
        <f>COUNTIFS(DATOS_[AGRUP. VALOR. PTO.],$B24,DATOS_[Sexo],$B25,DATOS_[Check Periodo Ref.],"Dentro",DATOS_[Check Nº SC Anualiz],"Sí")</f>
        <v>6</v>
      </c>
      <c r="G25" s="58">
        <f>COUNTIFS(DATOS_[AGRUP. VALOR. PTO.],$B24,DATOS_[Sexo],$B25,DATOS_[Check Periodo Ref.],"Dentro",DATOS_[Check Nº SC Norm y Anualiz],"Sí")</f>
        <v>1</v>
      </c>
      <c r="H25" s="58">
        <f>COUNTIFS(DATOS_[AGRUP. VALOR. PTO.],$B24,DATOS_[Sexo],$B25,DATOS_[Check Periodo Ref.],"Dentro",DATOS_[Check Equiparación],"Sí")</f>
        <v>8</v>
      </c>
      <c r="I25" s="100">
        <f t="array" ref="I25">IFERROR(
AVERAGE(IF(DATOS_[Sexo]=$B25,IF(DATOS_[[AGRUP. VALOR. PTO.]:[AGRUP. VALOR. PTO.]]=$B24,IF(DATOS_[Check Equiparado]="Sí",IF(DATOS_[Check Periodo Ref.]="Dentro",DATOS_[SALARIO BASE Eq],FALSE))))),
0)</f>
        <v>12396.305153608539</v>
      </c>
      <c r="J25" s="101">
        <f t="array" ref="J25">IFERROR(
(AVERAGE((IF(DATOS_[[Sexo]:[Sexo]]=$B25,IF(DATOS_[[AGRUP. VALOR. PTO.]:[AGRUP. VALOR. PTO.]]=$B24,IF(DATOS_[[Check Periodo Ref.]:[Check Periodo Ref.]]="Dentro",IF(DATOS_[[Check Equiparado]:[Check Equiparado]]="Sí",IF(DATOS!AE$5="Sí",(1/DATOS_[[% anualiz]:[% anualiz]]),1)*IF(DATOS!AE$4="Sí",1/DATOS_[[% normaliz]:[% normaliz]],1)*(DATOS_[Conc.Sal.01])))))))),
0)</f>
        <v>991.37137920060036</v>
      </c>
      <c r="K25" s="101">
        <f t="array" ref="K25">IFERROR(
(AVERAGE((IF(DATOS_[[Sexo]:[Sexo]]=$B25,IF(DATOS_[[AGRUP. VALOR. PTO.]:[AGRUP. VALOR. PTO.]]=$B24,IF(DATOS_[[Check Periodo Ref.]:[Check Periodo Ref.]]="Dentro",IF(DATOS_[[Check Equiparado]:[Check Equiparado]]="Sí",IF(DATOS!AF$5="Sí",(1/DATOS_[[% anualiz]:[% anualiz]]),1)*IF(DATOS!AF$4="Sí",1/DATOS_[[% normaliz]:[% normaliz]],1)*(DATOS_[Conc.Sal.02])))))))),
0)</f>
        <v>1149.3918211962934</v>
      </c>
      <c r="L25" s="101">
        <f t="array" ref="L25">IFERROR(
(AVERAGE((IF(DATOS_[[Sexo]:[Sexo]]=$B25,IF(DATOS_[[AGRUP. VALOR. PTO.]:[AGRUP. VALOR. PTO.]]=$B24,IF(DATOS_[[Check Periodo Ref.]:[Check Periodo Ref.]]="Dentro",IF(DATOS_[[Check Equiparado]:[Check Equiparado]]="Sí",IF(DATOS!AG$5="Sí",(1/DATOS_[[% anualiz]:[% anualiz]]),1)*IF(DATOS!AG$4="Sí",1/DATOS_[[% normaliz]:[% normaliz]],1)*(DATOS_[Conc.Sal.03])))))))),
0)</f>
        <v>283.61471496770571</v>
      </c>
      <c r="M25" s="101">
        <f t="array" ref="M25">IFERROR(
(AVERAGE((IF(DATOS_[[Sexo]:[Sexo]]=$B25,IF(DATOS_[[AGRUP. VALOR. PTO.]:[AGRUP. VALOR. PTO.]]=$B24,IF(DATOS_[[Check Periodo Ref.]:[Check Periodo Ref.]]="Dentro",IF(DATOS_[[Check Equiparado]:[Check Equiparado]]="Sí",IF(DATOS!AH$5="Sí",(1/DATOS_[[% anualiz]:[% anualiz]]),1)*IF(DATOS!AH$4="Sí",1/DATOS_[[% normaliz]:[% normaliz]],1)*(DATOS_[Conc.Sal.04])))))))),
0)</f>
        <v>0</v>
      </c>
      <c r="N25" s="101">
        <f t="array" ref="N25">IFERROR(
(AVERAGE((IF(DATOS_[[Sexo]:[Sexo]]=$B25,IF(DATOS_[[AGRUP. VALOR. PTO.]:[AGRUP. VALOR. PTO.]]=$B24,IF(DATOS_[[Check Periodo Ref.]:[Check Periodo Ref.]]="Dentro",IF(DATOS_[[Check Equiparado]:[Check Equiparado]]="Sí",IF(DATOS!AI$5="Sí",(1/DATOS_[[% anualiz]:[% anualiz]]),1)*IF(DATOS!AI$4="Sí",1/DATOS_[[% normaliz]:[% normaliz]],1)*(DATOS_[Conc.Sal.05])))))))),
0)</f>
        <v>0</v>
      </c>
      <c r="O25" s="101">
        <f t="array" ref="O25">IFERROR(
(AVERAGE((IF(DATOS_[[Sexo]:[Sexo]]=$B25,IF(DATOS_[[AGRUP. VALOR. PTO.]:[AGRUP. VALOR. PTO.]]=$B24,IF(DATOS_[[Check Periodo Ref.]:[Check Periodo Ref.]]="Dentro",IF(DATOS_[[Check Equiparado]:[Check Equiparado]]="Sí",IF(DATOS!AJ$5="Sí",(1/DATOS_[[% anualiz]:[% anualiz]]),1)*IF(DATOS!AJ$4="Sí",1/DATOS_[[% normaliz]:[% normaliz]],1)*(DATOS_[Conc.Sal.06])))))))),
0)</f>
        <v>0</v>
      </c>
      <c r="P25" s="101">
        <f t="array" ref="P25">IFERROR(
(AVERAGE((IF(DATOS_[[Sexo]:[Sexo]]=$B25,IF(DATOS_[[AGRUP. VALOR. PTO.]:[AGRUP. VALOR. PTO.]]=$B24,IF(DATOS_[[Check Periodo Ref.]:[Check Periodo Ref.]]="Dentro",IF(DATOS_[[Check Equiparado]:[Check Equiparado]]="Sí",IF(DATOS!AK$5="Sí",(1/DATOS_[[% anualiz]:[% anualiz]]),1)*IF(DATOS!AK$4="Sí",1/DATOS_[[% normaliz]:[% normaliz]],1)*(DATOS_[Conc.Sal.07])))))))),
0)</f>
        <v>71.111111111111114</v>
      </c>
      <c r="Q25" s="101">
        <f t="array" ref="Q25">IFERROR(
(AVERAGE((IF(DATOS_[[Sexo]:[Sexo]]=$B25,IF(DATOS_[[AGRUP. VALOR. PTO.]:[AGRUP. VALOR. PTO.]]=$B24,IF(DATOS_[[Check Periodo Ref.]:[Check Periodo Ref.]]="Dentro",IF(DATOS_[[Check Equiparado]:[Check Equiparado]]="Sí",IF(DATOS!AL$5="Sí",(1/DATOS_[[% anualiz]:[% anualiz]]),1)*IF(DATOS!AL$4="Sí",1/DATOS_[[% normaliz]:[% normaliz]],1)*(DATOS_[Conc.Sal.08])))))))),
0)</f>
        <v>3133.9796171861822</v>
      </c>
      <c r="R25" s="101">
        <f t="array" ref="R25">IFERROR(
(AVERAGE((IF(DATOS_[[Sexo]:[Sexo]]=$B25,IF(DATOS_[[AGRUP. VALOR. PTO.]:[AGRUP. VALOR. PTO.]]=$B24,IF(DATOS_[[Check Periodo Ref.]:[Check Periodo Ref.]]="Dentro",IF(DATOS_[[Check Equiparado]:[Check Equiparado]]="Sí",IF(DATOS!AM$5="Sí",(1/DATOS_[[% anualiz]:[% anualiz]]),1)*IF(DATOS!AM$4="Sí",1/DATOS_[[% normaliz]:[% normaliz]],1)*(DATOS_[Conc.Sal.09])))))))),
0)</f>
        <v>0</v>
      </c>
      <c r="S25" s="101">
        <f t="array" ref="S25">IFERROR(
(AVERAGE((IF(DATOS_[[Sexo]:[Sexo]]=$B25,IF(DATOS_[[AGRUP. VALOR. PTO.]:[AGRUP. VALOR. PTO.]]=$B24,IF(DATOS_[[Check Periodo Ref.]:[Check Periodo Ref.]]="Dentro",IF(DATOS_[[Check Equiparado]:[Check Equiparado]]="Sí",IF(DATOS!AN$5="Sí",(1/DATOS_[[% anualiz]:[% anualiz]]),1)*IF(DATOS!AN$4="Sí",1/DATOS_[[% normaliz]:[% normaliz]],1)*(DATOS_[Conc.Sal.10])))))))),
0)</f>
        <v>0</v>
      </c>
      <c r="T25" s="101">
        <f t="array" ref="T25">IFERROR(
(AVERAGE((IF(DATOS_[[Sexo]:[Sexo]]=$B25,IF(DATOS_[[AGRUP. VALOR. PTO.]:[AGRUP. VALOR. PTO.]]=$B24,IF(DATOS_[[Check Periodo Ref.]:[Check Periodo Ref.]]="Dentro",IF(DATOS_[[Check Equiparado]:[Check Equiparado]]="Sí",IF(DATOS!AO$5="Sí",(1/DATOS_[[% anualiz]:[% anualiz]]),1)*IF(DATOS!AO$4="Sí",1/DATOS_[[% normaliz]:[% normaliz]],1)*(DATOS_[Conc.Sal.11])))))))),
0)</f>
        <v>0</v>
      </c>
      <c r="U25" s="101">
        <f t="array" ref="U25">IFERROR(
(AVERAGE((IF(DATOS_[[Sexo]:[Sexo]]=$B25,IF(DATOS_[[AGRUP. VALOR. PTO.]:[AGRUP. VALOR. PTO.]]=$B24,IF(DATOS_[[Check Periodo Ref.]:[Check Periodo Ref.]]="Dentro",IF(DATOS_[[Check Equiparado]:[Check Equiparado]]="Sí",IF(DATOS!AP$5="Sí",(1/DATOS_[[% anualiz]:[% anualiz]]),1)*IF(DATOS!AP$4="Sí",1/DATOS_[[% normaliz]:[% normaliz]],1)*(DATOS_[Conc.Sal.12])))))))),
0)</f>
        <v>0</v>
      </c>
      <c r="V25" s="101">
        <f t="array" ref="V25">IFERROR(
(AVERAGE((IF(DATOS_[[Sexo]:[Sexo]]=$B25,IF(DATOS_[[AGRUP. VALOR. PTO.]:[AGRUP. VALOR. PTO.]]=$B24,IF(DATOS_[[Check Periodo Ref.]:[Check Periodo Ref.]]="Dentro",IF(DATOS_[[Check Equiparado]:[Check Equiparado]]="Sí",IF(DATOS!AQ$5="Sí",(1/DATOS_[[% anualiz]:[% anualiz]]),1)*IF(DATOS!AQ$4="Sí",1/DATOS_[[% normaliz]:[% normaliz]],1)*(DATOS_[Conc.Sal.13])))))))),
0)</f>
        <v>0</v>
      </c>
      <c r="W25" s="101">
        <f t="array" ref="W25">IFERROR(
(AVERAGE((IF(DATOS_[[Sexo]:[Sexo]]=$B25,IF(DATOS_[[AGRUP. VALOR. PTO.]:[AGRUP. VALOR. PTO.]]=$B24,IF(DATOS_[[Check Periodo Ref.]:[Check Periodo Ref.]]="Dentro",IF(DATOS_[[Check Equiparado]:[Check Equiparado]]="Sí",IF(DATOS!AR$5="Sí",(1/DATOS_[[% anualiz]:[% anualiz]]),1)*IF(DATOS!AR$4="Sí",1/DATOS_[[% normaliz]:[% normaliz]],1)*(DATOS_[Conc.Sal.14])))))))),
0)</f>
        <v>0</v>
      </c>
      <c r="X25" s="101">
        <f t="array" ref="X25">IFERROR(
(AVERAGE((IF(DATOS_[[Sexo]:[Sexo]]=$B25,IF(DATOS_[[AGRUP. VALOR. PTO.]:[AGRUP. VALOR. PTO.]]=$B24,IF(DATOS_[[Check Periodo Ref.]:[Check Periodo Ref.]]="Dentro",IF(DATOS_[[Check Equiparado]:[Check Equiparado]]="Sí",IF(DATOS!AS$5="Sí",(1/DATOS_[[% anualiz]:[% anualiz]]),1)*IF(DATOS!AS$4="Sí",1/DATOS_[[% normaliz]:[% normaliz]],1)*(DATOS_[Conc.Sal.15])))))))),
0)</f>
        <v>0</v>
      </c>
      <c r="Y25" s="101">
        <f t="array" ref="Y25">IFERROR(
(AVERAGE((IF(DATOS_[[Sexo]:[Sexo]]=$B25,IF(DATOS_[[AGRUP. VALOR. PTO.]:[AGRUP. VALOR. PTO.]]=$B24,IF(DATOS_[[Check Periodo Ref.]:[Check Periodo Ref.]]="Dentro",IF(DATOS_[[Check Equiparado]:[Check Equiparado]]="Sí",IF(DATOS!AT$5="Sí",(1/DATOS_[[% anualiz]:[% anualiz]]),1)*IF(DATOS!AT$4="Sí",1/DATOS_[[% normaliz]:[% normaliz]],1)*(DATOS_[Conc.Sal.16])))))))),
0)</f>
        <v>0</v>
      </c>
      <c r="Z25" s="101">
        <f t="array" ref="Z25">IFERROR(
(AVERAGE((IF(DATOS_[[Sexo]:[Sexo]]=$B25,IF(DATOS_[[AGRUP. VALOR. PTO.]:[AGRUP. VALOR. PTO.]]=$B24,IF(DATOS_[[Check Periodo Ref.]:[Check Periodo Ref.]]="Dentro",IF(DATOS_[[Check Equiparado]:[Check Equiparado]]="Sí",IF(DATOS!AU$5="Sí",(1/DATOS_[[% anualiz]:[% anualiz]]),1)*IF(DATOS!AU$4="Sí",1/DATOS_[[% normaliz]:[% normaliz]],1)*(DATOS_[Conc.Sal.17])))))))),
0)</f>
        <v>0</v>
      </c>
      <c r="AA25" s="101">
        <f t="array" ref="AA25">IFERROR(
(AVERAGE((IF(DATOS_[[Sexo]:[Sexo]]=$B25,IF(DATOS_[[AGRUP. VALOR. PTO.]:[AGRUP. VALOR. PTO.]]=$B24,IF(DATOS_[[Check Periodo Ref.]:[Check Periodo Ref.]]="Dentro",IF(DATOS_[[Check Equiparado]:[Check Equiparado]]="Sí",IF(DATOS!AV$5="Sí",(1/DATOS_[[% anualiz]:[% anualiz]]),1)*IF(DATOS!AV$4="Sí",1/DATOS_[[% normaliz]:[% normaliz]],1)*(DATOS_[Conc.Sal.18])))))))),
0)</f>
        <v>0</v>
      </c>
      <c r="AB25" s="101">
        <f t="array" ref="AB25">IFERROR(
(AVERAGE((IF(DATOS_[[Sexo]:[Sexo]]=$B25,IF(DATOS_[[AGRUP. VALOR. PTO.]:[AGRUP. VALOR. PTO.]]=$B24,IF(DATOS_[[Check Periodo Ref.]:[Check Periodo Ref.]]="Dentro",IF(DATOS_[[Check Equiparado]:[Check Equiparado]]="Sí",IF(DATOS!AW$5="Sí",(1/DATOS_[[% anualiz]:[% anualiz]]),1)*IF(DATOS!AW$4="Sí",1/DATOS_[[% normaliz]:[% normaliz]],1)*(DATOS_[Conc.Sal.19])))))))),
0)</f>
        <v>0</v>
      </c>
      <c r="AC25" s="101">
        <f t="array" ref="AC25">IFERROR(
(AVERAGE((IF(DATOS_[[Sexo]:[Sexo]]=$B25,IF(DATOS_[[AGRUP. VALOR. PTO.]:[AGRUP. VALOR. PTO.]]=$B24,IF(DATOS_[[Check Periodo Ref.]:[Check Periodo Ref.]]="Dentro",IF(DATOS_[[Check Equiparado]:[Check Equiparado]]="Sí",IF(DATOS!AX$5="Sí",(1/DATOS_[[% anualiz]:[% anualiz]]),1)*IF(DATOS!AX$4="Sí",1/DATOS_[[% normaliz]:[% normaliz]],1)*(DATOS_[Conc.Sal.20])))))))),
0)</f>
        <v>0</v>
      </c>
      <c r="AD25" s="101">
        <f t="array" ref="AD25">IFERROR(
(AVERAGE((IF(DATOS_[[Sexo]:[Sexo]]=$B25,IF(DATOS_[[AGRUP. VALOR. PTO.]:[AGRUP. VALOR. PTO.]]=$B24,IF(DATOS_[[Check Periodo Ref.]:[Check Periodo Ref.]]="Dentro",IF(DATOS_[[Check Equiparado]:[Check Equiparado]]="Sí",IF(DATOS!AY$5="Sí",(1/DATOS_[[% anualiz]:[% anualiz]]),1)*IF(DATOS!AY$4="Sí",1/DATOS_[[% normaliz]:[% normaliz]],1)*(DATOS_[Conc.Sal.21])))))))),
0)</f>
        <v>0</v>
      </c>
      <c r="AE25" s="101">
        <f t="array" ref="AE25">IFERROR(
(AVERAGE((IF(DATOS_[[Sexo]:[Sexo]]=$B25,IF(DATOS_[[AGRUP. VALOR. PTO.]:[AGRUP. VALOR. PTO.]]=$B24,IF(DATOS_[[Check Periodo Ref.]:[Check Periodo Ref.]]="Dentro",IF(DATOS_[[Check Equiparado]:[Check Equiparado]]="Sí",IF(DATOS!AZ$5="Sí",(1/DATOS_[[% anualiz]:[% anualiz]]),1)*IF(DATOS!AZ$4="Sí",1/DATOS_[[% normaliz]:[% normaliz]],1)*(DATOS_[Conc.Sal.22])))))))),
0)</f>
        <v>0</v>
      </c>
      <c r="AF25" s="101">
        <f t="array" ref="AF25">IFERROR(
(AVERAGE((IF(DATOS_[[Sexo]:[Sexo]]=$B25,IF(DATOS_[[AGRUP. VALOR. PTO.]:[AGRUP. VALOR. PTO.]]=$B24,IF(DATOS_[[Check Periodo Ref.]:[Check Periodo Ref.]]="Dentro",IF(DATOS_[[Check Equiparado]:[Check Equiparado]]="Sí",IF(DATOS!BA$5="Sí",(1/DATOS_[[% anualiz]:[% anualiz]]),1)*IF(DATOS!BA$4="Sí",1/DATOS_[[% normaliz]:[% normaliz]],1)*(DATOS_[Conc.Sal.23])))))))),
0)</f>
        <v>0</v>
      </c>
      <c r="AG25" s="101">
        <f t="array" ref="AG25">IFERROR(
(AVERAGE((IF(DATOS_[[Sexo]:[Sexo]]=$B25,IF(DATOS_[[AGRUP. VALOR. PTO.]:[AGRUP. VALOR. PTO.]]=$B24,IF(DATOS_[[Check Periodo Ref.]:[Check Periodo Ref.]]="Dentro",IF(DATOS_[[Check Equiparado]:[Check Equiparado]]="Sí",IF(DATOS!BB$5="Sí",(1/DATOS_[[% anualiz]:[% anualiz]]),1)*IF(DATOS!BB$4="Sí",1/DATOS_[[% normaliz]:[% normaliz]],1)*(DATOS_[Conc.Sal.24])))))))),
0)</f>
        <v>0</v>
      </c>
      <c r="AH25" s="101">
        <f t="array" ref="AH25">IFERROR(
(AVERAGE((IF(DATOS_[[Sexo]:[Sexo]]=$B25,IF(DATOS_[[AGRUP. VALOR. PTO.]:[AGRUP. VALOR. PTO.]]=$B24,IF(DATOS_[[Check Periodo Ref.]:[Check Periodo Ref.]]="Dentro",IF(DATOS_[[Check Equiparado]:[Check Equiparado]]="Sí",IF(DATOS!BC$5="Sí",(1/DATOS_[[% anualiz]:[% anualiz]]),1)*IF(DATOS!BC$4="Sí",1/DATOS_[[% normaliz]:[% normaliz]],1)*(DATOS_[Conc.Sal.25])))))))),
0)</f>
        <v>0</v>
      </c>
      <c r="AI25" s="101">
        <f t="array" ref="AI25">IFERROR(
(AVERAGE((IF(DATOS_[[Sexo]:[Sexo]]=$B25,IF(DATOS_[[AGRUP. VALOR. PTO.]:[AGRUP. VALOR. PTO.]]=$B24,IF(DATOS_[[Check Periodo Ref.]:[Check Periodo Ref.]]="Dentro",IF(DATOS_[[Check Equiparado]:[Check Equiparado]]="Sí",IF(DATOS!BD$5="Sí",(1/DATOS_[[% anualiz]:[% anualiz]]),1)*IF(DATOS!BD$4="Sí",1/DATOS_[[% normaliz]:[% normaliz]],1)*(DATOS_[Conc.Sal.26])))))))),
0)</f>
        <v>0</v>
      </c>
      <c r="AJ25" s="101">
        <f t="array" ref="AJ25">IFERROR(
(AVERAGE((IF(DATOS_[[Sexo]:[Sexo]]=$B25,IF(DATOS_[[AGRUP. VALOR. PTO.]:[AGRUP. VALOR. PTO.]]=$B24,IF(DATOS_[[Check Periodo Ref.]:[Check Periodo Ref.]]="Dentro",IF(DATOS_[[Check Equiparado]:[Check Equiparado]]="Sí",IF(DATOS!BE$5="Sí",(1/DATOS_[[% anualiz]:[% anualiz]]),1)*IF(DATOS!BE$4="Sí",1/DATOS_[[% normaliz]:[% normaliz]],1)*(DATOS_[Conc.Sal.27])))))))),
0)</f>
        <v>0</v>
      </c>
      <c r="AK25" s="101">
        <f t="array" ref="AK25">IFERROR(
(AVERAGE((IF(DATOS_[[Sexo]:[Sexo]]=$B25,IF(DATOS_[[AGRUP. VALOR. PTO.]:[AGRUP. VALOR. PTO.]]=$B24,IF(DATOS_[[Check Periodo Ref.]:[Check Periodo Ref.]]="Dentro",IF(DATOS_[[Check Equiparado]:[Check Equiparado]]="Sí",IF(DATOS!BF$5="Sí",(1/DATOS_[[% anualiz]:[% anualiz]]),1)*IF(DATOS!BF$4="Sí",1/DATOS_[[% normaliz]:[% normaliz]],1)*(DATOS_[Conc.Sal.28])))))))),
0)</f>
        <v>0</v>
      </c>
      <c r="AL25" s="101">
        <f t="array" ref="AL25">IFERROR(
(AVERAGE((IF(DATOS_[[Sexo]:[Sexo]]=$B25,IF(DATOS_[[AGRUP. VALOR. PTO.]:[AGRUP. VALOR. PTO.]]=$B24,IF(DATOS_[[Check Periodo Ref.]:[Check Periodo Ref.]]="Dentro",IF(DATOS_[[Check Equiparado]:[Check Equiparado]]="Sí",IF(DATOS!BG$5="Sí",(1/DATOS_[[% anualiz]:[% anualiz]]),1)*IF(DATOS!BG$4="Sí",1/DATOS_[[% normaliz]:[% normaliz]],1)*(DATOS_[Conc.Sal.29])))))))),
0)</f>
        <v>0</v>
      </c>
      <c r="AM25" s="101">
        <f t="array" ref="AM25">IFERROR(
(AVERAGE((IF(DATOS_[[Sexo]:[Sexo]]=$B25,IF(DATOS_[[AGRUP. VALOR. PTO.]:[AGRUP. VALOR. PTO.]]=$B24,IF(DATOS_[[Check Periodo Ref.]:[Check Periodo Ref.]]="Dentro",IF(DATOS_[[Check Equiparado]:[Check Equiparado]]="Sí",IF(DATOS!BH$5="Sí",(1/DATOS_[[% anualiz]:[% anualiz]]),1)*IF(DATOS!BH$4="Sí",1/DATOS_[[% normaliz]:[% normaliz]],1)*(DATOS_[Conc.Sal.30])))))))),
0)</f>
        <v>0</v>
      </c>
      <c r="AN25" s="102">
        <f t="array" ref="AN25">IFERROR(
AVERAGE(IF(DATOS_[Sexo]=$B25,IF(DATOS_[[AGRUP. VALOR. PTO.]:[AGRUP. VALOR. PTO.]]=$B24,IF(DATOS_[Check Equiparado]="Sí",IF(DATOS_[Check Periodo Ref.]="Dentro",DATOS_[Tot COMPL.SAL Eq],FALSE))))),
0)</f>
        <v>5629.4686436618949</v>
      </c>
      <c r="AO25" s="103">
        <f t="array" ref="AO25">IFERROR(
AVERAGE(IF(DATOS_[Sexo]=$B25,IF(DATOS_[[AGRUP. VALOR. PTO.]:[AGRUP. VALOR. PTO.]]=$B24,IF(DATOS_[Check Equiparado]="Sí",IF(DATOS_[Check Periodo Ref.]="Dentro",DATOS_[TOTAL SALARIO Eq],FALSE))))),
0)</f>
        <v>18025.773797270427</v>
      </c>
      <c r="AP25" s="104">
        <f t="array" ref="AP25">IFERROR(
(AVERAGE((IF(DATOS_[[Sexo]:[Sexo]]=$B25,IF(DATOS_[[AGRUP. VALOR. PTO.]:[AGRUP. VALOR. PTO.]]=$B24,IF(DATOS_[[Check Periodo Ref.]:[Check Periodo Ref.]]="Dentro",IF(DATOS_[[Check Equiparado]:[Check Equiparado]]="Sí",IF(DATOS!BI$5="Sí",(1/DATOS_[[% anualiz]:[% anualiz]]),1)*IF(DATOS!BI$4="Sí",1/DATOS_[[% normaliz]:[% normaliz]],1)*(DATOS_[C.Extra.01])))))))),
0)</f>
        <v>10.666666666666666</v>
      </c>
      <c r="AQ25" s="104">
        <f t="array" ref="AQ25">IFERROR(
(AVERAGE((IF(DATOS_[[Sexo]:[Sexo]]=$B25,IF(DATOS_[[AGRUP. VALOR. PTO.]:[AGRUP. VALOR. PTO.]]=$B24,IF(DATOS_[[Check Periodo Ref.]:[Check Periodo Ref.]]="Dentro",IF(DATOS_[[Check Equiparado]:[Check Equiparado]]="Sí",IF(DATOS!BJ$5="Sí",(1/DATOS_[[% anualiz]:[% anualiz]]),1)*IF(DATOS!BJ$4="Sí",1/DATOS_[[% normaliz]:[% normaliz]],1)*(DATOS_[C.Extra.02])))))))),
0)</f>
        <v>0</v>
      </c>
      <c r="AR25" s="104">
        <f t="array" ref="AR25">IFERROR(
(AVERAGE((IF(DATOS_[[Sexo]:[Sexo]]=$B25,IF(DATOS_[[AGRUP. VALOR. PTO.]:[AGRUP. VALOR. PTO.]]=$B24,IF(DATOS_[[Check Periodo Ref.]:[Check Periodo Ref.]]="Dentro",IF(DATOS_[[Check Equiparado]:[Check Equiparado]]="Sí",IF(DATOS!BK$5="Sí",(1/DATOS_[[% anualiz]:[% anualiz]]),1)*IF(DATOS!BK$4="Sí",1/DATOS_[[% normaliz]:[% normaliz]],1)*(DATOS_[C.Extra.03])))))))),
0)</f>
        <v>0</v>
      </c>
      <c r="AS25" s="104">
        <f t="array" ref="AS25">IFERROR(
(AVERAGE((IF(DATOS_[[Sexo]:[Sexo]]=$B25,IF(DATOS_[[AGRUP. VALOR. PTO.]:[AGRUP. VALOR. PTO.]]=$B24,IF(DATOS_[[Check Periodo Ref.]:[Check Periodo Ref.]]="Dentro",IF(DATOS_[[Check Equiparado]:[Check Equiparado]]="Sí",IF(DATOS!BL$5="Sí",(1/DATOS_[[% anualiz]:[% anualiz]]),1)*IF(DATOS!BL$4="Sí",1/DATOS_[[% normaliz]:[% normaliz]],1)*(DATOS_[C.Extra.04])))))))),
0)</f>
        <v>0</v>
      </c>
      <c r="AT25" s="104">
        <f t="array" ref="AT25">IFERROR(
(AVERAGE((IF(DATOS_[[Sexo]:[Sexo]]=$B25,IF(DATOS_[[AGRUP. VALOR. PTO.]:[AGRUP. VALOR. PTO.]]=$B24,IF(DATOS_[[Check Periodo Ref.]:[Check Periodo Ref.]]="Dentro",IF(DATOS_[[Check Equiparado]:[Check Equiparado]]="Sí",IF(DATOS!BM$5="Sí",(1/DATOS_[[% anualiz]:[% anualiz]]),1)*IF(DATOS!BM$4="Sí",1/DATOS_[[% normaliz]:[% normaliz]],1)*(DATOS_[C.Extra.05])))))))),
0)</f>
        <v>0</v>
      </c>
      <c r="AU25" s="105">
        <f t="array" ref="AU25">IFERROR(
AVERAGE(IF(DATOS_[Sexo]=$B25,IF(DATOS_[[AGRUP. VALOR. PTO.]:[AGRUP. VALOR. PTO.]]=$B24,IF(DATOS_[Check Equiparado]="Sí",IF(DATOS_[Check Periodo Ref.]="Dentro",DATOS_[Tot Extrasalarial Eq],FALSE))))),
0)</f>
        <v>10.666666666666666</v>
      </c>
      <c r="AV25" s="106">
        <f t="array" ref="AV25">IFERROR(
AVERAGE(IF(DATOS_[Sexo]=$B25,IF(DATOS_[[AGRUP. VALOR. PTO.]:[AGRUP. VALOR. PTO.]]=$B24,IF(DATOS_[Check Equiparado]="Sí",IF(DATOS_[Check Periodo Ref.]="Dentro",DATOS_[TOTAL Retrib Eq],FALSE))))),
0)</f>
        <v>18036.440463937095</v>
      </c>
    </row>
    <row r="26" spans="1:48" x14ac:dyDescent="0.3">
      <c r="A26" s="53" t="str">
        <f t="shared" ref="A26" si="18">+A25</f>
        <v/>
      </c>
      <c r="B26" s="57" t="s">
        <v>163</v>
      </c>
      <c r="C26" s="56">
        <f t="array" ref="C26">SUM(IF($B26=DATOS_[Sexo],
IF($B24=DATOS_[AGRUP. VALOR. PTO.],
IF("Dentro"=DATOS_[Check Periodo Ref.],
1/(COUNTIFS(DATOS_[Sexo],$B26,DATOS_[AGRUP. VALOR. PTO.],$B24,DATOS_[Check Periodo Ref.],"Dentro",DATOS_[id],DATOS_[id]))))))</f>
        <v>38</v>
      </c>
      <c r="D26" s="58">
        <f>COUNTIFS(DATOS_[AGRUP. VALOR. PTO.],$B24,DATOS_[Sexo],$B26,DATOS_[Check Periodo Ref.],"Dentro")</f>
        <v>38</v>
      </c>
      <c r="E26" s="58">
        <f>COUNTIFS(DATOS_[AGRUP. VALOR. PTO.],$B24,DATOS_[Sexo],$B26,DATOS_[Check Periodo Ref.],"Dentro",DATOS_[Check Nº SC Norm],"Sí")</f>
        <v>5</v>
      </c>
      <c r="F26" s="58">
        <f>COUNTIFS(DATOS_[AGRUP. VALOR. PTO.],$B24,DATOS_[Sexo],$B26,DATOS_[Check Periodo Ref.],"Dentro",DATOS_[Check Nº SC Anualiz],"Sí")</f>
        <v>3</v>
      </c>
      <c r="G26" s="58">
        <f>COUNTIFS(DATOS_[AGRUP. VALOR. PTO.],$B24,DATOS_[Sexo],$B26,DATOS_[Check Periodo Ref.],"Dentro",DATOS_[Check Nº SC Norm y Anualiz],"Sí")</f>
        <v>0</v>
      </c>
      <c r="H26" s="58">
        <f>COUNTIFS(DATOS_[AGRUP. VALOR. PTO.],$B24,DATOS_[Sexo],$B26,DATOS_[Check Periodo Ref.],"Dentro",DATOS_[Check Equiparación],"Sí")</f>
        <v>8</v>
      </c>
      <c r="I26" s="100" cm="1">
        <f t="array" ref="I26">IFERROR(
AVERAGE(IF(DATOS_[Sexo]=$B26,IF(DATOS_[[AGRUP. VALOR. PTO.]:[AGRUP. VALOR. PTO.]]=$B24,IF(DATOS_[Check Equiparado]="Sí",IF(DATOS_[Check Periodo Ref.]="Dentro",DATOS_[SALARIO BASE Eq],FALSE))))),
0)</f>
        <v>12719.896283642986</v>
      </c>
      <c r="J26" s="101">
        <f t="array" ref="J26">IFERROR(
(AVERAGE((IF(DATOS_[[Sexo]:[Sexo]]=$B26,IF(DATOS_[[AGRUP. VALOR. PTO.]:[AGRUP. VALOR. PTO.]]=$B24,IF(DATOS_[[Check Periodo Ref.]:[Check Periodo Ref.]]="Dentro",IF(DATOS_[[Check Equiparado]:[Check Equiparado]]="Sí",IF(DATOS!AE$5="Sí",(1/DATOS_[[% anualiz]:[% anualiz]]),1)*IF(DATOS!AE$4="Sí",1/DATOS_[[% normaliz]:[% normaliz]],1)*(DATOS_[Conc.Sal.01])))))))),
0)</f>
        <v>738.43263047044729</v>
      </c>
      <c r="K26" s="101">
        <f t="array" ref="K26">IFERROR(
(AVERAGE((IF(DATOS_[[Sexo]:[Sexo]]=$B26,IF(DATOS_[[AGRUP. VALOR. PTO.]:[AGRUP. VALOR. PTO.]]=$B24,IF(DATOS_[[Check Periodo Ref.]:[Check Periodo Ref.]]="Dentro",IF(DATOS_[[Check Equiparado]:[Check Equiparado]]="Sí",IF(DATOS!AF$5="Sí",(1/DATOS_[[% anualiz]:[% anualiz]]),1)*IF(DATOS!AF$4="Sí",1/DATOS_[[% normaliz]:[% normaliz]],1)*(DATOS_[Conc.Sal.02])))))))),
0)</f>
        <v>1406.2668316498919</v>
      </c>
      <c r="L26" s="101">
        <f t="array" ref="L26">IFERROR(
(AVERAGE((IF(DATOS_[[Sexo]:[Sexo]]=$B26,IF(DATOS_[[AGRUP. VALOR. PTO.]:[AGRUP. VALOR. PTO.]]=$B24,IF(DATOS_[[Check Periodo Ref.]:[Check Periodo Ref.]]="Dentro",IF(DATOS_[[Check Equiparado]:[Check Equiparado]]="Sí",IF(DATOS!AG$5="Sí",(1/DATOS_[[% anualiz]:[% anualiz]]),1)*IF(DATOS!AG$4="Sí",1/DATOS_[[% normaliz]:[% normaliz]],1)*(DATOS_[Conc.Sal.03])))))))),
0)</f>
        <v>351.08766017824678</v>
      </c>
      <c r="M26" s="101">
        <f t="array" ref="M26">IFERROR(
(AVERAGE((IF(DATOS_[[Sexo]:[Sexo]]=$B26,IF(DATOS_[[AGRUP. VALOR. PTO.]:[AGRUP. VALOR. PTO.]]=$B24,IF(DATOS_[[Check Periodo Ref.]:[Check Periodo Ref.]]="Dentro",IF(DATOS_[[Check Equiparado]:[Check Equiparado]]="Sí",IF(DATOS!AH$5="Sí",(1/DATOS_[[% anualiz]:[% anualiz]]),1)*IF(DATOS!AH$4="Sí",1/DATOS_[[% normaliz]:[% normaliz]],1)*(DATOS_[Conc.Sal.04])))))))),
0)</f>
        <v>0</v>
      </c>
      <c r="N26" s="101">
        <f t="array" ref="N26">IFERROR(
(AVERAGE((IF(DATOS_[[Sexo]:[Sexo]]=$B26,IF(DATOS_[[AGRUP. VALOR. PTO.]:[AGRUP. VALOR. PTO.]]=$B24,IF(DATOS_[[Check Periodo Ref.]:[Check Periodo Ref.]]="Dentro",IF(DATOS_[[Check Equiparado]:[Check Equiparado]]="Sí",IF(DATOS!AI$5="Sí",(1/DATOS_[[% anualiz]:[% anualiz]]),1)*IF(DATOS!AI$4="Sí",1/DATOS_[[% normaliz]:[% normaliz]],1)*(DATOS_[Conc.Sal.05])))))))),
0)</f>
        <v>0</v>
      </c>
      <c r="O26" s="101">
        <f t="array" ref="O26">IFERROR(
(AVERAGE((IF(DATOS_[[Sexo]:[Sexo]]=$B26,IF(DATOS_[[AGRUP. VALOR. PTO.]:[AGRUP. VALOR. PTO.]]=$B24,IF(DATOS_[[Check Periodo Ref.]:[Check Periodo Ref.]]="Dentro",IF(DATOS_[[Check Equiparado]:[Check Equiparado]]="Sí",IF(DATOS!AJ$5="Sí",(1/DATOS_[[% anualiz]:[% anualiz]]),1)*IF(DATOS!AJ$4="Sí",1/DATOS_[[% normaliz]:[% normaliz]],1)*(DATOS_[Conc.Sal.06])))))))),
0)</f>
        <v>0</v>
      </c>
      <c r="P26" s="101">
        <f t="array" ref="P26">IFERROR(
(AVERAGE((IF(DATOS_[[Sexo]:[Sexo]]=$B26,IF(DATOS_[[AGRUP. VALOR. PTO.]:[AGRUP. VALOR. PTO.]]=$B24,IF(DATOS_[[Check Periodo Ref.]:[Check Periodo Ref.]]="Dentro",IF(DATOS_[[Check Equiparado]:[Check Equiparado]]="Sí",IF(DATOS!AK$5="Sí",(1/DATOS_[[% anualiz]:[% anualiz]]),1)*IF(DATOS!AK$4="Sí",1/DATOS_[[% normaliz]:[% normaliz]],1)*(DATOS_[Conc.Sal.07])))))))),
0)</f>
        <v>73.684210526315795</v>
      </c>
      <c r="Q26" s="101">
        <f t="array" ref="Q26">IFERROR(
(AVERAGE((IF(DATOS_[[Sexo]:[Sexo]]=$B26,IF(DATOS_[[AGRUP. VALOR. PTO.]:[AGRUP. VALOR. PTO.]]=$B24,IF(DATOS_[[Check Periodo Ref.]:[Check Periodo Ref.]]="Dentro",IF(DATOS_[[Check Equiparado]:[Check Equiparado]]="Sí",IF(DATOS!AL$5="Sí",(1/DATOS_[[% anualiz]:[% anualiz]]),1)*IF(DATOS!AL$4="Sí",1/DATOS_[[% normaliz]:[% normaliz]],1)*(DATOS_[Conc.Sal.08])))))))),
0)</f>
        <v>0</v>
      </c>
      <c r="R26" s="101">
        <f t="array" ref="R26">IFERROR(
(AVERAGE((IF(DATOS_[[Sexo]:[Sexo]]=$B26,IF(DATOS_[[AGRUP. VALOR. PTO.]:[AGRUP. VALOR. PTO.]]=$B24,IF(DATOS_[[Check Periodo Ref.]:[Check Periodo Ref.]]="Dentro",IF(DATOS_[[Check Equiparado]:[Check Equiparado]]="Sí",IF(DATOS!AM$5="Sí",(1/DATOS_[[% anualiz]:[% anualiz]]),1)*IF(DATOS!AM$4="Sí",1/DATOS_[[% normaliz]:[% normaliz]],1)*(DATOS_[Conc.Sal.09])))))))),
0)</f>
        <v>0</v>
      </c>
      <c r="S26" s="101">
        <f t="array" ref="S26">IFERROR(
(AVERAGE((IF(DATOS_[[Sexo]:[Sexo]]=$B26,IF(DATOS_[[AGRUP. VALOR. PTO.]:[AGRUP. VALOR. PTO.]]=$B24,IF(DATOS_[[Check Periodo Ref.]:[Check Periodo Ref.]]="Dentro",IF(DATOS_[[Check Equiparado]:[Check Equiparado]]="Sí",IF(DATOS!AN$5="Sí",(1/DATOS_[[% anualiz]:[% anualiz]]),1)*IF(DATOS!AN$4="Sí",1/DATOS_[[% normaliz]:[% normaliz]],1)*(DATOS_[Conc.Sal.10])))))))),
0)</f>
        <v>0</v>
      </c>
      <c r="T26" s="101">
        <f t="array" ref="T26">IFERROR(
(AVERAGE((IF(DATOS_[[Sexo]:[Sexo]]=$B26,IF(DATOS_[[AGRUP. VALOR. PTO.]:[AGRUP. VALOR. PTO.]]=$B24,IF(DATOS_[[Check Periodo Ref.]:[Check Periodo Ref.]]="Dentro",IF(DATOS_[[Check Equiparado]:[Check Equiparado]]="Sí",IF(DATOS!AO$5="Sí",(1/DATOS_[[% anualiz]:[% anualiz]]),1)*IF(DATOS!AO$4="Sí",1/DATOS_[[% normaliz]:[% normaliz]],1)*(DATOS_[Conc.Sal.11])))))))),
0)</f>
        <v>0</v>
      </c>
      <c r="U26" s="101">
        <f t="array" ref="U26">IFERROR(
(AVERAGE((IF(DATOS_[[Sexo]:[Sexo]]=$B26,IF(DATOS_[[AGRUP. VALOR. PTO.]:[AGRUP. VALOR. PTO.]]=$B24,IF(DATOS_[[Check Periodo Ref.]:[Check Periodo Ref.]]="Dentro",IF(DATOS_[[Check Equiparado]:[Check Equiparado]]="Sí",IF(DATOS!AP$5="Sí",(1/DATOS_[[% anualiz]:[% anualiz]]),1)*IF(DATOS!AP$4="Sí",1/DATOS_[[% normaliz]:[% normaliz]],1)*(DATOS_[Conc.Sal.12])))))))),
0)</f>
        <v>0</v>
      </c>
      <c r="V26" s="101">
        <f t="array" ref="V26">IFERROR(
(AVERAGE((IF(DATOS_[[Sexo]:[Sexo]]=$B26,IF(DATOS_[[AGRUP. VALOR. PTO.]:[AGRUP. VALOR. PTO.]]=$B24,IF(DATOS_[[Check Periodo Ref.]:[Check Periodo Ref.]]="Dentro",IF(DATOS_[[Check Equiparado]:[Check Equiparado]]="Sí",IF(DATOS!AQ$5="Sí",(1/DATOS_[[% anualiz]:[% anualiz]]),1)*IF(DATOS!AQ$4="Sí",1/DATOS_[[% normaliz]:[% normaliz]],1)*(DATOS_[Conc.Sal.13])))))))),
0)</f>
        <v>0</v>
      </c>
      <c r="W26" s="101">
        <f t="array" ref="W26">IFERROR(
(AVERAGE((IF(DATOS_[[Sexo]:[Sexo]]=$B26,IF(DATOS_[[AGRUP. VALOR. PTO.]:[AGRUP. VALOR. PTO.]]=$B24,IF(DATOS_[[Check Periodo Ref.]:[Check Periodo Ref.]]="Dentro",IF(DATOS_[[Check Equiparado]:[Check Equiparado]]="Sí",IF(DATOS!AR$5="Sí",(1/DATOS_[[% anualiz]:[% anualiz]]),1)*IF(DATOS!AR$4="Sí",1/DATOS_[[% normaliz]:[% normaliz]],1)*(DATOS_[Conc.Sal.14])))))))),
0)</f>
        <v>0</v>
      </c>
      <c r="X26" s="101">
        <f t="array" ref="X26">IFERROR(
(AVERAGE((IF(DATOS_[[Sexo]:[Sexo]]=$B26,IF(DATOS_[[AGRUP. VALOR. PTO.]:[AGRUP. VALOR. PTO.]]=$B24,IF(DATOS_[[Check Periodo Ref.]:[Check Periodo Ref.]]="Dentro",IF(DATOS_[[Check Equiparado]:[Check Equiparado]]="Sí",IF(DATOS!AS$5="Sí",(1/DATOS_[[% anualiz]:[% anualiz]]),1)*IF(DATOS!AS$4="Sí",1/DATOS_[[% normaliz]:[% normaliz]],1)*(DATOS_[Conc.Sal.15])))))))),
0)</f>
        <v>0</v>
      </c>
      <c r="Y26" s="101">
        <f t="array" ref="Y26">IFERROR(
(AVERAGE((IF(DATOS_[[Sexo]:[Sexo]]=$B26,IF(DATOS_[[AGRUP. VALOR. PTO.]:[AGRUP. VALOR. PTO.]]=$B24,IF(DATOS_[[Check Periodo Ref.]:[Check Periodo Ref.]]="Dentro",IF(DATOS_[[Check Equiparado]:[Check Equiparado]]="Sí",IF(DATOS!AT$5="Sí",(1/DATOS_[[% anualiz]:[% anualiz]]),1)*IF(DATOS!AT$4="Sí",1/DATOS_[[% normaliz]:[% normaliz]],1)*(DATOS_[Conc.Sal.16])))))))),
0)</f>
        <v>0</v>
      </c>
      <c r="Z26" s="101">
        <f t="array" ref="Z26">IFERROR(
(AVERAGE((IF(DATOS_[[Sexo]:[Sexo]]=$B26,IF(DATOS_[[AGRUP. VALOR. PTO.]:[AGRUP. VALOR. PTO.]]=$B24,IF(DATOS_[[Check Periodo Ref.]:[Check Periodo Ref.]]="Dentro",IF(DATOS_[[Check Equiparado]:[Check Equiparado]]="Sí",IF(DATOS!AU$5="Sí",(1/DATOS_[[% anualiz]:[% anualiz]]),1)*IF(DATOS!AU$4="Sí",1/DATOS_[[% normaliz]:[% normaliz]],1)*(DATOS_[Conc.Sal.17])))))))),
0)</f>
        <v>0</v>
      </c>
      <c r="AA26" s="101">
        <f t="array" ref="AA26">IFERROR(
(AVERAGE((IF(DATOS_[[Sexo]:[Sexo]]=$B26,IF(DATOS_[[AGRUP. VALOR. PTO.]:[AGRUP. VALOR. PTO.]]=$B24,IF(DATOS_[[Check Periodo Ref.]:[Check Periodo Ref.]]="Dentro",IF(DATOS_[[Check Equiparado]:[Check Equiparado]]="Sí",IF(DATOS!AV$5="Sí",(1/DATOS_[[% anualiz]:[% anualiz]]),1)*IF(DATOS!AV$4="Sí",1/DATOS_[[% normaliz]:[% normaliz]],1)*(DATOS_[Conc.Sal.18])))))))),
0)</f>
        <v>0</v>
      </c>
      <c r="AB26" s="101">
        <f t="array" ref="AB26">IFERROR(
(AVERAGE((IF(DATOS_[[Sexo]:[Sexo]]=$B26,IF(DATOS_[[AGRUP. VALOR. PTO.]:[AGRUP. VALOR. PTO.]]=$B24,IF(DATOS_[[Check Periodo Ref.]:[Check Periodo Ref.]]="Dentro",IF(DATOS_[[Check Equiparado]:[Check Equiparado]]="Sí",IF(DATOS!AW$5="Sí",(1/DATOS_[[% anualiz]:[% anualiz]]),1)*IF(DATOS!AW$4="Sí",1/DATOS_[[% normaliz]:[% normaliz]],1)*(DATOS_[Conc.Sal.19])))))))),
0)</f>
        <v>0</v>
      </c>
      <c r="AC26" s="101">
        <f t="array" ref="AC26">IFERROR(
(AVERAGE((IF(DATOS_[[Sexo]:[Sexo]]=$B26,IF(DATOS_[[AGRUP. VALOR. PTO.]:[AGRUP. VALOR. PTO.]]=$B24,IF(DATOS_[[Check Periodo Ref.]:[Check Periodo Ref.]]="Dentro",IF(DATOS_[[Check Equiparado]:[Check Equiparado]]="Sí",IF(DATOS!AX$5="Sí",(1/DATOS_[[% anualiz]:[% anualiz]]),1)*IF(DATOS!AX$4="Sí",1/DATOS_[[% normaliz]:[% normaliz]],1)*(DATOS_[Conc.Sal.20])))))))),
0)</f>
        <v>0</v>
      </c>
      <c r="AD26" s="101">
        <f t="array" ref="AD26">IFERROR(
(AVERAGE((IF(DATOS_[[Sexo]:[Sexo]]=$B26,IF(DATOS_[[AGRUP. VALOR. PTO.]:[AGRUP. VALOR. PTO.]]=$B24,IF(DATOS_[[Check Periodo Ref.]:[Check Periodo Ref.]]="Dentro",IF(DATOS_[[Check Equiparado]:[Check Equiparado]]="Sí",IF(DATOS!AY$5="Sí",(1/DATOS_[[% anualiz]:[% anualiz]]),1)*IF(DATOS!AY$4="Sí",1/DATOS_[[% normaliz]:[% normaliz]],1)*(DATOS_[Conc.Sal.21])))))))),
0)</f>
        <v>0</v>
      </c>
      <c r="AE26" s="101">
        <f t="array" ref="AE26">IFERROR(
(AVERAGE((IF(DATOS_[[Sexo]:[Sexo]]=$B26,IF(DATOS_[[AGRUP. VALOR. PTO.]:[AGRUP. VALOR. PTO.]]=$B24,IF(DATOS_[[Check Periodo Ref.]:[Check Periodo Ref.]]="Dentro",IF(DATOS_[[Check Equiparado]:[Check Equiparado]]="Sí",IF(DATOS!AZ$5="Sí",(1/DATOS_[[% anualiz]:[% anualiz]]),1)*IF(DATOS!AZ$4="Sí",1/DATOS_[[% normaliz]:[% normaliz]],1)*(DATOS_[Conc.Sal.22])))))))),
0)</f>
        <v>0</v>
      </c>
      <c r="AF26" s="101">
        <f t="array" ref="AF26">IFERROR(
(AVERAGE((IF(DATOS_[[Sexo]:[Sexo]]=$B26,IF(DATOS_[[AGRUP. VALOR. PTO.]:[AGRUP. VALOR. PTO.]]=$B24,IF(DATOS_[[Check Periodo Ref.]:[Check Periodo Ref.]]="Dentro",IF(DATOS_[[Check Equiparado]:[Check Equiparado]]="Sí",IF(DATOS!BA$5="Sí",(1/DATOS_[[% anualiz]:[% anualiz]]),1)*IF(DATOS!BA$4="Sí",1/DATOS_[[% normaliz]:[% normaliz]],1)*(DATOS_[Conc.Sal.23])))))))),
0)</f>
        <v>0</v>
      </c>
      <c r="AG26" s="101">
        <f t="array" ref="AG26">IFERROR(
(AVERAGE((IF(DATOS_[[Sexo]:[Sexo]]=$B26,IF(DATOS_[[AGRUP. VALOR. PTO.]:[AGRUP. VALOR. PTO.]]=$B24,IF(DATOS_[[Check Periodo Ref.]:[Check Periodo Ref.]]="Dentro",IF(DATOS_[[Check Equiparado]:[Check Equiparado]]="Sí",IF(DATOS!BB$5="Sí",(1/DATOS_[[% anualiz]:[% anualiz]]),1)*IF(DATOS!BB$4="Sí",1/DATOS_[[% normaliz]:[% normaliz]],1)*(DATOS_[Conc.Sal.24])))))))),
0)</f>
        <v>0</v>
      </c>
      <c r="AH26" s="101">
        <f t="array" ref="AH26">IFERROR(
(AVERAGE((IF(DATOS_[[Sexo]:[Sexo]]=$B26,IF(DATOS_[[AGRUP. VALOR. PTO.]:[AGRUP. VALOR. PTO.]]=$B24,IF(DATOS_[[Check Periodo Ref.]:[Check Periodo Ref.]]="Dentro",IF(DATOS_[[Check Equiparado]:[Check Equiparado]]="Sí",IF(DATOS!BC$5="Sí",(1/DATOS_[[% anualiz]:[% anualiz]]),1)*IF(DATOS!BC$4="Sí",1/DATOS_[[% normaliz]:[% normaliz]],1)*(DATOS_[Conc.Sal.25])))))))),
0)</f>
        <v>0</v>
      </c>
      <c r="AI26" s="101">
        <f t="array" ref="AI26">IFERROR(
(AVERAGE((IF(DATOS_[[Sexo]:[Sexo]]=$B26,IF(DATOS_[[AGRUP. VALOR. PTO.]:[AGRUP. VALOR. PTO.]]=$B24,IF(DATOS_[[Check Periodo Ref.]:[Check Periodo Ref.]]="Dentro",IF(DATOS_[[Check Equiparado]:[Check Equiparado]]="Sí",IF(DATOS!BD$5="Sí",(1/DATOS_[[% anualiz]:[% anualiz]]),1)*IF(DATOS!BD$4="Sí",1/DATOS_[[% normaliz]:[% normaliz]],1)*(DATOS_[Conc.Sal.26])))))))),
0)</f>
        <v>0</v>
      </c>
      <c r="AJ26" s="101">
        <f t="array" ref="AJ26">IFERROR(
(AVERAGE((IF(DATOS_[[Sexo]:[Sexo]]=$B26,IF(DATOS_[[AGRUP. VALOR. PTO.]:[AGRUP. VALOR. PTO.]]=$B24,IF(DATOS_[[Check Periodo Ref.]:[Check Periodo Ref.]]="Dentro",IF(DATOS_[[Check Equiparado]:[Check Equiparado]]="Sí",IF(DATOS!BE$5="Sí",(1/DATOS_[[% anualiz]:[% anualiz]]),1)*IF(DATOS!BE$4="Sí",1/DATOS_[[% normaliz]:[% normaliz]],1)*(DATOS_[Conc.Sal.27])))))))),
0)</f>
        <v>0</v>
      </c>
      <c r="AK26" s="101">
        <f t="array" ref="AK26">IFERROR(
(AVERAGE((IF(DATOS_[[Sexo]:[Sexo]]=$B26,IF(DATOS_[[AGRUP. VALOR. PTO.]:[AGRUP. VALOR. PTO.]]=$B24,IF(DATOS_[[Check Periodo Ref.]:[Check Periodo Ref.]]="Dentro",IF(DATOS_[[Check Equiparado]:[Check Equiparado]]="Sí",IF(DATOS!BF$5="Sí",(1/DATOS_[[% anualiz]:[% anualiz]]),1)*IF(DATOS!BF$4="Sí",1/DATOS_[[% normaliz]:[% normaliz]],1)*(DATOS_[Conc.Sal.28])))))))),
0)</f>
        <v>0</v>
      </c>
      <c r="AL26" s="101">
        <f t="array" ref="AL26">IFERROR(
(AVERAGE((IF(DATOS_[[Sexo]:[Sexo]]=$B26,IF(DATOS_[[AGRUP. VALOR. PTO.]:[AGRUP. VALOR. PTO.]]=$B24,IF(DATOS_[[Check Periodo Ref.]:[Check Periodo Ref.]]="Dentro",IF(DATOS_[[Check Equiparado]:[Check Equiparado]]="Sí",IF(DATOS!BG$5="Sí",(1/DATOS_[[% anualiz]:[% anualiz]]),1)*IF(DATOS!BG$4="Sí",1/DATOS_[[% normaliz]:[% normaliz]],1)*(DATOS_[Conc.Sal.29])))))))),
0)</f>
        <v>0</v>
      </c>
      <c r="AM26" s="101">
        <f t="array" ref="AM26">IFERROR(
(AVERAGE((IF(DATOS_[[Sexo]:[Sexo]]=$B26,IF(DATOS_[[AGRUP. VALOR. PTO.]:[AGRUP. VALOR. PTO.]]=$B24,IF(DATOS_[[Check Periodo Ref.]:[Check Periodo Ref.]]="Dentro",IF(DATOS_[[Check Equiparado]:[Check Equiparado]]="Sí",IF(DATOS!BH$5="Sí",(1/DATOS_[[% anualiz]:[% anualiz]]),1)*IF(DATOS!BH$4="Sí",1/DATOS_[[% normaliz]:[% normaliz]],1)*(DATOS_[Conc.Sal.30])))))))),
0)</f>
        <v>0</v>
      </c>
      <c r="AN26" s="102">
        <f t="array" ref="AN26">IFERROR(
AVERAGE(IF(DATOS_[Sexo]=$B26,IF(DATOS_[[AGRUP. VALOR. PTO.]:[AGRUP. VALOR. PTO.]]=$B24,IF(DATOS_[Check Equiparado]="Sí",IF(DATOS_[Check Periodo Ref.]="Dentro",DATOS_[Tot COMPL.SAL Eq],FALSE))))),
0)</f>
        <v>2569.4713328249004</v>
      </c>
      <c r="AO26" s="103">
        <f t="array" ref="AO26">IFERROR(
AVERAGE(IF(DATOS_[Sexo]=$B26,IF(DATOS_[[AGRUP. VALOR. PTO.]:[AGRUP. VALOR. PTO.]]=$B24,IF(DATOS_[Check Equiparado]="Sí",IF(DATOS_[Check Periodo Ref.]="Dentro",DATOS_[TOTAL SALARIO Eq],FALSE))))),
0)</f>
        <v>15289.367616467876</v>
      </c>
      <c r="AP26" s="104">
        <f t="array" ref="AP26">IFERROR(
(AVERAGE((IF(DATOS_[[Sexo]:[Sexo]]=$B26,IF(DATOS_[[AGRUP. VALOR. PTO.]:[AGRUP. VALOR. PTO.]]=$B24,IF(DATOS_[[Check Periodo Ref.]:[Check Periodo Ref.]]="Dentro",IF(DATOS_[[Check Equiparado]:[Check Equiparado]]="Sí",IF(DATOS!BI$5="Sí",(1/DATOS_[[% anualiz]:[% anualiz]]),1)*IF(DATOS!BI$4="Sí",1/DATOS_[[% normaliz]:[% normaliz]],1)*(DATOS_[C.Extra.01])))))))),
0)</f>
        <v>6.3157894736842106</v>
      </c>
      <c r="AQ26" s="104">
        <f t="array" ref="AQ26">IFERROR(
(AVERAGE((IF(DATOS_[[Sexo]:[Sexo]]=$B26,IF(DATOS_[[AGRUP. VALOR. PTO.]:[AGRUP. VALOR. PTO.]]=$B24,IF(DATOS_[[Check Periodo Ref.]:[Check Periodo Ref.]]="Dentro",IF(DATOS_[[Check Equiparado]:[Check Equiparado]]="Sí",IF(DATOS!BJ$5="Sí",(1/DATOS_[[% anualiz]:[% anualiz]]),1)*IF(DATOS!BJ$4="Sí",1/DATOS_[[% normaliz]:[% normaliz]],1)*(DATOS_[C.Extra.02])))))))),
0)</f>
        <v>0</v>
      </c>
      <c r="AR26" s="104">
        <f t="array" ref="AR26">IFERROR(
(AVERAGE((IF(DATOS_[[Sexo]:[Sexo]]=$B26,IF(DATOS_[[AGRUP. VALOR. PTO.]:[AGRUP. VALOR. PTO.]]=$B24,IF(DATOS_[[Check Periodo Ref.]:[Check Periodo Ref.]]="Dentro",IF(DATOS_[[Check Equiparado]:[Check Equiparado]]="Sí",IF(DATOS!BK$5="Sí",(1/DATOS_[[% anualiz]:[% anualiz]]),1)*IF(DATOS!BK$4="Sí",1/DATOS_[[% normaliz]:[% normaliz]],1)*(DATOS_[C.Extra.03])))))))),
0)</f>
        <v>0</v>
      </c>
      <c r="AS26" s="104">
        <f t="array" ref="AS26">IFERROR(
(AVERAGE((IF(DATOS_[[Sexo]:[Sexo]]=$B26,IF(DATOS_[[AGRUP. VALOR. PTO.]:[AGRUP. VALOR. PTO.]]=$B24,IF(DATOS_[[Check Periodo Ref.]:[Check Periodo Ref.]]="Dentro",IF(DATOS_[[Check Equiparado]:[Check Equiparado]]="Sí",IF(DATOS!BL$5="Sí",(1/DATOS_[[% anualiz]:[% anualiz]]),1)*IF(DATOS!BL$4="Sí",1/DATOS_[[% normaliz]:[% normaliz]],1)*(DATOS_[C.Extra.04])))))))),
0)</f>
        <v>0</v>
      </c>
      <c r="AT26" s="104">
        <f t="array" ref="AT26">IFERROR(
(AVERAGE((IF(DATOS_[[Sexo]:[Sexo]]=$B26,IF(DATOS_[[AGRUP. VALOR. PTO.]:[AGRUP. VALOR. PTO.]]=$B24,IF(DATOS_[[Check Periodo Ref.]:[Check Periodo Ref.]]="Dentro",IF(DATOS_[[Check Equiparado]:[Check Equiparado]]="Sí",IF(DATOS!BM$5="Sí",(1/DATOS_[[% anualiz]:[% anualiz]]),1)*IF(DATOS!BM$4="Sí",1/DATOS_[[% normaliz]:[% normaliz]],1)*(DATOS_[C.Extra.05])))))))),
0)</f>
        <v>0</v>
      </c>
      <c r="AU26" s="105">
        <f t="array" ref="AU26">IFERROR(
AVERAGE(IF(DATOS_[Sexo]=$B26,IF(DATOS_[[AGRUP. VALOR. PTO.]:[AGRUP. VALOR. PTO.]]=$B24,IF(DATOS_[Check Equiparado]="Sí",IF(DATOS_[Check Periodo Ref.]="Dentro",DATOS_[Tot Extrasalarial Eq],FALSE))))),
0)</f>
        <v>6.3157894736842106</v>
      </c>
      <c r="AV26" s="106">
        <f t="array" ref="AV26">IFERROR(
AVERAGE(IF(DATOS_[Sexo]=$B26,IF(DATOS_[[AGRUP. VALOR. PTO.]:[AGRUP. VALOR. PTO.]]=$B24,IF(DATOS_[Check Equiparado]="Sí",IF(DATOS_[Check Periodo Ref.]="Dentro",DATOS_[TOTAL Retrib Eq],FALSE))))),
0)</f>
        <v>15295.683405941561</v>
      </c>
    </row>
    <row r="27" spans="1:48" ht="17.25" thickBot="1" x14ac:dyDescent="0.35">
      <c r="A27" s="53" t="str">
        <f t="shared" ref="A27" si="19">+A28</f>
        <v/>
      </c>
      <c r="B27" s="62" t="s">
        <v>307</v>
      </c>
      <c r="C27" s="99"/>
      <c r="D27" s="63"/>
      <c r="E27" s="63"/>
      <c r="F27" s="63"/>
      <c r="G27" s="63"/>
      <c r="H27" s="63"/>
      <c r="I27" s="129">
        <f t="shared" ref="I27:AV27" si="20">IFERROR((I28-I29)/I28,"")</f>
        <v>-4.8979569446727905E-2</v>
      </c>
      <c r="J27" s="130">
        <f t="shared" si="20"/>
        <v>-4.8978560334375185E-2</v>
      </c>
      <c r="K27" s="131">
        <f t="shared" si="20"/>
        <v>-0.18367346938775483</v>
      </c>
      <c r="L27" s="131">
        <f t="shared" si="20"/>
        <v>-4.8979591836734643E-2</v>
      </c>
      <c r="M27" s="131" t="str">
        <f t="shared" si="20"/>
        <v/>
      </c>
      <c r="N27" s="132" t="str">
        <f t="shared" si="20"/>
        <v/>
      </c>
      <c r="O27" s="133" t="str">
        <f t="shared" si="20"/>
        <v/>
      </c>
      <c r="P27" s="133" t="str">
        <f t="shared" si="20"/>
        <v/>
      </c>
      <c r="Q27" s="133" t="str">
        <f t="shared" si="20"/>
        <v/>
      </c>
      <c r="R27" s="133" t="str">
        <f t="shared" si="20"/>
        <v/>
      </c>
      <c r="S27" s="133" t="str">
        <f t="shared" si="20"/>
        <v/>
      </c>
      <c r="T27" s="133" t="str">
        <f t="shared" si="20"/>
        <v/>
      </c>
      <c r="U27" s="133" t="str">
        <f t="shared" si="20"/>
        <v/>
      </c>
      <c r="V27" s="133" t="str">
        <f t="shared" si="20"/>
        <v/>
      </c>
      <c r="W27" s="133" t="str">
        <f t="shared" si="20"/>
        <v/>
      </c>
      <c r="X27" s="133" t="str">
        <f t="shared" si="20"/>
        <v/>
      </c>
      <c r="Y27" s="133" t="str">
        <f t="shared" si="20"/>
        <v/>
      </c>
      <c r="Z27" s="132" t="str">
        <f t="shared" si="20"/>
        <v/>
      </c>
      <c r="AA27" s="132" t="str">
        <f t="shared" si="20"/>
        <v/>
      </c>
      <c r="AB27" s="132" t="str">
        <f t="shared" si="20"/>
        <v/>
      </c>
      <c r="AC27" s="132" t="str">
        <f t="shared" si="20"/>
        <v/>
      </c>
      <c r="AD27" s="132" t="str">
        <f t="shared" si="20"/>
        <v/>
      </c>
      <c r="AE27" s="132" t="str">
        <f t="shared" si="20"/>
        <v/>
      </c>
      <c r="AF27" s="132" t="str">
        <f t="shared" si="20"/>
        <v/>
      </c>
      <c r="AG27" s="132" t="str">
        <f t="shared" si="20"/>
        <v/>
      </c>
      <c r="AH27" s="132" t="str">
        <f t="shared" si="20"/>
        <v/>
      </c>
      <c r="AI27" s="132" t="str">
        <f t="shared" si="20"/>
        <v/>
      </c>
      <c r="AJ27" s="132" t="str">
        <f t="shared" si="20"/>
        <v/>
      </c>
      <c r="AK27" s="132" t="str">
        <f t="shared" si="20"/>
        <v/>
      </c>
      <c r="AL27" s="132" t="str">
        <f t="shared" si="20"/>
        <v/>
      </c>
      <c r="AM27" s="132" t="str">
        <f t="shared" si="20"/>
        <v/>
      </c>
      <c r="AN27" s="134">
        <f t="shared" si="20"/>
        <v>-6.4511314866570996E-2</v>
      </c>
      <c r="AO27" s="138">
        <f t="shared" si="20"/>
        <v>-5.0384906099045536E-2</v>
      </c>
      <c r="AP27" s="135" t="str">
        <f t="shared" si="20"/>
        <v/>
      </c>
      <c r="AQ27" s="135" t="str">
        <f t="shared" si="20"/>
        <v/>
      </c>
      <c r="AR27" s="135">
        <f t="shared" si="20"/>
        <v>0.29251700680272097</v>
      </c>
      <c r="AS27" s="135" t="str">
        <f t="shared" si="20"/>
        <v/>
      </c>
      <c r="AT27" s="135" t="str">
        <f t="shared" si="20"/>
        <v/>
      </c>
      <c r="AU27" s="136">
        <f t="shared" si="20"/>
        <v>0.29251700680272097</v>
      </c>
      <c r="AV27" s="137">
        <f t="shared" si="20"/>
        <v>-4.4470234295549492E-2</v>
      </c>
    </row>
    <row r="28" spans="1:48" x14ac:dyDescent="0.3">
      <c r="A28" s="53" t="str">
        <f t="shared" ref="A28" si="21">+IF(C28+C29=0,"[ocultar]","")</f>
        <v/>
      </c>
      <c r="B28" s="57" t="s">
        <v>162</v>
      </c>
      <c r="C28" s="56">
        <f t="array" ref="C28">SUM(IF($B28=DATOS_[Sexo],
IF($B27=DATOS_[AGRUP. VALOR. PTO.],
IF("Dentro"=DATOS_[Check Periodo Ref.],
1/(COUNTIFS(DATOS_[Sexo],$B28,DATOS_[AGRUP. VALOR. PTO.],$B27,DATOS_[Check Periodo Ref.],"Dentro",DATOS_[id],DATOS_[id]))))))</f>
        <v>26</v>
      </c>
      <c r="D28" s="58">
        <f>COUNTIFS(DATOS_[AGRUP. VALOR. PTO.],$B27,DATOS_[Sexo],$B28,DATOS_[Check Periodo Ref.],"Dentro")</f>
        <v>31</v>
      </c>
      <c r="E28" s="58">
        <f>COUNTIFS(DATOS_[AGRUP. VALOR. PTO.],$B27,DATOS_[Sexo],$B28,DATOS_[Check Periodo Ref.],"Dentro",DATOS_[Check Nº SC Norm],"Sí")</f>
        <v>4</v>
      </c>
      <c r="F28" s="58">
        <f>COUNTIFS(DATOS_[AGRUP. VALOR. PTO.],$B27,DATOS_[Sexo],$B28,DATOS_[Check Periodo Ref.],"Dentro",DATOS_[Check Nº SC Anualiz],"Sí")</f>
        <v>5</v>
      </c>
      <c r="G28" s="58">
        <f>COUNTIFS(DATOS_[AGRUP. VALOR. PTO.],$B27,DATOS_[Sexo],$B28,DATOS_[Check Periodo Ref.],"Dentro",DATOS_[Check Nº SC Norm y Anualiz],"Sí")</f>
        <v>0</v>
      </c>
      <c r="H28" s="58">
        <f>COUNTIFS(DATOS_[AGRUP. VALOR. PTO.],$B27,DATOS_[Sexo],$B28,DATOS_[Check Periodo Ref.],"Dentro",DATOS_[Check Equiparación],"Sí")</f>
        <v>9</v>
      </c>
      <c r="I28" s="100">
        <f t="array" ref="I28">IFERROR(
AVERAGE(IF(DATOS_[Sexo]=$B28,IF(DATOS_[[AGRUP. VALOR. PTO.]:[AGRUP. VALOR. PTO.]]=$B27,IF(DATOS_[Check Equiparado]="Sí",IF(DATOS_[Check Periodo Ref.]="Dentro",DATOS_[SALARIO BASE Eq],FALSE))))),
0)</f>
        <v>10762.538653846157</v>
      </c>
      <c r="J28" s="101">
        <f t="array" ref="J28">IFERROR(
(AVERAGE((IF(DATOS_[[Sexo]:[Sexo]]=$B28,IF(DATOS_[[AGRUP. VALOR. PTO.]:[AGRUP. VALOR. PTO.]]=$B27,IF(DATOS_[[Check Periodo Ref.]:[Check Periodo Ref.]]="Dentro",IF(DATOS_[[Check Equiparado]:[Check Equiparado]]="Sí",IF(DATOS!AE$5="Sí",(1/DATOS_[[% anualiz]:[% anualiz]]),1)*IF(DATOS!AE$4="Sí",1/DATOS_[[% normaliz]:[% normaliz]],1)*(DATOS_[Conc.Sal.01])))))))),
0)</f>
        <v>70.769038461538628</v>
      </c>
      <c r="K28" s="101">
        <f t="array" ref="K28">IFERROR(
(AVERAGE((IF(DATOS_[[Sexo]:[Sexo]]=$B28,IF(DATOS_[[AGRUP. VALOR. PTO.]:[AGRUP. VALOR. PTO.]]=$B27,IF(DATOS_[[Check Periodo Ref.]:[Check Periodo Ref.]]="Dentro",IF(DATOS_[[Check Equiparado]:[Check Equiparado]]="Sí",IF(DATOS!AF$5="Sí",(1/DATOS_[[% anualiz]:[% anualiz]]),1)*IF(DATOS!AF$4="Sí",1/DATOS_[[% normaliz]:[% normaliz]],1)*(DATOS_[Conc.Sal.02])))))))),
0)</f>
        <v>129.1507</v>
      </c>
      <c r="L28" s="101">
        <f t="array" ref="L28">IFERROR(
(AVERAGE((IF(DATOS_[[Sexo]:[Sexo]]=$B28,IF(DATOS_[[AGRUP. VALOR. PTO.]:[AGRUP. VALOR. PTO.]]=$B27,IF(DATOS_[[Check Periodo Ref.]:[Check Periodo Ref.]]="Dentro",IF(DATOS_[[Check Equiparado]:[Check Equiparado]]="Sí",IF(DATOS!AG$5="Sí",(1/DATOS_[[% anualiz]:[% anualiz]]),1)*IF(DATOS!AG$4="Sí",1/DATOS_[[% normaliz]:[% normaliz]],1)*(DATOS_[Conc.Sal.03])))))))),
0)</f>
        <v>800</v>
      </c>
      <c r="M28" s="101">
        <f t="array" ref="M28">IFERROR(
(AVERAGE((IF(DATOS_[[Sexo]:[Sexo]]=$B28,IF(DATOS_[[AGRUP. VALOR. PTO.]:[AGRUP. VALOR. PTO.]]=$B27,IF(DATOS_[[Check Periodo Ref.]:[Check Periodo Ref.]]="Dentro",IF(DATOS_[[Check Equiparado]:[Check Equiparado]]="Sí",IF(DATOS!AH$5="Sí",(1/DATOS_[[% anualiz]:[% anualiz]]),1)*IF(DATOS!AH$4="Sí",1/DATOS_[[% normaliz]:[% normaliz]],1)*(DATOS_[Conc.Sal.04])))))))),
0)</f>
        <v>0</v>
      </c>
      <c r="N28" s="101">
        <f t="array" ref="N28">IFERROR(
(AVERAGE((IF(DATOS_[[Sexo]:[Sexo]]=$B28,IF(DATOS_[[AGRUP. VALOR. PTO.]:[AGRUP. VALOR. PTO.]]=$B27,IF(DATOS_[[Check Periodo Ref.]:[Check Periodo Ref.]]="Dentro",IF(DATOS_[[Check Equiparado]:[Check Equiparado]]="Sí",IF(DATOS!AI$5="Sí",(1/DATOS_[[% anualiz]:[% anualiz]]),1)*IF(DATOS!AI$4="Sí",1/DATOS_[[% normaliz]:[% normaliz]],1)*(DATOS_[Conc.Sal.05])))))))),
0)</f>
        <v>0</v>
      </c>
      <c r="O28" s="101">
        <f t="array" ref="O28">IFERROR(
(AVERAGE((IF(DATOS_[[Sexo]:[Sexo]]=$B28,IF(DATOS_[[AGRUP. VALOR. PTO.]:[AGRUP. VALOR. PTO.]]=$B27,IF(DATOS_[[Check Periodo Ref.]:[Check Periodo Ref.]]="Dentro",IF(DATOS_[[Check Equiparado]:[Check Equiparado]]="Sí",IF(DATOS!AJ$5="Sí",(1/DATOS_[[% anualiz]:[% anualiz]]),1)*IF(DATOS!AJ$4="Sí",1/DATOS_[[% normaliz]:[% normaliz]],1)*(DATOS_[Conc.Sal.06])))))))),
0)</f>
        <v>0</v>
      </c>
      <c r="P28" s="101"/>
      <c r="Q28" s="101">
        <f t="array" ref="Q28">IFERROR(
(AVERAGE((IF(DATOS_[[Sexo]:[Sexo]]=$B28,IF(DATOS_[[AGRUP. VALOR. PTO.]:[AGRUP. VALOR. PTO.]]=$B27,IF(DATOS_[[Check Periodo Ref.]:[Check Periodo Ref.]]="Dentro",IF(DATOS_[[Check Equiparado]:[Check Equiparado]]="Sí",IF(DATOS!AL$5="Sí",(1/DATOS_[[% anualiz]:[% anualiz]]),1)*IF(DATOS!AL$4="Sí",1/DATOS_[[% normaliz]:[% normaliz]],1)*(DATOS_[Conc.Sal.08])))))))),
0)</f>
        <v>0</v>
      </c>
      <c r="R28" s="101">
        <f t="array" ref="R28">IFERROR(
(AVERAGE((IF(DATOS_[[Sexo]:[Sexo]]=$B28,IF(DATOS_[[AGRUP. VALOR. PTO.]:[AGRUP. VALOR. PTO.]]=$B27,IF(DATOS_[[Check Periodo Ref.]:[Check Periodo Ref.]]="Dentro",IF(DATOS_[[Check Equiparado]:[Check Equiparado]]="Sí",IF(DATOS!AM$5="Sí",(1/DATOS_[[% anualiz]:[% anualiz]]),1)*IF(DATOS!AM$4="Sí",1/DATOS_[[% normaliz]:[% normaliz]],1)*(DATOS_[Conc.Sal.09])))))))),
0)</f>
        <v>0</v>
      </c>
      <c r="S28" s="101">
        <f t="array" ref="S28">IFERROR(
(AVERAGE((IF(DATOS_[[Sexo]:[Sexo]]=$B28,IF(DATOS_[[AGRUP. VALOR. PTO.]:[AGRUP. VALOR. PTO.]]=$B27,IF(DATOS_[[Check Periodo Ref.]:[Check Periodo Ref.]]="Dentro",IF(DATOS_[[Check Equiparado]:[Check Equiparado]]="Sí",IF(DATOS!AN$5="Sí",(1/DATOS_[[% anualiz]:[% anualiz]]),1)*IF(DATOS!AN$4="Sí",1/DATOS_[[% normaliz]:[% normaliz]],1)*(DATOS_[Conc.Sal.10])))))))),
0)</f>
        <v>0</v>
      </c>
      <c r="T28" s="101">
        <f t="array" ref="T28">IFERROR(
(AVERAGE((IF(DATOS_[[Sexo]:[Sexo]]=$B28,IF(DATOS_[[AGRUP. VALOR. PTO.]:[AGRUP. VALOR. PTO.]]=$B27,IF(DATOS_[[Check Periodo Ref.]:[Check Periodo Ref.]]="Dentro",IF(DATOS_[[Check Equiparado]:[Check Equiparado]]="Sí",IF(DATOS!AO$5="Sí",(1/DATOS_[[% anualiz]:[% anualiz]]),1)*IF(DATOS!AO$4="Sí",1/DATOS_[[% normaliz]:[% normaliz]],1)*(DATOS_[Conc.Sal.11])))))))),
0)</f>
        <v>0</v>
      </c>
      <c r="U28" s="101">
        <f t="array" ref="U28">IFERROR(
(AVERAGE((IF(DATOS_[[Sexo]:[Sexo]]=$B28,IF(DATOS_[[AGRUP. VALOR. PTO.]:[AGRUP. VALOR. PTO.]]=$B27,IF(DATOS_[[Check Periodo Ref.]:[Check Periodo Ref.]]="Dentro",IF(DATOS_[[Check Equiparado]:[Check Equiparado]]="Sí",IF(DATOS!AP$5="Sí",(1/DATOS_[[% anualiz]:[% anualiz]]),1)*IF(DATOS!AP$4="Sí",1/DATOS_[[% normaliz]:[% normaliz]],1)*(DATOS_[Conc.Sal.12])))))))),
0)</f>
        <v>0</v>
      </c>
      <c r="V28" s="101">
        <f t="array" ref="V28">IFERROR(
(AVERAGE((IF(DATOS_[[Sexo]:[Sexo]]=$B28,IF(DATOS_[[AGRUP. VALOR. PTO.]:[AGRUP. VALOR. PTO.]]=$B27,IF(DATOS_[[Check Periodo Ref.]:[Check Periodo Ref.]]="Dentro",IF(DATOS_[[Check Equiparado]:[Check Equiparado]]="Sí",IF(DATOS!AQ$5="Sí",(1/DATOS_[[% anualiz]:[% anualiz]]),1)*IF(DATOS!AQ$4="Sí",1/DATOS_[[% normaliz]:[% normaliz]],1)*(DATOS_[Conc.Sal.13])))))))),
0)</f>
        <v>0</v>
      </c>
      <c r="W28" s="101">
        <f t="array" ref="W28">IFERROR(
(AVERAGE((IF(DATOS_[[Sexo]:[Sexo]]=$B28,IF(DATOS_[[AGRUP. VALOR. PTO.]:[AGRUP. VALOR. PTO.]]=$B27,IF(DATOS_[[Check Periodo Ref.]:[Check Periodo Ref.]]="Dentro",IF(DATOS_[[Check Equiparado]:[Check Equiparado]]="Sí",IF(DATOS!AR$5="Sí",(1/DATOS_[[% anualiz]:[% anualiz]]),1)*IF(DATOS!AR$4="Sí",1/DATOS_[[% normaliz]:[% normaliz]],1)*(DATOS_[Conc.Sal.14])))))))),
0)</f>
        <v>0</v>
      </c>
      <c r="X28" s="101">
        <f t="array" ref="X28">IFERROR(
(AVERAGE((IF(DATOS_[[Sexo]:[Sexo]]=$B28,IF(DATOS_[[AGRUP. VALOR. PTO.]:[AGRUP. VALOR. PTO.]]=$B27,IF(DATOS_[[Check Periodo Ref.]:[Check Periodo Ref.]]="Dentro",IF(DATOS_[[Check Equiparado]:[Check Equiparado]]="Sí",IF(DATOS!AS$5="Sí",(1/DATOS_[[% anualiz]:[% anualiz]]),1)*IF(DATOS!AS$4="Sí",1/DATOS_[[% normaliz]:[% normaliz]],1)*(DATOS_[Conc.Sal.15])))))))),
0)</f>
        <v>0</v>
      </c>
      <c r="Y28" s="101">
        <f t="array" ref="Y28">IFERROR(
(AVERAGE((IF(DATOS_[[Sexo]:[Sexo]]=$B28,IF(DATOS_[[AGRUP. VALOR. PTO.]:[AGRUP. VALOR. PTO.]]=$B27,IF(DATOS_[[Check Periodo Ref.]:[Check Periodo Ref.]]="Dentro",IF(DATOS_[[Check Equiparado]:[Check Equiparado]]="Sí",IF(DATOS!AT$5="Sí",(1/DATOS_[[% anualiz]:[% anualiz]]),1)*IF(DATOS!AT$4="Sí",1/DATOS_[[% normaliz]:[% normaliz]],1)*(DATOS_[Conc.Sal.16])))))))),
0)</f>
        <v>0</v>
      </c>
      <c r="Z28" s="101">
        <f t="array" ref="Z28">IFERROR(
(AVERAGE((IF(DATOS_[[Sexo]:[Sexo]]=$B28,IF(DATOS_[[AGRUP. VALOR. PTO.]:[AGRUP. VALOR. PTO.]]=$B27,IF(DATOS_[[Check Periodo Ref.]:[Check Periodo Ref.]]="Dentro",IF(DATOS_[[Check Equiparado]:[Check Equiparado]]="Sí",IF(DATOS!AU$5="Sí",(1/DATOS_[[% anualiz]:[% anualiz]]),1)*IF(DATOS!AU$4="Sí",1/DATOS_[[% normaliz]:[% normaliz]],1)*(DATOS_[Conc.Sal.17])))))))),
0)</f>
        <v>0</v>
      </c>
      <c r="AA28" s="101">
        <f t="array" ref="AA28">IFERROR(
(AVERAGE((IF(DATOS_[[Sexo]:[Sexo]]=$B28,IF(DATOS_[[AGRUP. VALOR. PTO.]:[AGRUP. VALOR. PTO.]]=$B27,IF(DATOS_[[Check Periodo Ref.]:[Check Periodo Ref.]]="Dentro",IF(DATOS_[[Check Equiparado]:[Check Equiparado]]="Sí",IF(DATOS!AV$5="Sí",(1/DATOS_[[% anualiz]:[% anualiz]]),1)*IF(DATOS!AV$4="Sí",1/DATOS_[[% normaliz]:[% normaliz]],1)*(DATOS_[Conc.Sal.18])))))))),
0)</f>
        <v>0</v>
      </c>
      <c r="AB28" s="101">
        <f t="array" ref="AB28">IFERROR(
(AVERAGE((IF(DATOS_[[Sexo]:[Sexo]]=$B28,IF(DATOS_[[AGRUP. VALOR. PTO.]:[AGRUP. VALOR. PTO.]]=$B27,IF(DATOS_[[Check Periodo Ref.]:[Check Periodo Ref.]]="Dentro",IF(DATOS_[[Check Equiparado]:[Check Equiparado]]="Sí",IF(DATOS!AW$5="Sí",(1/DATOS_[[% anualiz]:[% anualiz]]),1)*IF(DATOS!AW$4="Sí",1/DATOS_[[% normaliz]:[% normaliz]],1)*(DATOS_[Conc.Sal.19])))))))),
0)</f>
        <v>0</v>
      </c>
      <c r="AC28" s="101">
        <f t="array" ref="AC28">IFERROR(
(AVERAGE((IF(DATOS_[[Sexo]:[Sexo]]=$B28,IF(DATOS_[[AGRUP. VALOR. PTO.]:[AGRUP. VALOR. PTO.]]=$B27,IF(DATOS_[[Check Periodo Ref.]:[Check Periodo Ref.]]="Dentro",IF(DATOS_[[Check Equiparado]:[Check Equiparado]]="Sí",IF(DATOS!AX$5="Sí",(1/DATOS_[[% anualiz]:[% anualiz]]),1)*IF(DATOS!AX$4="Sí",1/DATOS_[[% normaliz]:[% normaliz]],1)*(DATOS_[Conc.Sal.20])))))))),
0)</f>
        <v>0</v>
      </c>
      <c r="AD28" s="101">
        <f t="array" ref="AD28">IFERROR(
(AVERAGE((IF(DATOS_[[Sexo]:[Sexo]]=$B28,IF(DATOS_[[AGRUP. VALOR. PTO.]:[AGRUP. VALOR. PTO.]]=$B27,IF(DATOS_[[Check Periodo Ref.]:[Check Periodo Ref.]]="Dentro",IF(DATOS_[[Check Equiparado]:[Check Equiparado]]="Sí",IF(DATOS!AY$5="Sí",(1/DATOS_[[% anualiz]:[% anualiz]]),1)*IF(DATOS!AY$4="Sí",1/DATOS_[[% normaliz]:[% normaliz]],1)*(DATOS_[Conc.Sal.21])))))))),
0)</f>
        <v>0</v>
      </c>
      <c r="AE28" s="101">
        <f t="array" ref="AE28">IFERROR(
(AVERAGE((IF(DATOS_[[Sexo]:[Sexo]]=$B28,IF(DATOS_[[AGRUP. VALOR. PTO.]:[AGRUP. VALOR. PTO.]]=$B27,IF(DATOS_[[Check Periodo Ref.]:[Check Periodo Ref.]]="Dentro",IF(DATOS_[[Check Equiparado]:[Check Equiparado]]="Sí",IF(DATOS!AZ$5="Sí",(1/DATOS_[[% anualiz]:[% anualiz]]),1)*IF(DATOS!AZ$4="Sí",1/DATOS_[[% normaliz]:[% normaliz]],1)*(DATOS_[Conc.Sal.22])))))))),
0)</f>
        <v>0</v>
      </c>
      <c r="AF28" s="101">
        <f t="array" ref="AF28">IFERROR(
(AVERAGE((IF(DATOS_[[Sexo]:[Sexo]]=$B28,IF(DATOS_[[AGRUP. VALOR. PTO.]:[AGRUP. VALOR. PTO.]]=$B27,IF(DATOS_[[Check Periodo Ref.]:[Check Periodo Ref.]]="Dentro",IF(DATOS_[[Check Equiparado]:[Check Equiparado]]="Sí",IF(DATOS!BA$5="Sí",(1/DATOS_[[% anualiz]:[% anualiz]]),1)*IF(DATOS!BA$4="Sí",1/DATOS_[[% normaliz]:[% normaliz]],1)*(DATOS_[Conc.Sal.23])))))))),
0)</f>
        <v>0</v>
      </c>
      <c r="AG28" s="101">
        <f t="array" ref="AG28">IFERROR(
(AVERAGE((IF(DATOS_[[Sexo]:[Sexo]]=$B28,IF(DATOS_[[AGRUP. VALOR. PTO.]:[AGRUP. VALOR. PTO.]]=$B27,IF(DATOS_[[Check Periodo Ref.]:[Check Periodo Ref.]]="Dentro",IF(DATOS_[[Check Equiparado]:[Check Equiparado]]="Sí",IF(DATOS!BB$5="Sí",(1/DATOS_[[% anualiz]:[% anualiz]]),1)*IF(DATOS!BB$4="Sí",1/DATOS_[[% normaliz]:[% normaliz]],1)*(DATOS_[Conc.Sal.24])))))))),
0)</f>
        <v>0</v>
      </c>
      <c r="AH28" s="101">
        <f t="array" ref="AH28">IFERROR(
(AVERAGE((IF(DATOS_[[Sexo]:[Sexo]]=$B28,IF(DATOS_[[AGRUP. VALOR. PTO.]:[AGRUP. VALOR. PTO.]]=$B27,IF(DATOS_[[Check Periodo Ref.]:[Check Periodo Ref.]]="Dentro",IF(DATOS_[[Check Equiparado]:[Check Equiparado]]="Sí",IF(DATOS!BC$5="Sí",(1/DATOS_[[% anualiz]:[% anualiz]]),1)*IF(DATOS!BC$4="Sí",1/DATOS_[[% normaliz]:[% normaliz]],1)*(DATOS_[Conc.Sal.25])))))))),
0)</f>
        <v>0</v>
      </c>
      <c r="AI28" s="101">
        <f t="array" ref="AI28">IFERROR(
(AVERAGE((IF(DATOS_[[Sexo]:[Sexo]]=$B28,IF(DATOS_[[AGRUP. VALOR. PTO.]:[AGRUP. VALOR. PTO.]]=$B27,IF(DATOS_[[Check Periodo Ref.]:[Check Periodo Ref.]]="Dentro",IF(DATOS_[[Check Equiparado]:[Check Equiparado]]="Sí",IF(DATOS!BD$5="Sí",(1/DATOS_[[% anualiz]:[% anualiz]]),1)*IF(DATOS!BD$4="Sí",1/DATOS_[[% normaliz]:[% normaliz]],1)*(DATOS_[Conc.Sal.26])))))))),
0)</f>
        <v>0</v>
      </c>
      <c r="AJ28" s="101">
        <f t="array" ref="AJ28">IFERROR(
(AVERAGE((IF(DATOS_[[Sexo]:[Sexo]]=$B28,IF(DATOS_[[AGRUP. VALOR. PTO.]:[AGRUP. VALOR. PTO.]]=$B27,IF(DATOS_[[Check Periodo Ref.]:[Check Periodo Ref.]]="Dentro",IF(DATOS_[[Check Equiparado]:[Check Equiparado]]="Sí",IF(DATOS!BE$5="Sí",(1/DATOS_[[% anualiz]:[% anualiz]]),1)*IF(DATOS!BE$4="Sí",1/DATOS_[[% normaliz]:[% normaliz]],1)*(DATOS_[Conc.Sal.27])))))))),
0)</f>
        <v>0</v>
      </c>
      <c r="AK28" s="101">
        <f t="array" ref="AK28">IFERROR(
(AVERAGE((IF(DATOS_[[Sexo]:[Sexo]]=$B28,IF(DATOS_[[AGRUP. VALOR. PTO.]:[AGRUP. VALOR. PTO.]]=$B27,IF(DATOS_[[Check Periodo Ref.]:[Check Periodo Ref.]]="Dentro",IF(DATOS_[[Check Equiparado]:[Check Equiparado]]="Sí",IF(DATOS!BF$5="Sí",(1/DATOS_[[% anualiz]:[% anualiz]]),1)*IF(DATOS!BF$4="Sí",1/DATOS_[[% normaliz]:[% normaliz]],1)*(DATOS_[Conc.Sal.28])))))))),
0)</f>
        <v>0</v>
      </c>
      <c r="AL28" s="101">
        <f t="array" ref="AL28">IFERROR(
(AVERAGE((IF(DATOS_[[Sexo]:[Sexo]]=$B28,IF(DATOS_[[AGRUP. VALOR. PTO.]:[AGRUP. VALOR. PTO.]]=$B27,IF(DATOS_[[Check Periodo Ref.]:[Check Periodo Ref.]]="Dentro",IF(DATOS_[[Check Equiparado]:[Check Equiparado]]="Sí",IF(DATOS!BG$5="Sí",(1/DATOS_[[% anualiz]:[% anualiz]]),1)*IF(DATOS!BG$4="Sí",1/DATOS_[[% normaliz]:[% normaliz]],1)*(DATOS_[Conc.Sal.29])))))))),
0)</f>
        <v>0</v>
      </c>
      <c r="AM28" s="101">
        <f t="array" ref="AM28">IFERROR(
(AVERAGE((IF(DATOS_[[Sexo]:[Sexo]]=$B28,IF(DATOS_[[AGRUP. VALOR. PTO.]:[AGRUP. VALOR. PTO.]]=$B27,IF(DATOS_[[Check Periodo Ref.]:[Check Periodo Ref.]]="Dentro",IF(DATOS_[[Check Equiparado]:[Check Equiparado]]="Sí",IF(DATOS!BH$5="Sí",(1/DATOS_[[% anualiz]:[% anualiz]]),1)*IF(DATOS!BH$4="Sí",1/DATOS_[[% normaliz]:[% normaliz]],1)*(DATOS_[Conc.Sal.30])))))))),
0)</f>
        <v>0</v>
      </c>
      <c r="AN28" s="102">
        <f t="array" ref="AN28">IFERROR(
AVERAGE(IF(DATOS_[Sexo]=$B28,IF(DATOS_[[AGRUP. VALOR. PTO.]:[AGRUP. VALOR. PTO.]]=$B27,IF(DATOS_[Check Equiparado]="Sí",IF(DATOS_[Check Periodo Ref.]="Dentro",DATOS_[Tot COMPL.SAL Eq],FALSE))))),
0)</f>
        <v>1070.6889692307693</v>
      </c>
      <c r="AO28" s="103">
        <f t="array" ref="AO28">IFERROR(
AVERAGE(IF(DATOS_[Sexo]=$B28,IF(DATOS_[[AGRUP. VALOR. PTO.]:[AGRUP. VALOR. PTO.]]=$B27,IF(DATOS_[Check Equiparado]="Sí",IF(DATOS_[Check Periodo Ref.]="Dentro",DATOS_[TOTAL SALARIO Eq],FALSE))))),
0)</f>
        <v>11833.227623076922</v>
      </c>
      <c r="AP28" s="104">
        <f t="array" ref="AP28">IFERROR(
(AVERAGE((IF(DATOS_[[Sexo]:[Sexo]]=$B28,IF(DATOS_[[AGRUP. VALOR. PTO.]:[AGRUP. VALOR. PTO.]]=$B27,IF(DATOS_[[Check Periodo Ref.]:[Check Periodo Ref.]]="Dentro",IF(DATOS_[[Check Equiparado]:[Check Equiparado]]="Sí",IF(DATOS!BI$5="Sí",(1/DATOS_[[% anualiz]:[% anualiz]]),1)*IF(DATOS!BI$4="Sí",1/DATOS_[[% normaliz]:[% normaliz]],1)*(DATOS_[C.Extra.01])))))))),
0)</f>
        <v>0</v>
      </c>
      <c r="AQ28" s="104">
        <f t="array" ref="AQ28">IFERROR(
(AVERAGE((IF(DATOS_[[Sexo]:[Sexo]]=$B28,IF(DATOS_[[AGRUP. VALOR. PTO.]:[AGRUP. VALOR. PTO.]]=$B27,IF(DATOS_[[Check Periodo Ref.]:[Check Periodo Ref.]]="Dentro",IF(DATOS_[[Check Equiparado]:[Check Equiparado]]="Sí",IF(DATOS!BJ$5="Sí",(1/DATOS_[[% anualiz]:[% anualiz]]),1)*IF(DATOS!BJ$4="Sí",1/DATOS_[[% normaliz]:[% normaliz]],1)*(DATOS_[C.Extra.02])))))))),
0)</f>
        <v>0</v>
      </c>
      <c r="AR28" s="104">
        <f t="array" ref="AR28">IFERROR(
(AVERAGE((IF(DATOS_[[Sexo]:[Sexo]]=$B28,IF(DATOS_[[AGRUP. VALOR. PTO.]:[AGRUP. VALOR. PTO.]]=$B27,IF(DATOS_[[Check Periodo Ref.]:[Check Periodo Ref.]]="Dentro",IF(DATOS_[[Check Equiparado]:[Check Equiparado]]="Sí",IF(DATOS!BK$5="Sí",(1/DATOS_[[% anualiz]:[% anualiz]]),1)*IF(DATOS!BK$4="Sí",1/DATOS_[[% normaliz]:[% normaliz]],1)*(DATOS_[C.Extra.03])))))))),
0)</f>
        <v>207.69230769230768</v>
      </c>
      <c r="AS28" s="104">
        <f t="array" ref="AS28">IFERROR(
(AVERAGE((IF(DATOS_[[Sexo]:[Sexo]]=$B28,IF(DATOS_[[AGRUP. VALOR. PTO.]:[AGRUP. VALOR. PTO.]]=$B27,IF(DATOS_[[Check Periodo Ref.]:[Check Periodo Ref.]]="Dentro",IF(DATOS_[[Check Equiparado]:[Check Equiparado]]="Sí",IF(DATOS!BL$5="Sí",(1/DATOS_[[% anualiz]:[% anualiz]]),1)*IF(DATOS!BL$4="Sí",1/DATOS_[[% normaliz]:[% normaliz]],1)*(DATOS_[C.Extra.04])))))))),
0)</f>
        <v>0</v>
      </c>
      <c r="AT28" s="104">
        <f t="array" ref="AT28">IFERROR(
(AVERAGE((IF(DATOS_[[Sexo]:[Sexo]]=$B28,IF(DATOS_[[AGRUP. VALOR. PTO.]:[AGRUP. VALOR. PTO.]]=$B27,IF(DATOS_[[Check Periodo Ref.]:[Check Periodo Ref.]]="Dentro",IF(DATOS_[[Check Equiparado]:[Check Equiparado]]="Sí",IF(DATOS!BM$5="Sí",(1/DATOS_[[% anualiz]:[% anualiz]]),1)*IF(DATOS!BM$4="Sí",1/DATOS_[[% normaliz]:[% normaliz]],1)*(DATOS_[C.Extra.05])))))))),
0)</f>
        <v>0</v>
      </c>
      <c r="AU28" s="105">
        <f t="array" ref="AU28">IFERROR(
AVERAGE(IF(DATOS_[Sexo]=$B28,IF(DATOS_[[AGRUP. VALOR. PTO.]:[AGRUP. VALOR. PTO.]]=$B27,IF(DATOS_[Check Equiparado]="Sí",IF(DATOS_[Check Periodo Ref.]="Dentro",DATOS_[Tot Extrasalarial Eq],FALSE))))),
0)</f>
        <v>207.69230769230768</v>
      </c>
      <c r="AV28" s="106">
        <f t="array" ref="AV28">IFERROR(
AVERAGE(IF(DATOS_[Sexo]=$B28,IF(DATOS_[[AGRUP. VALOR. PTO.]:[AGRUP. VALOR. PTO.]]=$B27,IF(DATOS_[Check Equiparado]="Sí",IF(DATOS_[Check Periodo Ref.]="Dentro",DATOS_[TOTAL Retrib Eq],FALSE))))),
0)</f>
        <v>12040.919930769229</v>
      </c>
    </row>
    <row r="29" spans="1:48" x14ac:dyDescent="0.3">
      <c r="A29" s="53" t="str">
        <f t="shared" ref="A29" si="22">+A28</f>
        <v/>
      </c>
      <c r="B29" s="57" t="s">
        <v>163</v>
      </c>
      <c r="C29" s="56">
        <f t="array" ref="C29">SUM(IF($B29=DATOS_[Sexo],
IF($B27=DATOS_[AGRUP. VALOR. PTO.],
IF("Dentro"=DATOS_[Check Periodo Ref.],
1/(COUNTIFS(DATOS_[Sexo],$B29,DATOS_[AGRUP. VALOR. PTO.],$B27,DATOS_[Check Periodo Ref.],"Dentro",DATOS_[id],DATOS_[id]))))))</f>
        <v>49</v>
      </c>
      <c r="D29" s="58">
        <f>COUNTIFS(DATOS_[AGRUP. VALOR. PTO.],$B27,DATOS_[Sexo],$B29,DATOS_[Check Periodo Ref.],"Dentro")</f>
        <v>55</v>
      </c>
      <c r="E29" s="58">
        <f>COUNTIFS(DATOS_[AGRUP. VALOR. PTO.],$B27,DATOS_[Sexo],$B29,DATOS_[Check Periodo Ref.],"Dentro",DATOS_[Check Nº SC Norm],"Sí")</f>
        <v>12</v>
      </c>
      <c r="F29" s="58">
        <f>COUNTIFS(DATOS_[AGRUP. VALOR. PTO.],$B27,DATOS_[Sexo],$B29,DATOS_[Check Periodo Ref.],"Dentro",DATOS_[Check Nº SC Anualiz],"Sí")</f>
        <v>6</v>
      </c>
      <c r="G29" s="58">
        <f>COUNTIFS(DATOS_[AGRUP. VALOR. PTO.],$B27,DATOS_[Sexo],$B29,DATOS_[Check Periodo Ref.],"Dentro",DATOS_[Check Nº SC Norm y Anualiz],"Sí")</f>
        <v>0</v>
      </c>
      <c r="H29" s="58">
        <f>COUNTIFS(DATOS_[AGRUP. VALOR. PTO.],$B27,DATOS_[Sexo],$B29,DATOS_[Check Periodo Ref.],"Dentro",DATOS_[Check Equiparación],"Sí")</f>
        <v>18</v>
      </c>
      <c r="I29" s="100" cm="1">
        <f t="array" ref="I29">IFERROR(
AVERAGE(IF(DATOS_[Sexo]=$B29,IF(DATOS_[[AGRUP. VALOR. PTO.]:[AGRUP. VALOR. PTO.]]=$B27,IF(DATOS_[Check Equiparado]="Sí",IF(DATOS_[Check Periodo Ref.]="Dentro",DATOS_[SALARIO BASE Eq],FALSE))))),
0)</f>
        <v>11289.683163265308</v>
      </c>
      <c r="J29" s="101">
        <f t="array" ref="J29">IFERROR(
(AVERAGE((IF(DATOS_[[Sexo]:[Sexo]]=$B29,IF(DATOS_[[AGRUP. VALOR. PTO.]:[AGRUP. VALOR. PTO.]]=$B27,IF(DATOS_[[Check Periodo Ref.]:[Check Periodo Ref.]]="Dentro",IF(DATOS_[[Check Equiparado]:[Check Equiparado]]="Sí",IF(DATOS!AE$5="Sí",(1/DATOS_[[% anualiz]:[% anualiz]]),1)*IF(DATOS!AE$4="Sí",1/DATOS_[[% normaliz]:[% normaliz]],1)*(DATOS_[Conc.Sal.01])))))))),
0)</f>
        <v>74.235204081632816</v>
      </c>
      <c r="K29" s="101">
        <f t="array" ref="K29">IFERROR(
(AVERAGE((IF(DATOS_[[Sexo]:[Sexo]]=$B29,IF(DATOS_[[AGRUP. VALOR. PTO.]:[AGRUP. VALOR. PTO.]]=$B27,IF(DATOS_[[Check Periodo Ref.]:[Check Periodo Ref.]]="Dentro",IF(DATOS_[[Check Equiparado]:[Check Equiparado]]="Sí",IF(DATOS!AF$5="Sí",(1/DATOS_[[% anualiz]:[% anualiz]]),1)*IF(DATOS!AF$4="Sí",1/DATOS_[[% normaliz]:[% normaliz]],1)*(DATOS_[Conc.Sal.02])))))))),
0)</f>
        <v>152.87225714285711</v>
      </c>
      <c r="L29" s="101">
        <f t="array" ref="L29">IFERROR(
(AVERAGE((IF(DATOS_[[Sexo]:[Sexo]]=$B29,IF(DATOS_[[AGRUP. VALOR. PTO.]:[AGRUP. VALOR. PTO.]]=$B27,IF(DATOS_[[Check Periodo Ref.]:[Check Periodo Ref.]]="Dentro",IF(DATOS_[[Check Equiparado]:[Check Equiparado]]="Sí",IF(DATOS!AG$5="Sí",(1/DATOS_[[% anualiz]:[% anualiz]]),1)*IF(DATOS!AG$4="Sí",1/DATOS_[[% normaliz]:[% normaliz]],1)*(DATOS_[Conc.Sal.03])))))))),
0)</f>
        <v>839.18367346938771</v>
      </c>
      <c r="M29" s="101">
        <f t="array" ref="M29">IFERROR(
(AVERAGE((IF(DATOS_[[Sexo]:[Sexo]]=$B29,IF(DATOS_[[AGRUP. VALOR. PTO.]:[AGRUP. VALOR. PTO.]]=$B27,IF(DATOS_[[Check Periodo Ref.]:[Check Periodo Ref.]]="Dentro",IF(DATOS_[[Check Equiparado]:[Check Equiparado]]="Sí",IF(DATOS!AH$5="Sí",(1/DATOS_[[% anualiz]:[% anualiz]]),1)*IF(DATOS!AH$4="Sí",1/DATOS_[[% normaliz]:[% normaliz]],1)*(DATOS_[Conc.Sal.04])))))))),
0)</f>
        <v>0</v>
      </c>
      <c r="N29" s="101">
        <f t="array" ref="N29">IFERROR(
(AVERAGE((IF(DATOS_[[Sexo]:[Sexo]]=$B29,IF(DATOS_[[AGRUP. VALOR. PTO.]:[AGRUP. VALOR. PTO.]]=$B27,IF(DATOS_[[Check Periodo Ref.]:[Check Periodo Ref.]]="Dentro",IF(DATOS_[[Check Equiparado]:[Check Equiparado]]="Sí",IF(DATOS!AI$5="Sí",(1/DATOS_[[% anualiz]:[% anualiz]]),1)*IF(DATOS!AI$4="Sí",1/DATOS_[[% normaliz]:[% normaliz]],1)*(DATOS_[Conc.Sal.05])))))))),
0)</f>
        <v>0</v>
      </c>
      <c r="O29" s="101">
        <f t="array" ref="O29">IFERROR(
(AVERAGE((IF(DATOS_[[Sexo]:[Sexo]]=$B29,IF(DATOS_[[AGRUP. VALOR. PTO.]:[AGRUP. VALOR. PTO.]]=$B27,IF(DATOS_[[Check Periodo Ref.]:[Check Periodo Ref.]]="Dentro",IF(DATOS_[[Check Equiparado]:[Check Equiparado]]="Sí",IF(DATOS!AJ$5="Sí",(1/DATOS_[[% anualiz]:[% anualiz]]),1)*IF(DATOS!AJ$4="Sí",1/DATOS_[[% normaliz]:[% normaliz]],1)*(DATOS_[Conc.Sal.06])))))))),
0)</f>
        <v>0</v>
      </c>
      <c r="P29" s="101">
        <f t="array" ref="P29">IFERROR(
(AVERAGE((IF(DATOS_[[Sexo]:[Sexo]]=$B29,IF(DATOS_[[AGRUP. VALOR. PTO.]:[AGRUP. VALOR. PTO.]]=$B27,IF(DATOS_[[Check Periodo Ref.]:[Check Periodo Ref.]]="Dentro",IF(DATOS_[[Check Equiparado]:[Check Equiparado]]="Sí",IF(DATOS!AK$5="Sí",(1/DATOS_[[% anualiz]:[% anualiz]]),1)*IF(DATOS!AK$4="Sí",1/DATOS_[[% normaliz]:[% normaliz]],1)*(DATOS_[Conc.Sal.07])))))))),
0)</f>
        <v>73.469387755102048</v>
      </c>
      <c r="Q29" s="101">
        <f t="array" ref="Q29">IFERROR(
(AVERAGE((IF(DATOS_[[Sexo]:[Sexo]]=$B29,IF(DATOS_[[AGRUP. VALOR. PTO.]:[AGRUP. VALOR. PTO.]]=$B27,IF(DATOS_[[Check Periodo Ref.]:[Check Periodo Ref.]]="Dentro",IF(DATOS_[[Check Equiparado]:[Check Equiparado]]="Sí",IF(DATOS!AL$5="Sí",(1/DATOS_[[% anualiz]:[% anualiz]]),1)*IF(DATOS!AL$4="Sí",1/DATOS_[[% normaliz]:[% normaliz]],1)*(DATOS_[Conc.Sal.08])))))))),
0)</f>
        <v>0</v>
      </c>
      <c r="R29" s="101">
        <f t="array" ref="R29">IFERROR(
(AVERAGE((IF(DATOS_[[Sexo]:[Sexo]]=$B29,IF(DATOS_[[AGRUP. VALOR. PTO.]:[AGRUP. VALOR. PTO.]]=$B27,IF(DATOS_[[Check Periodo Ref.]:[Check Periodo Ref.]]="Dentro",IF(DATOS_[[Check Equiparado]:[Check Equiparado]]="Sí",IF(DATOS!AM$5="Sí",(1/DATOS_[[% anualiz]:[% anualiz]]),1)*IF(DATOS!AM$4="Sí",1/DATOS_[[% normaliz]:[% normaliz]],1)*(DATOS_[Conc.Sal.09])))))))),
0)</f>
        <v>0</v>
      </c>
      <c r="S29" s="101">
        <f t="array" ref="S29">IFERROR(
(AVERAGE((IF(DATOS_[[Sexo]:[Sexo]]=$B29,IF(DATOS_[[AGRUP. VALOR. PTO.]:[AGRUP. VALOR. PTO.]]=$B27,IF(DATOS_[[Check Periodo Ref.]:[Check Periodo Ref.]]="Dentro",IF(DATOS_[[Check Equiparado]:[Check Equiparado]]="Sí",IF(DATOS!AN$5="Sí",(1/DATOS_[[% anualiz]:[% anualiz]]),1)*IF(DATOS!AN$4="Sí",1/DATOS_[[% normaliz]:[% normaliz]],1)*(DATOS_[Conc.Sal.10])))))))),
0)</f>
        <v>0</v>
      </c>
      <c r="T29" s="101">
        <f t="array" ref="T29">IFERROR(
(AVERAGE((IF(DATOS_[[Sexo]:[Sexo]]=$B29,IF(DATOS_[[AGRUP. VALOR. PTO.]:[AGRUP. VALOR. PTO.]]=$B27,IF(DATOS_[[Check Periodo Ref.]:[Check Periodo Ref.]]="Dentro",IF(DATOS_[[Check Equiparado]:[Check Equiparado]]="Sí",IF(DATOS!AO$5="Sí",(1/DATOS_[[% anualiz]:[% anualiz]]),1)*IF(DATOS!AO$4="Sí",1/DATOS_[[% normaliz]:[% normaliz]],1)*(DATOS_[Conc.Sal.11])))))))),
0)</f>
        <v>0</v>
      </c>
      <c r="U29" s="101">
        <f t="array" ref="U29">IFERROR(
(AVERAGE((IF(DATOS_[[Sexo]:[Sexo]]=$B29,IF(DATOS_[[AGRUP. VALOR. PTO.]:[AGRUP. VALOR. PTO.]]=$B27,IF(DATOS_[[Check Periodo Ref.]:[Check Periodo Ref.]]="Dentro",IF(DATOS_[[Check Equiparado]:[Check Equiparado]]="Sí",IF(DATOS!AP$5="Sí",(1/DATOS_[[% anualiz]:[% anualiz]]),1)*IF(DATOS!AP$4="Sí",1/DATOS_[[% normaliz]:[% normaliz]],1)*(DATOS_[Conc.Sal.12])))))))),
0)</f>
        <v>0</v>
      </c>
      <c r="V29" s="101">
        <f t="array" ref="V29">IFERROR(
(AVERAGE((IF(DATOS_[[Sexo]:[Sexo]]=$B29,IF(DATOS_[[AGRUP. VALOR. PTO.]:[AGRUP. VALOR. PTO.]]=$B27,IF(DATOS_[[Check Periodo Ref.]:[Check Periodo Ref.]]="Dentro",IF(DATOS_[[Check Equiparado]:[Check Equiparado]]="Sí",IF(DATOS!AQ$5="Sí",(1/DATOS_[[% anualiz]:[% anualiz]]),1)*IF(DATOS!AQ$4="Sí",1/DATOS_[[% normaliz]:[% normaliz]],1)*(DATOS_[Conc.Sal.13])))))))),
0)</f>
        <v>0</v>
      </c>
      <c r="W29" s="101">
        <f t="array" ref="W29">IFERROR(
(AVERAGE((IF(DATOS_[[Sexo]:[Sexo]]=$B29,IF(DATOS_[[AGRUP. VALOR. PTO.]:[AGRUP. VALOR. PTO.]]=$B27,IF(DATOS_[[Check Periodo Ref.]:[Check Periodo Ref.]]="Dentro",IF(DATOS_[[Check Equiparado]:[Check Equiparado]]="Sí",IF(DATOS!AR$5="Sí",(1/DATOS_[[% anualiz]:[% anualiz]]),1)*IF(DATOS!AR$4="Sí",1/DATOS_[[% normaliz]:[% normaliz]],1)*(DATOS_[Conc.Sal.14])))))))),
0)</f>
        <v>0</v>
      </c>
      <c r="X29" s="101">
        <f t="array" ref="X29">IFERROR(
(AVERAGE((IF(DATOS_[[Sexo]:[Sexo]]=$B29,IF(DATOS_[[AGRUP. VALOR. PTO.]:[AGRUP. VALOR. PTO.]]=$B27,IF(DATOS_[[Check Periodo Ref.]:[Check Periodo Ref.]]="Dentro",IF(DATOS_[[Check Equiparado]:[Check Equiparado]]="Sí",IF(DATOS!AS$5="Sí",(1/DATOS_[[% anualiz]:[% anualiz]]),1)*IF(DATOS!AS$4="Sí",1/DATOS_[[% normaliz]:[% normaliz]],1)*(DATOS_[Conc.Sal.15])))))))),
0)</f>
        <v>0</v>
      </c>
      <c r="Y29" s="101">
        <f t="array" ref="Y29">IFERROR(
(AVERAGE((IF(DATOS_[[Sexo]:[Sexo]]=$B29,IF(DATOS_[[AGRUP. VALOR. PTO.]:[AGRUP. VALOR. PTO.]]=$B27,IF(DATOS_[[Check Periodo Ref.]:[Check Periodo Ref.]]="Dentro",IF(DATOS_[[Check Equiparado]:[Check Equiparado]]="Sí",IF(DATOS!AT$5="Sí",(1/DATOS_[[% anualiz]:[% anualiz]]),1)*IF(DATOS!AT$4="Sí",1/DATOS_[[% normaliz]:[% normaliz]],1)*(DATOS_[Conc.Sal.16])))))))),
0)</f>
        <v>0</v>
      </c>
      <c r="Z29" s="101">
        <f t="array" ref="Z29">IFERROR(
(AVERAGE((IF(DATOS_[[Sexo]:[Sexo]]=$B29,IF(DATOS_[[AGRUP. VALOR. PTO.]:[AGRUP. VALOR. PTO.]]=$B27,IF(DATOS_[[Check Periodo Ref.]:[Check Periodo Ref.]]="Dentro",IF(DATOS_[[Check Equiparado]:[Check Equiparado]]="Sí",IF(DATOS!AU$5="Sí",(1/DATOS_[[% anualiz]:[% anualiz]]),1)*IF(DATOS!AU$4="Sí",1/DATOS_[[% normaliz]:[% normaliz]],1)*(DATOS_[Conc.Sal.17])))))))),
0)</f>
        <v>0</v>
      </c>
      <c r="AA29" s="101">
        <f t="array" ref="AA29">IFERROR(
(AVERAGE((IF(DATOS_[[Sexo]:[Sexo]]=$B29,IF(DATOS_[[AGRUP. VALOR. PTO.]:[AGRUP. VALOR. PTO.]]=$B27,IF(DATOS_[[Check Periodo Ref.]:[Check Periodo Ref.]]="Dentro",IF(DATOS_[[Check Equiparado]:[Check Equiparado]]="Sí",IF(DATOS!AV$5="Sí",(1/DATOS_[[% anualiz]:[% anualiz]]),1)*IF(DATOS!AV$4="Sí",1/DATOS_[[% normaliz]:[% normaliz]],1)*(DATOS_[Conc.Sal.18])))))))),
0)</f>
        <v>0</v>
      </c>
      <c r="AB29" s="101">
        <f t="array" ref="AB29">IFERROR(
(AVERAGE((IF(DATOS_[[Sexo]:[Sexo]]=$B29,IF(DATOS_[[AGRUP. VALOR. PTO.]:[AGRUP. VALOR. PTO.]]=$B27,IF(DATOS_[[Check Periodo Ref.]:[Check Periodo Ref.]]="Dentro",IF(DATOS_[[Check Equiparado]:[Check Equiparado]]="Sí",IF(DATOS!AW$5="Sí",(1/DATOS_[[% anualiz]:[% anualiz]]),1)*IF(DATOS!AW$4="Sí",1/DATOS_[[% normaliz]:[% normaliz]],1)*(DATOS_[Conc.Sal.19])))))))),
0)</f>
        <v>0</v>
      </c>
      <c r="AC29" s="101">
        <f t="array" ref="AC29">IFERROR(
(AVERAGE((IF(DATOS_[[Sexo]:[Sexo]]=$B29,IF(DATOS_[[AGRUP. VALOR. PTO.]:[AGRUP. VALOR. PTO.]]=$B27,IF(DATOS_[[Check Periodo Ref.]:[Check Periodo Ref.]]="Dentro",IF(DATOS_[[Check Equiparado]:[Check Equiparado]]="Sí",IF(DATOS!AX$5="Sí",(1/DATOS_[[% anualiz]:[% anualiz]]),1)*IF(DATOS!AX$4="Sí",1/DATOS_[[% normaliz]:[% normaliz]],1)*(DATOS_[Conc.Sal.20])))))))),
0)</f>
        <v>0</v>
      </c>
      <c r="AD29" s="101">
        <f t="array" ref="AD29">IFERROR(
(AVERAGE((IF(DATOS_[[Sexo]:[Sexo]]=$B29,IF(DATOS_[[AGRUP. VALOR. PTO.]:[AGRUP. VALOR. PTO.]]=$B27,IF(DATOS_[[Check Periodo Ref.]:[Check Periodo Ref.]]="Dentro",IF(DATOS_[[Check Equiparado]:[Check Equiparado]]="Sí",IF(DATOS!AY$5="Sí",(1/DATOS_[[% anualiz]:[% anualiz]]),1)*IF(DATOS!AY$4="Sí",1/DATOS_[[% normaliz]:[% normaliz]],1)*(DATOS_[Conc.Sal.21])))))))),
0)</f>
        <v>0</v>
      </c>
      <c r="AE29" s="101">
        <f t="array" ref="AE29">IFERROR(
(AVERAGE((IF(DATOS_[[Sexo]:[Sexo]]=$B29,IF(DATOS_[[AGRUP. VALOR. PTO.]:[AGRUP. VALOR. PTO.]]=$B27,IF(DATOS_[[Check Periodo Ref.]:[Check Periodo Ref.]]="Dentro",IF(DATOS_[[Check Equiparado]:[Check Equiparado]]="Sí",IF(DATOS!AZ$5="Sí",(1/DATOS_[[% anualiz]:[% anualiz]]),1)*IF(DATOS!AZ$4="Sí",1/DATOS_[[% normaliz]:[% normaliz]],1)*(DATOS_[Conc.Sal.22])))))))),
0)</f>
        <v>0</v>
      </c>
      <c r="AF29" s="101">
        <f t="array" ref="AF29">IFERROR(
(AVERAGE((IF(DATOS_[[Sexo]:[Sexo]]=$B29,IF(DATOS_[[AGRUP. VALOR. PTO.]:[AGRUP. VALOR. PTO.]]=$B27,IF(DATOS_[[Check Periodo Ref.]:[Check Periodo Ref.]]="Dentro",IF(DATOS_[[Check Equiparado]:[Check Equiparado]]="Sí",IF(DATOS!BA$5="Sí",(1/DATOS_[[% anualiz]:[% anualiz]]),1)*IF(DATOS!BA$4="Sí",1/DATOS_[[% normaliz]:[% normaliz]],1)*(DATOS_[Conc.Sal.23])))))))),
0)</f>
        <v>0</v>
      </c>
      <c r="AG29" s="101">
        <f t="array" ref="AG29">IFERROR(
(AVERAGE((IF(DATOS_[[Sexo]:[Sexo]]=$B29,IF(DATOS_[[AGRUP. VALOR. PTO.]:[AGRUP. VALOR. PTO.]]=$B27,IF(DATOS_[[Check Periodo Ref.]:[Check Periodo Ref.]]="Dentro",IF(DATOS_[[Check Equiparado]:[Check Equiparado]]="Sí",IF(DATOS!BB$5="Sí",(1/DATOS_[[% anualiz]:[% anualiz]]),1)*IF(DATOS!BB$4="Sí",1/DATOS_[[% normaliz]:[% normaliz]],1)*(DATOS_[Conc.Sal.24])))))))),
0)</f>
        <v>0</v>
      </c>
      <c r="AH29" s="101">
        <f t="array" ref="AH29">IFERROR(
(AVERAGE((IF(DATOS_[[Sexo]:[Sexo]]=$B29,IF(DATOS_[[AGRUP. VALOR. PTO.]:[AGRUP. VALOR. PTO.]]=$B27,IF(DATOS_[[Check Periodo Ref.]:[Check Periodo Ref.]]="Dentro",IF(DATOS_[[Check Equiparado]:[Check Equiparado]]="Sí",IF(DATOS!BC$5="Sí",(1/DATOS_[[% anualiz]:[% anualiz]]),1)*IF(DATOS!BC$4="Sí",1/DATOS_[[% normaliz]:[% normaliz]],1)*(DATOS_[Conc.Sal.25])))))))),
0)</f>
        <v>0</v>
      </c>
      <c r="AI29" s="101">
        <f t="array" ref="AI29">IFERROR(
(AVERAGE((IF(DATOS_[[Sexo]:[Sexo]]=$B29,IF(DATOS_[[AGRUP. VALOR. PTO.]:[AGRUP. VALOR. PTO.]]=$B27,IF(DATOS_[[Check Periodo Ref.]:[Check Periodo Ref.]]="Dentro",IF(DATOS_[[Check Equiparado]:[Check Equiparado]]="Sí",IF(DATOS!BD$5="Sí",(1/DATOS_[[% anualiz]:[% anualiz]]),1)*IF(DATOS!BD$4="Sí",1/DATOS_[[% normaliz]:[% normaliz]],1)*(DATOS_[Conc.Sal.26])))))))),
0)</f>
        <v>0</v>
      </c>
      <c r="AJ29" s="101">
        <f t="array" ref="AJ29">IFERROR(
(AVERAGE((IF(DATOS_[[Sexo]:[Sexo]]=$B29,IF(DATOS_[[AGRUP. VALOR. PTO.]:[AGRUP. VALOR. PTO.]]=$B27,IF(DATOS_[[Check Periodo Ref.]:[Check Periodo Ref.]]="Dentro",IF(DATOS_[[Check Equiparado]:[Check Equiparado]]="Sí",IF(DATOS!BE$5="Sí",(1/DATOS_[[% anualiz]:[% anualiz]]),1)*IF(DATOS!BE$4="Sí",1/DATOS_[[% normaliz]:[% normaliz]],1)*(DATOS_[Conc.Sal.27])))))))),
0)</f>
        <v>0</v>
      </c>
      <c r="AK29" s="101">
        <f t="array" ref="AK29">IFERROR(
(AVERAGE((IF(DATOS_[[Sexo]:[Sexo]]=$B29,IF(DATOS_[[AGRUP. VALOR. PTO.]:[AGRUP. VALOR. PTO.]]=$B27,IF(DATOS_[[Check Periodo Ref.]:[Check Periodo Ref.]]="Dentro",IF(DATOS_[[Check Equiparado]:[Check Equiparado]]="Sí",IF(DATOS!BF$5="Sí",(1/DATOS_[[% anualiz]:[% anualiz]]),1)*IF(DATOS!BF$4="Sí",1/DATOS_[[% normaliz]:[% normaliz]],1)*(DATOS_[Conc.Sal.28])))))))),
0)</f>
        <v>0</v>
      </c>
      <c r="AL29" s="101">
        <f t="array" ref="AL29">IFERROR(
(AVERAGE((IF(DATOS_[[Sexo]:[Sexo]]=$B29,IF(DATOS_[[AGRUP. VALOR. PTO.]:[AGRUP. VALOR. PTO.]]=$B27,IF(DATOS_[[Check Periodo Ref.]:[Check Periodo Ref.]]="Dentro",IF(DATOS_[[Check Equiparado]:[Check Equiparado]]="Sí",IF(DATOS!BG$5="Sí",(1/DATOS_[[% anualiz]:[% anualiz]]),1)*IF(DATOS!BG$4="Sí",1/DATOS_[[% normaliz]:[% normaliz]],1)*(DATOS_[Conc.Sal.29])))))))),
0)</f>
        <v>0</v>
      </c>
      <c r="AM29" s="101">
        <f t="array" ref="AM29">IFERROR(
(AVERAGE((IF(DATOS_[[Sexo]:[Sexo]]=$B29,IF(DATOS_[[AGRUP. VALOR. PTO.]:[AGRUP. VALOR. PTO.]]=$B27,IF(DATOS_[[Check Periodo Ref.]:[Check Periodo Ref.]]="Dentro",IF(DATOS_[[Check Equiparado]:[Check Equiparado]]="Sí",IF(DATOS!BH$5="Sí",(1/DATOS_[[% anualiz]:[% anualiz]]),1)*IF(DATOS!BH$4="Sí",1/DATOS_[[% normaliz]:[% normaliz]],1)*(DATOS_[Conc.Sal.30])))))))),
0)</f>
        <v>0</v>
      </c>
      <c r="AN29" s="102">
        <f t="array" ref="AN29">IFERROR(
AVERAGE(IF(DATOS_[Sexo]=$B29,IF(DATOS_[[AGRUP. VALOR. PTO.]:[AGRUP. VALOR. PTO.]]=$B27,IF(DATOS_[Check Equiparado]="Sí",IF(DATOS_[Check Periodo Ref.]="Dentro",DATOS_[Tot COMPL.SAL Eq],FALSE))))),
0)</f>
        <v>1139.7605224489798</v>
      </c>
      <c r="AO29" s="103">
        <f t="array" ref="AO29">IFERROR(
AVERAGE(IF(DATOS_[Sexo]=$B29,IF(DATOS_[[AGRUP. VALOR. PTO.]:[AGRUP. VALOR. PTO.]]=$B27,IF(DATOS_[Check Equiparado]="Sí",IF(DATOS_[Check Periodo Ref.]="Dentro",DATOS_[TOTAL SALARIO Eq],FALSE))))),
0)</f>
        <v>12429.443685714285</v>
      </c>
      <c r="AP29" s="104">
        <f t="array" ref="AP29">IFERROR(
(AVERAGE((IF(DATOS_[[Sexo]:[Sexo]]=$B29,IF(DATOS_[[AGRUP. VALOR. PTO.]:[AGRUP. VALOR. PTO.]]=$B27,IF(DATOS_[[Check Periodo Ref.]:[Check Periodo Ref.]]="Dentro",IF(DATOS_[[Check Equiparado]:[Check Equiparado]]="Sí",IF(DATOS!BI$5="Sí",(1/DATOS_[[% anualiz]:[% anualiz]]),1)*IF(DATOS!BI$4="Sí",1/DATOS_[[% normaliz]:[% normaliz]],1)*(DATOS_[C.Extra.01])))))))),
0)</f>
        <v>0</v>
      </c>
      <c r="AQ29" s="104">
        <f t="array" ref="AQ29">IFERROR(
(AVERAGE((IF(DATOS_[[Sexo]:[Sexo]]=$B29,IF(DATOS_[[AGRUP. VALOR. PTO.]:[AGRUP. VALOR. PTO.]]=$B27,IF(DATOS_[[Check Periodo Ref.]:[Check Periodo Ref.]]="Dentro",IF(DATOS_[[Check Equiparado]:[Check Equiparado]]="Sí",IF(DATOS!BJ$5="Sí",(1/DATOS_[[% anualiz]:[% anualiz]]),1)*IF(DATOS!BJ$4="Sí",1/DATOS_[[% normaliz]:[% normaliz]],1)*(DATOS_[C.Extra.02])))))))),
0)</f>
        <v>0</v>
      </c>
      <c r="AR29" s="104">
        <f t="array" ref="AR29">IFERROR(
(AVERAGE((IF(DATOS_[[Sexo]:[Sexo]]=$B29,IF(DATOS_[[AGRUP. VALOR. PTO.]:[AGRUP. VALOR. PTO.]]=$B27,IF(DATOS_[[Check Periodo Ref.]:[Check Periodo Ref.]]="Dentro",IF(DATOS_[[Check Equiparado]:[Check Equiparado]]="Sí",IF(DATOS!BK$5="Sí",(1/DATOS_[[% anualiz]:[% anualiz]]),1)*IF(DATOS!BK$4="Sí",1/DATOS_[[% normaliz]:[% normaliz]],1)*(DATOS_[C.Extra.03])))))))),
0)</f>
        <v>146.9387755102041</v>
      </c>
      <c r="AS29" s="104">
        <f t="array" ref="AS29">IFERROR(
(AVERAGE((IF(DATOS_[[Sexo]:[Sexo]]=$B29,IF(DATOS_[[AGRUP. VALOR. PTO.]:[AGRUP. VALOR. PTO.]]=$B27,IF(DATOS_[[Check Periodo Ref.]:[Check Periodo Ref.]]="Dentro",IF(DATOS_[[Check Equiparado]:[Check Equiparado]]="Sí",IF(DATOS!BL$5="Sí",(1/DATOS_[[% anualiz]:[% anualiz]]),1)*IF(DATOS!BL$4="Sí",1/DATOS_[[% normaliz]:[% normaliz]],1)*(DATOS_[C.Extra.04])))))))),
0)</f>
        <v>0</v>
      </c>
      <c r="AT29" s="104">
        <f t="array" ref="AT29">IFERROR(
(AVERAGE((IF(DATOS_[[Sexo]:[Sexo]]=$B29,IF(DATOS_[[AGRUP. VALOR. PTO.]:[AGRUP. VALOR. PTO.]]=$B27,IF(DATOS_[[Check Periodo Ref.]:[Check Periodo Ref.]]="Dentro",IF(DATOS_[[Check Equiparado]:[Check Equiparado]]="Sí",IF(DATOS!BM$5="Sí",(1/DATOS_[[% anualiz]:[% anualiz]]),1)*IF(DATOS!BM$4="Sí",1/DATOS_[[% normaliz]:[% normaliz]],1)*(DATOS_[C.Extra.05])))))))),
0)</f>
        <v>0</v>
      </c>
      <c r="AU29" s="105">
        <f t="array" ref="AU29">IFERROR(
AVERAGE(IF(DATOS_[Sexo]=$B29,IF(DATOS_[[AGRUP. VALOR. PTO.]:[AGRUP. VALOR. PTO.]]=$B27,IF(DATOS_[Check Equiparado]="Sí",IF(DATOS_[Check Periodo Ref.]="Dentro",DATOS_[Tot Extrasalarial Eq],FALSE))))),
0)</f>
        <v>146.9387755102041</v>
      </c>
      <c r="AV29" s="106">
        <f t="array" ref="AV29">IFERROR(
AVERAGE(IF(DATOS_[Sexo]=$B29,IF(DATOS_[[AGRUP. VALOR. PTO.]:[AGRUP. VALOR. PTO.]]=$B27,IF(DATOS_[Check Equiparado]="Sí",IF(DATOS_[Check Periodo Ref.]="Dentro",DATOS_[TOTAL Retrib Eq],FALSE))))),
0)</f>
        <v>12576.382461224488</v>
      </c>
    </row>
    <row r="30" spans="1:48" ht="17.25" hidden="1" thickBot="1" x14ac:dyDescent="0.35">
      <c r="A30" s="53" t="str">
        <f t="shared" ref="A30" si="23">+A31</f>
        <v>[ocultar]</v>
      </c>
      <c r="B30" s="62" t="s">
        <v>303</v>
      </c>
      <c r="C30" s="99"/>
      <c r="D30" s="63"/>
      <c r="E30" s="63"/>
      <c r="F30" s="63"/>
      <c r="G30" s="63"/>
      <c r="H30" s="63"/>
      <c r="I30" s="129" t="str">
        <f t="shared" ref="I30:AV30" si="24">IFERROR((I31-I32)/I31,"")</f>
        <v/>
      </c>
      <c r="J30" s="130" t="str">
        <f t="shared" si="24"/>
        <v/>
      </c>
      <c r="K30" s="131" t="str">
        <f t="shared" si="24"/>
        <v/>
      </c>
      <c r="L30" s="131" t="str">
        <f t="shared" si="24"/>
        <v/>
      </c>
      <c r="M30" s="131" t="str">
        <f t="shared" si="24"/>
        <v/>
      </c>
      <c r="N30" s="132" t="str">
        <f t="shared" si="24"/>
        <v/>
      </c>
      <c r="O30" s="133" t="str">
        <f t="shared" si="24"/>
        <v/>
      </c>
      <c r="P30" s="133" t="str">
        <f t="shared" si="24"/>
        <v/>
      </c>
      <c r="Q30" s="133" t="str">
        <f t="shared" si="24"/>
        <v/>
      </c>
      <c r="R30" s="133" t="str">
        <f t="shared" si="24"/>
        <v/>
      </c>
      <c r="S30" s="133" t="str">
        <f t="shared" si="24"/>
        <v/>
      </c>
      <c r="T30" s="133" t="str">
        <f t="shared" si="24"/>
        <v/>
      </c>
      <c r="U30" s="133" t="str">
        <f t="shared" si="24"/>
        <v/>
      </c>
      <c r="V30" s="133" t="str">
        <f t="shared" si="24"/>
        <v/>
      </c>
      <c r="W30" s="133" t="str">
        <f t="shared" si="24"/>
        <v/>
      </c>
      <c r="X30" s="133" t="str">
        <f t="shared" si="24"/>
        <v/>
      </c>
      <c r="Y30" s="133" t="str">
        <f t="shared" si="24"/>
        <v/>
      </c>
      <c r="Z30" s="132" t="str">
        <f t="shared" si="24"/>
        <v/>
      </c>
      <c r="AA30" s="132" t="str">
        <f t="shared" si="24"/>
        <v/>
      </c>
      <c r="AB30" s="132" t="str">
        <f t="shared" si="24"/>
        <v/>
      </c>
      <c r="AC30" s="132" t="str">
        <f t="shared" si="24"/>
        <v/>
      </c>
      <c r="AD30" s="132" t="str">
        <f t="shared" si="24"/>
        <v/>
      </c>
      <c r="AE30" s="132" t="str">
        <f t="shared" si="24"/>
        <v/>
      </c>
      <c r="AF30" s="132" t="str">
        <f t="shared" si="24"/>
        <v/>
      </c>
      <c r="AG30" s="132" t="str">
        <f t="shared" si="24"/>
        <v/>
      </c>
      <c r="AH30" s="132" t="str">
        <f t="shared" si="24"/>
        <v/>
      </c>
      <c r="AI30" s="132" t="str">
        <f t="shared" si="24"/>
        <v/>
      </c>
      <c r="AJ30" s="132" t="str">
        <f t="shared" si="24"/>
        <v/>
      </c>
      <c r="AK30" s="132" t="str">
        <f t="shared" si="24"/>
        <v/>
      </c>
      <c r="AL30" s="132" t="str">
        <f t="shared" si="24"/>
        <v/>
      </c>
      <c r="AM30" s="132" t="str">
        <f t="shared" si="24"/>
        <v/>
      </c>
      <c r="AN30" s="134" t="str">
        <f t="shared" si="24"/>
        <v/>
      </c>
      <c r="AO30" s="138" t="str">
        <f t="shared" si="24"/>
        <v/>
      </c>
      <c r="AP30" s="135" t="str">
        <f t="shared" si="24"/>
        <v/>
      </c>
      <c r="AQ30" s="135" t="str">
        <f t="shared" si="24"/>
        <v/>
      </c>
      <c r="AR30" s="135" t="str">
        <f t="shared" si="24"/>
        <v/>
      </c>
      <c r="AS30" s="135" t="str">
        <f t="shared" si="24"/>
        <v/>
      </c>
      <c r="AT30" s="135" t="str">
        <f t="shared" si="24"/>
        <v/>
      </c>
      <c r="AU30" s="136" t="str">
        <f t="shared" si="24"/>
        <v/>
      </c>
      <c r="AV30" s="137" t="str">
        <f t="shared" si="24"/>
        <v/>
      </c>
    </row>
    <row r="31" spans="1:48" hidden="1" x14ac:dyDescent="0.3">
      <c r="A31" s="53" t="str">
        <f t="shared" ref="A31" si="25">+IF(C31+C32=0,"[ocultar]","")</f>
        <v>[ocultar]</v>
      </c>
      <c r="B31" s="57" t="s">
        <v>162</v>
      </c>
      <c r="C31" s="56">
        <f t="array" ref="C31">SUM(IF($B31=DATOS_[Sexo],
IF($B30=DATOS_[AGRUP. VALOR. PTO.],
IF("Dentro"=DATOS_[Check Periodo Ref.],
1/(COUNTIFS(DATOS_[Sexo],$B31,DATOS_[AGRUP. VALOR. PTO.],$B30,DATOS_[Check Periodo Ref.],"Dentro",DATOS_[id],DATOS_[id]))))))</f>
        <v>0</v>
      </c>
      <c r="D31" s="58">
        <f>COUNTIFS(DATOS_[AGRUP. VALOR. PTO.],$B30,DATOS_[Sexo],$B31,DATOS_[Check Periodo Ref.],"Dentro")</f>
        <v>0</v>
      </c>
      <c r="E31" s="58">
        <f>COUNTIFS(DATOS_[AGRUP. VALOR. PTO.],$B30,DATOS_[Sexo],$B31,DATOS_[Check Periodo Ref.],"Dentro",DATOS_[Check Nº SC Norm],"Sí")</f>
        <v>0</v>
      </c>
      <c r="F31" s="58">
        <f>COUNTIFS(DATOS_[AGRUP. VALOR. PTO.],$B30,DATOS_[Sexo],$B31,DATOS_[Check Periodo Ref.],"Dentro",DATOS_[Check Nº SC Anualiz],"Sí")</f>
        <v>0</v>
      </c>
      <c r="G31" s="58">
        <f>COUNTIFS(DATOS_[AGRUP. VALOR. PTO.],$B30,DATOS_[Sexo],$B31,DATOS_[Check Periodo Ref.],"Dentro",DATOS_[Check Nº SC Norm y Anualiz],"Sí")</f>
        <v>0</v>
      </c>
      <c r="H31" s="58">
        <f>COUNTIFS(DATOS_[AGRUP. VALOR. PTO.],$B30,DATOS_[Sexo],$B31,DATOS_[Check Periodo Ref.],"Dentro",DATOS_[Check Equiparación],"Sí")</f>
        <v>0</v>
      </c>
      <c r="I31" s="100">
        <f t="array" ref="I31">IFERROR(
AVERAGE(IF(DATOS_[Sexo]=$B31,IF(DATOS_[[AGRUP. VALOR. PTO.]:[AGRUP. VALOR. PTO.]]=$B30,IF(DATOS_[Check Equiparado]="Sí",IF(DATOS_[Check Periodo Ref.]="Dentro",DATOS_[SALARIO BASE Eq],FALSE))))),
0)</f>
        <v>0</v>
      </c>
      <c r="J31" s="101">
        <f t="array" ref="J31">IFERROR(
(AVERAGE((IF(DATOS_[[Sexo]:[Sexo]]=$B31,IF(DATOS_[[AGRUP. VALOR. PTO.]:[AGRUP. VALOR. PTO.]]=$B30,IF(DATOS_[[Check Periodo Ref.]:[Check Periodo Ref.]]="Dentro",IF(DATOS_[[Check Equiparado]:[Check Equiparado]]="Sí",IF(DATOS!AE$5="Sí",(1/DATOS_[[% anualiz]:[% anualiz]]),1)*IF(DATOS!AE$4="Sí",1/DATOS_[[% normaliz]:[% normaliz]],1)*(DATOS_[Conc.Sal.01])))))))),
0)</f>
        <v>0</v>
      </c>
      <c r="K31" s="101">
        <f t="array" ref="K31">IFERROR(
(AVERAGE((IF(DATOS_[[Sexo]:[Sexo]]=$B31,IF(DATOS_[[AGRUP. VALOR. PTO.]:[AGRUP. VALOR. PTO.]]=$B30,IF(DATOS_[[Check Periodo Ref.]:[Check Periodo Ref.]]="Dentro",IF(DATOS_[[Check Equiparado]:[Check Equiparado]]="Sí",IF(DATOS!AF$5="Sí",(1/DATOS_[[% anualiz]:[% anualiz]]),1)*IF(DATOS!AF$4="Sí",1/DATOS_[[% normaliz]:[% normaliz]],1)*(DATOS_[Conc.Sal.02])))))))),
0)</f>
        <v>0</v>
      </c>
      <c r="L31" s="101">
        <f t="array" ref="L31">IFERROR(
(AVERAGE((IF(DATOS_[[Sexo]:[Sexo]]=$B31,IF(DATOS_[[AGRUP. VALOR. PTO.]:[AGRUP. VALOR. PTO.]]=$B30,IF(DATOS_[[Check Periodo Ref.]:[Check Periodo Ref.]]="Dentro",IF(DATOS_[[Check Equiparado]:[Check Equiparado]]="Sí",IF(DATOS!AG$5="Sí",(1/DATOS_[[% anualiz]:[% anualiz]]),1)*IF(DATOS!AG$4="Sí",1/DATOS_[[% normaliz]:[% normaliz]],1)*(DATOS_[Conc.Sal.03])))))))),
0)</f>
        <v>0</v>
      </c>
      <c r="M31" s="101">
        <f t="array" ref="M31">IFERROR(
(AVERAGE((IF(DATOS_[[Sexo]:[Sexo]]=$B31,IF(DATOS_[[AGRUP. VALOR. PTO.]:[AGRUP. VALOR. PTO.]]=$B30,IF(DATOS_[[Check Periodo Ref.]:[Check Periodo Ref.]]="Dentro",IF(DATOS_[[Check Equiparado]:[Check Equiparado]]="Sí",IF(DATOS!AH$5="Sí",(1/DATOS_[[% anualiz]:[% anualiz]]),1)*IF(DATOS!AH$4="Sí",1/DATOS_[[% normaliz]:[% normaliz]],1)*(DATOS_[Conc.Sal.04])))))))),
0)</f>
        <v>0</v>
      </c>
      <c r="N31" s="101">
        <f t="array" ref="N31">IFERROR(
(AVERAGE((IF(DATOS_[[Sexo]:[Sexo]]=$B31,IF(DATOS_[[AGRUP. VALOR. PTO.]:[AGRUP. VALOR. PTO.]]=$B30,IF(DATOS_[[Check Periodo Ref.]:[Check Periodo Ref.]]="Dentro",IF(DATOS_[[Check Equiparado]:[Check Equiparado]]="Sí",IF(DATOS!AI$5="Sí",(1/DATOS_[[% anualiz]:[% anualiz]]),1)*IF(DATOS!AI$4="Sí",1/DATOS_[[% normaliz]:[% normaliz]],1)*(DATOS_[Conc.Sal.05])))))))),
0)</f>
        <v>0</v>
      </c>
      <c r="O31" s="101">
        <f t="array" ref="O31">IFERROR(
(AVERAGE((IF(DATOS_[[Sexo]:[Sexo]]=$B31,IF(DATOS_[[AGRUP. VALOR. PTO.]:[AGRUP. VALOR. PTO.]]=$B30,IF(DATOS_[[Check Periodo Ref.]:[Check Periodo Ref.]]="Dentro",IF(DATOS_[[Check Equiparado]:[Check Equiparado]]="Sí",IF(DATOS!AJ$5="Sí",(1/DATOS_[[% anualiz]:[% anualiz]]),1)*IF(DATOS!AJ$4="Sí",1/DATOS_[[% normaliz]:[% normaliz]],1)*(DATOS_[Conc.Sal.06])))))))),
0)</f>
        <v>0</v>
      </c>
      <c r="P31" s="101">
        <f t="array" ref="P31">IFERROR(
(AVERAGE((IF(DATOS_[[Sexo]:[Sexo]]=$B31,IF(DATOS_[[AGRUP. VALOR. PTO.]:[AGRUP. VALOR. PTO.]]=$B30,IF(DATOS_[[Check Periodo Ref.]:[Check Periodo Ref.]]="Dentro",IF(DATOS_[[Check Equiparado]:[Check Equiparado]]="Sí",IF(DATOS!AK$5="Sí",(1/DATOS_[[% anualiz]:[% anualiz]]),1)*IF(DATOS!AK$4="Sí",1/DATOS_[[% normaliz]:[% normaliz]],1)*(DATOS_[Conc.Sal.07])))))))),
0)</f>
        <v>0</v>
      </c>
      <c r="Q31" s="101">
        <f t="array" ref="Q31">IFERROR(
(AVERAGE((IF(DATOS_[[Sexo]:[Sexo]]=$B31,IF(DATOS_[[AGRUP. VALOR. PTO.]:[AGRUP. VALOR. PTO.]]=$B30,IF(DATOS_[[Check Periodo Ref.]:[Check Periodo Ref.]]="Dentro",IF(DATOS_[[Check Equiparado]:[Check Equiparado]]="Sí",IF(DATOS!AL$5="Sí",(1/DATOS_[[% anualiz]:[% anualiz]]),1)*IF(DATOS!AL$4="Sí",1/DATOS_[[% normaliz]:[% normaliz]],1)*(DATOS_[Conc.Sal.08])))))))),
0)</f>
        <v>0</v>
      </c>
      <c r="R31" s="101">
        <f t="array" ref="R31">IFERROR(
(AVERAGE((IF(DATOS_[[Sexo]:[Sexo]]=$B31,IF(DATOS_[[AGRUP. VALOR. PTO.]:[AGRUP. VALOR. PTO.]]=$B30,IF(DATOS_[[Check Periodo Ref.]:[Check Periodo Ref.]]="Dentro",IF(DATOS_[[Check Equiparado]:[Check Equiparado]]="Sí",IF(DATOS!AM$5="Sí",(1/DATOS_[[% anualiz]:[% anualiz]]),1)*IF(DATOS!AM$4="Sí",1/DATOS_[[% normaliz]:[% normaliz]],1)*(DATOS_[Conc.Sal.09])))))))),
0)</f>
        <v>0</v>
      </c>
      <c r="S31" s="101">
        <f t="array" ref="S31">IFERROR(
(AVERAGE((IF(DATOS_[[Sexo]:[Sexo]]=$B31,IF(DATOS_[[AGRUP. VALOR. PTO.]:[AGRUP. VALOR. PTO.]]=$B30,IF(DATOS_[[Check Periodo Ref.]:[Check Periodo Ref.]]="Dentro",IF(DATOS_[[Check Equiparado]:[Check Equiparado]]="Sí",IF(DATOS!AN$5="Sí",(1/DATOS_[[% anualiz]:[% anualiz]]),1)*IF(DATOS!AN$4="Sí",1/DATOS_[[% normaliz]:[% normaliz]],1)*(DATOS_[Conc.Sal.10])))))))),
0)</f>
        <v>0</v>
      </c>
      <c r="T31" s="101">
        <f t="array" ref="T31">IFERROR(
(AVERAGE((IF(DATOS_[[Sexo]:[Sexo]]=$B31,IF(DATOS_[[AGRUP. VALOR. PTO.]:[AGRUP. VALOR. PTO.]]=$B30,IF(DATOS_[[Check Periodo Ref.]:[Check Periodo Ref.]]="Dentro",IF(DATOS_[[Check Equiparado]:[Check Equiparado]]="Sí",IF(DATOS!AO$5="Sí",(1/DATOS_[[% anualiz]:[% anualiz]]),1)*IF(DATOS!AO$4="Sí",1/DATOS_[[% normaliz]:[% normaliz]],1)*(DATOS_[Conc.Sal.11])))))))),
0)</f>
        <v>0</v>
      </c>
      <c r="U31" s="101">
        <f t="array" ref="U31">IFERROR(
(AVERAGE((IF(DATOS_[[Sexo]:[Sexo]]=$B31,IF(DATOS_[[AGRUP. VALOR. PTO.]:[AGRUP. VALOR. PTO.]]=$B30,IF(DATOS_[[Check Periodo Ref.]:[Check Periodo Ref.]]="Dentro",IF(DATOS_[[Check Equiparado]:[Check Equiparado]]="Sí",IF(DATOS!AP$5="Sí",(1/DATOS_[[% anualiz]:[% anualiz]]),1)*IF(DATOS!AP$4="Sí",1/DATOS_[[% normaliz]:[% normaliz]],1)*(DATOS_[Conc.Sal.12])))))))),
0)</f>
        <v>0</v>
      </c>
      <c r="V31" s="101">
        <f t="array" ref="V31">IFERROR(
(AVERAGE((IF(DATOS_[[Sexo]:[Sexo]]=$B31,IF(DATOS_[[AGRUP. VALOR. PTO.]:[AGRUP. VALOR. PTO.]]=$B30,IF(DATOS_[[Check Periodo Ref.]:[Check Periodo Ref.]]="Dentro",IF(DATOS_[[Check Equiparado]:[Check Equiparado]]="Sí",IF(DATOS!AQ$5="Sí",(1/DATOS_[[% anualiz]:[% anualiz]]),1)*IF(DATOS!AQ$4="Sí",1/DATOS_[[% normaliz]:[% normaliz]],1)*(DATOS_[Conc.Sal.13])))))))),
0)</f>
        <v>0</v>
      </c>
      <c r="W31" s="101">
        <f t="array" ref="W31">IFERROR(
(AVERAGE((IF(DATOS_[[Sexo]:[Sexo]]=$B31,IF(DATOS_[[AGRUP. VALOR. PTO.]:[AGRUP. VALOR. PTO.]]=$B30,IF(DATOS_[[Check Periodo Ref.]:[Check Periodo Ref.]]="Dentro",IF(DATOS_[[Check Equiparado]:[Check Equiparado]]="Sí",IF(DATOS!AR$5="Sí",(1/DATOS_[[% anualiz]:[% anualiz]]),1)*IF(DATOS!AR$4="Sí",1/DATOS_[[% normaliz]:[% normaliz]],1)*(DATOS_[Conc.Sal.14])))))))),
0)</f>
        <v>0</v>
      </c>
      <c r="X31" s="101">
        <f t="array" ref="X31">IFERROR(
(AVERAGE((IF(DATOS_[[Sexo]:[Sexo]]=$B31,IF(DATOS_[[AGRUP. VALOR. PTO.]:[AGRUP. VALOR. PTO.]]=$B30,IF(DATOS_[[Check Periodo Ref.]:[Check Periodo Ref.]]="Dentro",IF(DATOS_[[Check Equiparado]:[Check Equiparado]]="Sí",IF(DATOS!AS$5="Sí",(1/DATOS_[[% anualiz]:[% anualiz]]),1)*IF(DATOS!AS$4="Sí",1/DATOS_[[% normaliz]:[% normaliz]],1)*(DATOS_[Conc.Sal.15])))))))),
0)</f>
        <v>0</v>
      </c>
      <c r="Y31" s="101">
        <f t="array" ref="Y31">IFERROR(
(AVERAGE((IF(DATOS_[[Sexo]:[Sexo]]=$B31,IF(DATOS_[[AGRUP. VALOR. PTO.]:[AGRUP. VALOR. PTO.]]=$B30,IF(DATOS_[[Check Periodo Ref.]:[Check Periodo Ref.]]="Dentro",IF(DATOS_[[Check Equiparado]:[Check Equiparado]]="Sí",IF(DATOS!AT$5="Sí",(1/DATOS_[[% anualiz]:[% anualiz]]),1)*IF(DATOS!AT$4="Sí",1/DATOS_[[% normaliz]:[% normaliz]],1)*(DATOS_[Conc.Sal.16])))))))),
0)</f>
        <v>0</v>
      </c>
      <c r="Z31" s="101">
        <f t="array" ref="Z31">IFERROR(
(AVERAGE((IF(DATOS_[[Sexo]:[Sexo]]=$B31,IF(DATOS_[[AGRUP. VALOR. PTO.]:[AGRUP. VALOR. PTO.]]=$B30,IF(DATOS_[[Check Periodo Ref.]:[Check Periodo Ref.]]="Dentro",IF(DATOS_[[Check Equiparado]:[Check Equiparado]]="Sí",IF(DATOS!AU$5="Sí",(1/DATOS_[[% anualiz]:[% anualiz]]),1)*IF(DATOS!AU$4="Sí",1/DATOS_[[% normaliz]:[% normaliz]],1)*(DATOS_[Conc.Sal.17])))))))),
0)</f>
        <v>0</v>
      </c>
      <c r="AA31" s="101">
        <f t="array" ref="AA31">IFERROR(
(AVERAGE((IF(DATOS_[[Sexo]:[Sexo]]=$B31,IF(DATOS_[[AGRUP. VALOR. PTO.]:[AGRUP. VALOR. PTO.]]=$B30,IF(DATOS_[[Check Periodo Ref.]:[Check Periodo Ref.]]="Dentro",IF(DATOS_[[Check Equiparado]:[Check Equiparado]]="Sí",IF(DATOS!AV$5="Sí",(1/DATOS_[[% anualiz]:[% anualiz]]),1)*IF(DATOS!AV$4="Sí",1/DATOS_[[% normaliz]:[% normaliz]],1)*(DATOS_[Conc.Sal.18])))))))),
0)</f>
        <v>0</v>
      </c>
      <c r="AB31" s="101">
        <f t="array" ref="AB31">IFERROR(
(AVERAGE((IF(DATOS_[[Sexo]:[Sexo]]=$B31,IF(DATOS_[[AGRUP. VALOR. PTO.]:[AGRUP. VALOR. PTO.]]=$B30,IF(DATOS_[[Check Periodo Ref.]:[Check Periodo Ref.]]="Dentro",IF(DATOS_[[Check Equiparado]:[Check Equiparado]]="Sí",IF(DATOS!AW$5="Sí",(1/DATOS_[[% anualiz]:[% anualiz]]),1)*IF(DATOS!AW$4="Sí",1/DATOS_[[% normaliz]:[% normaliz]],1)*(DATOS_[Conc.Sal.19])))))))),
0)</f>
        <v>0</v>
      </c>
      <c r="AC31" s="101">
        <f t="array" ref="AC31">IFERROR(
(AVERAGE((IF(DATOS_[[Sexo]:[Sexo]]=$B31,IF(DATOS_[[AGRUP. VALOR. PTO.]:[AGRUP. VALOR. PTO.]]=$B30,IF(DATOS_[[Check Periodo Ref.]:[Check Periodo Ref.]]="Dentro",IF(DATOS_[[Check Equiparado]:[Check Equiparado]]="Sí",IF(DATOS!AX$5="Sí",(1/DATOS_[[% anualiz]:[% anualiz]]),1)*IF(DATOS!AX$4="Sí",1/DATOS_[[% normaliz]:[% normaliz]],1)*(DATOS_[Conc.Sal.20])))))))),
0)</f>
        <v>0</v>
      </c>
      <c r="AD31" s="101">
        <f t="array" ref="AD31">IFERROR(
(AVERAGE((IF(DATOS_[[Sexo]:[Sexo]]=$B31,IF(DATOS_[[AGRUP. VALOR. PTO.]:[AGRUP. VALOR. PTO.]]=$B30,IF(DATOS_[[Check Periodo Ref.]:[Check Periodo Ref.]]="Dentro",IF(DATOS_[[Check Equiparado]:[Check Equiparado]]="Sí",IF(DATOS!AY$5="Sí",(1/DATOS_[[% anualiz]:[% anualiz]]),1)*IF(DATOS!AY$4="Sí",1/DATOS_[[% normaliz]:[% normaliz]],1)*(DATOS_[Conc.Sal.21])))))))),
0)</f>
        <v>0</v>
      </c>
      <c r="AE31" s="101">
        <f t="array" ref="AE31">IFERROR(
(AVERAGE((IF(DATOS_[[Sexo]:[Sexo]]=$B31,IF(DATOS_[[AGRUP. VALOR. PTO.]:[AGRUP. VALOR. PTO.]]=$B30,IF(DATOS_[[Check Periodo Ref.]:[Check Periodo Ref.]]="Dentro",IF(DATOS_[[Check Equiparado]:[Check Equiparado]]="Sí",IF(DATOS!AZ$5="Sí",(1/DATOS_[[% anualiz]:[% anualiz]]),1)*IF(DATOS!AZ$4="Sí",1/DATOS_[[% normaliz]:[% normaliz]],1)*(DATOS_[Conc.Sal.22])))))))),
0)</f>
        <v>0</v>
      </c>
      <c r="AF31" s="101">
        <f t="array" ref="AF31">IFERROR(
(AVERAGE((IF(DATOS_[[Sexo]:[Sexo]]=$B31,IF(DATOS_[[AGRUP. VALOR. PTO.]:[AGRUP. VALOR. PTO.]]=$B30,IF(DATOS_[[Check Periodo Ref.]:[Check Periodo Ref.]]="Dentro",IF(DATOS_[[Check Equiparado]:[Check Equiparado]]="Sí",IF(DATOS!BA$5="Sí",(1/DATOS_[[% anualiz]:[% anualiz]]),1)*IF(DATOS!BA$4="Sí",1/DATOS_[[% normaliz]:[% normaliz]],1)*(DATOS_[Conc.Sal.23])))))))),
0)</f>
        <v>0</v>
      </c>
      <c r="AG31" s="101">
        <f t="array" ref="AG31">IFERROR(
(AVERAGE((IF(DATOS_[[Sexo]:[Sexo]]=$B31,IF(DATOS_[[AGRUP. VALOR. PTO.]:[AGRUP. VALOR. PTO.]]=$B30,IF(DATOS_[[Check Periodo Ref.]:[Check Periodo Ref.]]="Dentro",IF(DATOS_[[Check Equiparado]:[Check Equiparado]]="Sí",IF(DATOS!BB$5="Sí",(1/DATOS_[[% anualiz]:[% anualiz]]),1)*IF(DATOS!BB$4="Sí",1/DATOS_[[% normaliz]:[% normaliz]],1)*(DATOS_[Conc.Sal.24])))))))),
0)</f>
        <v>0</v>
      </c>
      <c r="AH31" s="101">
        <f t="array" ref="AH31">IFERROR(
(AVERAGE((IF(DATOS_[[Sexo]:[Sexo]]=$B31,IF(DATOS_[[AGRUP. VALOR. PTO.]:[AGRUP. VALOR. PTO.]]=$B30,IF(DATOS_[[Check Periodo Ref.]:[Check Periodo Ref.]]="Dentro",IF(DATOS_[[Check Equiparado]:[Check Equiparado]]="Sí",IF(DATOS!BC$5="Sí",(1/DATOS_[[% anualiz]:[% anualiz]]),1)*IF(DATOS!BC$4="Sí",1/DATOS_[[% normaliz]:[% normaliz]],1)*(DATOS_[Conc.Sal.25])))))))),
0)</f>
        <v>0</v>
      </c>
      <c r="AI31" s="101">
        <f t="array" ref="AI31">IFERROR(
(AVERAGE((IF(DATOS_[[Sexo]:[Sexo]]=$B31,IF(DATOS_[[AGRUP. VALOR. PTO.]:[AGRUP. VALOR. PTO.]]=$B30,IF(DATOS_[[Check Periodo Ref.]:[Check Periodo Ref.]]="Dentro",IF(DATOS_[[Check Equiparado]:[Check Equiparado]]="Sí",IF(DATOS!BD$5="Sí",(1/DATOS_[[% anualiz]:[% anualiz]]),1)*IF(DATOS!BD$4="Sí",1/DATOS_[[% normaliz]:[% normaliz]],1)*(DATOS_[Conc.Sal.26])))))))),
0)</f>
        <v>0</v>
      </c>
      <c r="AJ31" s="101">
        <f t="array" ref="AJ31">IFERROR(
(AVERAGE((IF(DATOS_[[Sexo]:[Sexo]]=$B31,IF(DATOS_[[AGRUP. VALOR. PTO.]:[AGRUP. VALOR. PTO.]]=$B30,IF(DATOS_[[Check Periodo Ref.]:[Check Periodo Ref.]]="Dentro",IF(DATOS_[[Check Equiparado]:[Check Equiparado]]="Sí",IF(DATOS!BE$5="Sí",(1/DATOS_[[% anualiz]:[% anualiz]]),1)*IF(DATOS!BE$4="Sí",1/DATOS_[[% normaliz]:[% normaliz]],1)*(DATOS_[Conc.Sal.27])))))))),
0)</f>
        <v>0</v>
      </c>
      <c r="AK31" s="101">
        <f t="array" ref="AK31">IFERROR(
(AVERAGE((IF(DATOS_[[Sexo]:[Sexo]]=$B31,IF(DATOS_[[AGRUP. VALOR. PTO.]:[AGRUP. VALOR. PTO.]]=$B30,IF(DATOS_[[Check Periodo Ref.]:[Check Periodo Ref.]]="Dentro",IF(DATOS_[[Check Equiparado]:[Check Equiparado]]="Sí",IF(DATOS!BF$5="Sí",(1/DATOS_[[% anualiz]:[% anualiz]]),1)*IF(DATOS!BF$4="Sí",1/DATOS_[[% normaliz]:[% normaliz]],1)*(DATOS_[Conc.Sal.28])))))))),
0)</f>
        <v>0</v>
      </c>
      <c r="AL31" s="101">
        <f t="array" ref="AL31">IFERROR(
(AVERAGE((IF(DATOS_[[Sexo]:[Sexo]]=$B31,IF(DATOS_[[AGRUP. VALOR. PTO.]:[AGRUP. VALOR. PTO.]]=$B30,IF(DATOS_[[Check Periodo Ref.]:[Check Periodo Ref.]]="Dentro",IF(DATOS_[[Check Equiparado]:[Check Equiparado]]="Sí",IF(DATOS!BG$5="Sí",(1/DATOS_[[% anualiz]:[% anualiz]]),1)*IF(DATOS!BG$4="Sí",1/DATOS_[[% normaliz]:[% normaliz]],1)*(DATOS_[Conc.Sal.29])))))))),
0)</f>
        <v>0</v>
      </c>
      <c r="AM31" s="101">
        <f t="array" ref="AM31">IFERROR(
(AVERAGE((IF(DATOS_[[Sexo]:[Sexo]]=$B31,IF(DATOS_[[AGRUP. VALOR. PTO.]:[AGRUP. VALOR. PTO.]]=$B30,IF(DATOS_[[Check Periodo Ref.]:[Check Periodo Ref.]]="Dentro",IF(DATOS_[[Check Equiparado]:[Check Equiparado]]="Sí",IF(DATOS!BH$5="Sí",(1/DATOS_[[% anualiz]:[% anualiz]]),1)*IF(DATOS!BH$4="Sí",1/DATOS_[[% normaliz]:[% normaliz]],1)*(DATOS_[Conc.Sal.30])))))))),
0)</f>
        <v>0</v>
      </c>
      <c r="AN31" s="102">
        <f t="array" ref="AN31">IFERROR(
AVERAGE(IF(DATOS_[Sexo]=$B31,IF(DATOS_[[AGRUP. VALOR. PTO.]:[AGRUP. VALOR. PTO.]]=$B30,IF(DATOS_[Check Equiparado]="Sí",IF(DATOS_[Check Periodo Ref.]="Dentro",DATOS_[Tot COMPL.SAL Eq],FALSE))))),
0)</f>
        <v>0</v>
      </c>
      <c r="AO31" s="103">
        <f t="array" ref="AO31">IFERROR(
AVERAGE(IF(DATOS_[Sexo]=$B31,IF(DATOS_[[AGRUP. VALOR. PTO.]:[AGRUP. VALOR. PTO.]]=$B30,IF(DATOS_[Check Equiparado]="Sí",IF(DATOS_[Check Periodo Ref.]="Dentro",DATOS_[TOTAL SALARIO Eq],FALSE))))),
0)</f>
        <v>0</v>
      </c>
      <c r="AP31" s="104">
        <f t="array" ref="AP31">IFERROR(
(AVERAGE((IF(DATOS_[[Sexo]:[Sexo]]=$B31,IF(DATOS_[[AGRUP. VALOR. PTO.]:[AGRUP. VALOR. PTO.]]=$B30,IF(DATOS_[[Check Periodo Ref.]:[Check Periodo Ref.]]="Dentro",IF(DATOS_[[Check Equiparado]:[Check Equiparado]]="Sí",IF(DATOS!BI$5="Sí",(1/DATOS_[[% anualiz]:[% anualiz]]),1)*IF(DATOS!BI$4="Sí",1/DATOS_[[% normaliz]:[% normaliz]],1)*(DATOS_[C.Extra.01])))))))),
0)</f>
        <v>0</v>
      </c>
      <c r="AQ31" s="104">
        <f t="array" ref="AQ31">IFERROR(
(AVERAGE((IF(DATOS_[[Sexo]:[Sexo]]=$B31,IF(DATOS_[[AGRUP. VALOR. PTO.]:[AGRUP. VALOR. PTO.]]=$B30,IF(DATOS_[[Check Periodo Ref.]:[Check Periodo Ref.]]="Dentro",IF(DATOS_[[Check Equiparado]:[Check Equiparado]]="Sí",IF(DATOS!BJ$5="Sí",(1/DATOS_[[% anualiz]:[% anualiz]]),1)*IF(DATOS!BJ$4="Sí",1/DATOS_[[% normaliz]:[% normaliz]],1)*(DATOS_[C.Extra.02])))))))),
0)</f>
        <v>0</v>
      </c>
      <c r="AR31" s="104">
        <f t="array" ref="AR31">IFERROR(
(AVERAGE((IF(DATOS_[[Sexo]:[Sexo]]=$B31,IF(DATOS_[[AGRUP. VALOR. PTO.]:[AGRUP. VALOR. PTO.]]=$B30,IF(DATOS_[[Check Periodo Ref.]:[Check Periodo Ref.]]="Dentro",IF(DATOS_[[Check Equiparado]:[Check Equiparado]]="Sí",IF(DATOS!BK$5="Sí",(1/DATOS_[[% anualiz]:[% anualiz]]),1)*IF(DATOS!BK$4="Sí",1/DATOS_[[% normaliz]:[% normaliz]],1)*(DATOS_[C.Extra.03])))))))),
0)</f>
        <v>0</v>
      </c>
      <c r="AS31" s="104">
        <f t="array" ref="AS31">IFERROR(
(AVERAGE((IF(DATOS_[[Sexo]:[Sexo]]=$B31,IF(DATOS_[[AGRUP. VALOR. PTO.]:[AGRUP. VALOR. PTO.]]=$B30,IF(DATOS_[[Check Periodo Ref.]:[Check Periodo Ref.]]="Dentro",IF(DATOS_[[Check Equiparado]:[Check Equiparado]]="Sí",IF(DATOS!BL$5="Sí",(1/DATOS_[[% anualiz]:[% anualiz]]),1)*IF(DATOS!BL$4="Sí",1/DATOS_[[% normaliz]:[% normaliz]],1)*(DATOS_[C.Extra.04])))))))),
0)</f>
        <v>0</v>
      </c>
      <c r="AT31" s="104">
        <f t="array" ref="AT31">IFERROR(
(AVERAGE((IF(DATOS_[[Sexo]:[Sexo]]=$B31,IF(DATOS_[[AGRUP. VALOR. PTO.]:[AGRUP. VALOR. PTO.]]=$B30,IF(DATOS_[[Check Periodo Ref.]:[Check Periodo Ref.]]="Dentro",IF(DATOS_[[Check Equiparado]:[Check Equiparado]]="Sí",IF(DATOS!BM$5="Sí",(1/DATOS_[[% anualiz]:[% anualiz]]),1)*IF(DATOS!BM$4="Sí",1/DATOS_[[% normaliz]:[% normaliz]],1)*(DATOS_[C.Extra.05])))))))),
0)</f>
        <v>0</v>
      </c>
      <c r="AU31" s="105">
        <f t="array" ref="AU31">IFERROR(
AVERAGE(IF(DATOS_[Sexo]=$B31,IF(DATOS_[[AGRUP. VALOR. PTO.]:[AGRUP. VALOR. PTO.]]=$B30,IF(DATOS_[Check Equiparado]="Sí",IF(DATOS_[Check Periodo Ref.]="Dentro",DATOS_[Tot Extrasalarial Eq],FALSE))))),
0)</f>
        <v>0</v>
      </c>
      <c r="AV31" s="106">
        <f t="array" ref="AV31">IFERROR(
AVERAGE(IF(DATOS_[Sexo]=$B31,IF(DATOS_[[AGRUP. VALOR. PTO.]:[AGRUP. VALOR. PTO.]]=$B30,IF(DATOS_[Check Equiparado]="Sí",IF(DATOS_[Check Periodo Ref.]="Dentro",DATOS_[TOTAL Retrib Eq],FALSE))))),
0)</f>
        <v>0</v>
      </c>
    </row>
    <row r="32" spans="1:48" hidden="1" x14ac:dyDescent="0.3">
      <c r="A32" s="53" t="str">
        <f t="shared" ref="A32" si="26">+A31</f>
        <v>[ocultar]</v>
      </c>
      <c r="B32" s="57" t="s">
        <v>163</v>
      </c>
      <c r="C32" s="56">
        <f t="array" ref="C32">SUM(IF($B32=DATOS_[Sexo],
IF($B30=DATOS_[AGRUP. VALOR. PTO.],
IF("Dentro"=DATOS_[Check Periodo Ref.],
1/(COUNTIFS(DATOS_[Sexo],$B32,DATOS_[AGRUP. VALOR. PTO.],$B30,DATOS_[Check Periodo Ref.],"Dentro",DATOS_[id],DATOS_[id]))))))</f>
        <v>0</v>
      </c>
      <c r="D32" s="58">
        <f>COUNTIFS(DATOS_[AGRUP. VALOR. PTO.],$B30,DATOS_[Sexo],$B32,DATOS_[Check Periodo Ref.],"Dentro")</f>
        <v>0</v>
      </c>
      <c r="E32" s="58">
        <f>COUNTIFS(DATOS_[AGRUP. VALOR. PTO.],$B30,DATOS_[Sexo],$B32,DATOS_[Check Periodo Ref.],"Dentro",DATOS_[Check Nº SC Norm],"Sí")</f>
        <v>0</v>
      </c>
      <c r="F32" s="58">
        <f>COUNTIFS(DATOS_[AGRUP. VALOR. PTO.],$B30,DATOS_[Sexo],$B32,DATOS_[Check Periodo Ref.],"Dentro",DATOS_[Check Nº SC Anualiz],"Sí")</f>
        <v>0</v>
      </c>
      <c r="G32" s="58">
        <f>COUNTIFS(DATOS_[AGRUP. VALOR. PTO.],$B30,DATOS_[Sexo],$B32,DATOS_[Check Periodo Ref.],"Dentro",DATOS_[Check Nº SC Norm y Anualiz],"Sí")</f>
        <v>0</v>
      </c>
      <c r="H32" s="58">
        <f>COUNTIFS(DATOS_[AGRUP. VALOR. PTO.],$B30,DATOS_[Sexo],$B32,DATOS_[Check Periodo Ref.],"Dentro",DATOS_[Check Equiparación],"Sí")</f>
        <v>0</v>
      </c>
      <c r="I32" s="100" cm="1">
        <f t="array" ref="I32">IFERROR(
AVERAGE(IF(DATOS_[Sexo]=$B32,IF(DATOS_[[AGRUP. VALOR. PTO.]:[AGRUP. VALOR. PTO.]]=$B30,IF(DATOS_[Check Equiparado]="Sí",IF(DATOS_[Check Periodo Ref.]="Dentro",DATOS_[SALARIO BASE Eq],FALSE))))),
0)</f>
        <v>0</v>
      </c>
      <c r="J32" s="101">
        <f t="array" ref="J32">IFERROR(
(AVERAGE((IF(DATOS_[[Sexo]:[Sexo]]=$B32,IF(DATOS_[[AGRUP. VALOR. PTO.]:[AGRUP. VALOR. PTO.]]=$B30,IF(DATOS_[[Check Periodo Ref.]:[Check Periodo Ref.]]="Dentro",IF(DATOS_[[Check Equiparado]:[Check Equiparado]]="Sí",IF(DATOS!AE$5="Sí",(1/DATOS_[[% anualiz]:[% anualiz]]),1)*IF(DATOS!AE$4="Sí",1/DATOS_[[% normaliz]:[% normaliz]],1)*(DATOS_[Conc.Sal.01])))))))),
0)</f>
        <v>0</v>
      </c>
      <c r="K32" s="101">
        <f t="array" ref="K32">IFERROR(
(AVERAGE((IF(DATOS_[[Sexo]:[Sexo]]=$B32,IF(DATOS_[[AGRUP. VALOR. PTO.]:[AGRUP. VALOR. PTO.]]=$B30,IF(DATOS_[[Check Periodo Ref.]:[Check Periodo Ref.]]="Dentro",IF(DATOS_[[Check Equiparado]:[Check Equiparado]]="Sí",IF(DATOS!AF$5="Sí",(1/DATOS_[[% anualiz]:[% anualiz]]),1)*IF(DATOS!AF$4="Sí",1/DATOS_[[% normaliz]:[% normaliz]],1)*(DATOS_[Conc.Sal.02])))))))),
0)</f>
        <v>0</v>
      </c>
      <c r="L32" s="101">
        <f t="array" ref="L32">IFERROR(
(AVERAGE((IF(DATOS_[[Sexo]:[Sexo]]=$B32,IF(DATOS_[[AGRUP. VALOR. PTO.]:[AGRUP. VALOR. PTO.]]=$B30,IF(DATOS_[[Check Periodo Ref.]:[Check Periodo Ref.]]="Dentro",IF(DATOS_[[Check Equiparado]:[Check Equiparado]]="Sí",IF(DATOS!AG$5="Sí",(1/DATOS_[[% anualiz]:[% anualiz]]),1)*IF(DATOS!AG$4="Sí",1/DATOS_[[% normaliz]:[% normaliz]],1)*(DATOS_[Conc.Sal.03])))))))),
0)</f>
        <v>0</v>
      </c>
      <c r="M32" s="101">
        <f t="array" ref="M32">IFERROR(
(AVERAGE((IF(DATOS_[[Sexo]:[Sexo]]=$B32,IF(DATOS_[[AGRUP. VALOR. PTO.]:[AGRUP. VALOR. PTO.]]=$B30,IF(DATOS_[[Check Periodo Ref.]:[Check Periodo Ref.]]="Dentro",IF(DATOS_[[Check Equiparado]:[Check Equiparado]]="Sí",IF(DATOS!AH$5="Sí",(1/DATOS_[[% anualiz]:[% anualiz]]),1)*IF(DATOS!AH$4="Sí",1/DATOS_[[% normaliz]:[% normaliz]],1)*(DATOS_[Conc.Sal.04])))))))),
0)</f>
        <v>0</v>
      </c>
      <c r="N32" s="101">
        <f t="array" ref="N32">IFERROR(
(AVERAGE((IF(DATOS_[[Sexo]:[Sexo]]=$B32,IF(DATOS_[[AGRUP. VALOR. PTO.]:[AGRUP. VALOR. PTO.]]=$B30,IF(DATOS_[[Check Periodo Ref.]:[Check Periodo Ref.]]="Dentro",IF(DATOS_[[Check Equiparado]:[Check Equiparado]]="Sí",IF(DATOS!AI$5="Sí",(1/DATOS_[[% anualiz]:[% anualiz]]),1)*IF(DATOS!AI$4="Sí",1/DATOS_[[% normaliz]:[% normaliz]],1)*(DATOS_[Conc.Sal.05])))))))),
0)</f>
        <v>0</v>
      </c>
      <c r="O32" s="101">
        <f t="array" ref="O32">IFERROR(
(AVERAGE((IF(DATOS_[[Sexo]:[Sexo]]=$B32,IF(DATOS_[[AGRUP. VALOR. PTO.]:[AGRUP. VALOR. PTO.]]=$B30,IF(DATOS_[[Check Periodo Ref.]:[Check Periodo Ref.]]="Dentro",IF(DATOS_[[Check Equiparado]:[Check Equiparado]]="Sí",IF(DATOS!AJ$5="Sí",(1/DATOS_[[% anualiz]:[% anualiz]]),1)*IF(DATOS!AJ$4="Sí",1/DATOS_[[% normaliz]:[% normaliz]],1)*(DATOS_[Conc.Sal.06])))))))),
0)</f>
        <v>0</v>
      </c>
      <c r="P32" s="101">
        <f t="array" ref="P32">IFERROR(
(AVERAGE((IF(DATOS_[[Sexo]:[Sexo]]=$B32,IF(DATOS_[[AGRUP. VALOR. PTO.]:[AGRUP. VALOR. PTO.]]=$B30,IF(DATOS_[[Check Periodo Ref.]:[Check Periodo Ref.]]="Dentro",IF(DATOS_[[Check Equiparado]:[Check Equiparado]]="Sí",IF(DATOS!AK$5="Sí",(1/DATOS_[[% anualiz]:[% anualiz]]),1)*IF(DATOS!AK$4="Sí",1/DATOS_[[% normaliz]:[% normaliz]],1)*(DATOS_[Conc.Sal.07])))))))),
0)</f>
        <v>0</v>
      </c>
      <c r="Q32" s="101">
        <f t="array" ref="Q32">IFERROR(
(AVERAGE((IF(DATOS_[[Sexo]:[Sexo]]=$B32,IF(DATOS_[[AGRUP. VALOR. PTO.]:[AGRUP. VALOR. PTO.]]=$B30,IF(DATOS_[[Check Periodo Ref.]:[Check Periodo Ref.]]="Dentro",IF(DATOS_[[Check Equiparado]:[Check Equiparado]]="Sí",IF(DATOS!AL$5="Sí",(1/DATOS_[[% anualiz]:[% anualiz]]),1)*IF(DATOS!AL$4="Sí",1/DATOS_[[% normaliz]:[% normaliz]],1)*(DATOS_[Conc.Sal.08])))))))),
0)</f>
        <v>0</v>
      </c>
      <c r="R32" s="101">
        <f t="array" ref="R32">IFERROR(
(AVERAGE((IF(DATOS_[[Sexo]:[Sexo]]=$B32,IF(DATOS_[[AGRUP. VALOR. PTO.]:[AGRUP. VALOR. PTO.]]=$B30,IF(DATOS_[[Check Periodo Ref.]:[Check Periodo Ref.]]="Dentro",IF(DATOS_[[Check Equiparado]:[Check Equiparado]]="Sí",IF(DATOS!AM$5="Sí",(1/DATOS_[[% anualiz]:[% anualiz]]),1)*IF(DATOS!AM$4="Sí",1/DATOS_[[% normaliz]:[% normaliz]],1)*(DATOS_[Conc.Sal.09])))))))),
0)</f>
        <v>0</v>
      </c>
      <c r="S32" s="101">
        <f t="array" ref="S32">IFERROR(
(AVERAGE((IF(DATOS_[[Sexo]:[Sexo]]=$B32,IF(DATOS_[[AGRUP. VALOR. PTO.]:[AGRUP. VALOR. PTO.]]=$B30,IF(DATOS_[[Check Periodo Ref.]:[Check Periodo Ref.]]="Dentro",IF(DATOS_[[Check Equiparado]:[Check Equiparado]]="Sí",IF(DATOS!AN$5="Sí",(1/DATOS_[[% anualiz]:[% anualiz]]),1)*IF(DATOS!AN$4="Sí",1/DATOS_[[% normaliz]:[% normaliz]],1)*(DATOS_[Conc.Sal.10])))))))),
0)</f>
        <v>0</v>
      </c>
      <c r="T32" s="101">
        <f t="array" ref="T32">IFERROR(
(AVERAGE((IF(DATOS_[[Sexo]:[Sexo]]=$B32,IF(DATOS_[[AGRUP. VALOR. PTO.]:[AGRUP. VALOR. PTO.]]=$B30,IF(DATOS_[[Check Periodo Ref.]:[Check Periodo Ref.]]="Dentro",IF(DATOS_[[Check Equiparado]:[Check Equiparado]]="Sí",IF(DATOS!AO$5="Sí",(1/DATOS_[[% anualiz]:[% anualiz]]),1)*IF(DATOS!AO$4="Sí",1/DATOS_[[% normaliz]:[% normaliz]],1)*(DATOS_[Conc.Sal.11])))))))),
0)</f>
        <v>0</v>
      </c>
      <c r="U32" s="101">
        <f t="array" ref="U32">IFERROR(
(AVERAGE((IF(DATOS_[[Sexo]:[Sexo]]=$B32,IF(DATOS_[[AGRUP. VALOR. PTO.]:[AGRUP. VALOR. PTO.]]=$B30,IF(DATOS_[[Check Periodo Ref.]:[Check Periodo Ref.]]="Dentro",IF(DATOS_[[Check Equiparado]:[Check Equiparado]]="Sí",IF(DATOS!AP$5="Sí",(1/DATOS_[[% anualiz]:[% anualiz]]),1)*IF(DATOS!AP$4="Sí",1/DATOS_[[% normaliz]:[% normaliz]],1)*(DATOS_[Conc.Sal.12])))))))),
0)</f>
        <v>0</v>
      </c>
      <c r="V32" s="101">
        <f t="array" ref="V32">IFERROR(
(AVERAGE((IF(DATOS_[[Sexo]:[Sexo]]=$B32,IF(DATOS_[[AGRUP. VALOR. PTO.]:[AGRUP. VALOR. PTO.]]=$B30,IF(DATOS_[[Check Periodo Ref.]:[Check Periodo Ref.]]="Dentro",IF(DATOS_[[Check Equiparado]:[Check Equiparado]]="Sí",IF(DATOS!AQ$5="Sí",(1/DATOS_[[% anualiz]:[% anualiz]]),1)*IF(DATOS!AQ$4="Sí",1/DATOS_[[% normaliz]:[% normaliz]],1)*(DATOS_[Conc.Sal.13])))))))),
0)</f>
        <v>0</v>
      </c>
      <c r="W32" s="101">
        <f t="array" ref="W32">IFERROR(
(AVERAGE((IF(DATOS_[[Sexo]:[Sexo]]=$B32,IF(DATOS_[[AGRUP. VALOR. PTO.]:[AGRUP. VALOR. PTO.]]=$B30,IF(DATOS_[[Check Periodo Ref.]:[Check Periodo Ref.]]="Dentro",IF(DATOS_[[Check Equiparado]:[Check Equiparado]]="Sí",IF(DATOS!AR$5="Sí",(1/DATOS_[[% anualiz]:[% anualiz]]),1)*IF(DATOS!AR$4="Sí",1/DATOS_[[% normaliz]:[% normaliz]],1)*(DATOS_[Conc.Sal.14])))))))),
0)</f>
        <v>0</v>
      </c>
      <c r="X32" s="101">
        <f t="array" ref="X32">IFERROR(
(AVERAGE((IF(DATOS_[[Sexo]:[Sexo]]=$B32,IF(DATOS_[[AGRUP. VALOR. PTO.]:[AGRUP. VALOR. PTO.]]=$B30,IF(DATOS_[[Check Periodo Ref.]:[Check Periodo Ref.]]="Dentro",IF(DATOS_[[Check Equiparado]:[Check Equiparado]]="Sí",IF(DATOS!AS$5="Sí",(1/DATOS_[[% anualiz]:[% anualiz]]),1)*IF(DATOS!AS$4="Sí",1/DATOS_[[% normaliz]:[% normaliz]],1)*(DATOS_[Conc.Sal.15])))))))),
0)</f>
        <v>0</v>
      </c>
      <c r="Y32" s="101">
        <f t="array" ref="Y32">IFERROR(
(AVERAGE((IF(DATOS_[[Sexo]:[Sexo]]=$B32,IF(DATOS_[[AGRUP. VALOR. PTO.]:[AGRUP. VALOR. PTO.]]=$B30,IF(DATOS_[[Check Periodo Ref.]:[Check Periodo Ref.]]="Dentro",IF(DATOS_[[Check Equiparado]:[Check Equiparado]]="Sí",IF(DATOS!AT$5="Sí",(1/DATOS_[[% anualiz]:[% anualiz]]),1)*IF(DATOS!AT$4="Sí",1/DATOS_[[% normaliz]:[% normaliz]],1)*(DATOS_[Conc.Sal.16])))))))),
0)</f>
        <v>0</v>
      </c>
      <c r="Z32" s="101">
        <f t="array" ref="Z32">IFERROR(
(AVERAGE((IF(DATOS_[[Sexo]:[Sexo]]=$B32,IF(DATOS_[[AGRUP. VALOR. PTO.]:[AGRUP. VALOR. PTO.]]=$B30,IF(DATOS_[[Check Periodo Ref.]:[Check Periodo Ref.]]="Dentro",IF(DATOS_[[Check Equiparado]:[Check Equiparado]]="Sí",IF(DATOS!AU$5="Sí",(1/DATOS_[[% anualiz]:[% anualiz]]),1)*IF(DATOS!AU$4="Sí",1/DATOS_[[% normaliz]:[% normaliz]],1)*(DATOS_[Conc.Sal.17])))))))),
0)</f>
        <v>0</v>
      </c>
      <c r="AA32" s="101">
        <f t="array" ref="AA32">IFERROR(
(AVERAGE((IF(DATOS_[[Sexo]:[Sexo]]=$B32,IF(DATOS_[[AGRUP. VALOR. PTO.]:[AGRUP. VALOR. PTO.]]=$B30,IF(DATOS_[[Check Periodo Ref.]:[Check Periodo Ref.]]="Dentro",IF(DATOS_[[Check Equiparado]:[Check Equiparado]]="Sí",IF(DATOS!AV$5="Sí",(1/DATOS_[[% anualiz]:[% anualiz]]),1)*IF(DATOS!AV$4="Sí",1/DATOS_[[% normaliz]:[% normaliz]],1)*(DATOS_[Conc.Sal.18])))))))),
0)</f>
        <v>0</v>
      </c>
      <c r="AB32" s="101">
        <f t="array" ref="AB32">IFERROR(
(AVERAGE((IF(DATOS_[[Sexo]:[Sexo]]=$B32,IF(DATOS_[[AGRUP. VALOR. PTO.]:[AGRUP. VALOR. PTO.]]=$B30,IF(DATOS_[[Check Periodo Ref.]:[Check Periodo Ref.]]="Dentro",IF(DATOS_[[Check Equiparado]:[Check Equiparado]]="Sí",IF(DATOS!AW$5="Sí",(1/DATOS_[[% anualiz]:[% anualiz]]),1)*IF(DATOS!AW$4="Sí",1/DATOS_[[% normaliz]:[% normaliz]],1)*(DATOS_[Conc.Sal.19])))))))),
0)</f>
        <v>0</v>
      </c>
      <c r="AC32" s="101">
        <f t="array" ref="AC32">IFERROR(
(AVERAGE((IF(DATOS_[[Sexo]:[Sexo]]=$B32,IF(DATOS_[[AGRUP. VALOR. PTO.]:[AGRUP. VALOR. PTO.]]=$B30,IF(DATOS_[[Check Periodo Ref.]:[Check Periodo Ref.]]="Dentro",IF(DATOS_[[Check Equiparado]:[Check Equiparado]]="Sí",IF(DATOS!AX$5="Sí",(1/DATOS_[[% anualiz]:[% anualiz]]),1)*IF(DATOS!AX$4="Sí",1/DATOS_[[% normaliz]:[% normaliz]],1)*(DATOS_[Conc.Sal.20])))))))),
0)</f>
        <v>0</v>
      </c>
      <c r="AD32" s="101">
        <f t="array" ref="AD32">IFERROR(
(AVERAGE((IF(DATOS_[[Sexo]:[Sexo]]=$B32,IF(DATOS_[[AGRUP. VALOR. PTO.]:[AGRUP. VALOR. PTO.]]=$B30,IF(DATOS_[[Check Periodo Ref.]:[Check Periodo Ref.]]="Dentro",IF(DATOS_[[Check Equiparado]:[Check Equiparado]]="Sí",IF(DATOS!AY$5="Sí",(1/DATOS_[[% anualiz]:[% anualiz]]),1)*IF(DATOS!AY$4="Sí",1/DATOS_[[% normaliz]:[% normaliz]],1)*(DATOS_[Conc.Sal.21])))))))),
0)</f>
        <v>0</v>
      </c>
      <c r="AE32" s="101">
        <f t="array" ref="AE32">IFERROR(
(AVERAGE((IF(DATOS_[[Sexo]:[Sexo]]=$B32,IF(DATOS_[[AGRUP. VALOR. PTO.]:[AGRUP. VALOR. PTO.]]=$B30,IF(DATOS_[[Check Periodo Ref.]:[Check Periodo Ref.]]="Dentro",IF(DATOS_[[Check Equiparado]:[Check Equiparado]]="Sí",IF(DATOS!AZ$5="Sí",(1/DATOS_[[% anualiz]:[% anualiz]]),1)*IF(DATOS!AZ$4="Sí",1/DATOS_[[% normaliz]:[% normaliz]],1)*(DATOS_[Conc.Sal.22])))))))),
0)</f>
        <v>0</v>
      </c>
      <c r="AF32" s="101">
        <f t="array" ref="AF32">IFERROR(
(AVERAGE((IF(DATOS_[[Sexo]:[Sexo]]=$B32,IF(DATOS_[[AGRUP. VALOR. PTO.]:[AGRUP. VALOR. PTO.]]=$B30,IF(DATOS_[[Check Periodo Ref.]:[Check Periodo Ref.]]="Dentro",IF(DATOS_[[Check Equiparado]:[Check Equiparado]]="Sí",IF(DATOS!BA$5="Sí",(1/DATOS_[[% anualiz]:[% anualiz]]),1)*IF(DATOS!BA$4="Sí",1/DATOS_[[% normaliz]:[% normaliz]],1)*(DATOS_[Conc.Sal.23])))))))),
0)</f>
        <v>0</v>
      </c>
      <c r="AG32" s="101">
        <f t="array" ref="AG32">IFERROR(
(AVERAGE((IF(DATOS_[[Sexo]:[Sexo]]=$B32,IF(DATOS_[[AGRUP. VALOR. PTO.]:[AGRUP. VALOR. PTO.]]=$B30,IF(DATOS_[[Check Periodo Ref.]:[Check Periodo Ref.]]="Dentro",IF(DATOS_[[Check Equiparado]:[Check Equiparado]]="Sí",IF(DATOS!BB$5="Sí",(1/DATOS_[[% anualiz]:[% anualiz]]),1)*IF(DATOS!BB$4="Sí",1/DATOS_[[% normaliz]:[% normaliz]],1)*(DATOS_[Conc.Sal.24])))))))),
0)</f>
        <v>0</v>
      </c>
      <c r="AH32" s="101">
        <f t="array" ref="AH32">IFERROR(
(AVERAGE((IF(DATOS_[[Sexo]:[Sexo]]=$B32,IF(DATOS_[[AGRUP. VALOR. PTO.]:[AGRUP. VALOR. PTO.]]=$B30,IF(DATOS_[[Check Periodo Ref.]:[Check Periodo Ref.]]="Dentro",IF(DATOS_[[Check Equiparado]:[Check Equiparado]]="Sí",IF(DATOS!BC$5="Sí",(1/DATOS_[[% anualiz]:[% anualiz]]),1)*IF(DATOS!BC$4="Sí",1/DATOS_[[% normaliz]:[% normaliz]],1)*(DATOS_[Conc.Sal.25])))))))),
0)</f>
        <v>0</v>
      </c>
      <c r="AI32" s="101">
        <f t="array" ref="AI32">IFERROR(
(AVERAGE((IF(DATOS_[[Sexo]:[Sexo]]=$B32,IF(DATOS_[[AGRUP. VALOR. PTO.]:[AGRUP. VALOR. PTO.]]=$B30,IF(DATOS_[[Check Periodo Ref.]:[Check Periodo Ref.]]="Dentro",IF(DATOS_[[Check Equiparado]:[Check Equiparado]]="Sí",IF(DATOS!BD$5="Sí",(1/DATOS_[[% anualiz]:[% anualiz]]),1)*IF(DATOS!BD$4="Sí",1/DATOS_[[% normaliz]:[% normaliz]],1)*(DATOS_[Conc.Sal.26])))))))),
0)</f>
        <v>0</v>
      </c>
      <c r="AJ32" s="101">
        <f t="array" ref="AJ32">IFERROR(
(AVERAGE((IF(DATOS_[[Sexo]:[Sexo]]=$B32,IF(DATOS_[[AGRUP. VALOR. PTO.]:[AGRUP. VALOR. PTO.]]=$B30,IF(DATOS_[[Check Periodo Ref.]:[Check Periodo Ref.]]="Dentro",IF(DATOS_[[Check Equiparado]:[Check Equiparado]]="Sí",IF(DATOS!BE$5="Sí",(1/DATOS_[[% anualiz]:[% anualiz]]),1)*IF(DATOS!BE$4="Sí",1/DATOS_[[% normaliz]:[% normaliz]],1)*(DATOS_[Conc.Sal.27])))))))),
0)</f>
        <v>0</v>
      </c>
      <c r="AK32" s="101">
        <f t="array" ref="AK32">IFERROR(
(AVERAGE((IF(DATOS_[[Sexo]:[Sexo]]=$B32,IF(DATOS_[[AGRUP. VALOR. PTO.]:[AGRUP. VALOR. PTO.]]=$B30,IF(DATOS_[[Check Periodo Ref.]:[Check Periodo Ref.]]="Dentro",IF(DATOS_[[Check Equiparado]:[Check Equiparado]]="Sí",IF(DATOS!BF$5="Sí",(1/DATOS_[[% anualiz]:[% anualiz]]),1)*IF(DATOS!BF$4="Sí",1/DATOS_[[% normaliz]:[% normaliz]],1)*(DATOS_[Conc.Sal.28])))))))),
0)</f>
        <v>0</v>
      </c>
      <c r="AL32" s="101">
        <f t="array" ref="AL32">IFERROR(
(AVERAGE((IF(DATOS_[[Sexo]:[Sexo]]=$B32,IF(DATOS_[[AGRUP. VALOR. PTO.]:[AGRUP. VALOR. PTO.]]=$B30,IF(DATOS_[[Check Periodo Ref.]:[Check Periodo Ref.]]="Dentro",IF(DATOS_[[Check Equiparado]:[Check Equiparado]]="Sí",IF(DATOS!BG$5="Sí",(1/DATOS_[[% anualiz]:[% anualiz]]),1)*IF(DATOS!BG$4="Sí",1/DATOS_[[% normaliz]:[% normaliz]],1)*(DATOS_[Conc.Sal.29])))))))),
0)</f>
        <v>0</v>
      </c>
      <c r="AM32" s="101">
        <f t="array" ref="AM32">IFERROR(
(AVERAGE((IF(DATOS_[[Sexo]:[Sexo]]=$B32,IF(DATOS_[[AGRUP. VALOR. PTO.]:[AGRUP. VALOR. PTO.]]=$B30,IF(DATOS_[[Check Periodo Ref.]:[Check Periodo Ref.]]="Dentro",IF(DATOS_[[Check Equiparado]:[Check Equiparado]]="Sí",IF(DATOS!BH$5="Sí",(1/DATOS_[[% anualiz]:[% anualiz]]),1)*IF(DATOS!BH$4="Sí",1/DATOS_[[% normaliz]:[% normaliz]],1)*(DATOS_[Conc.Sal.30])))))))),
0)</f>
        <v>0</v>
      </c>
      <c r="AN32" s="102">
        <f t="array" ref="AN32">IFERROR(
AVERAGE(IF(DATOS_[Sexo]=$B32,IF(DATOS_[[AGRUP. VALOR. PTO.]:[AGRUP. VALOR. PTO.]]=$B30,IF(DATOS_[Check Equiparado]="Sí",IF(DATOS_[Check Periodo Ref.]="Dentro",DATOS_[Tot COMPL.SAL Eq],FALSE))))),
0)</f>
        <v>0</v>
      </c>
      <c r="AO32" s="103">
        <f t="array" ref="AO32">IFERROR(
AVERAGE(IF(DATOS_[Sexo]=$B32,IF(DATOS_[[AGRUP. VALOR. PTO.]:[AGRUP. VALOR. PTO.]]=$B30,IF(DATOS_[Check Equiparado]="Sí",IF(DATOS_[Check Periodo Ref.]="Dentro",DATOS_[TOTAL SALARIO Eq],FALSE))))),
0)</f>
        <v>0</v>
      </c>
      <c r="AP32" s="104">
        <f t="array" ref="AP32">IFERROR(
(AVERAGE((IF(DATOS_[[Sexo]:[Sexo]]=$B32,IF(DATOS_[[AGRUP. VALOR. PTO.]:[AGRUP. VALOR. PTO.]]=$B30,IF(DATOS_[[Check Periodo Ref.]:[Check Periodo Ref.]]="Dentro",IF(DATOS_[[Check Equiparado]:[Check Equiparado]]="Sí",IF(DATOS!BI$5="Sí",(1/DATOS_[[% anualiz]:[% anualiz]]),1)*IF(DATOS!BI$4="Sí",1/DATOS_[[% normaliz]:[% normaliz]],1)*(DATOS_[C.Extra.01])))))))),
0)</f>
        <v>0</v>
      </c>
      <c r="AQ32" s="104">
        <f t="array" ref="AQ32">IFERROR(
(AVERAGE((IF(DATOS_[[Sexo]:[Sexo]]=$B32,IF(DATOS_[[AGRUP. VALOR. PTO.]:[AGRUP. VALOR. PTO.]]=$B30,IF(DATOS_[[Check Periodo Ref.]:[Check Periodo Ref.]]="Dentro",IF(DATOS_[[Check Equiparado]:[Check Equiparado]]="Sí",IF(DATOS!BJ$5="Sí",(1/DATOS_[[% anualiz]:[% anualiz]]),1)*IF(DATOS!BJ$4="Sí",1/DATOS_[[% normaliz]:[% normaliz]],1)*(DATOS_[C.Extra.02])))))))),
0)</f>
        <v>0</v>
      </c>
      <c r="AR32" s="104">
        <f t="array" ref="AR32">IFERROR(
(AVERAGE((IF(DATOS_[[Sexo]:[Sexo]]=$B32,IF(DATOS_[[AGRUP. VALOR. PTO.]:[AGRUP. VALOR. PTO.]]=$B30,IF(DATOS_[[Check Periodo Ref.]:[Check Periodo Ref.]]="Dentro",IF(DATOS_[[Check Equiparado]:[Check Equiparado]]="Sí",IF(DATOS!BK$5="Sí",(1/DATOS_[[% anualiz]:[% anualiz]]),1)*IF(DATOS!BK$4="Sí",1/DATOS_[[% normaliz]:[% normaliz]],1)*(DATOS_[C.Extra.03])))))))),
0)</f>
        <v>0</v>
      </c>
      <c r="AS32" s="104">
        <f t="array" ref="AS32">IFERROR(
(AVERAGE((IF(DATOS_[[Sexo]:[Sexo]]=$B32,IF(DATOS_[[AGRUP. VALOR. PTO.]:[AGRUP. VALOR. PTO.]]=$B30,IF(DATOS_[[Check Periodo Ref.]:[Check Periodo Ref.]]="Dentro",IF(DATOS_[[Check Equiparado]:[Check Equiparado]]="Sí",IF(DATOS!BL$5="Sí",(1/DATOS_[[% anualiz]:[% anualiz]]),1)*IF(DATOS!BL$4="Sí",1/DATOS_[[% normaliz]:[% normaliz]],1)*(DATOS_[C.Extra.04])))))))),
0)</f>
        <v>0</v>
      </c>
      <c r="AT32" s="104">
        <f t="array" ref="AT32">IFERROR(
(AVERAGE((IF(DATOS_[[Sexo]:[Sexo]]=$B32,IF(DATOS_[[AGRUP. VALOR. PTO.]:[AGRUP. VALOR. PTO.]]=$B30,IF(DATOS_[[Check Periodo Ref.]:[Check Periodo Ref.]]="Dentro",IF(DATOS_[[Check Equiparado]:[Check Equiparado]]="Sí",IF(DATOS!BM$5="Sí",(1/DATOS_[[% anualiz]:[% anualiz]]),1)*IF(DATOS!BM$4="Sí",1/DATOS_[[% normaliz]:[% normaliz]],1)*(DATOS_[C.Extra.05])))))))),
0)</f>
        <v>0</v>
      </c>
      <c r="AU32" s="105">
        <f t="array" ref="AU32">IFERROR(
AVERAGE(IF(DATOS_[Sexo]=$B32,IF(DATOS_[[AGRUP. VALOR. PTO.]:[AGRUP. VALOR. PTO.]]=$B30,IF(DATOS_[Check Equiparado]="Sí",IF(DATOS_[Check Periodo Ref.]="Dentro",DATOS_[Tot Extrasalarial Eq],FALSE))))),
0)</f>
        <v>0</v>
      </c>
      <c r="AV32" s="106">
        <f t="array" ref="AV32">IFERROR(
AVERAGE(IF(DATOS_[Sexo]=$B32,IF(DATOS_[[AGRUP. VALOR. PTO.]:[AGRUP. VALOR. PTO.]]=$B30,IF(DATOS_[Check Equiparado]="Sí",IF(DATOS_[Check Periodo Ref.]="Dentro",DATOS_[TOTAL Retrib Eq],FALSE))))),
0)</f>
        <v>0</v>
      </c>
    </row>
    <row r="33" spans="1:48" ht="17.25" hidden="1" thickBot="1" x14ac:dyDescent="0.35">
      <c r="A33" s="53" t="str">
        <f t="shared" ref="A33" si="27">+A34</f>
        <v>[ocultar]</v>
      </c>
      <c r="B33" s="62" t="s">
        <v>305</v>
      </c>
      <c r="C33" s="99"/>
      <c r="D33" s="63"/>
      <c r="E33" s="63"/>
      <c r="F33" s="63"/>
      <c r="G33" s="63"/>
      <c r="H33" s="63"/>
      <c r="I33" s="129" t="str">
        <f t="shared" ref="I33:AV33" si="28">IFERROR((I34-I35)/I34,"")</f>
        <v/>
      </c>
      <c r="J33" s="130" t="str">
        <f t="shared" si="28"/>
        <v/>
      </c>
      <c r="K33" s="131" t="str">
        <f t="shared" si="28"/>
        <v/>
      </c>
      <c r="L33" s="131" t="str">
        <f t="shared" si="28"/>
        <v/>
      </c>
      <c r="M33" s="131" t="str">
        <f t="shared" si="28"/>
        <v/>
      </c>
      <c r="N33" s="132" t="str">
        <f t="shared" si="28"/>
        <v/>
      </c>
      <c r="O33" s="133" t="str">
        <f t="shared" si="28"/>
        <v/>
      </c>
      <c r="P33" s="133" t="str">
        <f t="shared" si="28"/>
        <v/>
      </c>
      <c r="Q33" s="133" t="str">
        <f t="shared" si="28"/>
        <v/>
      </c>
      <c r="R33" s="133" t="str">
        <f t="shared" si="28"/>
        <v/>
      </c>
      <c r="S33" s="133" t="str">
        <f t="shared" si="28"/>
        <v/>
      </c>
      <c r="T33" s="133" t="str">
        <f t="shared" si="28"/>
        <v/>
      </c>
      <c r="U33" s="133" t="str">
        <f t="shared" si="28"/>
        <v/>
      </c>
      <c r="V33" s="133" t="str">
        <f t="shared" si="28"/>
        <v/>
      </c>
      <c r="W33" s="133" t="str">
        <f t="shared" si="28"/>
        <v/>
      </c>
      <c r="X33" s="133" t="str">
        <f t="shared" si="28"/>
        <v/>
      </c>
      <c r="Y33" s="133" t="str">
        <f t="shared" si="28"/>
        <v/>
      </c>
      <c r="Z33" s="132" t="str">
        <f t="shared" si="28"/>
        <v/>
      </c>
      <c r="AA33" s="132" t="str">
        <f t="shared" si="28"/>
        <v/>
      </c>
      <c r="AB33" s="132" t="str">
        <f t="shared" si="28"/>
        <v/>
      </c>
      <c r="AC33" s="132" t="str">
        <f t="shared" si="28"/>
        <v/>
      </c>
      <c r="AD33" s="132" t="str">
        <f t="shared" si="28"/>
        <v/>
      </c>
      <c r="AE33" s="132" t="str">
        <f t="shared" si="28"/>
        <v/>
      </c>
      <c r="AF33" s="132" t="str">
        <f t="shared" si="28"/>
        <v/>
      </c>
      <c r="AG33" s="132" t="str">
        <f t="shared" si="28"/>
        <v/>
      </c>
      <c r="AH33" s="132" t="str">
        <f t="shared" si="28"/>
        <v/>
      </c>
      <c r="AI33" s="132" t="str">
        <f t="shared" si="28"/>
        <v/>
      </c>
      <c r="AJ33" s="132" t="str">
        <f t="shared" si="28"/>
        <v/>
      </c>
      <c r="AK33" s="132" t="str">
        <f t="shared" si="28"/>
        <v/>
      </c>
      <c r="AL33" s="132" t="str">
        <f t="shared" si="28"/>
        <v/>
      </c>
      <c r="AM33" s="132" t="str">
        <f t="shared" si="28"/>
        <v/>
      </c>
      <c r="AN33" s="134" t="str">
        <f t="shared" si="28"/>
        <v/>
      </c>
      <c r="AO33" s="138" t="str">
        <f t="shared" si="28"/>
        <v/>
      </c>
      <c r="AP33" s="135" t="str">
        <f t="shared" si="28"/>
        <v/>
      </c>
      <c r="AQ33" s="135" t="str">
        <f t="shared" si="28"/>
        <v/>
      </c>
      <c r="AR33" s="135" t="str">
        <f t="shared" si="28"/>
        <v/>
      </c>
      <c r="AS33" s="135" t="str">
        <f t="shared" si="28"/>
        <v/>
      </c>
      <c r="AT33" s="135" t="str">
        <f t="shared" si="28"/>
        <v/>
      </c>
      <c r="AU33" s="136" t="str">
        <f t="shared" si="28"/>
        <v/>
      </c>
      <c r="AV33" s="137" t="str">
        <f t="shared" si="28"/>
        <v/>
      </c>
    </row>
    <row r="34" spans="1:48" hidden="1" x14ac:dyDescent="0.3">
      <c r="A34" s="53" t="str">
        <f t="shared" ref="A34" si="29">+IF(C34+C35=0,"[ocultar]","")</f>
        <v>[ocultar]</v>
      </c>
      <c r="B34" s="57" t="s">
        <v>162</v>
      </c>
      <c r="C34" s="56">
        <f t="array" ref="C34">SUM(IF($B34=DATOS_[Sexo],
IF($B33=DATOS_[AGRUP. VALOR. PTO.],
IF("Dentro"=DATOS_[Check Periodo Ref.],
1/(COUNTIFS(DATOS_[Sexo],$B34,DATOS_[AGRUP. VALOR. PTO.],$B33,DATOS_[Check Periodo Ref.],"Dentro",DATOS_[id],DATOS_[id]))))))</f>
        <v>0</v>
      </c>
      <c r="D34" s="58">
        <f>COUNTIFS(DATOS_[AGRUP. VALOR. PTO.],$B33,DATOS_[Sexo],$B34,DATOS_[Check Periodo Ref.],"Dentro")</f>
        <v>0</v>
      </c>
      <c r="E34" s="58">
        <f>COUNTIFS(DATOS_[AGRUP. VALOR. PTO.],$B33,DATOS_[Sexo],$B34,DATOS_[Check Periodo Ref.],"Dentro",DATOS_[Check Nº SC Norm],"Sí")</f>
        <v>0</v>
      </c>
      <c r="F34" s="58">
        <f>COUNTIFS(DATOS_[AGRUP. VALOR. PTO.],$B33,DATOS_[Sexo],$B34,DATOS_[Check Periodo Ref.],"Dentro",DATOS_[Check Nº SC Anualiz],"Sí")</f>
        <v>0</v>
      </c>
      <c r="G34" s="58">
        <f>COUNTIFS(DATOS_[AGRUP. VALOR. PTO.],$B33,DATOS_[Sexo],$B34,DATOS_[Check Periodo Ref.],"Dentro",DATOS_[Check Nº SC Norm y Anualiz],"Sí")</f>
        <v>0</v>
      </c>
      <c r="H34" s="58">
        <f>COUNTIFS(DATOS_[AGRUP. VALOR. PTO.],$B33,DATOS_[Sexo],$B34,DATOS_[Check Periodo Ref.],"Dentro",DATOS_[Check Equiparación],"Sí")</f>
        <v>0</v>
      </c>
      <c r="I34" s="100">
        <f t="array" ref="I34">IFERROR(
AVERAGE(IF(DATOS_[Sexo]=$B34,IF(DATOS_[[AGRUP. VALOR. PTO.]:[AGRUP. VALOR. PTO.]]=$B33,IF(DATOS_[Check Equiparado]="Sí",IF(DATOS_[Check Periodo Ref.]="Dentro",DATOS_[SALARIO BASE Eq],FALSE))))),
0)</f>
        <v>0</v>
      </c>
      <c r="J34" s="101">
        <f t="array" ref="J34">IFERROR(
(AVERAGE((IF(DATOS_[[Sexo]:[Sexo]]=$B34,IF(DATOS_[[AGRUP. VALOR. PTO.]:[AGRUP. VALOR. PTO.]]=$B33,IF(DATOS_[[Check Periodo Ref.]:[Check Periodo Ref.]]="Dentro",IF(DATOS_[[Check Equiparado]:[Check Equiparado]]="Sí",IF(DATOS!AE$5="Sí",(1/DATOS_[[% anualiz]:[% anualiz]]),1)*IF(DATOS!AE$4="Sí",1/DATOS_[[% normaliz]:[% normaliz]],1)*(DATOS_[Conc.Sal.01])))))))),
0)</f>
        <v>0</v>
      </c>
      <c r="K34" s="101">
        <f t="array" ref="K34">IFERROR(
(AVERAGE((IF(DATOS_[[Sexo]:[Sexo]]=$B34,IF(DATOS_[[AGRUP. VALOR. PTO.]:[AGRUP. VALOR. PTO.]]=$B33,IF(DATOS_[[Check Periodo Ref.]:[Check Periodo Ref.]]="Dentro",IF(DATOS_[[Check Equiparado]:[Check Equiparado]]="Sí",IF(DATOS!AF$5="Sí",(1/DATOS_[[% anualiz]:[% anualiz]]),1)*IF(DATOS!AF$4="Sí",1/DATOS_[[% normaliz]:[% normaliz]],1)*(DATOS_[Conc.Sal.02])))))))),
0)</f>
        <v>0</v>
      </c>
      <c r="L34" s="101">
        <f t="array" ref="L34">IFERROR(
(AVERAGE((IF(DATOS_[[Sexo]:[Sexo]]=$B34,IF(DATOS_[[AGRUP. VALOR. PTO.]:[AGRUP. VALOR. PTO.]]=$B33,IF(DATOS_[[Check Periodo Ref.]:[Check Periodo Ref.]]="Dentro",IF(DATOS_[[Check Equiparado]:[Check Equiparado]]="Sí",IF(DATOS!AG$5="Sí",(1/DATOS_[[% anualiz]:[% anualiz]]),1)*IF(DATOS!AG$4="Sí",1/DATOS_[[% normaliz]:[% normaliz]],1)*(DATOS_[Conc.Sal.03])))))))),
0)</f>
        <v>0</v>
      </c>
      <c r="M34" s="101">
        <f t="array" ref="M34">IFERROR(
(AVERAGE((IF(DATOS_[[Sexo]:[Sexo]]=$B34,IF(DATOS_[[AGRUP. VALOR. PTO.]:[AGRUP. VALOR. PTO.]]=$B33,IF(DATOS_[[Check Periodo Ref.]:[Check Periodo Ref.]]="Dentro",IF(DATOS_[[Check Equiparado]:[Check Equiparado]]="Sí",IF(DATOS!AH$5="Sí",(1/DATOS_[[% anualiz]:[% anualiz]]),1)*IF(DATOS!AH$4="Sí",1/DATOS_[[% normaliz]:[% normaliz]],1)*(DATOS_[Conc.Sal.04])))))))),
0)</f>
        <v>0</v>
      </c>
      <c r="N34" s="101">
        <f t="array" ref="N34">IFERROR(
(AVERAGE((IF(DATOS_[[Sexo]:[Sexo]]=$B34,IF(DATOS_[[AGRUP. VALOR. PTO.]:[AGRUP. VALOR. PTO.]]=$B33,IF(DATOS_[[Check Periodo Ref.]:[Check Periodo Ref.]]="Dentro",IF(DATOS_[[Check Equiparado]:[Check Equiparado]]="Sí",IF(DATOS!AI$5="Sí",(1/DATOS_[[% anualiz]:[% anualiz]]),1)*IF(DATOS!AI$4="Sí",1/DATOS_[[% normaliz]:[% normaliz]],1)*(DATOS_[Conc.Sal.05])))))))),
0)</f>
        <v>0</v>
      </c>
      <c r="O34" s="101">
        <f t="array" ref="O34">IFERROR(
(AVERAGE((IF(DATOS_[[Sexo]:[Sexo]]=$B34,IF(DATOS_[[AGRUP. VALOR. PTO.]:[AGRUP. VALOR. PTO.]]=$B33,IF(DATOS_[[Check Periodo Ref.]:[Check Periodo Ref.]]="Dentro",IF(DATOS_[[Check Equiparado]:[Check Equiparado]]="Sí",IF(DATOS!AJ$5="Sí",(1/DATOS_[[% anualiz]:[% anualiz]]),1)*IF(DATOS!AJ$4="Sí",1/DATOS_[[% normaliz]:[% normaliz]],1)*(DATOS_[Conc.Sal.06])))))))),
0)</f>
        <v>0</v>
      </c>
      <c r="P34" s="101">
        <f t="array" ref="P34">IFERROR(
(AVERAGE((IF(DATOS_[[Sexo]:[Sexo]]=$B34,IF(DATOS_[[AGRUP. VALOR. PTO.]:[AGRUP. VALOR. PTO.]]=$B33,IF(DATOS_[[Check Periodo Ref.]:[Check Periodo Ref.]]="Dentro",IF(DATOS_[[Check Equiparado]:[Check Equiparado]]="Sí",IF(DATOS!AK$5="Sí",(1/DATOS_[[% anualiz]:[% anualiz]]),1)*IF(DATOS!AK$4="Sí",1/DATOS_[[% normaliz]:[% normaliz]],1)*(DATOS_[Conc.Sal.07])))))))),
0)</f>
        <v>0</v>
      </c>
      <c r="Q34" s="101">
        <f t="array" ref="Q34">IFERROR(
(AVERAGE((IF(DATOS_[[Sexo]:[Sexo]]=$B34,IF(DATOS_[[AGRUP. VALOR. PTO.]:[AGRUP. VALOR. PTO.]]=$B33,IF(DATOS_[[Check Periodo Ref.]:[Check Periodo Ref.]]="Dentro",IF(DATOS_[[Check Equiparado]:[Check Equiparado]]="Sí",IF(DATOS!AL$5="Sí",(1/DATOS_[[% anualiz]:[% anualiz]]),1)*IF(DATOS!AL$4="Sí",1/DATOS_[[% normaliz]:[% normaliz]],1)*(DATOS_[Conc.Sal.08])))))))),
0)</f>
        <v>0</v>
      </c>
      <c r="R34" s="101">
        <f t="array" ref="R34">IFERROR(
(AVERAGE((IF(DATOS_[[Sexo]:[Sexo]]=$B34,IF(DATOS_[[AGRUP. VALOR. PTO.]:[AGRUP. VALOR. PTO.]]=$B33,IF(DATOS_[[Check Periodo Ref.]:[Check Periodo Ref.]]="Dentro",IF(DATOS_[[Check Equiparado]:[Check Equiparado]]="Sí",IF(DATOS!AM$5="Sí",(1/DATOS_[[% anualiz]:[% anualiz]]),1)*IF(DATOS!AM$4="Sí",1/DATOS_[[% normaliz]:[% normaliz]],1)*(DATOS_[Conc.Sal.09])))))))),
0)</f>
        <v>0</v>
      </c>
      <c r="S34" s="101">
        <f t="array" ref="S34">IFERROR(
(AVERAGE((IF(DATOS_[[Sexo]:[Sexo]]=$B34,IF(DATOS_[[AGRUP. VALOR. PTO.]:[AGRUP. VALOR. PTO.]]=$B33,IF(DATOS_[[Check Periodo Ref.]:[Check Periodo Ref.]]="Dentro",IF(DATOS_[[Check Equiparado]:[Check Equiparado]]="Sí",IF(DATOS!AN$5="Sí",(1/DATOS_[[% anualiz]:[% anualiz]]),1)*IF(DATOS!AN$4="Sí",1/DATOS_[[% normaliz]:[% normaliz]],1)*(DATOS_[Conc.Sal.10])))))))),
0)</f>
        <v>0</v>
      </c>
      <c r="T34" s="101">
        <f t="array" ref="T34">IFERROR(
(AVERAGE((IF(DATOS_[[Sexo]:[Sexo]]=$B34,IF(DATOS_[[AGRUP. VALOR. PTO.]:[AGRUP. VALOR. PTO.]]=$B33,IF(DATOS_[[Check Periodo Ref.]:[Check Periodo Ref.]]="Dentro",IF(DATOS_[[Check Equiparado]:[Check Equiparado]]="Sí",IF(DATOS!AO$5="Sí",(1/DATOS_[[% anualiz]:[% anualiz]]),1)*IF(DATOS!AO$4="Sí",1/DATOS_[[% normaliz]:[% normaliz]],1)*(DATOS_[Conc.Sal.11])))))))),
0)</f>
        <v>0</v>
      </c>
      <c r="U34" s="101">
        <f t="array" ref="U34">IFERROR(
(AVERAGE((IF(DATOS_[[Sexo]:[Sexo]]=$B34,IF(DATOS_[[AGRUP. VALOR. PTO.]:[AGRUP. VALOR. PTO.]]=$B33,IF(DATOS_[[Check Periodo Ref.]:[Check Periodo Ref.]]="Dentro",IF(DATOS_[[Check Equiparado]:[Check Equiparado]]="Sí",IF(DATOS!AP$5="Sí",(1/DATOS_[[% anualiz]:[% anualiz]]),1)*IF(DATOS!AP$4="Sí",1/DATOS_[[% normaliz]:[% normaliz]],1)*(DATOS_[Conc.Sal.12])))))))),
0)</f>
        <v>0</v>
      </c>
      <c r="V34" s="101">
        <f t="array" ref="V34">IFERROR(
(AVERAGE((IF(DATOS_[[Sexo]:[Sexo]]=$B34,IF(DATOS_[[AGRUP. VALOR. PTO.]:[AGRUP. VALOR. PTO.]]=$B33,IF(DATOS_[[Check Periodo Ref.]:[Check Periodo Ref.]]="Dentro",IF(DATOS_[[Check Equiparado]:[Check Equiparado]]="Sí",IF(DATOS!AQ$5="Sí",(1/DATOS_[[% anualiz]:[% anualiz]]),1)*IF(DATOS!AQ$4="Sí",1/DATOS_[[% normaliz]:[% normaliz]],1)*(DATOS_[Conc.Sal.13])))))))),
0)</f>
        <v>0</v>
      </c>
      <c r="W34" s="101">
        <f t="array" ref="W34">IFERROR(
(AVERAGE((IF(DATOS_[[Sexo]:[Sexo]]=$B34,IF(DATOS_[[AGRUP. VALOR. PTO.]:[AGRUP. VALOR. PTO.]]=$B33,IF(DATOS_[[Check Periodo Ref.]:[Check Periodo Ref.]]="Dentro",IF(DATOS_[[Check Equiparado]:[Check Equiparado]]="Sí",IF(DATOS!AR$5="Sí",(1/DATOS_[[% anualiz]:[% anualiz]]),1)*IF(DATOS!AR$4="Sí",1/DATOS_[[% normaliz]:[% normaliz]],1)*(DATOS_[Conc.Sal.14])))))))),
0)</f>
        <v>0</v>
      </c>
      <c r="X34" s="101">
        <f t="array" ref="X34">IFERROR(
(AVERAGE((IF(DATOS_[[Sexo]:[Sexo]]=$B34,IF(DATOS_[[AGRUP. VALOR. PTO.]:[AGRUP. VALOR. PTO.]]=$B33,IF(DATOS_[[Check Periodo Ref.]:[Check Periodo Ref.]]="Dentro",IF(DATOS_[[Check Equiparado]:[Check Equiparado]]="Sí",IF(DATOS!AS$5="Sí",(1/DATOS_[[% anualiz]:[% anualiz]]),1)*IF(DATOS!AS$4="Sí",1/DATOS_[[% normaliz]:[% normaliz]],1)*(DATOS_[Conc.Sal.15])))))))),
0)</f>
        <v>0</v>
      </c>
      <c r="Y34" s="101">
        <f t="array" ref="Y34">IFERROR(
(AVERAGE((IF(DATOS_[[Sexo]:[Sexo]]=$B34,IF(DATOS_[[AGRUP. VALOR. PTO.]:[AGRUP. VALOR. PTO.]]=$B33,IF(DATOS_[[Check Periodo Ref.]:[Check Periodo Ref.]]="Dentro",IF(DATOS_[[Check Equiparado]:[Check Equiparado]]="Sí",IF(DATOS!AT$5="Sí",(1/DATOS_[[% anualiz]:[% anualiz]]),1)*IF(DATOS!AT$4="Sí",1/DATOS_[[% normaliz]:[% normaliz]],1)*(DATOS_[Conc.Sal.16])))))))),
0)</f>
        <v>0</v>
      </c>
      <c r="Z34" s="101">
        <f t="array" ref="Z34">IFERROR(
(AVERAGE((IF(DATOS_[[Sexo]:[Sexo]]=$B34,IF(DATOS_[[AGRUP. VALOR. PTO.]:[AGRUP. VALOR. PTO.]]=$B33,IF(DATOS_[[Check Periodo Ref.]:[Check Periodo Ref.]]="Dentro",IF(DATOS_[[Check Equiparado]:[Check Equiparado]]="Sí",IF(DATOS!AU$5="Sí",(1/DATOS_[[% anualiz]:[% anualiz]]),1)*IF(DATOS!AU$4="Sí",1/DATOS_[[% normaliz]:[% normaliz]],1)*(DATOS_[Conc.Sal.17])))))))),
0)</f>
        <v>0</v>
      </c>
      <c r="AA34" s="101">
        <f t="array" ref="AA34">IFERROR(
(AVERAGE((IF(DATOS_[[Sexo]:[Sexo]]=$B34,IF(DATOS_[[AGRUP. VALOR. PTO.]:[AGRUP. VALOR. PTO.]]=$B33,IF(DATOS_[[Check Periodo Ref.]:[Check Periodo Ref.]]="Dentro",IF(DATOS_[[Check Equiparado]:[Check Equiparado]]="Sí",IF(DATOS!AV$5="Sí",(1/DATOS_[[% anualiz]:[% anualiz]]),1)*IF(DATOS!AV$4="Sí",1/DATOS_[[% normaliz]:[% normaliz]],1)*(DATOS_[Conc.Sal.18])))))))),
0)</f>
        <v>0</v>
      </c>
      <c r="AB34" s="101">
        <f t="array" ref="AB34">IFERROR(
(AVERAGE((IF(DATOS_[[Sexo]:[Sexo]]=$B34,IF(DATOS_[[AGRUP. VALOR. PTO.]:[AGRUP. VALOR. PTO.]]=$B33,IF(DATOS_[[Check Periodo Ref.]:[Check Periodo Ref.]]="Dentro",IF(DATOS_[[Check Equiparado]:[Check Equiparado]]="Sí",IF(DATOS!AW$5="Sí",(1/DATOS_[[% anualiz]:[% anualiz]]),1)*IF(DATOS!AW$4="Sí",1/DATOS_[[% normaliz]:[% normaliz]],1)*(DATOS_[Conc.Sal.19])))))))),
0)</f>
        <v>0</v>
      </c>
      <c r="AC34" s="101">
        <f t="array" ref="AC34">IFERROR(
(AVERAGE((IF(DATOS_[[Sexo]:[Sexo]]=$B34,IF(DATOS_[[AGRUP. VALOR. PTO.]:[AGRUP. VALOR. PTO.]]=$B33,IF(DATOS_[[Check Periodo Ref.]:[Check Periodo Ref.]]="Dentro",IF(DATOS_[[Check Equiparado]:[Check Equiparado]]="Sí",IF(DATOS!AX$5="Sí",(1/DATOS_[[% anualiz]:[% anualiz]]),1)*IF(DATOS!AX$4="Sí",1/DATOS_[[% normaliz]:[% normaliz]],1)*(DATOS_[Conc.Sal.20])))))))),
0)</f>
        <v>0</v>
      </c>
      <c r="AD34" s="101">
        <f t="array" ref="AD34">IFERROR(
(AVERAGE((IF(DATOS_[[Sexo]:[Sexo]]=$B34,IF(DATOS_[[AGRUP. VALOR. PTO.]:[AGRUP. VALOR. PTO.]]=$B33,IF(DATOS_[[Check Periodo Ref.]:[Check Periodo Ref.]]="Dentro",IF(DATOS_[[Check Equiparado]:[Check Equiparado]]="Sí",IF(DATOS!AY$5="Sí",(1/DATOS_[[% anualiz]:[% anualiz]]),1)*IF(DATOS!AY$4="Sí",1/DATOS_[[% normaliz]:[% normaliz]],1)*(DATOS_[Conc.Sal.21])))))))),
0)</f>
        <v>0</v>
      </c>
      <c r="AE34" s="101">
        <f t="array" ref="AE34">IFERROR(
(AVERAGE((IF(DATOS_[[Sexo]:[Sexo]]=$B34,IF(DATOS_[[AGRUP. VALOR. PTO.]:[AGRUP. VALOR. PTO.]]=$B33,IF(DATOS_[[Check Periodo Ref.]:[Check Periodo Ref.]]="Dentro",IF(DATOS_[[Check Equiparado]:[Check Equiparado]]="Sí",IF(DATOS!AZ$5="Sí",(1/DATOS_[[% anualiz]:[% anualiz]]),1)*IF(DATOS!AZ$4="Sí",1/DATOS_[[% normaliz]:[% normaliz]],1)*(DATOS_[Conc.Sal.22])))))))),
0)</f>
        <v>0</v>
      </c>
      <c r="AF34" s="101">
        <f t="array" ref="AF34">IFERROR(
(AVERAGE((IF(DATOS_[[Sexo]:[Sexo]]=$B34,IF(DATOS_[[AGRUP. VALOR. PTO.]:[AGRUP. VALOR. PTO.]]=$B33,IF(DATOS_[[Check Periodo Ref.]:[Check Periodo Ref.]]="Dentro",IF(DATOS_[[Check Equiparado]:[Check Equiparado]]="Sí",IF(DATOS!BA$5="Sí",(1/DATOS_[[% anualiz]:[% anualiz]]),1)*IF(DATOS!BA$4="Sí",1/DATOS_[[% normaliz]:[% normaliz]],1)*(DATOS_[Conc.Sal.23])))))))),
0)</f>
        <v>0</v>
      </c>
      <c r="AG34" s="101">
        <f t="array" ref="AG34">IFERROR(
(AVERAGE((IF(DATOS_[[Sexo]:[Sexo]]=$B34,IF(DATOS_[[AGRUP. VALOR. PTO.]:[AGRUP. VALOR. PTO.]]=$B33,IF(DATOS_[[Check Periodo Ref.]:[Check Periodo Ref.]]="Dentro",IF(DATOS_[[Check Equiparado]:[Check Equiparado]]="Sí",IF(DATOS!BB$5="Sí",(1/DATOS_[[% anualiz]:[% anualiz]]),1)*IF(DATOS!BB$4="Sí",1/DATOS_[[% normaliz]:[% normaliz]],1)*(DATOS_[Conc.Sal.24])))))))),
0)</f>
        <v>0</v>
      </c>
      <c r="AH34" s="101">
        <f t="array" ref="AH34">IFERROR(
(AVERAGE((IF(DATOS_[[Sexo]:[Sexo]]=$B34,IF(DATOS_[[AGRUP. VALOR. PTO.]:[AGRUP. VALOR. PTO.]]=$B33,IF(DATOS_[[Check Periodo Ref.]:[Check Periodo Ref.]]="Dentro",IF(DATOS_[[Check Equiparado]:[Check Equiparado]]="Sí",IF(DATOS!BC$5="Sí",(1/DATOS_[[% anualiz]:[% anualiz]]),1)*IF(DATOS!BC$4="Sí",1/DATOS_[[% normaliz]:[% normaliz]],1)*(DATOS_[Conc.Sal.25])))))))),
0)</f>
        <v>0</v>
      </c>
      <c r="AI34" s="101">
        <f t="array" ref="AI34">IFERROR(
(AVERAGE((IF(DATOS_[[Sexo]:[Sexo]]=$B34,IF(DATOS_[[AGRUP. VALOR. PTO.]:[AGRUP. VALOR. PTO.]]=$B33,IF(DATOS_[[Check Periodo Ref.]:[Check Periodo Ref.]]="Dentro",IF(DATOS_[[Check Equiparado]:[Check Equiparado]]="Sí",IF(DATOS!BD$5="Sí",(1/DATOS_[[% anualiz]:[% anualiz]]),1)*IF(DATOS!BD$4="Sí",1/DATOS_[[% normaliz]:[% normaliz]],1)*(DATOS_[Conc.Sal.26])))))))),
0)</f>
        <v>0</v>
      </c>
      <c r="AJ34" s="101">
        <f t="array" ref="AJ34">IFERROR(
(AVERAGE((IF(DATOS_[[Sexo]:[Sexo]]=$B34,IF(DATOS_[[AGRUP. VALOR. PTO.]:[AGRUP. VALOR. PTO.]]=$B33,IF(DATOS_[[Check Periodo Ref.]:[Check Periodo Ref.]]="Dentro",IF(DATOS_[[Check Equiparado]:[Check Equiparado]]="Sí",IF(DATOS!BE$5="Sí",(1/DATOS_[[% anualiz]:[% anualiz]]),1)*IF(DATOS!BE$4="Sí",1/DATOS_[[% normaliz]:[% normaliz]],1)*(DATOS_[Conc.Sal.27])))))))),
0)</f>
        <v>0</v>
      </c>
      <c r="AK34" s="101">
        <f t="array" ref="AK34">IFERROR(
(AVERAGE((IF(DATOS_[[Sexo]:[Sexo]]=$B34,IF(DATOS_[[AGRUP. VALOR. PTO.]:[AGRUP. VALOR. PTO.]]=$B33,IF(DATOS_[[Check Periodo Ref.]:[Check Periodo Ref.]]="Dentro",IF(DATOS_[[Check Equiparado]:[Check Equiparado]]="Sí",IF(DATOS!BF$5="Sí",(1/DATOS_[[% anualiz]:[% anualiz]]),1)*IF(DATOS!BF$4="Sí",1/DATOS_[[% normaliz]:[% normaliz]],1)*(DATOS_[Conc.Sal.28])))))))),
0)</f>
        <v>0</v>
      </c>
      <c r="AL34" s="101">
        <f t="array" ref="AL34">IFERROR(
(AVERAGE((IF(DATOS_[[Sexo]:[Sexo]]=$B34,IF(DATOS_[[AGRUP. VALOR. PTO.]:[AGRUP. VALOR. PTO.]]=$B33,IF(DATOS_[[Check Periodo Ref.]:[Check Periodo Ref.]]="Dentro",IF(DATOS_[[Check Equiparado]:[Check Equiparado]]="Sí",IF(DATOS!BG$5="Sí",(1/DATOS_[[% anualiz]:[% anualiz]]),1)*IF(DATOS!BG$4="Sí",1/DATOS_[[% normaliz]:[% normaliz]],1)*(DATOS_[Conc.Sal.29])))))))),
0)</f>
        <v>0</v>
      </c>
      <c r="AM34" s="101">
        <f t="array" ref="AM34">IFERROR(
(AVERAGE((IF(DATOS_[[Sexo]:[Sexo]]=$B34,IF(DATOS_[[AGRUP. VALOR. PTO.]:[AGRUP. VALOR. PTO.]]=$B33,IF(DATOS_[[Check Periodo Ref.]:[Check Periodo Ref.]]="Dentro",IF(DATOS_[[Check Equiparado]:[Check Equiparado]]="Sí",IF(DATOS!BH$5="Sí",(1/DATOS_[[% anualiz]:[% anualiz]]),1)*IF(DATOS!BH$4="Sí",1/DATOS_[[% normaliz]:[% normaliz]],1)*(DATOS_[Conc.Sal.30])))))))),
0)</f>
        <v>0</v>
      </c>
      <c r="AN34" s="102">
        <f t="array" ref="AN34">IFERROR(
AVERAGE(IF(DATOS_[Sexo]=$B34,IF(DATOS_[[AGRUP. VALOR. PTO.]:[AGRUP. VALOR. PTO.]]=$B33,IF(DATOS_[Check Equiparado]="Sí",IF(DATOS_[Check Periodo Ref.]="Dentro",DATOS_[Tot COMPL.SAL Eq],FALSE))))),
0)</f>
        <v>0</v>
      </c>
      <c r="AO34" s="103">
        <f t="array" ref="AO34">IFERROR(
AVERAGE(IF(DATOS_[Sexo]=$B34,IF(DATOS_[[AGRUP. VALOR. PTO.]:[AGRUP. VALOR. PTO.]]=$B33,IF(DATOS_[Check Equiparado]="Sí",IF(DATOS_[Check Periodo Ref.]="Dentro",DATOS_[TOTAL SALARIO Eq],FALSE))))),
0)</f>
        <v>0</v>
      </c>
      <c r="AP34" s="104">
        <f t="array" ref="AP34">IFERROR(
(AVERAGE((IF(DATOS_[[Sexo]:[Sexo]]=$B34,IF(DATOS_[[AGRUP. VALOR. PTO.]:[AGRUP. VALOR. PTO.]]=$B33,IF(DATOS_[[Check Periodo Ref.]:[Check Periodo Ref.]]="Dentro",IF(DATOS_[[Check Equiparado]:[Check Equiparado]]="Sí",IF(DATOS!BI$5="Sí",(1/DATOS_[[% anualiz]:[% anualiz]]),1)*IF(DATOS!BI$4="Sí",1/DATOS_[[% normaliz]:[% normaliz]],1)*(DATOS_[C.Extra.01])))))))),
0)</f>
        <v>0</v>
      </c>
      <c r="AQ34" s="104">
        <f t="array" ref="AQ34">IFERROR(
(AVERAGE((IF(DATOS_[[Sexo]:[Sexo]]=$B34,IF(DATOS_[[AGRUP. VALOR. PTO.]:[AGRUP. VALOR. PTO.]]=$B33,IF(DATOS_[[Check Periodo Ref.]:[Check Periodo Ref.]]="Dentro",IF(DATOS_[[Check Equiparado]:[Check Equiparado]]="Sí",IF(DATOS!BJ$5="Sí",(1/DATOS_[[% anualiz]:[% anualiz]]),1)*IF(DATOS!BJ$4="Sí",1/DATOS_[[% normaliz]:[% normaliz]],1)*(DATOS_[C.Extra.02])))))))),
0)</f>
        <v>0</v>
      </c>
      <c r="AR34" s="104">
        <f t="array" ref="AR34">IFERROR(
(AVERAGE((IF(DATOS_[[Sexo]:[Sexo]]=$B34,IF(DATOS_[[AGRUP. VALOR. PTO.]:[AGRUP. VALOR. PTO.]]=$B33,IF(DATOS_[[Check Periodo Ref.]:[Check Periodo Ref.]]="Dentro",IF(DATOS_[[Check Equiparado]:[Check Equiparado]]="Sí",IF(DATOS!BK$5="Sí",(1/DATOS_[[% anualiz]:[% anualiz]]),1)*IF(DATOS!BK$4="Sí",1/DATOS_[[% normaliz]:[% normaliz]],1)*(DATOS_[C.Extra.03])))))))),
0)</f>
        <v>0</v>
      </c>
      <c r="AS34" s="104">
        <f t="array" ref="AS34">IFERROR(
(AVERAGE((IF(DATOS_[[Sexo]:[Sexo]]=$B34,IF(DATOS_[[AGRUP. VALOR. PTO.]:[AGRUP. VALOR. PTO.]]=$B33,IF(DATOS_[[Check Periodo Ref.]:[Check Periodo Ref.]]="Dentro",IF(DATOS_[[Check Equiparado]:[Check Equiparado]]="Sí",IF(DATOS!BL$5="Sí",(1/DATOS_[[% anualiz]:[% anualiz]]),1)*IF(DATOS!BL$4="Sí",1/DATOS_[[% normaliz]:[% normaliz]],1)*(DATOS_[C.Extra.04])))))))),
0)</f>
        <v>0</v>
      </c>
      <c r="AT34" s="104">
        <f t="array" ref="AT34">IFERROR(
(AVERAGE((IF(DATOS_[[Sexo]:[Sexo]]=$B34,IF(DATOS_[[AGRUP. VALOR. PTO.]:[AGRUP. VALOR. PTO.]]=$B33,IF(DATOS_[[Check Periodo Ref.]:[Check Periodo Ref.]]="Dentro",IF(DATOS_[[Check Equiparado]:[Check Equiparado]]="Sí",IF(DATOS!BM$5="Sí",(1/DATOS_[[% anualiz]:[% anualiz]]),1)*IF(DATOS!BM$4="Sí",1/DATOS_[[% normaliz]:[% normaliz]],1)*(DATOS_[C.Extra.05])))))))),
0)</f>
        <v>0</v>
      </c>
      <c r="AU34" s="105">
        <f t="array" ref="AU34">IFERROR(
AVERAGE(IF(DATOS_[Sexo]=$B34,IF(DATOS_[[AGRUP. VALOR. PTO.]:[AGRUP. VALOR. PTO.]]=$B33,IF(DATOS_[Check Equiparado]="Sí",IF(DATOS_[Check Periodo Ref.]="Dentro",DATOS_[Tot Extrasalarial Eq],FALSE))))),
0)</f>
        <v>0</v>
      </c>
      <c r="AV34" s="106">
        <f t="array" ref="AV34">IFERROR(
AVERAGE(IF(DATOS_[Sexo]=$B34,IF(DATOS_[[AGRUP. VALOR. PTO.]:[AGRUP. VALOR. PTO.]]=$B33,IF(DATOS_[Check Equiparado]="Sí",IF(DATOS_[Check Periodo Ref.]="Dentro",DATOS_[TOTAL Retrib Eq],FALSE))))),
0)</f>
        <v>0</v>
      </c>
    </row>
    <row r="35" spans="1:48" hidden="1" x14ac:dyDescent="0.3">
      <c r="A35" s="53" t="str">
        <f t="shared" ref="A35" si="30">+A34</f>
        <v>[ocultar]</v>
      </c>
      <c r="B35" s="57" t="s">
        <v>163</v>
      </c>
      <c r="C35" s="56">
        <f t="array" ref="C35">SUM(IF($B35=DATOS_[Sexo],
IF($B33=DATOS_[AGRUP. VALOR. PTO.],
IF("Dentro"=DATOS_[Check Periodo Ref.],
1/(COUNTIFS(DATOS_[Sexo],$B35,DATOS_[AGRUP. VALOR. PTO.],$B33,DATOS_[Check Periodo Ref.],"Dentro",DATOS_[id],DATOS_[id]))))))</f>
        <v>0</v>
      </c>
      <c r="D35" s="58">
        <f>COUNTIFS(DATOS_[AGRUP. VALOR. PTO.],$B33,DATOS_[Sexo],$B35,DATOS_[Check Periodo Ref.],"Dentro")</f>
        <v>0</v>
      </c>
      <c r="E35" s="58">
        <f>COUNTIFS(DATOS_[AGRUP. VALOR. PTO.],$B33,DATOS_[Sexo],$B35,DATOS_[Check Periodo Ref.],"Dentro",DATOS_[Check Nº SC Norm],"Sí")</f>
        <v>0</v>
      </c>
      <c r="F35" s="58">
        <f>COUNTIFS(DATOS_[AGRUP. VALOR. PTO.],$B33,DATOS_[Sexo],$B35,DATOS_[Check Periodo Ref.],"Dentro",DATOS_[Check Nº SC Anualiz],"Sí")</f>
        <v>0</v>
      </c>
      <c r="G35" s="58">
        <f>COUNTIFS(DATOS_[AGRUP. VALOR. PTO.],$B33,DATOS_[Sexo],$B35,DATOS_[Check Periodo Ref.],"Dentro",DATOS_[Check Nº SC Norm y Anualiz],"Sí")</f>
        <v>0</v>
      </c>
      <c r="H35" s="58">
        <f>COUNTIFS(DATOS_[AGRUP. VALOR. PTO.],$B33,DATOS_[Sexo],$B35,DATOS_[Check Periodo Ref.],"Dentro",DATOS_[Check Equiparación],"Sí")</f>
        <v>0</v>
      </c>
      <c r="I35" s="100" cm="1">
        <f t="array" ref="I35">IFERROR(
AVERAGE(IF(DATOS_[Sexo]=$B35,IF(DATOS_[[AGRUP. VALOR. PTO.]:[AGRUP. VALOR. PTO.]]=$B33,IF(DATOS_[Check Equiparado]="Sí",IF(DATOS_[Check Periodo Ref.]="Dentro",DATOS_[SALARIO BASE Eq],FALSE))))),
0)</f>
        <v>0</v>
      </c>
      <c r="J35" s="101">
        <f t="array" ref="J35">IFERROR(
(AVERAGE((IF(DATOS_[[Sexo]:[Sexo]]=$B35,IF(DATOS_[[AGRUP. VALOR. PTO.]:[AGRUP. VALOR. PTO.]]=$B33,IF(DATOS_[[Check Periodo Ref.]:[Check Periodo Ref.]]="Dentro",IF(DATOS_[[Check Equiparado]:[Check Equiparado]]="Sí",IF(DATOS!AE$5="Sí",(1/DATOS_[[% anualiz]:[% anualiz]]),1)*IF(DATOS!AE$4="Sí",1/DATOS_[[% normaliz]:[% normaliz]],1)*(DATOS_[Conc.Sal.01])))))))),
0)</f>
        <v>0</v>
      </c>
      <c r="K35" s="101">
        <f t="array" ref="K35">IFERROR(
(AVERAGE((IF(DATOS_[[Sexo]:[Sexo]]=$B35,IF(DATOS_[[AGRUP. VALOR. PTO.]:[AGRUP. VALOR. PTO.]]=$B33,IF(DATOS_[[Check Periodo Ref.]:[Check Periodo Ref.]]="Dentro",IF(DATOS_[[Check Equiparado]:[Check Equiparado]]="Sí",IF(DATOS!AF$5="Sí",(1/DATOS_[[% anualiz]:[% anualiz]]),1)*IF(DATOS!AF$4="Sí",1/DATOS_[[% normaliz]:[% normaliz]],1)*(DATOS_[Conc.Sal.02])))))))),
0)</f>
        <v>0</v>
      </c>
      <c r="L35" s="101">
        <f t="array" ref="L35">IFERROR(
(AVERAGE((IF(DATOS_[[Sexo]:[Sexo]]=$B35,IF(DATOS_[[AGRUP. VALOR. PTO.]:[AGRUP. VALOR. PTO.]]=$B33,IF(DATOS_[[Check Periodo Ref.]:[Check Periodo Ref.]]="Dentro",IF(DATOS_[[Check Equiparado]:[Check Equiparado]]="Sí",IF(DATOS!AG$5="Sí",(1/DATOS_[[% anualiz]:[% anualiz]]),1)*IF(DATOS!AG$4="Sí",1/DATOS_[[% normaliz]:[% normaliz]],1)*(DATOS_[Conc.Sal.03])))))))),
0)</f>
        <v>0</v>
      </c>
      <c r="M35" s="101">
        <f t="array" ref="M35">IFERROR(
(AVERAGE((IF(DATOS_[[Sexo]:[Sexo]]=$B35,IF(DATOS_[[AGRUP. VALOR. PTO.]:[AGRUP. VALOR. PTO.]]=$B33,IF(DATOS_[[Check Periodo Ref.]:[Check Periodo Ref.]]="Dentro",IF(DATOS_[[Check Equiparado]:[Check Equiparado]]="Sí",IF(DATOS!AH$5="Sí",(1/DATOS_[[% anualiz]:[% anualiz]]),1)*IF(DATOS!AH$4="Sí",1/DATOS_[[% normaliz]:[% normaliz]],1)*(DATOS_[Conc.Sal.04])))))))),
0)</f>
        <v>0</v>
      </c>
      <c r="N35" s="101">
        <f t="array" ref="N35">IFERROR(
(AVERAGE((IF(DATOS_[[Sexo]:[Sexo]]=$B35,IF(DATOS_[[AGRUP. VALOR. PTO.]:[AGRUP. VALOR. PTO.]]=$B33,IF(DATOS_[[Check Periodo Ref.]:[Check Periodo Ref.]]="Dentro",IF(DATOS_[[Check Equiparado]:[Check Equiparado]]="Sí",IF(DATOS!AI$5="Sí",(1/DATOS_[[% anualiz]:[% anualiz]]),1)*IF(DATOS!AI$4="Sí",1/DATOS_[[% normaliz]:[% normaliz]],1)*(DATOS_[Conc.Sal.05])))))))),
0)</f>
        <v>0</v>
      </c>
      <c r="O35" s="101">
        <f t="array" ref="O35">IFERROR(
(AVERAGE((IF(DATOS_[[Sexo]:[Sexo]]=$B35,IF(DATOS_[[AGRUP. VALOR. PTO.]:[AGRUP. VALOR. PTO.]]=$B33,IF(DATOS_[[Check Periodo Ref.]:[Check Periodo Ref.]]="Dentro",IF(DATOS_[[Check Equiparado]:[Check Equiparado]]="Sí",IF(DATOS!AJ$5="Sí",(1/DATOS_[[% anualiz]:[% anualiz]]),1)*IF(DATOS!AJ$4="Sí",1/DATOS_[[% normaliz]:[% normaliz]],1)*(DATOS_[Conc.Sal.06])))))))),
0)</f>
        <v>0</v>
      </c>
      <c r="P35" s="101">
        <f t="array" ref="P35">IFERROR(
(AVERAGE((IF(DATOS_[[Sexo]:[Sexo]]=$B35,IF(DATOS_[[AGRUP. VALOR. PTO.]:[AGRUP. VALOR. PTO.]]=$B33,IF(DATOS_[[Check Periodo Ref.]:[Check Periodo Ref.]]="Dentro",IF(DATOS_[[Check Equiparado]:[Check Equiparado]]="Sí",IF(DATOS!AK$5="Sí",(1/DATOS_[[% anualiz]:[% anualiz]]),1)*IF(DATOS!AK$4="Sí",1/DATOS_[[% normaliz]:[% normaliz]],1)*(DATOS_[Conc.Sal.07])))))))),
0)</f>
        <v>0</v>
      </c>
      <c r="Q35" s="101">
        <f t="array" ref="Q35">IFERROR(
(AVERAGE((IF(DATOS_[[Sexo]:[Sexo]]=$B35,IF(DATOS_[[AGRUP. VALOR. PTO.]:[AGRUP. VALOR. PTO.]]=$B33,IF(DATOS_[[Check Periodo Ref.]:[Check Periodo Ref.]]="Dentro",IF(DATOS_[[Check Equiparado]:[Check Equiparado]]="Sí",IF(DATOS!AL$5="Sí",(1/DATOS_[[% anualiz]:[% anualiz]]),1)*IF(DATOS!AL$4="Sí",1/DATOS_[[% normaliz]:[% normaliz]],1)*(DATOS_[Conc.Sal.08])))))))),
0)</f>
        <v>0</v>
      </c>
      <c r="R35" s="101">
        <f t="array" ref="R35">IFERROR(
(AVERAGE((IF(DATOS_[[Sexo]:[Sexo]]=$B35,IF(DATOS_[[AGRUP. VALOR. PTO.]:[AGRUP. VALOR. PTO.]]=$B33,IF(DATOS_[[Check Periodo Ref.]:[Check Periodo Ref.]]="Dentro",IF(DATOS_[[Check Equiparado]:[Check Equiparado]]="Sí",IF(DATOS!AM$5="Sí",(1/DATOS_[[% anualiz]:[% anualiz]]),1)*IF(DATOS!AM$4="Sí",1/DATOS_[[% normaliz]:[% normaliz]],1)*(DATOS_[Conc.Sal.09])))))))),
0)</f>
        <v>0</v>
      </c>
      <c r="S35" s="101">
        <f t="array" ref="S35">IFERROR(
(AVERAGE((IF(DATOS_[[Sexo]:[Sexo]]=$B35,IF(DATOS_[[AGRUP. VALOR. PTO.]:[AGRUP. VALOR. PTO.]]=$B33,IF(DATOS_[[Check Periodo Ref.]:[Check Periodo Ref.]]="Dentro",IF(DATOS_[[Check Equiparado]:[Check Equiparado]]="Sí",IF(DATOS!AN$5="Sí",(1/DATOS_[[% anualiz]:[% anualiz]]),1)*IF(DATOS!AN$4="Sí",1/DATOS_[[% normaliz]:[% normaliz]],1)*(DATOS_[Conc.Sal.10])))))))),
0)</f>
        <v>0</v>
      </c>
      <c r="T35" s="101">
        <f t="array" ref="T35">IFERROR(
(AVERAGE((IF(DATOS_[[Sexo]:[Sexo]]=$B35,IF(DATOS_[[AGRUP. VALOR. PTO.]:[AGRUP. VALOR. PTO.]]=$B33,IF(DATOS_[[Check Periodo Ref.]:[Check Periodo Ref.]]="Dentro",IF(DATOS_[[Check Equiparado]:[Check Equiparado]]="Sí",IF(DATOS!AO$5="Sí",(1/DATOS_[[% anualiz]:[% anualiz]]),1)*IF(DATOS!AO$4="Sí",1/DATOS_[[% normaliz]:[% normaliz]],1)*(DATOS_[Conc.Sal.11])))))))),
0)</f>
        <v>0</v>
      </c>
      <c r="U35" s="101">
        <f t="array" ref="U35">IFERROR(
(AVERAGE((IF(DATOS_[[Sexo]:[Sexo]]=$B35,IF(DATOS_[[AGRUP. VALOR. PTO.]:[AGRUP. VALOR. PTO.]]=$B33,IF(DATOS_[[Check Periodo Ref.]:[Check Periodo Ref.]]="Dentro",IF(DATOS_[[Check Equiparado]:[Check Equiparado]]="Sí",IF(DATOS!AP$5="Sí",(1/DATOS_[[% anualiz]:[% anualiz]]),1)*IF(DATOS!AP$4="Sí",1/DATOS_[[% normaliz]:[% normaliz]],1)*(DATOS_[Conc.Sal.12])))))))),
0)</f>
        <v>0</v>
      </c>
      <c r="V35" s="101">
        <f t="array" ref="V35">IFERROR(
(AVERAGE((IF(DATOS_[[Sexo]:[Sexo]]=$B35,IF(DATOS_[[AGRUP. VALOR. PTO.]:[AGRUP. VALOR. PTO.]]=$B33,IF(DATOS_[[Check Periodo Ref.]:[Check Periodo Ref.]]="Dentro",IF(DATOS_[[Check Equiparado]:[Check Equiparado]]="Sí",IF(DATOS!AQ$5="Sí",(1/DATOS_[[% anualiz]:[% anualiz]]),1)*IF(DATOS!AQ$4="Sí",1/DATOS_[[% normaliz]:[% normaliz]],1)*(DATOS_[Conc.Sal.13])))))))),
0)</f>
        <v>0</v>
      </c>
      <c r="W35" s="101">
        <f t="array" ref="W35">IFERROR(
(AVERAGE((IF(DATOS_[[Sexo]:[Sexo]]=$B35,IF(DATOS_[[AGRUP. VALOR. PTO.]:[AGRUP. VALOR. PTO.]]=$B33,IF(DATOS_[[Check Periodo Ref.]:[Check Periodo Ref.]]="Dentro",IF(DATOS_[[Check Equiparado]:[Check Equiparado]]="Sí",IF(DATOS!AR$5="Sí",(1/DATOS_[[% anualiz]:[% anualiz]]),1)*IF(DATOS!AR$4="Sí",1/DATOS_[[% normaliz]:[% normaliz]],1)*(DATOS_[Conc.Sal.14])))))))),
0)</f>
        <v>0</v>
      </c>
      <c r="X35" s="101">
        <f t="array" ref="X35">IFERROR(
(AVERAGE((IF(DATOS_[[Sexo]:[Sexo]]=$B35,IF(DATOS_[[AGRUP. VALOR. PTO.]:[AGRUP. VALOR. PTO.]]=$B33,IF(DATOS_[[Check Periodo Ref.]:[Check Periodo Ref.]]="Dentro",IF(DATOS_[[Check Equiparado]:[Check Equiparado]]="Sí",IF(DATOS!AS$5="Sí",(1/DATOS_[[% anualiz]:[% anualiz]]),1)*IF(DATOS!AS$4="Sí",1/DATOS_[[% normaliz]:[% normaliz]],1)*(DATOS_[Conc.Sal.15])))))))),
0)</f>
        <v>0</v>
      </c>
      <c r="Y35" s="101">
        <f t="array" ref="Y35">IFERROR(
(AVERAGE((IF(DATOS_[[Sexo]:[Sexo]]=$B35,IF(DATOS_[[AGRUP. VALOR. PTO.]:[AGRUP. VALOR. PTO.]]=$B33,IF(DATOS_[[Check Periodo Ref.]:[Check Periodo Ref.]]="Dentro",IF(DATOS_[[Check Equiparado]:[Check Equiparado]]="Sí",IF(DATOS!AT$5="Sí",(1/DATOS_[[% anualiz]:[% anualiz]]),1)*IF(DATOS!AT$4="Sí",1/DATOS_[[% normaliz]:[% normaliz]],1)*(DATOS_[Conc.Sal.16])))))))),
0)</f>
        <v>0</v>
      </c>
      <c r="Z35" s="101">
        <f t="array" ref="Z35">IFERROR(
(AVERAGE((IF(DATOS_[[Sexo]:[Sexo]]=$B35,IF(DATOS_[[AGRUP. VALOR. PTO.]:[AGRUP. VALOR. PTO.]]=$B33,IF(DATOS_[[Check Periodo Ref.]:[Check Periodo Ref.]]="Dentro",IF(DATOS_[[Check Equiparado]:[Check Equiparado]]="Sí",IF(DATOS!AU$5="Sí",(1/DATOS_[[% anualiz]:[% anualiz]]),1)*IF(DATOS!AU$4="Sí",1/DATOS_[[% normaliz]:[% normaliz]],1)*(DATOS_[Conc.Sal.17])))))))),
0)</f>
        <v>0</v>
      </c>
      <c r="AA35" s="101">
        <f t="array" ref="AA35">IFERROR(
(AVERAGE((IF(DATOS_[[Sexo]:[Sexo]]=$B35,IF(DATOS_[[AGRUP. VALOR. PTO.]:[AGRUP. VALOR. PTO.]]=$B33,IF(DATOS_[[Check Periodo Ref.]:[Check Periodo Ref.]]="Dentro",IF(DATOS_[[Check Equiparado]:[Check Equiparado]]="Sí",IF(DATOS!AV$5="Sí",(1/DATOS_[[% anualiz]:[% anualiz]]),1)*IF(DATOS!AV$4="Sí",1/DATOS_[[% normaliz]:[% normaliz]],1)*(DATOS_[Conc.Sal.18])))))))),
0)</f>
        <v>0</v>
      </c>
      <c r="AB35" s="101">
        <f t="array" ref="AB35">IFERROR(
(AVERAGE((IF(DATOS_[[Sexo]:[Sexo]]=$B35,IF(DATOS_[[AGRUP. VALOR. PTO.]:[AGRUP. VALOR. PTO.]]=$B33,IF(DATOS_[[Check Periodo Ref.]:[Check Periodo Ref.]]="Dentro",IF(DATOS_[[Check Equiparado]:[Check Equiparado]]="Sí",IF(DATOS!AW$5="Sí",(1/DATOS_[[% anualiz]:[% anualiz]]),1)*IF(DATOS!AW$4="Sí",1/DATOS_[[% normaliz]:[% normaliz]],1)*(DATOS_[Conc.Sal.19])))))))),
0)</f>
        <v>0</v>
      </c>
      <c r="AC35" s="101">
        <f t="array" ref="AC35">IFERROR(
(AVERAGE((IF(DATOS_[[Sexo]:[Sexo]]=$B35,IF(DATOS_[[AGRUP. VALOR. PTO.]:[AGRUP. VALOR. PTO.]]=$B33,IF(DATOS_[[Check Periodo Ref.]:[Check Periodo Ref.]]="Dentro",IF(DATOS_[[Check Equiparado]:[Check Equiparado]]="Sí",IF(DATOS!AX$5="Sí",(1/DATOS_[[% anualiz]:[% anualiz]]),1)*IF(DATOS!AX$4="Sí",1/DATOS_[[% normaliz]:[% normaliz]],1)*(DATOS_[Conc.Sal.20])))))))),
0)</f>
        <v>0</v>
      </c>
      <c r="AD35" s="101">
        <f t="array" ref="AD35">IFERROR(
(AVERAGE((IF(DATOS_[[Sexo]:[Sexo]]=$B35,IF(DATOS_[[AGRUP. VALOR. PTO.]:[AGRUP. VALOR. PTO.]]=$B33,IF(DATOS_[[Check Periodo Ref.]:[Check Periodo Ref.]]="Dentro",IF(DATOS_[[Check Equiparado]:[Check Equiparado]]="Sí",IF(DATOS!AY$5="Sí",(1/DATOS_[[% anualiz]:[% anualiz]]),1)*IF(DATOS!AY$4="Sí",1/DATOS_[[% normaliz]:[% normaliz]],1)*(DATOS_[Conc.Sal.21])))))))),
0)</f>
        <v>0</v>
      </c>
      <c r="AE35" s="101">
        <f t="array" ref="AE35">IFERROR(
(AVERAGE((IF(DATOS_[[Sexo]:[Sexo]]=$B35,IF(DATOS_[[AGRUP. VALOR. PTO.]:[AGRUP. VALOR. PTO.]]=$B33,IF(DATOS_[[Check Periodo Ref.]:[Check Periodo Ref.]]="Dentro",IF(DATOS_[[Check Equiparado]:[Check Equiparado]]="Sí",IF(DATOS!AZ$5="Sí",(1/DATOS_[[% anualiz]:[% anualiz]]),1)*IF(DATOS!AZ$4="Sí",1/DATOS_[[% normaliz]:[% normaliz]],1)*(DATOS_[Conc.Sal.22])))))))),
0)</f>
        <v>0</v>
      </c>
      <c r="AF35" s="101">
        <f t="array" ref="AF35">IFERROR(
(AVERAGE((IF(DATOS_[[Sexo]:[Sexo]]=$B35,IF(DATOS_[[AGRUP. VALOR. PTO.]:[AGRUP. VALOR. PTO.]]=$B33,IF(DATOS_[[Check Periodo Ref.]:[Check Periodo Ref.]]="Dentro",IF(DATOS_[[Check Equiparado]:[Check Equiparado]]="Sí",IF(DATOS!BA$5="Sí",(1/DATOS_[[% anualiz]:[% anualiz]]),1)*IF(DATOS!BA$4="Sí",1/DATOS_[[% normaliz]:[% normaliz]],1)*(DATOS_[Conc.Sal.23])))))))),
0)</f>
        <v>0</v>
      </c>
      <c r="AG35" s="101">
        <f t="array" ref="AG35">IFERROR(
(AVERAGE((IF(DATOS_[[Sexo]:[Sexo]]=$B35,IF(DATOS_[[AGRUP. VALOR. PTO.]:[AGRUP. VALOR. PTO.]]=$B33,IF(DATOS_[[Check Periodo Ref.]:[Check Periodo Ref.]]="Dentro",IF(DATOS_[[Check Equiparado]:[Check Equiparado]]="Sí",IF(DATOS!BB$5="Sí",(1/DATOS_[[% anualiz]:[% anualiz]]),1)*IF(DATOS!BB$4="Sí",1/DATOS_[[% normaliz]:[% normaliz]],1)*(DATOS_[Conc.Sal.24])))))))),
0)</f>
        <v>0</v>
      </c>
      <c r="AH35" s="101">
        <f t="array" ref="AH35">IFERROR(
(AVERAGE((IF(DATOS_[[Sexo]:[Sexo]]=$B35,IF(DATOS_[[AGRUP. VALOR. PTO.]:[AGRUP. VALOR. PTO.]]=$B33,IF(DATOS_[[Check Periodo Ref.]:[Check Periodo Ref.]]="Dentro",IF(DATOS_[[Check Equiparado]:[Check Equiparado]]="Sí",IF(DATOS!BC$5="Sí",(1/DATOS_[[% anualiz]:[% anualiz]]),1)*IF(DATOS!BC$4="Sí",1/DATOS_[[% normaliz]:[% normaliz]],1)*(DATOS_[Conc.Sal.25])))))))),
0)</f>
        <v>0</v>
      </c>
      <c r="AI35" s="101">
        <f t="array" ref="AI35">IFERROR(
(AVERAGE((IF(DATOS_[[Sexo]:[Sexo]]=$B35,IF(DATOS_[[AGRUP. VALOR. PTO.]:[AGRUP. VALOR. PTO.]]=$B33,IF(DATOS_[[Check Periodo Ref.]:[Check Periodo Ref.]]="Dentro",IF(DATOS_[[Check Equiparado]:[Check Equiparado]]="Sí",IF(DATOS!BD$5="Sí",(1/DATOS_[[% anualiz]:[% anualiz]]),1)*IF(DATOS!BD$4="Sí",1/DATOS_[[% normaliz]:[% normaliz]],1)*(DATOS_[Conc.Sal.26])))))))),
0)</f>
        <v>0</v>
      </c>
      <c r="AJ35" s="101">
        <f t="array" ref="AJ35">IFERROR(
(AVERAGE((IF(DATOS_[[Sexo]:[Sexo]]=$B35,IF(DATOS_[[AGRUP. VALOR. PTO.]:[AGRUP. VALOR. PTO.]]=$B33,IF(DATOS_[[Check Periodo Ref.]:[Check Periodo Ref.]]="Dentro",IF(DATOS_[[Check Equiparado]:[Check Equiparado]]="Sí",IF(DATOS!BE$5="Sí",(1/DATOS_[[% anualiz]:[% anualiz]]),1)*IF(DATOS!BE$4="Sí",1/DATOS_[[% normaliz]:[% normaliz]],1)*(DATOS_[Conc.Sal.27])))))))),
0)</f>
        <v>0</v>
      </c>
      <c r="AK35" s="101">
        <f t="array" ref="AK35">IFERROR(
(AVERAGE((IF(DATOS_[[Sexo]:[Sexo]]=$B35,IF(DATOS_[[AGRUP. VALOR. PTO.]:[AGRUP. VALOR. PTO.]]=$B33,IF(DATOS_[[Check Periodo Ref.]:[Check Periodo Ref.]]="Dentro",IF(DATOS_[[Check Equiparado]:[Check Equiparado]]="Sí",IF(DATOS!BF$5="Sí",(1/DATOS_[[% anualiz]:[% anualiz]]),1)*IF(DATOS!BF$4="Sí",1/DATOS_[[% normaliz]:[% normaliz]],1)*(DATOS_[Conc.Sal.28])))))))),
0)</f>
        <v>0</v>
      </c>
      <c r="AL35" s="101">
        <f t="array" ref="AL35">IFERROR(
(AVERAGE((IF(DATOS_[[Sexo]:[Sexo]]=$B35,IF(DATOS_[[AGRUP. VALOR. PTO.]:[AGRUP. VALOR. PTO.]]=$B33,IF(DATOS_[[Check Periodo Ref.]:[Check Periodo Ref.]]="Dentro",IF(DATOS_[[Check Equiparado]:[Check Equiparado]]="Sí",IF(DATOS!BG$5="Sí",(1/DATOS_[[% anualiz]:[% anualiz]]),1)*IF(DATOS!BG$4="Sí",1/DATOS_[[% normaliz]:[% normaliz]],1)*(DATOS_[Conc.Sal.29])))))))),
0)</f>
        <v>0</v>
      </c>
      <c r="AM35" s="101">
        <f t="array" ref="AM35">IFERROR(
(AVERAGE((IF(DATOS_[[Sexo]:[Sexo]]=$B35,IF(DATOS_[[AGRUP. VALOR. PTO.]:[AGRUP. VALOR. PTO.]]=$B33,IF(DATOS_[[Check Periodo Ref.]:[Check Periodo Ref.]]="Dentro",IF(DATOS_[[Check Equiparado]:[Check Equiparado]]="Sí",IF(DATOS!BH$5="Sí",(1/DATOS_[[% anualiz]:[% anualiz]]),1)*IF(DATOS!BH$4="Sí",1/DATOS_[[% normaliz]:[% normaliz]],1)*(DATOS_[Conc.Sal.30])))))))),
0)</f>
        <v>0</v>
      </c>
      <c r="AN35" s="102">
        <f t="array" ref="AN35">IFERROR(
AVERAGE(IF(DATOS_[Sexo]=$B35,IF(DATOS_[[AGRUP. VALOR. PTO.]:[AGRUP. VALOR. PTO.]]=$B33,IF(DATOS_[Check Equiparado]="Sí",IF(DATOS_[Check Periodo Ref.]="Dentro",DATOS_[Tot COMPL.SAL Eq],FALSE))))),
0)</f>
        <v>0</v>
      </c>
      <c r="AO35" s="103">
        <f t="array" ref="AO35">IFERROR(
AVERAGE(IF(DATOS_[Sexo]=$B35,IF(DATOS_[[AGRUP. VALOR. PTO.]:[AGRUP. VALOR. PTO.]]=$B33,IF(DATOS_[Check Equiparado]="Sí",IF(DATOS_[Check Periodo Ref.]="Dentro",DATOS_[TOTAL SALARIO Eq],FALSE))))),
0)</f>
        <v>0</v>
      </c>
      <c r="AP35" s="104">
        <f t="array" ref="AP35">IFERROR(
(AVERAGE((IF(DATOS_[[Sexo]:[Sexo]]=$B35,IF(DATOS_[[AGRUP. VALOR. PTO.]:[AGRUP. VALOR. PTO.]]=$B33,IF(DATOS_[[Check Periodo Ref.]:[Check Periodo Ref.]]="Dentro",IF(DATOS_[[Check Equiparado]:[Check Equiparado]]="Sí",IF(DATOS!BI$5="Sí",(1/DATOS_[[% anualiz]:[% anualiz]]),1)*IF(DATOS!BI$4="Sí",1/DATOS_[[% normaliz]:[% normaliz]],1)*(DATOS_[C.Extra.01])))))))),
0)</f>
        <v>0</v>
      </c>
      <c r="AQ35" s="104">
        <f t="array" ref="AQ35">IFERROR(
(AVERAGE((IF(DATOS_[[Sexo]:[Sexo]]=$B35,IF(DATOS_[[AGRUP. VALOR. PTO.]:[AGRUP. VALOR. PTO.]]=$B33,IF(DATOS_[[Check Periodo Ref.]:[Check Periodo Ref.]]="Dentro",IF(DATOS_[[Check Equiparado]:[Check Equiparado]]="Sí",IF(DATOS!BJ$5="Sí",(1/DATOS_[[% anualiz]:[% anualiz]]),1)*IF(DATOS!BJ$4="Sí",1/DATOS_[[% normaliz]:[% normaliz]],1)*(DATOS_[C.Extra.02])))))))),
0)</f>
        <v>0</v>
      </c>
      <c r="AR35" s="104">
        <f t="array" ref="AR35">IFERROR(
(AVERAGE((IF(DATOS_[[Sexo]:[Sexo]]=$B35,IF(DATOS_[[AGRUP. VALOR. PTO.]:[AGRUP. VALOR. PTO.]]=$B33,IF(DATOS_[[Check Periodo Ref.]:[Check Periodo Ref.]]="Dentro",IF(DATOS_[[Check Equiparado]:[Check Equiparado]]="Sí",IF(DATOS!BK$5="Sí",(1/DATOS_[[% anualiz]:[% anualiz]]),1)*IF(DATOS!BK$4="Sí",1/DATOS_[[% normaliz]:[% normaliz]],1)*(DATOS_[C.Extra.03])))))))),
0)</f>
        <v>0</v>
      </c>
      <c r="AS35" s="104">
        <f t="array" ref="AS35">IFERROR(
(AVERAGE((IF(DATOS_[[Sexo]:[Sexo]]=$B35,IF(DATOS_[[AGRUP. VALOR. PTO.]:[AGRUP. VALOR. PTO.]]=$B33,IF(DATOS_[[Check Periodo Ref.]:[Check Periodo Ref.]]="Dentro",IF(DATOS_[[Check Equiparado]:[Check Equiparado]]="Sí",IF(DATOS!BL$5="Sí",(1/DATOS_[[% anualiz]:[% anualiz]]),1)*IF(DATOS!BL$4="Sí",1/DATOS_[[% normaliz]:[% normaliz]],1)*(DATOS_[C.Extra.04])))))))),
0)</f>
        <v>0</v>
      </c>
      <c r="AT35" s="104">
        <f t="array" ref="AT35">IFERROR(
(AVERAGE((IF(DATOS_[[Sexo]:[Sexo]]=$B35,IF(DATOS_[[AGRUP. VALOR. PTO.]:[AGRUP. VALOR. PTO.]]=$B33,IF(DATOS_[[Check Periodo Ref.]:[Check Periodo Ref.]]="Dentro",IF(DATOS_[[Check Equiparado]:[Check Equiparado]]="Sí",IF(DATOS!BM$5="Sí",(1/DATOS_[[% anualiz]:[% anualiz]]),1)*IF(DATOS!BM$4="Sí",1/DATOS_[[% normaliz]:[% normaliz]],1)*(DATOS_[C.Extra.05])))))))),
0)</f>
        <v>0</v>
      </c>
      <c r="AU35" s="105">
        <f t="array" ref="AU35">IFERROR(
AVERAGE(IF(DATOS_[Sexo]=$B35,IF(DATOS_[[AGRUP. VALOR. PTO.]:[AGRUP. VALOR. PTO.]]=$B33,IF(DATOS_[Check Equiparado]="Sí",IF(DATOS_[Check Periodo Ref.]="Dentro",DATOS_[Tot Extrasalarial Eq],FALSE))))),
0)</f>
        <v>0</v>
      </c>
      <c r="AV35" s="106">
        <f t="array" ref="AV35">IFERROR(
AVERAGE(IF(DATOS_[Sexo]=$B35,IF(DATOS_[[AGRUP. VALOR. PTO.]:[AGRUP. VALOR. PTO.]]=$B33,IF(DATOS_[Check Equiparado]="Sí",IF(DATOS_[Check Periodo Ref.]="Dentro",DATOS_[TOTAL Retrib Eq],FALSE))))),
0)</f>
        <v>0</v>
      </c>
    </row>
    <row r="36" spans="1:48" ht="17.25" hidden="1" thickBot="1" x14ac:dyDescent="0.35">
      <c r="A36" s="53" t="str">
        <f t="shared" ref="A36" si="31">+A37</f>
        <v>[ocultar]</v>
      </c>
      <c r="B36" s="62" t="s">
        <v>302</v>
      </c>
      <c r="C36" s="99"/>
      <c r="D36" s="63"/>
      <c r="E36" s="63"/>
      <c r="F36" s="63"/>
      <c r="G36" s="63"/>
      <c r="H36" s="63"/>
      <c r="I36" s="129" t="str">
        <f t="shared" ref="I36:AV36" si="32">IFERROR((I37-I38)/I37,"")</f>
        <v/>
      </c>
      <c r="J36" s="130" t="str">
        <f t="shared" si="32"/>
        <v/>
      </c>
      <c r="K36" s="131" t="str">
        <f t="shared" si="32"/>
        <v/>
      </c>
      <c r="L36" s="131" t="str">
        <f t="shared" si="32"/>
        <v/>
      </c>
      <c r="M36" s="131" t="str">
        <f t="shared" si="32"/>
        <v/>
      </c>
      <c r="N36" s="132" t="str">
        <f t="shared" si="32"/>
        <v/>
      </c>
      <c r="O36" s="133" t="str">
        <f t="shared" si="32"/>
        <v/>
      </c>
      <c r="P36" s="133" t="str">
        <f t="shared" si="32"/>
        <v/>
      </c>
      <c r="Q36" s="133" t="str">
        <f t="shared" si="32"/>
        <v/>
      </c>
      <c r="R36" s="133" t="str">
        <f t="shared" si="32"/>
        <v/>
      </c>
      <c r="S36" s="133" t="str">
        <f t="shared" si="32"/>
        <v/>
      </c>
      <c r="T36" s="133" t="str">
        <f t="shared" si="32"/>
        <v/>
      </c>
      <c r="U36" s="133" t="str">
        <f t="shared" si="32"/>
        <v/>
      </c>
      <c r="V36" s="133" t="str">
        <f t="shared" si="32"/>
        <v/>
      </c>
      <c r="W36" s="133" t="str">
        <f t="shared" si="32"/>
        <v/>
      </c>
      <c r="X36" s="133" t="str">
        <f t="shared" si="32"/>
        <v/>
      </c>
      <c r="Y36" s="133" t="str">
        <f t="shared" si="32"/>
        <v/>
      </c>
      <c r="Z36" s="132" t="str">
        <f t="shared" si="32"/>
        <v/>
      </c>
      <c r="AA36" s="132" t="str">
        <f t="shared" si="32"/>
        <v/>
      </c>
      <c r="AB36" s="132" t="str">
        <f t="shared" si="32"/>
        <v/>
      </c>
      <c r="AC36" s="132" t="str">
        <f t="shared" si="32"/>
        <v/>
      </c>
      <c r="AD36" s="132" t="str">
        <f t="shared" si="32"/>
        <v/>
      </c>
      <c r="AE36" s="132" t="str">
        <f t="shared" si="32"/>
        <v/>
      </c>
      <c r="AF36" s="132" t="str">
        <f t="shared" si="32"/>
        <v/>
      </c>
      <c r="AG36" s="132" t="str">
        <f t="shared" si="32"/>
        <v/>
      </c>
      <c r="AH36" s="132" t="str">
        <f t="shared" si="32"/>
        <v/>
      </c>
      <c r="AI36" s="132" t="str">
        <f t="shared" si="32"/>
        <v/>
      </c>
      <c r="AJ36" s="132" t="str">
        <f t="shared" si="32"/>
        <v/>
      </c>
      <c r="AK36" s="132" t="str">
        <f t="shared" si="32"/>
        <v/>
      </c>
      <c r="AL36" s="132" t="str">
        <f t="shared" si="32"/>
        <v/>
      </c>
      <c r="AM36" s="132" t="str">
        <f t="shared" si="32"/>
        <v/>
      </c>
      <c r="AN36" s="134" t="str">
        <f t="shared" si="32"/>
        <v/>
      </c>
      <c r="AO36" s="138" t="str">
        <f t="shared" si="32"/>
        <v/>
      </c>
      <c r="AP36" s="135" t="str">
        <f t="shared" si="32"/>
        <v/>
      </c>
      <c r="AQ36" s="135" t="str">
        <f t="shared" si="32"/>
        <v/>
      </c>
      <c r="AR36" s="135" t="str">
        <f t="shared" si="32"/>
        <v/>
      </c>
      <c r="AS36" s="135" t="str">
        <f t="shared" si="32"/>
        <v/>
      </c>
      <c r="AT36" s="135" t="str">
        <f t="shared" si="32"/>
        <v/>
      </c>
      <c r="AU36" s="136" t="str">
        <f t="shared" si="32"/>
        <v/>
      </c>
      <c r="AV36" s="137" t="str">
        <f t="shared" si="32"/>
        <v/>
      </c>
    </row>
    <row r="37" spans="1:48" hidden="1" x14ac:dyDescent="0.3">
      <c r="A37" s="53" t="str">
        <f t="shared" ref="A37" si="33">+IF(C37+C38=0,"[ocultar]","")</f>
        <v>[ocultar]</v>
      </c>
      <c r="B37" s="57" t="s">
        <v>162</v>
      </c>
      <c r="C37" s="56">
        <f t="array" ref="C37">SUM(IF($B37=DATOS_[Sexo],
IF($B36=DATOS_[AGRUP. VALOR. PTO.],
IF("Dentro"=DATOS_[Check Periodo Ref.],
1/(COUNTIFS(DATOS_[Sexo],$B37,DATOS_[AGRUP. VALOR. PTO.],$B36,DATOS_[Check Periodo Ref.],"Dentro",DATOS_[id],DATOS_[id]))))))</f>
        <v>0</v>
      </c>
      <c r="D37" s="58">
        <f>COUNTIFS(DATOS_[AGRUP. VALOR. PTO.],$B36,DATOS_[Sexo],$B37,DATOS_[Check Periodo Ref.],"Dentro")</f>
        <v>0</v>
      </c>
      <c r="E37" s="58">
        <f>COUNTIFS(DATOS_[AGRUP. VALOR. PTO.],$B36,DATOS_[Sexo],$B37,DATOS_[Check Periodo Ref.],"Dentro",DATOS_[Check Nº SC Norm],"Sí")</f>
        <v>0</v>
      </c>
      <c r="F37" s="58">
        <f>COUNTIFS(DATOS_[AGRUP. VALOR. PTO.],$B36,DATOS_[Sexo],$B37,DATOS_[Check Periodo Ref.],"Dentro",DATOS_[Check Nº SC Anualiz],"Sí")</f>
        <v>0</v>
      </c>
      <c r="G37" s="58">
        <f>COUNTIFS(DATOS_[AGRUP. VALOR. PTO.],$B36,DATOS_[Sexo],$B37,DATOS_[Check Periodo Ref.],"Dentro",DATOS_[Check Nº SC Norm y Anualiz],"Sí")</f>
        <v>0</v>
      </c>
      <c r="H37" s="58">
        <f>COUNTIFS(DATOS_[AGRUP. VALOR. PTO.],$B36,DATOS_[Sexo],$B37,DATOS_[Check Periodo Ref.],"Dentro",DATOS_[Check Equiparación],"Sí")</f>
        <v>0</v>
      </c>
      <c r="I37" s="100">
        <f t="array" ref="I37">IFERROR(
AVERAGE(IF(DATOS_[Sexo]=$B37,IF(DATOS_[[AGRUP. VALOR. PTO.]:[AGRUP. VALOR. PTO.]]=$B36,IF(DATOS_[Check Equiparado]="Sí",IF(DATOS_[Check Periodo Ref.]="Dentro",DATOS_[SALARIO BASE Eq],FALSE))))),
0)</f>
        <v>0</v>
      </c>
      <c r="J37" s="101">
        <f t="array" ref="J37">IFERROR(
(AVERAGE((IF(DATOS_[[Sexo]:[Sexo]]=$B37,IF(DATOS_[[AGRUP. VALOR. PTO.]:[AGRUP. VALOR. PTO.]]=$B36,IF(DATOS_[[Check Periodo Ref.]:[Check Periodo Ref.]]="Dentro",IF(DATOS_[[Check Equiparado]:[Check Equiparado]]="Sí",IF(DATOS!AE$5="Sí",(1/DATOS_[[% anualiz]:[% anualiz]]),1)*IF(DATOS!AE$4="Sí",1/DATOS_[[% normaliz]:[% normaliz]],1)*(DATOS_[Conc.Sal.01])))))))),
0)</f>
        <v>0</v>
      </c>
      <c r="K37" s="101">
        <f t="array" ref="K37">IFERROR(
(AVERAGE((IF(DATOS_[[Sexo]:[Sexo]]=$B37,IF(DATOS_[[AGRUP. VALOR. PTO.]:[AGRUP. VALOR. PTO.]]=$B36,IF(DATOS_[[Check Periodo Ref.]:[Check Periodo Ref.]]="Dentro",IF(DATOS_[[Check Equiparado]:[Check Equiparado]]="Sí",IF(DATOS!AF$5="Sí",(1/DATOS_[[% anualiz]:[% anualiz]]),1)*IF(DATOS!AF$4="Sí",1/DATOS_[[% normaliz]:[% normaliz]],1)*(DATOS_[Conc.Sal.02])))))))),
0)</f>
        <v>0</v>
      </c>
      <c r="L37" s="101">
        <f t="array" ref="L37">IFERROR(
(AVERAGE((IF(DATOS_[[Sexo]:[Sexo]]=$B37,IF(DATOS_[[AGRUP. VALOR. PTO.]:[AGRUP. VALOR. PTO.]]=$B36,IF(DATOS_[[Check Periodo Ref.]:[Check Periodo Ref.]]="Dentro",IF(DATOS_[[Check Equiparado]:[Check Equiparado]]="Sí",IF(DATOS!AG$5="Sí",(1/DATOS_[[% anualiz]:[% anualiz]]),1)*IF(DATOS!AG$4="Sí",1/DATOS_[[% normaliz]:[% normaliz]],1)*(DATOS_[Conc.Sal.03])))))))),
0)</f>
        <v>0</v>
      </c>
      <c r="M37" s="101">
        <f t="array" ref="M37">IFERROR(
(AVERAGE((IF(DATOS_[[Sexo]:[Sexo]]=$B37,IF(DATOS_[[AGRUP. VALOR. PTO.]:[AGRUP. VALOR. PTO.]]=$B36,IF(DATOS_[[Check Periodo Ref.]:[Check Periodo Ref.]]="Dentro",IF(DATOS_[[Check Equiparado]:[Check Equiparado]]="Sí",IF(DATOS!AH$5="Sí",(1/DATOS_[[% anualiz]:[% anualiz]]),1)*IF(DATOS!AH$4="Sí",1/DATOS_[[% normaliz]:[% normaliz]],1)*(DATOS_[Conc.Sal.04])))))))),
0)</f>
        <v>0</v>
      </c>
      <c r="N37" s="101">
        <f t="array" ref="N37">IFERROR(
(AVERAGE((IF(DATOS_[[Sexo]:[Sexo]]=$B37,IF(DATOS_[[AGRUP. VALOR. PTO.]:[AGRUP. VALOR. PTO.]]=$B36,IF(DATOS_[[Check Periodo Ref.]:[Check Periodo Ref.]]="Dentro",IF(DATOS_[[Check Equiparado]:[Check Equiparado]]="Sí",IF(DATOS!AI$5="Sí",(1/DATOS_[[% anualiz]:[% anualiz]]),1)*IF(DATOS!AI$4="Sí",1/DATOS_[[% normaliz]:[% normaliz]],1)*(DATOS_[Conc.Sal.05])))))))),
0)</f>
        <v>0</v>
      </c>
      <c r="O37" s="101">
        <f t="array" ref="O37">IFERROR(
(AVERAGE((IF(DATOS_[[Sexo]:[Sexo]]=$B37,IF(DATOS_[[AGRUP. VALOR. PTO.]:[AGRUP. VALOR. PTO.]]=$B36,IF(DATOS_[[Check Periodo Ref.]:[Check Periodo Ref.]]="Dentro",IF(DATOS_[[Check Equiparado]:[Check Equiparado]]="Sí",IF(DATOS!AJ$5="Sí",(1/DATOS_[[% anualiz]:[% anualiz]]),1)*IF(DATOS!AJ$4="Sí",1/DATOS_[[% normaliz]:[% normaliz]],1)*(DATOS_[Conc.Sal.06])))))))),
0)</f>
        <v>0</v>
      </c>
      <c r="P37" s="101">
        <f t="array" ref="P37">IFERROR(
(AVERAGE((IF(DATOS_[[Sexo]:[Sexo]]=$B37,IF(DATOS_[[AGRUP. VALOR. PTO.]:[AGRUP. VALOR. PTO.]]=$B36,IF(DATOS_[[Check Periodo Ref.]:[Check Periodo Ref.]]="Dentro",IF(DATOS_[[Check Equiparado]:[Check Equiparado]]="Sí",IF(DATOS!AK$5="Sí",(1/DATOS_[[% anualiz]:[% anualiz]]),1)*IF(DATOS!AK$4="Sí",1/DATOS_[[% normaliz]:[% normaliz]],1)*(DATOS_[Conc.Sal.07])))))))),
0)</f>
        <v>0</v>
      </c>
      <c r="Q37" s="101">
        <f t="array" ref="Q37">IFERROR(
(AVERAGE((IF(DATOS_[[Sexo]:[Sexo]]=$B37,IF(DATOS_[[AGRUP. VALOR. PTO.]:[AGRUP. VALOR. PTO.]]=$B36,IF(DATOS_[[Check Periodo Ref.]:[Check Periodo Ref.]]="Dentro",IF(DATOS_[[Check Equiparado]:[Check Equiparado]]="Sí",IF(DATOS!AL$5="Sí",(1/DATOS_[[% anualiz]:[% anualiz]]),1)*IF(DATOS!AL$4="Sí",1/DATOS_[[% normaliz]:[% normaliz]],1)*(DATOS_[Conc.Sal.08])))))))),
0)</f>
        <v>0</v>
      </c>
      <c r="R37" s="101">
        <f t="array" ref="R37">IFERROR(
(AVERAGE((IF(DATOS_[[Sexo]:[Sexo]]=$B37,IF(DATOS_[[AGRUP. VALOR. PTO.]:[AGRUP. VALOR. PTO.]]=$B36,IF(DATOS_[[Check Periodo Ref.]:[Check Periodo Ref.]]="Dentro",IF(DATOS_[[Check Equiparado]:[Check Equiparado]]="Sí",IF(DATOS!AM$5="Sí",(1/DATOS_[[% anualiz]:[% anualiz]]),1)*IF(DATOS!AM$4="Sí",1/DATOS_[[% normaliz]:[% normaliz]],1)*(DATOS_[Conc.Sal.09])))))))),
0)</f>
        <v>0</v>
      </c>
      <c r="S37" s="101">
        <f t="array" ref="S37">IFERROR(
(AVERAGE((IF(DATOS_[[Sexo]:[Sexo]]=$B37,IF(DATOS_[[AGRUP. VALOR. PTO.]:[AGRUP. VALOR. PTO.]]=$B36,IF(DATOS_[[Check Periodo Ref.]:[Check Periodo Ref.]]="Dentro",IF(DATOS_[[Check Equiparado]:[Check Equiparado]]="Sí",IF(DATOS!AN$5="Sí",(1/DATOS_[[% anualiz]:[% anualiz]]),1)*IF(DATOS!AN$4="Sí",1/DATOS_[[% normaliz]:[% normaliz]],1)*(DATOS_[Conc.Sal.10])))))))),
0)</f>
        <v>0</v>
      </c>
      <c r="T37" s="101">
        <f t="array" ref="T37">IFERROR(
(AVERAGE((IF(DATOS_[[Sexo]:[Sexo]]=$B37,IF(DATOS_[[AGRUP. VALOR. PTO.]:[AGRUP. VALOR. PTO.]]=$B36,IF(DATOS_[[Check Periodo Ref.]:[Check Periodo Ref.]]="Dentro",IF(DATOS_[[Check Equiparado]:[Check Equiparado]]="Sí",IF(DATOS!AO$5="Sí",(1/DATOS_[[% anualiz]:[% anualiz]]),1)*IF(DATOS!AO$4="Sí",1/DATOS_[[% normaliz]:[% normaliz]],1)*(DATOS_[Conc.Sal.11])))))))),
0)</f>
        <v>0</v>
      </c>
      <c r="U37" s="101">
        <f t="array" ref="U37">IFERROR(
(AVERAGE((IF(DATOS_[[Sexo]:[Sexo]]=$B37,IF(DATOS_[[AGRUP. VALOR. PTO.]:[AGRUP. VALOR. PTO.]]=$B36,IF(DATOS_[[Check Periodo Ref.]:[Check Periodo Ref.]]="Dentro",IF(DATOS_[[Check Equiparado]:[Check Equiparado]]="Sí",IF(DATOS!AP$5="Sí",(1/DATOS_[[% anualiz]:[% anualiz]]),1)*IF(DATOS!AP$4="Sí",1/DATOS_[[% normaliz]:[% normaliz]],1)*(DATOS_[Conc.Sal.12])))))))),
0)</f>
        <v>0</v>
      </c>
      <c r="V37" s="101">
        <f t="array" ref="V37">IFERROR(
(AVERAGE((IF(DATOS_[[Sexo]:[Sexo]]=$B37,IF(DATOS_[[AGRUP. VALOR. PTO.]:[AGRUP. VALOR. PTO.]]=$B36,IF(DATOS_[[Check Periodo Ref.]:[Check Periodo Ref.]]="Dentro",IF(DATOS_[[Check Equiparado]:[Check Equiparado]]="Sí",IF(DATOS!AQ$5="Sí",(1/DATOS_[[% anualiz]:[% anualiz]]),1)*IF(DATOS!AQ$4="Sí",1/DATOS_[[% normaliz]:[% normaliz]],1)*(DATOS_[Conc.Sal.13])))))))),
0)</f>
        <v>0</v>
      </c>
      <c r="W37" s="101">
        <f t="array" ref="W37">IFERROR(
(AVERAGE((IF(DATOS_[[Sexo]:[Sexo]]=$B37,IF(DATOS_[[AGRUP. VALOR. PTO.]:[AGRUP. VALOR. PTO.]]=$B36,IF(DATOS_[[Check Periodo Ref.]:[Check Periodo Ref.]]="Dentro",IF(DATOS_[[Check Equiparado]:[Check Equiparado]]="Sí",IF(DATOS!AR$5="Sí",(1/DATOS_[[% anualiz]:[% anualiz]]),1)*IF(DATOS!AR$4="Sí",1/DATOS_[[% normaliz]:[% normaliz]],1)*(DATOS_[Conc.Sal.14])))))))),
0)</f>
        <v>0</v>
      </c>
      <c r="X37" s="101">
        <f t="array" ref="X37">IFERROR(
(AVERAGE((IF(DATOS_[[Sexo]:[Sexo]]=$B37,IF(DATOS_[[AGRUP. VALOR. PTO.]:[AGRUP. VALOR. PTO.]]=$B36,IF(DATOS_[[Check Periodo Ref.]:[Check Periodo Ref.]]="Dentro",IF(DATOS_[[Check Equiparado]:[Check Equiparado]]="Sí",IF(DATOS!AS$5="Sí",(1/DATOS_[[% anualiz]:[% anualiz]]),1)*IF(DATOS!AS$4="Sí",1/DATOS_[[% normaliz]:[% normaliz]],1)*(DATOS_[Conc.Sal.15])))))))),
0)</f>
        <v>0</v>
      </c>
      <c r="Y37" s="101">
        <f t="array" ref="Y37">IFERROR(
(AVERAGE((IF(DATOS_[[Sexo]:[Sexo]]=$B37,IF(DATOS_[[AGRUP. VALOR. PTO.]:[AGRUP. VALOR. PTO.]]=$B36,IF(DATOS_[[Check Periodo Ref.]:[Check Periodo Ref.]]="Dentro",IF(DATOS_[[Check Equiparado]:[Check Equiparado]]="Sí",IF(DATOS!AT$5="Sí",(1/DATOS_[[% anualiz]:[% anualiz]]),1)*IF(DATOS!AT$4="Sí",1/DATOS_[[% normaliz]:[% normaliz]],1)*(DATOS_[Conc.Sal.16])))))))),
0)</f>
        <v>0</v>
      </c>
      <c r="Z37" s="101">
        <f t="array" ref="Z37">IFERROR(
(AVERAGE((IF(DATOS_[[Sexo]:[Sexo]]=$B37,IF(DATOS_[[AGRUP. VALOR. PTO.]:[AGRUP. VALOR. PTO.]]=$B36,IF(DATOS_[[Check Periodo Ref.]:[Check Periodo Ref.]]="Dentro",IF(DATOS_[[Check Equiparado]:[Check Equiparado]]="Sí",IF(DATOS!AU$5="Sí",(1/DATOS_[[% anualiz]:[% anualiz]]),1)*IF(DATOS!AU$4="Sí",1/DATOS_[[% normaliz]:[% normaliz]],1)*(DATOS_[Conc.Sal.17])))))))),
0)</f>
        <v>0</v>
      </c>
      <c r="AA37" s="101">
        <f t="array" ref="AA37">IFERROR(
(AVERAGE((IF(DATOS_[[Sexo]:[Sexo]]=$B37,IF(DATOS_[[AGRUP. VALOR. PTO.]:[AGRUP. VALOR. PTO.]]=$B36,IF(DATOS_[[Check Periodo Ref.]:[Check Periodo Ref.]]="Dentro",IF(DATOS_[[Check Equiparado]:[Check Equiparado]]="Sí",IF(DATOS!AV$5="Sí",(1/DATOS_[[% anualiz]:[% anualiz]]),1)*IF(DATOS!AV$4="Sí",1/DATOS_[[% normaliz]:[% normaliz]],1)*(DATOS_[Conc.Sal.18])))))))),
0)</f>
        <v>0</v>
      </c>
      <c r="AB37" s="101">
        <f t="array" ref="AB37">IFERROR(
(AVERAGE((IF(DATOS_[[Sexo]:[Sexo]]=$B37,IF(DATOS_[[AGRUP. VALOR. PTO.]:[AGRUP. VALOR. PTO.]]=$B36,IF(DATOS_[[Check Periodo Ref.]:[Check Periodo Ref.]]="Dentro",IF(DATOS_[[Check Equiparado]:[Check Equiparado]]="Sí",IF(DATOS!AW$5="Sí",(1/DATOS_[[% anualiz]:[% anualiz]]),1)*IF(DATOS!AW$4="Sí",1/DATOS_[[% normaliz]:[% normaliz]],1)*(DATOS_[Conc.Sal.19])))))))),
0)</f>
        <v>0</v>
      </c>
      <c r="AC37" s="101">
        <f t="array" ref="AC37">IFERROR(
(AVERAGE((IF(DATOS_[[Sexo]:[Sexo]]=$B37,IF(DATOS_[[AGRUP. VALOR. PTO.]:[AGRUP. VALOR. PTO.]]=$B36,IF(DATOS_[[Check Periodo Ref.]:[Check Periodo Ref.]]="Dentro",IF(DATOS_[[Check Equiparado]:[Check Equiparado]]="Sí",IF(DATOS!AX$5="Sí",(1/DATOS_[[% anualiz]:[% anualiz]]),1)*IF(DATOS!AX$4="Sí",1/DATOS_[[% normaliz]:[% normaliz]],1)*(DATOS_[Conc.Sal.20])))))))),
0)</f>
        <v>0</v>
      </c>
      <c r="AD37" s="101">
        <f t="array" ref="AD37">IFERROR(
(AVERAGE((IF(DATOS_[[Sexo]:[Sexo]]=$B37,IF(DATOS_[[AGRUP. VALOR. PTO.]:[AGRUP. VALOR. PTO.]]=$B36,IF(DATOS_[[Check Periodo Ref.]:[Check Periodo Ref.]]="Dentro",IF(DATOS_[[Check Equiparado]:[Check Equiparado]]="Sí",IF(DATOS!AY$5="Sí",(1/DATOS_[[% anualiz]:[% anualiz]]),1)*IF(DATOS!AY$4="Sí",1/DATOS_[[% normaliz]:[% normaliz]],1)*(DATOS_[Conc.Sal.21])))))))),
0)</f>
        <v>0</v>
      </c>
      <c r="AE37" s="101">
        <f t="array" ref="AE37">IFERROR(
(AVERAGE((IF(DATOS_[[Sexo]:[Sexo]]=$B37,IF(DATOS_[[AGRUP. VALOR. PTO.]:[AGRUP. VALOR. PTO.]]=$B36,IF(DATOS_[[Check Periodo Ref.]:[Check Periodo Ref.]]="Dentro",IF(DATOS_[[Check Equiparado]:[Check Equiparado]]="Sí",IF(DATOS!AZ$5="Sí",(1/DATOS_[[% anualiz]:[% anualiz]]),1)*IF(DATOS!AZ$4="Sí",1/DATOS_[[% normaliz]:[% normaliz]],1)*(DATOS_[Conc.Sal.22])))))))),
0)</f>
        <v>0</v>
      </c>
      <c r="AF37" s="101">
        <f t="array" ref="AF37">IFERROR(
(AVERAGE((IF(DATOS_[[Sexo]:[Sexo]]=$B37,IF(DATOS_[[AGRUP. VALOR. PTO.]:[AGRUP. VALOR. PTO.]]=$B36,IF(DATOS_[[Check Periodo Ref.]:[Check Periodo Ref.]]="Dentro",IF(DATOS_[[Check Equiparado]:[Check Equiparado]]="Sí",IF(DATOS!BA$5="Sí",(1/DATOS_[[% anualiz]:[% anualiz]]),1)*IF(DATOS!BA$4="Sí",1/DATOS_[[% normaliz]:[% normaliz]],1)*(DATOS_[Conc.Sal.23])))))))),
0)</f>
        <v>0</v>
      </c>
      <c r="AG37" s="101">
        <f t="array" ref="AG37">IFERROR(
(AVERAGE((IF(DATOS_[[Sexo]:[Sexo]]=$B37,IF(DATOS_[[AGRUP. VALOR. PTO.]:[AGRUP. VALOR. PTO.]]=$B36,IF(DATOS_[[Check Periodo Ref.]:[Check Periodo Ref.]]="Dentro",IF(DATOS_[[Check Equiparado]:[Check Equiparado]]="Sí",IF(DATOS!BB$5="Sí",(1/DATOS_[[% anualiz]:[% anualiz]]),1)*IF(DATOS!BB$4="Sí",1/DATOS_[[% normaliz]:[% normaliz]],1)*(DATOS_[Conc.Sal.24])))))))),
0)</f>
        <v>0</v>
      </c>
      <c r="AH37" s="101">
        <f t="array" ref="AH37">IFERROR(
(AVERAGE((IF(DATOS_[[Sexo]:[Sexo]]=$B37,IF(DATOS_[[AGRUP. VALOR. PTO.]:[AGRUP. VALOR. PTO.]]=$B36,IF(DATOS_[[Check Periodo Ref.]:[Check Periodo Ref.]]="Dentro",IF(DATOS_[[Check Equiparado]:[Check Equiparado]]="Sí",IF(DATOS!BC$5="Sí",(1/DATOS_[[% anualiz]:[% anualiz]]),1)*IF(DATOS!BC$4="Sí",1/DATOS_[[% normaliz]:[% normaliz]],1)*(DATOS_[Conc.Sal.25])))))))),
0)</f>
        <v>0</v>
      </c>
      <c r="AI37" s="101">
        <f t="array" ref="AI37">IFERROR(
(AVERAGE((IF(DATOS_[[Sexo]:[Sexo]]=$B37,IF(DATOS_[[AGRUP. VALOR. PTO.]:[AGRUP. VALOR. PTO.]]=$B36,IF(DATOS_[[Check Periodo Ref.]:[Check Periodo Ref.]]="Dentro",IF(DATOS_[[Check Equiparado]:[Check Equiparado]]="Sí",IF(DATOS!BD$5="Sí",(1/DATOS_[[% anualiz]:[% anualiz]]),1)*IF(DATOS!BD$4="Sí",1/DATOS_[[% normaliz]:[% normaliz]],1)*(DATOS_[Conc.Sal.26])))))))),
0)</f>
        <v>0</v>
      </c>
      <c r="AJ37" s="101">
        <f t="array" ref="AJ37">IFERROR(
(AVERAGE((IF(DATOS_[[Sexo]:[Sexo]]=$B37,IF(DATOS_[[AGRUP. VALOR. PTO.]:[AGRUP. VALOR. PTO.]]=$B36,IF(DATOS_[[Check Periodo Ref.]:[Check Periodo Ref.]]="Dentro",IF(DATOS_[[Check Equiparado]:[Check Equiparado]]="Sí",IF(DATOS!BE$5="Sí",(1/DATOS_[[% anualiz]:[% anualiz]]),1)*IF(DATOS!BE$4="Sí",1/DATOS_[[% normaliz]:[% normaliz]],1)*(DATOS_[Conc.Sal.27])))))))),
0)</f>
        <v>0</v>
      </c>
      <c r="AK37" s="101">
        <f t="array" ref="AK37">IFERROR(
(AVERAGE((IF(DATOS_[[Sexo]:[Sexo]]=$B37,IF(DATOS_[[AGRUP. VALOR. PTO.]:[AGRUP. VALOR. PTO.]]=$B36,IF(DATOS_[[Check Periodo Ref.]:[Check Periodo Ref.]]="Dentro",IF(DATOS_[[Check Equiparado]:[Check Equiparado]]="Sí",IF(DATOS!BF$5="Sí",(1/DATOS_[[% anualiz]:[% anualiz]]),1)*IF(DATOS!BF$4="Sí",1/DATOS_[[% normaliz]:[% normaliz]],1)*(DATOS_[Conc.Sal.28])))))))),
0)</f>
        <v>0</v>
      </c>
      <c r="AL37" s="101">
        <f t="array" ref="AL37">IFERROR(
(AVERAGE((IF(DATOS_[[Sexo]:[Sexo]]=$B37,IF(DATOS_[[AGRUP. VALOR. PTO.]:[AGRUP. VALOR. PTO.]]=$B36,IF(DATOS_[[Check Periodo Ref.]:[Check Periodo Ref.]]="Dentro",IF(DATOS_[[Check Equiparado]:[Check Equiparado]]="Sí",IF(DATOS!BG$5="Sí",(1/DATOS_[[% anualiz]:[% anualiz]]),1)*IF(DATOS!BG$4="Sí",1/DATOS_[[% normaliz]:[% normaliz]],1)*(DATOS_[Conc.Sal.29])))))))),
0)</f>
        <v>0</v>
      </c>
      <c r="AM37" s="101">
        <f t="array" ref="AM37">IFERROR(
(AVERAGE((IF(DATOS_[[Sexo]:[Sexo]]=$B37,IF(DATOS_[[AGRUP. VALOR. PTO.]:[AGRUP. VALOR. PTO.]]=$B36,IF(DATOS_[[Check Periodo Ref.]:[Check Periodo Ref.]]="Dentro",IF(DATOS_[[Check Equiparado]:[Check Equiparado]]="Sí",IF(DATOS!BH$5="Sí",(1/DATOS_[[% anualiz]:[% anualiz]]),1)*IF(DATOS!BH$4="Sí",1/DATOS_[[% normaliz]:[% normaliz]],1)*(DATOS_[Conc.Sal.30])))))))),
0)</f>
        <v>0</v>
      </c>
      <c r="AN37" s="102">
        <f t="array" ref="AN37">IFERROR(
AVERAGE(IF(DATOS_[Sexo]=$B37,IF(DATOS_[[AGRUP. VALOR. PTO.]:[AGRUP. VALOR. PTO.]]=$B36,IF(DATOS_[Check Equiparado]="Sí",IF(DATOS_[Check Periodo Ref.]="Dentro",DATOS_[Tot COMPL.SAL Eq],FALSE))))),
0)</f>
        <v>0</v>
      </c>
      <c r="AO37" s="103">
        <f t="array" ref="AO37">IFERROR(
AVERAGE(IF(DATOS_[Sexo]=$B37,IF(DATOS_[[AGRUP. VALOR. PTO.]:[AGRUP. VALOR. PTO.]]=$B36,IF(DATOS_[Check Equiparado]="Sí",IF(DATOS_[Check Periodo Ref.]="Dentro",DATOS_[TOTAL SALARIO Eq],FALSE))))),
0)</f>
        <v>0</v>
      </c>
      <c r="AP37" s="104">
        <f t="array" ref="AP37">IFERROR(
(AVERAGE((IF(DATOS_[[Sexo]:[Sexo]]=$B37,IF(DATOS_[[AGRUP. VALOR. PTO.]:[AGRUP. VALOR. PTO.]]=$B36,IF(DATOS_[[Check Periodo Ref.]:[Check Periodo Ref.]]="Dentro",IF(DATOS_[[Check Equiparado]:[Check Equiparado]]="Sí",IF(DATOS!BI$5="Sí",(1/DATOS_[[% anualiz]:[% anualiz]]),1)*IF(DATOS!BI$4="Sí",1/DATOS_[[% normaliz]:[% normaliz]],1)*(DATOS_[C.Extra.01])))))))),
0)</f>
        <v>0</v>
      </c>
      <c r="AQ37" s="104">
        <f t="array" ref="AQ37">IFERROR(
(AVERAGE((IF(DATOS_[[Sexo]:[Sexo]]=$B37,IF(DATOS_[[AGRUP. VALOR. PTO.]:[AGRUP. VALOR. PTO.]]=$B36,IF(DATOS_[[Check Periodo Ref.]:[Check Periodo Ref.]]="Dentro",IF(DATOS_[[Check Equiparado]:[Check Equiparado]]="Sí",IF(DATOS!BJ$5="Sí",(1/DATOS_[[% anualiz]:[% anualiz]]),1)*IF(DATOS!BJ$4="Sí",1/DATOS_[[% normaliz]:[% normaliz]],1)*(DATOS_[C.Extra.02])))))))),
0)</f>
        <v>0</v>
      </c>
      <c r="AR37" s="104">
        <f t="array" ref="AR37">IFERROR(
(AVERAGE((IF(DATOS_[[Sexo]:[Sexo]]=$B37,IF(DATOS_[[AGRUP. VALOR. PTO.]:[AGRUP. VALOR. PTO.]]=$B36,IF(DATOS_[[Check Periodo Ref.]:[Check Periodo Ref.]]="Dentro",IF(DATOS_[[Check Equiparado]:[Check Equiparado]]="Sí",IF(DATOS!BK$5="Sí",(1/DATOS_[[% anualiz]:[% anualiz]]),1)*IF(DATOS!BK$4="Sí",1/DATOS_[[% normaliz]:[% normaliz]],1)*(DATOS_[C.Extra.03])))))))),
0)</f>
        <v>0</v>
      </c>
      <c r="AS37" s="104">
        <f t="array" ref="AS37">IFERROR(
(AVERAGE((IF(DATOS_[[Sexo]:[Sexo]]=$B37,IF(DATOS_[[AGRUP. VALOR. PTO.]:[AGRUP. VALOR. PTO.]]=$B36,IF(DATOS_[[Check Periodo Ref.]:[Check Periodo Ref.]]="Dentro",IF(DATOS_[[Check Equiparado]:[Check Equiparado]]="Sí",IF(DATOS!BL$5="Sí",(1/DATOS_[[% anualiz]:[% anualiz]]),1)*IF(DATOS!BL$4="Sí",1/DATOS_[[% normaliz]:[% normaliz]],1)*(DATOS_[C.Extra.04])))))))),
0)</f>
        <v>0</v>
      </c>
      <c r="AT37" s="104">
        <f t="array" ref="AT37">IFERROR(
(AVERAGE((IF(DATOS_[[Sexo]:[Sexo]]=$B37,IF(DATOS_[[AGRUP. VALOR. PTO.]:[AGRUP. VALOR. PTO.]]=$B36,IF(DATOS_[[Check Periodo Ref.]:[Check Periodo Ref.]]="Dentro",IF(DATOS_[[Check Equiparado]:[Check Equiparado]]="Sí",IF(DATOS!BM$5="Sí",(1/DATOS_[[% anualiz]:[% anualiz]]),1)*IF(DATOS!BM$4="Sí",1/DATOS_[[% normaliz]:[% normaliz]],1)*(DATOS_[C.Extra.05])))))))),
0)</f>
        <v>0</v>
      </c>
      <c r="AU37" s="105">
        <f t="array" ref="AU37">IFERROR(
AVERAGE(IF(DATOS_[Sexo]=$B37,IF(DATOS_[[AGRUP. VALOR. PTO.]:[AGRUP. VALOR. PTO.]]=$B36,IF(DATOS_[Check Equiparado]="Sí",IF(DATOS_[Check Periodo Ref.]="Dentro",DATOS_[Tot Extrasalarial Eq],FALSE))))),
0)</f>
        <v>0</v>
      </c>
      <c r="AV37" s="106">
        <f t="array" ref="AV37">IFERROR(
AVERAGE(IF(DATOS_[Sexo]=$B37,IF(DATOS_[[AGRUP. VALOR. PTO.]:[AGRUP. VALOR. PTO.]]=$B36,IF(DATOS_[Check Equiparado]="Sí",IF(DATOS_[Check Periodo Ref.]="Dentro",DATOS_[TOTAL Retrib Eq],FALSE))))),
0)</f>
        <v>0</v>
      </c>
    </row>
    <row r="38" spans="1:48" hidden="1" x14ac:dyDescent="0.3">
      <c r="A38" s="53" t="str">
        <f t="shared" ref="A38" si="34">+A37</f>
        <v>[ocultar]</v>
      </c>
      <c r="B38" s="57" t="s">
        <v>163</v>
      </c>
      <c r="C38" s="56">
        <f t="array" ref="C38">SUM(IF($B38=DATOS_[Sexo],
IF($B36=DATOS_[AGRUP. VALOR. PTO.],
IF("Dentro"=DATOS_[Check Periodo Ref.],
1/(COUNTIFS(DATOS_[Sexo],$B38,DATOS_[AGRUP. VALOR. PTO.],$B36,DATOS_[Check Periodo Ref.],"Dentro",DATOS_[id],DATOS_[id]))))))</f>
        <v>0</v>
      </c>
      <c r="D38" s="58">
        <f>COUNTIFS(DATOS_[AGRUP. VALOR. PTO.],$B36,DATOS_[Sexo],$B38,DATOS_[Check Periodo Ref.],"Dentro")</f>
        <v>0</v>
      </c>
      <c r="E38" s="58">
        <f>COUNTIFS(DATOS_[AGRUP. VALOR. PTO.],$B36,DATOS_[Sexo],$B38,DATOS_[Check Periodo Ref.],"Dentro",DATOS_[Check Nº SC Norm],"Sí")</f>
        <v>0</v>
      </c>
      <c r="F38" s="58">
        <f>COUNTIFS(DATOS_[AGRUP. VALOR. PTO.],$B36,DATOS_[Sexo],$B38,DATOS_[Check Periodo Ref.],"Dentro",DATOS_[Check Nº SC Anualiz],"Sí")</f>
        <v>0</v>
      </c>
      <c r="G38" s="58">
        <f>COUNTIFS(DATOS_[AGRUP. VALOR. PTO.],$B36,DATOS_[Sexo],$B38,DATOS_[Check Periodo Ref.],"Dentro",DATOS_[Check Nº SC Norm y Anualiz],"Sí")</f>
        <v>0</v>
      </c>
      <c r="H38" s="58">
        <f>COUNTIFS(DATOS_[AGRUP. VALOR. PTO.],$B36,DATOS_[Sexo],$B38,DATOS_[Check Periodo Ref.],"Dentro",DATOS_[Check Equiparación],"Sí")</f>
        <v>0</v>
      </c>
      <c r="I38" s="100" cm="1">
        <f t="array" ref="I38">IFERROR(
AVERAGE(IF(DATOS_[Sexo]=$B38,IF(DATOS_[[AGRUP. VALOR. PTO.]:[AGRUP. VALOR. PTO.]]=$B36,IF(DATOS_[Check Equiparado]="Sí",IF(DATOS_[Check Periodo Ref.]="Dentro",DATOS_[SALARIO BASE Eq],FALSE))))),
0)</f>
        <v>0</v>
      </c>
      <c r="J38" s="101">
        <f t="array" ref="J38">IFERROR(
(AVERAGE((IF(DATOS_[[Sexo]:[Sexo]]=$B38,IF(DATOS_[[AGRUP. VALOR. PTO.]:[AGRUP. VALOR. PTO.]]=$B36,IF(DATOS_[[Check Periodo Ref.]:[Check Periodo Ref.]]="Dentro",IF(DATOS_[[Check Equiparado]:[Check Equiparado]]="Sí",IF(DATOS!AE$5="Sí",(1/DATOS_[[% anualiz]:[% anualiz]]),1)*IF(DATOS!AE$4="Sí",1/DATOS_[[% normaliz]:[% normaliz]],1)*(DATOS_[Conc.Sal.01])))))))),
0)</f>
        <v>0</v>
      </c>
      <c r="K38" s="101">
        <f t="array" ref="K38">IFERROR(
(AVERAGE((IF(DATOS_[[Sexo]:[Sexo]]=$B38,IF(DATOS_[[AGRUP. VALOR. PTO.]:[AGRUP. VALOR. PTO.]]=$B36,IF(DATOS_[[Check Periodo Ref.]:[Check Periodo Ref.]]="Dentro",IF(DATOS_[[Check Equiparado]:[Check Equiparado]]="Sí",IF(DATOS!AF$5="Sí",(1/DATOS_[[% anualiz]:[% anualiz]]),1)*IF(DATOS!AF$4="Sí",1/DATOS_[[% normaliz]:[% normaliz]],1)*(DATOS_[Conc.Sal.02])))))))),
0)</f>
        <v>0</v>
      </c>
      <c r="L38" s="101">
        <f t="array" ref="L38">IFERROR(
(AVERAGE((IF(DATOS_[[Sexo]:[Sexo]]=$B38,IF(DATOS_[[AGRUP. VALOR. PTO.]:[AGRUP. VALOR. PTO.]]=$B36,IF(DATOS_[[Check Periodo Ref.]:[Check Periodo Ref.]]="Dentro",IF(DATOS_[[Check Equiparado]:[Check Equiparado]]="Sí",IF(DATOS!AG$5="Sí",(1/DATOS_[[% anualiz]:[% anualiz]]),1)*IF(DATOS!AG$4="Sí",1/DATOS_[[% normaliz]:[% normaliz]],1)*(DATOS_[Conc.Sal.03])))))))),
0)</f>
        <v>0</v>
      </c>
      <c r="M38" s="101">
        <f t="array" ref="M38">IFERROR(
(AVERAGE((IF(DATOS_[[Sexo]:[Sexo]]=$B38,IF(DATOS_[[AGRUP. VALOR. PTO.]:[AGRUP. VALOR. PTO.]]=$B36,IF(DATOS_[[Check Periodo Ref.]:[Check Periodo Ref.]]="Dentro",IF(DATOS_[[Check Equiparado]:[Check Equiparado]]="Sí",IF(DATOS!AH$5="Sí",(1/DATOS_[[% anualiz]:[% anualiz]]),1)*IF(DATOS!AH$4="Sí",1/DATOS_[[% normaliz]:[% normaliz]],1)*(DATOS_[Conc.Sal.04])))))))),
0)</f>
        <v>0</v>
      </c>
      <c r="N38" s="101">
        <f t="array" ref="N38">IFERROR(
(AVERAGE((IF(DATOS_[[Sexo]:[Sexo]]=$B38,IF(DATOS_[[AGRUP. VALOR. PTO.]:[AGRUP. VALOR. PTO.]]=$B36,IF(DATOS_[[Check Periodo Ref.]:[Check Periodo Ref.]]="Dentro",IF(DATOS_[[Check Equiparado]:[Check Equiparado]]="Sí",IF(DATOS!AI$5="Sí",(1/DATOS_[[% anualiz]:[% anualiz]]),1)*IF(DATOS!AI$4="Sí",1/DATOS_[[% normaliz]:[% normaliz]],1)*(DATOS_[Conc.Sal.05])))))))),
0)</f>
        <v>0</v>
      </c>
      <c r="O38" s="101">
        <f t="array" ref="O38">IFERROR(
(AVERAGE((IF(DATOS_[[Sexo]:[Sexo]]=$B38,IF(DATOS_[[AGRUP. VALOR. PTO.]:[AGRUP. VALOR. PTO.]]=$B36,IF(DATOS_[[Check Periodo Ref.]:[Check Periodo Ref.]]="Dentro",IF(DATOS_[[Check Equiparado]:[Check Equiparado]]="Sí",IF(DATOS!AJ$5="Sí",(1/DATOS_[[% anualiz]:[% anualiz]]),1)*IF(DATOS!AJ$4="Sí",1/DATOS_[[% normaliz]:[% normaliz]],1)*(DATOS_[Conc.Sal.06])))))))),
0)</f>
        <v>0</v>
      </c>
      <c r="P38" s="101">
        <f t="array" ref="P38">IFERROR(
(AVERAGE((IF(DATOS_[[Sexo]:[Sexo]]=$B38,IF(DATOS_[[AGRUP. VALOR. PTO.]:[AGRUP. VALOR. PTO.]]=$B36,IF(DATOS_[[Check Periodo Ref.]:[Check Periodo Ref.]]="Dentro",IF(DATOS_[[Check Equiparado]:[Check Equiparado]]="Sí",IF(DATOS!AK$5="Sí",(1/DATOS_[[% anualiz]:[% anualiz]]),1)*IF(DATOS!AK$4="Sí",1/DATOS_[[% normaliz]:[% normaliz]],1)*(DATOS_[Conc.Sal.07])))))))),
0)</f>
        <v>0</v>
      </c>
      <c r="Q38" s="101">
        <f t="array" ref="Q38">IFERROR(
(AVERAGE((IF(DATOS_[[Sexo]:[Sexo]]=$B38,IF(DATOS_[[AGRUP. VALOR. PTO.]:[AGRUP. VALOR. PTO.]]=$B36,IF(DATOS_[[Check Periodo Ref.]:[Check Periodo Ref.]]="Dentro",IF(DATOS_[[Check Equiparado]:[Check Equiparado]]="Sí",IF(DATOS!AL$5="Sí",(1/DATOS_[[% anualiz]:[% anualiz]]),1)*IF(DATOS!AL$4="Sí",1/DATOS_[[% normaliz]:[% normaliz]],1)*(DATOS_[Conc.Sal.08])))))))),
0)</f>
        <v>0</v>
      </c>
      <c r="R38" s="101">
        <f t="array" ref="R38">IFERROR(
(AVERAGE((IF(DATOS_[[Sexo]:[Sexo]]=$B38,IF(DATOS_[[AGRUP. VALOR. PTO.]:[AGRUP. VALOR. PTO.]]=$B36,IF(DATOS_[[Check Periodo Ref.]:[Check Periodo Ref.]]="Dentro",IF(DATOS_[[Check Equiparado]:[Check Equiparado]]="Sí",IF(DATOS!AM$5="Sí",(1/DATOS_[[% anualiz]:[% anualiz]]),1)*IF(DATOS!AM$4="Sí",1/DATOS_[[% normaliz]:[% normaliz]],1)*(DATOS_[Conc.Sal.09])))))))),
0)</f>
        <v>0</v>
      </c>
      <c r="S38" s="101">
        <f t="array" ref="S38">IFERROR(
(AVERAGE((IF(DATOS_[[Sexo]:[Sexo]]=$B38,IF(DATOS_[[AGRUP. VALOR. PTO.]:[AGRUP. VALOR. PTO.]]=$B36,IF(DATOS_[[Check Periodo Ref.]:[Check Periodo Ref.]]="Dentro",IF(DATOS_[[Check Equiparado]:[Check Equiparado]]="Sí",IF(DATOS!AN$5="Sí",(1/DATOS_[[% anualiz]:[% anualiz]]),1)*IF(DATOS!AN$4="Sí",1/DATOS_[[% normaliz]:[% normaliz]],1)*(DATOS_[Conc.Sal.10])))))))),
0)</f>
        <v>0</v>
      </c>
      <c r="T38" s="101">
        <f t="array" ref="T38">IFERROR(
(AVERAGE((IF(DATOS_[[Sexo]:[Sexo]]=$B38,IF(DATOS_[[AGRUP. VALOR. PTO.]:[AGRUP. VALOR. PTO.]]=$B36,IF(DATOS_[[Check Periodo Ref.]:[Check Periodo Ref.]]="Dentro",IF(DATOS_[[Check Equiparado]:[Check Equiparado]]="Sí",IF(DATOS!AO$5="Sí",(1/DATOS_[[% anualiz]:[% anualiz]]),1)*IF(DATOS!AO$4="Sí",1/DATOS_[[% normaliz]:[% normaliz]],1)*(DATOS_[Conc.Sal.11])))))))),
0)</f>
        <v>0</v>
      </c>
      <c r="U38" s="101">
        <f t="array" ref="U38">IFERROR(
(AVERAGE((IF(DATOS_[[Sexo]:[Sexo]]=$B38,IF(DATOS_[[AGRUP. VALOR. PTO.]:[AGRUP. VALOR. PTO.]]=$B36,IF(DATOS_[[Check Periodo Ref.]:[Check Periodo Ref.]]="Dentro",IF(DATOS_[[Check Equiparado]:[Check Equiparado]]="Sí",IF(DATOS!AP$5="Sí",(1/DATOS_[[% anualiz]:[% anualiz]]),1)*IF(DATOS!AP$4="Sí",1/DATOS_[[% normaliz]:[% normaliz]],1)*(DATOS_[Conc.Sal.12])))))))),
0)</f>
        <v>0</v>
      </c>
      <c r="V38" s="101">
        <f t="array" ref="V38">IFERROR(
(AVERAGE((IF(DATOS_[[Sexo]:[Sexo]]=$B38,IF(DATOS_[[AGRUP. VALOR. PTO.]:[AGRUP. VALOR. PTO.]]=$B36,IF(DATOS_[[Check Periodo Ref.]:[Check Periodo Ref.]]="Dentro",IF(DATOS_[[Check Equiparado]:[Check Equiparado]]="Sí",IF(DATOS!AQ$5="Sí",(1/DATOS_[[% anualiz]:[% anualiz]]),1)*IF(DATOS!AQ$4="Sí",1/DATOS_[[% normaliz]:[% normaliz]],1)*(DATOS_[Conc.Sal.13])))))))),
0)</f>
        <v>0</v>
      </c>
      <c r="W38" s="101">
        <f t="array" ref="W38">IFERROR(
(AVERAGE((IF(DATOS_[[Sexo]:[Sexo]]=$B38,IF(DATOS_[[AGRUP. VALOR. PTO.]:[AGRUP. VALOR. PTO.]]=$B36,IF(DATOS_[[Check Periodo Ref.]:[Check Periodo Ref.]]="Dentro",IF(DATOS_[[Check Equiparado]:[Check Equiparado]]="Sí",IF(DATOS!AR$5="Sí",(1/DATOS_[[% anualiz]:[% anualiz]]),1)*IF(DATOS!AR$4="Sí",1/DATOS_[[% normaliz]:[% normaliz]],1)*(DATOS_[Conc.Sal.14])))))))),
0)</f>
        <v>0</v>
      </c>
      <c r="X38" s="101">
        <f t="array" ref="X38">IFERROR(
(AVERAGE((IF(DATOS_[[Sexo]:[Sexo]]=$B38,IF(DATOS_[[AGRUP. VALOR. PTO.]:[AGRUP. VALOR. PTO.]]=$B36,IF(DATOS_[[Check Periodo Ref.]:[Check Periodo Ref.]]="Dentro",IF(DATOS_[[Check Equiparado]:[Check Equiparado]]="Sí",IF(DATOS!AS$5="Sí",(1/DATOS_[[% anualiz]:[% anualiz]]),1)*IF(DATOS!AS$4="Sí",1/DATOS_[[% normaliz]:[% normaliz]],1)*(DATOS_[Conc.Sal.15])))))))),
0)</f>
        <v>0</v>
      </c>
      <c r="Y38" s="101">
        <f t="array" ref="Y38">IFERROR(
(AVERAGE((IF(DATOS_[[Sexo]:[Sexo]]=$B38,IF(DATOS_[[AGRUP. VALOR. PTO.]:[AGRUP. VALOR. PTO.]]=$B36,IF(DATOS_[[Check Periodo Ref.]:[Check Periodo Ref.]]="Dentro",IF(DATOS_[[Check Equiparado]:[Check Equiparado]]="Sí",IF(DATOS!AT$5="Sí",(1/DATOS_[[% anualiz]:[% anualiz]]),1)*IF(DATOS!AT$4="Sí",1/DATOS_[[% normaliz]:[% normaliz]],1)*(DATOS_[Conc.Sal.16])))))))),
0)</f>
        <v>0</v>
      </c>
      <c r="Z38" s="101">
        <f t="array" ref="Z38">IFERROR(
(AVERAGE((IF(DATOS_[[Sexo]:[Sexo]]=$B38,IF(DATOS_[[AGRUP. VALOR. PTO.]:[AGRUP. VALOR. PTO.]]=$B36,IF(DATOS_[[Check Periodo Ref.]:[Check Periodo Ref.]]="Dentro",IF(DATOS_[[Check Equiparado]:[Check Equiparado]]="Sí",IF(DATOS!AU$5="Sí",(1/DATOS_[[% anualiz]:[% anualiz]]),1)*IF(DATOS!AU$4="Sí",1/DATOS_[[% normaliz]:[% normaliz]],1)*(DATOS_[Conc.Sal.17])))))))),
0)</f>
        <v>0</v>
      </c>
      <c r="AA38" s="101">
        <f t="array" ref="AA38">IFERROR(
(AVERAGE((IF(DATOS_[[Sexo]:[Sexo]]=$B38,IF(DATOS_[[AGRUP. VALOR. PTO.]:[AGRUP. VALOR. PTO.]]=$B36,IF(DATOS_[[Check Periodo Ref.]:[Check Periodo Ref.]]="Dentro",IF(DATOS_[[Check Equiparado]:[Check Equiparado]]="Sí",IF(DATOS!AV$5="Sí",(1/DATOS_[[% anualiz]:[% anualiz]]),1)*IF(DATOS!AV$4="Sí",1/DATOS_[[% normaliz]:[% normaliz]],1)*(DATOS_[Conc.Sal.18])))))))),
0)</f>
        <v>0</v>
      </c>
      <c r="AB38" s="101">
        <f t="array" ref="AB38">IFERROR(
(AVERAGE((IF(DATOS_[[Sexo]:[Sexo]]=$B38,IF(DATOS_[[AGRUP. VALOR. PTO.]:[AGRUP. VALOR. PTO.]]=$B36,IF(DATOS_[[Check Periodo Ref.]:[Check Periodo Ref.]]="Dentro",IF(DATOS_[[Check Equiparado]:[Check Equiparado]]="Sí",IF(DATOS!AW$5="Sí",(1/DATOS_[[% anualiz]:[% anualiz]]),1)*IF(DATOS!AW$4="Sí",1/DATOS_[[% normaliz]:[% normaliz]],1)*(DATOS_[Conc.Sal.19])))))))),
0)</f>
        <v>0</v>
      </c>
      <c r="AC38" s="101">
        <f t="array" ref="AC38">IFERROR(
(AVERAGE((IF(DATOS_[[Sexo]:[Sexo]]=$B38,IF(DATOS_[[AGRUP. VALOR. PTO.]:[AGRUP. VALOR. PTO.]]=$B36,IF(DATOS_[[Check Periodo Ref.]:[Check Periodo Ref.]]="Dentro",IF(DATOS_[[Check Equiparado]:[Check Equiparado]]="Sí",IF(DATOS!AX$5="Sí",(1/DATOS_[[% anualiz]:[% anualiz]]),1)*IF(DATOS!AX$4="Sí",1/DATOS_[[% normaliz]:[% normaliz]],1)*(DATOS_[Conc.Sal.20])))))))),
0)</f>
        <v>0</v>
      </c>
      <c r="AD38" s="101">
        <f t="array" ref="AD38">IFERROR(
(AVERAGE((IF(DATOS_[[Sexo]:[Sexo]]=$B38,IF(DATOS_[[AGRUP. VALOR. PTO.]:[AGRUP. VALOR. PTO.]]=$B36,IF(DATOS_[[Check Periodo Ref.]:[Check Periodo Ref.]]="Dentro",IF(DATOS_[[Check Equiparado]:[Check Equiparado]]="Sí",IF(DATOS!AY$5="Sí",(1/DATOS_[[% anualiz]:[% anualiz]]),1)*IF(DATOS!AY$4="Sí",1/DATOS_[[% normaliz]:[% normaliz]],1)*(DATOS_[Conc.Sal.21])))))))),
0)</f>
        <v>0</v>
      </c>
      <c r="AE38" s="101">
        <f t="array" ref="AE38">IFERROR(
(AVERAGE((IF(DATOS_[[Sexo]:[Sexo]]=$B38,IF(DATOS_[[AGRUP. VALOR. PTO.]:[AGRUP. VALOR. PTO.]]=$B36,IF(DATOS_[[Check Periodo Ref.]:[Check Periodo Ref.]]="Dentro",IF(DATOS_[[Check Equiparado]:[Check Equiparado]]="Sí",IF(DATOS!AZ$5="Sí",(1/DATOS_[[% anualiz]:[% anualiz]]),1)*IF(DATOS!AZ$4="Sí",1/DATOS_[[% normaliz]:[% normaliz]],1)*(DATOS_[Conc.Sal.22])))))))),
0)</f>
        <v>0</v>
      </c>
      <c r="AF38" s="101">
        <f t="array" ref="AF38">IFERROR(
(AVERAGE((IF(DATOS_[[Sexo]:[Sexo]]=$B38,IF(DATOS_[[AGRUP. VALOR. PTO.]:[AGRUP. VALOR. PTO.]]=$B36,IF(DATOS_[[Check Periodo Ref.]:[Check Periodo Ref.]]="Dentro",IF(DATOS_[[Check Equiparado]:[Check Equiparado]]="Sí",IF(DATOS!BA$5="Sí",(1/DATOS_[[% anualiz]:[% anualiz]]),1)*IF(DATOS!BA$4="Sí",1/DATOS_[[% normaliz]:[% normaliz]],1)*(DATOS_[Conc.Sal.23])))))))),
0)</f>
        <v>0</v>
      </c>
      <c r="AG38" s="101">
        <f t="array" ref="AG38">IFERROR(
(AVERAGE((IF(DATOS_[[Sexo]:[Sexo]]=$B38,IF(DATOS_[[AGRUP. VALOR. PTO.]:[AGRUP. VALOR. PTO.]]=$B36,IF(DATOS_[[Check Periodo Ref.]:[Check Periodo Ref.]]="Dentro",IF(DATOS_[[Check Equiparado]:[Check Equiparado]]="Sí",IF(DATOS!BB$5="Sí",(1/DATOS_[[% anualiz]:[% anualiz]]),1)*IF(DATOS!BB$4="Sí",1/DATOS_[[% normaliz]:[% normaliz]],1)*(DATOS_[Conc.Sal.24])))))))),
0)</f>
        <v>0</v>
      </c>
      <c r="AH38" s="101">
        <f t="array" ref="AH38">IFERROR(
(AVERAGE((IF(DATOS_[[Sexo]:[Sexo]]=$B38,IF(DATOS_[[AGRUP. VALOR. PTO.]:[AGRUP. VALOR. PTO.]]=$B36,IF(DATOS_[[Check Periodo Ref.]:[Check Periodo Ref.]]="Dentro",IF(DATOS_[[Check Equiparado]:[Check Equiparado]]="Sí",IF(DATOS!BC$5="Sí",(1/DATOS_[[% anualiz]:[% anualiz]]),1)*IF(DATOS!BC$4="Sí",1/DATOS_[[% normaliz]:[% normaliz]],1)*(DATOS_[Conc.Sal.25])))))))),
0)</f>
        <v>0</v>
      </c>
      <c r="AI38" s="101">
        <f t="array" ref="AI38">IFERROR(
(AVERAGE((IF(DATOS_[[Sexo]:[Sexo]]=$B38,IF(DATOS_[[AGRUP. VALOR. PTO.]:[AGRUP. VALOR. PTO.]]=$B36,IF(DATOS_[[Check Periodo Ref.]:[Check Periodo Ref.]]="Dentro",IF(DATOS_[[Check Equiparado]:[Check Equiparado]]="Sí",IF(DATOS!BD$5="Sí",(1/DATOS_[[% anualiz]:[% anualiz]]),1)*IF(DATOS!BD$4="Sí",1/DATOS_[[% normaliz]:[% normaliz]],1)*(DATOS_[Conc.Sal.26])))))))),
0)</f>
        <v>0</v>
      </c>
      <c r="AJ38" s="101">
        <f t="array" ref="AJ38">IFERROR(
(AVERAGE((IF(DATOS_[[Sexo]:[Sexo]]=$B38,IF(DATOS_[[AGRUP. VALOR. PTO.]:[AGRUP. VALOR. PTO.]]=$B36,IF(DATOS_[[Check Periodo Ref.]:[Check Periodo Ref.]]="Dentro",IF(DATOS_[[Check Equiparado]:[Check Equiparado]]="Sí",IF(DATOS!BE$5="Sí",(1/DATOS_[[% anualiz]:[% anualiz]]),1)*IF(DATOS!BE$4="Sí",1/DATOS_[[% normaliz]:[% normaliz]],1)*(DATOS_[Conc.Sal.27])))))))),
0)</f>
        <v>0</v>
      </c>
      <c r="AK38" s="101">
        <f t="array" ref="AK38">IFERROR(
(AVERAGE((IF(DATOS_[[Sexo]:[Sexo]]=$B38,IF(DATOS_[[AGRUP. VALOR. PTO.]:[AGRUP. VALOR. PTO.]]=$B36,IF(DATOS_[[Check Periodo Ref.]:[Check Periodo Ref.]]="Dentro",IF(DATOS_[[Check Equiparado]:[Check Equiparado]]="Sí",IF(DATOS!BF$5="Sí",(1/DATOS_[[% anualiz]:[% anualiz]]),1)*IF(DATOS!BF$4="Sí",1/DATOS_[[% normaliz]:[% normaliz]],1)*(DATOS_[Conc.Sal.28])))))))),
0)</f>
        <v>0</v>
      </c>
      <c r="AL38" s="101">
        <f t="array" ref="AL38">IFERROR(
(AVERAGE((IF(DATOS_[[Sexo]:[Sexo]]=$B38,IF(DATOS_[[AGRUP. VALOR. PTO.]:[AGRUP. VALOR. PTO.]]=$B36,IF(DATOS_[[Check Periodo Ref.]:[Check Periodo Ref.]]="Dentro",IF(DATOS_[[Check Equiparado]:[Check Equiparado]]="Sí",IF(DATOS!BG$5="Sí",(1/DATOS_[[% anualiz]:[% anualiz]]),1)*IF(DATOS!BG$4="Sí",1/DATOS_[[% normaliz]:[% normaliz]],1)*(DATOS_[Conc.Sal.29])))))))),
0)</f>
        <v>0</v>
      </c>
      <c r="AM38" s="101">
        <f t="array" ref="AM38">IFERROR(
(AVERAGE((IF(DATOS_[[Sexo]:[Sexo]]=$B38,IF(DATOS_[[AGRUP. VALOR. PTO.]:[AGRUP. VALOR. PTO.]]=$B36,IF(DATOS_[[Check Periodo Ref.]:[Check Periodo Ref.]]="Dentro",IF(DATOS_[[Check Equiparado]:[Check Equiparado]]="Sí",IF(DATOS!BH$5="Sí",(1/DATOS_[[% anualiz]:[% anualiz]]),1)*IF(DATOS!BH$4="Sí",1/DATOS_[[% normaliz]:[% normaliz]],1)*(DATOS_[Conc.Sal.30])))))))),
0)</f>
        <v>0</v>
      </c>
      <c r="AN38" s="102">
        <f t="array" ref="AN38">IFERROR(
AVERAGE(IF(DATOS_[Sexo]=$B38,IF(DATOS_[[AGRUP. VALOR. PTO.]:[AGRUP. VALOR. PTO.]]=$B36,IF(DATOS_[Check Equiparado]="Sí",IF(DATOS_[Check Periodo Ref.]="Dentro",DATOS_[Tot COMPL.SAL Eq],FALSE))))),
0)</f>
        <v>0</v>
      </c>
      <c r="AO38" s="103">
        <f t="array" ref="AO38">IFERROR(
AVERAGE(IF(DATOS_[Sexo]=$B38,IF(DATOS_[[AGRUP. VALOR. PTO.]:[AGRUP. VALOR. PTO.]]=$B36,IF(DATOS_[Check Equiparado]="Sí",IF(DATOS_[Check Periodo Ref.]="Dentro",DATOS_[TOTAL SALARIO Eq],FALSE))))),
0)</f>
        <v>0</v>
      </c>
      <c r="AP38" s="104">
        <f t="array" ref="AP38">IFERROR(
(AVERAGE((IF(DATOS_[[Sexo]:[Sexo]]=$B38,IF(DATOS_[[AGRUP. VALOR. PTO.]:[AGRUP. VALOR. PTO.]]=$B36,IF(DATOS_[[Check Periodo Ref.]:[Check Periodo Ref.]]="Dentro",IF(DATOS_[[Check Equiparado]:[Check Equiparado]]="Sí",IF(DATOS!BI$5="Sí",(1/DATOS_[[% anualiz]:[% anualiz]]),1)*IF(DATOS!BI$4="Sí",1/DATOS_[[% normaliz]:[% normaliz]],1)*(DATOS_[C.Extra.01])))))))),
0)</f>
        <v>0</v>
      </c>
      <c r="AQ38" s="104">
        <f t="array" ref="AQ38">IFERROR(
(AVERAGE((IF(DATOS_[[Sexo]:[Sexo]]=$B38,IF(DATOS_[[AGRUP. VALOR. PTO.]:[AGRUP. VALOR. PTO.]]=$B36,IF(DATOS_[[Check Periodo Ref.]:[Check Periodo Ref.]]="Dentro",IF(DATOS_[[Check Equiparado]:[Check Equiparado]]="Sí",IF(DATOS!BJ$5="Sí",(1/DATOS_[[% anualiz]:[% anualiz]]),1)*IF(DATOS!BJ$4="Sí",1/DATOS_[[% normaliz]:[% normaliz]],1)*(DATOS_[C.Extra.02])))))))),
0)</f>
        <v>0</v>
      </c>
      <c r="AR38" s="104">
        <f t="array" ref="AR38">IFERROR(
(AVERAGE((IF(DATOS_[[Sexo]:[Sexo]]=$B38,IF(DATOS_[[AGRUP. VALOR. PTO.]:[AGRUP. VALOR. PTO.]]=$B36,IF(DATOS_[[Check Periodo Ref.]:[Check Periodo Ref.]]="Dentro",IF(DATOS_[[Check Equiparado]:[Check Equiparado]]="Sí",IF(DATOS!BK$5="Sí",(1/DATOS_[[% anualiz]:[% anualiz]]),1)*IF(DATOS!BK$4="Sí",1/DATOS_[[% normaliz]:[% normaliz]],1)*(DATOS_[C.Extra.03])))))))),
0)</f>
        <v>0</v>
      </c>
      <c r="AS38" s="104">
        <f t="array" ref="AS38">IFERROR(
(AVERAGE((IF(DATOS_[[Sexo]:[Sexo]]=$B38,IF(DATOS_[[AGRUP. VALOR. PTO.]:[AGRUP. VALOR. PTO.]]=$B36,IF(DATOS_[[Check Periodo Ref.]:[Check Periodo Ref.]]="Dentro",IF(DATOS_[[Check Equiparado]:[Check Equiparado]]="Sí",IF(DATOS!BL$5="Sí",(1/DATOS_[[% anualiz]:[% anualiz]]),1)*IF(DATOS!BL$4="Sí",1/DATOS_[[% normaliz]:[% normaliz]],1)*(DATOS_[C.Extra.04])))))))),
0)</f>
        <v>0</v>
      </c>
      <c r="AT38" s="104">
        <f t="array" ref="AT38">IFERROR(
(AVERAGE((IF(DATOS_[[Sexo]:[Sexo]]=$B38,IF(DATOS_[[AGRUP. VALOR. PTO.]:[AGRUP. VALOR. PTO.]]=$B36,IF(DATOS_[[Check Periodo Ref.]:[Check Periodo Ref.]]="Dentro",IF(DATOS_[[Check Equiparado]:[Check Equiparado]]="Sí",IF(DATOS!BM$5="Sí",(1/DATOS_[[% anualiz]:[% anualiz]]),1)*IF(DATOS!BM$4="Sí",1/DATOS_[[% normaliz]:[% normaliz]],1)*(DATOS_[C.Extra.05])))))))),
0)</f>
        <v>0</v>
      </c>
      <c r="AU38" s="105">
        <f t="array" ref="AU38">IFERROR(
AVERAGE(IF(DATOS_[Sexo]=$B38,IF(DATOS_[[AGRUP. VALOR. PTO.]:[AGRUP. VALOR. PTO.]]=$B36,IF(DATOS_[Check Equiparado]="Sí",IF(DATOS_[Check Periodo Ref.]="Dentro",DATOS_[Tot Extrasalarial Eq],FALSE))))),
0)</f>
        <v>0</v>
      </c>
      <c r="AV38" s="106">
        <f t="array" ref="AV38">IFERROR(
AVERAGE(IF(DATOS_[Sexo]=$B38,IF(DATOS_[[AGRUP. VALOR. PTO.]:[AGRUP. VALOR. PTO.]]=$B36,IF(DATOS_[Check Equiparado]="Sí",IF(DATOS_[Check Periodo Ref.]="Dentro",DATOS_[TOTAL Retrib Eq],FALSE))))),
0)</f>
        <v>0</v>
      </c>
    </row>
    <row r="39" spans="1:48" ht="17.25" hidden="1" thickBot="1" x14ac:dyDescent="0.35">
      <c r="A39" s="53" t="str">
        <f t="shared" ref="A39" si="35">+A40</f>
        <v>[ocultar]</v>
      </c>
      <c r="B39" s="62" t="s">
        <v>306</v>
      </c>
      <c r="C39" s="99"/>
      <c r="D39" s="63"/>
      <c r="E39" s="63"/>
      <c r="F39" s="63"/>
      <c r="G39" s="63"/>
      <c r="H39" s="63"/>
      <c r="I39" s="129" t="str">
        <f t="shared" ref="I39:AV39" si="36">IFERROR((I40-I41)/I40,"")</f>
        <v/>
      </c>
      <c r="J39" s="130" t="str">
        <f t="shared" si="36"/>
        <v/>
      </c>
      <c r="K39" s="131" t="str">
        <f t="shared" si="36"/>
        <v/>
      </c>
      <c r="L39" s="131" t="str">
        <f t="shared" si="36"/>
        <v/>
      </c>
      <c r="M39" s="131" t="str">
        <f t="shared" si="36"/>
        <v/>
      </c>
      <c r="N39" s="132" t="str">
        <f t="shared" si="36"/>
        <v/>
      </c>
      <c r="O39" s="133" t="str">
        <f t="shared" si="36"/>
        <v/>
      </c>
      <c r="P39" s="133" t="str">
        <f t="shared" si="36"/>
        <v/>
      </c>
      <c r="Q39" s="133" t="str">
        <f t="shared" si="36"/>
        <v/>
      </c>
      <c r="R39" s="133" t="str">
        <f t="shared" si="36"/>
        <v/>
      </c>
      <c r="S39" s="133" t="str">
        <f t="shared" si="36"/>
        <v/>
      </c>
      <c r="T39" s="133" t="str">
        <f t="shared" si="36"/>
        <v/>
      </c>
      <c r="U39" s="133" t="str">
        <f t="shared" si="36"/>
        <v/>
      </c>
      <c r="V39" s="133" t="str">
        <f t="shared" si="36"/>
        <v/>
      </c>
      <c r="W39" s="133" t="str">
        <f t="shared" si="36"/>
        <v/>
      </c>
      <c r="X39" s="133" t="str">
        <f t="shared" si="36"/>
        <v/>
      </c>
      <c r="Y39" s="133" t="str">
        <f t="shared" si="36"/>
        <v/>
      </c>
      <c r="Z39" s="132" t="str">
        <f t="shared" si="36"/>
        <v/>
      </c>
      <c r="AA39" s="132" t="str">
        <f t="shared" si="36"/>
        <v/>
      </c>
      <c r="AB39" s="132" t="str">
        <f t="shared" si="36"/>
        <v/>
      </c>
      <c r="AC39" s="132" t="str">
        <f t="shared" si="36"/>
        <v/>
      </c>
      <c r="AD39" s="132" t="str">
        <f t="shared" si="36"/>
        <v/>
      </c>
      <c r="AE39" s="132" t="str">
        <f t="shared" si="36"/>
        <v/>
      </c>
      <c r="AF39" s="132" t="str">
        <f t="shared" si="36"/>
        <v/>
      </c>
      <c r="AG39" s="132" t="str">
        <f t="shared" si="36"/>
        <v/>
      </c>
      <c r="AH39" s="132" t="str">
        <f t="shared" si="36"/>
        <v/>
      </c>
      <c r="AI39" s="132" t="str">
        <f t="shared" si="36"/>
        <v/>
      </c>
      <c r="AJ39" s="132" t="str">
        <f t="shared" si="36"/>
        <v/>
      </c>
      <c r="AK39" s="132" t="str">
        <f t="shared" si="36"/>
        <v/>
      </c>
      <c r="AL39" s="132" t="str">
        <f t="shared" si="36"/>
        <v/>
      </c>
      <c r="AM39" s="132" t="str">
        <f t="shared" si="36"/>
        <v/>
      </c>
      <c r="AN39" s="134" t="str">
        <f t="shared" si="36"/>
        <v/>
      </c>
      <c r="AO39" s="138" t="str">
        <f t="shared" si="36"/>
        <v/>
      </c>
      <c r="AP39" s="135" t="str">
        <f t="shared" si="36"/>
        <v/>
      </c>
      <c r="AQ39" s="135" t="str">
        <f t="shared" si="36"/>
        <v/>
      </c>
      <c r="AR39" s="135" t="str">
        <f t="shared" si="36"/>
        <v/>
      </c>
      <c r="AS39" s="135" t="str">
        <f t="shared" si="36"/>
        <v/>
      </c>
      <c r="AT39" s="135" t="str">
        <f t="shared" si="36"/>
        <v/>
      </c>
      <c r="AU39" s="136" t="str">
        <f t="shared" si="36"/>
        <v/>
      </c>
      <c r="AV39" s="137" t="str">
        <f t="shared" si="36"/>
        <v/>
      </c>
    </row>
    <row r="40" spans="1:48" hidden="1" x14ac:dyDescent="0.3">
      <c r="A40" s="53" t="str">
        <f t="shared" ref="A40" si="37">+IF(C40+C41=0,"[ocultar]","")</f>
        <v>[ocultar]</v>
      </c>
      <c r="B40" s="57" t="s">
        <v>162</v>
      </c>
      <c r="C40" s="56">
        <f t="array" ref="C40">SUM(IF($B40=DATOS_[Sexo],
IF($B39=DATOS_[AGRUP. VALOR. PTO.],
IF("Dentro"=DATOS_[Check Periodo Ref.],
1/(COUNTIFS(DATOS_[Sexo],$B40,DATOS_[AGRUP. VALOR. PTO.],$B39,DATOS_[Check Periodo Ref.],"Dentro",DATOS_[id],DATOS_[id]))))))</f>
        <v>0</v>
      </c>
      <c r="D40" s="58">
        <f>COUNTIFS(DATOS_[AGRUP. VALOR. PTO.],$B39,DATOS_[Sexo],$B40,DATOS_[Check Periodo Ref.],"Dentro")</f>
        <v>0</v>
      </c>
      <c r="E40" s="58">
        <f>COUNTIFS(DATOS_[AGRUP. VALOR. PTO.],$B39,DATOS_[Sexo],$B40,DATOS_[Check Periodo Ref.],"Dentro",DATOS_[Check Nº SC Norm],"Sí")</f>
        <v>0</v>
      </c>
      <c r="F40" s="58">
        <f>COUNTIFS(DATOS_[AGRUP. VALOR. PTO.],$B39,DATOS_[Sexo],$B40,DATOS_[Check Periodo Ref.],"Dentro",DATOS_[Check Nº SC Anualiz],"Sí")</f>
        <v>0</v>
      </c>
      <c r="G40" s="58">
        <f>COUNTIFS(DATOS_[AGRUP. VALOR. PTO.],$B39,DATOS_[Sexo],$B40,DATOS_[Check Periodo Ref.],"Dentro",DATOS_[Check Nº SC Norm y Anualiz],"Sí")</f>
        <v>0</v>
      </c>
      <c r="H40" s="58">
        <f>COUNTIFS(DATOS_[AGRUP. VALOR. PTO.],$B39,DATOS_[Sexo],$B40,DATOS_[Check Periodo Ref.],"Dentro",DATOS_[Check Equiparación],"Sí")</f>
        <v>0</v>
      </c>
      <c r="I40" s="100">
        <f t="array" ref="I40">IFERROR(
AVERAGE(IF(DATOS_[Sexo]=$B40,IF(DATOS_[[AGRUP. VALOR. PTO.]:[AGRUP. VALOR. PTO.]]=$B39,IF(DATOS_[Check Equiparado]="Sí",IF(DATOS_[Check Periodo Ref.]="Dentro",DATOS_[SALARIO BASE Eq],FALSE))))),
0)</f>
        <v>0</v>
      </c>
      <c r="J40" s="101">
        <f t="array" ref="J40">IFERROR(
(AVERAGE((IF(DATOS_[[Sexo]:[Sexo]]=$B40,IF(DATOS_[[AGRUP. VALOR. PTO.]:[AGRUP. VALOR. PTO.]]=$B39,IF(DATOS_[[Check Periodo Ref.]:[Check Periodo Ref.]]="Dentro",IF(DATOS_[[Check Equiparado]:[Check Equiparado]]="Sí",IF(DATOS!AE$5="Sí",(1/DATOS_[[% anualiz]:[% anualiz]]),1)*IF(DATOS!AE$4="Sí",1/DATOS_[[% normaliz]:[% normaliz]],1)*(DATOS_[Conc.Sal.01])))))))),
0)</f>
        <v>0</v>
      </c>
      <c r="K40" s="101">
        <f t="array" ref="K40">IFERROR(
(AVERAGE((IF(DATOS_[[Sexo]:[Sexo]]=$B40,IF(DATOS_[[AGRUP. VALOR. PTO.]:[AGRUP. VALOR. PTO.]]=$B39,IF(DATOS_[[Check Periodo Ref.]:[Check Periodo Ref.]]="Dentro",IF(DATOS_[[Check Equiparado]:[Check Equiparado]]="Sí",IF(DATOS!AF$5="Sí",(1/DATOS_[[% anualiz]:[% anualiz]]),1)*IF(DATOS!AF$4="Sí",1/DATOS_[[% normaliz]:[% normaliz]],1)*(DATOS_[Conc.Sal.02])))))))),
0)</f>
        <v>0</v>
      </c>
      <c r="L40" s="101">
        <f t="array" ref="L40">IFERROR(
(AVERAGE((IF(DATOS_[[Sexo]:[Sexo]]=$B40,IF(DATOS_[[AGRUP. VALOR. PTO.]:[AGRUP. VALOR. PTO.]]=$B39,IF(DATOS_[[Check Periodo Ref.]:[Check Periodo Ref.]]="Dentro",IF(DATOS_[[Check Equiparado]:[Check Equiparado]]="Sí",IF(DATOS!AG$5="Sí",(1/DATOS_[[% anualiz]:[% anualiz]]),1)*IF(DATOS!AG$4="Sí",1/DATOS_[[% normaliz]:[% normaliz]],1)*(DATOS_[Conc.Sal.03])))))))),
0)</f>
        <v>0</v>
      </c>
      <c r="M40" s="101">
        <f t="array" ref="M40">IFERROR(
(AVERAGE((IF(DATOS_[[Sexo]:[Sexo]]=$B40,IF(DATOS_[[AGRUP. VALOR. PTO.]:[AGRUP. VALOR. PTO.]]=$B39,IF(DATOS_[[Check Periodo Ref.]:[Check Periodo Ref.]]="Dentro",IF(DATOS_[[Check Equiparado]:[Check Equiparado]]="Sí",IF(DATOS!AH$5="Sí",(1/DATOS_[[% anualiz]:[% anualiz]]),1)*IF(DATOS!AH$4="Sí",1/DATOS_[[% normaliz]:[% normaliz]],1)*(DATOS_[Conc.Sal.04])))))))),
0)</f>
        <v>0</v>
      </c>
      <c r="N40" s="101">
        <f t="array" ref="N40">IFERROR(
(AVERAGE((IF(DATOS_[[Sexo]:[Sexo]]=$B40,IF(DATOS_[[AGRUP. VALOR. PTO.]:[AGRUP. VALOR. PTO.]]=$B39,IF(DATOS_[[Check Periodo Ref.]:[Check Periodo Ref.]]="Dentro",IF(DATOS_[[Check Equiparado]:[Check Equiparado]]="Sí",IF(DATOS!AI$5="Sí",(1/DATOS_[[% anualiz]:[% anualiz]]),1)*IF(DATOS!AI$4="Sí",1/DATOS_[[% normaliz]:[% normaliz]],1)*(DATOS_[Conc.Sal.05])))))))),
0)</f>
        <v>0</v>
      </c>
      <c r="O40" s="101">
        <f t="array" ref="O40">IFERROR(
(AVERAGE((IF(DATOS_[[Sexo]:[Sexo]]=$B40,IF(DATOS_[[AGRUP. VALOR. PTO.]:[AGRUP. VALOR. PTO.]]=$B39,IF(DATOS_[[Check Periodo Ref.]:[Check Periodo Ref.]]="Dentro",IF(DATOS_[[Check Equiparado]:[Check Equiparado]]="Sí",IF(DATOS!AJ$5="Sí",(1/DATOS_[[% anualiz]:[% anualiz]]),1)*IF(DATOS!AJ$4="Sí",1/DATOS_[[% normaliz]:[% normaliz]],1)*(DATOS_[Conc.Sal.06])))))))),
0)</f>
        <v>0</v>
      </c>
      <c r="P40" s="101">
        <f t="array" ref="P40">IFERROR(
(AVERAGE((IF(DATOS_[[Sexo]:[Sexo]]=$B40,IF(DATOS_[[AGRUP. VALOR. PTO.]:[AGRUP. VALOR. PTO.]]=$B39,IF(DATOS_[[Check Periodo Ref.]:[Check Periodo Ref.]]="Dentro",IF(DATOS_[[Check Equiparado]:[Check Equiparado]]="Sí",IF(DATOS!AK$5="Sí",(1/DATOS_[[% anualiz]:[% anualiz]]),1)*IF(DATOS!AK$4="Sí",1/DATOS_[[% normaliz]:[% normaliz]],1)*(DATOS_[Conc.Sal.07])))))))),
0)</f>
        <v>0</v>
      </c>
      <c r="Q40" s="101">
        <f t="array" ref="Q40">IFERROR(
(AVERAGE((IF(DATOS_[[Sexo]:[Sexo]]=$B40,IF(DATOS_[[AGRUP. VALOR. PTO.]:[AGRUP. VALOR. PTO.]]=$B39,IF(DATOS_[[Check Periodo Ref.]:[Check Periodo Ref.]]="Dentro",IF(DATOS_[[Check Equiparado]:[Check Equiparado]]="Sí",IF(DATOS!AL$5="Sí",(1/DATOS_[[% anualiz]:[% anualiz]]),1)*IF(DATOS!AL$4="Sí",1/DATOS_[[% normaliz]:[% normaliz]],1)*(DATOS_[Conc.Sal.08])))))))),
0)</f>
        <v>0</v>
      </c>
      <c r="R40" s="101">
        <f t="array" ref="R40">IFERROR(
(AVERAGE((IF(DATOS_[[Sexo]:[Sexo]]=$B40,IF(DATOS_[[AGRUP. VALOR. PTO.]:[AGRUP. VALOR. PTO.]]=$B39,IF(DATOS_[[Check Periodo Ref.]:[Check Periodo Ref.]]="Dentro",IF(DATOS_[[Check Equiparado]:[Check Equiparado]]="Sí",IF(DATOS!AM$5="Sí",(1/DATOS_[[% anualiz]:[% anualiz]]),1)*IF(DATOS!AM$4="Sí",1/DATOS_[[% normaliz]:[% normaliz]],1)*(DATOS_[Conc.Sal.09])))))))),
0)</f>
        <v>0</v>
      </c>
      <c r="S40" s="101">
        <f t="array" ref="S40">IFERROR(
(AVERAGE((IF(DATOS_[[Sexo]:[Sexo]]=$B40,IF(DATOS_[[AGRUP. VALOR. PTO.]:[AGRUP. VALOR. PTO.]]=$B39,IF(DATOS_[[Check Periodo Ref.]:[Check Periodo Ref.]]="Dentro",IF(DATOS_[[Check Equiparado]:[Check Equiparado]]="Sí",IF(DATOS!AN$5="Sí",(1/DATOS_[[% anualiz]:[% anualiz]]),1)*IF(DATOS!AN$4="Sí",1/DATOS_[[% normaliz]:[% normaliz]],1)*(DATOS_[Conc.Sal.10])))))))),
0)</f>
        <v>0</v>
      </c>
      <c r="T40" s="101">
        <f t="array" ref="T40">IFERROR(
(AVERAGE((IF(DATOS_[[Sexo]:[Sexo]]=$B40,IF(DATOS_[[AGRUP. VALOR. PTO.]:[AGRUP. VALOR. PTO.]]=$B39,IF(DATOS_[[Check Periodo Ref.]:[Check Periodo Ref.]]="Dentro",IF(DATOS_[[Check Equiparado]:[Check Equiparado]]="Sí",IF(DATOS!AO$5="Sí",(1/DATOS_[[% anualiz]:[% anualiz]]),1)*IF(DATOS!AO$4="Sí",1/DATOS_[[% normaliz]:[% normaliz]],1)*(DATOS_[Conc.Sal.11])))))))),
0)</f>
        <v>0</v>
      </c>
      <c r="U40" s="101">
        <f t="array" ref="U40">IFERROR(
(AVERAGE((IF(DATOS_[[Sexo]:[Sexo]]=$B40,IF(DATOS_[[AGRUP. VALOR. PTO.]:[AGRUP. VALOR. PTO.]]=$B39,IF(DATOS_[[Check Periodo Ref.]:[Check Periodo Ref.]]="Dentro",IF(DATOS_[[Check Equiparado]:[Check Equiparado]]="Sí",IF(DATOS!AP$5="Sí",(1/DATOS_[[% anualiz]:[% anualiz]]),1)*IF(DATOS!AP$4="Sí",1/DATOS_[[% normaliz]:[% normaliz]],1)*(DATOS_[Conc.Sal.12])))))))),
0)</f>
        <v>0</v>
      </c>
      <c r="V40" s="101">
        <f t="array" ref="V40">IFERROR(
(AVERAGE((IF(DATOS_[[Sexo]:[Sexo]]=$B40,IF(DATOS_[[AGRUP. VALOR. PTO.]:[AGRUP. VALOR. PTO.]]=$B39,IF(DATOS_[[Check Periodo Ref.]:[Check Periodo Ref.]]="Dentro",IF(DATOS_[[Check Equiparado]:[Check Equiparado]]="Sí",IF(DATOS!AQ$5="Sí",(1/DATOS_[[% anualiz]:[% anualiz]]),1)*IF(DATOS!AQ$4="Sí",1/DATOS_[[% normaliz]:[% normaliz]],1)*(DATOS_[Conc.Sal.13])))))))),
0)</f>
        <v>0</v>
      </c>
      <c r="W40" s="101">
        <f t="array" ref="W40">IFERROR(
(AVERAGE((IF(DATOS_[[Sexo]:[Sexo]]=$B40,IF(DATOS_[[AGRUP. VALOR. PTO.]:[AGRUP. VALOR. PTO.]]=$B39,IF(DATOS_[[Check Periodo Ref.]:[Check Periodo Ref.]]="Dentro",IF(DATOS_[[Check Equiparado]:[Check Equiparado]]="Sí",IF(DATOS!AR$5="Sí",(1/DATOS_[[% anualiz]:[% anualiz]]),1)*IF(DATOS!AR$4="Sí",1/DATOS_[[% normaliz]:[% normaliz]],1)*(DATOS_[Conc.Sal.14])))))))),
0)</f>
        <v>0</v>
      </c>
      <c r="X40" s="101">
        <f t="array" ref="X40">IFERROR(
(AVERAGE((IF(DATOS_[[Sexo]:[Sexo]]=$B40,IF(DATOS_[[AGRUP. VALOR. PTO.]:[AGRUP. VALOR. PTO.]]=$B39,IF(DATOS_[[Check Periodo Ref.]:[Check Periodo Ref.]]="Dentro",IF(DATOS_[[Check Equiparado]:[Check Equiparado]]="Sí",IF(DATOS!AS$5="Sí",(1/DATOS_[[% anualiz]:[% anualiz]]),1)*IF(DATOS!AS$4="Sí",1/DATOS_[[% normaliz]:[% normaliz]],1)*(DATOS_[Conc.Sal.15])))))))),
0)</f>
        <v>0</v>
      </c>
      <c r="Y40" s="101">
        <f t="array" ref="Y40">IFERROR(
(AVERAGE((IF(DATOS_[[Sexo]:[Sexo]]=$B40,IF(DATOS_[[AGRUP. VALOR. PTO.]:[AGRUP. VALOR. PTO.]]=$B39,IF(DATOS_[[Check Periodo Ref.]:[Check Periodo Ref.]]="Dentro",IF(DATOS_[[Check Equiparado]:[Check Equiparado]]="Sí",IF(DATOS!AT$5="Sí",(1/DATOS_[[% anualiz]:[% anualiz]]),1)*IF(DATOS!AT$4="Sí",1/DATOS_[[% normaliz]:[% normaliz]],1)*(DATOS_[Conc.Sal.16])))))))),
0)</f>
        <v>0</v>
      </c>
      <c r="Z40" s="101">
        <f t="array" ref="Z40">IFERROR(
(AVERAGE((IF(DATOS_[[Sexo]:[Sexo]]=$B40,IF(DATOS_[[AGRUP. VALOR. PTO.]:[AGRUP. VALOR. PTO.]]=$B39,IF(DATOS_[[Check Periodo Ref.]:[Check Periodo Ref.]]="Dentro",IF(DATOS_[[Check Equiparado]:[Check Equiparado]]="Sí",IF(DATOS!AU$5="Sí",(1/DATOS_[[% anualiz]:[% anualiz]]),1)*IF(DATOS!AU$4="Sí",1/DATOS_[[% normaliz]:[% normaliz]],1)*(DATOS_[Conc.Sal.17])))))))),
0)</f>
        <v>0</v>
      </c>
      <c r="AA40" s="101">
        <f t="array" ref="AA40">IFERROR(
(AVERAGE((IF(DATOS_[[Sexo]:[Sexo]]=$B40,IF(DATOS_[[AGRUP. VALOR. PTO.]:[AGRUP. VALOR. PTO.]]=$B39,IF(DATOS_[[Check Periodo Ref.]:[Check Periodo Ref.]]="Dentro",IF(DATOS_[[Check Equiparado]:[Check Equiparado]]="Sí",IF(DATOS!AV$5="Sí",(1/DATOS_[[% anualiz]:[% anualiz]]),1)*IF(DATOS!AV$4="Sí",1/DATOS_[[% normaliz]:[% normaliz]],1)*(DATOS_[Conc.Sal.18])))))))),
0)</f>
        <v>0</v>
      </c>
      <c r="AB40" s="101">
        <f t="array" ref="AB40">IFERROR(
(AVERAGE((IF(DATOS_[[Sexo]:[Sexo]]=$B40,IF(DATOS_[[AGRUP. VALOR. PTO.]:[AGRUP. VALOR. PTO.]]=$B39,IF(DATOS_[[Check Periodo Ref.]:[Check Periodo Ref.]]="Dentro",IF(DATOS_[[Check Equiparado]:[Check Equiparado]]="Sí",IF(DATOS!AW$5="Sí",(1/DATOS_[[% anualiz]:[% anualiz]]),1)*IF(DATOS!AW$4="Sí",1/DATOS_[[% normaliz]:[% normaliz]],1)*(DATOS_[Conc.Sal.19])))))))),
0)</f>
        <v>0</v>
      </c>
      <c r="AC40" s="101">
        <f t="array" ref="AC40">IFERROR(
(AVERAGE((IF(DATOS_[[Sexo]:[Sexo]]=$B40,IF(DATOS_[[AGRUP. VALOR. PTO.]:[AGRUP. VALOR. PTO.]]=$B39,IF(DATOS_[[Check Periodo Ref.]:[Check Periodo Ref.]]="Dentro",IF(DATOS_[[Check Equiparado]:[Check Equiparado]]="Sí",IF(DATOS!AX$5="Sí",(1/DATOS_[[% anualiz]:[% anualiz]]),1)*IF(DATOS!AX$4="Sí",1/DATOS_[[% normaliz]:[% normaliz]],1)*(DATOS_[Conc.Sal.20])))))))),
0)</f>
        <v>0</v>
      </c>
      <c r="AD40" s="101">
        <f t="array" ref="AD40">IFERROR(
(AVERAGE((IF(DATOS_[[Sexo]:[Sexo]]=$B40,IF(DATOS_[[AGRUP. VALOR. PTO.]:[AGRUP. VALOR. PTO.]]=$B39,IF(DATOS_[[Check Periodo Ref.]:[Check Periodo Ref.]]="Dentro",IF(DATOS_[[Check Equiparado]:[Check Equiparado]]="Sí",IF(DATOS!AY$5="Sí",(1/DATOS_[[% anualiz]:[% anualiz]]),1)*IF(DATOS!AY$4="Sí",1/DATOS_[[% normaliz]:[% normaliz]],1)*(DATOS_[Conc.Sal.21])))))))),
0)</f>
        <v>0</v>
      </c>
      <c r="AE40" s="101">
        <f t="array" ref="AE40">IFERROR(
(AVERAGE((IF(DATOS_[[Sexo]:[Sexo]]=$B40,IF(DATOS_[[AGRUP. VALOR. PTO.]:[AGRUP. VALOR. PTO.]]=$B39,IF(DATOS_[[Check Periodo Ref.]:[Check Periodo Ref.]]="Dentro",IF(DATOS_[[Check Equiparado]:[Check Equiparado]]="Sí",IF(DATOS!AZ$5="Sí",(1/DATOS_[[% anualiz]:[% anualiz]]),1)*IF(DATOS!AZ$4="Sí",1/DATOS_[[% normaliz]:[% normaliz]],1)*(DATOS_[Conc.Sal.22])))))))),
0)</f>
        <v>0</v>
      </c>
      <c r="AF40" s="101">
        <f t="array" ref="AF40">IFERROR(
(AVERAGE((IF(DATOS_[[Sexo]:[Sexo]]=$B40,IF(DATOS_[[AGRUP. VALOR. PTO.]:[AGRUP. VALOR. PTO.]]=$B39,IF(DATOS_[[Check Periodo Ref.]:[Check Periodo Ref.]]="Dentro",IF(DATOS_[[Check Equiparado]:[Check Equiparado]]="Sí",IF(DATOS!BA$5="Sí",(1/DATOS_[[% anualiz]:[% anualiz]]),1)*IF(DATOS!BA$4="Sí",1/DATOS_[[% normaliz]:[% normaliz]],1)*(DATOS_[Conc.Sal.23])))))))),
0)</f>
        <v>0</v>
      </c>
      <c r="AG40" s="101">
        <f t="array" ref="AG40">IFERROR(
(AVERAGE((IF(DATOS_[[Sexo]:[Sexo]]=$B40,IF(DATOS_[[AGRUP. VALOR. PTO.]:[AGRUP. VALOR. PTO.]]=$B39,IF(DATOS_[[Check Periodo Ref.]:[Check Periodo Ref.]]="Dentro",IF(DATOS_[[Check Equiparado]:[Check Equiparado]]="Sí",IF(DATOS!BB$5="Sí",(1/DATOS_[[% anualiz]:[% anualiz]]),1)*IF(DATOS!BB$4="Sí",1/DATOS_[[% normaliz]:[% normaliz]],1)*(DATOS_[Conc.Sal.24])))))))),
0)</f>
        <v>0</v>
      </c>
      <c r="AH40" s="101">
        <f t="array" ref="AH40">IFERROR(
(AVERAGE((IF(DATOS_[[Sexo]:[Sexo]]=$B40,IF(DATOS_[[AGRUP. VALOR. PTO.]:[AGRUP. VALOR. PTO.]]=$B39,IF(DATOS_[[Check Periodo Ref.]:[Check Periodo Ref.]]="Dentro",IF(DATOS_[[Check Equiparado]:[Check Equiparado]]="Sí",IF(DATOS!BC$5="Sí",(1/DATOS_[[% anualiz]:[% anualiz]]),1)*IF(DATOS!BC$4="Sí",1/DATOS_[[% normaliz]:[% normaliz]],1)*(DATOS_[Conc.Sal.25])))))))),
0)</f>
        <v>0</v>
      </c>
      <c r="AI40" s="101">
        <f t="array" ref="AI40">IFERROR(
(AVERAGE((IF(DATOS_[[Sexo]:[Sexo]]=$B40,IF(DATOS_[[AGRUP. VALOR. PTO.]:[AGRUP. VALOR. PTO.]]=$B39,IF(DATOS_[[Check Periodo Ref.]:[Check Periodo Ref.]]="Dentro",IF(DATOS_[[Check Equiparado]:[Check Equiparado]]="Sí",IF(DATOS!BD$5="Sí",(1/DATOS_[[% anualiz]:[% anualiz]]),1)*IF(DATOS!BD$4="Sí",1/DATOS_[[% normaliz]:[% normaliz]],1)*(DATOS_[Conc.Sal.26])))))))),
0)</f>
        <v>0</v>
      </c>
      <c r="AJ40" s="101">
        <f t="array" ref="AJ40">IFERROR(
(AVERAGE((IF(DATOS_[[Sexo]:[Sexo]]=$B40,IF(DATOS_[[AGRUP. VALOR. PTO.]:[AGRUP. VALOR. PTO.]]=$B39,IF(DATOS_[[Check Periodo Ref.]:[Check Periodo Ref.]]="Dentro",IF(DATOS_[[Check Equiparado]:[Check Equiparado]]="Sí",IF(DATOS!BE$5="Sí",(1/DATOS_[[% anualiz]:[% anualiz]]),1)*IF(DATOS!BE$4="Sí",1/DATOS_[[% normaliz]:[% normaliz]],1)*(DATOS_[Conc.Sal.27])))))))),
0)</f>
        <v>0</v>
      </c>
      <c r="AK40" s="101">
        <f t="array" ref="AK40">IFERROR(
(AVERAGE((IF(DATOS_[[Sexo]:[Sexo]]=$B40,IF(DATOS_[[AGRUP. VALOR. PTO.]:[AGRUP. VALOR. PTO.]]=$B39,IF(DATOS_[[Check Periodo Ref.]:[Check Periodo Ref.]]="Dentro",IF(DATOS_[[Check Equiparado]:[Check Equiparado]]="Sí",IF(DATOS!BF$5="Sí",(1/DATOS_[[% anualiz]:[% anualiz]]),1)*IF(DATOS!BF$4="Sí",1/DATOS_[[% normaliz]:[% normaliz]],1)*(DATOS_[Conc.Sal.28])))))))),
0)</f>
        <v>0</v>
      </c>
      <c r="AL40" s="101">
        <f t="array" ref="AL40">IFERROR(
(AVERAGE((IF(DATOS_[[Sexo]:[Sexo]]=$B40,IF(DATOS_[[AGRUP. VALOR. PTO.]:[AGRUP. VALOR. PTO.]]=$B39,IF(DATOS_[[Check Periodo Ref.]:[Check Periodo Ref.]]="Dentro",IF(DATOS_[[Check Equiparado]:[Check Equiparado]]="Sí",IF(DATOS!BG$5="Sí",(1/DATOS_[[% anualiz]:[% anualiz]]),1)*IF(DATOS!BG$4="Sí",1/DATOS_[[% normaliz]:[% normaliz]],1)*(DATOS_[Conc.Sal.29])))))))),
0)</f>
        <v>0</v>
      </c>
      <c r="AM40" s="101">
        <f t="array" ref="AM40">IFERROR(
(AVERAGE((IF(DATOS_[[Sexo]:[Sexo]]=$B40,IF(DATOS_[[AGRUP. VALOR. PTO.]:[AGRUP. VALOR. PTO.]]=$B39,IF(DATOS_[[Check Periodo Ref.]:[Check Periodo Ref.]]="Dentro",IF(DATOS_[[Check Equiparado]:[Check Equiparado]]="Sí",IF(DATOS!BH$5="Sí",(1/DATOS_[[% anualiz]:[% anualiz]]),1)*IF(DATOS!BH$4="Sí",1/DATOS_[[% normaliz]:[% normaliz]],1)*(DATOS_[Conc.Sal.30])))))))),
0)</f>
        <v>0</v>
      </c>
      <c r="AN40" s="102">
        <f t="array" ref="AN40">IFERROR(
AVERAGE(IF(DATOS_[Sexo]=$B40,IF(DATOS_[[AGRUP. VALOR. PTO.]:[AGRUP. VALOR. PTO.]]=$B39,IF(DATOS_[Check Equiparado]="Sí",IF(DATOS_[Check Periodo Ref.]="Dentro",DATOS_[Tot COMPL.SAL Eq],FALSE))))),
0)</f>
        <v>0</v>
      </c>
      <c r="AO40" s="103">
        <f t="array" ref="AO40">IFERROR(
AVERAGE(IF(DATOS_[Sexo]=$B40,IF(DATOS_[[AGRUP. VALOR. PTO.]:[AGRUP. VALOR. PTO.]]=$B39,IF(DATOS_[Check Equiparado]="Sí",IF(DATOS_[Check Periodo Ref.]="Dentro",DATOS_[TOTAL SALARIO Eq],FALSE))))),
0)</f>
        <v>0</v>
      </c>
      <c r="AP40" s="104">
        <f t="array" ref="AP40">IFERROR(
(AVERAGE((IF(DATOS_[[Sexo]:[Sexo]]=$B40,IF(DATOS_[[AGRUP. VALOR. PTO.]:[AGRUP. VALOR. PTO.]]=$B39,IF(DATOS_[[Check Periodo Ref.]:[Check Periodo Ref.]]="Dentro",IF(DATOS_[[Check Equiparado]:[Check Equiparado]]="Sí",IF(DATOS!BI$5="Sí",(1/DATOS_[[% anualiz]:[% anualiz]]),1)*IF(DATOS!BI$4="Sí",1/DATOS_[[% normaliz]:[% normaliz]],1)*(DATOS_[C.Extra.01])))))))),
0)</f>
        <v>0</v>
      </c>
      <c r="AQ40" s="104">
        <f t="array" ref="AQ40">IFERROR(
(AVERAGE((IF(DATOS_[[Sexo]:[Sexo]]=$B40,IF(DATOS_[[AGRUP. VALOR. PTO.]:[AGRUP. VALOR. PTO.]]=$B39,IF(DATOS_[[Check Periodo Ref.]:[Check Periodo Ref.]]="Dentro",IF(DATOS_[[Check Equiparado]:[Check Equiparado]]="Sí",IF(DATOS!BJ$5="Sí",(1/DATOS_[[% anualiz]:[% anualiz]]),1)*IF(DATOS!BJ$4="Sí",1/DATOS_[[% normaliz]:[% normaliz]],1)*(DATOS_[C.Extra.02])))))))),
0)</f>
        <v>0</v>
      </c>
      <c r="AR40" s="104">
        <f t="array" ref="AR40">IFERROR(
(AVERAGE((IF(DATOS_[[Sexo]:[Sexo]]=$B40,IF(DATOS_[[AGRUP. VALOR. PTO.]:[AGRUP. VALOR. PTO.]]=$B39,IF(DATOS_[[Check Periodo Ref.]:[Check Periodo Ref.]]="Dentro",IF(DATOS_[[Check Equiparado]:[Check Equiparado]]="Sí",IF(DATOS!BK$5="Sí",(1/DATOS_[[% anualiz]:[% anualiz]]),1)*IF(DATOS!BK$4="Sí",1/DATOS_[[% normaliz]:[% normaliz]],1)*(DATOS_[C.Extra.03])))))))),
0)</f>
        <v>0</v>
      </c>
      <c r="AS40" s="104">
        <f t="array" ref="AS40">IFERROR(
(AVERAGE((IF(DATOS_[[Sexo]:[Sexo]]=$B40,IF(DATOS_[[AGRUP. VALOR. PTO.]:[AGRUP. VALOR. PTO.]]=$B39,IF(DATOS_[[Check Periodo Ref.]:[Check Periodo Ref.]]="Dentro",IF(DATOS_[[Check Equiparado]:[Check Equiparado]]="Sí",IF(DATOS!BL$5="Sí",(1/DATOS_[[% anualiz]:[% anualiz]]),1)*IF(DATOS!BL$4="Sí",1/DATOS_[[% normaliz]:[% normaliz]],1)*(DATOS_[C.Extra.04])))))))),
0)</f>
        <v>0</v>
      </c>
      <c r="AT40" s="104">
        <f t="array" ref="AT40">IFERROR(
(AVERAGE((IF(DATOS_[[Sexo]:[Sexo]]=$B40,IF(DATOS_[[AGRUP. VALOR. PTO.]:[AGRUP. VALOR. PTO.]]=$B39,IF(DATOS_[[Check Periodo Ref.]:[Check Periodo Ref.]]="Dentro",IF(DATOS_[[Check Equiparado]:[Check Equiparado]]="Sí",IF(DATOS!BM$5="Sí",(1/DATOS_[[% anualiz]:[% anualiz]]),1)*IF(DATOS!BM$4="Sí",1/DATOS_[[% normaliz]:[% normaliz]],1)*(DATOS_[C.Extra.05])))))))),
0)</f>
        <v>0</v>
      </c>
      <c r="AU40" s="105">
        <f t="array" ref="AU40">IFERROR(
AVERAGE(IF(DATOS_[Sexo]=$B40,IF(DATOS_[[AGRUP. VALOR. PTO.]:[AGRUP. VALOR. PTO.]]=$B39,IF(DATOS_[Check Equiparado]="Sí",IF(DATOS_[Check Periodo Ref.]="Dentro",DATOS_[Tot Extrasalarial Eq],FALSE))))),
0)</f>
        <v>0</v>
      </c>
      <c r="AV40" s="106">
        <f t="array" ref="AV40">IFERROR(
AVERAGE(IF(DATOS_[Sexo]=$B40,IF(DATOS_[[AGRUP. VALOR. PTO.]:[AGRUP. VALOR. PTO.]]=$B39,IF(DATOS_[Check Equiparado]="Sí",IF(DATOS_[Check Periodo Ref.]="Dentro",DATOS_[TOTAL Retrib Eq],FALSE))))),
0)</f>
        <v>0</v>
      </c>
    </row>
    <row r="41" spans="1:48" hidden="1" x14ac:dyDescent="0.3">
      <c r="A41" s="53" t="str">
        <f t="shared" ref="A41" si="38">+A40</f>
        <v>[ocultar]</v>
      </c>
      <c r="B41" s="57" t="s">
        <v>163</v>
      </c>
      <c r="C41" s="56">
        <f t="array" ref="C41">SUM(IF($B41=DATOS_[Sexo],
IF($B39=DATOS_[AGRUP. VALOR. PTO.],
IF("Dentro"=DATOS_[Check Periodo Ref.],
1/(COUNTIFS(DATOS_[Sexo],$B41,DATOS_[AGRUP. VALOR. PTO.],$B39,DATOS_[Check Periodo Ref.],"Dentro",DATOS_[id],DATOS_[id]))))))</f>
        <v>0</v>
      </c>
      <c r="D41" s="58">
        <f>COUNTIFS(DATOS_[AGRUP. VALOR. PTO.],$B39,DATOS_[Sexo],$B41,DATOS_[Check Periodo Ref.],"Dentro")</f>
        <v>0</v>
      </c>
      <c r="E41" s="58">
        <f>COUNTIFS(DATOS_[AGRUP. VALOR. PTO.],$B39,DATOS_[Sexo],$B41,DATOS_[Check Periodo Ref.],"Dentro",DATOS_[Check Nº SC Norm],"Sí")</f>
        <v>0</v>
      </c>
      <c r="F41" s="58">
        <f>COUNTIFS(DATOS_[AGRUP. VALOR. PTO.],$B39,DATOS_[Sexo],$B41,DATOS_[Check Periodo Ref.],"Dentro",DATOS_[Check Nº SC Anualiz],"Sí")</f>
        <v>0</v>
      </c>
      <c r="G41" s="58">
        <f>COUNTIFS(DATOS_[AGRUP. VALOR. PTO.],$B39,DATOS_[Sexo],$B41,DATOS_[Check Periodo Ref.],"Dentro",DATOS_[Check Nº SC Norm y Anualiz],"Sí")</f>
        <v>0</v>
      </c>
      <c r="H41" s="58">
        <f>COUNTIFS(DATOS_[AGRUP. VALOR. PTO.],$B39,DATOS_[Sexo],$B41,DATOS_[Check Periodo Ref.],"Dentro",DATOS_[Check Equiparación],"Sí")</f>
        <v>0</v>
      </c>
      <c r="I41" s="100" cm="1">
        <f t="array" ref="I41">IFERROR(
AVERAGE(IF(DATOS_[Sexo]=$B41,IF(DATOS_[[AGRUP. VALOR. PTO.]:[AGRUP. VALOR. PTO.]]=$B39,IF(DATOS_[Check Equiparado]="Sí",IF(DATOS_[Check Periodo Ref.]="Dentro",DATOS_[SALARIO BASE Eq],FALSE))))),
0)</f>
        <v>0</v>
      </c>
      <c r="J41" s="101">
        <f t="array" ref="J41">IFERROR(
(AVERAGE((IF(DATOS_[[Sexo]:[Sexo]]=$B41,IF(DATOS_[[AGRUP. VALOR. PTO.]:[AGRUP. VALOR. PTO.]]=$B39,IF(DATOS_[[Check Periodo Ref.]:[Check Periodo Ref.]]="Dentro",IF(DATOS_[[Check Equiparado]:[Check Equiparado]]="Sí",IF(DATOS!AE$5="Sí",(1/DATOS_[[% anualiz]:[% anualiz]]),1)*IF(DATOS!AE$4="Sí",1/DATOS_[[% normaliz]:[% normaliz]],1)*(DATOS_[Conc.Sal.01])))))))),
0)</f>
        <v>0</v>
      </c>
      <c r="K41" s="101">
        <f t="array" ref="K41">IFERROR(
(AVERAGE((IF(DATOS_[[Sexo]:[Sexo]]=$B41,IF(DATOS_[[AGRUP. VALOR. PTO.]:[AGRUP. VALOR. PTO.]]=$B39,IF(DATOS_[[Check Periodo Ref.]:[Check Periodo Ref.]]="Dentro",IF(DATOS_[[Check Equiparado]:[Check Equiparado]]="Sí",IF(DATOS!AF$5="Sí",(1/DATOS_[[% anualiz]:[% anualiz]]),1)*IF(DATOS!AF$4="Sí",1/DATOS_[[% normaliz]:[% normaliz]],1)*(DATOS_[Conc.Sal.02])))))))),
0)</f>
        <v>0</v>
      </c>
      <c r="L41" s="101">
        <f t="array" ref="L41">IFERROR(
(AVERAGE((IF(DATOS_[[Sexo]:[Sexo]]=$B41,IF(DATOS_[[AGRUP. VALOR. PTO.]:[AGRUP. VALOR. PTO.]]=$B39,IF(DATOS_[[Check Periodo Ref.]:[Check Periodo Ref.]]="Dentro",IF(DATOS_[[Check Equiparado]:[Check Equiparado]]="Sí",IF(DATOS!AG$5="Sí",(1/DATOS_[[% anualiz]:[% anualiz]]),1)*IF(DATOS!AG$4="Sí",1/DATOS_[[% normaliz]:[% normaliz]],1)*(DATOS_[Conc.Sal.03])))))))),
0)</f>
        <v>0</v>
      </c>
      <c r="M41" s="101">
        <f t="array" ref="M41">IFERROR(
(AVERAGE((IF(DATOS_[[Sexo]:[Sexo]]=$B41,IF(DATOS_[[AGRUP. VALOR. PTO.]:[AGRUP. VALOR. PTO.]]=$B39,IF(DATOS_[[Check Periodo Ref.]:[Check Periodo Ref.]]="Dentro",IF(DATOS_[[Check Equiparado]:[Check Equiparado]]="Sí",IF(DATOS!AH$5="Sí",(1/DATOS_[[% anualiz]:[% anualiz]]),1)*IF(DATOS!AH$4="Sí",1/DATOS_[[% normaliz]:[% normaliz]],1)*(DATOS_[Conc.Sal.04])))))))),
0)</f>
        <v>0</v>
      </c>
      <c r="N41" s="101">
        <f t="array" ref="N41">IFERROR(
(AVERAGE((IF(DATOS_[[Sexo]:[Sexo]]=$B41,IF(DATOS_[[AGRUP. VALOR. PTO.]:[AGRUP. VALOR. PTO.]]=$B39,IF(DATOS_[[Check Periodo Ref.]:[Check Periodo Ref.]]="Dentro",IF(DATOS_[[Check Equiparado]:[Check Equiparado]]="Sí",IF(DATOS!AI$5="Sí",(1/DATOS_[[% anualiz]:[% anualiz]]),1)*IF(DATOS!AI$4="Sí",1/DATOS_[[% normaliz]:[% normaliz]],1)*(DATOS_[Conc.Sal.05])))))))),
0)</f>
        <v>0</v>
      </c>
      <c r="O41" s="101">
        <f t="array" ref="O41">IFERROR(
(AVERAGE((IF(DATOS_[[Sexo]:[Sexo]]=$B41,IF(DATOS_[[AGRUP. VALOR. PTO.]:[AGRUP. VALOR. PTO.]]=$B39,IF(DATOS_[[Check Periodo Ref.]:[Check Periodo Ref.]]="Dentro",IF(DATOS_[[Check Equiparado]:[Check Equiparado]]="Sí",IF(DATOS!AJ$5="Sí",(1/DATOS_[[% anualiz]:[% anualiz]]),1)*IF(DATOS!AJ$4="Sí",1/DATOS_[[% normaliz]:[% normaliz]],1)*(DATOS_[Conc.Sal.06])))))))),
0)</f>
        <v>0</v>
      </c>
      <c r="P41" s="101">
        <f t="array" ref="P41">IFERROR(
(AVERAGE((IF(DATOS_[[Sexo]:[Sexo]]=$B41,IF(DATOS_[[AGRUP. VALOR. PTO.]:[AGRUP. VALOR. PTO.]]=$B39,IF(DATOS_[[Check Periodo Ref.]:[Check Periodo Ref.]]="Dentro",IF(DATOS_[[Check Equiparado]:[Check Equiparado]]="Sí",IF(DATOS!AK$5="Sí",(1/DATOS_[[% anualiz]:[% anualiz]]),1)*IF(DATOS!AK$4="Sí",1/DATOS_[[% normaliz]:[% normaliz]],1)*(DATOS_[Conc.Sal.07])))))))),
0)</f>
        <v>0</v>
      </c>
      <c r="Q41" s="101">
        <f t="array" ref="Q41">IFERROR(
(AVERAGE((IF(DATOS_[[Sexo]:[Sexo]]=$B41,IF(DATOS_[[AGRUP. VALOR. PTO.]:[AGRUP. VALOR. PTO.]]=$B39,IF(DATOS_[[Check Periodo Ref.]:[Check Periodo Ref.]]="Dentro",IF(DATOS_[[Check Equiparado]:[Check Equiparado]]="Sí",IF(DATOS!AL$5="Sí",(1/DATOS_[[% anualiz]:[% anualiz]]),1)*IF(DATOS!AL$4="Sí",1/DATOS_[[% normaliz]:[% normaliz]],1)*(DATOS_[Conc.Sal.08])))))))),
0)</f>
        <v>0</v>
      </c>
      <c r="R41" s="101">
        <f t="array" ref="R41">IFERROR(
(AVERAGE((IF(DATOS_[[Sexo]:[Sexo]]=$B41,IF(DATOS_[[AGRUP. VALOR. PTO.]:[AGRUP. VALOR. PTO.]]=$B39,IF(DATOS_[[Check Periodo Ref.]:[Check Periodo Ref.]]="Dentro",IF(DATOS_[[Check Equiparado]:[Check Equiparado]]="Sí",IF(DATOS!AM$5="Sí",(1/DATOS_[[% anualiz]:[% anualiz]]),1)*IF(DATOS!AM$4="Sí",1/DATOS_[[% normaliz]:[% normaliz]],1)*(DATOS_[Conc.Sal.09])))))))),
0)</f>
        <v>0</v>
      </c>
      <c r="S41" s="101">
        <f t="array" ref="S41">IFERROR(
(AVERAGE((IF(DATOS_[[Sexo]:[Sexo]]=$B41,IF(DATOS_[[AGRUP. VALOR. PTO.]:[AGRUP. VALOR. PTO.]]=$B39,IF(DATOS_[[Check Periodo Ref.]:[Check Periodo Ref.]]="Dentro",IF(DATOS_[[Check Equiparado]:[Check Equiparado]]="Sí",IF(DATOS!AN$5="Sí",(1/DATOS_[[% anualiz]:[% anualiz]]),1)*IF(DATOS!AN$4="Sí",1/DATOS_[[% normaliz]:[% normaliz]],1)*(DATOS_[Conc.Sal.10])))))))),
0)</f>
        <v>0</v>
      </c>
      <c r="T41" s="101">
        <f t="array" ref="T41">IFERROR(
(AVERAGE((IF(DATOS_[[Sexo]:[Sexo]]=$B41,IF(DATOS_[[AGRUP. VALOR. PTO.]:[AGRUP. VALOR. PTO.]]=$B39,IF(DATOS_[[Check Periodo Ref.]:[Check Periodo Ref.]]="Dentro",IF(DATOS_[[Check Equiparado]:[Check Equiparado]]="Sí",IF(DATOS!AO$5="Sí",(1/DATOS_[[% anualiz]:[% anualiz]]),1)*IF(DATOS!AO$4="Sí",1/DATOS_[[% normaliz]:[% normaliz]],1)*(DATOS_[Conc.Sal.11])))))))),
0)</f>
        <v>0</v>
      </c>
      <c r="U41" s="101">
        <f t="array" ref="U41">IFERROR(
(AVERAGE((IF(DATOS_[[Sexo]:[Sexo]]=$B41,IF(DATOS_[[AGRUP. VALOR. PTO.]:[AGRUP. VALOR. PTO.]]=$B39,IF(DATOS_[[Check Periodo Ref.]:[Check Periodo Ref.]]="Dentro",IF(DATOS_[[Check Equiparado]:[Check Equiparado]]="Sí",IF(DATOS!AP$5="Sí",(1/DATOS_[[% anualiz]:[% anualiz]]),1)*IF(DATOS!AP$4="Sí",1/DATOS_[[% normaliz]:[% normaliz]],1)*(DATOS_[Conc.Sal.12])))))))),
0)</f>
        <v>0</v>
      </c>
      <c r="V41" s="101">
        <f t="array" ref="V41">IFERROR(
(AVERAGE((IF(DATOS_[[Sexo]:[Sexo]]=$B41,IF(DATOS_[[AGRUP. VALOR. PTO.]:[AGRUP. VALOR. PTO.]]=$B39,IF(DATOS_[[Check Periodo Ref.]:[Check Periodo Ref.]]="Dentro",IF(DATOS_[[Check Equiparado]:[Check Equiparado]]="Sí",IF(DATOS!AQ$5="Sí",(1/DATOS_[[% anualiz]:[% anualiz]]),1)*IF(DATOS!AQ$4="Sí",1/DATOS_[[% normaliz]:[% normaliz]],1)*(DATOS_[Conc.Sal.13])))))))),
0)</f>
        <v>0</v>
      </c>
      <c r="W41" s="101">
        <f t="array" ref="W41">IFERROR(
(AVERAGE((IF(DATOS_[[Sexo]:[Sexo]]=$B41,IF(DATOS_[[AGRUP. VALOR. PTO.]:[AGRUP. VALOR. PTO.]]=$B39,IF(DATOS_[[Check Periodo Ref.]:[Check Periodo Ref.]]="Dentro",IF(DATOS_[[Check Equiparado]:[Check Equiparado]]="Sí",IF(DATOS!AR$5="Sí",(1/DATOS_[[% anualiz]:[% anualiz]]),1)*IF(DATOS!AR$4="Sí",1/DATOS_[[% normaliz]:[% normaliz]],1)*(DATOS_[Conc.Sal.14])))))))),
0)</f>
        <v>0</v>
      </c>
      <c r="X41" s="101">
        <f t="array" ref="X41">IFERROR(
(AVERAGE((IF(DATOS_[[Sexo]:[Sexo]]=$B41,IF(DATOS_[[AGRUP. VALOR. PTO.]:[AGRUP. VALOR. PTO.]]=$B39,IF(DATOS_[[Check Periodo Ref.]:[Check Periodo Ref.]]="Dentro",IF(DATOS_[[Check Equiparado]:[Check Equiparado]]="Sí",IF(DATOS!AS$5="Sí",(1/DATOS_[[% anualiz]:[% anualiz]]),1)*IF(DATOS!AS$4="Sí",1/DATOS_[[% normaliz]:[% normaliz]],1)*(DATOS_[Conc.Sal.15])))))))),
0)</f>
        <v>0</v>
      </c>
      <c r="Y41" s="101">
        <f t="array" ref="Y41">IFERROR(
(AVERAGE((IF(DATOS_[[Sexo]:[Sexo]]=$B41,IF(DATOS_[[AGRUP. VALOR. PTO.]:[AGRUP. VALOR. PTO.]]=$B39,IF(DATOS_[[Check Periodo Ref.]:[Check Periodo Ref.]]="Dentro",IF(DATOS_[[Check Equiparado]:[Check Equiparado]]="Sí",IF(DATOS!AT$5="Sí",(1/DATOS_[[% anualiz]:[% anualiz]]),1)*IF(DATOS!AT$4="Sí",1/DATOS_[[% normaliz]:[% normaliz]],1)*(DATOS_[Conc.Sal.16])))))))),
0)</f>
        <v>0</v>
      </c>
      <c r="Z41" s="101">
        <f t="array" ref="Z41">IFERROR(
(AVERAGE((IF(DATOS_[[Sexo]:[Sexo]]=$B41,IF(DATOS_[[AGRUP. VALOR. PTO.]:[AGRUP. VALOR. PTO.]]=$B39,IF(DATOS_[[Check Periodo Ref.]:[Check Periodo Ref.]]="Dentro",IF(DATOS_[[Check Equiparado]:[Check Equiparado]]="Sí",IF(DATOS!AU$5="Sí",(1/DATOS_[[% anualiz]:[% anualiz]]),1)*IF(DATOS!AU$4="Sí",1/DATOS_[[% normaliz]:[% normaliz]],1)*(DATOS_[Conc.Sal.17])))))))),
0)</f>
        <v>0</v>
      </c>
      <c r="AA41" s="101">
        <f t="array" ref="AA41">IFERROR(
(AVERAGE((IF(DATOS_[[Sexo]:[Sexo]]=$B41,IF(DATOS_[[AGRUP. VALOR. PTO.]:[AGRUP. VALOR. PTO.]]=$B39,IF(DATOS_[[Check Periodo Ref.]:[Check Periodo Ref.]]="Dentro",IF(DATOS_[[Check Equiparado]:[Check Equiparado]]="Sí",IF(DATOS!AV$5="Sí",(1/DATOS_[[% anualiz]:[% anualiz]]),1)*IF(DATOS!AV$4="Sí",1/DATOS_[[% normaliz]:[% normaliz]],1)*(DATOS_[Conc.Sal.18])))))))),
0)</f>
        <v>0</v>
      </c>
      <c r="AB41" s="101">
        <f t="array" ref="AB41">IFERROR(
(AVERAGE((IF(DATOS_[[Sexo]:[Sexo]]=$B41,IF(DATOS_[[AGRUP. VALOR. PTO.]:[AGRUP. VALOR. PTO.]]=$B39,IF(DATOS_[[Check Periodo Ref.]:[Check Periodo Ref.]]="Dentro",IF(DATOS_[[Check Equiparado]:[Check Equiparado]]="Sí",IF(DATOS!AW$5="Sí",(1/DATOS_[[% anualiz]:[% anualiz]]),1)*IF(DATOS!AW$4="Sí",1/DATOS_[[% normaliz]:[% normaliz]],1)*(DATOS_[Conc.Sal.19])))))))),
0)</f>
        <v>0</v>
      </c>
      <c r="AC41" s="101">
        <f t="array" ref="AC41">IFERROR(
(AVERAGE((IF(DATOS_[[Sexo]:[Sexo]]=$B41,IF(DATOS_[[AGRUP. VALOR. PTO.]:[AGRUP. VALOR. PTO.]]=$B39,IF(DATOS_[[Check Periodo Ref.]:[Check Periodo Ref.]]="Dentro",IF(DATOS_[[Check Equiparado]:[Check Equiparado]]="Sí",IF(DATOS!AX$5="Sí",(1/DATOS_[[% anualiz]:[% anualiz]]),1)*IF(DATOS!AX$4="Sí",1/DATOS_[[% normaliz]:[% normaliz]],1)*(DATOS_[Conc.Sal.20])))))))),
0)</f>
        <v>0</v>
      </c>
      <c r="AD41" s="101">
        <f t="array" ref="AD41">IFERROR(
(AVERAGE((IF(DATOS_[[Sexo]:[Sexo]]=$B41,IF(DATOS_[[AGRUP. VALOR. PTO.]:[AGRUP. VALOR. PTO.]]=$B39,IF(DATOS_[[Check Periodo Ref.]:[Check Periodo Ref.]]="Dentro",IF(DATOS_[[Check Equiparado]:[Check Equiparado]]="Sí",IF(DATOS!AY$5="Sí",(1/DATOS_[[% anualiz]:[% anualiz]]),1)*IF(DATOS!AY$4="Sí",1/DATOS_[[% normaliz]:[% normaliz]],1)*(DATOS_[Conc.Sal.21])))))))),
0)</f>
        <v>0</v>
      </c>
      <c r="AE41" s="101">
        <f t="array" ref="AE41">IFERROR(
(AVERAGE((IF(DATOS_[[Sexo]:[Sexo]]=$B41,IF(DATOS_[[AGRUP. VALOR. PTO.]:[AGRUP. VALOR. PTO.]]=$B39,IF(DATOS_[[Check Periodo Ref.]:[Check Periodo Ref.]]="Dentro",IF(DATOS_[[Check Equiparado]:[Check Equiparado]]="Sí",IF(DATOS!AZ$5="Sí",(1/DATOS_[[% anualiz]:[% anualiz]]),1)*IF(DATOS!AZ$4="Sí",1/DATOS_[[% normaliz]:[% normaliz]],1)*(DATOS_[Conc.Sal.22])))))))),
0)</f>
        <v>0</v>
      </c>
      <c r="AF41" s="101">
        <f t="array" ref="AF41">IFERROR(
(AVERAGE((IF(DATOS_[[Sexo]:[Sexo]]=$B41,IF(DATOS_[[AGRUP. VALOR. PTO.]:[AGRUP. VALOR. PTO.]]=$B39,IF(DATOS_[[Check Periodo Ref.]:[Check Periodo Ref.]]="Dentro",IF(DATOS_[[Check Equiparado]:[Check Equiparado]]="Sí",IF(DATOS!BA$5="Sí",(1/DATOS_[[% anualiz]:[% anualiz]]),1)*IF(DATOS!BA$4="Sí",1/DATOS_[[% normaliz]:[% normaliz]],1)*(DATOS_[Conc.Sal.23])))))))),
0)</f>
        <v>0</v>
      </c>
      <c r="AG41" s="101">
        <f t="array" ref="AG41">IFERROR(
(AVERAGE((IF(DATOS_[[Sexo]:[Sexo]]=$B41,IF(DATOS_[[AGRUP. VALOR. PTO.]:[AGRUP. VALOR. PTO.]]=$B39,IF(DATOS_[[Check Periodo Ref.]:[Check Periodo Ref.]]="Dentro",IF(DATOS_[[Check Equiparado]:[Check Equiparado]]="Sí",IF(DATOS!BB$5="Sí",(1/DATOS_[[% anualiz]:[% anualiz]]),1)*IF(DATOS!BB$4="Sí",1/DATOS_[[% normaliz]:[% normaliz]],1)*(DATOS_[Conc.Sal.24])))))))),
0)</f>
        <v>0</v>
      </c>
      <c r="AH41" s="101">
        <f t="array" ref="AH41">IFERROR(
(AVERAGE((IF(DATOS_[[Sexo]:[Sexo]]=$B41,IF(DATOS_[[AGRUP. VALOR. PTO.]:[AGRUP. VALOR. PTO.]]=$B39,IF(DATOS_[[Check Periodo Ref.]:[Check Periodo Ref.]]="Dentro",IF(DATOS_[[Check Equiparado]:[Check Equiparado]]="Sí",IF(DATOS!BC$5="Sí",(1/DATOS_[[% anualiz]:[% anualiz]]),1)*IF(DATOS!BC$4="Sí",1/DATOS_[[% normaliz]:[% normaliz]],1)*(DATOS_[Conc.Sal.25])))))))),
0)</f>
        <v>0</v>
      </c>
      <c r="AI41" s="101">
        <f t="array" ref="AI41">IFERROR(
(AVERAGE((IF(DATOS_[[Sexo]:[Sexo]]=$B41,IF(DATOS_[[AGRUP. VALOR. PTO.]:[AGRUP. VALOR. PTO.]]=$B39,IF(DATOS_[[Check Periodo Ref.]:[Check Periodo Ref.]]="Dentro",IF(DATOS_[[Check Equiparado]:[Check Equiparado]]="Sí",IF(DATOS!BD$5="Sí",(1/DATOS_[[% anualiz]:[% anualiz]]),1)*IF(DATOS!BD$4="Sí",1/DATOS_[[% normaliz]:[% normaliz]],1)*(DATOS_[Conc.Sal.26])))))))),
0)</f>
        <v>0</v>
      </c>
      <c r="AJ41" s="101">
        <f t="array" ref="AJ41">IFERROR(
(AVERAGE((IF(DATOS_[[Sexo]:[Sexo]]=$B41,IF(DATOS_[[AGRUP. VALOR. PTO.]:[AGRUP. VALOR. PTO.]]=$B39,IF(DATOS_[[Check Periodo Ref.]:[Check Periodo Ref.]]="Dentro",IF(DATOS_[[Check Equiparado]:[Check Equiparado]]="Sí",IF(DATOS!BE$5="Sí",(1/DATOS_[[% anualiz]:[% anualiz]]),1)*IF(DATOS!BE$4="Sí",1/DATOS_[[% normaliz]:[% normaliz]],1)*(DATOS_[Conc.Sal.27])))))))),
0)</f>
        <v>0</v>
      </c>
      <c r="AK41" s="101">
        <f t="array" ref="AK41">IFERROR(
(AVERAGE((IF(DATOS_[[Sexo]:[Sexo]]=$B41,IF(DATOS_[[AGRUP. VALOR. PTO.]:[AGRUP. VALOR. PTO.]]=$B39,IF(DATOS_[[Check Periodo Ref.]:[Check Periodo Ref.]]="Dentro",IF(DATOS_[[Check Equiparado]:[Check Equiparado]]="Sí",IF(DATOS!BF$5="Sí",(1/DATOS_[[% anualiz]:[% anualiz]]),1)*IF(DATOS!BF$4="Sí",1/DATOS_[[% normaliz]:[% normaliz]],1)*(DATOS_[Conc.Sal.28])))))))),
0)</f>
        <v>0</v>
      </c>
      <c r="AL41" s="101">
        <f t="array" ref="AL41">IFERROR(
(AVERAGE((IF(DATOS_[[Sexo]:[Sexo]]=$B41,IF(DATOS_[[AGRUP. VALOR. PTO.]:[AGRUP. VALOR. PTO.]]=$B39,IF(DATOS_[[Check Periodo Ref.]:[Check Periodo Ref.]]="Dentro",IF(DATOS_[[Check Equiparado]:[Check Equiparado]]="Sí",IF(DATOS!BG$5="Sí",(1/DATOS_[[% anualiz]:[% anualiz]]),1)*IF(DATOS!BG$4="Sí",1/DATOS_[[% normaliz]:[% normaliz]],1)*(DATOS_[Conc.Sal.29])))))))),
0)</f>
        <v>0</v>
      </c>
      <c r="AM41" s="101">
        <f t="array" ref="AM41">IFERROR(
(AVERAGE((IF(DATOS_[[Sexo]:[Sexo]]=$B41,IF(DATOS_[[AGRUP. VALOR. PTO.]:[AGRUP. VALOR. PTO.]]=$B39,IF(DATOS_[[Check Periodo Ref.]:[Check Periodo Ref.]]="Dentro",IF(DATOS_[[Check Equiparado]:[Check Equiparado]]="Sí",IF(DATOS!BH$5="Sí",(1/DATOS_[[% anualiz]:[% anualiz]]),1)*IF(DATOS!BH$4="Sí",1/DATOS_[[% normaliz]:[% normaliz]],1)*(DATOS_[Conc.Sal.30])))))))),
0)</f>
        <v>0</v>
      </c>
      <c r="AN41" s="102">
        <f t="array" ref="AN41">IFERROR(
AVERAGE(IF(DATOS_[Sexo]=$B41,IF(DATOS_[[AGRUP. VALOR. PTO.]:[AGRUP. VALOR. PTO.]]=$B39,IF(DATOS_[Check Equiparado]="Sí",IF(DATOS_[Check Periodo Ref.]="Dentro",DATOS_[Tot COMPL.SAL Eq],FALSE))))),
0)</f>
        <v>0</v>
      </c>
      <c r="AO41" s="103">
        <f t="array" ref="AO41">IFERROR(
AVERAGE(IF(DATOS_[Sexo]=$B41,IF(DATOS_[[AGRUP. VALOR. PTO.]:[AGRUP. VALOR. PTO.]]=$B39,IF(DATOS_[Check Equiparado]="Sí",IF(DATOS_[Check Periodo Ref.]="Dentro",DATOS_[TOTAL SALARIO Eq],FALSE))))),
0)</f>
        <v>0</v>
      </c>
      <c r="AP41" s="104">
        <f t="array" ref="AP41">IFERROR(
(AVERAGE((IF(DATOS_[[Sexo]:[Sexo]]=$B41,IF(DATOS_[[AGRUP. VALOR. PTO.]:[AGRUP. VALOR. PTO.]]=$B39,IF(DATOS_[[Check Periodo Ref.]:[Check Periodo Ref.]]="Dentro",IF(DATOS_[[Check Equiparado]:[Check Equiparado]]="Sí",IF(DATOS!BI$5="Sí",(1/DATOS_[[% anualiz]:[% anualiz]]),1)*IF(DATOS!BI$4="Sí",1/DATOS_[[% normaliz]:[% normaliz]],1)*(DATOS_[C.Extra.01])))))))),
0)</f>
        <v>0</v>
      </c>
      <c r="AQ41" s="104">
        <f t="array" ref="AQ41">IFERROR(
(AVERAGE((IF(DATOS_[[Sexo]:[Sexo]]=$B41,IF(DATOS_[[AGRUP. VALOR. PTO.]:[AGRUP. VALOR. PTO.]]=$B39,IF(DATOS_[[Check Periodo Ref.]:[Check Periodo Ref.]]="Dentro",IF(DATOS_[[Check Equiparado]:[Check Equiparado]]="Sí",IF(DATOS!BJ$5="Sí",(1/DATOS_[[% anualiz]:[% anualiz]]),1)*IF(DATOS!BJ$4="Sí",1/DATOS_[[% normaliz]:[% normaliz]],1)*(DATOS_[C.Extra.02])))))))),
0)</f>
        <v>0</v>
      </c>
      <c r="AR41" s="104">
        <f t="array" ref="AR41">IFERROR(
(AVERAGE((IF(DATOS_[[Sexo]:[Sexo]]=$B41,IF(DATOS_[[AGRUP. VALOR. PTO.]:[AGRUP. VALOR. PTO.]]=$B39,IF(DATOS_[[Check Periodo Ref.]:[Check Periodo Ref.]]="Dentro",IF(DATOS_[[Check Equiparado]:[Check Equiparado]]="Sí",IF(DATOS!BK$5="Sí",(1/DATOS_[[% anualiz]:[% anualiz]]),1)*IF(DATOS!BK$4="Sí",1/DATOS_[[% normaliz]:[% normaliz]],1)*(DATOS_[C.Extra.03])))))))),
0)</f>
        <v>0</v>
      </c>
      <c r="AS41" s="104">
        <f t="array" ref="AS41">IFERROR(
(AVERAGE((IF(DATOS_[[Sexo]:[Sexo]]=$B41,IF(DATOS_[[AGRUP. VALOR. PTO.]:[AGRUP. VALOR. PTO.]]=$B39,IF(DATOS_[[Check Periodo Ref.]:[Check Periodo Ref.]]="Dentro",IF(DATOS_[[Check Equiparado]:[Check Equiparado]]="Sí",IF(DATOS!BL$5="Sí",(1/DATOS_[[% anualiz]:[% anualiz]]),1)*IF(DATOS!BL$4="Sí",1/DATOS_[[% normaliz]:[% normaliz]],1)*(DATOS_[C.Extra.04])))))))),
0)</f>
        <v>0</v>
      </c>
      <c r="AT41" s="104">
        <f t="array" ref="AT41">IFERROR(
(AVERAGE((IF(DATOS_[[Sexo]:[Sexo]]=$B41,IF(DATOS_[[AGRUP. VALOR. PTO.]:[AGRUP. VALOR. PTO.]]=$B39,IF(DATOS_[[Check Periodo Ref.]:[Check Periodo Ref.]]="Dentro",IF(DATOS_[[Check Equiparado]:[Check Equiparado]]="Sí",IF(DATOS!BM$5="Sí",(1/DATOS_[[% anualiz]:[% anualiz]]),1)*IF(DATOS!BM$4="Sí",1/DATOS_[[% normaliz]:[% normaliz]],1)*(DATOS_[C.Extra.05])))))))),
0)</f>
        <v>0</v>
      </c>
      <c r="AU41" s="105">
        <f t="array" ref="AU41">IFERROR(
AVERAGE(IF(DATOS_[Sexo]=$B41,IF(DATOS_[[AGRUP. VALOR. PTO.]:[AGRUP. VALOR. PTO.]]=$B39,IF(DATOS_[Check Equiparado]="Sí",IF(DATOS_[Check Periodo Ref.]="Dentro",DATOS_[Tot Extrasalarial Eq],FALSE))))),
0)</f>
        <v>0</v>
      </c>
      <c r="AV41" s="106">
        <f t="array" ref="AV41">IFERROR(
AVERAGE(IF(DATOS_[Sexo]=$B41,IF(DATOS_[[AGRUP. VALOR. PTO.]:[AGRUP. VALOR. PTO.]]=$B39,IF(DATOS_[Check Equiparado]="Sí",IF(DATOS_[Check Periodo Ref.]="Dentro",DATOS_[TOTAL Retrib Eq],FALSE))))),
0)</f>
        <v>0</v>
      </c>
    </row>
    <row r="42" spans="1:48" ht="17.25" hidden="1" thickBot="1" x14ac:dyDescent="0.35">
      <c r="A42" s="53" t="str">
        <f t="shared" ref="A42" si="39">+A43</f>
        <v>[ocultar]</v>
      </c>
      <c r="B42" s="62" t="s">
        <v>269</v>
      </c>
      <c r="C42" s="99"/>
      <c r="D42" s="63"/>
      <c r="E42" s="63"/>
      <c r="F42" s="63"/>
      <c r="G42" s="63"/>
      <c r="H42" s="63"/>
      <c r="I42" s="129" t="str">
        <f t="shared" ref="I42:AV42" si="40">IFERROR((I43-I44)/I43,"")</f>
        <v/>
      </c>
      <c r="J42" s="130" t="str">
        <f t="shared" si="40"/>
        <v/>
      </c>
      <c r="K42" s="131" t="str">
        <f t="shared" si="40"/>
        <v/>
      </c>
      <c r="L42" s="131" t="str">
        <f t="shared" si="40"/>
        <v/>
      </c>
      <c r="M42" s="131" t="str">
        <f t="shared" si="40"/>
        <v/>
      </c>
      <c r="N42" s="132" t="str">
        <f t="shared" si="40"/>
        <v/>
      </c>
      <c r="O42" s="133" t="str">
        <f t="shared" si="40"/>
        <v/>
      </c>
      <c r="P42" s="133" t="str">
        <f t="shared" si="40"/>
        <v/>
      </c>
      <c r="Q42" s="133" t="str">
        <f t="shared" si="40"/>
        <v/>
      </c>
      <c r="R42" s="133" t="str">
        <f t="shared" si="40"/>
        <v/>
      </c>
      <c r="S42" s="133" t="str">
        <f t="shared" si="40"/>
        <v/>
      </c>
      <c r="T42" s="133" t="str">
        <f t="shared" si="40"/>
        <v/>
      </c>
      <c r="U42" s="133" t="str">
        <f t="shared" si="40"/>
        <v/>
      </c>
      <c r="V42" s="133" t="str">
        <f t="shared" si="40"/>
        <v/>
      </c>
      <c r="W42" s="133" t="str">
        <f t="shared" si="40"/>
        <v/>
      </c>
      <c r="X42" s="133" t="str">
        <f t="shared" si="40"/>
        <v/>
      </c>
      <c r="Y42" s="133" t="str">
        <f t="shared" si="40"/>
        <v/>
      </c>
      <c r="Z42" s="132" t="str">
        <f t="shared" si="40"/>
        <v/>
      </c>
      <c r="AA42" s="132" t="str">
        <f t="shared" si="40"/>
        <v/>
      </c>
      <c r="AB42" s="132" t="str">
        <f t="shared" si="40"/>
        <v/>
      </c>
      <c r="AC42" s="132" t="str">
        <f t="shared" si="40"/>
        <v/>
      </c>
      <c r="AD42" s="132" t="str">
        <f t="shared" si="40"/>
        <v/>
      </c>
      <c r="AE42" s="132" t="str">
        <f t="shared" si="40"/>
        <v/>
      </c>
      <c r="AF42" s="132" t="str">
        <f t="shared" si="40"/>
        <v/>
      </c>
      <c r="AG42" s="132" t="str">
        <f t="shared" si="40"/>
        <v/>
      </c>
      <c r="AH42" s="132" t="str">
        <f t="shared" si="40"/>
        <v/>
      </c>
      <c r="AI42" s="132" t="str">
        <f t="shared" si="40"/>
        <v/>
      </c>
      <c r="AJ42" s="132" t="str">
        <f t="shared" si="40"/>
        <v/>
      </c>
      <c r="AK42" s="132" t="str">
        <f t="shared" si="40"/>
        <v/>
      </c>
      <c r="AL42" s="132" t="str">
        <f t="shared" si="40"/>
        <v/>
      </c>
      <c r="AM42" s="132" t="str">
        <f t="shared" si="40"/>
        <v/>
      </c>
      <c r="AN42" s="134" t="str">
        <f t="shared" si="40"/>
        <v/>
      </c>
      <c r="AO42" s="138" t="str">
        <f t="shared" si="40"/>
        <v/>
      </c>
      <c r="AP42" s="135" t="str">
        <f t="shared" si="40"/>
        <v/>
      </c>
      <c r="AQ42" s="135" t="str">
        <f t="shared" si="40"/>
        <v/>
      </c>
      <c r="AR42" s="135" t="str">
        <f t="shared" si="40"/>
        <v/>
      </c>
      <c r="AS42" s="135" t="str">
        <f t="shared" si="40"/>
        <v/>
      </c>
      <c r="AT42" s="135" t="str">
        <f t="shared" si="40"/>
        <v/>
      </c>
      <c r="AU42" s="136" t="str">
        <f t="shared" si="40"/>
        <v/>
      </c>
      <c r="AV42" s="137" t="str">
        <f t="shared" si="40"/>
        <v/>
      </c>
    </row>
    <row r="43" spans="1:48" hidden="1" x14ac:dyDescent="0.3">
      <c r="A43" s="53" t="str">
        <f t="shared" ref="A43" si="41">+IF(C43+C44=0,"[ocultar]","")</f>
        <v>[ocultar]</v>
      </c>
      <c r="B43" s="57" t="s">
        <v>162</v>
      </c>
      <c r="C43" s="56">
        <f t="array" ref="C43">SUM(IF($B43=DATOS_[Sexo],
IF($B42=DATOS_[AGRUP. VALOR. PTO.],
IF("Dentro"=DATOS_[Check Periodo Ref.],
1/(COUNTIFS(DATOS_[Sexo],$B43,DATOS_[AGRUP. VALOR. PTO.],$B42,DATOS_[Check Periodo Ref.],"Dentro",DATOS_[id],DATOS_[id]))))))</f>
        <v>0</v>
      </c>
      <c r="D43" s="58">
        <f>COUNTIFS(DATOS_[AGRUP. VALOR. PTO.],$B42,DATOS_[Sexo],$B43,DATOS_[Check Periodo Ref.],"Dentro")</f>
        <v>0</v>
      </c>
      <c r="E43" s="58">
        <f>COUNTIFS(DATOS_[AGRUP. VALOR. PTO.],$B42,DATOS_[Sexo],$B43,DATOS_[Check Periodo Ref.],"Dentro",DATOS_[Check Nº SC Norm],"Sí")</f>
        <v>0</v>
      </c>
      <c r="F43" s="58">
        <f>COUNTIFS(DATOS_[AGRUP. VALOR. PTO.],$B42,DATOS_[Sexo],$B43,DATOS_[Check Periodo Ref.],"Dentro",DATOS_[Check Nº SC Anualiz],"Sí")</f>
        <v>0</v>
      </c>
      <c r="G43" s="58">
        <f>COUNTIFS(DATOS_[AGRUP. VALOR. PTO.],$B42,DATOS_[Sexo],$B43,DATOS_[Check Periodo Ref.],"Dentro",DATOS_[Check Nº SC Norm y Anualiz],"Sí")</f>
        <v>0</v>
      </c>
      <c r="H43" s="58">
        <f>COUNTIFS(DATOS_[AGRUP. VALOR. PTO.],$B42,DATOS_[Sexo],$B43,DATOS_[Check Periodo Ref.],"Dentro",DATOS_[Check Equiparación],"Sí")</f>
        <v>0</v>
      </c>
      <c r="I43" s="100">
        <f t="array" ref="I43">IFERROR(
AVERAGE(IF(DATOS_[Sexo]=$B43,IF(DATOS_[[AGRUP. VALOR. PTO.]:[AGRUP. VALOR. PTO.]]=$B42,IF(DATOS_[Check Equiparado]="Sí",IF(DATOS_[Check Periodo Ref.]="Dentro",DATOS_[SALARIO BASE Eq],FALSE))))),
0)</f>
        <v>0</v>
      </c>
      <c r="J43" s="101">
        <f t="array" ref="J43">IFERROR(
(AVERAGE((IF(DATOS_[[Sexo]:[Sexo]]=$B43,IF(DATOS_[[AGRUP. VALOR. PTO.]:[AGRUP. VALOR. PTO.]]=$B42,IF(DATOS_[[Check Periodo Ref.]:[Check Periodo Ref.]]="Dentro",IF(DATOS_[[Check Equiparado]:[Check Equiparado]]="Sí",IF(DATOS!AE$5="Sí",(1/DATOS_[[% anualiz]:[% anualiz]]),1)*IF(DATOS!AE$4="Sí",1/DATOS_[[% normaliz]:[% normaliz]],1)*(DATOS_[Conc.Sal.01])))))))),
0)</f>
        <v>0</v>
      </c>
      <c r="K43" s="101">
        <f t="array" ref="K43">IFERROR(
(AVERAGE((IF(DATOS_[[Sexo]:[Sexo]]=$B43,IF(DATOS_[[AGRUP. VALOR. PTO.]:[AGRUP. VALOR. PTO.]]=$B42,IF(DATOS_[[Check Periodo Ref.]:[Check Periodo Ref.]]="Dentro",IF(DATOS_[[Check Equiparado]:[Check Equiparado]]="Sí",IF(DATOS!AF$5="Sí",(1/DATOS_[[% anualiz]:[% anualiz]]),1)*IF(DATOS!AF$4="Sí",1/DATOS_[[% normaliz]:[% normaliz]],1)*(DATOS_[Conc.Sal.02])))))))),
0)</f>
        <v>0</v>
      </c>
      <c r="L43" s="101">
        <f t="array" ref="L43">IFERROR(
(AVERAGE((IF(DATOS_[[Sexo]:[Sexo]]=$B43,IF(DATOS_[[AGRUP. VALOR. PTO.]:[AGRUP. VALOR. PTO.]]=$B42,IF(DATOS_[[Check Periodo Ref.]:[Check Periodo Ref.]]="Dentro",IF(DATOS_[[Check Equiparado]:[Check Equiparado]]="Sí",IF(DATOS!AG$5="Sí",(1/DATOS_[[% anualiz]:[% anualiz]]),1)*IF(DATOS!AG$4="Sí",1/DATOS_[[% normaliz]:[% normaliz]],1)*(DATOS_[Conc.Sal.03])))))))),
0)</f>
        <v>0</v>
      </c>
      <c r="M43" s="101">
        <f t="array" ref="M43">IFERROR(
(AVERAGE((IF(DATOS_[[Sexo]:[Sexo]]=$B43,IF(DATOS_[[AGRUP. VALOR. PTO.]:[AGRUP. VALOR. PTO.]]=$B42,IF(DATOS_[[Check Periodo Ref.]:[Check Periodo Ref.]]="Dentro",IF(DATOS_[[Check Equiparado]:[Check Equiparado]]="Sí",IF(DATOS!AH$5="Sí",(1/DATOS_[[% anualiz]:[% anualiz]]),1)*IF(DATOS!AH$4="Sí",1/DATOS_[[% normaliz]:[% normaliz]],1)*(DATOS_[Conc.Sal.04])))))))),
0)</f>
        <v>0</v>
      </c>
      <c r="N43" s="101">
        <f t="array" ref="N43">IFERROR(
(AVERAGE((IF(DATOS_[[Sexo]:[Sexo]]=$B43,IF(DATOS_[[AGRUP. VALOR. PTO.]:[AGRUP. VALOR. PTO.]]=$B42,IF(DATOS_[[Check Periodo Ref.]:[Check Periodo Ref.]]="Dentro",IF(DATOS_[[Check Equiparado]:[Check Equiparado]]="Sí",IF(DATOS!AI$5="Sí",(1/DATOS_[[% anualiz]:[% anualiz]]),1)*IF(DATOS!AI$4="Sí",1/DATOS_[[% normaliz]:[% normaliz]],1)*(DATOS_[Conc.Sal.05])))))))),
0)</f>
        <v>0</v>
      </c>
      <c r="O43" s="101">
        <f t="array" ref="O43">IFERROR(
(AVERAGE((IF(DATOS_[[Sexo]:[Sexo]]=$B43,IF(DATOS_[[AGRUP. VALOR. PTO.]:[AGRUP. VALOR. PTO.]]=$B42,IF(DATOS_[[Check Periodo Ref.]:[Check Periodo Ref.]]="Dentro",IF(DATOS_[[Check Equiparado]:[Check Equiparado]]="Sí",IF(DATOS!AJ$5="Sí",(1/DATOS_[[% anualiz]:[% anualiz]]),1)*IF(DATOS!AJ$4="Sí",1/DATOS_[[% normaliz]:[% normaliz]],1)*(DATOS_[Conc.Sal.06])))))))),
0)</f>
        <v>0</v>
      </c>
      <c r="P43" s="101">
        <f t="array" ref="P43">IFERROR(
(AVERAGE((IF(DATOS_[[Sexo]:[Sexo]]=$B43,IF(DATOS_[[AGRUP. VALOR. PTO.]:[AGRUP. VALOR. PTO.]]=$B42,IF(DATOS_[[Check Periodo Ref.]:[Check Periodo Ref.]]="Dentro",IF(DATOS_[[Check Equiparado]:[Check Equiparado]]="Sí",IF(DATOS!AK$5="Sí",(1/DATOS_[[% anualiz]:[% anualiz]]),1)*IF(DATOS!AK$4="Sí",1/DATOS_[[% normaliz]:[% normaliz]],1)*(DATOS_[Conc.Sal.07])))))))),
0)</f>
        <v>0</v>
      </c>
      <c r="Q43" s="101">
        <f t="array" ref="Q43">IFERROR(
(AVERAGE((IF(DATOS_[[Sexo]:[Sexo]]=$B43,IF(DATOS_[[AGRUP. VALOR. PTO.]:[AGRUP. VALOR. PTO.]]=$B42,IF(DATOS_[[Check Periodo Ref.]:[Check Periodo Ref.]]="Dentro",IF(DATOS_[[Check Equiparado]:[Check Equiparado]]="Sí",IF(DATOS!AL$5="Sí",(1/DATOS_[[% anualiz]:[% anualiz]]),1)*IF(DATOS!AL$4="Sí",1/DATOS_[[% normaliz]:[% normaliz]],1)*(DATOS_[Conc.Sal.08])))))))),
0)</f>
        <v>0</v>
      </c>
      <c r="R43" s="101">
        <f t="array" ref="R43">IFERROR(
(AVERAGE((IF(DATOS_[[Sexo]:[Sexo]]=$B43,IF(DATOS_[[AGRUP. VALOR. PTO.]:[AGRUP. VALOR. PTO.]]=$B42,IF(DATOS_[[Check Periodo Ref.]:[Check Periodo Ref.]]="Dentro",IF(DATOS_[[Check Equiparado]:[Check Equiparado]]="Sí",IF(DATOS!AM$5="Sí",(1/DATOS_[[% anualiz]:[% anualiz]]),1)*IF(DATOS!AM$4="Sí",1/DATOS_[[% normaliz]:[% normaliz]],1)*(DATOS_[Conc.Sal.09])))))))),
0)</f>
        <v>0</v>
      </c>
      <c r="S43" s="101">
        <f t="array" ref="S43">IFERROR(
(AVERAGE((IF(DATOS_[[Sexo]:[Sexo]]=$B43,IF(DATOS_[[AGRUP. VALOR. PTO.]:[AGRUP. VALOR. PTO.]]=$B42,IF(DATOS_[[Check Periodo Ref.]:[Check Periodo Ref.]]="Dentro",IF(DATOS_[[Check Equiparado]:[Check Equiparado]]="Sí",IF(DATOS!AN$5="Sí",(1/DATOS_[[% anualiz]:[% anualiz]]),1)*IF(DATOS!AN$4="Sí",1/DATOS_[[% normaliz]:[% normaliz]],1)*(DATOS_[Conc.Sal.10])))))))),
0)</f>
        <v>0</v>
      </c>
      <c r="T43" s="101">
        <f t="array" ref="T43">IFERROR(
(AVERAGE((IF(DATOS_[[Sexo]:[Sexo]]=$B43,IF(DATOS_[[AGRUP. VALOR. PTO.]:[AGRUP. VALOR. PTO.]]=$B42,IF(DATOS_[[Check Periodo Ref.]:[Check Periodo Ref.]]="Dentro",IF(DATOS_[[Check Equiparado]:[Check Equiparado]]="Sí",IF(DATOS!AO$5="Sí",(1/DATOS_[[% anualiz]:[% anualiz]]),1)*IF(DATOS!AO$4="Sí",1/DATOS_[[% normaliz]:[% normaliz]],1)*(DATOS_[Conc.Sal.11])))))))),
0)</f>
        <v>0</v>
      </c>
      <c r="U43" s="101">
        <f t="array" ref="U43">IFERROR(
(AVERAGE((IF(DATOS_[[Sexo]:[Sexo]]=$B43,IF(DATOS_[[AGRUP. VALOR. PTO.]:[AGRUP. VALOR. PTO.]]=$B42,IF(DATOS_[[Check Periodo Ref.]:[Check Periodo Ref.]]="Dentro",IF(DATOS_[[Check Equiparado]:[Check Equiparado]]="Sí",IF(DATOS!AP$5="Sí",(1/DATOS_[[% anualiz]:[% anualiz]]),1)*IF(DATOS!AP$4="Sí",1/DATOS_[[% normaliz]:[% normaliz]],1)*(DATOS_[Conc.Sal.12])))))))),
0)</f>
        <v>0</v>
      </c>
      <c r="V43" s="101">
        <f t="array" ref="V43">IFERROR(
(AVERAGE((IF(DATOS_[[Sexo]:[Sexo]]=$B43,IF(DATOS_[[AGRUP. VALOR. PTO.]:[AGRUP. VALOR. PTO.]]=$B42,IF(DATOS_[[Check Periodo Ref.]:[Check Periodo Ref.]]="Dentro",IF(DATOS_[[Check Equiparado]:[Check Equiparado]]="Sí",IF(DATOS!AQ$5="Sí",(1/DATOS_[[% anualiz]:[% anualiz]]),1)*IF(DATOS!AQ$4="Sí",1/DATOS_[[% normaliz]:[% normaliz]],1)*(DATOS_[Conc.Sal.13])))))))),
0)</f>
        <v>0</v>
      </c>
      <c r="W43" s="101">
        <f t="array" ref="W43">IFERROR(
(AVERAGE((IF(DATOS_[[Sexo]:[Sexo]]=$B43,IF(DATOS_[[AGRUP. VALOR. PTO.]:[AGRUP. VALOR. PTO.]]=$B42,IF(DATOS_[[Check Periodo Ref.]:[Check Periodo Ref.]]="Dentro",IF(DATOS_[[Check Equiparado]:[Check Equiparado]]="Sí",IF(DATOS!AR$5="Sí",(1/DATOS_[[% anualiz]:[% anualiz]]),1)*IF(DATOS!AR$4="Sí",1/DATOS_[[% normaliz]:[% normaliz]],1)*(DATOS_[Conc.Sal.14])))))))),
0)</f>
        <v>0</v>
      </c>
      <c r="X43" s="101">
        <f t="array" ref="X43">IFERROR(
(AVERAGE((IF(DATOS_[[Sexo]:[Sexo]]=$B43,IF(DATOS_[[AGRUP. VALOR. PTO.]:[AGRUP. VALOR. PTO.]]=$B42,IF(DATOS_[[Check Periodo Ref.]:[Check Periodo Ref.]]="Dentro",IF(DATOS_[[Check Equiparado]:[Check Equiparado]]="Sí",IF(DATOS!AS$5="Sí",(1/DATOS_[[% anualiz]:[% anualiz]]),1)*IF(DATOS!AS$4="Sí",1/DATOS_[[% normaliz]:[% normaliz]],1)*(DATOS_[Conc.Sal.15])))))))),
0)</f>
        <v>0</v>
      </c>
      <c r="Y43" s="101">
        <f t="array" ref="Y43">IFERROR(
(AVERAGE((IF(DATOS_[[Sexo]:[Sexo]]=$B43,IF(DATOS_[[AGRUP. VALOR. PTO.]:[AGRUP. VALOR. PTO.]]=$B42,IF(DATOS_[[Check Periodo Ref.]:[Check Periodo Ref.]]="Dentro",IF(DATOS_[[Check Equiparado]:[Check Equiparado]]="Sí",IF(DATOS!AT$5="Sí",(1/DATOS_[[% anualiz]:[% anualiz]]),1)*IF(DATOS!AT$4="Sí",1/DATOS_[[% normaliz]:[% normaliz]],1)*(DATOS_[Conc.Sal.16])))))))),
0)</f>
        <v>0</v>
      </c>
      <c r="Z43" s="101">
        <f t="array" ref="Z43">IFERROR(
(AVERAGE((IF(DATOS_[[Sexo]:[Sexo]]=$B43,IF(DATOS_[[AGRUP. VALOR. PTO.]:[AGRUP. VALOR. PTO.]]=$B42,IF(DATOS_[[Check Periodo Ref.]:[Check Periodo Ref.]]="Dentro",IF(DATOS_[[Check Equiparado]:[Check Equiparado]]="Sí",IF(DATOS!AU$5="Sí",(1/DATOS_[[% anualiz]:[% anualiz]]),1)*IF(DATOS!AU$4="Sí",1/DATOS_[[% normaliz]:[% normaliz]],1)*(DATOS_[Conc.Sal.17])))))))),
0)</f>
        <v>0</v>
      </c>
      <c r="AA43" s="101">
        <f t="array" ref="AA43">IFERROR(
(AVERAGE((IF(DATOS_[[Sexo]:[Sexo]]=$B43,IF(DATOS_[[AGRUP. VALOR. PTO.]:[AGRUP. VALOR. PTO.]]=$B42,IF(DATOS_[[Check Periodo Ref.]:[Check Periodo Ref.]]="Dentro",IF(DATOS_[[Check Equiparado]:[Check Equiparado]]="Sí",IF(DATOS!AV$5="Sí",(1/DATOS_[[% anualiz]:[% anualiz]]),1)*IF(DATOS!AV$4="Sí",1/DATOS_[[% normaliz]:[% normaliz]],1)*(DATOS_[Conc.Sal.18])))))))),
0)</f>
        <v>0</v>
      </c>
      <c r="AB43" s="101">
        <f t="array" ref="AB43">IFERROR(
(AVERAGE((IF(DATOS_[[Sexo]:[Sexo]]=$B43,IF(DATOS_[[AGRUP. VALOR. PTO.]:[AGRUP. VALOR. PTO.]]=$B42,IF(DATOS_[[Check Periodo Ref.]:[Check Periodo Ref.]]="Dentro",IF(DATOS_[[Check Equiparado]:[Check Equiparado]]="Sí",IF(DATOS!AW$5="Sí",(1/DATOS_[[% anualiz]:[% anualiz]]),1)*IF(DATOS!AW$4="Sí",1/DATOS_[[% normaliz]:[% normaliz]],1)*(DATOS_[Conc.Sal.19])))))))),
0)</f>
        <v>0</v>
      </c>
      <c r="AC43" s="101">
        <f t="array" ref="AC43">IFERROR(
(AVERAGE((IF(DATOS_[[Sexo]:[Sexo]]=$B43,IF(DATOS_[[AGRUP. VALOR. PTO.]:[AGRUP. VALOR. PTO.]]=$B42,IF(DATOS_[[Check Periodo Ref.]:[Check Periodo Ref.]]="Dentro",IF(DATOS_[[Check Equiparado]:[Check Equiparado]]="Sí",IF(DATOS!AX$5="Sí",(1/DATOS_[[% anualiz]:[% anualiz]]),1)*IF(DATOS!AX$4="Sí",1/DATOS_[[% normaliz]:[% normaliz]],1)*(DATOS_[Conc.Sal.20])))))))),
0)</f>
        <v>0</v>
      </c>
      <c r="AD43" s="101">
        <f t="array" ref="AD43">IFERROR(
(AVERAGE((IF(DATOS_[[Sexo]:[Sexo]]=$B43,IF(DATOS_[[AGRUP. VALOR. PTO.]:[AGRUP. VALOR. PTO.]]=$B42,IF(DATOS_[[Check Periodo Ref.]:[Check Periodo Ref.]]="Dentro",IF(DATOS_[[Check Equiparado]:[Check Equiparado]]="Sí",IF(DATOS!AY$5="Sí",(1/DATOS_[[% anualiz]:[% anualiz]]),1)*IF(DATOS!AY$4="Sí",1/DATOS_[[% normaliz]:[% normaliz]],1)*(DATOS_[Conc.Sal.21])))))))),
0)</f>
        <v>0</v>
      </c>
      <c r="AE43" s="101">
        <f t="array" ref="AE43">IFERROR(
(AVERAGE((IF(DATOS_[[Sexo]:[Sexo]]=$B43,IF(DATOS_[[AGRUP. VALOR. PTO.]:[AGRUP. VALOR. PTO.]]=$B42,IF(DATOS_[[Check Periodo Ref.]:[Check Periodo Ref.]]="Dentro",IF(DATOS_[[Check Equiparado]:[Check Equiparado]]="Sí",IF(DATOS!AZ$5="Sí",(1/DATOS_[[% anualiz]:[% anualiz]]),1)*IF(DATOS!AZ$4="Sí",1/DATOS_[[% normaliz]:[% normaliz]],1)*(DATOS_[Conc.Sal.22])))))))),
0)</f>
        <v>0</v>
      </c>
      <c r="AF43" s="101">
        <f t="array" ref="AF43">IFERROR(
(AVERAGE((IF(DATOS_[[Sexo]:[Sexo]]=$B43,IF(DATOS_[[AGRUP. VALOR. PTO.]:[AGRUP. VALOR. PTO.]]=$B42,IF(DATOS_[[Check Periodo Ref.]:[Check Periodo Ref.]]="Dentro",IF(DATOS_[[Check Equiparado]:[Check Equiparado]]="Sí",IF(DATOS!BA$5="Sí",(1/DATOS_[[% anualiz]:[% anualiz]]),1)*IF(DATOS!BA$4="Sí",1/DATOS_[[% normaliz]:[% normaliz]],1)*(DATOS_[Conc.Sal.23])))))))),
0)</f>
        <v>0</v>
      </c>
      <c r="AG43" s="101">
        <f t="array" ref="AG43">IFERROR(
(AVERAGE((IF(DATOS_[[Sexo]:[Sexo]]=$B43,IF(DATOS_[[AGRUP. VALOR. PTO.]:[AGRUP. VALOR. PTO.]]=$B42,IF(DATOS_[[Check Periodo Ref.]:[Check Periodo Ref.]]="Dentro",IF(DATOS_[[Check Equiparado]:[Check Equiparado]]="Sí",IF(DATOS!BB$5="Sí",(1/DATOS_[[% anualiz]:[% anualiz]]),1)*IF(DATOS!BB$4="Sí",1/DATOS_[[% normaliz]:[% normaliz]],1)*(DATOS_[Conc.Sal.24])))))))),
0)</f>
        <v>0</v>
      </c>
      <c r="AH43" s="101">
        <f t="array" ref="AH43">IFERROR(
(AVERAGE((IF(DATOS_[[Sexo]:[Sexo]]=$B43,IF(DATOS_[[AGRUP. VALOR. PTO.]:[AGRUP. VALOR. PTO.]]=$B42,IF(DATOS_[[Check Periodo Ref.]:[Check Periodo Ref.]]="Dentro",IF(DATOS_[[Check Equiparado]:[Check Equiparado]]="Sí",IF(DATOS!BC$5="Sí",(1/DATOS_[[% anualiz]:[% anualiz]]),1)*IF(DATOS!BC$4="Sí",1/DATOS_[[% normaliz]:[% normaliz]],1)*(DATOS_[Conc.Sal.25])))))))),
0)</f>
        <v>0</v>
      </c>
      <c r="AI43" s="101">
        <f t="array" ref="AI43">IFERROR(
(AVERAGE((IF(DATOS_[[Sexo]:[Sexo]]=$B43,IF(DATOS_[[AGRUP. VALOR. PTO.]:[AGRUP. VALOR. PTO.]]=$B42,IF(DATOS_[[Check Periodo Ref.]:[Check Periodo Ref.]]="Dentro",IF(DATOS_[[Check Equiparado]:[Check Equiparado]]="Sí",IF(DATOS!BD$5="Sí",(1/DATOS_[[% anualiz]:[% anualiz]]),1)*IF(DATOS!BD$4="Sí",1/DATOS_[[% normaliz]:[% normaliz]],1)*(DATOS_[Conc.Sal.26])))))))),
0)</f>
        <v>0</v>
      </c>
      <c r="AJ43" s="101">
        <f t="array" ref="AJ43">IFERROR(
(AVERAGE((IF(DATOS_[[Sexo]:[Sexo]]=$B43,IF(DATOS_[[AGRUP. VALOR. PTO.]:[AGRUP. VALOR. PTO.]]=$B42,IF(DATOS_[[Check Periodo Ref.]:[Check Periodo Ref.]]="Dentro",IF(DATOS_[[Check Equiparado]:[Check Equiparado]]="Sí",IF(DATOS!BE$5="Sí",(1/DATOS_[[% anualiz]:[% anualiz]]),1)*IF(DATOS!BE$4="Sí",1/DATOS_[[% normaliz]:[% normaliz]],1)*(DATOS_[Conc.Sal.27])))))))),
0)</f>
        <v>0</v>
      </c>
      <c r="AK43" s="101">
        <f t="array" ref="AK43">IFERROR(
(AVERAGE((IF(DATOS_[[Sexo]:[Sexo]]=$B43,IF(DATOS_[[AGRUP. VALOR. PTO.]:[AGRUP. VALOR. PTO.]]=$B42,IF(DATOS_[[Check Periodo Ref.]:[Check Periodo Ref.]]="Dentro",IF(DATOS_[[Check Equiparado]:[Check Equiparado]]="Sí",IF(DATOS!BF$5="Sí",(1/DATOS_[[% anualiz]:[% anualiz]]),1)*IF(DATOS!BF$4="Sí",1/DATOS_[[% normaliz]:[% normaliz]],1)*(DATOS_[Conc.Sal.28])))))))),
0)</f>
        <v>0</v>
      </c>
      <c r="AL43" s="101">
        <f t="array" ref="AL43">IFERROR(
(AVERAGE((IF(DATOS_[[Sexo]:[Sexo]]=$B43,IF(DATOS_[[AGRUP. VALOR. PTO.]:[AGRUP. VALOR. PTO.]]=$B42,IF(DATOS_[[Check Periodo Ref.]:[Check Periodo Ref.]]="Dentro",IF(DATOS_[[Check Equiparado]:[Check Equiparado]]="Sí",IF(DATOS!BG$5="Sí",(1/DATOS_[[% anualiz]:[% anualiz]]),1)*IF(DATOS!BG$4="Sí",1/DATOS_[[% normaliz]:[% normaliz]],1)*(DATOS_[Conc.Sal.29])))))))),
0)</f>
        <v>0</v>
      </c>
      <c r="AM43" s="101">
        <f t="array" ref="AM43">IFERROR(
(AVERAGE((IF(DATOS_[[Sexo]:[Sexo]]=$B43,IF(DATOS_[[AGRUP. VALOR. PTO.]:[AGRUP. VALOR. PTO.]]=$B42,IF(DATOS_[[Check Periodo Ref.]:[Check Periodo Ref.]]="Dentro",IF(DATOS_[[Check Equiparado]:[Check Equiparado]]="Sí",IF(DATOS!BH$5="Sí",(1/DATOS_[[% anualiz]:[% anualiz]]),1)*IF(DATOS!BH$4="Sí",1/DATOS_[[% normaliz]:[% normaliz]],1)*(DATOS_[Conc.Sal.30])))))))),
0)</f>
        <v>0</v>
      </c>
      <c r="AN43" s="102">
        <f t="array" ref="AN43">IFERROR(
AVERAGE(IF(DATOS_[Sexo]=$B43,IF(DATOS_[[AGRUP. VALOR. PTO.]:[AGRUP. VALOR. PTO.]]=$B42,IF(DATOS_[Check Equiparado]="Sí",IF(DATOS_[Check Periodo Ref.]="Dentro",DATOS_[Tot COMPL.SAL Eq],FALSE))))),
0)</f>
        <v>0</v>
      </c>
      <c r="AO43" s="103">
        <f t="array" ref="AO43">IFERROR(
AVERAGE(IF(DATOS_[Sexo]=$B43,IF(DATOS_[[AGRUP. VALOR. PTO.]:[AGRUP. VALOR. PTO.]]=$B42,IF(DATOS_[Check Equiparado]="Sí",IF(DATOS_[Check Periodo Ref.]="Dentro",DATOS_[TOTAL SALARIO Eq],FALSE))))),
0)</f>
        <v>0</v>
      </c>
      <c r="AP43" s="104">
        <f t="array" ref="AP43">IFERROR(
(AVERAGE((IF(DATOS_[[Sexo]:[Sexo]]=$B43,IF(DATOS_[[AGRUP. VALOR. PTO.]:[AGRUP. VALOR. PTO.]]=$B42,IF(DATOS_[[Check Periodo Ref.]:[Check Periodo Ref.]]="Dentro",IF(DATOS_[[Check Equiparado]:[Check Equiparado]]="Sí",IF(DATOS!BI$5="Sí",(1/DATOS_[[% anualiz]:[% anualiz]]),1)*IF(DATOS!BI$4="Sí",1/DATOS_[[% normaliz]:[% normaliz]],1)*(DATOS_[C.Extra.01])))))))),
0)</f>
        <v>0</v>
      </c>
      <c r="AQ43" s="104">
        <f t="array" ref="AQ43">IFERROR(
(AVERAGE((IF(DATOS_[[Sexo]:[Sexo]]=$B43,IF(DATOS_[[AGRUP. VALOR. PTO.]:[AGRUP. VALOR. PTO.]]=$B42,IF(DATOS_[[Check Periodo Ref.]:[Check Periodo Ref.]]="Dentro",IF(DATOS_[[Check Equiparado]:[Check Equiparado]]="Sí",IF(DATOS!BJ$5="Sí",(1/DATOS_[[% anualiz]:[% anualiz]]),1)*IF(DATOS!BJ$4="Sí",1/DATOS_[[% normaliz]:[% normaliz]],1)*(DATOS_[C.Extra.02])))))))),
0)</f>
        <v>0</v>
      </c>
      <c r="AR43" s="104">
        <f t="array" ref="AR43">IFERROR(
(AVERAGE((IF(DATOS_[[Sexo]:[Sexo]]=$B43,IF(DATOS_[[AGRUP. VALOR. PTO.]:[AGRUP. VALOR. PTO.]]=$B42,IF(DATOS_[[Check Periodo Ref.]:[Check Periodo Ref.]]="Dentro",IF(DATOS_[[Check Equiparado]:[Check Equiparado]]="Sí",IF(DATOS!BK$5="Sí",(1/DATOS_[[% anualiz]:[% anualiz]]),1)*IF(DATOS!BK$4="Sí",1/DATOS_[[% normaliz]:[% normaliz]],1)*(DATOS_[C.Extra.03])))))))),
0)</f>
        <v>0</v>
      </c>
      <c r="AS43" s="104">
        <f t="array" ref="AS43">IFERROR(
(AVERAGE((IF(DATOS_[[Sexo]:[Sexo]]=$B43,IF(DATOS_[[AGRUP. VALOR. PTO.]:[AGRUP. VALOR. PTO.]]=$B42,IF(DATOS_[[Check Periodo Ref.]:[Check Periodo Ref.]]="Dentro",IF(DATOS_[[Check Equiparado]:[Check Equiparado]]="Sí",IF(DATOS!BL$5="Sí",(1/DATOS_[[% anualiz]:[% anualiz]]),1)*IF(DATOS!BL$4="Sí",1/DATOS_[[% normaliz]:[% normaliz]],1)*(DATOS_[C.Extra.04])))))))),
0)</f>
        <v>0</v>
      </c>
      <c r="AT43" s="104">
        <f t="array" ref="AT43">IFERROR(
(AVERAGE((IF(DATOS_[[Sexo]:[Sexo]]=$B43,IF(DATOS_[[AGRUP. VALOR. PTO.]:[AGRUP. VALOR. PTO.]]=$B42,IF(DATOS_[[Check Periodo Ref.]:[Check Periodo Ref.]]="Dentro",IF(DATOS_[[Check Equiparado]:[Check Equiparado]]="Sí",IF(DATOS!BM$5="Sí",(1/DATOS_[[% anualiz]:[% anualiz]]),1)*IF(DATOS!BM$4="Sí",1/DATOS_[[% normaliz]:[% normaliz]],1)*(DATOS_[C.Extra.05])))))))),
0)</f>
        <v>0</v>
      </c>
      <c r="AU43" s="105">
        <f t="array" ref="AU43">IFERROR(
AVERAGE(IF(DATOS_[Sexo]=$B43,IF(DATOS_[[AGRUP. VALOR. PTO.]:[AGRUP. VALOR. PTO.]]=$B42,IF(DATOS_[Check Equiparado]="Sí",IF(DATOS_[Check Periodo Ref.]="Dentro",DATOS_[Tot Extrasalarial Eq],FALSE))))),
0)</f>
        <v>0</v>
      </c>
      <c r="AV43" s="106">
        <f t="array" ref="AV43">IFERROR(
AVERAGE(IF(DATOS_[Sexo]=$B43,IF(DATOS_[[AGRUP. VALOR. PTO.]:[AGRUP. VALOR. PTO.]]=$B42,IF(DATOS_[Check Equiparado]="Sí",IF(DATOS_[Check Periodo Ref.]="Dentro",DATOS_[TOTAL Retrib Eq],FALSE))))),
0)</f>
        <v>0</v>
      </c>
    </row>
    <row r="44" spans="1:48" hidden="1" x14ac:dyDescent="0.3">
      <c r="A44" s="53" t="str">
        <f t="shared" ref="A44" si="42">+A43</f>
        <v>[ocultar]</v>
      </c>
      <c r="B44" s="57" t="s">
        <v>163</v>
      </c>
      <c r="C44" s="56">
        <f t="array" ref="C44">SUM(IF($B44=DATOS_[Sexo],
IF($B42=DATOS_[AGRUP. VALOR. PTO.],
IF("Dentro"=DATOS_[Check Periodo Ref.],
1/(COUNTIFS(DATOS_[Sexo],$B44,DATOS_[AGRUP. VALOR. PTO.],$B42,DATOS_[Check Periodo Ref.],"Dentro",DATOS_[id],DATOS_[id]))))))</f>
        <v>0</v>
      </c>
      <c r="D44" s="58">
        <f>COUNTIFS(DATOS_[AGRUP. VALOR. PTO.],$B42,DATOS_[Sexo],$B44,DATOS_[Check Periodo Ref.],"Dentro")</f>
        <v>0</v>
      </c>
      <c r="E44" s="58">
        <f>COUNTIFS(DATOS_[AGRUP. VALOR. PTO.],$B42,DATOS_[Sexo],$B44,DATOS_[Check Periodo Ref.],"Dentro",DATOS_[Check Nº SC Norm],"Sí")</f>
        <v>0</v>
      </c>
      <c r="F44" s="58">
        <f>COUNTIFS(DATOS_[AGRUP. VALOR. PTO.],$B42,DATOS_[Sexo],$B44,DATOS_[Check Periodo Ref.],"Dentro",DATOS_[Check Nº SC Anualiz],"Sí")</f>
        <v>0</v>
      </c>
      <c r="G44" s="58">
        <f>COUNTIFS(DATOS_[AGRUP. VALOR. PTO.],$B42,DATOS_[Sexo],$B44,DATOS_[Check Periodo Ref.],"Dentro",DATOS_[Check Nº SC Norm y Anualiz],"Sí")</f>
        <v>0</v>
      </c>
      <c r="H44" s="58">
        <f>COUNTIFS(DATOS_[AGRUP. VALOR. PTO.],$B42,DATOS_[Sexo],$B44,DATOS_[Check Periodo Ref.],"Dentro",DATOS_[Check Equiparación],"Sí")</f>
        <v>0</v>
      </c>
      <c r="I44" s="100" cm="1">
        <f t="array" ref="I44">IFERROR(
AVERAGE(IF(DATOS_[Sexo]=$B44,IF(DATOS_[[AGRUP. VALOR. PTO.]:[AGRUP. VALOR. PTO.]]=$B42,IF(DATOS_[Check Equiparado]="Sí",IF(DATOS_[Check Periodo Ref.]="Dentro",DATOS_[SALARIO BASE Eq],FALSE))))),
0)</f>
        <v>0</v>
      </c>
      <c r="J44" s="101">
        <f t="array" ref="J44">IFERROR(
(AVERAGE((IF(DATOS_[[Sexo]:[Sexo]]=$B44,IF(DATOS_[[AGRUP. VALOR. PTO.]:[AGRUP. VALOR. PTO.]]=$B42,IF(DATOS_[[Check Periodo Ref.]:[Check Periodo Ref.]]="Dentro",IF(DATOS_[[Check Equiparado]:[Check Equiparado]]="Sí",IF(DATOS!AE$5="Sí",(1/DATOS_[[% anualiz]:[% anualiz]]),1)*IF(DATOS!AE$4="Sí",1/DATOS_[[% normaliz]:[% normaliz]],1)*(DATOS_[Conc.Sal.01])))))))),
0)</f>
        <v>0</v>
      </c>
      <c r="K44" s="101">
        <f t="array" ref="K44">IFERROR(
(AVERAGE((IF(DATOS_[[Sexo]:[Sexo]]=$B44,IF(DATOS_[[AGRUP. VALOR. PTO.]:[AGRUP. VALOR. PTO.]]=$B42,IF(DATOS_[[Check Periodo Ref.]:[Check Periodo Ref.]]="Dentro",IF(DATOS_[[Check Equiparado]:[Check Equiparado]]="Sí",IF(DATOS!AF$5="Sí",(1/DATOS_[[% anualiz]:[% anualiz]]),1)*IF(DATOS!AF$4="Sí",1/DATOS_[[% normaliz]:[% normaliz]],1)*(DATOS_[Conc.Sal.02])))))))),
0)</f>
        <v>0</v>
      </c>
      <c r="L44" s="101">
        <f t="array" ref="L44">IFERROR(
(AVERAGE((IF(DATOS_[[Sexo]:[Sexo]]=$B44,IF(DATOS_[[AGRUP. VALOR. PTO.]:[AGRUP. VALOR. PTO.]]=$B42,IF(DATOS_[[Check Periodo Ref.]:[Check Periodo Ref.]]="Dentro",IF(DATOS_[[Check Equiparado]:[Check Equiparado]]="Sí",IF(DATOS!AG$5="Sí",(1/DATOS_[[% anualiz]:[% anualiz]]),1)*IF(DATOS!AG$4="Sí",1/DATOS_[[% normaliz]:[% normaliz]],1)*(DATOS_[Conc.Sal.03])))))))),
0)</f>
        <v>0</v>
      </c>
      <c r="M44" s="101">
        <f t="array" ref="M44">IFERROR(
(AVERAGE((IF(DATOS_[[Sexo]:[Sexo]]=$B44,IF(DATOS_[[AGRUP. VALOR. PTO.]:[AGRUP. VALOR. PTO.]]=$B42,IF(DATOS_[[Check Periodo Ref.]:[Check Periodo Ref.]]="Dentro",IF(DATOS_[[Check Equiparado]:[Check Equiparado]]="Sí",IF(DATOS!AH$5="Sí",(1/DATOS_[[% anualiz]:[% anualiz]]),1)*IF(DATOS!AH$4="Sí",1/DATOS_[[% normaliz]:[% normaliz]],1)*(DATOS_[Conc.Sal.04])))))))),
0)</f>
        <v>0</v>
      </c>
      <c r="N44" s="101">
        <f t="array" ref="N44">IFERROR(
(AVERAGE((IF(DATOS_[[Sexo]:[Sexo]]=$B44,IF(DATOS_[[AGRUP. VALOR. PTO.]:[AGRUP. VALOR. PTO.]]=$B42,IF(DATOS_[[Check Periodo Ref.]:[Check Periodo Ref.]]="Dentro",IF(DATOS_[[Check Equiparado]:[Check Equiparado]]="Sí",IF(DATOS!AI$5="Sí",(1/DATOS_[[% anualiz]:[% anualiz]]),1)*IF(DATOS!AI$4="Sí",1/DATOS_[[% normaliz]:[% normaliz]],1)*(DATOS_[Conc.Sal.05])))))))),
0)</f>
        <v>0</v>
      </c>
      <c r="O44" s="101">
        <f t="array" ref="O44">IFERROR(
(AVERAGE((IF(DATOS_[[Sexo]:[Sexo]]=$B44,IF(DATOS_[[AGRUP. VALOR. PTO.]:[AGRUP. VALOR. PTO.]]=$B42,IF(DATOS_[[Check Periodo Ref.]:[Check Periodo Ref.]]="Dentro",IF(DATOS_[[Check Equiparado]:[Check Equiparado]]="Sí",IF(DATOS!AJ$5="Sí",(1/DATOS_[[% anualiz]:[% anualiz]]),1)*IF(DATOS!AJ$4="Sí",1/DATOS_[[% normaliz]:[% normaliz]],1)*(DATOS_[Conc.Sal.06])))))))),
0)</f>
        <v>0</v>
      </c>
      <c r="P44" s="101">
        <f t="array" ref="P44">IFERROR(
(AVERAGE((IF(DATOS_[[Sexo]:[Sexo]]=$B44,IF(DATOS_[[AGRUP. VALOR. PTO.]:[AGRUP. VALOR. PTO.]]=$B42,IF(DATOS_[[Check Periodo Ref.]:[Check Periodo Ref.]]="Dentro",IF(DATOS_[[Check Equiparado]:[Check Equiparado]]="Sí",IF(DATOS!AK$5="Sí",(1/DATOS_[[% anualiz]:[% anualiz]]),1)*IF(DATOS!AK$4="Sí",1/DATOS_[[% normaliz]:[% normaliz]],1)*(DATOS_[Conc.Sal.07])))))))),
0)</f>
        <v>0</v>
      </c>
      <c r="Q44" s="101">
        <f t="array" ref="Q44">IFERROR(
(AVERAGE((IF(DATOS_[[Sexo]:[Sexo]]=$B44,IF(DATOS_[[AGRUP. VALOR. PTO.]:[AGRUP. VALOR. PTO.]]=$B42,IF(DATOS_[[Check Periodo Ref.]:[Check Periodo Ref.]]="Dentro",IF(DATOS_[[Check Equiparado]:[Check Equiparado]]="Sí",IF(DATOS!AL$5="Sí",(1/DATOS_[[% anualiz]:[% anualiz]]),1)*IF(DATOS!AL$4="Sí",1/DATOS_[[% normaliz]:[% normaliz]],1)*(DATOS_[Conc.Sal.08])))))))),
0)</f>
        <v>0</v>
      </c>
      <c r="R44" s="101">
        <f t="array" ref="R44">IFERROR(
(AVERAGE((IF(DATOS_[[Sexo]:[Sexo]]=$B44,IF(DATOS_[[AGRUP. VALOR. PTO.]:[AGRUP. VALOR. PTO.]]=$B42,IF(DATOS_[[Check Periodo Ref.]:[Check Periodo Ref.]]="Dentro",IF(DATOS_[[Check Equiparado]:[Check Equiparado]]="Sí",IF(DATOS!AM$5="Sí",(1/DATOS_[[% anualiz]:[% anualiz]]),1)*IF(DATOS!AM$4="Sí",1/DATOS_[[% normaliz]:[% normaliz]],1)*(DATOS_[Conc.Sal.09])))))))),
0)</f>
        <v>0</v>
      </c>
      <c r="S44" s="101">
        <f t="array" ref="S44">IFERROR(
(AVERAGE((IF(DATOS_[[Sexo]:[Sexo]]=$B44,IF(DATOS_[[AGRUP. VALOR. PTO.]:[AGRUP. VALOR. PTO.]]=$B42,IF(DATOS_[[Check Periodo Ref.]:[Check Periodo Ref.]]="Dentro",IF(DATOS_[[Check Equiparado]:[Check Equiparado]]="Sí",IF(DATOS!AN$5="Sí",(1/DATOS_[[% anualiz]:[% anualiz]]),1)*IF(DATOS!AN$4="Sí",1/DATOS_[[% normaliz]:[% normaliz]],1)*(DATOS_[Conc.Sal.10])))))))),
0)</f>
        <v>0</v>
      </c>
      <c r="T44" s="101">
        <f t="array" ref="T44">IFERROR(
(AVERAGE((IF(DATOS_[[Sexo]:[Sexo]]=$B44,IF(DATOS_[[AGRUP. VALOR. PTO.]:[AGRUP. VALOR. PTO.]]=$B42,IF(DATOS_[[Check Periodo Ref.]:[Check Periodo Ref.]]="Dentro",IF(DATOS_[[Check Equiparado]:[Check Equiparado]]="Sí",IF(DATOS!AO$5="Sí",(1/DATOS_[[% anualiz]:[% anualiz]]),1)*IF(DATOS!AO$4="Sí",1/DATOS_[[% normaliz]:[% normaliz]],1)*(DATOS_[Conc.Sal.11])))))))),
0)</f>
        <v>0</v>
      </c>
      <c r="U44" s="101">
        <f t="array" ref="U44">IFERROR(
(AVERAGE((IF(DATOS_[[Sexo]:[Sexo]]=$B44,IF(DATOS_[[AGRUP. VALOR. PTO.]:[AGRUP. VALOR. PTO.]]=$B42,IF(DATOS_[[Check Periodo Ref.]:[Check Periodo Ref.]]="Dentro",IF(DATOS_[[Check Equiparado]:[Check Equiparado]]="Sí",IF(DATOS!AP$5="Sí",(1/DATOS_[[% anualiz]:[% anualiz]]),1)*IF(DATOS!AP$4="Sí",1/DATOS_[[% normaliz]:[% normaliz]],1)*(DATOS_[Conc.Sal.12])))))))),
0)</f>
        <v>0</v>
      </c>
      <c r="V44" s="101">
        <f t="array" ref="V44">IFERROR(
(AVERAGE((IF(DATOS_[[Sexo]:[Sexo]]=$B44,IF(DATOS_[[AGRUP. VALOR. PTO.]:[AGRUP. VALOR. PTO.]]=$B42,IF(DATOS_[[Check Periodo Ref.]:[Check Periodo Ref.]]="Dentro",IF(DATOS_[[Check Equiparado]:[Check Equiparado]]="Sí",IF(DATOS!AQ$5="Sí",(1/DATOS_[[% anualiz]:[% anualiz]]),1)*IF(DATOS!AQ$4="Sí",1/DATOS_[[% normaliz]:[% normaliz]],1)*(DATOS_[Conc.Sal.13])))))))),
0)</f>
        <v>0</v>
      </c>
      <c r="W44" s="101">
        <f t="array" ref="W44">IFERROR(
(AVERAGE((IF(DATOS_[[Sexo]:[Sexo]]=$B44,IF(DATOS_[[AGRUP. VALOR. PTO.]:[AGRUP. VALOR. PTO.]]=$B42,IF(DATOS_[[Check Periodo Ref.]:[Check Periodo Ref.]]="Dentro",IF(DATOS_[[Check Equiparado]:[Check Equiparado]]="Sí",IF(DATOS!AR$5="Sí",(1/DATOS_[[% anualiz]:[% anualiz]]),1)*IF(DATOS!AR$4="Sí",1/DATOS_[[% normaliz]:[% normaliz]],1)*(DATOS_[Conc.Sal.14])))))))),
0)</f>
        <v>0</v>
      </c>
      <c r="X44" s="101">
        <f t="array" ref="X44">IFERROR(
(AVERAGE((IF(DATOS_[[Sexo]:[Sexo]]=$B44,IF(DATOS_[[AGRUP. VALOR. PTO.]:[AGRUP. VALOR. PTO.]]=$B42,IF(DATOS_[[Check Periodo Ref.]:[Check Periodo Ref.]]="Dentro",IF(DATOS_[[Check Equiparado]:[Check Equiparado]]="Sí",IF(DATOS!AS$5="Sí",(1/DATOS_[[% anualiz]:[% anualiz]]),1)*IF(DATOS!AS$4="Sí",1/DATOS_[[% normaliz]:[% normaliz]],1)*(DATOS_[Conc.Sal.15])))))))),
0)</f>
        <v>0</v>
      </c>
      <c r="Y44" s="101">
        <f t="array" ref="Y44">IFERROR(
(AVERAGE((IF(DATOS_[[Sexo]:[Sexo]]=$B44,IF(DATOS_[[AGRUP. VALOR. PTO.]:[AGRUP. VALOR. PTO.]]=$B42,IF(DATOS_[[Check Periodo Ref.]:[Check Periodo Ref.]]="Dentro",IF(DATOS_[[Check Equiparado]:[Check Equiparado]]="Sí",IF(DATOS!AT$5="Sí",(1/DATOS_[[% anualiz]:[% anualiz]]),1)*IF(DATOS!AT$4="Sí",1/DATOS_[[% normaliz]:[% normaliz]],1)*(DATOS_[Conc.Sal.16])))))))),
0)</f>
        <v>0</v>
      </c>
      <c r="Z44" s="101">
        <f t="array" ref="Z44">IFERROR(
(AVERAGE((IF(DATOS_[[Sexo]:[Sexo]]=$B44,IF(DATOS_[[AGRUP. VALOR. PTO.]:[AGRUP. VALOR. PTO.]]=$B42,IF(DATOS_[[Check Periodo Ref.]:[Check Periodo Ref.]]="Dentro",IF(DATOS_[[Check Equiparado]:[Check Equiparado]]="Sí",IF(DATOS!AU$5="Sí",(1/DATOS_[[% anualiz]:[% anualiz]]),1)*IF(DATOS!AU$4="Sí",1/DATOS_[[% normaliz]:[% normaliz]],1)*(DATOS_[Conc.Sal.17])))))))),
0)</f>
        <v>0</v>
      </c>
      <c r="AA44" s="101">
        <f t="array" ref="AA44">IFERROR(
(AVERAGE((IF(DATOS_[[Sexo]:[Sexo]]=$B44,IF(DATOS_[[AGRUP. VALOR. PTO.]:[AGRUP. VALOR. PTO.]]=$B42,IF(DATOS_[[Check Periodo Ref.]:[Check Periodo Ref.]]="Dentro",IF(DATOS_[[Check Equiparado]:[Check Equiparado]]="Sí",IF(DATOS!AV$5="Sí",(1/DATOS_[[% anualiz]:[% anualiz]]),1)*IF(DATOS!AV$4="Sí",1/DATOS_[[% normaliz]:[% normaliz]],1)*(DATOS_[Conc.Sal.18])))))))),
0)</f>
        <v>0</v>
      </c>
      <c r="AB44" s="101">
        <f t="array" ref="AB44">IFERROR(
(AVERAGE((IF(DATOS_[[Sexo]:[Sexo]]=$B44,IF(DATOS_[[AGRUP. VALOR. PTO.]:[AGRUP. VALOR. PTO.]]=$B42,IF(DATOS_[[Check Periodo Ref.]:[Check Periodo Ref.]]="Dentro",IF(DATOS_[[Check Equiparado]:[Check Equiparado]]="Sí",IF(DATOS!AW$5="Sí",(1/DATOS_[[% anualiz]:[% anualiz]]),1)*IF(DATOS!AW$4="Sí",1/DATOS_[[% normaliz]:[% normaliz]],1)*(DATOS_[Conc.Sal.19])))))))),
0)</f>
        <v>0</v>
      </c>
      <c r="AC44" s="101">
        <f t="array" ref="AC44">IFERROR(
(AVERAGE((IF(DATOS_[[Sexo]:[Sexo]]=$B44,IF(DATOS_[[AGRUP. VALOR. PTO.]:[AGRUP. VALOR. PTO.]]=$B42,IF(DATOS_[[Check Periodo Ref.]:[Check Periodo Ref.]]="Dentro",IF(DATOS_[[Check Equiparado]:[Check Equiparado]]="Sí",IF(DATOS!AX$5="Sí",(1/DATOS_[[% anualiz]:[% anualiz]]),1)*IF(DATOS!AX$4="Sí",1/DATOS_[[% normaliz]:[% normaliz]],1)*(DATOS_[Conc.Sal.20])))))))),
0)</f>
        <v>0</v>
      </c>
      <c r="AD44" s="101">
        <f t="array" ref="AD44">IFERROR(
(AVERAGE((IF(DATOS_[[Sexo]:[Sexo]]=$B44,IF(DATOS_[[AGRUP. VALOR. PTO.]:[AGRUP. VALOR. PTO.]]=$B42,IF(DATOS_[[Check Periodo Ref.]:[Check Periodo Ref.]]="Dentro",IF(DATOS_[[Check Equiparado]:[Check Equiparado]]="Sí",IF(DATOS!AY$5="Sí",(1/DATOS_[[% anualiz]:[% anualiz]]),1)*IF(DATOS!AY$4="Sí",1/DATOS_[[% normaliz]:[% normaliz]],1)*(DATOS_[Conc.Sal.21])))))))),
0)</f>
        <v>0</v>
      </c>
      <c r="AE44" s="101">
        <f t="array" ref="AE44">IFERROR(
(AVERAGE((IF(DATOS_[[Sexo]:[Sexo]]=$B44,IF(DATOS_[[AGRUP. VALOR. PTO.]:[AGRUP. VALOR. PTO.]]=$B42,IF(DATOS_[[Check Periodo Ref.]:[Check Periodo Ref.]]="Dentro",IF(DATOS_[[Check Equiparado]:[Check Equiparado]]="Sí",IF(DATOS!AZ$5="Sí",(1/DATOS_[[% anualiz]:[% anualiz]]),1)*IF(DATOS!AZ$4="Sí",1/DATOS_[[% normaliz]:[% normaliz]],1)*(DATOS_[Conc.Sal.22])))))))),
0)</f>
        <v>0</v>
      </c>
      <c r="AF44" s="101">
        <f t="array" ref="AF44">IFERROR(
(AVERAGE((IF(DATOS_[[Sexo]:[Sexo]]=$B44,IF(DATOS_[[AGRUP. VALOR. PTO.]:[AGRUP. VALOR. PTO.]]=$B42,IF(DATOS_[[Check Periodo Ref.]:[Check Periodo Ref.]]="Dentro",IF(DATOS_[[Check Equiparado]:[Check Equiparado]]="Sí",IF(DATOS!BA$5="Sí",(1/DATOS_[[% anualiz]:[% anualiz]]),1)*IF(DATOS!BA$4="Sí",1/DATOS_[[% normaliz]:[% normaliz]],1)*(DATOS_[Conc.Sal.23])))))))),
0)</f>
        <v>0</v>
      </c>
      <c r="AG44" s="101">
        <f t="array" ref="AG44">IFERROR(
(AVERAGE((IF(DATOS_[[Sexo]:[Sexo]]=$B44,IF(DATOS_[[AGRUP. VALOR. PTO.]:[AGRUP. VALOR. PTO.]]=$B42,IF(DATOS_[[Check Periodo Ref.]:[Check Periodo Ref.]]="Dentro",IF(DATOS_[[Check Equiparado]:[Check Equiparado]]="Sí",IF(DATOS!BB$5="Sí",(1/DATOS_[[% anualiz]:[% anualiz]]),1)*IF(DATOS!BB$4="Sí",1/DATOS_[[% normaliz]:[% normaliz]],1)*(DATOS_[Conc.Sal.24])))))))),
0)</f>
        <v>0</v>
      </c>
      <c r="AH44" s="101">
        <f t="array" ref="AH44">IFERROR(
(AVERAGE((IF(DATOS_[[Sexo]:[Sexo]]=$B44,IF(DATOS_[[AGRUP. VALOR. PTO.]:[AGRUP. VALOR. PTO.]]=$B42,IF(DATOS_[[Check Periodo Ref.]:[Check Periodo Ref.]]="Dentro",IF(DATOS_[[Check Equiparado]:[Check Equiparado]]="Sí",IF(DATOS!BC$5="Sí",(1/DATOS_[[% anualiz]:[% anualiz]]),1)*IF(DATOS!BC$4="Sí",1/DATOS_[[% normaliz]:[% normaliz]],1)*(DATOS_[Conc.Sal.25])))))))),
0)</f>
        <v>0</v>
      </c>
      <c r="AI44" s="101">
        <f t="array" ref="AI44">IFERROR(
(AVERAGE((IF(DATOS_[[Sexo]:[Sexo]]=$B44,IF(DATOS_[[AGRUP. VALOR. PTO.]:[AGRUP. VALOR. PTO.]]=$B42,IF(DATOS_[[Check Periodo Ref.]:[Check Periodo Ref.]]="Dentro",IF(DATOS_[[Check Equiparado]:[Check Equiparado]]="Sí",IF(DATOS!BD$5="Sí",(1/DATOS_[[% anualiz]:[% anualiz]]),1)*IF(DATOS!BD$4="Sí",1/DATOS_[[% normaliz]:[% normaliz]],1)*(DATOS_[Conc.Sal.26])))))))),
0)</f>
        <v>0</v>
      </c>
      <c r="AJ44" s="101">
        <f t="array" ref="AJ44">IFERROR(
(AVERAGE((IF(DATOS_[[Sexo]:[Sexo]]=$B44,IF(DATOS_[[AGRUP. VALOR. PTO.]:[AGRUP. VALOR. PTO.]]=$B42,IF(DATOS_[[Check Periodo Ref.]:[Check Periodo Ref.]]="Dentro",IF(DATOS_[[Check Equiparado]:[Check Equiparado]]="Sí",IF(DATOS!BE$5="Sí",(1/DATOS_[[% anualiz]:[% anualiz]]),1)*IF(DATOS!BE$4="Sí",1/DATOS_[[% normaliz]:[% normaliz]],1)*(DATOS_[Conc.Sal.27])))))))),
0)</f>
        <v>0</v>
      </c>
      <c r="AK44" s="101">
        <f t="array" ref="AK44">IFERROR(
(AVERAGE((IF(DATOS_[[Sexo]:[Sexo]]=$B44,IF(DATOS_[[AGRUP. VALOR. PTO.]:[AGRUP. VALOR. PTO.]]=$B42,IF(DATOS_[[Check Periodo Ref.]:[Check Periodo Ref.]]="Dentro",IF(DATOS_[[Check Equiparado]:[Check Equiparado]]="Sí",IF(DATOS!BF$5="Sí",(1/DATOS_[[% anualiz]:[% anualiz]]),1)*IF(DATOS!BF$4="Sí",1/DATOS_[[% normaliz]:[% normaliz]],1)*(DATOS_[Conc.Sal.28])))))))),
0)</f>
        <v>0</v>
      </c>
      <c r="AL44" s="101">
        <f t="array" ref="AL44">IFERROR(
(AVERAGE((IF(DATOS_[[Sexo]:[Sexo]]=$B44,IF(DATOS_[[AGRUP. VALOR. PTO.]:[AGRUP. VALOR. PTO.]]=$B42,IF(DATOS_[[Check Periodo Ref.]:[Check Periodo Ref.]]="Dentro",IF(DATOS_[[Check Equiparado]:[Check Equiparado]]="Sí",IF(DATOS!BG$5="Sí",(1/DATOS_[[% anualiz]:[% anualiz]]),1)*IF(DATOS!BG$4="Sí",1/DATOS_[[% normaliz]:[% normaliz]],1)*(DATOS_[Conc.Sal.29])))))))),
0)</f>
        <v>0</v>
      </c>
      <c r="AM44" s="101">
        <f t="array" ref="AM44">IFERROR(
(AVERAGE((IF(DATOS_[[Sexo]:[Sexo]]=$B44,IF(DATOS_[[AGRUP. VALOR. PTO.]:[AGRUP. VALOR. PTO.]]=$B42,IF(DATOS_[[Check Periodo Ref.]:[Check Periodo Ref.]]="Dentro",IF(DATOS_[[Check Equiparado]:[Check Equiparado]]="Sí",IF(DATOS!BH$5="Sí",(1/DATOS_[[% anualiz]:[% anualiz]]),1)*IF(DATOS!BH$4="Sí",1/DATOS_[[% normaliz]:[% normaliz]],1)*(DATOS_[Conc.Sal.30])))))))),
0)</f>
        <v>0</v>
      </c>
      <c r="AN44" s="102">
        <f t="array" ref="AN44">IFERROR(
AVERAGE(IF(DATOS_[Sexo]=$B44,IF(DATOS_[[AGRUP. VALOR. PTO.]:[AGRUP. VALOR. PTO.]]=$B42,IF(DATOS_[Check Equiparado]="Sí",IF(DATOS_[Check Periodo Ref.]="Dentro",DATOS_[Tot COMPL.SAL Eq],FALSE))))),
0)</f>
        <v>0</v>
      </c>
      <c r="AO44" s="103">
        <f t="array" ref="AO44">IFERROR(
AVERAGE(IF(DATOS_[Sexo]=$B44,IF(DATOS_[[AGRUP. VALOR. PTO.]:[AGRUP. VALOR. PTO.]]=$B42,IF(DATOS_[Check Equiparado]="Sí",IF(DATOS_[Check Periodo Ref.]="Dentro",DATOS_[TOTAL SALARIO Eq],FALSE))))),
0)</f>
        <v>0</v>
      </c>
      <c r="AP44" s="104">
        <f t="array" ref="AP44">IFERROR(
(AVERAGE((IF(DATOS_[[Sexo]:[Sexo]]=$B44,IF(DATOS_[[AGRUP. VALOR. PTO.]:[AGRUP. VALOR. PTO.]]=$B42,IF(DATOS_[[Check Periodo Ref.]:[Check Periodo Ref.]]="Dentro",IF(DATOS_[[Check Equiparado]:[Check Equiparado]]="Sí",IF(DATOS!BI$5="Sí",(1/DATOS_[[% anualiz]:[% anualiz]]),1)*IF(DATOS!BI$4="Sí",1/DATOS_[[% normaliz]:[% normaliz]],1)*(DATOS_[C.Extra.01])))))))),
0)</f>
        <v>0</v>
      </c>
      <c r="AQ44" s="104">
        <f t="array" ref="AQ44">IFERROR(
(AVERAGE((IF(DATOS_[[Sexo]:[Sexo]]=$B44,IF(DATOS_[[AGRUP. VALOR. PTO.]:[AGRUP. VALOR. PTO.]]=$B42,IF(DATOS_[[Check Periodo Ref.]:[Check Periodo Ref.]]="Dentro",IF(DATOS_[[Check Equiparado]:[Check Equiparado]]="Sí",IF(DATOS!BJ$5="Sí",(1/DATOS_[[% anualiz]:[% anualiz]]),1)*IF(DATOS!BJ$4="Sí",1/DATOS_[[% normaliz]:[% normaliz]],1)*(DATOS_[C.Extra.02])))))))),
0)</f>
        <v>0</v>
      </c>
      <c r="AR44" s="104">
        <f t="array" ref="AR44">IFERROR(
(AVERAGE((IF(DATOS_[[Sexo]:[Sexo]]=$B44,IF(DATOS_[[AGRUP. VALOR. PTO.]:[AGRUP. VALOR. PTO.]]=$B42,IF(DATOS_[[Check Periodo Ref.]:[Check Periodo Ref.]]="Dentro",IF(DATOS_[[Check Equiparado]:[Check Equiparado]]="Sí",IF(DATOS!BK$5="Sí",(1/DATOS_[[% anualiz]:[% anualiz]]),1)*IF(DATOS!BK$4="Sí",1/DATOS_[[% normaliz]:[% normaliz]],1)*(DATOS_[C.Extra.03])))))))),
0)</f>
        <v>0</v>
      </c>
      <c r="AS44" s="104">
        <f t="array" ref="AS44">IFERROR(
(AVERAGE((IF(DATOS_[[Sexo]:[Sexo]]=$B44,IF(DATOS_[[AGRUP. VALOR. PTO.]:[AGRUP. VALOR. PTO.]]=$B42,IF(DATOS_[[Check Periodo Ref.]:[Check Periodo Ref.]]="Dentro",IF(DATOS_[[Check Equiparado]:[Check Equiparado]]="Sí",IF(DATOS!BL$5="Sí",(1/DATOS_[[% anualiz]:[% anualiz]]),1)*IF(DATOS!BL$4="Sí",1/DATOS_[[% normaliz]:[% normaliz]],1)*(DATOS_[C.Extra.04])))))))),
0)</f>
        <v>0</v>
      </c>
      <c r="AT44" s="104">
        <f t="array" ref="AT44">IFERROR(
(AVERAGE((IF(DATOS_[[Sexo]:[Sexo]]=$B44,IF(DATOS_[[AGRUP. VALOR. PTO.]:[AGRUP. VALOR. PTO.]]=$B42,IF(DATOS_[[Check Periodo Ref.]:[Check Periodo Ref.]]="Dentro",IF(DATOS_[[Check Equiparado]:[Check Equiparado]]="Sí",IF(DATOS!BM$5="Sí",(1/DATOS_[[% anualiz]:[% anualiz]]),1)*IF(DATOS!BM$4="Sí",1/DATOS_[[% normaliz]:[% normaliz]],1)*(DATOS_[C.Extra.05])))))))),
0)</f>
        <v>0</v>
      </c>
      <c r="AU44" s="105">
        <f t="array" ref="AU44">IFERROR(
AVERAGE(IF(DATOS_[Sexo]=$B44,IF(DATOS_[[AGRUP. VALOR. PTO.]:[AGRUP. VALOR. PTO.]]=$B42,IF(DATOS_[Check Equiparado]="Sí",IF(DATOS_[Check Periodo Ref.]="Dentro",DATOS_[Tot Extrasalarial Eq],FALSE))))),
0)</f>
        <v>0</v>
      </c>
      <c r="AV44" s="106">
        <f t="array" ref="AV44">IFERROR(
AVERAGE(IF(DATOS_[Sexo]=$B44,IF(DATOS_[[AGRUP. VALOR. PTO.]:[AGRUP. VALOR. PTO.]]=$B42,IF(DATOS_[Check Equiparado]="Sí",IF(DATOS_[Check Periodo Ref.]="Dentro",DATOS_[TOTAL Retrib Eq],FALSE))))),
0)</f>
        <v>0</v>
      </c>
    </row>
    <row r="45" spans="1:48" ht="17.25" hidden="1" thickBot="1" x14ac:dyDescent="0.35">
      <c r="A45" s="53" t="str">
        <f t="shared" ref="A45" si="43">+A46</f>
        <v>[ocultar]</v>
      </c>
      <c r="B45" s="62" t="s">
        <v>270</v>
      </c>
      <c r="C45" s="99"/>
      <c r="D45" s="63"/>
      <c r="E45" s="63"/>
      <c r="F45" s="63"/>
      <c r="G45" s="63"/>
      <c r="H45" s="63"/>
      <c r="I45" s="129" t="str">
        <f t="shared" ref="I45:AV45" si="44">IFERROR((I46-I47)/I46,"")</f>
        <v/>
      </c>
      <c r="J45" s="130" t="str">
        <f t="shared" si="44"/>
        <v/>
      </c>
      <c r="K45" s="131" t="str">
        <f t="shared" si="44"/>
        <v/>
      </c>
      <c r="L45" s="131" t="str">
        <f t="shared" si="44"/>
        <v/>
      </c>
      <c r="M45" s="131" t="str">
        <f t="shared" si="44"/>
        <v/>
      </c>
      <c r="N45" s="132" t="str">
        <f t="shared" si="44"/>
        <v/>
      </c>
      <c r="O45" s="133" t="str">
        <f t="shared" si="44"/>
        <v/>
      </c>
      <c r="P45" s="133" t="str">
        <f t="shared" si="44"/>
        <v/>
      </c>
      <c r="Q45" s="133" t="str">
        <f t="shared" si="44"/>
        <v/>
      </c>
      <c r="R45" s="133" t="str">
        <f t="shared" si="44"/>
        <v/>
      </c>
      <c r="S45" s="133" t="str">
        <f t="shared" si="44"/>
        <v/>
      </c>
      <c r="T45" s="133" t="str">
        <f t="shared" si="44"/>
        <v/>
      </c>
      <c r="U45" s="133" t="str">
        <f t="shared" si="44"/>
        <v/>
      </c>
      <c r="V45" s="133" t="str">
        <f t="shared" si="44"/>
        <v/>
      </c>
      <c r="W45" s="133" t="str">
        <f t="shared" si="44"/>
        <v/>
      </c>
      <c r="X45" s="133" t="str">
        <f t="shared" si="44"/>
        <v/>
      </c>
      <c r="Y45" s="133" t="str">
        <f t="shared" si="44"/>
        <v/>
      </c>
      <c r="Z45" s="132" t="str">
        <f t="shared" si="44"/>
        <v/>
      </c>
      <c r="AA45" s="132" t="str">
        <f t="shared" si="44"/>
        <v/>
      </c>
      <c r="AB45" s="132" t="str">
        <f t="shared" si="44"/>
        <v/>
      </c>
      <c r="AC45" s="132" t="str">
        <f t="shared" si="44"/>
        <v/>
      </c>
      <c r="AD45" s="132" t="str">
        <f t="shared" si="44"/>
        <v/>
      </c>
      <c r="AE45" s="132" t="str">
        <f t="shared" si="44"/>
        <v/>
      </c>
      <c r="AF45" s="132" t="str">
        <f t="shared" si="44"/>
        <v/>
      </c>
      <c r="AG45" s="132" t="str">
        <f t="shared" si="44"/>
        <v/>
      </c>
      <c r="AH45" s="132" t="str">
        <f t="shared" si="44"/>
        <v/>
      </c>
      <c r="AI45" s="132" t="str">
        <f t="shared" si="44"/>
        <v/>
      </c>
      <c r="AJ45" s="132" t="str">
        <f t="shared" si="44"/>
        <v/>
      </c>
      <c r="AK45" s="132" t="str">
        <f t="shared" si="44"/>
        <v/>
      </c>
      <c r="AL45" s="132" t="str">
        <f t="shared" si="44"/>
        <v/>
      </c>
      <c r="AM45" s="132" t="str">
        <f t="shared" si="44"/>
        <v/>
      </c>
      <c r="AN45" s="134" t="str">
        <f t="shared" si="44"/>
        <v/>
      </c>
      <c r="AO45" s="138" t="str">
        <f t="shared" si="44"/>
        <v/>
      </c>
      <c r="AP45" s="135" t="str">
        <f t="shared" si="44"/>
        <v/>
      </c>
      <c r="AQ45" s="135" t="str">
        <f t="shared" si="44"/>
        <v/>
      </c>
      <c r="AR45" s="135" t="str">
        <f t="shared" si="44"/>
        <v/>
      </c>
      <c r="AS45" s="135" t="str">
        <f t="shared" si="44"/>
        <v/>
      </c>
      <c r="AT45" s="135" t="str">
        <f t="shared" si="44"/>
        <v/>
      </c>
      <c r="AU45" s="136" t="str">
        <f t="shared" si="44"/>
        <v/>
      </c>
      <c r="AV45" s="137" t="str">
        <f t="shared" si="44"/>
        <v/>
      </c>
    </row>
    <row r="46" spans="1:48" hidden="1" x14ac:dyDescent="0.3">
      <c r="A46" s="53" t="str">
        <f t="shared" ref="A46" si="45">+IF(C46+C47=0,"[ocultar]","")</f>
        <v>[ocultar]</v>
      </c>
      <c r="B46" s="57" t="s">
        <v>162</v>
      </c>
      <c r="C46" s="56">
        <f t="array" ref="C46">SUM(IF($B46=DATOS_[Sexo],
IF($B45=DATOS_[AGRUP. VALOR. PTO.],
IF("Dentro"=DATOS_[Check Periodo Ref.],
1/(COUNTIFS(DATOS_[Sexo],$B46,DATOS_[AGRUP. VALOR. PTO.],$B45,DATOS_[Check Periodo Ref.],"Dentro",DATOS_[id],DATOS_[id]))))))</f>
        <v>0</v>
      </c>
      <c r="D46" s="58">
        <f>COUNTIFS(DATOS_[AGRUP. VALOR. PTO.],$B45,DATOS_[Sexo],$B46,DATOS_[Check Periodo Ref.],"Dentro")</f>
        <v>0</v>
      </c>
      <c r="E46" s="58">
        <f>COUNTIFS(DATOS_[AGRUP. VALOR. PTO.],$B45,DATOS_[Sexo],$B46,DATOS_[Check Periodo Ref.],"Dentro",DATOS_[Check Nº SC Norm],"Sí")</f>
        <v>0</v>
      </c>
      <c r="F46" s="58">
        <f>COUNTIFS(DATOS_[AGRUP. VALOR. PTO.],$B45,DATOS_[Sexo],$B46,DATOS_[Check Periodo Ref.],"Dentro",DATOS_[Check Nº SC Anualiz],"Sí")</f>
        <v>0</v>
      </c>
      <c r="G46" s="58">
        <f>COUNTIFS(DATOS_[AGRUP. VALOR. PTO.],$B45,DATOS_[Sexo],$B46,DATOS_[Check Periodo Ref.],"Dentro",DATOS_[Check Nº SC Norm y Anualiz],"Sí")</f>
        <v>0</v>
      </c>
      <c r="H46" s="58">
        <f>COUNTIFS(DATOS_[AGRUP. VALOR. PTO.],$B45,DATOS_[Sexo],$B46,DATOS_[Check Periodo Ref.],"Dentro",DATOS_[Check Equiparación],"Sí")</f>
        <v>0</v>
      </c>
      <c r="I46" s="100">
        <f t="array" ref="I46">IFERROR(
AVERAGE(IF(DATOS_[Sexo]=$B46,IF(DATOS_[[AGRUP. VALOR. PTO.]:[AGRUP. VALOR. PTO.]]=$B45,IF(DATOS_[Check Equiparado]="Sí",IF(DATOS_[Check Periodo Ref.]="Dentro",DATOS_[SALARIO BASE Eq],FALSE))))),
0)</f>
        <v>0</v>
      </c>
      <c r="J46" s="101">
        <f t="array" ref="J46">IFERROR(
(AVERAGE((IF(DATOS_[[Sexo]:[Sexo]]=$B46,IF(DATOS_[[AGRUP. VALOR. PTO.]:[AGRUP. VALOR. PTO.]]=$B45,IF(DATOS_[[Check Periodo Ref.]:[Check Periodo Ref.]]="Dentro",IF(DATOS_[[Check Equiparado]:[Check Equiparado]]="Sí",IF(DATOS!AE$5="Sí",(1/DATOS_[[% anualiz]:[% anualiz]]),1)*IF(DATOS!AE$4="Sí",1/DATOS_[[% normaliz]:[% normaliz]],1)*(DATOS_[Conc.Sal.01])))))))),
0)</f>
        <v>0</v>
      </c>
      <c r="K46" s="101">
        <f t="array" ref="K46">IFERROR(
(AVERAGE((IF(DATOS_[[Sexo]:[Sexo]]=$B46,IF(DATOS_[[AGRUP. VALOR. PTO.]:[AGRUP. VALOR. PTO.]]=$B45,IF(DATOS_[[Check Periodo Ref.]:[Check Periodo Ref.]]="Dentro",IF(DATOS_[[Check Equiparado]:[Check Equiparado]]="Sí",IF(DATOS!AF$5="Sí",(1/DATOS_[[% anualiz]:[% anualiz]]),1)*IF(DATOS!AF$4="Sí",1/DATOS_[[% normaliz]:[% normaliz]],1)*(DATOS_[Conc.Sal.02])))))))),
0)</f>
        <v>0</v>
      </c>
      <c r="L46" s="101">
        <f t="array" ref="L46">IFERROR(
(AVERAGE((IF(DATOS_[[Sexo]:[Sexo]]=$B46,IF(DATOS_[[AGRUP. VALOR. PTO.]:[AGRUP. VALOR. PTO.]]=$B45,IF(DATOS_[[Check Periodo Ref.]:[Check Periodo Ref.]]="Dentro",IF(DATOS_[[Check Equiparado]:[Check Equiparado]]="Sí",IF(DATOS!AG$5="Sí",(1/DATOS_[[% anualiz]:[% anualiz]]),1)*IF(DATOS!AG$4="Sí",1/DATOS_[[% normaliz]:[% normaliz]],1)*(DATOS_[Conc.Sal.03])))))))),
0)</f>
        <v>0</v>
      </c>
      <c r="M46" s="101">
        <f t="array" ref="M46">IFERROR(
(AVERAGE((IF(DATOS_[[Sexo]:[Sexo]]=$B46,IF(DATOS_[[AGRUP. VALOR. PTO.]:[AGRUP. VALOR. PTO.]]=$B45,IF(DATOS_[[Check Periodo Ref.]:[Check Periodo Ref.]]="Dentro",IF(DATOS_[[Check Equiparado]:[Check Equiparado]]="Sí",IF(DATOS!AH$5="Sí",(1/DATOS_[[% anualiz]:[% anualiz]]),1)*IF(DATOS!AH$4="Sí",1/DATOS_[[% normaliz]:[% normaliz]],1)*(DATOS_[Conc.Sal.04])))))))),
0)</f>
        <v>0</v>
      </c>
      <c r="N46" s="101">
        <f t="array" ref="N46">IFERROR(
(AVERAGE((IF(DATOS_[[Sexo]:[Sexo]]=$B46,IF(DATOS_[[AGRUP. VALOR. PTO.]:[AGRUP. VALOR. PTO.]]=$B45,IF(DATOS_[[Check Periodo Ref.]:[Check Periodo Ref.]]="Dentro",IF(DATOS_[[Check Equiparado]:[Check Equiparado]]="Sí",IF(DATOS!AI$5="Sí",(1/DATOS_[[% anualiz]:[% anualiz]]),1)*IF(DATOS!AI$4="Sí",1/DATOS_[[% normaliz]:[% normaliz]],1)*(DATOS_[Conc.Sal.05])))))))),
0)</f>
        <v>0</v>
      </c>
      <c r="O46" s="101">
        <f t="array" ref="O46">IFERROR(
(AVERAGE((IF(DATOS_[[Sexo]:[Sexo]]=$B46,IF(DATOS_[[AGRUP. VALOR. PTO.]:[AGRUP. VALOR. PTO.]]=$B45,IF(DATOS_[[Check Periodo Ref.]:[Check Periodo Ref.]]="Dentro",IF(DATOS_[[Check Equiparado]:[Check Equiparado]]="Sí",IF(DATOS!AJ$5="Sí",(1/DATOS_[[% anualiz]:[% anualiz]]),1)*IF(DATOS!AJ$4="Sí",1/DATOS_[[% normaliz]:[% normaliz]],1)*(DATOS_[Conc.Sal.06])))))))),
0)</f>
        <v>0</v>
      </c>
      <c r="P46" s="101">
        <f t="array" ref="P46">IFERROR(
(AVERAGE((IF(DATOS_[[Sexo]:[Sexo]]=$B46,IF(DATOS_[[AGRUP. VALOR. PTO.]:[AGRUP. VALOR. PTO.]]=$B45,IF(DATOS_[[Check Periodo Ref.]:[Check Periodo Ref.]]="Dentro",IF(DATOS_[[Check Equiparado]:[Check Equiparado]]="Sí",IF(DATOS!AK$5="Sí",(1/DATOS_[[% anualiz]:[% anualiz]]),1)*IF(DATOS!AK$4="Sí",1/DATOS_[[% normaliz]:[% normaliz]],1)*(DATOS_[Conc.Sal.07])))))))),
0)</f>
        <v>0</v>
      </c>
      <c r="Q46" s="101">
        <f t="array" ref="Q46">IFERROR(
(AVERAGE((IF(DATOS_[[Sexo]:[Sexo]]=$B46,IF(DATOS_[[AGRUP. VALOR. PTO.]:[AGRUP. VALOR. PTO.]]=$B45,IF(DATOS_[[Check Periodo Ref.]:[Check Periodo Ref.]]="Dentro",IF(DATOS_[[Check Equiparado]:[Check Equiparado]]="Sí",IF(DATOS!AL$5="Sí",(1/DATOS_[[% anualiz]:[% anualiz]]),1)*IF(DATOS!AL$4="Sí",1/DATOS_[[% normaliz]:[% normaliz]],1)*(DATOS_[Conc.Sal.08])))))))),
0)</f>
        <v>0</v>
      </c>
      <c r="R46" s="101">
        <f t="array" ref="R46">IFERROR(
(AVERAGE((IF(DATOS_[[Sexo]:[Sexo]]=$B46,IF(DATOS_[[AGRUP. VALOR. PTO.]:[AGRUP. VALOR. PTO.]]=$B45,IF(DATOS_[[Check Periodo Ref.]:[Check Periodo Ref.]]="Dentro",IF(DATOS_[[Check Equiparado]:[Check Equiparado]]="Sí",IF(DATOS!AM$5="Sí",(1/DATOS_[[% anualiz]:[% anualiz]]),1)*IF(DATOS!AM$4="Sí",1/DATOS_[[% normaliz]:[% normaliz]],1)*(DATOS_[Conc.Sal.09])))))))),
0)</f>
        <v>0</v>
      </c>
      <c r="S46" s="101">
        <f t="array" ref="S46">IFERROR(
(AVERAGE((IF(DATOS_[[Sexo]:[Sexo]]=$B46,IF(DATOS_[[AGRUP. VALOR. PTO.]:[AGRUP. VALOR. PTO.]]=$B45,IF(DATOS_[[Check Periodo Ref.]:[Check Periodo Ref.]]="Dentro",IF(DATOS_[[Check Equiparado]:[Check Equiparado]]="Sí",IF(DATOS!AN$5="Sí",(1/DATOS_[[% anualiz]:[% anualiz]]),1)*IF(DATOS!AN$4="Sí",1/DATOS_[[% normaliz]:[% normaliz]],1)*(DATOS_[Conc.Sal.10])))))))),
0)</f>
        <v>0</v>
      </c>
      <c r="T46" s="101">
        <f t="array" ref="T46">IFERROR(
(AVERAGE((IF(DATOS_[[Sexo]:[Sexo]]=$B46,IF(DATOS_[[AGRUP. VALOR. PTO.]:[AGRUP. VALOR. PTO.]]=$B45,IF(DATOS_[[Check Periodo Ref.]:[Check Periodo Ref.]]="Dentro",IF(DATOS_[[Check Equiparado]:[Check Equiparado]]="Sí",IF(DATOS!AO$5="Sí",(1/DATOS_[[% anualiz]:[% anualiz]]),1)*IF(DATOS!AO$4="Sí",1/DATOS_[[% normaliz]:[% normaliz]],1)*(DATOS_[Conc.Sal.11])))))))),
0)</f>
        <v>0</v>
      </c>
      <c r="U46" s="101">
        <f t="array" ref="U46">IFERROR(
(AVERAGE((IF(DATOS_[[Sexo]:[Sexo]]=$B46,IF(DATOS_[[AGRUP. VALOR. PTO.]:[AGRUP. VALOR. PTO.]]=$B45,IF(DATOS_[[Check Periodo Ref.]:[Check Periodo Ref.]]="Dentro",IF(DATOS_[[Check Equiparado]:[Check Equiparado]]="Sí",IF(DATOS!AP$5="Sí",(1/DATOS_[[% anualiz]:[% anualiz]]),1)*IF(DATOS!AP$4="Sí",1/DATOS_[[% normaliz]:[% normaliz]],1)*(DATOS_[Conc.Sal.12])))))))),
0)</f>
        <v>0</v>
      </c>
      <c r="V46" s="101">
        <f t="array" ref="V46">IFERROR(
(AVERAGE((IF(DATOS_[[Sexo]:[Sexo]]=$B46,IF(DATOS_[[AGRUP. VALOR. PTO.]:[AGRUP. VALOR. PTO.]]=$B45,IF(DATOS_[[Check Periodo Ref.]:[Check Periodo Ref.]]="Dentro",IF(DATOS_[[Check Equiparado]:[Check Equiparado]]="Sí",IF(DATOS!AQ$5="Sí",(1/DATOS_[[% anualiz]:[% anualiz]]),1)*IF(DATOS!AQ$4="Sí",1/DATOS_[[% normaliz]:[% normaliz]],1)*(DATOS_[Conc.Sal.13])))))))),
0)</f>
        <v>0</v>
      </c>
      <c r="W46" s="101">
        <f t="array" ref="W46">IFERROR(
(AVERAGE((IF(DATOS_[[Sexo]:[Sexo]]=$B46,IF(DATOS_[[AGRUP. VALOR. PTO.]:[AGRUP. VALOR. PTO.]]=$B45,IF(DATOS_[[Check Periodo Ref.]:[Check Periodo Ref.]]="Dentro",IF(DATOS_[[Check Equiparado]:[Check Equiparado]]="Sí",IF(DATOS!AR$5="Sí",(1/DATOS_[[% anualiz]:[% anualiz]]),1)*IF(DATOS!AR$4="Sí",1/DATOS_[[% normaliz]:[% normaliz]],1)*(DATOS_[Conc.Sal.14])))))))),
0)</f>
        <v>0</v>
      </c>
      <c r="X46" s="101">
        <f t="array" ref="X46">IFERROR(
(AVERAGE((IF(DATOS_[[Sexo]:[Sexo]]=$B46,IF(DATOS_[[AGRUP. VALOR. PTO.]:[AGRUP. VALOR. PTO.]]=$B45,IF(DATOS_[[Check Periodo Ref.]:[Check Periodo Ref.]]="Dentro",IF(DATOS_[[Check Equiparado]:[Check Equiparado]]="Sí",IF(DATOS!AS$5="Sí",(1/DATOS_[[% anualiz]:[% anualiz]]),1)*IF(DATOS!AS$4="Sí",1/DATOS_[[% normaliz]:[% normaliz]],1)*(DATOS_[Conc.Sal.15])))))))),
0)</f>
        <v>0</v>
      </c>
      <c r="Y46" s="101">
        <f t="array" ref="Y46">IFERROR(
(AVERAGE((IF(DATOS_[[Sexo]:[Sexo]]=$B46,IF(DATOS_[[AGRUP. VALOR. PTO.]:[AGRUP. VALOR. PTO.]]=$B45,IF(DATOS_[[Check Periodo Ref.]:[Check Periodo Ref.]]="Dentro",IF(DATOS_[[Check Equiparado]:[Check Equiparado]]="Sí",IF(DATOS!AT$5="Sí",(1/DATOS_[[% anualiz]:[% anualiz]]),1)*IF(DATOS!AT$4="Sí",1/DATOS_[[% normaliz]:[% normaliz]],1)*(DATOS_[Conc.Sal.16])))))))),
0)</f>
        <v>0</v>
      </c>
      <c r="Z46" s="101">
        <f t="array" ref="Z46">IFERROR(
(AVERAGE((IF(DATOS_[[Sexo]:[Sexo]]=$B46,IF(DATOS_[[AGRUP. VALOR. PTO.]:[AGRUP. VALOR. PTO.]]=$B45,IF(DATOS_[[Check Periodo Ref.]:[Check Periodo Ref.]]="Dentro",IF(DATOS_[[Check Equiparado]:[Check Equiparado]]="Sí",IF(DATOS!AU$5="Sí",(1/DATOS_[[% anualiz]:[% anualiz]]),1)*IF(DATOS!AU$4="Sí",1/DATOS_[[% normaliz]:[% normaliz]],1)*(DATOS_[Conc.Sal.17])))))))),
0)</f>
        <v>0</v>
      </c>
      <c r="AA46" s="101">
        <f t="array" ref="AA46">IFERROR(
(AVERAGE((IF(DATOS_[[Sexo]:[Sexo]]=$B46,IF(DATOS_[[AGRUP. VALOR. PTO.]:[AGRUP. VALOR. PTO.]]=$B45,IF(DATOS_[[Check Periodo Ref.]:[Check Periodo Ref.]]="Dentro",IF(DATOS_[[Check Equiparado]:[Check Equiparado]]="Sí",IF(DATOS!AV$5="Sí",(1/DATOS_[[% anualiz]:[% anualiz]]),1)*IF(DATOS!AV$4="Sí",1/DATOS_[[% normaliz]:[% normaliz]],1)*(DATOS_[Conc.Sal.18])))))))),
0)</f>
        <v>0</v>
      </c>
      <c r="AB46" s="101">
        <f t="array" ref="AB46">IFERROR(
(AVERAGE((IF(DATOS_[[Sexo]:[Sexo]]=$B46,IF(DATOS_[[AGRUP. VALOR. PTO.]:[AGRUP. VALOR. PTO.]]=$B45,IF(DATOS_[[Check Periodo Ref.]:[Check Periodo Ref.]]="Dentro",IF(DATOS_[[Check Equiparado]:[Check Equiparado]]="Sí",IF(DATOS!AW$5="Sí",(1/DATOS_[[% anualiz]:[% anualiz]]),1)*IF(DATOS!AW$4="Sí",1/DATOS_[[% normaliz]:[% normaliz]],1)*(DATOS_[Conc.Sal.19])))))))),
0)</f>
        <v>0</v>
      </c>
      <c r="AC46" s="101">
        <f t="array" ref="AC46">IFERROR(
(AVERAGE((IF(DATOS_[[Sexo]:[Sexo]]=$B46,IF(DATOS_[[AGRUP. VALOR. PTO.]:[AGRUP. VALOR. PTO.]]=$B45,IF(DATOS_[[Check Periodo Ref.]:[Check Periodo Ref.]]="Dentro",IF(DATOS_[[Check Equiparado]:[Check Equiparado]]="Sí",IF(DATOS!AX$5="Sí",(1/DATOS_[[% anualiz]:[% anualiz]]),1)*IF(DATOS!AX$4="Sí",1/DATOS_[[% normaliz]:[% normaliz]],1)*(DATOS_[Conc.Sal.20])))))))),
0)</f>
        <v>0</v>
      </c>
      <c r="AD46" s="101">
        <f t="array" ref="AD46">IFERROR(
(AVERAGE((IF(DATOS_[[Sexo]:[Sexo]]=$B46,IF(DATOS_[[AGRUP. VALOR. PTO.]:[AGRUP. VALOR. PTO.]]=$B45,IF(DATOS_[[Check Periodo Ref.]:[Check Periodo Ref.]]="Dentro",IF(DATOS_[[Check Equiparado]:[Check Equiparado]]="Sí",IF(DATOS!AY$5="Sí",(1/DATOS_[[% anualiz]:[% anualiz]]),1)*IF(DATOS!AY$4="Sí",1/DATOS_[[% normaliz]:[% normaliz]],1)*(DATOS_[Conc.Sal.21])))))))),
0)</f>
        <v>0</v>
      </c>
      <c r="AE46" s="101">
        <f t="array" ref="AE46">IFERROR(
(AVERAGE((IF(DATOS_[[Sexo]:[Sexo]]=$B46,IF(DATOS_[[AGRUP. VALOR. PTO.]:[AGRUP. VALOR. PTO.]]=$B45,IF(DATOS_[[Check Periodo Ref.]:[Check Periodo Ref.]]="Dentro",IF(DATOS_[[Check Equiparado]:[Check Equiparado]]="Sí",IF(DATOS!AZ$5="Sí",(1/DATOS_[[% anualiz]:[% anualiz]]),1)*IF(DATOS!AZ$4="Sí",1/DATOS_[[% normaliz]:[% normaliz]],1)*(DATOS_[Conc.Sal.22])))))))),
0)</f>
        <v>0</v>
      </c>
      <c r="AF46" s="101">
        <f t="array" ref="AF46">IFERROR(
(AVERAGE((IF(DATOS_[[Sexo]:[Sexo]]=$B46,IF(DATOS_[[AGRUP. VALOR. PTO.]:[AGRUP. VALOR. PTO.]]=$B45,IF(DATOS_[[Check Periodo Ref.]:[Check Periodo Ref.]]="Dentro",IF(DATOS_[[Check Equiparado]:[Check Equiparado]]="Sí",IF(DATOS!BA$5="Sí",(1/DATOS_[[% anualiz]:[% anualiz]]),1)*IF(DATOS!BA$4="Sí",1/DATOS_[[% normaliz]:[% normaliz]],1)*(DATOS_[Conc.Sal.23])))))))),
0)</f>
        <v>0</v>
      </c>
      <c r="AG46" s="101">
        <f t="array" ref="AG46">IFERROR(
(AVERAGE((IF(DATOS_[[Sexo]:[Sexo]]=$B46,IF(DATOS_[[AGRUP. VALOR. PTO.]:[AGRUP. VALOR. PTO.]]=$B45,IF(DATOS_[[Check Periodo Ref.]:[Check Periodo Ref.]]="Dentro",IF(DATOS_[[Check Equiparado]:[Check Equiparado]]="Sí",IF(DATOS!BB$5="Sí",(1/DATOS_[[% anualiz]:[% anualiz]]),1)*IF(DATOS!BB$4="Sí",1/DATOS_[[% normaliz]:[% normaliz]],1)*(DATOS_[Conc.Sal.24])))))))),
0)</f>
        <v>0</v>
      </c>
      <c r="AH46" s="101">
        <f t="array" ref="AH46">IFERROR(
(AVERAGE((IF(DATOS_[[Sexo]:[Sexo]]=$B46,IF(DATOS_[[AGRUP. VALOR. PTO.]:[AGRUP. VALOR. PTO.]]=$B45,IF(DATOS_[[Check Periodo Ref.]:[Check Periodo Ref.]]="Dentro",IF(DATOS_[[Check Equiparado]:[Check Equiparado]]="Sí",IF(DATOS!BC$5="Sí",(1/DATOS_[[% anualiz]:[% anualiz]]),1)*IF(DATOS!BC$4="Sí",1/DATOS_[[% normaliz]:[% normaliz]],1)*(DATOS_[Conc.Sal.25])))))))),
0)</f>
        <v>0</v>
      </c>
      <c r="AI46" s="101">
        <f t="array" ref="AI46">IFERROR(
(AVERAGE((IF(DATOS_[[Sexo]:[Sexo]]=$B46,IF(DATOS_[[AGRUP. VALOR. PTO.]:[AGRUP. VALOR. PTO.]]=$B45,IF(DATOS_[[Check Periodo Ref.]:[Check Periodo Ref.]]="Dentro",IF(DATOS_[[Check Equiparado]:[Check Equiparado]]="Sí",IF(DATOS!BD$5="Sí",(1/DATOS_[[% anualiz]:[% anualiz]]),1)*IF(DATOS!BD$4="Sí",1/DATOS_[[% normaliz]:[% normaliz]],1)*(DATOS_[Conc.Sal.26])))))))),
0)</f>
        <v>0</v>
      </c>
      <c r="AJ46" s="101">
        <f t="array" ref="AJ46">IFERROR(
(AVERAGE((IF(DATOS_[[Sexo]:[Sexo]]=$B46,IF(DATOS_[[AGRUP. VALOR. PTO.]:[AGRUP. VALOR. PTO.]]=$B45,IF(DATOS_[[Check Periodo Ref.]:[Check Periodo Ref.]]="Dentro",IF(DATOS_[[Check Equiparado]:[Check Equiparado]]="Sí",IF(DATOS!BE$5="Sí",(1/DATOS_[[% anualiz]:[% anualiz]]),1)*IF(DATOS!BE$4="Sí",1/DATOS_[[% normaliz]:[% normaliz]],1)*(DATOS_[Conc.Sal.27])))))))),
0)</f>
        <v>0</v>
      </c>
      <c r="AK46" s="101">
        <f t="array" ref="AK46">IFERROR(
(AVERAGE((IF(DATOS_[[Sexo]:[Sexo]]=$B46,IF(DATOS_[[AGRUP. VALOR. PTO.]:[AGRUP. VALOR. PTO.]]=$B45,IF(DATOS_[[Check Periodo Ref.]:[Check Periodo Ref.]]="Dentro",IF(DATOS_[[Check Equiparado]:[Check Equiparado]]="Sí",IF(DATOS!BF$5="Sí",(1/DATOS_[[% anualiz]:[% anualiz]]),1)*IF(DATOS!BF$4="Sí",1/DATOS_[[% normaliz]:[% normaliz]],1)*(DATOS_[Conc.Sal.28])))))))),
0)</f>
        <v>0</v>
      </c>
      <c r="AL46" s="101">
        <f t="array" ref="AL46">IFERROR(
(AVERAGE((IF(DATOS_[[Sexo]:[Sexo]]=$B46,IF(DATOS_[[AGRUP. VALOR. PTO.]:[AGRUP. VALOR. PTO.]]=$B45,IF(DATOS_[[Check Periodo Ref.]:[Check Periodo Ref.]]="Dentro",IF(DATOS_[[Check Equiparado]:[Check Equiparado]]="Sí",IF(DATOS!BG$5="Sí",(1/DATOS_[[% anualiz]:[% anualiz]]),1)*IF(DATOS!BG$4="Sí",1/DATOS_[[% normaliz]:[% normaliz]],1)*(DATOS_[Conc.Sal.29])))))))),
0)</f>
        <v>0</v>
      </c>
      <c r="AM46" s="101">
        <f t="array" ref="AM46">IFERROR(
(AVERAGE((IF(DATOS_[[Sexo]:[Sexo]]=$B46,IF(DATOS_[[AGRUP. VALOR. PTO.]:[AGRUP. VALOR. PTO.]]=$B45,IF(DATOS_[[Check Periodo Ref.]:[Check Periodo Ref.]]="Dentro",IF(DATOS_[[Check Equiparado]:[Check Equiparado]]="Sí",IF(DATOS!BH$5="Sí",(1/DATOS_[[% anualiz]:[% anualiz]]),1)*IF(DATOS!BH$4="Sí",1/DATOS_[[% normaliz]:[% normaliz]],1)*(DATOS_[Conc.Sal.30])))))))),
0)</f>
        <v>0</v>
      </c>
      <c r="AN46" s="102">
        <f t="array" ref="AN46">IFERROR(
AVERAGE(IF(DATOS_[Sexo]=$B46,IF(DATOS_[[AGRUP. VALOR. PTO.]:[AGRUP. VALOR. PTO.]]=$B45,IF(DATOS_[Check Equiparado]="Sí",IF(DATOS_[Check Periodo Ref.]="Dentro",DATOS_[Tot COMPL.SAL Eq],FALSE))))),
0)</f>
        <v>0</v>
      </c>
      <c r="AO46" s="103">
        <f t="array" ref="AO46">IFERROR(
AVERAGE(IF(DATOS_[Sexo]=$B46,IF(DATOS_[[AGRUP. VALOR. PTO.]:[AGRUP. VALOR. PTO.]]=$B45,IF(DATOS_[Check Equiparado]="Sí",IF(DATOS_[Check Periodo Ref.]="Dentro",DATOS_[TOTAL SALARIO Eq],FALSE))))),
0)</f>
        <v>0</v>
      </c>
      <c r="AP46" s="104">
        <f t="array" ref="AP46">IFERROR(
(AVERAGE((IF(DATOS_[[Sexo]:[Sexo]]=$B46,IF(DATOS_[[AGRUP. VALOR. PTO.]:[AGRUP. VALOR. PTO.]]=$B45,IF(DATOS_[[Check Periodo Ref.]:[Check Periodo Ref.]]="Dentro",IF(DATOS_[[Check Equiparado]:[Check Equiparado]]="Sí",IF(DATOS!BI$5="Sí",(1/DATOS_[[% anualiz]:[% anualiz]]),1)*IF(DATOS!BI$4="Sí",1/DATOS_[[% normaliz]:[% normaliz]],1)*(DATOS_[C.Extra.01])))))))),
0)</f>
        <v>0</v>
      </c>
      <c r="AQ46" s="104">
        <f t="array" ref="AQ46">IFERROR(
(AVERAGE((IF(DATOS_[[Sexo]:[Sexo]]=$B46,IF(DATOS_[[AGRUP. VALOR. PTO.]:[AGRUP. VALOR. PTO.]]=$B45,IF(DATOS_[[Check Periodo Ref.]:[Check Periodo Ref.]]="Dentro",IF(DATOS_[[Check Equiparado]:[Check Equiparado]]="Sí",IF(DATOS!BJ$5="Sí",(1/DATOS_[[% anualiz]:[% anualiz]]),1)*IF(DATOS!BJ$4="Sí",1/DATOS_[[% normaliz]:[% normaliz]],1)*(DATOS_[C.Extra.02])))))))),
0)</f>
        <v>0</v>
      </c>
      <c r="AR46" s="104">
        <f t="array" ref="AR46">IFERROR(
(AVERAGE((IF(DATOS_[[Sexo]:[Sexo]]=$B46,IF(DATOS_[[AGRUP. VALOR. PTO.]:[AGRUP. VALOR. PTO.]]=$B45,IF(DATOS_[[Check Periodo Ref.]:[Check Periodo Ref.]]="Dentro",IF(DATOS_[[Check Equiparado]:[Check Equiparado]]="Sí",IF(DATOS!BK$5="Sí",(1/DATOS_[[% anualiz]:[% anualiz]]),1)*IF(DATOS!BK$4="Sí",1/DATOS_[[% normaliz]:[% normaliz]],1)*(DATOS_[C.Extra.03])))))))),
0)</f>
        <v>0</v>
      </c>
      <c r="AS46" s="104">
        <f t="array" ref="AS46">IFERROR(
(AVERAGE((IF(DATOS_[[Sexo]:[Sexo]]=$B46,IF(DATOS_[[AGRUP. VALOR. PTO.]:[AGRUP. VALOR. PTO.]]=$B45,IF(DATOS_[[Check Periodo Ref.]:[Check Periodo Ref.]]="Dentro",IF(DATOS_[[Check Equiparado]:[Check Equiparado]]="Sí",IF(DATOS!BL$5="Sí",(1/DATOS_[[% anualiz]:[% anualiz]]),1)*IF(DATOS!BL$4="Sí",1/DATOS_[[% normaliz]:[% normaliz]],1)*(DATOS_[C.Extra.04])))))))),
0)</f>
        <v>0</v>
      </c>
      <c r="AT46" s="104">
        <f t="array" ref="AT46">IFERROR(
(AVERAGE((IF(DATOS_[[Sexo]:[Sexo]]=$B46,IF(DATOS_[[AGRUP. VALOR. PTO.]:[AGRUP. VALOR. PTO.]]=$B45,IF(DATOS_[[Check Periodo Ref.]:[Check Periodo Ref.]]="Dentro",IF(DATOS_[[Check Equiparado]:[Check Equiparado]]="Sí",IF(DATOS!BM$5="Sí",(1/DATOS_[[% anualiz]:[% anualiz]]),1)*IF(DATOS!BM$4="Sí",1/DATOS_[[% normaliz]:[% normaliz]],1)*(DATOS_[C.Extra.05])))))))),
0)</f>
        <v>0</v>
      </c>
      <c r="AU46" s="105">
        <f t="array" ref="AU46">IFERROR(
AVERAGE(IF(DATOS_[Sexo]=$B46,IF(DATOS_[[AGRUP. VALOR. PTO.]:[AGRUP. VALOR. PTO.]]=$B45,IF(DATOS_[Check Equiparado]="Sí",IF(DATOS_[Check Periodo Ref.]="Dentro",DATOS_[Tot Extrasalarial Eq],FALSE))))),
0)</f>
        <v>0</v>
      </c>
      <c r="AV46" s="106">
        <f t="array" ref="AV46">IFERROR(
AVERAGE(IF(DATOS_[Sexo]=$B46,IF(DATOS_[[AGRUP. VALOR. PTO.]:[AGRUP. VALOR. PTO.]]=$B45,IF(DATOS_[Check Equiparado]="Sí",IF(DATOS_[Check Periodo Ref.]="Dentro",DATOS_[TOTAL Retrib Eq],FALSE))))),
0)</f>
        <v>0</v>
      </c>
    </row>
    <row r="47" spans="1:48" hidden="1" x14ac:dyDescent="0.3">
      <c r="A47" s="53" t="str">
        <f t="shared" ref="A47" si="46">+A46</f>
        <v>[ocultar]</v>
      </c>
      <c r="B47" s="57" t="s">
        <v>163</v>
      </c>
      <c r="C47" s="56">
        <f t="array" ref="C47">SUM(IF($B47=DATOS_[Sexo],
IF($B45=DATOS_[AGRUP. VALOR. PTO.],
IF("Dentro"=DATOS_[Check Periodo Ref.],
1/(COUNTIFS(DATOS_[Sexo],$B47,DATOS_[AGRUP. VALOR. PTO.],$B45,DATOS_[Check Periodo Ref.],"Dentro",DATOS_[id],DATOS_[id]))))))</f>
        <v>0</v>
      </c>
      <c r="D47" s="58">
        <f>COUNTIFS(DATOS_[AGRUP. VALOR. PTO.],$B45,DATOS_[Sexo],$B47,DATOS_[Check Periodo Ref.],"Dentro")</f>
        <v>0</v>
      </c>
      <c r="E47" s="58">
        <f>COUNTIFS(DATOS_[AGRUP. VALOR. PTO.],$B45,DATOS_[Sexo],$B47,DATOS_[Check Periodo Ref.],"Dentro",DATOS_[Check Nº SC Norm],"Sí")</f>
        <v>0</v>
      </c>
      <c r="F47" s="58">
        <f>COUNTIFS(DATOS_[AGRUP. VALOR. PTO.],$B45,DATOS_[Sexo],$B47,DATOS_[Check Periodo Ref.],"Dentro",DATOS_[Check Nº SC Anualiz],"Sí")</f>
        <v>0</v>
      </c>
      <c r="G47" s="58">
        <f>COUNTIFS(DATOS_[AGRUP. VALOR. PTO.],$B45,DATOS_[Sexo],$B47,DATOS_[Check Periodo Ref.],"Dentro",DATOS_[Check Nº SC Norm y Anualiz],"Sí")</f>
        <v>0</v>
      </c>
      <c r="H47" s="58">
        <f>COUNTIFS(DATOS_[AGRUP. VALOR. PTO.],$B45,DATOS_[Sexo],$B47,DATOS_[Check Periodo Ref.],"Dentro",DATOS_[Check Equiparación],"Sí")</f>
        <v>0</v>
      </c>
      <c r="I47" s="100" cm="1">
        <f t="array" ref="I47">IFERROR(
AVERAGE(IF(DATOS_[Sexo]=$B47,IF(DATOS_[[AGRUP. VALOR. PTO.]:[AGRUP. VALOR. PTO.]]=$B45,IF(DATOS_[Check Equiparado]="Sí",IF(DATOS_[Check Periodo Ref.]="Dentro",DATOS_[SALARIO BASE Eq],FALSE))))),
0)</f>
        <v>0</v>
      </c>
      <c r="J47" s="101">
        <f t="array" ref="J47">IFERROR(
(AVERAGE((IF(DATOS_[[Sexo]:[Sexo]]=$B47,IF(DATOS_[[AGRUP. VALOR. PTO.]:[AGRUP. VALOR. PTO.]]=$B45,IF(DATOS_[[Check Periodo Ref.]:[Check Periodo Ref.]]="Dentro",IF(DATOS_[[Check Equiparado]:[Check Equiparado]]="Sí",IF(DATOS!AE$5="Sí",(1/DATOS_[[% anualiz]:[% anualiz]]),1)*IF(DATOS!AE$4="Sí",1/DATOS_[[% normaliz]:[% normaliz]],1)*(DATOS_[Conc.Sal.01])))))))),
0)</f>
        <v>0</v>
      </c>
      <c r="K47" s="101">
        <f t="array" ref="K47">IFERROR(
(AVERAGE((IF(DATOS_[[Sexo]:[Sexo]]=$B47,IF(DATOS_[[AGRUP. VALOR. PTO.]:[AGRUP. VALOR. PTO.]]=$B45,IF(DATOS_[[Check Periodo Ref.]:[Check Periodo Ref.]]="Dentro",IF(DATOS_[[Check Equiparado]:[Check Equiparado]]="Sí",IF(DATOS!AF$5="Sí",(1/DATOS_[[% anualiz]:[% anualiz]]),1)*IF(DATOS!AF$4="Sí",1/DATOS_[[% normaliz]:[% normaliz]],1)*(DATOS_[Conc.Sal.02])))))))),
0)</f>
        <v>0</v>
      </c>
      <c r="L47" s="101">
        <f t="array" ref="L47">IFERROR(
(AVERAGE((IF(DATOS_[[Sexo]:[Sexo]]=$B47,IF(DATOS_[[AGRUP. VALOR. PTO.]:[AGRUP. VALOR. PTO.]]=$B45,IF(DATOS_[[Check Periodo Ref.]:[Check Periodo Ref.]]="Dentro",IF(DATOS_[[Check Equiparado]:[Check Equiparado]]="Sí",IF(DATOS!AG$5="Sí",(1/DATOS_[[% anualiz]:[% anualiz]]),1)*IF(DATOS!AG$4="Sí",1/DATOS_[[% normaliz]:[% normaliz]],1)*(DATOS_[Conc.Sal.03])))))))),
0)</f>
        <v>0</v>
      </c>
      <c r="M47" s="101">
        <f t="array" ref="M47">IFERROR(
(AVERAGE((IF(DATOS_[[Sexo]:[Sexo]]=$B47,IF(DATOS_[[AGRUP. VALOR. PTO.]:[AGRUP. VALOR. PTO.]]=$B45,IF(DATOS_[[Check Periodo Ref.]:[Check Periodo Ref.]]="Dentro",IF(DATOS_[[Check Equiparado]:[Check Equiparado]]="Sí",IF(DATOS!AH$5="Sí",(1/DATOS_[[% anualiz]:[% anualiz]]),1)*IF(DATOS!AH$4="Sí",1/DATOS_[[% normaliz]:[% normaliz]],1)*(DATOS_[Conc.Sal.04])))))))),
0)</f>
        <v>0</v>
      </c>
      <c r="N47" s="101">
        <f t="array" ref="N47">IFERROR(
(AVERAGE((IF(DATOS_[[Sexo]:[Sexo]]=$B47,IF(DATOS_[[AGRUP. VALOR. PTO.]:[AGRUP. VALOR. PTO.]]=$B45,IF(DATOS_[[Check Periodo Ref.]:[Check Periodo Ref.]]="Dentro",IF(DATOS_[[Check Equiparado]:[Check Equiparado]]="Sí",IF(DATOS!AI$5="Sí",(1/DATOS_[[% anualiz]:[% anualiz]]),1)*IF(DATOS!AI$4="Sí",1/DATOS_[[% normaliz]:[% normaliz]],1)*(DATOS_[Conc.Sal.05])))))))),
0)</f>
        <v>0</v>
      </c>
      <c r="O47" s="101">
        <f t="array" ref="O47">IFERROR(
(AVERAGE((IF(DATOS_[[Sexo]:[Sexo]]=$B47,IF(DATOS_[[AGRUP. VALOR. PTO.]:[AGRUP. VALOR. PTO.]]=$B45,IF(DATOS_[[Check Periodo Ref.]:[Check Periodo Ref.]]="Dentro",IF(DATOS_[[Check Equiparado]:[Check Equiparado]]="Sí",IF(DATOS!AJ$5="Sí",(1/DATOS_[[% anualiz]:[% anualiz]]),1)*IF(DATOS!AJ$4="Sí",1/DATOS_[[% normaliz]:[% normaliz]],1)*(DATOS_[Conc.Sal.06])))))))),
0)</f>
        <v>0</v>
      </c>
      <c r="P47" s="101">
        <f t="array" ref="P47">IFERROR(
(AVERAGE((IF(DATOS_[[Sexo]:[Sexo]]=$B47,IF(DATOS_[[AGRUP. VALOR. PTO.]:[AGRUP. VALOR. PTO.]]=$B45,IF(DATOS_[[Check Periodo Ref.]:[Check Periodo Ref.]]="Dentro",IF(DATOS_[[Check Equiparado]:[Check Equiparado]]="Sí",IF(DATOS!AK$5="Sí",(1/DATOS_[[% anualiz]:[% anualiz]]),1)*IF(DATOS!AK$4="Sí",1/DATOS_[[% normaliz]:[% normaliz]],1)*(DATOS_[Conc.Sal.07])))))))),
0)</f>
        <v>0</v>
      </c>
      <c r="Q47" s="101">
        <f t="array" ref="Q47">IFERROR(
(AVERAGE((IF(DATOS_[[Sexo]:[Sexo]]=$B47,IF(DATOS_[[AGRUP. VALOR. PTO.]:[AGRUP. VALOR. PTO.]]=$B45,IF(DATOS_[[Check Periodo Ref.]:[Check Periodo Ref.]]="Dentro",IF(DATOS_[[Check Equiparado]:[Check Equiparado]]="Sí",IF(DATOS!AL$5="Sí",(1/DATOS_[[% anualiz]:[% anualiz]]),1)*IF(DATOS!AL$4="Sí",1/DATOS_[[% normaliz]:[% normaliz]],1)*(DATOS_[Conc.Sal.08])))))))),
0)</f>
        <v>0</v>
      </c>
      <c r="R47" s="101">
        <f t="array" ref="R47">IFERROR(
(AVERAGE((IF(DATOS_[[Sexo]:[Sexo]]=$B47,IF(DATOS_[[AGRUP. VALOR. PTO.]:[AGRUP. VALOR. PTO.]]=$B45,IF(DATOS_[[Check Periodo Ref.]:[Check Periodo Ref.]]="Dentro",IF(DATOS_[[Check Equiparado]:[Check Equiparado]]="Sí",IF(DATOS!AM$5="Sí",(1/DATOS_[[% anualiz]:[% anualiz]]),1)*IF(DATOS!AM$4="Sí",1/DATOS_[[% normaliz]:[% normaliz]],1)*(DATOS_[Conc.Sal.09])))))))),
0)</f>
        <v>0</v>
      </c>
      <c r="S47" s="101">
        <f t="array" ref="S47">IFERROR(
(AVERAGE((IF(DATOS_[[Sexo]:[Sexo]]=$B47,IF(DATOS_[[AGRUP. VALOR. PTO.]:[AGRUP. VALOR. PTO.]]=$B45,IF(DATOS_[[Check Periodo Ref.]:[Check Periodo Ref.]]="Dentro",IF(DATOS_[[Check Equiparado]:[Check Equiparado]]="Sí",IF(DATOS!AN$5="Sí",(1/DATOS_[[% anualiz]:[% anualiz]]),1)*IF(DATOS!AN$4="Sí",1/DATOS_[[% normaliz]:[% normaliz]],1)*(DATOS_[Conc.Sal.10])))))))),
0)</f>
        <v>0</v>
      </c>
      <c r="T47" s="101">
        <f t="array" ref="T47">IFERROR(
(AVERAGE((IF(DATOS_[[Sexo]:[Sexo]]=$B47,IF(DATOS_[[AGRUP. VALOR. PTO.]:[AGRUP. VALOR. PTO.]]=$B45,IF(DATOS_[[Check Periodo Ref.]:[Check Periodo Ref.]]="Dentro",IF(DATOS_[[Check Equiparado]:[Check Equiparado]]="Sí",IF(DATOS!AO$5="Sí",(1/DATOS_[[% anualiz]:[% anualiz]]),1)*IF(DATOS!AO$4="Sí",1/DATOS_[[% normaliz]:[% normaliz]],1)*(DATOS_[Conc.Sal.11])))))))),
0)</f>
        <v>0</v>
      </c>
      <c r="U47" s="101">
        <f t="array" ref="U47">IFERROR(
(AVERAGE((IF(DATOS_[[Sexo]:[Sexo]]=$B47,IF(DATOS_[[AGRUP. VALOR. PTO.]:[AGRUP. VALOR. PTO.]]=$B45,IF(DATOS_[[Check Periodo Ref.]:[Check Periodo Ref.]]="Dentro",IF(DATOS_[[Check Equiparado]:[Check Equiparado]]="Sí",IF(DATOS!AP$5="Sí",(1/DATOS_[[% anualiz]:[% anualiz]]),1)*IF(DATOS!AP$4="Sí",1/DATOS_[[% normaliz]:[% normaliz]],1)*(DATOS_[Conc.Sal.12])))))))),
0)</f>
        <v>0</v>
      </c>
      <c r="V47" s="101">
        <f t="array" ref="V47">IFERROR(
(AVERAGE((IF(DATOS_[[Sexo]:[Sexo]]=$B47,IF(DATOS_[[AGRUP. VALOR. PTO.]:[AGRUP. VALOR. PTO.]]=$B45,IF(DATOS_[[Check Periodo Ref.]:[Check Periodo Ref.]]="Dentro",IF(DATOS_[[Check Equiparado]:[Check Equiparado]]="Sí",IF(DATOS!AQ$5="Sí",(1/DATOS_[[% anualiz]:[% anualiz]]),1)*IF(DATOS!AQ$4="Sí",1/DATOS_[[% normaliz]:[% normaliz]],1)*(DATOS_[Conc.Sal.13])))))))),
0)</f>
        <v>0</v>
      </c>
      <c r="W47" s="101">
        <f t="array" ref="W47">IFERROR(
(AVERAGE((IF(DATOS_[[Sexo]:[Sexo]]=$B47,IF(DATOS_[[AGRUP. VALOR. PTO.]:[AGRUP. VALOR. PTO.]]=$B45,IF(DATOS_[[Check Periodo Ref.]:[Check Periodo Ref.]]="Dentro",IF(DATOS_[[Check Equiparado]:[Check Equiparado]]="Sí",IF(DATOS!AR$5="Sí",(1/DATOS_[[% anualiz]:[% anualiz]]),1)*IF(DATOS!AR$4="Sí",1/DATOS_[[% normaliz]:[% normaliz]],1)*(DATOS_[Conc.Sal.14])))))))),
0)</f>
        <v>0</v>
      </c>
      <c r="X47" s="101">
        <f t="array" ref="X47">IFERROR(
(AVERAGE((IF(DATOS_[[Sexo]:[Sexo]]=$B47,IF(DATOS_[[AGRUP. VALOR. PTO.]:[AGRUP. VALOR. PTO.]]=$B45,IF(DATOS_[[Check Periodo Ref.]:[Check Periodo Ref.]]="Dentro",IF(DATOS_[[Check Equiparado]:[Check Equiparado]]="Sí",IF(DATOS!AS$5="Sí",(1/DATOS_[[% anualiz]:[% anualiz]]),1)*IF(DATOS!AS$4="Sí",1/DATOS_[[% normaliz]:[% normaliz]],1)*(DATOS_[Conc.Sal.15])))))))),
0)</f>
        <v>0</v>
      </c>
      <c r="Y47" s="101">
        <f t="array" ref="Y47">IFERROR(
(AVERAGE((IF(DATOS_[[Sexo]:[Sexo]]=$B47,IF(DATOS_[[AGRUP. VALOR. PTO.]:[AGRUP. VALOR. PTO.]]=$B45,IF(DATOS_[[Check Periodo Ref.]:[Check Periodo Ref.]]="Dentro",IF(DATOS_[[Check Equiparado]:[Check Equiparado]]="Sí",IF(DATOS!AT$5="Sí",(1/DATOS_[[% anualiz]:[% anualiz]]),1)*IF(DATOS!AT$4="Sí",1/DATOS_[[% normaliz]:[% normaliz]],1)*(DATOS_[Conc.Sal.16])))))))),
0)</f>
        <v>0</v>
      </c>
      <c r="Z47" s="101">
        <f t="array" ref="Z47">IFERROR(
(AVERAGE((IF(DATOS_[[Sexo]:[Sexo]]=$B47,IF(DATOS_[[AGRUP. VALOR. PTO.]:[AGRUP. VALOR. PTO.]]=$B45,IF(DATOS_[[Check Periodo Ref.]:[Check Periodo Ref.]]="Dentro",IF(DATOS_[[Check Equiparado]:[Check Equiparado]]="Sí",IF(DATOS!AU$5="Sí",(1/DATOS_[[% anualiz]:[% anualiz]]),1)*IF(DATOS!AU$4="Sí",1/DATOS_[[% normaliz]:[% normaliz]],1)*(DATOS_[Conc.Sal.17])))))))),
0)</f>
        <v>0</v>
      </c>
      <c r="AA47" s="101">
        <f t="array" ref="AA47">IFERROR(
(AVERAGE((IF(DATOS_[[Sexo]:[Sexo]]=$B47,IF(DATOS_[[AGRUP. VALOR. PTO.]:[AGRUP. VALOR. PTO.]]=$B45,IF(DATOS_[[Check Periodo Ref.]:[Check Periodo Ref.]]="Dentro",IF(DATOS_[[Check Equiparado]:[Check Equiparado]]="Sí",IF(DATOS!AV$5="Sí",(1/DATOS_[[% anualiz]:[% anualiz]]),1)*IF(DATOS!AV$4="Sí",1/DATOS_[[% normaliz]:[% normaliz]],1)*(DATOS_[Conc.Sal.18])))))))),
0)</f>
        <v>0</v>
      </c>
      <c r="AB47" s="101">
        <f t="array" ref="AB47">IFERROR(
(AVERAGE((IF(DATOS_[[Sexo]:[Sexo]]=$B47,IF(DATOS_[[AGRUP. VALOR. PTO.]:[AGRUP. VALOR. PTO.]]=$B45,IF(DATOS_[[Check Periodo Ref.]:[Check Periodo Ref.]]="Dentro",IF(DATOS_[[Check Equiparado]:[Check Equiparado]]="Sí",IF(DATOS!AW$5="Sí",(1/DATOS_[[% anualiz]:[% anualiz]]),1)*IF(DATOS!AW$4="Sí",1/DATOS_[[% normaliz]:[% normaliz]],1)*(DATOS_[Conc.Sal.19])))))))),
0)</f>
        <v>0</v>
      </c>
      <c r="AC47" s="101">
        <f t="array" ref="AC47">IFERROR(
(AVERAGE((IF(DATOS_[[Sexo]:[Sexo]]=$B47,IF(DATOS_[[AGRUP. VALOR. PTO.]:[AGRUP. VALOR. PTO.]]=$B45,IF(DATOS_[[Check Periodo Ref.]:[Check Periodo Ref.]]="Dentro",IF(DATOS_[[Check Equiparado]:[Check Equiparado]]="Sí",IF(DATOS!AX$5="Sí",(1/DATOS_[[% anualiz]:[% anualiz]]),1)*IF(DATOS!AX$4="Sí",1/DATOS_[[% normaliz]:[% normaliz]],1)*(DATOS_[Conc.Sal.20])))))))),
0)</f>
        <v>0</v>
      </c>
      <c r="AD47" s="101">
        <f t="array" ref="AD47">IFERROR(
(AVERAGE((IF(DATOS_[[Sexo]:[Sexo]]=$B47,IF(DATOS_[[AGRUP. VALOR. PTO.]:[AGRUP. VALOR. PTO.]]=$B45,IF(DATOS_[[Check Periodo Ref.]:[Check Periodo Ref.]]="Dentro",IF(DATOS_[[Check Equiparado]:[Check Equiparado]]="Sí",IF(DATOS!AY$5="Sí",(1/DATOS_[[% anualiz]:[% anualiz]]),1)*IF(DATOS!AY$4="Sí",1/DATOS_[[% normaliz]:[% normaliz]],1)*(DATOS_[Conc.Sal.21])))))))),
0)</f>
        <v>0</v>
      </c>
      <c r="AE47" s="101">
        <f t="array" ref="AE47">IFERROR(
(AVERAGE((IF(DATOS_[[Sexo]:[Sexo]]=$B47,IF(DATOS_[[AGRUP. VALOR. PTO.]:[AGRUP. VALOR. PTO.]]=$B45,IF(DATOS_[[Check Periodo Ref.]:[Check Periodo Ref.]]="Dentro",IF(DATOS_[[Check Equiparado]:[Check Equiparado]]="Sí",IF(DATOS!AZ$5="Sí",(1/DATOS_[[% anualiz]:[% anualiz]]),1)*IF(DATOS!AZ$4="Sí",1/DATOS_[[% normaliz]:[% normaliz]],1)*(DATOS_[Conc.Sal.22])))))))),
0)</f>
        <v>0</v>
      </c>
      <c r="AF47" s="101">
        <f t="array" ref="AF47">IFERROR(
(AVERAGE((IF(DATOS_[[Sexo]:[Sexo]]=$B47,IF(DATOS_[[AGRUP. VALOR. PTO.]:[AGRUP. VALOR. PTO.]]=$B45,IF(DATOS_[[Check Periodo Ref.]:[Check Periodo Ref.]]="Dentro",IF(DATOS_[[Check Equiparado]:[Check Equiparado]]="Sí",IF(DATOS!BA$5="Sí",(1/DATOS_[[% anualiz]:[% anualiz]]),1)*IF(DATOS!BA$4="Sí",1/DATOS_[[% normaliz]:[% normaliz]],1)*(DATOS_[Conc.Sal.23])))))))),
0)</f>
        <v>0</v>
      </c>
      <c r="AG47" s="101">
        <f t="array" ref="AG47">IFERROR(
(AVERAGE((IF(DATOS_[[Sexo]:[Sexo]]=$B47,IF(DATOS_[[AGRUP. VALOR. PTO.]:[AGRUP. VALOR. PTO.]]=$B45,IF(DATOS_[[Check Periodo Ref.]:[Check Periodo Ref.]]="Dentro",IF(DATOS_[[Check Equiparado]:[Check Equiparado]]="Sí",IF(DATOS!BB$5="Sí",(1/DATOS_[[% anualiz]:[% anualiz]]),1)*IF(DATOS!BB$4="Sí",1/DATOS_[[% normaliz]:[% normaliz]],1)*(DATOS_[Conc.Sal.24])))))))),
0)</f>
        <v>0</v>
      </c>
      <c r="AH47" s="101">
        <f t="array" ref="AH47">IFERROR(
(AVERAGE((IF(DATOS_[[Sexo]:[Sexo]]=$B47,IF(DATOS_[[AGRUP. VALOR. PTO.]:[AGRUP. VALOR. PTO.]]=$B45,IF(DATOS_[[Check Periodo Ref.]:[Check Periodo Ref.]]="Dentro",IF(DATOS_[[Check Equiparado]:[Check Equiparado]]="Sí",IF(DATOS!BC$5="Sí",(1/DATOS_[[% anualiz]:[% anualiz]]),1)*IF(DATOS!BC$4="Sí",1/DATOS_[[% normaliz]:[% normaliz]],1)*(DATOS_[Conc.Sal.25])))))))),
0)</f>
        <v>0</v>
      </c>
      <c r="AI47" s="101">
        <f t="array" ref="AI47">IFERROR(
(AVERAGE((IF(DATOS_[[Sexo]:[Sexo]]=$B47,IF(DATOS_[[AGRUP. VALOR. PTO.]:[AGRUP. VALOR. PTO.]]=$B45,IF(DATOS_[[Check Periodo Ref.]:[Check Periodo Ref.]]="Dentro",IF(DATOS_[[Check Equiparado]:[Check Equiparado]]="Sí",IF(DATOS!BD$5="Sí",(1/DATOS_[[% anualiz]:[% anualiz]]),1)*IF(DATOS!BD$4="Sí",1/DATOS_[[% normaliz]:[% normaliz]],1)*(DATOS_[Conc.Sal.26])))))))),
0)</f>
        <v>0</v>
      </c>
      <c r="AJ47" s="101">
        <f t="array" ref="AJ47">IFERROR(
(AVERAGE((IF(DATOS_[[Sexo]:[Sexo]]=$B47,IF(DATOS_[[AGRUP. VALOR. PTO.]:[AGRUP. VALOR. PTO.]]=$B45,IF(DATOS_[[Check Periodo Ref.]:[Check Periodo Ref.]]="Dentro",IF(DATOS_[[Check Equiparado]:[Check Equiparado]]="Sí",IF(DATOS!BE$5="Sí",(1/DATOS_[[% anualiz]:[% anualiz]]),1)*IF(DATOS!BE$4="Sí",1/DATOS_[[% normaliz]:[% normaliz]],1)*(DATOS_[Conc.Sal.27])))))))),
0)</f>
        <v>0</v>
      </c>
      <c r="AK47" s="101">
        <f t="array" ref="AK47">IFERROR(
(AVERAGE((IF(DATOS_[[Sexo]:[Sexo]]=$B47,IF(DATOS_[[AGRUP. VALOR. PTO.]:[AGRUP. VALOR. PTO.]]=$B45,IF(DATOS_[[Check Periodo Ref.]:[Check Periodo Ref.]]="Dentro",IF(DATOS_[[Check Equiparado]:[Check Equiparado]]="Sí",IF(DATOS!BF$5="Sí",(1/DATOS_[[% anualiz]:[% anualiz]]),1)*IF(DATOS!BF$4="Sí",1/DATOS_[[% normaliz]:[% normaliz]],1)*(DATOS_[Conc.Sal.28])))))))),
0)</f>
        <v>0</v>
      </c>
      <c r="AL47" s="101">
        <f t="array" ref="AL47">IFERROR(
(AVERAGE((IF(DATOS_[[Sexo]:[Sexo]]=$B47,IF(DATOS_[[AGRUP. VALOR. PTO.]:[AGRUP. VALOR. PTO.]]=$B45,IF(DATOS_[[Check Periodo Ref.]:[Check Periodo Ref.]]="Dentro",IF(DATOS_[[Check Equiparado]:[Check Equiparado]]="Sí",IF(DATOS!BG$5="Sí",(1/DATOS_[[% anualiz]:[% anualiz]]),1)*IF(DATOS!BG$4="Sí",1/DATOS_[[% normaliz]:[% normaliz]],1)*(DATOS_[Conc.Sal.29])))))))),
0)</f>
        <v>0</v>
      </c>
      <c r="AM47" s="101">
        <f t="array" ref="AM47">IFERROR(
(AVERAGE((IF(DATOS_[[Sexo]:[Sexo]]=$B47,IF(DATOS_[[AGRUP. VALOR. PTO.]:[AGRUP. VALOR. PTO.]]=$B45,IF(DATOS_[[Check Periodo Ref.]:[Check Periodo Ref.]]="Dentro",IF(DATOS_[[Check Equiparado]:[Check Equiparado]]="Sí",IF(DATOS!BH$5="Sí",(1/DATOS_[[% anualiz]:[% anualiz]]),1)*IF(DATOS!BH$4="Sí",1/DATOS_[[% normaliz]:[% normaliz]],1)*(DATOS_[Conc.Sal.30])))))))),
0)</f>
        <v>0</v>
      </c>
      <c r="AN47" s="102">
        <f t="array" ref="AN47">IFERROR(
AVERAGE(IF(DATOS_[Sexo]=$B47,IF(DATOS_[[AGRUP. VALOR. PTO.]:[AGRUP. VALOR. PTO.]]=$B45,IF(DATOS_[Check Equiparado]="Sí",IF(DATOS_[Check Periodo Ref.]="Dentro",DATOS_[Tot COMPL.SAL Eq],FALSE))))),
0)</f>
        <v>0</v>
      </c>
      <c r="AO47" s="103">
        <f t="array" ref="AO47">IFERROR(
AVERAGE(IF(DATOS_[Sexo]=$B47,IF(DATOS_[[AGRUP. VALOR. PTO.]:[AGRUP. VALOR. PTO.]]=$B45,IF(DATOS_[Check Equiparado]="Sí",IF(DATOS_[Check Periodo Ref.]="Dentro",DATOS_[TOTAL SALARIO Eq],FALSE))))),
0)</f>
        <v>0</v>
      </c>
      <c r="AP47" s="104">
        <f t="array" ref="AP47">IFERROR(
(AVERAGE((IF(DATOS_[[Sexo]:[Sexo]]=$B47,IF(DATOS_[[AGRUP. VALOR. PTO.]:[AGRUP. VALOR. PTO.]]=$B45,IF(DATOS_[[Check Periodo Ref.]:[Check Periodo Ref.]]="Dentro",IF(DATOS_[[Check Equiparado]:[Check Equiparado]]="Sí",IF(DATOS!BI$5="Sí",(1/DATOS_[[% anualiz]:[% anualiz]]),1)*IF(DATOS!BI$4="Sí",1/DATOS_[[% normaliz]:[% normaliz]],1)*(DATOS_[C.Extra.01])))))))),
0)</f>
        <v>0</v>
      </c>
      <c r="AQ47" s="104">
        <f t="array" ref="AQ47">IFERROR(
(AVERAGE((IF(DATOS_[[Sexo]:[Sexo]]=$B47,IF(DATOS_[[AGRUP. VALOR. PTO.]:[AGRUP. VALOR. PTO.]]=$B45,IF(DATOS_[[Check Periodo Ref.]:[Check Periodo Ref.]]="Dentro",IF(DATOS_[[Check Equiparado]:[Check Equiparado]]="Sí",IF(DATOS!BJ$5="Sí",(1/DATOS_[[% anualiz]:[% anualiz]]),1)*IF(DATOS!BJ$4="Sí",1/DATOS_[[% normaliz]:[% normaliz]],1)*(DATOS_[C.Extra.02])))))))),
0)</f>
        <v>0</v>
      </c>
      <c r="AR47" s="104">
        <f t="array" ref="AR47">IFERROR(
(AVERAGE((IF(DATOS_[[Sexo]:[Sexo]]=$B47,IF(DATOS_[[AGRUP. VALOR. PTO.]:[AGRUP. VALOR. PTO.]]=$B45,IF(DATOS_[[Check Periodo Ref.]:[Check Periodo Ref.]]="Dentro",IF(DATOS_[[Check Equiparado]:[Check Equiparado]]="Sí",IF(DATOS!BK$5="Sí",(1/DATOS_[[% anualiz]:[% anualiz]]),1)*IF(DATOS!BK$4="Sí",1/DATOS_[[% normaliz]:[% normaliz]],1)*(DATOS_[C.Extra.03])))))))),
0)</f>
        <v>0</v>
      </c>
      <c r="AS47" s="104">
        <f t="array" ref="AS47">IFERROR(
(AVERAGE((IF(DATOS_[[Sexo]:[Sexo]]=$B47,IF(DATOS_[[AGRUP. VALOR. PTO.]:[AGRUP. VALOR. PTO.]]=$B45,IF(DATOS_[[Check Periodo Ref.]:[Check Periodo Ref.]]="Dentro",IF(DATOS_[[Check Equiparado]:[Check Equiparado]]="Sí",IF(DATOS!BL$5="Sí",(1/DATOS_[[% anualiz]:[% anualiz]]),1)*IF(DATOS!BL$4="Sí",1/DATOS_[[% normaliz]:[% normaliz]],1)*(DATOS_[C.Extra.04])))))))),
0)</f>
        <v>0</v>
      </c>
      <c r="AT47" s="104">
        <f t="array" ref="AT47">IFERROR(
(AVERAGE((IF(DATOS_[[Sexo]:[Sexo]]=$B47,IF(DATOS_[[AGRUP. VALOR. PTO.]:[AGRUP. VALOR. PTO.]]=$B45,IF(DATOS_[[Check Periodo Ref.]:[Check Periodo Ref.]]="Dentro",IF(DATOS_[[Check Equiparado]:[Check Equiparado]]="Sí",IF(DATOS!BM$5="Sí",(1/DATOS_[[% anualiz]:[% anualiz]]),1)*IF(DATOS!BM$4="Sí",1/DATOS_[[% normaliz]:[% normaliz]],1)*(DATOS_[C.Extra.05])))))))),
0)</f>
        <v>0</v>
      </c>
      <c r="AU47" s="105">
        <f t="array" ref="AU47">IFERROR(
AVERAGE(IF(DATOS_[Sexo]=$B47,IF(DATOS_[[AGRUP. VALOR. PTO.]:[AGRUP. VALOR. PTO.]]=$B45,IF(DATOS_[Check Equiparado]="Sí",IF(DATOS_[Check Periodo Ref.]="Dentro",DATOS_[Tot Extrasalarial Eq],FALSE))))),
0)</f>
        <v>0</v>
      </c>
      <c r="AV47" s="106">
        <f t="array" ref="AV47">IFERROR(
AVERAGE(IF(DATOS_[Sexo]=$B47,IF(DATOS_[[AGRUP. VALOR. PTO.]:[AGRUP. VALOR. PTO.]]=$B45,IF(DATOS_[Check Equiparado]="Sí",IF(DATOS_[Check Periodo Ref.]="Dentro",DATOS_[TOTAL Retrib Eq],FALSE))))),
0)</f>
        <v>0</v>
      </c>
    </row>
    <row r="48" spans="1:48" ht="17.25" hidden="1" thickBot="1" x14ac:dyDescent="0.35">
      <c r="A48" s="53" t="str">
        <f t="shared" ref="A48" si="47">+A49</f>
        <v>[ocultar]</v>
      </c>
      <c r="B48" s="62" t="s">
        <v>271</v>
      </c>
      <c r="C48" s="99"/>
      <c r="D48" s="63"/>
      <c r="E48" s="63"/>
      <c r="F48" s="63"/>
      <c r="G48" s="63"/>
      <c r="H48" s="63"/>
      <c r="I48" s="129" t="str">
        <f t="shared" ref="I48:AV48" si="48">IFERROR((I49-I50)/I49,"")</f>
        <v/>
      </c>
      <c r="J48" s="130" t="str">
        <f t="shared" si="48"/>
        <v/>
      </c>
      <c r="K48" s="131" t="str">
        <f t="shared" si="48"/>
        <v/>
      </c>
      <c r="L48" s="131" t="str">
        <f t="shared" si="48"/>
        <v/>
      </c>
      <c r="M48" s="131" t="str">
        <f t="shared" si="48"/>
        <v/>
      </c>
      <c r="N48" s="132" t="str">
        <f t="shared" si="48"/>
        <v/>
      </c>
      <c r="O48" s="133" t="str">
        <f t="shared" si="48"/>
        <v/>
      </c>
      <c r="P48" s="133" t="str">
        <f t="shared" si="48"/>
        <v/>
      </c>
      <c r="Q48" s="133" t="str">
        <f t="shared" si="48"/>
        <v/>
      </c>
      <c r="R48" s="133" t="str">
        <f t="shared" si="48"/>
        <v/>
      </c>
      <c r="S48" s="133" t="str">
        <f t="shared" si="48"/>
        <v/>
      </c>
      <c r="T48" s="133" t="str">
        <f t="shared" si="48"/>
        <v/>
      </c>
      <c r="U48" s="133" t="str">
        <f t="shared" si="48"/>
        <v/>
      </c>
      <c r="V48" s="133" t="str">
        <f t="shared" si="48"/>
        <v/>
      </c>
      <c r="W48" s="133" t="str">
        <f t="shared" si="48"/>
        <v/>
      </c>
      <c r="X48" s="133" t="str">
        <f t="shared" si="48"/>
        <v/>
      </c>
      <c r="Y48" s="133" t="str">
        <f t="shared" si="48"/>
        <v/>
      </c>
      <c r="Z48" s="132" t="str">
        <f t="shared" si="48"/>
        <v/>
      </c>
      <c r="AA48" s="132" t="str">
        <f t="shared" si="48"/>
        <v/>
      </c>
      <c r="AB48" s="132" t="str">
        <f t="shared" si="48"/>
        <v/>
      </c>
      <c r="AC48" s="132" t="str">
        <f t="shared" si="48"/>
        <v/>
      </c>
      <c r="AD48" s="132" t="str">
        <f t="shared" si="48"/>
        <v/>
      </c>
      <c r="AE48" s="132" t="str">
        <f t="shared" si="48"/>
        <v/>
      </c>
      <c r="AF48" s="132" t="str">
        <f t="shared" si="48"/>
        <v/>
      </c>
      <c r="AG48" s="132" t="str">
        <f t="shared" si="48"/>
        <v/>
      </c>
      <c r="AH48" s="132" t="str">
        <f t="shared" si="48"/>
        <v/>
      </c>
      <c r="AI48" s="132" t="str">
        <f t="shared" si="48"/>
        <v/>
      </c>
      <c r="AJ48" s="132" t="str">
        <f t="shared" si="48"/>
        <v/>
      </c>
      <c r="AK48" s="132" t="str">
        <f t="shared" si="48"/>
        <v/>
      </c>
      <c r="AL48" s="132" t="str">
        <f t="shared" si="48"/>
        <v/>
      </c>
      <c r="AM48" s="132" t="str">
        <f t="shared" si="48"/>
        <v/>
      </c>
      <c r="AN48" s="134" t="str">
        <f t="shared" si="48"/>
        <v/>
      </c>
      <c r="AO48" s="138" t="str">
        <f t="shared" si="48"/>
        <v/>
      </c>
      <c r="AP48" s="135" t="str">
        <f t="shared" si="48"/>
        <v/>
      </c>
      <c r="AQ48" s="135" t="str">
        <f t="shared" si="48"/>
        <v/>
      </c>
      <c r="AR48" s="135" t="str">
        <f t="shared" si="48"/>
        <v/>
      </c>
      <c r="AS48" s="135" t="str">
        <f t="shared" si="48"/>
        <v/>
      </c>
      <c r="AT48" s="135" t="str">
        <f t="shared" si="48"/>
        <v/>
      </c>
      <c r="AU48" s="136" t="str">
        <f t="shared" si="48"/>
        <v/>
      </c>
      <c r="AV48" s="137" t="str">
        <f t="shared" si="48"/>
        <v/>
      </c>
    </row>
    <row r="49" spans="1:48" hidden="1" x14ac:dyDescent="0.3">
      <c r="A49" s="53" t="str">
        <f t="shared" ref="A49" si="49">+IF(C49+C50=0,"[ocultar]","")</f>
        <v>[ocultar]</v>
      </c>
      <c r="B49" s="57" t="s">
        <v>162</v>
      </c>
      <c r="C49" s="56">
        <f t="array" ref="C49">SUM(IF($B49=DATOS_[Sexo],
IF($B48=DATOS_[AGRUP. VALOR. PTO.],
IF("Dentro"=DATOS_[Check Periodo Ref.],
1/(COUNTIFS(DATOS_[Sexo],$B49,DATOS_[AGRUP. VALOR. PTO.],$B48,DATOS_[Check Periodo Ref.],"Dentro",DATOS_[id],DATOS_[id]))))))</f>
        <v>0</v>
      </c>
      <c r="D49" s="58">
        <f>COUNTIFS(DATOS_[AGRUP. VALOR. PTO.],$B48,DATOS_[Sexo],$B49,DATOS_[Check Periodo Ref.],"Dentro")</f>
        <v>0</v>
      </c>
      <c r="E49" s="58">
        <f>COUNTIFS(DATOS_[AGRUP. VALOR. PTO.],$B48,DATOS_[Sexo],$B49,DATOS_[Check Periodo Ref.],"Dentro",DATOS_[Check Nº SC Norm],"Sí")</f>
        <v>0</v>
      </c>
      <c r="F49" s="58">
        <f>COUNTIFS(DATOS_[AGRUP. VALOR. PTO.],$B48,DATOS_[Sexo],$B49,DATOS_[Check Periodo Ref.],"Dentro",DATOS_[Check Nº SC Anualiz],"Sí")</f>
        <v>0</v>
      </c>
      <c r="G49" s="58">
        <f>COUNTIFS(DATOS_[AGRUP. VALOR. PTO.],$B48,DATOS_[Sexo],$B49,DATOS_[Check Periodo Ref.],"Dentro",DATOS_[Check Nº SC Norm y Anualiz],"Sí")</f>
        <v>0</v>
      </c>
      <c r="H49" s="58">
        <f>COUNTIFS(DATOS_[AGRUP. VALOR. PTO.],$B48,DATOS_[Sexo],$B49,DATOS_[Check Periodo Ref.],"Dentro",DATOS_[Check Equiparación],"Sí")</f>
        <v>0</v>
      </c>
      <c r="I49" s="100">
        <f t="array" ref="I49">IFERROR(
AVERAGE(IF(DATOS_[Sexo]=$B49,IF(DATOS_[[AGRUP. VALOR. PTO.]:[AGRUP. VALOR. PTO.]]=$B48,IF(DATOS_[Check Equiparado]="Sí",IF(DATOS_[Check Periodo Ref.]="Dentro",DATOS_[SALARIO BASE Eq],FALSE))))),
0)</f>
        <v>0</v>
      </c>
      <c r="J49" s="101">
        <f t="array" ref="J49">IFERROR(
(AVERAGE((IF(DATOS_[[Sexo]:[Sexo]]=$B49,IF(DATOS_[[AGRUP. VALOR. PTO.]:[AGRUP. VALOR. PTO.]]=$B48,IF(DATOS_[[Check Periodo Ref.]:[Check Periodo Ref.]]="Dentro",IF(DATOS_[[Check Equiparado]:[Check Equiparado]]="Sí",IF(DATOS!AE$5="Sí",(1/DATOS_[[% anualiz]:[% anualiz]]),1)*IF(DATOS!AE$4="Sí",1/DATOS_[[% normaliz]:[% normaliz]],1)*(DATOS_[Conc.Sal.01])))))))),
0)</f>
        <v>0</v>
      </c>
      <c r="K49" s="101">
        <f t="array" ref="K49">IFERROR(
(AVERAGE((IF(DATOS_[[Sexo]:[Sexo]]=$B49,IF(DATOS_[[AGRUP. VALOR. PTO.]:[AGRUP. VALOR. PTO.]]=$B48,IF(DATOS_[[Check Periodo Ref.]:[Check Periodo Ref.]]="Dentro",IF(DATOS_[[Check Equiparado]:[Check Equiparado]]="Sí",IF(DATOS!AF$5="Sí",(1/DATOS_[[% anualiz]:[% anualiz]]),1)*IF(DATOS!AF$4="Sí",1/DATOS_[[% normaliz]:[% normaliz]],1)*(DATOS_[Conc.Sal.02])))))))),
0)</f>
        <v>0</v>
      </c>
      <c r="L49" s="101">
        <f t="array" ref="L49">IFERROR(
(AVERAGE((IF(DATOS_[[Sexo]:[Sexo]]=$B49,IF(DATOS_[[AGRUP. VALOR. PTO.]:[AGRUP. VALOR. PTO.]]=$B48,IF(DATOS_[[Check Periodo Ref.]:[Check Periodo Ref.]]="Dentro",IF(DATOS_[[Check Equiparado]:[Check Equiparado]]="Sí",IF(DATOS!AG$5="Sí",(1/DATOS_[[% anualiz]:[% anualiz]]),1)*IF(DATOS!AG$4="Sí",1/DATOS_[[% normaliz]:[% normaliz]],1)*(DATOS_[Conc.Sal.03])))))))),
0)</f>
        <v>0</v>
      </c>
      <c r="M49" s="101">
        <f t="array" ref="M49">IFERROR(
(AVERAGE((IF(DATOS_[[Sexo]:[Sexo]]=$B49,IF(DATOS_[[AGRUP. VALOR. PTO.]:[AGRUP. VALOR. PTO.]]=$B48,IF(DATOS_[[Check Periodo Ref.]:[Check Periodo Ref.]]="Dentro",IF(DATOS_[[Check Equiparado]:[Check Equiparado]]="Sí",IF(DATOS!AH$5="Sí",(1/DATOS_[[% anualiz]:[% anualiz]]),1)*IF(DATOS!AH$4="Sí",1/DATOS_[[% normaliz]:[% normaliz]],1)*(DATOS_[Conc.Sal.04])))))))),
0)</f>
        <v>0</v>
      </c>
      <c r="N49" s="101">
        <f t="array" ref="N49">IFERROR(
(AVERAGE((IF(DATOS_[[Sexo]:[Sexo]]=$B49,IF(DATOS_[[AGRUP. VALOR. PTO.]:[AGRUP. VALOR. PTO.]]=$B48,IF(DATOS_[[Check Periodo Ref.]:[Check Periodo Ref.]]="Dentro",IF(DATOS_[[Check Equiparado]:[Check Equiparado]]="Sí",IF(DATOS!AI$5="Sí",(1/DATOS_[[% anualiz]:[% anualiz]]),1)*IF(DATOS!AI$4="Sí",1/DATOS_[[% normaliz]:[% normaliz]],1)*(DATOS_[Conc.Sal.05])))))))),
0)</f>
        <v>0</v>
      </c>
      <c r="O49" s="101">
        <f t="array" ref="O49">IFERROR(
(AVERAGE((IF(DATOS_[[Sexo]:[Sexo]]=$B49,IF(DATOS_[[AGRUP. VALOR. PTO.]:[AGRUP. VALOR. PTO.]]=$B48,IF(DATOS_[[Check Periodo Ref.]:[Check Periodo Ref.]]="Dentro",IF(DATOS_[[Check Equiparado]:[Check Equiparado]]="Sí",IF(DATOS!AJ$5="Sí",(1/DATOS_[[% anualiz]:[% anualiz]]),1)*IF(DATOS!AJ$4="Sí",1/DATOS_[[% normaliz]:[% normaliz]],1)*(DATOS_[Conc.Sal.06])))))))),
0)</f>
        <v>0</v>
      </c>
      <c r="P49" s="101">
        <f t="array" ref="P49">IFERROR(
(AVERAGE((IF(DATOS_[[Sexo]:[Sexo]]=$B49,IF(DATOS_[[AGRUP. VALOR. PTO.]:[AGRUP. VALOR. PTO.]]=$B48,IF(DATOS_[[Check Periodo Ref.]:[Check Periodo Ref.]]="Dentro",IF(DATOS_[[Check Equiparado]:[Check Equiparado]]="Sí",IF(DATOS!AK$5="Sí",(1/DATOS_[[% anualiz]:[% anualiz]]),1)*IF(DATOS!AK$4="Sí",1/DATOS_[[% normaliz]:[% normaliz]],1)*(DATOS_[Conc.Sal.07])))))))),
0)</f>
        <v>0</v>
      </c>
      <c r="Q49" s="101">
        <f t="array" ref="Q49">IFERROR(
(AVERAGE((IF(DATOS_[[Sexo]:[Sexo]]=$B49,IF(DATOS_[[AGRUP. VALOR. PTO.]:[AGRUP. VALOR. PTO.]]=$B48,IF(DATOS_[[Check Periodo Ref.]:[Check Periodo Ref.]]="Dentro",IF(DATOS_[[Check Equiparado]:[Check Equiparado]]="Sí",IF(DATOS!AL$5="Sí",(1/DATOS_[[% anualiz]:[% anualiz]]),1)*IF(DATOS!AL$4="Sí",1/DATOS_[[% normaliz]:[% normaliz]],1)*(DATOS_[Conc.Sal.08])))))))),
0)</f>
        <v>0</v>
      </c>
      <c r="R49" s="101">
        <f t="array" ref="R49">IFERROR(
(AVERAGE((IF(DATOS_[[Sexo]:[Sexo]]=$B49,IF(DATOS_[[AGRUP. VALOR. PTO.]:[AGRUP. VALOR. PTO.]]=$B48,IF(DATOS_[[Check Periodo Ref.]:[Check Periodo Ref.]]="Dentro",IF(DATOS_[[Check Equiparado]:[Check Equiparado]]="Sí",IF(DATOS!AM$5="Sí",(1/DATOS_[[% anualiz]:[% anualiz]]),1)*IF(DATOS!AM$4="Sí",1/DATOS_[[% normaliz]:[% normaliz]],1)*(DATOS_[Conc.Sal.09])))))))),
0)</f>
        <v>0</v>
      </c>
      <c r="S49" s="101">
        <f t="array" ref="S49">IFERROR(
(AVERAGE((IF(DATOS_[[Sexo]:[Sexo]]=$B49,IF(DATOS_[[AGRUP. VALOR. PTO.]:[AGRUP. VALOR. PTO.]]=$B48,IF(DATOS_[[Check Periodo Ref.]:[Check Periodo Ref.]]="Dentro",IF(DATOS_[[Check Equiparado]:[Check Equiparado]]="Sí",IF(DATOS!AN$5="Sí",(1/DATOS_[[% anualiz]:[% anualiz]]),1)*IF(DATOS!AN$4="Sí",1/DATOS_[[% normaliz]:[% normaliz]],1)*(DATOS_[Conc.Sal.10])))))))),
0)</f>
        <v>0</v>
      </c>
      <c r="T49" s="101">
        <f t="array" ref="T49">IFERROR(
(AVERAGE((IF(DATOS_[[Sexo]:[Sexo]]=$B49,IF(DATOS_[[AGRUP. VALOR. PTO.]:[AGRUP. VALOR. PTO.]]=$B48,IF(DATOS_[[Check Periodo Ref.]:[Check Periodo Ref.]]="Dentro",IF(DATOS_[[Check Equiparado]:[Check Equiparado]]="Sí",IF(DATOS!AO$5="Sí",(1/DATOS_[[% anualiz]:[% anualiz]]),1)*IF(DATOS!AO$4="Sí",1/DATOS_[[% normaliz]:[% normaliz]],1)*(DATOS_[Conc.Sal.11])))))))),
0)</f>
        <v>0</v>
      </c>
      <c r="U49" s="101">
        <f t="array" ref="U49">IFERROR(
(AVERAGE((IF(DATOS_[[Sexo]:[Sexo]]=$B49,IF(DATOS_[[AGRUP. VALOR. PTO.]:[AGRUP. VALOR. PTO.]]=$B48,IF(DATOS_[[Check Periodo Ref.]:[Check Periodo Ref.]]="Dentro",IF(DATOS_[[Check Equiparado]:[Check Equiparado]]="Sí",IF(DATOS!AP$5="Sí",(1/DATOS_[[% anualiz]:[% anualiz]]),1)*IF(DATOS!AP$4="Sí",1/DATOS_[[% normaliz]:[% normaliz]],1)*(DATOS_[Conc.Sal.12])))))))),
0)</f>
        <v>0</v>
      </c>
      <c r="V49" s="101">
        <f t="array" ref="V49">IFERROR(
(AVERAGE((IF(DATOS_[[Sexo]:[Sexo]]=$B49,IF(DATOS_[[AGRUP. VALOR. PTO.]:[AGRUP. VALOR. PTO.]]=$B48,IF(DATOS_[[Check Periodo Ref.]:[Check Periodo Ref.]]="Dentro",IF(DATOS_[[Check Equiparado]:[Check Equiparado]]="Sí",IF(DATOS!AQ$5="Sí",(1/DATOS_[[% anualiz]:[% anualiz]]),1)*IF(DATOS!AQ$4="Sí",1/DATOS_[[% normaliz]:[% normaliz]],1)*(DATOS_[Conc.Sal.13])))))))),
0)</f>
        <v>0</v>
      </c>
      <c r="W49" s="101">
        <f t="array" ref="W49">IFERROR(
(AVERAGE((IF(DATOS_[[Sexo]:[Sexo]]=$B49,IF(DATOS_[[AGRUP. VALOR. PTO.]:[AGRUP. VALOR. PTO.]]=$B48,IF(DATOS_[[Check Periodo Ref.]:[Check Periodo Ref.]]="Dentro",IF(DATOS_[[Check Equiparado]:[Check Equiparado]]="Sí",IF(DATOS!AR$5="Sí",(1/DATOS_[[% anualiz]:[% anualiz]]),1)*IF(DATOS!AR$4="Sí",1/DATOS_[[% normaliz]:[% normaliz]],1)*(DATOS_[Conc.Sal.14])))))))),
0)</f>
        <v>0</v>
      </c>
      <c r="X49" s="101">
        <f t="array" ref="X49">IFERROR(
(AVERAGE((IF(DATOS_[[Sexo]:[Sexo]]=$B49,IF(DATOS_[[AGRUP. VALOR. PTO.]:[AGRUP. VALOR. PTO.]]=$B48,IF(DATOS_[[Check Periodo Ref.]:[Check Periodo Ref.]]="Dentro",IF(DATOS_[[Check Equiparado]:[Check Equiparado]]="Sí",IF(DATOS!AS$5="Sí",(1/DATOS_[[% anualiz]:[% anualiz]]),1)*IF(DATOS!AS$4="Sí",1/DATOS_[[% normaliz]:[% normaliz]],1)*(DATOS_[Conc.Sal.15])))))))),
0)</f>
        <v>0</v>
      </c>
      <c r="Y49" s="101">
        <f t="array" ref="Y49">IFERROR(
(AVERAGE((IF(DATOS_[[Sexo]:[Sexo]]=$B49,IF(DATOS_[[AGRUP. VALOR. PTO.]:[AGRUP. VALOR. PTO.]]=$B48,IF(DATOS_[[Check Periodo Ref.]:[Check Periodo Ref.]]="Dentro",IF(DATOS_[[Check Equiparado]:[Check Equiparado]]="Sí",IF(DATOS!AT$5="Sí",(1/DATOS_[[% anualiz]:[% anualiz]]),1)*IF(DATOS!AT$4="Sí",1/DATOS_[[% normaliz]:[% normaliz]],1)*(DATOS_[Conc.Sal.16])))))))),
0)</f>
        <v>0</v>
      </c>
      <c r="Z49" s="101">
        <f t="array" ref="Z49">IFERROR(
(AVERAGE((IF(DATOS_[[Sexo]:[Sexo]]=$B49,IF(DATOS_[[AGRUP. VALOR. PTO.]:[AGRUP. VALOR. PTO.]]=$B48,IF(DATOS_[[Check Periodo Ref.]:[Check Periodo Ref.]]="Dentro",IF(DATOS_[[Check Equiparado]:[Check Equiparado]]="Sí",IF(DATOS!AU$5="Sí",(1/DATOS_[[% anualiz]:[% anualiz]]),1)*IF(DATOS!AU$4="Sí",1/DATOS_[[% normaliz]:[% normaliz]],1)*(DATOS_[Conc.Sal.17])))))))),
0)</f>
        <v>0</v>
      </c>
      <c r="AA49" s="101">
        <f t="array" ref="AA49">IFERROR(
(AVERAGE((IF(DATOS_[[Sexo]:[Sexo]]=$B49,IF(DATOS_[[AGRUP. VALOR. PTO.]:[AGRUP. VALOR. PTO.]]=$B48,IF(DATOS_[[Check Periodo Ref.]:[Check Periodo Ref.]]="Dentro",IF(DATOS_[[Check Equiparado]:[Check Equiparado]]="Sí",IF(DATOS!AV$5="Sí",(1/DATOS_[[% anualiz]:[% anualiz]]),1)*IF(DATOS!AV$4="Sí",1/DATOS_[[% normaliz]:[% normaliz]],1)*(DATOS_[Conc.Sal.18])))))))),
0)</f>
        <v>0</v>
      </c>
      <c r="AB49" s="101">
        <f t="array" ref="AB49">IFERROR(
(AVERAGE((IF(DATOS_[[Sexo]:[Sexo]]=$B49,IF(DATOS_[[AGRUP. VALOR. PTO.]:[AGRUP. VALOR. PTO.]]=$B48,IF(DATOS_[[Check Periodo Ref.]:[Check Periodo Ref.]]="Dentro",IF(DATOS_[[Check Equiparado]:[Check Equiparado]]="Sí",IF(DATOS!AW$5="Sí",(1/DATOS_[[% anualiz]:[% anualiz]]),1)*IF(DATOS!AW$4="Sí",1/DATOS_[[% normaliz]:[% normaliz]],1)*(DATOS_[Conc.Sal.19])))))))),
0)</f>
        <v>0</v>
      </c>
      <c r="AC49" s="101">
        <f t="array" ref="AC49">IFERROR(
(AVERAGE((IF(DATOS_[[Sexo]:[Sexo]]=$B49,IF(DATOS_[[AGRUP. VALOR. PTO.]:[AGRUP. VALOR. PTO.]]=$B48,IF(DATOS_[[Check Periodo Ref.]:[Check Periodo Ref.]]="Dentro",IF(DATOS_[[Check Equiparado]:[Check Equiparado]]="Sí",IF(DATOS!AX$5="Sí",(1/DATOS_[[% anualiz]:[% anualiz]]),1)*IF(DATOS!AX$4="Sí",1/DATOS_[[% normaliz]:[% normaliz]],1)*(DATOS_[Conc.Sal.20])))))))),
0)</f>
        <v>0</v>
      </c>
      <c r="AD49" s="101">
        <f t="array" ref="AD49">IFERROR(
(AVERAGE((IF(DATOS_[[Sexo]:[Sexo]]=$B49,IF(DATOS_[[AGRUP. VALOR. PTO.]:[AGRUP. VALOR. PTO.]]=$B48,IF(DATOS_[[Check Periodo Ref.]:[Check Periodo Ref.]]="Dentro",IF(DATOS_[[Check Equiparado]:[Check Equiparado]]="Sí",IF(DATOS!AY$5="Sí",(1/DATOS_[[% anualiz]:[% anualiz]]),1)*IF(DATOS!AY$4="Sí",1/DATOS_[[% normaliz]:[% normaliz]],1)*(DATOS_[Conc.Sal.21])))))))),
0)</f>
        <v>0</v>
      </c>
      <c r="AE49" s="101">
        <f t="array" ref="AE49">IFERROR(
(AVERAGE((IF(DATOS_[[Sexo]:[Sexo]]=$B49,IF(DATOS_[[AGRUP. VALOR. PTO.]:[AGRUP. VALOR. PTO.]]=$B48,IF(DATOS_[[Check Periodo Ref.]:[Check Periodo Ref.]]="Dentro",IF(DATOS_[[Check Equiparado]:[Check Equiparado]]="Sí",IF(DATOS!AZ$5="Sí",(1/DATOS_[[% anualiz]:[% anualiz]]),1)*IF(DATOS!AZ$4="Sí",1/DATOS_[[% normaliz]:[% normaliz]],1)*(DATOS_[Conc.Sal.22])))))))),
0)</f>
        <v>0</v>
      </c>
      <c r="AF49" s="101">
        <f t="array" ref="AF49">IFERROR(
(AVERAGE((IF(DATOS_[[Sexo]:[Sexo]]=$B49,IF(DATOS_[[AGRUP. VALOR. PTO.]:[AGRUP. VALOR. PTO.]]=$B48,IF(DATOS_[[Check Periodo Ref.]:[Check Periodo Ref.]]="Dentro",IF(DATOS_[[Check Equiparado]:[Check Equiparado]]="Sí",IF(DATOS!BA$5="Sí",(1/DATOS_[[% anualiz]:[% anualiz]]),1)*IF(DATOS!BA$4="Sí",1/DATOS_[[% normaliz]:[% normaliz]],1)*(DATOS_[Conc.Sal.23])))))))),
0)</f>
        <v>0</v>
      </c>
      <c r="AG49" s="101">
        <f t="array" ref="AG49">IFERROR(
(AVERAGE((IF(DATOS_[[Sexo]:[Sexo]]=$B49,IF(DATOS_[[AGRUP. VALOR. PTO.]:[AGRUP. VALOR. PTO.]]=$B48,IF(DATOS_[[Check Periodo Ref.]:[Check Periodo Ref.]]="Dentro",IF(DATOS_[[Check Equiparado]:[Check Equiparado]]="Sí",IF(DATOS!BB$5="Sí",(1/DATOS_[[% anualiz]:[% anualiz]]),1)*IF(DATOS!BB$4="Sí",1/DATOS_[[% normaliz]:[% normaliz]],1)*(DATOS_[Conc.Sal.24])))))))),
0)</f>
        <v>0</v>
      </c>
      <c r="AH49" s="101">
        <f t="array" ref="AH49">IFERROR(
(AVERAGE((IF(DATOS_[[Sexo]:[Sexo]]=$B49,IF(DATOS_[[AGRUP. VALOR. PTO.]:[AGRUP. VALOR. PTO.]]=$B48,IF(DATOS_[[Check Periodo Ref.]:[Check Periodo Ref.]]="Dentro",IF(DATOS_[[Check Equiparado]:[Check Equiparado]]="Sí",IF(DATOS!BC$5="Sí",(1/DATOS_[[% anualiz]:[% anualiz]]),1)*IF(DATOS!BC$4="Sí",1/DATOS_[[% normaliz]:[% normaliz]],1)*(DATOS_[Conc.Sal.25])))))))),
0)</f>
        <v>0</v>
      </c>
      <c r="AI49" s="101">
        <f t="array" ref="AI49">IFERROR(
(AVERAGE((IF(DATOS_[[Sexo]:[Sexo]]=$B49,IF(DATOS_[[AGRUP. VALOR. PTO.]:[AGRUP. VALOR. PTO.]]=$B48,IF(DATOS_[[Check Periodo Ref.]:[Check Periodo Ref.]]="Dentro",IF(DATOS_[[Check Equiparado]:[Check Equiparado]]="Sí",IF(DATOS!BD$5="Sí",(1/DATOS_[[% anualiz]:[% anualiz]]),1)*IF(DATOS!BD$4="Sí",1/DATOS_[[% normaliz]:[% normaliz]],1)*(DATOS_[Conc.Sal.26])))))))),
0)</f>
        <v>0</v>
      </c>
      <c r="AJ49" s="101">
        <f t="array" ref="AJ49">IFERROR(
(AVERAGE((IF(DATOS_[[Sexo]:[Sexo]]=$B49,IF(DATOS_[[AGRUP. VALOR. PTO.]:[AGRUP. VALOR. PTO.]]=$B48,IF(DATOS_[[Check Periodo Ref.]:[Check Periodo Ref.]]="Dentro",IF(DATOS_[[Check Equiparado]:[Check Equiparado]]="Sí",IF(DATOS!BE$5="Sí",(1/DATOS_[[% anualiz]:[% anualiz]]),1)*IF(DATOS!BE$4="Sí",1/DATOS_[[% normaliz]:[% normaliz]],1)*(DATOS_[Conc.Sal.27])))))))),
0)</f>
        <v>0</v>
      </c>
      <c r="AK49" s="101">
        <f t="array" ref="AK49">IFERROR(
(AVERAGE((IF(DATOS_[[Sexo]:[Sexo]]=$B49,IF(DATOS_[[AGRUP. VALOR. PTO.]:[AGRUP. VALOR. PTO.]]=$B48,IF(DATOS_[[Check Periodo Ref.]:[Check Periodo Ref.]]="Dentro",IF(DATOS_[[Check Equiparado]:[Check Equiparado]]="Sí",IF(DATOS!BF$5="Sí",(1/DATOS_[[% anualiz]:[% anualiz]]),1)*IF(DATOS!BF$4="Sí",1/DATOS_[[% normaliz]:[% normaliz]],1)*(DATOS_[Conc.Sal.28])))))))),
0)</f>
        <v>0</v>
      </c>
      <c r="AL49" s="101">
        <f t="array" ref="AL49">IFERROR(
(AVERAGE((IF(DATOS_[[Sexo]:[Sexo]]=$B49,IF(DATOS_[[AGRUP. VALOR. PTO.]:[AGRUP. VALOR. PTO.]]=$B48,IF(DATOS_[[Check Periodo Ref.]:[Check Periodo Ref.]]="Dentro",IF(DATOS_[[Check Equiparado]:[Check Equiparado]]="Sí",IF(DATOS!BG$5="Sí",(1/DATOS_[[% anualiz]:[% anualiz]]),1)*IF(DATOS!BG$4="Sí",1/DATOS_[[% normaliz]:[% normaliz]],1)*(DATOS_[Conc.Sal.29])))))))),
0)</f>
        <v>0</v>
      </c>
      <c r="AM49" s="101">
        <f t="array" ref="AM49">IFERROR(
(AVERAGE((IF(DATOS_[[Sexo]:[Sexo]]=$B49,IF(DATOS_[[AGRUP. VALOR. PTO.]:[AGRUP. VALOR. PTO.]]=$B48,IF(DATOS_[[Check Periodo Ref.]:[Check Periodo Ref.]]="Dentro",IF(DATOS_[[Check Equiparado]:[Check Equiparado]]="Sí",IF(DATOS!BH$5="Sí",(1/DATOS_[[% anualiz]:[% anualiz]]),1)*IF(DATOS!BH$4="Sí",1/DATOS_[[% normaliz]:[% normaliz]],1)*(DATOS_[Conc.Sal.30])))))))),
0)</f>
        <v>0</v>
      </c>
      <c r="AN49" s="102">
        <f t="array" ref="AN49">IFERROR(
AVERAGE(IF(DATOS_[Sexo]=$B49,IF(DATOS_[[AGRUP. VALOR. PTO.]:[AGRUP. VALOR. PTO.]]=$B48,IF(DATOS_[Check Equiparado]="Sí",IF(DATOS_[Check Periodo Ref.]="Dentro",DATOS_[Tot COMPL.SAL Eq],FALSE))))),
0)</f>
        <v>0</v>
      </c>
      <c r="AO49" s="103">
        <f t="array" ref="AO49">IFERROR(
AVERAGE(IF(DATOS_[Sexo]=$B49,IF(DATOS_[[AGRUP. VALOR. PTO.]:[AGRUP. VALOR. PTO.]]=$B48,IF(DATOS_[Check Equiparado]="Sí",IF(DATOS_[Check Periodo Ref.]="Dentro",DATOS_[TOTAL SALARIO Eq],FALSE))))),
0)</f>
        <v>0</v>
      </c>
      <c r="AP49" s="104">
        <f t="array" ref="AP49">IFERROR(
(AVERAGE((IF(DATOS_[[Sexo]:[Sexo]]=$B49,IF(DATOS_[[AGRUP. VALOR. PTO.]:[AGRUP. VALOR. PTO.]]=$B48,IF(DATOS_[[Check Periodo Ref.]:[Check Periodo Ref.]]="Dentro",IF(DATOS_[[Check Equiparado]:[Check Equiparado]]="Sí",IF(DATOS!BI$5="Sí",(1/DATOS_[[% anualiz]:[% anualiz]]),1)*IF(DATOS!BI$4="Sí",1/DATOS_[[% normaliz]:[% normaliz]],1)*(DATOS_[C.Extra.01])))))))),
0)</f>
        <v>0</v>
      </c>
      <c r="AQ49" s="104">
        <f t="array" ref="AQ49">IFERROR(
(AVERAGE((IF(DATOS_[[Sexo]:[Sexo]]=$B49,IF(DATOS_[[AGRUP. VALOR. PTO.]:[AGRUP. VALOR. PTO.]]=$B48,IF(DATOS_[[Check Periodo Ref.]:[Check Periodo Ref.]]="Dentro",IF(DATOS_[[Check Equiparado]:[Check Equiparado]]="Sí",IF(DATOS!BJ$5="Sí",(1/DATOS_[[% anualiz]:[% anualiz]]),1)*IF(DATOS!BJ$4="Sí",1/DATOS_[[% normaliz]:[% normaliz]],1)*(DATOS_[C.Extra.02])))))))),
0)</f>
        <v>0</v>
      </c>
      <c r="AR49" s="104">
        <f t="array" ref="AR49">IFERROR(
(AVERAGE((IF(DATOS_[[Sexo]:[Sexo]]=$B49,IF(DATOS_[[AGRUP. VALOR. PTO.]:[AGRUP. VALOR. PTO.]]=$B48,IF(DATOS_[[Check Periodo Ref.]:[Check Periodo Ref.]]="Dentro",IF(DATOS_[[Check Equiparado]:[Check Equiparado]]="Sí",IF(DATOS!BK$5="Sí",(1/DATOS_[[% anualiz]:[% anualiz]]),1)*IF(DATOS!BK$4="Sí",1/DATOS_[[% normaliz]:[% normaliz]],1)*(DATOS_[C.Extra.03])))))))),
0)</f>
        <v>0</v>
      </c>
      <c r="AS49" s="104">
        <f t="array" ref="AS49">IFERROR(
(AVERAGE((IF(DATOS_[[Sexo]:[Sexo]]=$B49,IF(DATOS_[[AGRUP. VALOR. PTO.]:[AGRUP. VALOR. PTO.]]=$B48,IF(DATOS_[[Check Periodo Ref.]:[Check Periodo Ref.]]="Dentro",IF(DATOS_[[Check Equiparado]:[Check Equiparado]]="Sí",IF(DATOS!BL$5="Sí",(1/DATOS_[[% anualiz]:[% anualiz]]),1)*IF(DATOS!BL$4="Sí",1/DATOS_[[% normaliz]:[% normaliz]],1)*(DATOS_[C.Extra.04])))))))),
0)</f>
        <v>0</v>
      </c>
      <c r="AT49" s="104">
        <f t="array" ref="AT49">IFERROR(
(AVERAGE((IF(DATOS_[[Sexo]:[Sexo]]=$B49,IF(DATOS_[[AGRUP. VALOR. PTO.]:[AGRUP. VALOR. PTO.]]=$B48,IF(DATOS_[[Check Periodo Ref.]:[Check Periodo Ref.]]="Dentro",IF(DATOS_[[Check Equiparado]:[Check Equiparado]]="Sí",IF(DATOS!BM$5="Sí",(1/DATOS_[[% anualiz]:[% anualiz]]),1)*IF(DATOS!BM$4="Sí",1/DATOS_[[% normaliz]:[% normaliz]],1)*(DATOS_[C.Extra.05])))))))),
0)</f>
        <v>0</v>
      </c>
      <c r="AU49" s="105">
        <f t="array" ref="AU49">IFERROR(
AVERAGE(IF(DATOS_[Sexo]=$B49,IF(DATOS_[[AGRUP. VALOR. PTO.]:[AGRUP. VALOR. PTO.]]=$B48,IF(DATOS_[Check Equiparado]="Sí",IF(DATOS_[Check Periodo Ref.]="Dentro",DATOS_[Tot Extrasalarial Eq],FALSE))))),
0)</f>
        <v>0</v>
      </c>
      <c r="AV49" s="106">
        <f t="array" ref="AV49">IFERROR(
AVERAGE(IF(DATOS_[Sexo]=$B49,IF(DATOS_[[AGRUP. VALOR. PTO.]:[AGRUP. VALOR. PTO.]]=$B48,IF(DATOS_[Check Equiparado]="Sí",IF(DATOS_[Check Periodo Ref.]="Dentro",DATOS_[TOTAL Retrib Eq],FALSE))))),
0)</f>
        <v>0</v>
      </c>
    </row>
    <row r="50" spans="1:48" hidden="1" x14ac:dyDescent="0.3">
      <c r="A50" s="53" t="str">
        <f t="shared" ref="A50" si="50">+A49</f>
        <v>[ocultar]</v>
      </c>
      <c r="B50" s="57" t="s">
        <v>163</v>
      </c>
      <c r="C50" s="56">
        <f t="array" ref="C50">SUM(IF($B50=DATOS_[Sexo],
IF($B48=DATOS_[AGRUP. VALOR. PTO.],
IF("Dentro"=DATOS_[Check Periodo Ref.],
1/(COUNTIFS(DATOS_[Sexo],$B50,DATOS_[AGRUP. VALOR. PTO.],$B48,DATOS_[Check Periodo Ref.],"Dentro",DATOS_[id],DATOS_[id]))))))</f>
        <v>0</v>
      </c>
      <c r="D50" s="58">
        <f>COUNTIFS(DATOS_[AGRUP. VALOR. PTO.],$B48,DATOS_[Sexo],$B50,DATOS_[Check Periodo Ref.],"Dentro")</f>
        <v>0</v>
      </c>
      <c r="E50" s="58">
        <f>COUNTIFS(DATOS_[AGRUP. VALOR. PTO.],$B48,DATOS_[Sexo],$B50,DATOS_[Check Periodo Ref.],"Dentro",DATOS_[Check Nº SC Norm],"Sí")</f>
        <v>0</v>
      </c>
      <c r="F50" s="58">
        <f>COUNTIFS(DATOS_[AGRUP. VALOR. PTO.],$B48,DATOS_[Sexo],$B50,DATOS_[Check Periodo Ref.],"Dentro",DATOS_[Check Nº SC Anualiz],"Sí")</f>
        <v>0</v>
      </c>
      <c r="G50" s="58">
        <f>COUNTIFS(DATOS_[AGRUP. VALOR. PTO.],$B48,DATOS_[Sexo],$B50,DATOS_[Check Periodo Ref.],"Dentro",DATOS_[Check Nº SC Norm y Anualiz],"Sí")</f>
        <v>0</v>
      </c>
      <c r="H50" s="58">
        <f>COUNTIFS(DATOS_[AGRUP. VALOR. PTO.],$B48,DATOS_[Sexo],$B50,DATOS_[Check Periodo Ref.],"Dentro",DATOS_[Check Equiparación],"Sí")</f>
        <v>0</v>
      </c>
      <c r="I50" s="100" cm="1">
        <f t="array" ref="I50">IFERROR(
AVERAGE(IF(DATOS_[Sexo]=$B50,IF(DATOS_[[AGRUP. VALOR. PTO.]:[AGRUP. VALOR. PTO.]]=$B48,IF(DATOS_[Check Equiparado]="Sí",IF(DATOS_[Check Periodo Ref.]="Dentro",DATOS_[SALARIO BASE Eq],FALSE))))),
0)</f>
        <v>0</v>
      </c>
      <c r="J50" s="101">
        <f t="array" ref="J50">IFERROR(
(AVERAGE((IF(DATOS_[[Sexo]:[Sexo]]=$B50,IF(DATOS_[[AGRUP. VALOR. PTO.]:[AGRUP. VALOR. PTO.]]=$B48,IF(DATOS_[[Check Periodo Ref.]:[Check Periodo Ref.]]="Dentro",IF(DATOS_[[Check Equiparado]:[Check Equiparado]]="Sí",IF(DATOS!AE$5="Sí",(1/DATOS_[[% anualiz]:[% anualiz]]),1)*IF(DATOS!AE$4="Sí",1/DATOS_[[% normaliz]:[% normaliz]],1)*(DATOS_[Conc.Sal.01])))))))),
0)</f>
        <v>0</v>
      </c>
      <c r="K50" s="101">
        <f t="array" ref="K50">IFERROR(
(AVERAGE((IF(DATOS_[[Sexo]:[Sexo]]=$B50,IF(DATOS_[[AGRUP. VALOR. PTO.]:[AGRUP. VALOR. PTO.]]=$B48,IF(DATOS_[[Check Periodo Ref.]:[Check Periodo Ref.]]="Dentro",IF(DATOS_[[Check Equiparado]:[Check Equiparado]]="Sí",IF(DATOS!AF$5="Sí",(1/DATOS_[[% anualiz]:[% anualiz]]),1)*IF(DATOS!AF$4="Sí",1/DATOS_[[% normaliz]:[% normaliz]],1)*(DATOS_[Conc.Sal.02])))))))),
0)</f>
        <v>0</v>
      </c>
      <c r="L50" s="101">
        <f t="array" ref="L50">IFERROR(
(AVERAGE((IF(DATOS_[[Sexo]:[Sexo]]=$B50,IF(DATOS_[[AGRUP. VALOR. PTO.]:[AGRUP. VALOR. PTO.]]=$B48,IF(DATOS_[[Check Periodo Ref.]:[Check Periodo Ref.]]="Dentro",IF(DATOS_[[Check Equiparado]:[Check Equiparado]]="Sí",IF(DATOS!AG$5="Sí",(1/DATOS_[[% anualiz]:[% anualiz]]),1)*IF(DATOS!AG$4="Sí",1/DATOS_[[% normaliz]:[% normaliz]],1)*(DATOS_[Conc.Sal.03])))))))),
0)</f>
        <v>0</v>
      </c>
      <c r="M50" s="101">
        <f t="array" ref="M50">IFERROR(
(AVERAGE((IF(DATOS_[[Sexo]:[Sexo]]=$B50,IF(DATOS_[[AGRUP. VALOR. PTO.]:[AGRUP. VALOR. PTO.]]=$B48,IF(DATOS_[[Check Periodo Ref.]:[Check Periodo Ref.]]="Dentro",IF(DATOS_[[Check Equiparado]:[Check Equiparado]]="Sí",IF(DATOS!AH$5="Sí",(1/DATOS_[[% anualiz]:[% anualiz]]),1)*IF(DATOS!AH$4="Sí",1/DATOS_[[% normaliz]:[% normaliz]],1)*(DATOS_[Conc.Sal.04])))))))),
0)</f>
        <v>0</v>
      </c>
      <c r="N50" s="101">
        <f t="array" ref="N50">IFERROR(
(AVERAGE((IF(DATOS_[[Sexo]:[Sexo]]=$B50,IF(DATOS_[[AGRUP. VALOR. PTO.]:[AGRUP. VALOR. PTO.]]=$B48,IF(DATOS_[[Check Periodo Ref.]:[Check Periodo Ref.]]="Dentro",IF(DATOS_[[Check Equiparado]:[Check Equiparado]]="Sí",IF(DATOS!AI$5="Sí",(1/DATOS_[[% anualiz]:[% anualiz]]),1)*IF(DATOS!AI$4="Sí",1/DATOS_[[% normaliz]:[% normaliz]],1)*(DATOS_[Conc.Sal.05])))))))),
0)</f>
        <v>0</v>
      </c>
      <c r="O50" s="101">
        <f t="array" ref="O50">IFERROR(
(AVERAGE((IF(DATOS_[[Sexo]:[Sexo]]=$B50,IF(DATOS_[[AGRUP. VALOR. PTO.]:[AGRUP. VALOR. PTO.]]=$B48,IF(DATOS_[[Check Periodo Ref.]:[Check Periodo Ref.]]="Dentro",IF(DATOS_[[Check Equiparado]:[Check Equiparado]]="Sí",IF(DATOS!AJ$5="Sí",(1/DATOS_[[% anualiz]:[% anualiz]]),1)*IF(DATOS!AJ$4="Sí",1/DATOS_[[% normaliz]:[% normaliz]],1)*(DATOS_[Conc.Sal.06])))))))),
0)</f>
        <v>0</v>
      </c>
      <c r="P50" s="101">
        <f t="array" ref="P50">IFERROR(
(AVERAGE((IF(DATOS_[[Sexo]:[Sexo]]=$B50,IF(DATOS_[[AGRUP. VALOR. PTO.]:[AGRUP. VALOR. PTO.]]=$B48,IF(DATOS_[[Check Periodo Ref.]:[Check Periodo Ref.]]="Dentro",IF(DATOS_[[Check Equiparado]:[Check Equiparado]]="Sí",IF(DATOS!AK$5="Sí",(1/DATOS_[[% anualiz]:[% anualiz]]),1)*IF(DATOS!AK$4="Sí",1/DATOS_[[% normaliz]:[% normaliz]],1)*(DATOS_[Conc.Sal.07])))))))),
0)</f>
        <v>0</v>
      </c>
      <c r="Q50" s="101">
        <f t="array" ref="Q50">IFERROR(
(AVERAGE((IF(DATOS_[[Sexo]:[Sexo]]=$B50,IF(DATOS_[[AGRUP. VALOR. PTO.]:[AGRUP. VALOR. PTO.]]=$B48,IF(DATOS_[[Check Periodo Ref.]:[Check Periodo Ref.]]="Dentro",IF(DATOS_[[Check Equiparado]:[Check Equiparado]]="Sí",IF(DATOS!AL$5="Sí",(1/DATOS_[[% anualiz]:[% anualiz]]),1)*IF(DATOS!AL$4="Sí",1/DATOS_[[% normaliz]:[% normaliz]],1)*(DATOS_[Conc.Sal.08])))))))),
0)</f>
        <v>0</v>
      </c>
      <c r="R50" s="101">
        <f t="array" ref="R50">IFERROR(
(AVERAGE((IF(DATOS_[[Sexo]:[Sexo]]=$B50,IF(DATOS_[[AGRUP. VALOR. PTO.]:[AGRUP. VALOR. PTO.]]=$B48,IF(DATOS_[[Check Periodo Ref.]:[Check Periodo Ref.]]="Dentro",IF(DATOS_[[Check Equiparado]:[Check Equiparado]]="Sí",IF(DATOS!AM$5="Sí",(1/DATOS_[[% anualiz]:[% anualiz]]),1)*IF(DATOS!AM$4="Sí",1/DATOS_[[% normaliz]:[% normaliz]],1)*(DATOS_[Conc.Sal.09])))))))),
0)</f>
        <v>0</v>
      </c>
      <c r="S50" s="101">
        <f t="array" ref="S50">IFERROR(
(AVERAGE((IF(DATOS_[[Sexo]:[Sexo]]=$B50,IF(DATOS_[[AGRUP. VALOR. PTO.]:[AGRUP. VALOR. PTO.]]=$B48,IF(DATOS_[[Check Periodo Ref.]:[Check Periodo Ref.]]="Dentro",IF(DATOS_[[Check Equiparado]:[Check Equiparado]]="Sí",IF(DATOS!AN$5="Sí",(1/DATOS_[[% anualiz]:[% anualiz]]),1)*IF(DATOS!AN$4="Sí",1/DATOS_[[% normaliz]:[% normaliz]],1)*(DATOS_[Conc.Sal.10])))))))),
0)</f>
        <v>0</v>
      </c>
      <c r="T50" s="101">
        <f t="array" ref="T50">IFERROR(
(AVERAGE((IF(DATOS_[[Sexo]:[Sexo]]=$B50,IF(DATOS_[[AGRUP. VALOR. PTO.]:[AGRUP. VALOR. PTO.]]=$B48,IF(DATOS_[[Check Periodo Ref.]:[Check Periodo Ref.]]="Dentro",IF(DATOS_[[Check Equiparado]:[Check Equiparado]]="Sí",IF(DATOS!AO$5="Sí",(1/DATOS_[[% anualiz]:[% anualiz]]),1)*IF(DATOS!AO$4="Sí",1/DATOS_[[% normaliz]:[% normaliz]],1)*(DATOS_[Conc.Sal.11])))))))),
0)</f>
        <v>0</v>
      </c>
      <c r="U50" s="101">
        <f t="array" ref="U50">IFERROR(
(AVERAGE((IF(DATOS_[[Sexo]:[Sexo]]=$B50,IF(DATOS_[[AGRUP. VALOR. PTO.]:[AGRUP. VALOR. PTO.]]=$B48,IF(DATOS_[[Check Periodo Ref.]:[Check Periodo Ref.]]="Dentro",IF(DATOS_[[Check Equiparado]:[Check Equiparado]]="Sí",IF(DATOS!AP$5="Sí",(1/DATOS_[[% anualiz]:[% anualiz]]),1)*IF(DATOS!AP$4="Sí",1/DATOS_[[% normaliz]:[% normaliz]],1)*(DATOS_[Conc.Sal.12])))))))),
0)</f>
        <v>0</v>
      </c>
      <c r="V50" s="101">
        <f t="array" ref="V50">IFERROR(
(AVERAGE((IF(DATOS_[[Sexo]:[Sexo]]=$B50,IF(DATOS_[[AGRUP. VALOR. PTO.]:[AGRUP. VALOR. PTO.]]=$B48,IF(DATOS_[[Check Periodo Ref.]:[Check Periodo Ref.]]="Dentro",IF(DATOS_[[Check Equiparado]:[Check Equiparado]]="Sí",IF(DATOS!AQ$5="Sí",(1/DATOS_[[% anualiz]:[% anualiz]]),1)*IF(DATOS!AQ$4="Sí",1/DATOS_[[% normaliz]:[% normaliz]],1)*(DATOS_[Conc.Sal.13])))))))),
0)</f>
        <v>0</v>
      </c>
      <c r="W50" s="101">
        <f t="array" ref="W50">IFERROR(
(AVERAGE((IF(DATOS_[[Sexo]:[Sexo]]=$B50,IF(DATOS_[[AGRUP. VALOR. PTO.]:[AGRUP. VALOR. PTO.]]=$B48,IF(DATOS_[[Check Periodo Ref.]:[Check Periodo Ref.]]="Dentro",IF(DATOS_[[Check Equiparado]:[Check Equiparado]]="Sí",IF(DATOS!AR$5="Sí",(1/DATOS_[[% anualiz]:[% anualiz]]),1)*IF(DATOS!AR$4="Sí",1/DATOS_[[% normaliz]:[% normaliz]],1)*(DATOS_[Conc.Sal.14])))))))),
0)</f>
        <v>0</v>
      </c>
      <c r="X50" s="101">
        <f t="array" ref="X50">IFERROR(
(AVERAGE((IF(DATOS_[[Sexo]:[Sexo]]=$B50,IF(DATOS_[[AGRUP. VALOR. PTO.]:[AGRUP. VALOR. PTO.]]=$B48,IF(DATOS_[[Check Periodo Ref.]:[Check Periodo Ref.]]="Dentro",IF(DATOS_[[Check Equiparado]:[Check Equiparado]]="Sí",IF(DATOS!AS$5="Sí",(1/DATOS_[[% anualiz]:[% anualiz]]),1)*IF(DATOS!AS$4="Sí",1/DATOS_[[% normaliz]:[% normaliz]],1)*(DATOS_[Conc.Sal.15])))))))),
0)</f>
        <v>0</v>
      </c>
      <c r="Y50" s="101">
        <f t="array" ref="Y50">IFERROR(
(AVERAGE((IF(DATOS_[[Sexo]:[Sexo]]=$B50,IF(DATOS_[[AGRUP. VALOR. PTO.]:[AGRUP. VALOR. PTO.]]=$B48,IF(DATOS_[[Check Periodo Ref.]:[Check Periodo Ref.]]="Dentro",IF(DATOS_[[Check Equiparado]:[Check Equiparado]]="Sí",IF(DATOS!AT$5="Sí",(1/DATOS_[[% anualiz]:[% anualiz]]),1)*IF(DATOS!AT$4="Sí",1/DATOS_[[% normaliz]:[% normaliz]],1)*(DATOS_[Conc.Sal.16])))))))),
0)</f>
        <v>0</v>
      </c>
      <c r="Z50" s="101">
        <f t="array" ref="Z50">IFERROR(
(AVERAGE((IF(DATOS_[[Sexo]:[Sexo]]=$B50,IF(DATOS_[[AGRUP. VALOR. PTO.]:[AGRUP. VALOR. PTO.]]=$B48,IF(DATOS_[[Check Periodo Ref.]:[Check Periodo Ref.]]="Dentro",IF(DATOS_[[Check Equiparado]:[Check Equiparado]]="Sí",IF(DATOS!AU$5="Sí",(1/DATOS_[[% anualiz]:[% anualiz]]),1)*IF(DATOS!AU$4="Sí",1/DATOS_[[% normaliz]:[% normaliz]],1)*(DATOS_[Conc.Sal.17])))))))),
0)</f>
        <v>0</v>
      </c>
      <c r="AA50" s="101">
        <f t="array" ref="AA50">IFERROR(
(AVERAGE((IF(DATOS_[[Sexo]:[Sexo]]=$B50,IF(DATOS_[[AGRUP. VALOR. PTO.]:[AGRUP. VALOR. PTO.]]=$B48,IF(DATOS_[[Check Periodo Ref.]:[Check Periodo Ref.]]="Dentro",IF(DATOS_[[Check Equiparado]:[Check Equiparado]]="Sí",IF(DATOS!AV$5="Sí",(1/DATOS_[[% anualiz]:[% anualiz]]),1)*IF(DATOS!AV$4="Sí",1/DATOS_[[% normaliz]:[% normaliz]],1)*(DATOS_[Conc.Sal.18])))))))),
0)</f>
        <v>0</v>
      </c>
      <c r="AB50" s="101">
        <f t="array" ref="AB50">IFERROR(
(AVERAGE((IF(DATOS_[[Sexo]:[Sexo]]=$B50,IF(DATOS_[[AGRUP. VALOR. PTO.]:[AGRUP. VALOR. PTO.]]=$B48,IF(DATOS_[[Check Periodo Ref.]:[Check Periodo Ref.]]="Dentro",IF(DATOS_[[Check Equiparado]:[Check Equiparado]]="Sí",IF(DATOS!AW$5="Sí",(1/DATOS_[[% anualiz]:[% anualiz]]),1)*IF(DATOS!AW$4="Sí",1/DATOS_[[% normaliz]:[% normaliz]],1)*(DATOS_[Conc.Sal.19])))))))),
0)</f>
        <v>0</v>
      </c>
      <c r="AC50" s="101">
        <f t="array" ref="AC50">IFERROR(
(AVERAGE((IF(DATOS_[[Sexo]:[Sexo]]=$B50,IF(DATOS_[[AGRUP. VALOR. PTO.]:[AGRUP. VALOR. PTO.]]=$B48,IF(DATOS_[[Check Periodo Ref.]:[Check Periodo Ref.]]="Dentro",IF(DATOS_[[Check Equiparado]:[Check Equiparado]]="Sí",IF(DATOS!AX$5="Sí",(1/DATOS_[[% anualiz]:[% anualiz]]),1)*IF(DATOS!AX$4="Sí",1/DATOS_[[% normaliz]:[% normaliz]],1)*(DATOS_[Conc.Sal.20])))))))),
0)</f>
        <v>0</v>
      </c>
      <c r="AD50" s="101">
        <f t="array" ref="AD50">IFERROR(
(AVERAGE((IF(DATOS_[[Sexo]:[Sexo]]=$B50,IF(DATOS_[[AGRUP. VALOR. PTO.]:[AGRUP. VALOR. PTO.]]=$B48,IF(DATOS_[[Check Periodo Ref.]:[Check Periodo Ref.]]="Dentro",IF(DATOS_[[Check Equiparado]:[Check Equiparado]]="Sí",IF(DATOS!AY$5="Sí",(1/DATOS_[[% anualiz]:[% anualiz]]),1)*IF(DATOS!AY$4="Sí",1/DATOS_[[% normaliz]:[% normaliz]],1)*(DATOS_[Conc.Sal.21])))))))),
0)</f>
        <v>0</v>
      </c>
      <c r="AE50" s="101">
        <f t="array" ref="AE50">IFERROR(
(AVERAGE((IF(DATOS_[[Sexo]:[Sexo]]=$B50,IF(DATOS_[[AGRUP. VALOR. PTO.]:[AGRUP. VALOR. PTO.]]=$B48,IF(DATOS_[[Check Periodo Ref.]:[Check Periodo Ref.]]="Dentro",IF(DATOS_[[Check Equiparado]:[Check Equiparado]]="Sí",IF(DATOS!AZ$5="Sí",(1/DATOS_[[% anualiz]:[% anualiz]]),1)*IF(DATOS!AZ$4="Sí",1/DATOS_[[% normaliz]:[% normaliz]],1)*(DATOS_[Conc.Sal.22])))))))),
0)</f>
        <v>0</v>
      </c>
      <c r="AF50" s="101">
        <f t="array" ref="AF50">IFERROR(
(AVERAGE((IF(DATOS_[[Sexo]:[Sexo]]=$B50,IF(DATOS_[[AGRUP. VALOR. PTO.]:[AGRUP. VALOR. PTO.]]=$B48,IF(DATOS_[[Check Periodo Ref.]:[Check Periodo Ref.]]="Dentro",IF(DATOS_[[Check Equiparado]:[Check Equiparado]]="Sí",IF(DATOS!BA$5="Sí",(1/DATOS_[[% anualiz]:[% anualiz]]),1)*IF(DATOS!BA$4="Sí",1/DATOS_[[% normaliz]:[% normaliz]],1)*(DATOS_[Conc.Sal.23])))))))),
0)</f>
        <v>0</v>
      </c>
      <c r="AG50" s="101">
        <f t="array" ref="AG50">IFERROR(
(AVERAGE((IF(DATOS_[[Sexo]:[Sexo]]=$B50,IF(DATOS_[[AGRUP. VALOR. PTO.]:[AGRUP. VALOR. PTO.]]=$B48,IF(DATOS_[[Check Periodo Ref.]:[Check Periodo Ref.]]="Dentro",IF(DATOS_[[Check Equiparado]:[Check Equiparado]]="Sí",IF(DATOS!BB$5="Sí",(1/DATOS_[[% anualiz]:[% anualiz]]),1)*IF(DATOS!BB$4="Sí",1/DATOS_[[% normaliz]:[% normaliz]],1)*(DATOS_[Conc.Sal.24])))))))),
0)</f>
        <v>0</v>
      </c>
      <c r="AH50" s="101">
        <f t="array" ref="AH50">IFERROR(
(AVERAGE((IF(DATOS_[[Sexo]:[Sexo]]=$B50,IF(DATOS_[[AGRUP. VALOR. PTO.]:[AGRUP. VALOR. PTO.]]=$B48,IF(DATOS_[[Check Periodo Ref.]:[Check Periodo Ref.]]="Dentro",IF(DATOS_[[Check Equiparado]:[Check Equiparado]]="Sí",IF(DATOS!BC$5="Sí",(1/DATOS_[[% anualiz]:[% anualiz]]),1)*IF(DATOS!BC$4="Sí",1/DATOS_[[% normaliz]:[% normaliz]],1)*(DATOS_[Conc.Sal.25])))))))),
0)</f>
        <v>0</v>
      </c>
      <c r="AI50" s="101">
        <f t="array" ref="AI50">IFERROR(
(AVERAGE((IF(DATOS_[[Sexo]:[Sexo]]=$B50,IF(DATOS_[[AGRUP. VALOR. PTO.]:[AGRUP. VALOR. PTO.]]=$B48,IF(DATOS_[[Check Periodo Ref.]:[Check Periodo Ref.]]="Dentro",IF(DATOS_[[Check Equiparado]:[Check Equiparado]]="Sí",IF(DATOS!BD$5="Sí",(1/DATOS_[[% anualiz]:[% anualiz]]),1)*IF(DATOS!BD$4="Sí",1/DATOS_[[% normaliz]:[% normaliz]],1)*(DATOS_[Conc.Sal.26])))))))),
0)</f>
        <v>0</v>
      </c>
      <c r="AJ50" s="101">
        <f t="array" ref="AJ50">IFERROR(
(AVERAGE((IF(DATOS_[[Sexo]:[Sexo]]=$B50,IF(DATOS_[[AGRUP. VALOR. PTO.]:[AGRUP. VALOR. PTO.]]=$B48,IF(DATOS_[[Check Periodo Ref.]:[Check Periodo Ref.]]="Dentro",IF(DATOS_[[Check Equiparado]:[Check Equiparado]]="Sí",IF(DATOS!BE$5="Sí",(1/DATOS_[[% anualiz]:[% anualiz]]),1)*IF(DATOS!BE$4="Sí",1/DATOS_[[% normaliz]:[% normaliz]],1)*(DATOS_[Conc.Sal.27])))))))),
0)</f>
        <v>0</v>
      </c>
      <c r="AK50" s="101">
        <f t="array" ref="AK50">IFERROR(
(AVERAGE((IF(DATOS_[[Sexo]:[Sexo]]=$B50,IF(DATOS_[[AGRUP. VALOR. PTO.]:[AGRUP. VALOR. PTO.]]=$B48,IF(DATOS_[[Check Periodo Ref.]:[Check Periodo Ref.]]="Dentro",IF(DATOS_[[Check Equiparado]:[Check Equiparado]]="Sí",IF(DATOS!BF$5="Sí",(1/DATOS_[[% anualiz]:[% anualiz]]),1)*IF(DATOS!BF$4="Sí",1/DATOS_[[% normaliz]:[% normaliz]],1)*(DATOS_[Conc.Sal.28])))))))),
0)</f>
        <v>0</v>
      </c>
      <c r="AL50" s="101">
        <f t="array" ref="AL50">IFERROR(
(AVERAGE((IF(DATOS_[[Sexo]:[Sexo]]=$B50,IF(DATOS_[[AGRUP. VALOR. PTO.]:[AGRUP. VALOR. PTO.]]=$B48,IF(DATOS_[[Check Periodo Ref.]:[Check Periodo Ref.]]="Dentro",IF(DATOS_[[Check Equiparado]:[Check Equiparado]]="Sí",IF(DATOS!BG$5="Sí",(1/DATOS_[[% anualiz]:[% anualiz]]),1)*IF(DATOS!BG$4="Sí",1/DATOS_[[% normaliz]:[% normaliz]],1)*(DATOS_[Conc.Sal.29])))))))),
0)</f>
        <v>0</v>
      </c>
      <c r="AM50" s="101">
        <f t="array" ref="AM50">IFERROR(
(AVERAGE((IF(DATOS_[[Sexo]:[Sexo]]=$B50,IF(DATOS_[[AGRUP. VALOR. PTO.]:[AGRUP. VALOR. PTO.]]=$B48,IF(DATOS_[[Check Periodo Ref.]:[Check Periodo Ref.]]="Dentro",IF(DATOS_[[Check Equiparado]:[Check Equiparado]]="Sí",IF(DATOS!BH$5="Sí",(1/DATOS_[[% anualiz]:[% anualiz]]),1)*IF(DATOS!BH$4="Sí",1/DATOS_[[% normaliz]:[% normaliz]],1)*(DATOS_[Conc.Sal.30])))))))),
0)</f>
        <v>0</v>
      </c>
      <c r="AN50" s="102">
        <f t="array" ref="AN50">IFERROR(
AVERAGE(IF(DATOS_[Sexo]=$B50,IF(DATOS_[[AGRUP. VALOR. PTO.]:[AGRUP. VALOR. PTO.]]=$B48,IF(DATOS_[Check Equiparado]="Sí",IF(DATOS_[Check Periodo Ref.]="Dentro",DATOS_[Tot COMPL.SAL Eq],FALSE))))),
0)</f>
        <v>0</v>
      </c>
      <c r="AO50" s="103">
        <f t="array" ref="AO50">IFERROR(
AVERAGE(IF(DATOS_[Sexo]=$B50,IF(DATOS_[[AGRUP. VALOR. PTO.]:[AGRUP. VALOR. PTO.]]=$B48,IF(DATOS_[Check Equiparado]="Sí",IF(DATOS_[Check Periodo Ref.]="Dentro",DATOS_[TOTAL SALARIO Eq],FALSE))))),
0)</f>
        <v>0</v>
      </c>
      <c r="AP50" s="104">
        <f t="array" ref="AP50">IFERROR(
(AVERAGE((IF(DATOS_[[Sexo]:[Sexo]]=$B50,IF(DATOS_[[AGRUP. VALOR. PTO.]:[AGRUP. VALOR. PTO.]]=$B48,IF(DATOS_[[Check Periodo Ref.]:[Check Periodo Ref.]]="Dentro",IF(DATOS_[[Check Equiparado]:[Check Equiparado]]="Sí",IF(DATOS!BI$5="Sí",(1/DATOS_[[% anualiz]:[% anualiz]]),1)*IF(DATOS!BI$4="Sí",1/DATOS_[[% normaliz]:[% normaliz]],1)*(DATOS_[C.Extra.01])))))))),
0)</f>
        <v>0</v>
      </c>
      <c r="AQ50" s="104">
        <f t="array" ref="AQ50">IFERROR(
(AVERAGE((IF(DATOS_[[Sexo]:[Sexo]]=$B50,IF(DATOS_[[AGRUP. VALOR. PTO.]:[AGRUP. VALOR. PTO.]]=$B48,IF(DATOS_[[Check Periodo Ref.]:[Check Periodo Ref.]]="Dentro",IF(DATOS_[[Check Equiparado]:[Check Equiparado]]="Sí",IF(DATOS!BJ$5="Sí",(1/DATOS_[[% anualiz]:[% anualiz]]),1)*IF(DATOS!BJ$4="Sí",1/DATOS_[[% normaliz]:[% normaliz]],1)*(DATOS_[C.Extra.02])))))))),
0)</f>
        <v>0</v>
      </c>
      <c r="AR50" s="104">
        <f t="array" ref="AR50">IFERROR(
(AVERAGE((IF(DATOS_[[Sexo]:[Sexo]]=$B50,IF(DATOS_[[AGRUP. VALOR. PTO.]:[AGRUP. VALOR. PTO.]]=$B48,IF(DATOS_[[Check Periodo Ref.]:[Check Periodo Ref.]]="Dentro",IF(DATOS_[[Check Equiparado]:[Check Equiparado]]="Sí",IF(DATOS!BK$5="Sí",(1/DATOS_[[% anualiz]:[% anualiz]]),1)*IF(DATOS!BK$4="Sí",1/DATOS_[[% normaliz]:[% normaliz]],1)*(DATOS_[C.Extra.03])))))))),
0)</f>
        <v>0</v>
      </c>
      <c r="AS50" s="104">
        <f t="array" ref="AS50">IFERROR(
(AVERAGE((IF(DATOS_[[Sexo]:[Sexo]]=$B50,IF(DATOS_[[AGRUP. VALOR. PTO.]:[AGRUP. VALOR. PTO.]]=$B48,IF(DATOS_[[Check Periodo Ref.]:[Check Periodo Ref.]]="Dentro",IF(DATOS_[[Check Equiparado]:[Check Equiparado]]="Sí",IF(DATOS!BL$5="Sí",(1/DATOS_[[% anualiz]:[% anualiz]]),1)*IF(DATOS!BL$4="Sí",1/DATOS_[[% normaliz]:[% normaliz]],1)*(DATOS_[C.Extra.04])))))))),
0)</f>
        <v>0</v>
      </c>
      <c r="AT50" s="104">
        <f t="array" ref="AT50">IFERROR(
(AVERAGE((IF(DATOS_[[Sexo]:[Sexo]]=$B50,IF(DATOS_[[AGRUP. VALOR. PTO.]:[AGRUP. VALOR. PTO.]]=$B48,IF(DATOS_[[Check Periodo Ref.]:[Check Periodo Ref.]]="Dentro",IF(DATOS_[[Check Equiparado]:[Check Equiparado]]="Sí",IF(DATOS!BM$5="Sí",(1/DATOS_[[% anualiz]:[% anualiz]]),1)*IF(DATOS!BM$4="Sí",1/DATOS_[[% normaliz]:[% normaliz]],1)*(DATOS_[C.Extra.05])))))))),
0)</f>
        <v>0</v>
      </c>
      <c r="AU50" s="105">
        <f t="array" ref="AU50">IFERROR(
AVERAGE(IF(DATOS_[Sexo]=$B50,IF(DATOS_[[AGRUP. VALOR. PTO.]:[AGRUP. VALOR. PTO.]]=$B48,IF(DATOS_[Check Equiparado]="Sí",IF(DATOS_[Check Periodo Ref.]="Dentro",DATOS_[Tot Extrasalarial Eq],FALSE))))),
0)</f>
        <v>0</v>
      </c>
      <c r="AV50" s="106">
        <f t="array" ref="AV50">IFERROR(
AVERAGE(IF(DATOS_[Sexo]=$B50,IF(DATOS_[[AGRUP. VALOR. PTO.]:[AGRUP. VALOR. PTO.]]=$B48,IF(DATOS_[Check Equiparado]="Sí",IF(DATOS_[Check Periodo Ref.]="Dentro",DATOS_[TOTAL Retrib Eq],FALSE))))),
0)</f>
        <v>0</v>
      </c>
    </row>
    <row r="51" spans="1:48" ht="17.25" hidden="1" thickBot="1" x14ac:dyDescent="0.35">
      <c r="A51" s="53" t="str">
        <f t="shared" ref="A51" si="51">+A52</f>
        <v>[ocultar]</v>
      </c>
      <c r="B51" s="62" t="s">
        <v>272</v>
      </c>
      <c r="C51" s="99"/>
      <c r="D51" s="63"/>
      <c r="E51" s="63"/>
      <c r="F51" s="63"/>
      <c r="G51" s="63"/>
      <c r="H51" s="63"/>
      <c r="I51" s="129" t="str">
        <f t="shared" ref="I51:AV51" si="52">IFERROR((I52-I53)/I52,"")</f>
        <v/>
      </c>
      <c r="J51" s="130" t="str">
        <f t="shared" si="52"/>
        <v/>
      </c>
      <c r="K51" s="131" t="str">
        <f t="shared" si="52"/>
        <v/>
      </c>
      <c r="L51" s="131" t="str">
        <f t="shared" si="52"/>
        <v/>
      </c>
      <c r="M51" s="131" t="str">
        <f t="shared" si="52"/>
        <v/>
      </c>
      <c r="N51" s="132" t="str">
        <f t="shared" si="52"/>
        <v/>
      </c>
      <c r="O51" s="133" t="str">
        <f t="shared" si="52"/>
        <v/>
      </c>
      <c r="P51" s="133" t="str">
        <f t="shared" si="52"/>
        <v/>
      </c>
      <c r="Q51" s="133" t="str">
        <f t="shared" si="52"/>
        <v/>
      </c>
      <c r="R51" s="133" t="str">
        <f t="shared" si="52"/>
        <v/>
      </c>
      <c r="S51" s="133" t="str">
        <f t="shared" si="52"/>
        <v/>
      </c>
      <c r="T51" s="133" t="str">
        <f t="shared" si="52"/>
        <v/>
      </c>
      <c r="U51" s="133" t="str">
        <f t="shared" si="52"/>
        <v/>
      </c>
      <c r="V51" s="133" t="str">
        <f t="shared" si="52"/>
        <v/>
      </c>
      <c r="W51" s="133" t="str">
        <f t="shared" si="52"/>
        <v/>
      </c>
      <c r="X51" s="133" t="str">
        <f t="shared" si="52"/>
        <v/>
      </c>
      <c r="Y51" s="133" t="str">
        <f t="shared" si="52"/>
        <v/>
      </c>
      <c r="Z51" s="132" t="str">
        <f t="shared" si="52"/>
        <v/>
      </c>
      <c r="AA51" s="132" t="str">
        <f t="shared" si="52"/>
        <v/>
      </c>
      <c r="AB51" s="132" t="str">
        <f t="shared" si="52"/>
        <v/>
      </c>
      <c r="AC51" s="132" t="str">
        <f t="shared" si="52"/>
        <v/>
      </c>
      <c r="AD51" s="132" t="str">
        <f t="shared" si="52"/>
        <v/>
      </c>
      <c r="AE51" s="132" t="str">
        <f t="shared" si="52"/>
        <v/>
      </c>
      <c r="AF51" s="132" t="str">
        <f t="shared" si="52"/>
        <v/>
      </c>
      <c r="AG51" s="132" t="str">
        <f t="shared" si="52"/>
        <v/>
      </c>
      <c r="AH51" s="132" t="str">
        <f t="shared" si="52"/>
        <v/>
      </c>
      <c r="AI51" s="132" t="str">
        <f t="shared" si="52"/>
        <v/>
      </c>
      <c r="AJ51" s="132" t="str">
        <f t="shared" si="52"/>
        <v/>
      </c>
      <c r="AK51" s="132" t="str">
        <f t="shared" si="52"/>
        <v/>
      </c>
      <c r="AL51" s="132" t="str">
        <f t="shared" si="52"/>
        <v/>
      </c>
      <c r="AM51" s="132" t="str">
        <f t="shared" si="52"/>
        <v/>
      </c>
      <c r="AN51" s="134" t="str">
        <f t="shared" si="52"/>
        <v/>
      </c>
      <c r="AO51" s="138" t="str">
        <f t="shared" si="52"/>
        <v/>
      </c>
      <c r="AP51" s="135" t="str">
        <f t="shared" si="52"/>
        <v/>
      </c>
      <c r="AQ51" s="135" t="str">
        <f t="shared" si="52"/>
        <v/>
      </c>
      <c r="AR51" s="135" t="str">
        <f t="shared" si="52"/>
        <v/>
      </c>
      <c r="AS51" s="135" t="str">
        <f t="shared" si="52"/>
        <v/>
      </c>
      <c r="AT51" s="135" t="str">
        <f t="shared" si="52"/>
        <v/>
      </c>
      <c r="AU51" s="136" t="str">
        <f t="shared" si="52"/>
        <v/>
      </c>
      <c r="AV51" s="137" t="str">
        <f t="shared" si="52"/>
        <v/>
      </c>
    </row>
    <row r="52" spans="1:48" hidden="1" x14ac:dyDescent="0.3">
      <c r="A52" s="53" t="str">
        <f t="shared" ref="A52" si="53">+IF(C52+C53=0,"[ocultar]","")</f>
        <v>[ocultar]</v>
      </c>
      <c r="B52" s="57" t="s">
        <v>162</v>
      </c>
      <c r="C52" s="56">
        <f t="array" ref="C52">SUM(IF($B52=DATOS_[Sexo],
IF($B51=DATOS_[AGRUP. VALOR. PTO.],
IF("Dentro"=DATOS_[Check Periodo Ref.],
1/(COUNTIFS(DATOS_[Sexo],$B52,DATOS_[AGRUP. VALOR. PTO.],$B51,DATOS_[Check Periodo Ref.],"Dentro",DATOS_[id],DATOS_[id]))))))</f>
        <v>0</v>
      </c>
      <c r="D52" s="58">
        <f>COUNTIFS(DATOS_[AGRUP. VALOR. PTO.],$B51,DATOS_[Sexo],$B52,DATOS_[Check Periodo Ref.],"Dentro")</f>
        <v>0</v>
      </c>
      <c r="E52" s="58">
        <f>COUNTIFS(DATOS_[AGRUP. VALOR. PTO.],$B51,DATOS_[Sexo],$B52,DATOS_[Check Periodo Ref.],"Dentro",DATOS_[Check Nº SC Norm],"Sí")</f>
        <v>0</v>
      </c>
      <c r="F52" s="58">
        <f>COUNTIFS(DATOS_[AGRUP. VALOR. PTO.],$B51,DATOS_[Sexo],$B52,DATOS_[Check Periodo Ref.],"Dentro",DATOS_[Check Nº SC Anualiz],"Sí")</f>
        <v>0</v>
      </c>
      <c r="G52" s="58">
        <f>COUNTIFS(DATOS_[AGRUP. VALOR. PTO.],$B51,DATOS_[Sexo],$B52,DATOS_[Check Periodo Ref.],"Dentro",DATOS_[Check Nº SC Norm y Anualiz],"Sí")</f>
        <v>0</v>
      </c>
      <c r="H52" s="58">
        <f>COUNTIFS(DATOS_[AGRUP. VALOR. PTO.],$B51,DATOS_[Sexo],$B52,DATOS_[Check Periodo Ref.],"Dentro",DATOS_[Check Equiparación],"Sí")</f>
        <v>0</v>
      </c>
      <c r="I52" s="100">
        <f t="array" ref="I52">IFERROR(
AVERAGE(IF(DATOS_[Sexo]=$B52,IF(DATOS_[[AGRUP. VALOR. PTO.]:[AGRUP. VALOR. PTO.]]=$B51,IF(DATOS_[Check Equiparado]="Sí",IF(DATOS_[Check Periodo Ref.]="Dentro",DATOS_[SALARIO BASE Eq],FALSE))))),
0)</f>
        <v>0</v>
      </c>
      <c r="J52" s="101">
        <f t="array" ref="J52">IFERROR(
(AVERAGE((IF(DATOS_[[Sexo]:[Sexo]]=$B52,IF(DATOS_[[AGRUP. VALOR. PTO.]:[AGRUP. VALOR. PTO.]]=$B51,IF(DATOS_[[Check Periodo Ref.]:[Check Periodo Ref.]]="Dentro",IF(DATOS_[[Check Equiparado]:[Check Equiparado]]="Sí",IF(DATOS!AE$5="Sí",(1/DATOS_[[% anualiz]:[% anualiz]]),1)*IF(DATOS!AE$4="Sí",1/DATOS_[[% normaliz]:[% normaliz]],1)*(DATOS_[Conc.Sal.01])))))))),
0)</f>
        <v>0</v>
      </c>
      <c r="K52" s="101">
        <f t="array" ref="K52">IFERROR(
(AVERAGE((IF(DATOS_[[Sexo]:[Sexo]]=$B52,IF(DATOS_[[AGRUP. VALOR. PTO.]:[AGRUP. VALOR. PTO.]]=$B51,IF(DATOS_[[Check Periodo Ref.]:[Check Periodo Ref.]]="Dentro",IF(DATOS_[[Check Equiparado]:[Check Equiparado]]="Sí",IF(DATOS!AF$5="Sí",(1/DATOS_[[% anualiz]:[% anualiz]]),1)*IF(DATOS!AF$4="Sí",1/DATOS_[[% normaliz]:[% normaliz]],1)*(DATOS_[Conc.Sal.02])))))))),
0)</f>
        <v>0</v>
      </c>
      <c r="L52" s="101">
        <f t="array" ref="L52">IFERROR(
(AVERAGE((IF(DATOS_[[Sexo]:[Sexo]]=$B52,IF(DATOS_[[AGRUP. VALOR. PTO.]:[AGRUP. VALOR. PTO.]]=$B51,IF(DATOS_[[Check Periodo Ref.]:[Check Periodo Ref.]]="Dentro",IF(DATOS_[[Check Equiparado]:[Check Equiparado]]="Sí",IF(DATOS!AG$5="Sí",(1/DATOS_[[% anualiz]:[% anualiz]]),1)*IF(DATOS!AG$4="Sí",1/DATOS_[[% normaliz]:[% normaliz]],1)*(DATOS_[Conc.Sal.03])))))))),
0)</f>
        <v>0</v>
      </c>
      <c r="M52" s="101">
        <f t="array" ref="M52">IFERROR(
(AVERAGE((IF(DATOS_[[Sexo]:[Sexo]]=$B52,IF(DATOS_[[AGRUP. VALOR. PTO.]:[AGRUP. VALOR. PTO.]]=$B51,IF(DATOS_[[Check Periodo Ref.]:[Check Periodo Ref.]]="Dentro",IF(DATOS_[[Check Equiparado]:[Check Equiparado]]="Sí",IF(DATOS!AH$5="Sí",(1/DATOS_[[% anualiz]:[% anualiz]]),1)*IF(DATOS!AH$4="Sí",1/DATOS_[[% normaliz]:[% normaliz]],1)*(DATOS_[Conc.Sal.04])))))))),
0)</f>
        <v>0</v>
      </c>
      <c r="N52" s="101">
        <f t="array" ref="N52">IFERROR(
(AVERAGE((IF(DATOS_[[Sexo]:[Sexo]]=$B52,IF(DATOS_[[AGRUP. VALOR. PTO.]:[AGRUP. VALOR. PTO.]]=$B51,IF(DATOS_[[Check Periodo Ref.]:[Check Periodo Ref.]]="Dentro",IF(DATOS_[[Check Equiparado]:[Check Equiparado]]="Sí",IF(DATOS!AI$5="Sí",(1/DATOS_[[% anualiz]:[% anualiz]]),1)*IF(DATOS!AI$4="Sí",1/DATOS_[[% normaliz]:[% normaliz]],1)*(DATOS_[Conc.Sal.05])))))))),
0)</f>
        <v>0</v>
      </c>
      <c r="O52" s="101">
        <f t="array" ref="O52">IFERROR(
(AVERAGE((IF(DATOS_[[Sexo]:[Sexo]]=$B52,IF(DATOS_[[AGRUP. VALOR. PTO.]:[AGRUP. VALOR. PTO.]]=$B51,IF(DATOS_[[Check Periodo Ref.]:[Check Periodo Ref.]]="Dentro",IF(DATOS_[[Check Equiparado]:[Check Equiparado]]="Sí",IF(DATOS!AJ$5="Sí",(1/DATOS_[[% anualiz]:[% anualiz]]),1)*IF(DATOS!AJ$4="Sí",1/DATOS_[[% normaliz]:[% normaliz]],1)*(DATOS_[Conc.Sal.06])))))))),
0)</f>
        <v>0</v>
      </c>
      <c r="P52" s="101">
        <f t="array" ref="P52">IFERROR(
(AVERAGE((IF(DATOS_[[Sexo]:[Sexo]]=$B52,IF(DATOS_[[AGRUP. VALOR. PTO.]:[AGRUP. VALOR. PTO.]]=$B51,IF(DATOS_[[Check Periodo Ref.]:[Check Periodo Ref.]]="Dentro",IF(DATOS_[[Check Equiparado]:[Check Equiparado]]="Sí",IF(DATOS!AK$5="Sí",(1/DATOS_[[% anualiz]:[% anualiz]]),1)*IF(DATOS!AK$4="Sí",1/DATOS_[[% normaliz]:[% normaliz]],1)*(DATOS_[Conc.Sal.07])))))))),
0)</f>
        <v>0</v>
      </c>
      <c r="Q52" s="101">
        <f t="array" ref="Q52">IFERROR(
(AVERAGE((IF(DATOS_[[Sexo]:[Sexo]]=$B52,IF(DATOS_[[AGRUP. VALOR. PTO.]:[AGRUP. VALOR. PTO.]]=$B51,IF(DATOS_[[Check Periodo Ref.]:[Check Periodo Ref.]]="Dentro",IF(DATOS_[[Check Equiparado]:[Check Equiparado]]="Sí",IF(DATOS!AL$5="Sí",(1/DATOS_[[% anualiz]:[% anualiz]]),1)*IF(DATOS!AL$4="Sí",1/DATOS_[[% normaliz]:[% normaliz]],1)*(DATOS_[Conc.Sal.08])))))))),
0)</f>
        <v>0</v>
      </c>
      <c r="R52" s="101">
        <f t="array" ref="R52">IFERROR(
(AVERAGE((IF(DATOS_[[Sexo]:[Sexo]]=$B52,IF(DATOS_[[AGRUP. VALOR. PTO.]:[AGRUP. VALOR. PTO.]]=$B51,IF(DATOS_[[Check Periodo Ref.]:[Check Periodo Ref.]]="Dentro",IF(DATOS_[[Check Equiparado]:[Check Equiparado]]="Sí",IF(DATOS!AM$5="Sí",(1/DATOS_[[% anualiz]:[% anualiz]]),1)*IF(DATOS!AM$4="Sí",1/DATOS_[[% normaliz]:[% normaliz]],1)*(DATOS_[Conc.Sal.09])))))))),
0)</f>
        <v>0</v>
      </c>
      <c r="S52" s="101">
        <f t="array" ref="S52">IFERROR(
(AVERAGE((IF(DATOS_[[Sexo]:[Sexo]]=$B52,IF(DATOS_[[AGRUP. VALOR. PTO.]:[AGRUP. VALOR. PTO.]]=$B51,IF(DATOS_[[Check Periodo Ref.]:[Check Periodo Ref.]]="Dentro",IF(DATOS_[[Check Equiparado]:[Check Equiparado]]="Sí",IF(DATOS!AN$5="Sí",(1/DATOS_[[% anualiz]:[% anualiz]]),1)*IF(DATOS!AN$4="Sí",1/DATOS_[[% normaliz]:[% normaliz]],1)*(DATOS_[Conc.Sal.10])))))))),
0)</f>
        <v>0</v>
      </c>
      <c r="T52" s="101">
        <f t="array" ref="T52">IFERROR(
(AVERAGE((IF(DATOS_[[Sexo]:[Sexo]]=$B52,IF(DATOS_[[AGRUP. VALOR. PTO.]:[AGRUP. VALOR. PTO.]]=$B51,IF(DATOS_[[Check Periodo Ref.]:[Check Periodo Ref.]]="Dentro",IF(DATOS_[[Check Equiparado]:[Check Equiparado]]="Sí",IF(DATOS!AO$5="Sí",(1/DATOS_[[% anualiz]:[% anualiz]]),1)*IF(DATOS!AO$4="Sí",1/DATOS_[[% normaliz]:[% normaliz]],1)*(DATOS_[Conc.Sal.11])))))))),
0)</f>
        <v>0</v>
      </c>
      <c r="U52" s="101">
        <f t="array" ref="U52">IFERROR(
(AVERAGE((IF(DATOS_[[Sexo]:[Sexo]]=$B52,IF(DATOS_[[AGRUP. VALOR. PTO.]:[AGRUP. VALOR. PTO.]]=$B51,IF(DATOS_[[Check Periodo Ref.]:[Check Periodo Ref.]]="Dentro",IF(DATOS_[[Check Equiparado]:[Check Equiparado]]="Sí",IF(DATOS!AP$5="Sí",(1/DATOS_[[% anualiz]:[% anualiz]]),1)*IF(DATOS!AP$4="Sí",1/DATOS_[[% normaliz]:[% normaliz]],1)*(DATOS_[Conc.Sal.12])))))))),
0)</f>
        <v>0</v>
      </c>
      <c r="V52" s="101">
        <f t="array" ref="V52">IFERROR(
(AVERAGE((IF(DATOS_[[Sexo]:[Sexo]]=$B52,IF(DATOS_[[AGRUP. VALOR. PTO.]:[AGRUP. VALOR. PTO.]]=$B51,IF(DATOS_[[Check Periodo Ref.]:[Check Periodo Ref.]]="Dentro",IF(DATOS_[[Check Equiparado]:[Check Equiparado]]="Sí",IF(DATOS!AQ$5="Sí",(1/DATOS_[[% anualiz]:[% anualiz]]),1)*IF(DATOS!AQ$4="Sí",1/DATOS_[[% normaliz]:[% normaliz]],1)*(DATOS_[Conc.Sal.13])))))))),
0)</f>
        <v>0</v>
      </c>
      <c r="W52" s="101">
        <f t="array" ref="W52">IFERROR(
(AVERAGE((IF(DATOS_[[Sexo]:[Sexo]]=$B52,IF(DATOS_[[AGRUP. VALOR. PTO.]:[AGRUP. VALOR. PTO.]]=$B51,IF(DATOS_[[Check Periodo Ref.]:[Check Periodo Ref.]]="Dentro",IF(DATOS_[[Check Equiparado]:[Check Equiparado]]="Sí",IF(DATOS!AR$5="Sí",(1/DATOS_[[% anualiz]:[% anualiz]]),1)*IF(DATOS!AR$4="Sí",1/DATOS_[[% normaliz]:[% normaliz]],1)*(DATOS_[Conc.Sal.14])))))))),
0)</f>
        <v>0</v>
      </c>
      <c r="X52" s="101">
        <f t="array" ref="X52">IFERROR(
(AVERAGE((IF(DATOS_[[Sexo]:[Sexo]]=$B52,IF(DATOS_[[AGRUP. VALOR. PTO.]:[AGRUP. VALOR. PTO.]]=$B51,IF(DATOS_[[Check Periodo Ref.]:[Check Periodo Ref.]]="Dentro",IF(DATOS_[[Check Equiparado]:[Check Equiparado]]="Sí",IF(DATOS!AS$5="Sí",(1/DATOS_[[% anualiz]:[% anualiz]]),1)*IF(DATOS!AS$4="Sí",1/DATOS_[[% normaliz]:[% normaliz]],1)*(DATOS_[Conc.Sal.15])))))))),
0)</f>
        <v>0</v>
      </c>
      <c r="Y52" s="101">
        <f t="array" ref="Y52">IFERROR(
(AVERAGE((IF(DATOS_[[Sexo]:[Sexo]]=$B52,IF(DATOS_[[AGRUP. VALOR. PTO.]:[AGRUP. VALOR. PTO.]]=$B51,IF(DATOS_[[Check Periodo Ref.]:[Check Periodo Ref.]]="Dentro",IF(DATOS_[[Check Equiparado]:[Check Equiparado]]="Sí",IF(DATOS!AT$5="Sí",(1/DATOS_[[% anualiz]:[% anualiz]]),1)*IF(DATOS!AT$4="Sí",1/DATOS_[[% normaliz]:[% normaliz]],1)*(DATOS_[Conc.Sal.16])))))))),
0)</f>
        <v>0</v>
      </c>
      <c r="Z52" s="101">
        <f t="array" ref="Z52">IFERROR(
(AVERAGE((IF(DATOS_[[Sexo]:[Sexo]]=$B52,IF(DATOS_[[AGRUP. VALOR. PTO.]:[AGRUP. VALOR. PTO.]]=$B51,IF(DATOS_[[Check Periodo Ref.]:[Check Periodo Ref.]]="Dentro",IF(DATOS_[[Check Equiparado]:[Check Equiparado]]="Sí",IF(DATOS!AU$5="Sí",(1/DATOS_[[% anualiz]:[% anualiz]]),1)*IF(DATOS!AU$4="Sí",1/DATOS_[[% normaliz]:[% normaliz]],1)*(DATOS_[Conc.Sal.17])))))))),
0)</f>
        <v>0</v>
      </c>
      <c r="AA52" s="101">
        <f t="array" ref="AA52">IFERROR(
(AVERAGE((IF(DATOS_[[Sexo]:[Sexo]]=$B52,IF(DATOS_[[AGRUP. VALOR. PTO.]:[AGRUP. VALOR. PTO.]]=$B51,IF(DATOS_[[Check Periodo Ref.]:[Check Periodo Ref.]]="Dentro",IF(DATOS_[[Check Equiparado]:[Check Equiparado]]="Sí",IF(DATOS!AV$5="Sí",(1/DATOS_[[% anualiz]:[% anualiz]]),1)*IF(DATOS!AV$4="Sí",1/DATOS_[[% normaliz]:[% normaliz]],1)*(DATOS_[Conc.Sal.18])))))))),
0)</f>
        <v>0</v>
      </c>
      <c r="AB52" s="101">
        <f t="array" ref="AB52">IFERROR(
(AVERAGE((IF(DATOS_[[Sexo]:[Sexo]]=$B52,IF(DATOS_[[AGRUP. VALOR. PTO.]:[AGRUP. VALOR. PTO.]]=$B51,IF(DATOS_[[Check Periodo Ref.]:[Check Periodo Ref.]]="Dentro",IF(DATOS_[[Check Equiparado]:[Check Equiparado]]="Sí",IF(DATOS!AW$5="Sí",(1/DATOS_[[% anualiz]:[% anualiz]]),1)*IF(DATOS!AW$4="Sí",1/DATOS_[[% normaliz]:[% normaliz]],1)*(DATOS_[Conc.Sal.19])))))))),
0)</f>
        <v>0</v>
      </c>
      <c r="AC52" s="101">
        <f t="array" ref="AC52">IFERROR(
(AVERAGE((IF(DATOS_[[Sexo]:[Sexo]]=$B52,IF(DATOS_[[AGRUP. VALOR. PTO.]:[AGRUP. VALOR. PTO.]]=$B51,IF(DATOS_[[Check Periodo Ref.]:[Check Periodo Ref.]]="Dentro",IF(DATOS_[[Check Equiparado]:[Check Equiparado]]="Sí",IF(DATOS!AX$5="Sí",(1/DATOS_[[% anualiz]:[% anualiz]]),1)*IF(DATOS!AX$4="Sí",1/DATOS_[[% normaliz]:[% normaliz]],1)*(DATOS_[Conc.Sal.20])))))))),
0)</f>
        <v>0</v>
      </c>
      <c r="AD52" s="101">
        <f t="array" ref="AD52">IFERROR(
(AVERAGE((IF(DATOS_[[Sexo]:[Sexo]]=$B52,IF(DATOS_[[AGRUP. VALOR. PTO.]:[AGRUP. VALOR. PTO.]]=$B51,IF(DATOS_[[Check Periodo Ref.]:[Check Periodo Ref.]]="Dentro",IF(DATOS_[[Check Equiparado]:[Check Equiparado]]="Sí",IF(DATOS!AY$5="Sí",(1/DATOS_[[% anualiz]:[% anualiz]]),1)*IF(DATOS!AY$4="Sí",1/DATOS_[[% normaliz]:[% normaliz]],1)*(DATOS_[Conc.Sal.21])))))))),
0)</f>
        <v>0</v>
      </c>
      <c r="AE52" s="101">
        <f t="array" ref="AE52">IFERROR(
(AVERAGE((IF(DATOS_[[Sexo]:[Sexo]]=$B52,IF(DATOS_[[AGRUP. VALOR. PTO.]:[AGRUP. VALOR. PTO.]]=$B51,IF(DATOS_[[Check Periodo Ref.]:[Check Periodo Ref.]]="Dentro",IF(DATOS_[[Check Equiparado]:[Check Equiparado]]="Sí",IF(DATOS!AZ$5="Sí",(1/DATOS_[[% anualiz]:[% anualiz]]),1)*IF(DATOS!AZ$4="Sí",1/DATOS_[[% normaliz]:[% normaliz]],1)*(DATOS_[Conc.Sal.22])))))))),
0)</f>
        <v>0</v>
      </c>
      <c r="AF52" s="101">
        <f t="array" ref="AF52">IFERROR(
(AVERAGE((IF(DATOS_[[Sexo]:[Sexo]]=$B52,IF(DATOS_[[AGRUP. VALOR. PTO.]:[AGRUP. VALOR. PTO.]]=$B51,IF(DATOS_[[Check Periodo Ref.]:[Check Periodo Ref.]]="Dentro",IF(DATOS_[[Check Equiparado]:[Check Equiparado]]="Sí",IF(DATOS!BA$5="Sí",(1/DATOS_[[% anualiz]:[% anualiz]]),1)*IF(DATOS!BA$4="Sí",1/DATOS_[[% normaliz]:[% normaliz]],1)*(DATOS_[Conc.Sal.23])))))))),
0)</f>
        <v>0</v>
      </c>
      <c r="AG52" s="101">
        <f t="array" ref="AG52">IFERROR(
(AVERAGE((IF(DATOS_[[Sexo]:[Sexo]]=$B52,IF(DATOS_[[AGRUP. VALOR. PTO.]:[AGRUP. VALOR. PTO.]]=$B51,IF(DATOS_[[Check Periodo Ref.]:[Check Periodo Ref.]]="Dentro",IF(DATOS_[[Check Equiparado]:[Check Equiparado]]="Sí",IF(DATOS!BB$5="Sí",(1/DATOS_[[% anualiz]:[% anualiz]]),1)*IF(DATOS!BB$4="Sí",1/DATOS_[[% normaliz]:[% normaliz]],1)*(DATOS_[Conc.Sal.24])))))))),
0)</f>
        <v>0</v>
      </c>
      <c r="AH52" s="101">
        <f t="array" ref="AH52">IFERROR(
(AVERAGE((IF(DATOS_[[Sexo]:[Sexo]]=$B52,IF(DATOS_[[AGRUP. VALOR. PTO.]:[AGRUP. VALOR. PTO.]]=$B51,IF(DATOS_[[Check Periodo Ref.]:[Check Periodo Ref.]]="Dentro",IF(DATOS_[[Check Equiparado]:[Check Equiparado]]="Sí",IF(DATOS!BC$5="Sí",(1/DATOS_[[% anualiz]:[% anualiz]]),1)*IF(DATOS!BC$4="Sí",1/DATOS_[[% normaliz]:[% normaliz]],1)*(DATOS_[Conc.Sal.25])))))))),
0)</f>
        <v>0</v>
      </c>
      <c r="AI52" s="101">
        <f t="array" ref="AI52">IFERROR(
(AVERAGE((IF(DATOS_[[Sexo]:[Sexo]]=$B52,IF(DATOS_[[AGRUP. VALOR. PTO.]:[AGRUP. VALOR. PTO.]]=$B51,IF(DATOS_[[Check Periodo Ref.]:[Check Periodo Ref.]]="Dentro",IF(DATOS_[[Check Equiparado]:[Check Equiparado]]="Sí",IF(DATOS!BD$5="Sí",(1/DATOS_[[% anualiz]:[% anualiz]]),1)*IF(DATOS!BD$4="Sí",1/DATOS_[[% normaliz]:[% normaliz]],1)*(DATOS_[Conc.Sal.26])))))))),
0)</f>
        <v>0</v>
      </c>
      <c r="AJ52" s="101">
        <f t="array" ref="AJ52">IFERROR(
(AVERAGE((IF(DATOS_[[Sexo]:[Sexo]]=$B52,IF(DATOS_[[AGRUP. VALOR. PTO.]:[AGRUP. VALOR. PTO.]]=$B51,IF(DATOS_[[Check Periodo Ref.]:[Check Periodo Ref.]]="Dentro",IF(DATOS_[[Check Equiparado]:[Check Equiparado]]="Sí",IF(DATOS!BE$5="Sí",(1/DATOS_[[% anualiz]:[% anualiz]]),1)*IF(DATOS!BE$4="Sí",1/DATOS_[[% normaliz]:[% normaliz]],1)*(DATOS_[Conc.Sal.27])))))))),
0)</f>
        <v>0</v>
      </c>
      <c r="AK52" s="101">
        <f t="array" ref="AK52">IFERROR(
(AVERAGE((IF(DATOS_[[Sexo]:[Sexo]]=$B52,IF(DATOS_[[AGRUP. VALOR. PTO.]:[AGRUP. VALOR. PTO.]]=$B51,IF(DATOS_[[Check Periodo Ref.]:[Check Periodo Ref.]]="Dentro",IF(DATOS_[[Check Equiparado]:[Check Equiparado]]="Sí",IF(DATOS!BF$5="Sí",(1/DATOS_[[% anualiz]:[% anualiz]]),1)*IF(DATOS!BF$4="Sí",1/DATOS_[[% normaliz]:[% normaliz]],1)*(DATOS_[Conc.Sal.28])))))))),
0)</f>
        <v>0</v>
      </c>
      <c r="AL52" s="101">
        <f t="array" ref="AL52">IFERROR(
(AVERAGE((IF(DATOS_[[Sexo]:[Sexo]]=$B52,IF(DATOS_[[AGRUP. VALOR. PTO.]:[AGRUP. VALOR. PTO.]]=$B51,IF(DATOS_[[Check Periodo Ref.]:[Check Periodo Ref.]]="Dentro",IF(DATOS_[[Check Equiparado]:[Check Equiparado]]="Sí",IF(DATOS!BG$5="Sí",(1/DATOS_[[% anualiz]:[% anualiz]]),1)*IF(DATOS!BG$4="Sí",1/DATOS_[[% normaliz]:[% normaliz]],1)*(DATOS_[Conc.Sal.29])))))))),
0)</f>
        <v>0</v>
      </c>
      <c r="AM52" s="101">
        <f t="array" ref="AM52">IFERROR(
(AVERAGE((IF(DATOS_[[Sexo]:[Sexo]]=$B52,IF(DATOS_[[AGRUP. VALOR. PTO.]:[AGRUP. VALOR. PTO.]]=$B51,IF(DATOS_[[Check Periodo Ref.]:[Check Periodo Ref.]]="Dentro",IF(DATOS_[[Check Equiparado]:[Check Equiparado]]="Sí",IF(DATOS!BH$5="Sí",(1/DATOS_[[% anualiz]:[% anualiz]]),1)*IF(DATOS!BH$4="Sí",1/DATOS_[[% normaliz]:[% normaliz]],1)*(DATOS_[Conc.Sal.30])))))))),
0)</f>
        <v>0</v>
      </c>
      <c r="AN52" s="102">
        <f t="array" ref="AN52">IFERROR(
AVERAGE(IF(DATOS_[Sexo]=$B52,IF(DATOS_[[AGRUP. VALOR. PTO.]:[AGRUP. VALOR. PTO.]]=$B51,IF(DATOS_[Check Equiparado]="Sí",IF(DATOS_[Check Periodo Ref.]="Dentro",DATOS_[Tot COMPL.SAL Eq],FALSE))))),
0)</f>
        <v>0</v>
      </c>
      <c r="AO52" s="103">
        <f t="array" ref="AO52">IFERROR(
AVERAGE(IF(DATOS_[Sexo]=$B52,IF(DATOS_[[AGRUP. VALOR. PTO.]:[AGRUP. VALOR. PTO.]]=$B51,IF(DATOS_[Check Equiparado]="Sí",IF(DATOS_[Check Periodo Ref.]="Dentro",DATOS_[TOTAL SALARIO Eq],FALSE))))),
0)</f>
        <v>0</v>
      </c>
      <c r="AP52" s="104">
        <f t="array" ref="AP52">IFERROR(
(AVERAGE((IF(DATOS_[[Sexo]:[Sexo]]=$B52,IF(DATOS_[[AGRUP. VALOR. PTO.]:[AGRUP. VALOR. PTO.]]=$B51,IF(DATOS_[[Check Periodo Ref.]:[Check Periodo Ref.]]="Dentro",IF(DATOS_[[Check Equiparado]:[Check Equiparado]]="Sí",IF(DATOS!BI$5="Sí",(1/DATOS_[[% anualiz]:[% anualiz]]),1)*IF(DATOS!BI$4="Sí",1/DATOS_[[% normaliz]:[% normaliz]],1)*(DATOS_[C.Extra.01])))))))),
0)</f>
        <v>0</v>
      </c>
      <c r="AQ52" s="104">
        <f t="array" ref="AQ52">IFERROR(
(AVERAGE((IF(DATOS_[[Sexo]:[Sexo]]=$B52,IF(DATOS_[[AGRUP. VALOR. PTO.]:[AGRUP. VALOR. PTO.]]=$B51,IF(DATOS_[[Check Periodo Ref.]:[Check Periodo Ref.]]="Dentro",IF(DATOS_[[Check Equiparado]:[Check Equiparado]]="Sí",IF(DATOS!BJ$5="Sí",(1/DATOS_[[% anualiz]:[% anualiz]]),1)*IF(DATOS!BJ$4="Sí",1/DATOS_[[% normaliz]:[% normaliz]],1)*(DATOS_[C.Extra.02])))))))),
0)</f>
        <v>0</v>
      </c>
      <c r="AR52" s="104">
        <f t="array" ref="AR52">IFERROR(
(AVERAGE((IF(DATOS_[[Sexo]:[Sexo]]=$B52,IF(DATOS_[[AGRUP. VALOR. PTO.]:[AGRUP. VALOR. PTO.]]=$B51,IF(DATOS_[[Check Periodo Ref.]:[Check Periodo Ref.]]="Dentro",IF(DATOS_[[Check Equiparado]:[Check Equiparado]]="Sí",IF(DATOS!BK$5="Sí",(1/DATOS_[[% anualiz]:[% anualiz]]),1)*IF(DATOS!BK$4="Sí",1/DATOS_[[% normaliz]:[% normaliz]],1)*(DATOS_[C.Extra.03])))))))),
0)</f>
        <v>0</v>
      </c>
      <c r="AS52" s="104">
        <f t="array" ref="AS52">IFERROR(
(AVERAGE((IF(DATOS_[[Sexo]:[Sexo]]=$B52,IF(DATOS_[[AGRUP. VALOR. PTO.]:[AGRUP. VALOR. PTO.]]=$B51,IF(DATOS_[[Check Periodo Ref.]:[Check Periodo Ref.]]="Dentro",IF(DATOS_[[Check Equiparado]:[Check Equiparado]]="Sí",IF(DATOS!BL$5="Sí",(1/DATOS_[[% anualiz]:[% anualiz]]),1)*IF(DATOS!BL$4="Sí",1/DATOS_[[% normaliz]:[% normaliz]],1)*(DATOS_[C.Extra.04])))))))),
0)</f>
        <v>0</v>
      </c>
      <c r="AT52" s="104">
        <f t="array" ref="AT52">IFERROR(
(AVERAGE((IF(DATOS_[[Sexo]:[Sexo]]=$B52,IF(DATOS_[[AGRUP. VALOR. PTO.]:[AGRUP. VALOR. PTO.]]=$B51,IF(DATOS_[[Check Periodo Ref.]:[Check Periodo Ref.]]="Dentro",IF(DATOS_[[Check Equiparado]:[Check Equiparado]]="Sí",IF(DATOS!BM$5="Sí",(1/DATOS_[[% anualiz]:[% anualiz]]),1)*IF(DATOS!BM$4="Sí",1/DATOS_[[% normaliz]:[% normaliz]],1)*(DATOS_[C.Extra.05])))))))),
0)</f>
        <v>0</v>
      </c>
      <c r="AU52" s="105">
        <f t="array" ref="AU52">IFERROR(
AVERAGE(IF(DATOS_[Sexo]=$B52,IF(DATOS_[[AGRUP. VALOR. PTO.]:[AGRUP. VALOR. PTO.]]=$B51,IF(DATOS_[Check Equiparado]="Sí",IF(DATOS_[Check Periodo Ref.]="Dentro",DATOS_[Tot Extrasalarial Eq],FALSE))))),
0)</f>
        <v>0</v>
      </c>
      <c r="AV52" s="106">
        <f t="array" ref="AV52">IFERROR(
AVERAGE(IF(DATOS_[Sexo]=$B52,IF(DATOS_[[AGRUP. VALOR. PTO.]:[AGRUP. VALOR. PTO.]]=$B51,IF(DATOS_[Check Equiparado]="Sí",IF(DATOS_[Check Periodo Ref.]="Dentro",DATOS_[TOTAL Retrib Eq],FALSE))))),
0)</f>
        <v>0</v>
      </c>
    </row>
    <row r="53" spans="1:48" hidden="1" x14ac:dyDescent="0.3">
      <c r="A53" s="53" t="str">
        <f t="shared" ref="A53" si="54">+A52</f>
        <v>[ocultar]</v>
      </c>
      <c r="B53" s="57" t="s">
        <v>163</v>
      </c>
      <c r="C53" s="56">
        <f t="array" ref="C53">SUM(IF($B53=DATOS_[Sexo],
IF($B51=DATOS_[AGRUP. VALOR. PTO.],
IF("Dentro"=DATOS_[Check Periodo Ref.],
1/(COUNTIFS(DATOS_[Sexo],$B53,DATOS_[AGRUP. VALOR. PTO.],$B51,DATOS_[Check Periodo Ref.],"Dentro",DATOS_[id],DATOS_[id]))))))</f>
        <v>0</v>
      </c>
      <c r="D53" s="58">
        <f>COUNTIFS(DATOS_[AGRUP. VALOR. PTO.],$B51,DATOS_[Sexo],$B53,DATOS_[Check Periodo Ref.],"Dentro")</f>
        <v>0</v>
      </c>
      <c r="E53" s="58">
        <f>COUNTIFS(DATOS_[AGRUP. VALOR. PTO.],$B51,DATOS_[Sexo],$B53,DATOS_[Check Periodo Ref.],"Dentro",DATOS_[Check Nº SC Norm],"Sí")</f>
        <v>0</v>
      </c>
      <c r="F53" s="58">
        <f>COUNTIFS(DATOS_[AGRUP. VALOR. PTO.],$B51,DATOS_[Sexo],$B53,DATOS_[Check Periodo Ref.],"Dentro",DATOS_[Check Nº SC Anualiz],"Sí")</f>
        <v>0</v>
      </c>
      <c r="G53" s="58">
        <f>COUNTIFS(DATOS_[AGRUP. VALOR. PTO.],$B51,DATOS_[Sexo],$B53,DATOS_[Check Periodo Ref.],"Dentro",DATOS_[Check Nº SC Norm y Anualiz],"Sí")</f>
        <v>0</v>
      </c>
      <c r="H53" s="58">
        <f>COUNTIFS(DATOS_[AGRUP. VALOR. PTO.],$B51,DATOS_[Sexo],$B53,DATOS_[Check Periodo Ref.],"Dentro",DATOS_[Check Equiparación],"Sí")</f>
        <v>0</v>
      </c>
      <c r="I53" s="100" cm="1">
        <f t="array" ref="I53">IFERROR(
AVERAGE(IF(DATOS_[Sexo]=$B53,IF(DATOS_[[AGRUP. VALOR. PTO.]:[AGRUP. VALOR. PTO.]]=$B51,IF(DATOS_[Check Equiparado]="Sí",IF(DATOS_[Check Periodo Ref.]="Dentro",DATOS_[SALARIO BASE Eq],FALSE))))),
0)</f>
        <v>0</v>
      </c>
      <c r="J53" s="101">
        <f t="array" ref="J53">IFERROR(
(AVERAGE((IF(DATOS_[[Sexo]:[Sexo]]=$B53,IF(DATOS_[[AGRUP. VALOR. PTO.]:[AGRUP. VALOR. PTO.]]=$B51,IF(DATOS_[[Check Periodo Ref.]:[Check Periodo Ref.]]="Dentro",IF(DATOS_[[Check Equiparado]:[Check Equiparado]]="Sí",IF(DATOS!AE$5="Sí",(1/DATOS_[[% anualiz]:[% anualiz]]),1)*IF(DATOS!AE$4="Sí",1/DATOS_[[% normaliz]:[% normaliz]],1)*(DATOS_[Conc.Sal.01])))))))),
0)</f>
        <v>0</v>
      </c>
      <c r="K53" s="101">
        <f t="array" ref="K53">IFERROR(
(AVERAGE((IF(DATOS_[[Sexo]:[Sexo]]=$B53,IF(DATOS_[[AGRUP. VALOR. PTO.]:[AGRUP. VALOR. PTO.]]=$B51,IF(DATOS_[[Check Periodo Ref.]:[Check Periodo Ref.]]="Dentro",IF(DATOS_[[Check Equiparado]:[Check Equiparado]]="Sí",IF(DATOS!AF$5="Sí",(1/DATOS_[[% anualiz]:[% anualiz]]),1)*IF(DATOS!AF$4="Sí",1/DATOS_[[% normaliz]:[% normaliz]],1)*(DATOS_[Conc.Sal.02])))))))),
0)</f>
        <v>0</v>
      </c>
      <c r="L53" s="101">
        <f t="array" ref="L53">IFERROR(
(AVERAGE((IF(DATOS_[[Sexo]:[Sexo]]=$B53,IF(DATOS_[[AGRUP. VALOR. PTO.]:[AGRUP. VALOR. PTO.]]=$B51,IF(DATOS_[[Check Periodo Ref.]:[Check Periodo Ref.]]="Dentro",IF(DATOS_[[Check Equiparado]:[Check Equiparado]]="Sí",IF(DATOS!AG$5="Sí",(1/DATOS_[[% anualiz]:[% anualiz]]),1)*IF(DATOS!AG$4="Sí",1/DATOS_[[% normaliz]:[% normaliz]],1)*(DATOS_[Conc.Sal.03])))))))),
0)</f>
        <v>0</v>
      </c>
      <c r="M53" s="101">
        <f t="array" ref="M53">IFERROR(
(AVERAGE((IF(DATOS_[[Sexo]:[Sexo]]=$B53,IF(DATOS_[[AGRUP. VALOR. PTO.]:[AGRUP. VALOR. PTO.]]=$B51,IF(DATOS_[[Check Periodo Ref.]:[Check Periodo Ref.]]="Dentro",IF(DATOS_[[Check Equiparado]:[Check Equiparado]]="Sí",IF(DATOS!AH$5="Sí",(1/DATOS_[[% anualiz]:[% anualiz]]),1)*IF(DATOS!AH$4="Sí",1/DATOS_[[% normaliz]:[% normaliz]],1)*(DATOS_[Conc.Sal.04])))))))),
0)</f>
        <v>0</v>
      </c>
      <c r="N53" s="101">
        <f t="array" ref="N53">IFERROR(
(AVERAGE((IF(DATOS_[[Sexo]:[Sexo]]=$B53,IF(DATOS_[[AGRUP. VALOR. PTO.]:[AGRUP. VALOR. PTO.]]=$B51,IF(DATOS_[[Check Periodo Ref.]:[Check Periodo Ref.]]="Dentro",IF(DATOS_[[Check Equiparado]:[Check Equiparado]]="Sí",IF(DATOS!AI$5="Sí",(1/DATOS_[[% anualiz]:[% anualiz]]),1)*IF(DATOS!AI$4="Sí",1/DATOS_[[% normaliz]:[% normaliz]],1)*(DATOS_[Conc.Sal.05])))))))),
0)</f>
        <v>0</v>
      </c>
      <c r="O53" s="101">
        <f t="array" ref="O53">IFERROR(
(AVERAGE((IF(DATOS_[[Sexo]:[Sexo]]=$B53,IF(DATOS_[[AGRUP. VALOR. PTO.]:[AGRUP. VALOR. PTO.]]=$B51,IF(DATOS_[[Check Periodo Ref.]:[Check Periodo Ref.]]="Dentro",IF(DATOS_[[Check Equiparado]:[Check Equiparado]]="Sí",IF(DATOS!AJ$5="Sí",(1/DATOS_[[% anualiz]:[% anualiz]]),1)*IF(DATOS!AJ$4="Sí",1/DATOS_[[% normaliz]:[% normaliz]],1)*(DATOS_[Conc.Sal.06])))))))),
0)</f>
        <v>0</v>
      </c>
      <c r="P53" s="101">
        <f t="array" ref="P53">IFERROR(
(AVERAGE((IF(DATOS_[[Sexo]:[Sexo]]=$B53,IF(DATOS_[[AGRUP. VALOR. PTO.]:[AGRUP. VALOR. PTO.]]=$B51,IF(DATOS_[[Check Periodo Ref.]:[Check Periodo Ref.]]="Dentro",IF(DATOS_[[Check Equiparado]:[Check Equiparado]]="Sí",IF(DATOS!AK$5="Sí",(1/DATOS_[[% anualiz]:[% anualiz]]),1)*IF(DATOS!AK$4="Sí",1/DATOS_[[% normaliz]:[% normaliz]],1)*(DATOS_[Conc.Sal.07])))))))),
0)</f>
        <v>0</v>
      </c>
      <c r="Q53" s="101">
        <f t="array" ref="Q53">IFERROR(
(AVERAGE((IF(DATOS_[[Sexo]:[Sexo]]=$B53,IF(DATOS_[[AGRUP. VALOR. PTO.]:[AGRUP. VALOR. PTO.]]=$B51,IF(DATOS_[[Check Periodo Ref.]:[Check Periodo Ref.]]="Dentro",IF(DATOS_[[Check Equiparado]:[Check Equiparado]]="Sí",IF(DATOS!AL$5="Sí",(1/DATOS_[[% anualiz]:[% anualiz]]),1)*IF(DATOS!AL$4="Sí",1/DATOS_[[% normaliz]:[% normaliz]],1)*(DATOS_[Conc.Sal.08])))))))),
0)</f>
        <v>0</v>
      </c>
      <c r="R53" s="101">
        <f t="array" ref="R53">IFERROR(
(AVERAGE((IF(DATOS_[[Sexo]:[Sexo]]=$B53,IF(DATOS_[[AGRUP. VALOR. PTO.]:[AGRUP. VALOR. PTO.]]=$B51,IF(DATOS_[[Check Periodo Ref.]:[Check Periodo Ref.]]="Dentro",IF(DATOS_[[Check Equiparado]:[Check Equiparado]]="Sí",IF(DATOS!AM$5="Sí",(1/DATOS_[[% anualiz]:[% anualiz]]),1)*IF(DATOS!AM$4="Sí",1/DATOS_[[% normaliz]:[% normaliz]],1)*(DATOS_[Conc.Sal.09])))))))),
0)</f>
        <v>0</v>
      </c>
      <c r="S53" s="101">
        <f t="array" ref="S53">IFERROR(
(AVERAGE((IF(DATOS_[[Sexo]:[Sexo]]=$B53,IF(DATOS_[[AGRUP. VALOR. PTO.]:[AGRUP. VALOR. PTO.]]=$B51,IF(DATOS_[[Check Periodo Ref.]:[Check Periodo Ref.]]="Dentro",IF(DATOS_[[Check Equiparado]:[Check Equiparado]]="Sí",IF(DATOS!AN$5="Sí",(1/DATOS_[[% anualiz]:[% anualiz]]),1)*IF(DATOS!AN$4="Sí",1/DATOS_[[% normaliz]:[% normaliz]],1)*(DATOS_[Conc.Sal.10])))))))),
0)</f>
        <v>0</v>
      </c>
      <c r="T53" s="101">
        <f t="array" ref="T53">IFERROR(
(AVERAGE((IF(DATOS_[[Sexo]:[Sexo]]=$B53,IF(DATOS_[[AGRUP. VALOR. PTO.]:[AGRUP. VALOR. PTO.]]=$B51,IF(DATOS_[[Check Periodo Ref.]:[Check Periodo Ref.]]="Dentro",IF(DATOS_[[Check Equiparado]:[Check Equiparado]]="Sí",IF(DATOS!AO$5="Sí",(1/DATOS_[[% anualiz]:[% anualiz]]),1)*IF(DATOS!AO$4="Sí",1/DATOS_[[% normaliz]:[% normaliz]],1)*(DATOS_[Conc.Sal.11])))))))),
0)</f>
        <v>0</v>
      </c>
      <c r="U53" s="101">
        <f t="array" ref="U53">IFERROR(
(AVERAGE((IF(DATOS_[[Sexo]:[Sexo]]=$B53,IF(DATOS_[[AGRUP. VALOR. PTO.]:[AGRUP. VALOR. PTO.]]=$B51,IF(DATOS_[[Check Periodo Ref.]:[Check Periodo Ref.]]="Dentro",IF(DATOS_[[Check Equiparado]:[Check Equiparado]]="Sí",IF(DATOS!AP$5="Sí",(1/DATOS_[[% anualiz]:[% anualiz]]),1)*IF(DATOS!AP$4="Sí",1/DATOS_[[% normaliz]:[% normaliz]],1)*(DATOS_[Conc.Sal.12])))))))),
0)</f>
        <v>0</v>
      </c>
      <c r="V53" s="101">
        <f t="array" ref="V53">IFERROR(
(AVERAGE((IF(DATOS_[[Sexo]:[Sexo]]=$B53,IF(DATOS_[[AGRUP. VALOR. PTO.]:[AGRUP. VALOR. PTO.]]=$B51,IF(DATOS_[[Check Periodo Ref.]:[Check Periodo Ref.]]="Dentro",IF(DATOS_[[Check Equiparado]:[Check Equiparado]]="Sí",IF(DATOS!AQ$5="Sí",(1/DATOS_[[% anualiz]:[% anualiz]]),1)*IF(DATOS!AQ$4="Sí",1/DATOS_[[% normaliz]:[% normaliz]],1)*(DATOS_[Conc.Sal.13])))))))),
0)</f>
        <v>0</v>
      </c>
      <c r="W53" s="101">
        <f t="array" ref="W53">IFERROR(
(AVERAGE((IF(DATOS_[[Sexo]:[Sexo]]=$B53,IF(DATOS_[[AGRUP. VALOR. PTO.]:[AGRUP. VALOR. PTO.]]=$B51,IF(DATOS_[[Check Periodo Ref.]:[Check Periodo Ref.]]="Dentro",IF(DATOS_[[Check Equiparado]:[Check Equiparado]]="Sí",IF(DATOS!AR$5="Sí",(1/DATOS_[[% anualiz]:[% anualiz]]),1)*IF(DATOS!AR$4="Sí",1/DATOS_[[% normaliz]:[% normaliz]],1)*(DATOS_[Conc.Sal.14])))))))),
0)</f>
        <v>0</v>
      </c>
      <c r="X53" s="101">
        <f t="array" ref="X53">IFERROR(
(AVERAGE((IF(DATOS_[[Sexo]:[Sexo]]=$B53,IF(DATOS_[[AGRUP. VALOR. PTO.]:[AGRUP. VALOR. PTO.]]=$B51,IF(DATOS_[[Check Periodo Ref.]:[Check Periodo Ref.]]="Dentro",IF(DATOS_[[Check Equiparado]:[Check Equiparado]]="Sí",IF(DATOS!AS$5="Sí",(1/DATOS_[[% anualiz]:[% anualiz]]),1)*IF(DATOS!AS$4="Sí",1/DATOS_[[% normaliz]:[% normaliz]],1)*(DATOS_[Conc.Sal.15])))))))),
0)</f>
        <v>0</v>
      </c>
      <c r="Y53" s="101">
        <f t="array" ref="Y53">IFERROR(
(AVERAGE((IF(DATOS_[[Sexo]:[Sexo]]=$B53,IF(DATOS_[[AGRUP. VALOR. PTO.]:[AGRUP. VALOR. PTO.]]=$B51,IF(DATOS_[[Check Periodo Ref.]:[Check Periodo Ref.]]="Dentro",IF(DATOS_[[Check Equiparado]:[Check Equiparado]]="Sí",IF(DATOS!AT$5="Sí",(1/DATOS_[[% anualiz]:[% anualiz]]),1)*IF(DATOS!AT$4="Sí",1/DATOS_[[% normaliz]:[% normaliz]],1)*(DATOS_[Conc.Sal.16])))))))),
0)</f>
        <v>0</v>
      </c>
      <c r="Z53" s="101">
        <f t="array" ref="Z53">IFERROR(
(AVERAGE((IF(DATOS_[[Sexo]:[Sexo]]=$B53,IF(DATOS_[[AGRUP. VALOR. PTO.]:[AGRUP. VALOR. PTO.]]=$B51,IF(DATOS_[[Check Periodo Ref.]:[Check Periodo Ref.]]="Dentro",IF(DATOS_[[Check Equiparado]:[Check Equiparado]]="Sí",IF(DATOS!AU$5="Sí",(1/DATOS_[[% anualiz]:[% anualiz]]),1)*IF(DATOS!AU$4="Sí",1/DATOS_[[% normaliz]:[% normaliz]],1)*(DATOS_[Conc.Sal.17])))))))),
0)</f>
        <v>0</v>
      </c>
      <c r="AA53" s="101">
        <f t="array" ref="AA53">IFERROR(
(AVERAGE((IF(DATOS_[[Sexo]:[Sexo]]=$B53,IF(DATOS_[[AGRUP. VALOR. PTO.]:[AGRUP. VALOR. PTO.]]=$B51,IF(DATOS_[[Check Periodo Ref.]:[Check Periodo Ref.]]="Dentro",IF(DATOS_[[Check Equiparado]:[Check Equiparado]]="Sí",IF(DATOS!AV$5="Sí",(1/DATOS_[[% anualiz]:[% anualiz]]),1)*IF(DATOS!AV$4="Sí",1/DATOS_[[% normaliz]:[% normaliz]],1)*(DATOS_[Conc.Sal.18])))))))),
0)</f>
        <v>0</v>
      </c>
      <c r="AB53" s="101">
        <f t="array" ref="AB53">IFERROR(
(AVERAGE((IF(DATOS_[[Sexo]:[Sexo]]=$B53,IF(DATOS_[[AGRUP. VALOR. PTO.]:[AGRUP. VALOR. PTO.]]=$B51,IF(DATOS_[[Check Periodo Ref.]:[Check Periodo Ref.]]="Dentro",IF(DATOS_[[Check Equiparado]:[Check Equiparado]]="Sí",IF(DATOS!AW$5="Sí",(1/DATOS_[[% anualiz]:[% anualiz]]),1)*IF(DATOS!AW$4="Sí",1/DATOS_[[% normaliz]:[% normaliz]],1)*(DATOS_[Conc.Sal.19])))))))),
0)</f>
        <v>0</v>
      </c>
      <c r="AC53" s="101">
        <f t="array" ref="AC53">IFERROR(
(AVERAGE((IF(DATOS_[[Sexo]:[Sexo]]=$B53,IF(DATOS_[[AGRUP. VALOR. PTO.]:[AGRUP. VALOR. PTO.]]=$B51,IF(DATOS_[[Check Periodo Ref.]:[Check Periodo Ref.]]="Dentro",IF(DATOS_[[Check Equiparado]:[Check Equiparado]]="Sí",IF(DATOS!AX$5="Sí",(1/DATOS_[[% anualiz]:[% anualiz]]),1)*IF(DATOS!AX$4="Sí",1/DATOS_[[% normaliz]:[% normaliz]],1)*(DATOS_[Conc.Sal.20])))))))),
0)</f>
        <v>0</v>
      </c>
      <c r="AD53" s="101">
        <f t="array" ref="AD53">IFERROR(
(AVERAGE((IF(DATOS_[[Sexo]:[Sexo]]=$B53,IF(DATOS_[[AGRUP. VALOR. PTO.]:[AGRUP. VALOR. PTO.]]=$B51,IF(DATOS_[[Check Periodo Ref.]:[Check Periodo Ref.]]="Dentro",IF(DATOS_[[Check Equiparado]:[Check Equiparado]]="Sí",IF(DATOS!AY$5="Sí",(1/DATOS_[[% anualiz]:[% anualiz]]),1)*IF(DATOS!AY$4="Sí",1/DATOS_[[% normaliz]:[% normaliz]],1)*(DATOS_[Conc.Sal.21])))))))),
0)</f>
        <v>0</v>
      </c>
      <c r="AE53" s="101">
        <f t="array" ref="AE53">IFERROR(
(AVERAGE((IF(DATOS_[[Sexo]:[Sexo]]=$B53,IF(DATOS_[[AGRUP. VALOR. PTO.]:[AGRUP. VALOR. PTO.]]=$B51,IF(DATOS_[[Check Periodo Ref.]:[Check Periodo Ref.]]="Dentro",IF(DATOS_[[Check Equiparado]:[Check Equiparado]]="Sí",IF(DATOS!AZ$5="Sí",(1/DATOS_[[% anualiz]:[% anualiz]]),1)*IF(DATOS!AZ$4="Sí",1/DATOS_[[% normaliz]:[% normaliz]],1)*(DATOS_[Conc.Sal.22])))))))),
0)</f>
        <v>0</v>
      </c>
      <c r="AF53" s="101">
        <f t="array" ref="AF53">IFERROR(
(AVERAGE((IF(DATOS_[[Sexo]:[Sexo]]=$B53,IF(DATOS_[[AGRUP. VALOR. PTO.]:[AGRUP. VALOR. PTO.]]=$B51,IF(DATOS_[[Check Periodo Ref.]:[Check Periodo Ref.]]="Dentro",IF(DATOS_[[Check Equiparado]:[Check Equiparado]]="Sí",IF(DATOS!BA$5="Sí",(1/DATOS_[[% anualiz]:[% anualiz]]),1)*IF(DATOS!BA$4="Sí",1/DATOS_[[% normaliz]:[% normaliz]],1)*(DATOS_[Conc.Sal.23])))))))),
0)</f>
        <v>0</v>
      </c>
      <c r="AG53" s="101">
        <f t="array" ref="AG53">IFERROR(
(AVERAGE((IF(DATOS_[[Sexo]:[Sexo]]=$B53,IF(DATOS_[[AGRUP. VALOR. PTO.]:[AGRUP. VALOR. PTO.]]=$B51,IF(DATOS_[[Check Periodo Ref.]:[Check Periodo Ref.]]="Dentro",IF(DATOS_[[Check Equiparado]:[Check Equiparado]]="Sí",IF(DATOS!BB$5="Sí",(1/DATOS_[[% anualiz]:[% anualiz]]),1)*IF(DATOS!BB$4="Sí",1/DATOS_[[% normaliz]:[% normaliz]],1)*(DATOS_[Conc.Sal.24])))))))),
0)</f>
        <v>0</v>
      </c>
      <c r="AH53" s="101">
        <f t="array" ref="AH53">IFERROR(
(AVERAGE((IF(DATOS_[[Sexo]:[Sexo]]=$B53,IF(DATOS_[[AGRUP. VALOR. PTO.]:[AGRUP. VALOR. PTO.]]=$B51,IF(DATOS_[[Check Periodo Ref.]:[Check Periodo Ref.]]="Dentro",IF(DATOS_[[Check Equiparado]:[Check Equiparado]]="Sí",IF(DATOS!BC$5="Sí",(1/DATOS_[[% anualiz]:[% anualiz]]),1)*IF(DATOS!BC$4="Sí",1/DATOS_[[% normaliz]:[% normaliz]],1)*(DATOS_[Conc.Sal.25])))))))),
0)</f>
        <v>0</v>
      </c>
      <c r="AI53" s="101">
        <f t="array" ref="AI53">IFERROR(
(AVERAGE((IF(DATOS_[[Sexo]:[Sexo]]=$B53,IF(DATOS_[[AGRUP. VALOR. PTO.]:[AGRUP. VALOR. PTO.]]=$B51,IF(DATOS_[[Check Periodo Ref.]:[Check Periodo Ref.]]="Dentro",IF(DATOS_[[Check Equiparado]:[Check Equiparado]]="Sí",IF(DATOS!BD$5="Sí",(1/DATOS_[[% anualiz]:[% anualiz]]),1)*IF(DATOS!BD$4="Sí",1/DATOS_[[% normaliz]:[% normaliz]],1)*(DATOS_[Conc.Sal.26])))))))),
0)</f>
        <v>0</v>
      </c>
      <c r="AJ53" s="101">
        <f t="array" ref="AJ53">IFERROR(
(AVERAGE((IF(DATOS_[[Sexo]:[Sexo]]=$B53,IF(DATOS_[[AGRUP. VALOR. PTO.]:[AGRUP. VALOR. PTO.]]=$B51,IF(DATOS_[[Check Periodo Ref.]:[Check Periodo Ref.]]="Dentro",IF(DATOS_[[Check Equiparado]:[Check Equiparado]]="Sí",IF(DATOS!BE$5="Sí",(1/DATOS_[[% anualiz]:[% anualiz]]),1)*IF(DATOS!BE$4="Sí",1/DATOS_[[% normaliz]:[% normaliz]],1)*(DATOS_[Conc.Sal.27])))))))),
0)</f>
        <v>0</v>
      </c>
      <c r="AK53" s="101">
        <f t="array" ref="AK53">IFERROR(
(AVERAGE((IF(DATOS_[[Sexo]:[Sexo]]=$B53,IF(DATOS_[[AGRUP. VALOR. PTO.]:[AGRUP. VALOR. PTO.]]=$B51,IF(DATOS_[[Check Periodo Ref.]:[Check Periodo Ref.]]="Dentro",IF(DATOS_[[Check Equiparado]:[Check Equiparado]]="Sí",IF(DATOS!BF$5="Sí",(1/DATOS_[[% anualiz]:[% anualiz]]),1)*IF(DATOS!BF$4="Sí",1/DATOS_[[% normaliz]:[% normaliz]],1)*(DATOS_[Conc.Sal.28])))))))),
0)</f>
        <v>0</v>
      </c>
      <c r="AL53" s="101">
        <f t="array" ref="AL53">IFERROR(
(AVERAGE((IF(DATOS_[[Sexo]:[Sexo]]=$B53,IF(DATOS_[[AGRUP. VALOR. PTO.]:[AGRUP. VALOR. PTO.]]=$B51,IF(DATOS_[[Check Periodo Ref.]:[Check Periodo Ref.]]="Dentro",IF(DATOS_[[Check Equiparado]:[Check Equiparado]]="Sí",IF(DATOS!BG$5="Sí",(1/DATOS_[[% anualiz]:[% anualiz]]),1)*IF(DATOS!BG$4="Sí",1/DATOS_[[% normaliz]:[% normaliz]],1)*(DATOS_[Conc.Sal.29])))))))),
0)</f>
        <v>0</v>
      </c>
      <c r="AM53" s="101">
        <f t="array" ref="AM53">IFERROR(
(AVERAGE((IF(DATOS_[[Sexo]:[Sexo]]=$B53,IF(DATOS_[[AGRUP. VALOR. PTO.]:[AGRUP. VALOR. PTO.]]=$B51,IF(DATOS_[[Check Periodo Ref.]:[Check Periodo Ref.]]="Dentro",IF(DATOS_[[Check Equiparado]:[Check Equiparado]]="Sí",IF(DATOS!BH$5="Sí",(1/DATOS_[[% anualiz]:[% anualiz]]),1)*IF(DATOS!BH$4="Sí",1/DATOS_[[% normaliz]:[% normaliz]],1)*(DATOS_[Conc.Sal.30])))))))),
0)</f>
        <v>0</v>
      </c>
      <c r="AN53" s="102">
        <f t="array" ref="AN53">IFERROR(
AVERAGE(IF(DATOS_[Sexo]=$B53,IF(DATOS_[[AGRUP. VALOR. PTO.]:[AGRUP. VALOR. PTO.]]=$B51,IF(DATOS_[Check Equiparado]="Sí",IF(DATOS_[Check Periodo Ref.]="Dentro",DATOS_[Tot COMPL.SAL Eq],FALSE))))),
0)</f>
        <v>0</v>
      </c>
      <c r="AO53" s="103">
        <f t="array" ref="AO53">IFERROR(
AVERAGE(IF(DATOS_[Sexo]=$B53,IF(DATOS_[[AGRUP. VALOR. PTO.]:[AGRUP. VALOR. PTO.]]=$B51,IF(DATOS_[Check Equiparado]="Sí",IF(DATOS_[Check Periodo Ref.]="Dentro",DATOS_[TOTAL SALARIO Eq],FALSE))))),
0)</f>
        <v>0</v>
      </c>
      <c r="AP53" s="104">
        <f t="array" ref="AP53">IFERROR(
(AVERAGE((IF(DATOS_[[Sexo]:[Sexo]]=$B53,IF(DATOS_[[AGRUP. VALOR. PTO.]:[AGRUP. VALOR. PTO.]]=$B51,IF(DATOS_[[Check Periodo Ref.]:[Check Periodo Ref.]]="Dentro",IF(DATOS_[[Check Equiparado]:[Check Equiparado]]="Sí",IF(DATOS!BI$5="Sí",(1/DATOS_[[% anualiz]:[% anualiz]]),1)*IF(DATOS!BI$4="Sí",1/DATOS_[[% normaliz]:[% normaliz]],1)*(DATOS_[C.Extra.01])))))))),
0)</f>
        <v>0</v>
      </c>
      <c r="AQ53" s="104">
        <f t="array" ref="AQ53">IFERROR(
(AVERAGE((IF(DATOS_[[Sexo]:[Sexo]]=$B53,IF(DATOS_[[AGRUP. VALOR. PTO.]:[AGRUP. VALOR. PTO.]]=$B51,IF(DATOS_[[Check Periodo Ref.]:[Check Periodo Ref.]]="Dentro",IF(DATOS_[[Check Equiparado]:[Check Equiparado]]="Sí",IF(DATOS!BJ$5="Sí",(1/DATOS_[[% anualiz]:[% anualiz]]),1)*IF(DATOS!BJ$4="Sí",1/DATOS_[[% normaliz]:[% normaliz]],1)*(DATOS_[C.Extra.02])))))))),
0)</f>
        <v>0</v>
      </c>
      <c r="AR53" s="104">
        <f t="array" ref="AR53">IFERROR(
(AVERAGE((IF(DATOS_[[Sexo]:[Sexo]]=$B53,IF(DATOS_[[AGRUP. VALOR. PTO.]:[AGRUP. VALOR. PTO.]]=$B51,IF(DATOS_[[Check Periodo Ref.]:[Check Periodo Ref.]]="Dentro",IF(DATOS_[[Check Equiparado]:[Check Equiparado]]="Sí",IF(DATOS!BK$5="Sí",(1/DATOS_[[% anualiz]:[% anualiz]]),1)*IF(DATOS!BK$4="Sí",1/DATOS_[[% normaliz]:[% normaliz]],1)*(DATOS_[C.Extra.03])))))))),
0)</f>
        <v>0</v>
      </c>
      <c r="AS53" s="104">
        <f t="array" ref="AS53">IFERROR(
(AVERAGE((IF(DATOS_[[Sexo]:[Sexo]]=$B53,IF(DATOS_[[AGRUP. VALOR. PTO.]:[AGRUP. VALOR. PTO.]]=$B51,IF(DATOS_[[Check Periodo Ref.]:[Check Periodo Ref.]]="Dentro",IF(DATOS_[[Check Equiparado]:[Check Equiparado]]="Sí",IF(DATOS!BL$5="Sí",(1/DATOS_[[% anualiz]:[% anualiz]]),1)*IF(DATOS!BL$4="Sí",1/DATOS_[[% normaliz]:[% normaliz]],1)*(DATOS_[C.Extra.04])))))))),
0)</f>
        <v>0</v>
      </c>
      <c r="AT53" s="104">
        <f t="array" ref="AT53">IFERROR(
(AVERAGE((IF(DATOS_[[Sexo]:[Sexo]]=$B53,IF(DATOS_[[AGRUP. VALOR. PTO.]:[AGRUP. VALOR. PTO.]]=$B51,IF(DATOS_[[Check Periodo Ref.]:[Check Periodo Ref.]]="Dentro",IF(DATOS_[[Check Equiparado]:[Check Equiparado]]="Sí",IF(DATOS!BM$5="Sí",(1/DATOS_[[% anualiz]:[% anualiz]]),1)*IF(DATOS!BM$4="Sí",1/DATOS_[[% normaliz]:[% normaliz]],1)*(DATOS_[C.Extra.05])))))))),
0)</f>
        <v>0</v>
      </c>
      <c r="AU53" s="105">
        <f t="array" ref="AU53">IFERROR(
AVERAGE(IF(DATOS_[Sexo]=$B53,IF(DATOS_[[AGRUP. VALOR. PTO.]:[AGRUP. VALOR. PTO.]]=$B51,IF(DATOS_[Check Equiparado]="Sí",IF(DATOS_[Check Periodo Ref.]="Dentro",DATOS_[Tot Extrasalarial Eq],FALSE))))),
0)</f>
        <v>0</v>
      </c>
      <c r="AV53" s="106">
        <f t="array" ref="AV53">IFERROR(
AVERAGE(IF(DATOS_[Sexo]=$B53,IF(DATOS_[[AGRUP. VALOR. PTO.]:[AGRUP. VALOR. PTO.]]=$B51,IF(DATOS_[Check Equiparado]="Sí",IF(DATOS_[Check Periodo Ref.]="Dentro",DATOS_[TOTAL Retrib Eq],FALSE))))),
0)</f>
        <v>0</v>
      </c>
    </row>
    <row r="54" spans="1:48" ht="17.25" hidden="1" thickBot="1" x14ac:dyDescent="0.35">
      <c r="A54" s="53" t="str">
        <f t="shared" ref="A54" si="55">+A55</f>
        <v>[ocultar]</v>
      </c>
      <c r="B54" s="62" t="s">
        <v>273</v>
      </c>
      <c r="C54" s="99"/>
      <c r="D54" s="63"/>
      <c r="E54" s="63"/>
      <c r="F54" s="63"/>
      <c r="G54" s="63"/>
      <c r="H54" s="63"/>
      <c r="I54" s="129" t="str">
        <f t="shared" ref="I54:AV54" si="56">IFERROR((I55-I56)/I55,"")</f>
        <v/>
      </c>
      <c r="J54" s="130" t="str">
        <f t="shared" si="56"/>
        <v/>
      </c>
      <c r="K54" s="131" t="str">
        <f t="shared" si="56"/>
        <v/>
      </c>
      <c r="L54" s="131" t="str">
        <f t="shared" si="56"/>
        <v/>
      </c>
      <c r="M54" s="131" t="str">
        <f t="shared" si="56"/>
        <v/>
      </c>
      <c r="N54" s="132" t="str">
        <f t="shared" si="56"/>
        <v/>
      </c>
      <c r="O54" s="133" t="str">
        <f t="shared" si="56"/>
        <v/>
      </c>
      <c r="P54" s="133" t="str">
        <f t="shared" si="56"/>
        <v/>
      </c>
      <c r="Q54" s="133" t="str">
        <f t="shared" si="56"/>
        <v/>
      </c>
      <c r="R54" s="133" t="str">
        <f t="shared" si="56"/>
        <v/>
      </c>
      <c r="S54" s="133" t="str">
        <f t="shared" si="56"/>
        <v/>
      </c>
      <c r="T54" s="133" t="str">
        <f t="shared" si="56"/>
        <v/>
      </c>
      <c r="U54" s="133" t="str">
        <f t="shared" si="56"/>
        <v/>
      </c>
      <c r="V54" s="133" t="str">
        <f t="shared" si="56"/>
        <v/>
      </c>
      <c r="W54" s="133" t="str">
        <f t="shared" si="56"/>
        <v/>
      </c>
      <c r="X54" s="133" t="str">
        <f t="shared" si="56"/>
        <v/>
      </c>
      <c r="Y54" s="133" t="str">
        <f t="shared" si="56"/>
        <v/>
      </c>
      <c r="Z54" s="132" t="str">
        <f t="shared" si="56"/>
        <v/>
      </c>
      <c r="AA54" s="132" t="str">
        <f t="shared" si="56"/>
        <v/>
      </c>
      <c r="AB54" s="132" t="str">
        <f t="shared" si="56"/>
        <v/>
      </c>
      <c r="AC54" s="132" t="str">
        <f t="shared" si="56"/>
        <v/>
      </c>
      <c r="AD54" s="132" t="str">
        <f t="shared" si="56"/>
        <v/>
      </c>
      <c r="AE54" s="132" t="str">
        <f t="shared" si="56"/>
        <v/>
      </c>
      <c r="AF54" s="132" t="str">
        <f t="shared" si="56"/>
        <v/>
      </c>
      <c r="AG54" s="132" t="str">
        <f t="shared" si="56"/>
        <v/>
      </c>
      <c r="AH54" s="132" t="str">
        <f t="shared" si="56"/>
        <v/>
      </c>
      <c r="AI54" s="132" t="str">
        <f t="shared" si="56"/>
        <v/>
      </c>
      <c r="AJ54" s="132" t="str">
        <f t="shared" si="56"/>
        <v/>
      </c>
      <c r="AK54" s="132" t="str">
        <f t="shared" si="56"/>
        <v/>
      </c>
      <c r="AL54" s="132" t="str">
        <f t="shared" si="56"/>
        <v/>
      </c>
      <c r="AM54" s="132" t="str">
        <f t="shared" si="56"/>
        <v/>
      </c>
      <c r="AN54" s="134" t="str">
        <f t="shared" si="56"/>
        <v/>
      </c>
      <c r="AO54" s="138" t="str">
        <f t="shared" si="56"/>
        <v/>
      </c>
      <c r="AP54" s="135" t="str">
        <f t="shared" si="56"/>
        <v/>
      </c>
      <c r="AQ54" s="135" t="str">
        <f t="shared" si="56"/>
        <v/>
      </c>
      <c r="AR54" s="135" t="str">
        <f t="shared" si="56"/>
        <v/>
      </c>
      <c r="AS54" s="135" t="str">
        <f t="shared" si="56"/>
        <v/>
      </c>
      <c r="AT54" s="135" t="str">
        <f t="shared" si="56"/>
        <v/>
      </c>
      <c r="AU54" s="136" t="str">
        <f t="shared" si="56"/>
        <v/>
      </c>
      <c r="AV54" s="137" t="str">
        <f t="shared" si="56"/>
        <v/>
      </c>
    </row>
    <row r="55" spans="1:48" hidden="1" x14ac:dyDescent="0.3">
      <c r="A55" s="53" t="str">
        <f t="shared" ref="A55" si="57">+IF(C55+C56=0,"[ocultar]","")</f>
        <v>[ocultar]</v>
      </c>
      <c r="B55" s="57" t="s">
        <v>162</v>
      </c>
      <c r="C55" s="56">
        <f t="array" ref="C55">SUM(IF($B55=DATOS_[Sexo],
IF($B54=DATOS_[AGRUP. VALOR. PTO.],
IF("Dentro"=DATOS_[Check Periodo Ref.],
1/(COUNTIFS(DATOS_[Sexo],$B55,DATOS_[AGRUP. VALOR. PTO.],$B54,DATOS_[Check Periodo Ref.],"Dentro",DATOS_[id],DATOS_[id]))))))</f>
        <v>0</v>
      </c>
      <c r="D55" s="58">
        <f>COUNTIFS(DATOS_[AGRUP. VALOR. PTO.],$B54,DATOS_[Sexo],$B55,DATOS_[Check Periodo Ref.],"Dentro")</f>
        <v>0</v>
      </c>
      <c r="E55" s="58">
        <f>COUNTIFS(DATOS_[AGRUP. VALOR. PTO.],$B54,DATOS_[Sexo],$B55,DATOS_[Check Periodo Ref.],"Dentro",DATOS_[Check Nº SC Norm],"Sí")</f>
        <v>0</v>
      </c>
      <c r="F55" s="58">
        <f>COUNTIFS(DATOS_[AGRUP. VALOR. PTO.],$B54,DATOS_[Sexo],$B55,DATOS_[Check Periodo Ref.],"Dentro",DATOS_[Check Nº SC Anualiz],"Sí")</f>
        <v>0</v>
      </c>
      <c r="G55" s="58">
        <f>COUNTIFS(DATOS_[AGRUP. VALOR. PTO.],$B54,DATOS_[Sexo],$B55,DATOS_[Check Periodo Ref.],"Dentro",DATOS_[Check Nº SC Norm y Anualiz],"Sí")</f>
        <v>0</v>
      </c>
      <c r="H55" s="58">
        <f>COUNTIFS(DATOS_[AGRUP. VALOR. PTO.],$B54,DATOS_[Sexo],$B55,DATOS_[Check Periodo Ref.],"Dentro",DATOS_[Check Equiparación],"Sí")</f>
        <v>0</v>
      </c>
      <c r="I55" s="100">
        <f t="array" ref="I55">IFERROR(
AVERAGE(IF(DATOS_[Sexo]=$B55,IF(DATOS_[[AGRUP. VALOR. PTO.]:[AGRUP. VALOR. PTO.]]=$B54,IF(DATOS_[Check Equiparado]="Sí",IF(DATOS_[Check Periodo Ref.]="Dentro",DATOS_[SALARIO BASE Eq],FALSE))))),
0)</f>
        <v>0</v>
      </c>
      <c r="J55" s="101">
        <f t="array" ref="J55">IFERROR(
(AVERAGE((IF(DATOS_[[Sexo]:[Sexo]]=$B55,IF(DATOS_[[AGRUP. VALOR. PTO.]:[AGRUP. VALOR. PTO.]]=$B54,IF(DATOS_[[Check Periodo Ref.]:[Check Periodo Ref.]]="Dentro",IF(DATOS_[[Check Equiparado]:[Check Equiparado]]="Sí",IF(DATOS!AE$5="Sí",(1/DATOS_[[% anualiz]:[% anualiz]]),1)*IF(DATOS!AE$4="Sí",1/DATOS_[[% normaliz]:[% normaliz]],1)*(DATOS_[Conc.Sal.01])))))))),
0)</f>
        <v>0</v>
      </c>
      <c r="K55" s="101">
        <f t="array" ref="K55">IFERROR(
(AVERAGE((IF(DATOS_[[Sexo]:[Sexo]]=$B55,IF(DATOS_[[AGRUP. VALOR. PTO.]:[AGRUP. VALOR. PTO.]]=$B54,IF(DATOS_[[Check Periodo Ref.]:[Check Periodo Ref.]]="Dentro",IF(DATOS_[[Check Equiparado]:[Check Equiparado]]="Sí",IF(DATOS!AF$5="Sí",(1/DATOS_[[% anualiz]:[% anualiz]]),1)*IF(DATOS!AF$4="Sí",1/DATOS_[[% normaliz]:[% normaliz]],1)*(DATOS_[Conc.Sal.02])))))))),
0)</f>
        <v>0</v>
      </c>
      <c r="L55" s="101">
        <f t="array" ref="L55">IFERROR(
(AVERAGE((IF(DATOS_[[Sexo]:[Sexo]]=$B55,IF(DATOS_[[AGRUP. VALOR. PTO.]:[AGRUP. VALOR. PTO.]]=$B54,IF(DATOS_[[Check Periodo Ref.]:[Check Periodo Ref.]]="Dentro",IF(DATOS_[[Check Equiparado]:[Check Equiparado]]="Sí",IF(DATOS!AG$5="Sí",(1/DATOS_[[% anualiz]:[% anualiz]]),1)*IF(DATOS!AG$4="Sí",1/DATOS_[[% normaliz]:[% normaliz]],1)*(DATOS_[Conc.Sal.03])))))))),
0)</f>
        <v>0</v>
      </c>
      <c r="M55" s="101">
        <f t="array" ref="M55">IFERROR(
(AVERAGE((IF(DATOS_[[Sexo]:[Sexo]]=$B55,IF(DATOS_[[AGRUP. VALOR. PTO.]:[AGRUP. VALOR. PTO.]]=$B54,IF(DATOS_[[Check Periodo Ref.]:[Check Periodo Ref.]]="Dentro",IF(DATOS_[[Check Equiparado]:[Check Equiparado]]="Sí",IF(DATOS!AH$5="Sí",(1/DATOS_[[% anualiz]:[% anualiz]]),1)*IF(DATOS!AH$4="Sí",1/DATOS_[[% normaliz]:[% normaliz]],1)*(DATOS_[Conc.Sal.04])))))))),
0)</f>
        <v>0</v>
      </c>
      <c r="N55" s="101">
        <f t="array" ref="N55">IFERROR(
(AVERAGE((IF(DATOS_[[Sexo]:[Sexo]]=$B55,IF(DATOS_[[AGRUP. VALOR. PTO.]:[AGRUP. VALOR. PTO.]]=$B54,IF(DATOS_[[Check Periodo Ref.]:[Check Periodo Ref.]]="Dentro",IF(DATOS_[[Check Equiparado]:[Check Equiparado]]="Sí",IF(DATOS!AI$5="Sí",(1/DATOS_[[% anualiz]:[% anualiz]]),1)*IF(DATOS!AI$4="Sí",1/DATOS_[[% normaliz]:[% normaliz]],1)*(DATOS_[Conc.Sal.05])))))))),
0)</f>
        <v>0</v>
      </c>
      <c r="O55" s="101">
        <f t="array" ref="O55">IFERROR(
(AVERAGE((IF(DATOS_[[Sexo]:[Sexo]]=$B55,IF(DATOS_[[AGRUP. VALOR. PTO.]:[AGRUP. VALOR. PTO.]]=$B54,IF(DATOS_[[Check Periodo Ref.]:[Check Periodo Ref.]]="Dentro",IF(DATOS_[[Check Equiparado]:[Check Equiparado]]="Sí",IF(DATOS!AJ$5="Sí",(1/DATOS_[[% anualiz]:[% anualiz]]),1)*IF(DATOS!AJ$4="Sí",1/DATOS_[[% normaliz]:[% normaliz]],1)*(DATOS_[Conc.Sal.06])))))))),
0)</f>
        <v>0</v>
      </c>
      <c r="P55" s="101">
        <f t="array" ref="P55">IFERROR(
(AVERAGE((IF(DATOS_[[Sexo]:[Sexo]]=$B55,IF(DATOS_[[AGRUP. VALOR. PTO.]:[AGRUP. VALOR. PTO.]]=$B54,IF(DATOS_[[Check Periodo Ref.]:[Check Periodo Ref.]]="Dentro",IF(DATOS_[[Check Equiparado]:[Check Equiparado]]="Sí",IF(DATOS!AK$5="Sí",(1/DATOS_[[% anualiz]:[% anualiz]]),1)*IF(DATOS!AK$4="Sí",1/DATOS_[[% normaliz]:[% normaliz]],1)*(DATOS_[Conc.Sal.07])))))))),
0)</f>
        <v>0</v>
      </c>
      <c r="Q55" s="101">
        <f t="array" ref="Q55">IFERROR(
(AVERAGE((IF(DATOS_[[Sexo]:[Sexo]]=$B55,IF(DATOS_[[AGRUP. VALOR. PTO.]:[AGRUP. VALOR. PTO.]]=$B54,IF(DATOS_[[Check Periodo Ref.]:[Check Periodo Ref.]]="Dentro",IF(DATOS_[[Check Equiparado]:[Check Equiparado]]="Sí",IF(DATOS!AL$5="Sí",(1/DATOS_[[% anualiz]:[% anualiz]]),1)*IF(DATOS!AL$4="Sí",1/DATOS_[[% normaliz]:[% normaliz]],1)*(DATOS_[Conc.Sal.08])))))))),
0)</f>
        <v>0</v>
      </c>
      <c r="R55" s="101">
        <f t="array" ref="R55">IFERROR(
(AVERAGE((IF(DATOS_[[Sexo]:[Sexo]]=$B55,IF(DATOS_[[AGRUP. VALOR. PTO.]:[AGRUP. VALOR. PTO.]]=$B54,IF(DATOS_[[Check Periodo Ref.]:[Check Periodo Ref.]]="Dentro",IF(DATOS_[[Check Equiparado]:[Check Equiparado]]="Sí",IF(DATOS!AM$5="Sí",(1/DATOS_[[% anualiz]:[% anualiz]]),1)*IF(DATOS!AM$4="Sí",1/DATOS_[[% normaliz]:[% normaliz]],1)*(DATOS_[Conc.Sal.09])))))))),
0)</f>
        <v>0</v>
      </c>
      <c r="S55" s="101">
        <f t="array" ref="S55">IFERROR(
(AVERAGE((IF(DATOS_[[Sexo]:[Sexo]]=$B55,IF(DATOS_[[AGRUP. VALOR. PTO.]:[AGRUP. VALOR. PTO.]]=$B54,IF(DATOS_[[Check Periodo Ref.]:[Check Periodo Ref.]]="Dentro",IF(DATOS_[[Check Equiparado]:[Check Equiparado]]="Sí",IF(DATOS!AN$5="Sí",(1/DATOS_[[% anualiz]:[% anualiz]]),1)*IF(DATOS!AN$4="Sí",1/DATOS_[[% normaliz]:[% normaliz]],1)*(DATOS_[Conc.Sal.10])))))))),
0)</f>
        <v>0</v>
      </c>
      <c r="T55" s="101">
        <f t="array" ref="T55">IFERROR(
(AVERAGE((IF(DATOS_[[Sexo]:[Sexo]]=$B55,IF(DATOS_[[AGRUP. VALOR. PTO.]:[AGRUP. VALOR. PTO.]]=$B54,IF(DATOS_[[Check Periodo Ref.]:[Check Periodo Ref.]]="Dentro",IF(DATOS_[[Check Equiparado]:[Check Equiparado]]="Sí",IF(DATOS!AO$5="Sí",(1/DATOS_[[% anualiz]:[% anualiz]]),1)*IF(DATOS!AO$4="Sí",1/DATOS_[[% normaliz]:[% normaliz]],1)*(DATOS_[Conc.Sal.11])))))))),
0)</f>
        <v>0</v>
      </c>
      <c r="U55" s="101">
        <f t="array" ref="U55">IFERROR(
(AVERAGE((IF(DATOS_[[Sexo]:[Sexo]]=$B55,IF(DATOS_[[AGRUP. VALOR. PTO.]:[AGRUP. VALOR. PTO.]]=$B54,IF(DATOS_[[Check Periodo Ref.]:[Check Periodo Ref.]]="Dentro",IF(DATOS_[[Check Equiparado]:[Check Equiparado]]="Sí",IF(DATOS!AP$5="Sí",(1/DATOS_[[% anualiz]:[% anualiz]]),1)*IF(DATOS!AP$4="Sí",1/DATOS_[[% normaliz]:[% normaliz]],1)*(DATOS_[Conc.Sal.12])))))))),
0)</f>
        <v>0</v>
      </c>
      <c r="V55" s="101">
        <f t="array" ref="V55">IFERROR(
(AVERAGE((IF(DATOS_[[Sexo]:[Sexo]]=$B55,IF(DATOS_[[AGRUP. VALOR. PTO.]:[AGRUP. VALOR. PTO.]]=$B54,IF(DATOS_[[Check Periodo Ref.]:[Check Periodo Ref.]]="Dentro",IF(DATOS_[[Check Equiparado]:[Check Equiparado]]="Sí",IF(DATOS!AQ$5="Sí",(1/DATOS_[[% anualiz]:[% anualiz]]),1)*IF(DATOS!AQ$4="Sí",1/DATOS_[[% normaliz]:[% normaliz]],1)*(DATOS_[Conc.Sal.13])))))))),
0)</f>
        <v>0</v>
      </c>
      <c r="W55" s="101">
        <f t="array" ref="W55">IFERROR(
(AVERAGE((IF(DATOS_[[Sexo]:[Sexo]]=$B55,IF(DATOS_[[AGRUP. VALOR. PTO.]:[AGRUP. VALOR. PTO.]]=$B54,IF(DATOS_[[Check Periodo Ref.]:[Check Periodo Ref.]]="Dentro",IF(DATOS_[[Check Equiparado]:[Check Equiparado]]="Sí",IF(DATOS!AR$5="Sí",(1/DATOS_[[% anualiz]:[% anualiz]]),1)*IF(DATOS!AR$4="Sí",1/DATOS_[[% normaliz]:[% normaliz]],1)*(DATOS_[Conc.Sal.14])))))))),
0)</f>
        <v>0</v>
      </c>
      <c r="X55" s="101">
        <f t="array" ref="X55">IFERROR(
(AVERAGE((IF(DATOS_[[Sexo]:[Sexo]]=$B55,IF(DATOS_[[AGRUP. VALOR. PTO.]:[AGRUP. VALOR. PTO.]]=$B54,IF(DATOS_[[Check Periodo Ref.]:[Check Periodo Ref.]]="Dentro",IF(DATOS_[[Check Equiparado]:[Check Equiparado]]="Sí",IF(DATOS!AS$5="Sí",(1/DATOS_[[% anualiz]:[% anualiz]]),1)*IF(DATOS!AS$4="Sí",1/DATOS_[[% normaliz]:[% normaliz]],1)*(DATOS_[Conc.Sal.15])))))))),
0)</f>
        <v>0</v>
      </c>
      <c r="Y55" s="101">
        <f t="array" ref="Y55">IFERROR(
(AVERAGE((IF(DATOS_[[Sexo]:[Sexo]]=$B55,IF(DATOS_[[AGRUP. VALOR. PTO.]:[AGRUP. VALOR. PTO.]]=$B54,IF(DATOS_[[Check Periodo Ref.]:[Check Periodo Ref.]]="Dentro",IF(DATOS_[[Check Equiparado]:[Check Equiparado]]="Sí",IF(DATOS!AT$5="Sí",(1/DATOS_[[% anualiz]:[% anualiz]]),1)*IF(DATOS!AT$4="Sí",1/DATOS_[[% normaliz]:[% normaliz]],1)*(DATOS_[Conc.Sal.16])))))))),
0)</f>
        <v>0</v>
      </c>
      <c r="Z55" s="101">
        <f t="array" ref="Z55">IFERROR(
(AVERAGE((IF(DATOS_[[Sexo]:[Sexo]]=$B55,IF(DATOS_[[AGRUP. VALOR. PTO.]:[AGRUP. VALOR. PTO.]]=$B54,IF(DATOS_[[Check Periodo Ref.]:[Check Periodo Ref.]]="Dentro",IF(DATOS_[[Check Equiparado]:[Check Equiparado]]="Sí",IF(DATOS!AU$5="Sí",(1/DATOS_[[% anualiz]:[% anualiz]]),1)*IF(DATOS!AU$4="Sí",1/DATOS_[[% normaliz]:[% normaliz]],1)*(DATOS_[Conc.Sal.17])))))))),
0)</f>
        <v>0</v>
      </c>
      <c r="AA55" s="101">
        <f t="array" ref="AA55">IFERROR(
(AVERAGE((IF(DATOS_[[Sexo]:[Sexo]]=$B55,IF(DATOS_[[AGRUP. VALOR. PTO.]:[AGRUP. VALOR. PTO.]]=$B54,IF(DATOS_[[Check Periodo Ref.]:[Check Periodo Ref.]]="Dentro",IF(DATOS_[[Check Equiparado]:[Check Equiparado]]="Sí",IF(DATOS!AV$5="Sí",(1/DATOS_[[% anualiz]:[% anualiz]]),1)*IF(DATOS!AV$4="Sí",1/DATOS_[[% normaliz]:[% normaliz]],1)*(DATOS_[Conc.Sal.18])))))))),
0)</f>
        <v>0</v>
      </c>
      <c r="AB55" s="101">
        <f t="array" ref="AB55">IFERROR(
(AVERAGE((IF(DATOS_[[Sexo]:[Sexo]]=$B55,IF(DATOS_[[AGRUP. VALOR. PTO.]:[AGRUP. VALOR. PTO.]]=$B54,IF(DATOS_[[Check Periodo Ref.]:[Check Periodo Ref.]]="Dentro",IF(DATOS_[[Check Equiparado]:[Check Equiparado]]="Sí",IF(DATOS!AW$5="Sí",(1/DATOS_[[% anualiz]:[% anualiz]]),1)*IF(DATOS!AW$4="Sí",1/DATOS_[[% normaliz]:[% normaliz]],1)*(DATOS_[Conc.Sal.19])))))))),
0)</f>
        <v>0</v>
      </c>
      <c r="AC55" s="101">
        <f t="array" ref="AC55">IFERROR(
(AVERAGE((IF(DATOS_[[Sexo]:[Sexo]]=$B55,IF(DATOS_[[AGRUP. VALOR. PTO.]:[AGRUP. VALOR. PTO.]]=$B54,IF(DATOS_[[Check Periodo Ref.]:[Check Periodo Ref.]]="Dentro",IF(DATOS_[[Check Equiparado]:[Check Equiparado]]="Sí",IF(DATOS!AX$5="Sí",(1/DATOS_[[% anualiz]:[% anualiz]]),1)*IF(DATOS!AX$4="Sí",1/DATOS_[[% normaliz]:[% normaliz]],1)*(DATOS_[Conc.Sal.20])))))))),
0)</f>
        <v>0</v>
      </c>
      <c r="AD55" s="101">
        <f t="array" ref="AD55">IFERROR(
(AVERAGE((IF(DATOS_[[Sexo]:[Sexo]]=$B55,IF(DATOS_[[AGRUP. VALOR. PTO.]:[AGRUP. VALOR. PTO.]]=$B54,IF(DATOS_[[Check Periodo Ref.]:[Check Periodo Ref.]]="Dentro",IF(DATOS_[[Check Equiparado]:[Check Equiparado]]="Sí",IF(DATOS!AY$5="Sí",(1/DATOS_[[% anualiz]:[% anualiz]]),1)*IF(DATOS!AY$4="Sí",1/DATOS_[[% normaliz]:[% normaliz]],1)*(DATOS_[Conc.Sal.21])))))))),
0)</f>
        <v>0</v>
      </c>
      <c r="AE55" s="101">
        <f t="array" ref="AE55">IFERROR(
(AVERAGE((IF(DATOS_[[Sexo]:[Sexo]]=$B55,IF(DATOS_[[AGRUP. VALOR. PTO.]:[AGRUP. VALOR. PTO.]]=$B54,IF(DATOS_[[Check Periodo Ref.]:[Check Periodo Ref.]]="Dentro",IF(DATOS_[[Check Equiparado]:[Check Equiparado]]="Sí",IF(DATOS!AZ$5="Sí",(1/DATOS_[[% anualiz]:[% anualiz]]),1)*IF(DATOS!AZ$4="Sí",1/DATOS_[[% normaliz]:[% normaliz]],1)*(DATOS_[Conc.Sal.22])))))))),
0)</f>
        <v>0</v>
      </c>
      <c r="AF55" s="101">
        <f t="array" ref="AF55">IFERROR(
(AVERAGE((IF(DATOS_[[Sexo]:[Sexo]]=$B55,IF(DATOS_[[AGRUP. VALOR. PTO.]:[AGRUP. VALOR. PTO.]]=$B54,IF(DATOS_[[Check Periodo Ref.]:[Check Periodo Ref.]]="Dentro",IF(DATOS_[[Check Equiparado]:[Check Equiparado]]="Sí",IF(DATOS!BA$5="Sí",(1/DATOS_[[% anualiz]:[% anualiz]]),1)*IF(DATOS!BA$4="Sí",1/DATOS_[[% normaliz]:[% normaliz]],1)*(DATOS_[Conc.Sal.23])))))))),
0)</f>
        <v>0</v>
      </c>
      <c r="AG55" s="101">
        <f t="array" ref="AG55">IFERROR(
(AVERAGE((IF(DATOS_[[Sexo]:[Sexo]]=$B55,IF(DATOS_[[AGRUP. VALOR. PTO.]:[AGRUP. VALOR. PTO.]]=$B54,IF(DATOS_[[Check Periodo Ref.]:[Check Periodo Ref.]]="Dentro",IF(DATOS_[[Check Equiparado]:[Check Equiparado]]="Sí",IF(DATOS!BB$5="Sí",(1/DATOS_[[% anualiz]:[% anualiz]]),1)*IF(DATOS!BB$4="Sí",1/DATOS_[[% normaliz]:[% normaliz]],1)*(DATOS_[Conc.Sal.24])))))))),
0)</f>
        <v>0</v>
      </c>
      <c r="AH55" s="101">
        <f t="array" ref="AH55">IFERROR(
(AVERAGE((IF(DATOS_[[Sexo]:[Sexo]]=$B55,IF(DATOS_[[AGRUP. VALOR. PTO.]:[AGRUP. VALOR. PTO.]]=$B54,IF(DATOS_[[Check Periodo Ref.]:[Check Periodo Ref.]]="Dentro",IF(DATOS_[[Check Equiparado]:[Check Equiparado]]="Sí",IF(DATOS!BC$5="Sí",(1/DATOS_[[% anualiz]:[% anualiz]]),1)*IF(DATOS!BC$4="Sí",1/DATOS_[[% normaliz]:[% normaliz]],1)*(DATOS_[Conc.Sal.25])))))))),
0)</f>
        <v>0</v>
      </c>
      <c r="AI55" s="101">
        <f t="array" ref="AI55">IFERROR(
(AVERAGE((IF(DATOS_[[Sexo]:[Sexo]]=$B55,IF(DATOS_[[AGRUP. VALOR. PTO.]:[AGRUP. VALOR. PTO.]]=$B54,IF(DATOS_[[Check Periodo Ref.]:[Check Periodo Ref.]]="Dentro",IF(DATOS_[[Check Equiparado]:[Check Equiparado]]="Sí",IF(DATOS!BD$5="Sí",(1/DATOS_[[% anualiz]:[% anualiz]]),1)*IF(DATOS!BD$4="Sí",1/DATOS_[[% normaliz]:[% normaliz]],1)*(DATOS_[Conc.Sal.26])))))))),
0)</f>
        <v>0</v>
      </c>
      <c r="AJ55" s="101">
        <f t="array" ref="AJ55">IFERROR(
(AVERAGE((IF(DATOS_[[Sexo]:[Sexo]]=$B55,IF(DATOS_[[AGRUP. VALOR. PTO.]:[AGRUP. VALOR. PTO.]]=$B54,IF(DATOS_[[Check Periodo Ref.]:[Check Periodo Ref.]]="Dentro",IF(DATOS_[[Check Equiparado]:[Check Equiparado]]="Sí",IF(DATOS!BE$5="Sí",(1/DATOS_[[% anualiz]:[% anualiz]]),1)*IF(DATOS!BE$4="Sí",1/DATOS_[[% normaliz]:[% normaliz]],1)*(DATOS_[Conc.Sal.27])))))))),
0)</f>
        <v>0</v>
      </c>
      <c r="AK55" s="101">
        <f t="array" ref="AK55">IFERROR(
(AVERAGE((IF(DATOS_[[Sexo]:[Sexo]]=$B55,IF(DATOS_[[AGRUP. VALOR. PTO.]:[AGRUP. VALOR. PTO.]]=$B54,IF(DATOS_[[Check Periodo Ref.]:[Check Periodo Ref.]]="Dentro",IF(DATOS_[[Check Equiparado]:[Check Equiparado]]="Sí",IF(DATOS!BF$5="Sí",(1/DATOS_[[% anualiz]:[% anualiz]]),1)*IF(DATOS!BF$4="Sí",1/DATOS_[[% normaliz]:[% normaliz]],1)*(DATOS_[Conc.Sal.28])))))))),
0)</f>
        <v>0</v>
      </c>
      <c r="AL55" s="101">
        <f t="array" ref="AL55">IFERROR(
(AVERAGE((IF(DATOS_[[Sexo]:[Sexo]]=$B55,IF(DATOS_[[AGRUP. VALOR. PTO.]:[AGRUP. VALOR. PTO.]]=$B54,IF(DATOS_[[Check Periodo Ref.]:[Check Periodo Ref.]]="Dentro",IF(DATOS_[[Check Equiparado]:[Check Equiparado]]="Sí",IF(DATOS!BG$5="Sí",(1/DATOS_[[% anualiz]:[% anualiz]]),1)*IF(DATOS!BG$4="Sí",1/DATOS_[[% normaliz]:[% normaliz]],1)*(DATOS_[Conc.Sal.29])))))))),
0)</f>
        <v>0</v>
      </c>
      <c r="AM55" s="101">
        <f t="array" ref="AM55">IFERROR(
(AVERAGE((IF(DATOS_[[Sexo]:[Sexo]]=$B55,IF(DATOS_[[AGRUP. VALOR. PTO.]:[AGRUP. VALOR. PTO.]]=$B54,IF(DATOS_[[Check Periodo Ref.]:[Check Periodo Ref.]]="Dentro",IF(DATOS_[[Check Equiparado]:[Check Equiparado]]="Sí",IF(DATOS!BH$5="Sí",(1/DATOS_[[% anualiz]:[% anualiz]]),1)*IF(DATOS!BH$4="Sí",1/DATOS_[[% normaliz]:[% normaliz]],1)*(DATOS_[Conc.Sal.30])))))))),
0)</f>
        <v>0</v>
      </c>
      <c r="AN55" s="102">
        <f t="array" ref="AN55">IFERROR(
AVERAGE(IF(DATOS_[Sexo]=$B55,IF(DATOS_[[AGRUP. VALOR. PTO.]:[AGRUP. VALOR. PTO.]]=$B54,IF(DATOS_[Check Equiparado]="Sí",IF(DATOS_[Check Periodo Ref.]="Dentro",DATOS_[Tot COMPL.SAL Eq],FALSE))))),
0)</f>
        <v>0</v>
      </c>
      <c r="AO55" s="103">
        <f t="array" ref="AO55">IFERROR(
AVERAGE(IF(DATOS_[Sexo]=$B55,IF(DATOS_[[AGRUP. VALOR. PTO.]:[AGRUP. VALOR. PTO.]]=$B54,IF(DATOS_[Check Equiparado]="Sí",IF(DATOS_[Check Periodo Ref.]="Dentro",DATOS_[TOTAL SALARIO Eq],FALSE))))),
0)</f>
        <v>0</v>
      </c>
      <c r="AP55" s="104">
        <f t="array" ref="AP55">IFERROR(
(AVERAGE((IF(DATOS_[[Sexo]:[Sexo]]=$B55,IF(DATOS_[[AGRUP. VALOR. PTO.]:[AGRUP. VALOR. PTO.]]=$B54,IF(DATOS_[[Check Periodo Ref.]:[Check Periodo Ref.]]="Dentro",IF(DATOS_[[Check Equiparado]:[Check Equiparado]]="Sí",IF(DATOS!BI$5="Sí",(1/DATOS_[[% anualiz]:[% anualiz]]),1)*IF(DATOS!BI$4="Sí",1/DATOS_[[% normaliz]:[% normaliz]],1)*(DATOS_[C.Extra.01])))))))),
0)</f>
        <v>0</v>
      </c>
      <c r="AQ55" s="104">
        <f t="array" ref="AQ55">IFERROR(
(AVERAGE((IF(DATOS_[[Sexo]:[Sexo]]=$B55,IF(DATOS_[[AGRUP. VALOR. PTO.]:[AGRUP. VALOR. PTO.]]=$B54,IF(DATOS_[[Check Periodo Ref.]:[Check Periodo Ref.]]="Dentro",IF(DATOS_[[Check Equiparado]:[Check Equiparado]]="Sí",IF(DATOS!BJ$5="Sí",(1/DATOS_[[% anualiz]:[% anualiz]]),1)*IF(DATOS!BJ$4="Sí",1/DATOS_[[% normaliz]:[% normaliz]],1)*(DATOS_[C.Extra.02])))))))),
0)</f>
        <v>0</v>
      </c>
      <c r="AR55" s="104">
        <f t="array" ref="AR55">IFERROR(
(AVERAGE((IF(DATOS_[[Sexo]:[Sexo]]=$B55,IF(DATOS_[[AGRUP. VALOR. PTO.]:[AGRUP. VALOR. PTO.]]=$B54,IF(DATOS_[[Check Periodo Ref.]:[Check Periodo Ref.]]="Dentro",IF(DATOS_[[Check Equiparado]:[Check Equiparado]]="Sí",IF(DATOS!BK$5="Sí",(1/DATOS_[[% anualiz]:[% anualiz]]),1)*IF(DATOS!BK$4="Sí",1/DATOS_[[% normaliz]:[% normaliz]],1)*(DATOS_[C.Extra.03])))))))),
0)</f>
        <v>0</v>
      </c>
      <c r="AS55" s="104">
        <f t="array" ref="AS55">IFERROR(
(AVERAGE((IF(DATOS_[[Sexo]:[Sexo]]=$B55,IF(DATOS_[[AGRUP. VALOR. PTO.]:[AGRUP. VALOR. PTO.]]=$B54,IF(DATOS_[[Check Periodo Ref.]:[Check Periodo Ref.]]="Dentro",IF(DATOS_[[Check Equiparado]:[Check Equiparado]]="Sí",IF(DATOS!BL$5="Sí",(1/DATOS_[[% anualiz]:[% anualiz]]),1)*IF(DATOS!BL$4="Sí",1/DATOS_[[% normaliz]:[% normaliz]],1)*(DATOS_[C.Extra.04])))))))),
0)</f>
        <v>0</v>
      </c>
      <c r="AT55" s="104">
        <f t="array" ref="AT55">IFERROR(
(AVERAGE((IF(DATOS_[[Sexo]:[Sexo]]=$B55,IF(DATOS_[[AGRUP. VALOR. PTO.]:[AGRUP. VALOR. PTO.]]=$B54,IF(DATOS_[[Check Periodo Ref.]:[Check Periodo Ref.]]="Dentro",IF(DATOS_[[Check Equiparado]:[Check Equiparado]]="Sí",IF(DATOS!BM$5="Sí",(1/DATOS_[[% anualiz]:[% anualiz]]),1)*IF(DATOS!BM$4="Sí",1/DATOS_[[% normaliz]:[% normaliz]],1)*(DATOS_[C.Extra.05])))))))),
0)</f>
        <v>0</v>
      </c>
      <c r="AU55" s="105">
        <f t="array" ref="AU55">IFERROR(
AVERAGE(IF(DATOS_[Sexo]=$B55,IF(DATOS_[[AGRUP. VALOR. PTO.]:[AGRUP. VALOR. PTO.]]=$B54,IF(DATOS_[Check Equiparado]="Sí",IF(DATOS_[Check Periodo Ref.]="Dentro",DATOS_[Tot Extrasalarial Eq],FALSE))))),
0)</f>
        <v>0</v>
      </c>
      <c r="AV55" s="106">
        <f t="array" ref="AV55">IFERROR(
AVERAGE(IF(DATOS_[Sexo]=$B55,IF(DATOS_[[AGRUP. VALOR. PTO.]:[AGRUP. VALOR. PTO.]]=$B54,IF(DATOS_[Check Equiparado]="Sí",IF(DATOS_[Check Periodo Ref.]="Dentro",DATOS_[TOTAL Retrib Eq],FALSE))))),
0)</f>
        <v>0</v>
      </c>
    </row>
    <row r="56" spans="1:48" hidden="1" x14ac:dyDescent="0.3">
      <c r="A56" s="53" t="str">
        <f t="shared" ref="A56" si="58">+A55</f>
        <v>[ocultar]</v>
      </c>
      <c r="B56" s="57" t="s">
        <v>163</v>
      </c>
      <c r="C56" s="56">
        <f t="array" ref="C56">SUM(IF($B56=DATOS_[Sexo],
IF($B54=DATOS_[AGRUP. VALOR. PTO.],
IF("Dentro"=DATOS_[Check Periodo Ref.],
1/(COUNTIFS(DATOS_[Sexo],$B56,DATOS_[AGRUP. VALOR. PTO.],$B54,DATOS_[Check Periodo Ref.],"Dentro",DATOS_[id],DATOS_[id]))))))</f>
        <v>0</v>
      </c>
      <c r="D56" s="58">
        <f>COUNTIFS(DATOS_[AGRUP. VALOR. PTO.],$B54,DATOS_[Sexo],$B56,DATOS_[Check Periodo Ref.],"Dentro")</f>
        <v>0</v>
      </c>
      <c r="E56" s="58">
        <f>COUNTIFS(DATOS_[AGRUP. VALOR. PTO.],$B54,DATOS_[Sexo],$B56,DATOS_[Check Periodo Ref.],"Dentro",DATOS_[Check Nº SC Norm],"Sí")</f>
        <v>0</v>
      </c>
      <c r="F56" s="58">
        <f>COUNTIFS(DATOS_[AGRUP. VALOR. PTO.],$B54,DATOS_[Sexo],$B56,DATOS_[Check Periodo Ref.],"Dentro",DATOS_[Check Nº SC Anualiz],"Sí")</f>
        <v>0</v>
      </c>
      <c r="G56" s="58">
        <f>COUNTIFS(DATOS_[AGRUP. VALOR. PTO.],$B54,DATOS_[Sexo],$B56,DATOS_[Check Periodo Ref.],"Dentro",DATOS_[Check Nº SC Norm y Anualiz],"Sí")</f>
        <v>0</v>
      </c>
      <c r="H56" s="58">
        <f>COUNTIFS(DATOS_[AGRUP. VALOR. PTO.],$B54,DATOS_[Sexo],$B56,DATOS_[Check Periodo Ref.],"Dentro",DATOS_[Check Equiparación],"Sí")</f>
        <v>0</v>
      </c>
      <c r="I56" s="100" cm="1">
        <f t="array" ref="I56">IFERROR(
AVERAGE(IF(DATOS_[Sexo]=$B56,IF(DATOS_[[AGRUP. VALOR. PTO.]:[AGRUP. VALOR. PTO.]]=$B54,IF(DATOS_[Check Equiparado]="Sí",IF(DATOS_[Check Periodo Ref.]="Dentro",DATOS_[SALARIO BASE Eq],FALSE))))),
0)</f>
        <v>0</v>
      </c>
      <c r="J56" s="101">
        <f t="array" ref="J56">IFERROR(
(AVERAGE((IF(DATOS_[[Sexo]:[Sexo]]=$B56,IF(DATOS_[[AGRUP. VALOR. PTO.]:[AGRUP. VALOR. PTO.]]=$B54,IF(DATOS_[[Check Periodo Ref.]:[Check Periodo Ref.]]="Dentro",IF(DATOS_[[Check Equiparado]:[Check Equiparado]]="Sí",IF(DATOS!AE$5="Sí",(1/DATOS_[[% anualiz]:[% anualiz]]),1)*IF(DATOS!AE$4="Sí",1/DATOS_[[% normaliz]:[% normaliz]],1)*(DATOS_[Conc.Sal.01])))))))),
0)</f>
        <v>0</v>
      </c>
      <c r="K56" s="101">
        <f t="array" ref="K56">IFERROR(
(AVERAGE((IF(DATOS_[[Sexo]:[Sexo]]=$B56,IF(DATOS_[[AGRUP. VALOR. PTO.]:[AGRUP. VALOR. PTO.]]=$B54,IF(DATOS_[[Check Periodo Ref.]:[Check Periodo Ref.]]="Dentro",IF(DATOS_[[Check Equiparado]:[Check Equiparado]]="Sí",IF(DATOS!AF$5="Sí",(1/DATOS_[[% anualiz]:[% anualiz]]),1)*IF(DATOS!AF$4="Sí",1/DATOS_[[% normaliz]:[% normaliz]],1)*(DATOS_[Conc.Sal.02])))))))),
0)</f>
        <v>0</v>
      </c>
      <c r="L56" s="101">
        <f t="array" ref="L56">IFERROR(
(AVERAGE((IF(DATOS_[[Sexo]:[Sexo]]=$B56,IF(DATOS_[[AGRUP. VALOR. PTO.]:[AGRUP. VALOR. PTO.]]=$B54,IF(DATOS_[[Check Periodo Ref.]:[Check Periodo Ref.]]="Dentro",IF(DATOS_[[Check Equiparado]:[Check Equiparado]]="Sí",IF(DATOS!AG$5="Sí",(1/DATOS_[[% anualiz]:[% anualiz]]),1)*IF(DATOS!AG$4="Sí",1/DATOS_[[% normaliz]:[% normaliz]],1)*(DATOS_[Conc.Sal.03])))))))),
0)</f>
        <v>0</v>
      </c>
      <c r="M56" s="101">
        <f t="array" ref="M56">IFERROR(
(AVERAGE((IF(DATOS_[[Sexo]:[Sexo]]=$B56,IF(DATOS_[[AGRUP. VALOR. PTO.]:[AGRUP. VALOR. PTO.]]=$B54,IF(DATOS_[[Check Periodo Ref.]:[Check Periodo Ref.]]="Dentro",IF(DATOS_[[Check Equiparado]:[Check Equiparado]]="Sí",IF(DATOS!AH$5="Sí",(1/DATOS_[[% anualiz]:[% anualiz]]),1)*IF(DATOS!AH$4="Sí",1/DATOS_[[% normaliz]:[% normaliz]],1)*(DATOS_[Conc.Sal.04])))))))),
0)</f>
        <v>0</v>
      </c>
      <c r="N56" s="101">
        <f t="array" ref="N56">IFERROR(
(AVERAGE((IF(DATOS_[[Sexo]:[Sexo]]=$B56,IF(DATOS_[[AGRUP. VALOR. PTO.]:[AGRUP. VALOR. PTO.]]=$B54,IF(DATOS_[[Check Periodo Ref.]:[Check Periodo Ref.]]="Dentro",IF(DATOS_[[Check Equiparado]:[Check Equiparado]]="Sí",IF(DATOS!AI$5="Sí",(1/DATOS_[[% anualiz]:[% anualiz]]),1)*IF(DATOS!AI$4="Sí",1/DATOS_[[% normaliz]:[% normaliz]],1)*(DATOS_[Conc.Sal.05])))))))),
0)</f>
        <v>0</v>
      </c>
      <c r="O56" s="101">
        <f t="array" ref="O56">IFERROR(
(AVERAGE((IF(DATOS_[[Sexo]:[Sexo]]=$B56,IF(DATOS_[[AGRUP. VALOR. PTO.]:[AGRUP. VALOR. PTO.]]=$B54,IF(DATOS_[[Check Periodo Ref.]:[Check Periodo Ref.]]="Dentro",IF(DATOS_[[Check Equiparado]:[Check Equiparado]]="Sí",IF(DATOS!AJ$5="Sí",(1/DATOS_[[% anualiz]:[% anualiz]]),1)*IF(DATOS!AJ$4="Sí",1/DATOS_[[% normaliz]:[% normaliz]],1)*(DATOS_[Conc.Sal.06])))))))),
0)</f>
        <v>0</v>
      </c>
      <c r="P56" s="101">
        <f t="array" ref="P56">IFERROR(
(AVERAGE((IF(DATOS_[[Sexo]:[Sexo]]=$B56,IF(DATOS_[[AGRUP. VALOR. PTO.]:[AGRUP. VALOR. PTO.]]=$B54,IF(DATOS_[[Check Periodo Ref.]:[Check Periodo Ref.]]="Dentro",IF(DATOS_[[Check Equiparado]:[Check Equiparado]]="Sí",IF(DATOS!AK$5="Sí",(1/DATOS_[[% anualiz]:[% anualiz]]),1)*IF(DATOS!AK$4="Sí",1/DATOS_[[% normaliz]:[% normaliz]],1)*(DATOS_[Conc.Sal.07])))))))),
0)</f>
        <v>0</v>
      </c>
      <c r="Q56" s="101">
        <f t="array" ref="Q56">IFERROR(
(AVERAGE((IF(DATOS_[[Sexo]:[Sexo]]=$B56,IF(DATOS_[[AGRUP. VALOR. PTO.]:[AGRUP. VALOR. PTO.]]=$B54,IF(DATOS_[[Check Periodo Ref.]:[Check Periodo Ref.]]="Dentro",IF(DATOS_[[Check Equiparado]:[Check Equiparado]]="Sí",IF(DATOS!AL$5="Sí",(1/DATOS_[[% anualiz]:[% anualiz]]),1)*IF(DATOS!AL$4="Sí",1/DATOS_[[% normaliz]:[% normaliz]],1)*(DATOS_[Conc.Sal.08])))))))),
0)</f>
        <v>0</v>
      </c>
      <c r="R56" s="101">
        <f t="array" ref="R56">IFERROR(
(AVERAGE((IF(DATOS_[[Sexo]:[Sexo]]=$B56,IF(DATOS_[[AGRUP. VALOR. PTO.]:[AGRUP. VALOR. PTO.]]=$B54,IF(DATOS_[[Check Periodo Ref.]:[Check Periodo Ref.]]="Dentro",IF(DATOS_[[Check Equiparado]:[Check Equiparado]]="Sí",IF(DATOS!AM$5="Sí",(1/DATOS_[[% anualiz]:[% anualiz]]),1)*IF(DATOS!AM$4="Sí",1/DATOS_[[% normaliz]:[% normaliz]],1)*(DATOS_[Conc.Sal.09])))))))),
0)</f>
        <v>0</v>
      </c>
      <c r="S56" s="101">
        <f t="array" ref="S56">IFERROR(
(AVERAGE((IF(DATOS_[[Sexo]:[Sexo]]=$B56,IF(DATOS_[[AGRUP. VALOR. PTO.]:[AGRUP. VALOR. PTO.]]=$B54,IF(DATOS_[[Check Periodo Ref.]:[Check Periodo Ref.]]="Dentro",IF(DATOS_[[Check Equiparado]:[Check Equiparado]]="Sí",IF(DATOS!AN$5="Sí",(1/DATOS_[[% anualiz]:[% anualiz]]),1)*IF(DATOS!AN$4="Sí",1/DATOS_[[% normaliz]:[% normaliz]],1)*(DATOS_[Conc.Sal.10])))))))),
0)</f>
        <v>0</v>
      </c>
      <c r="T56" s="101">
        <f t="array" ref="T56">IFERROR(
(AVERAGE((IF(DATOS_[[Sexo]:[Sexo]]=$B56,IF(DATOS_[[AGRUP. VALOR. PTO.]:[AGRUP. VALOR. PTO.]]=$B54,IF(DATOS_[[Check Periodo Ref.]:[Check Periodo Ref.]]="Dentro",IF(DATOS_[[Check Equiparado]:[Check Equiparado]]="Sí",IF(DATOS!AO$5="Sí",(1/DATOS_[[% anualiz]:[% anualiz]]),1)*IF(DATOS!AO$4="Sí",1/DATOS_[[% normaliz]:[% normaliz]],1)*(DATOS_[Conc.Sal.11])))))))),
0)</f>
        <v>0</v>
      </c>
      <c r="U56" s="101">
        <f t="array" ref="U56">IFERROR(
(AVERAGE((IF(DATOS_[[Sexo]:[Sexo]]=$B56,IF(DATOS_[[AGRUP. VALOR. PTO.]:[AGRUP. VALOR. PTO.]]=$B54,IF(DATOS_[[Check Periodo Ref.]:[Check Periodo Ref.]]="Dentro",IF(DATOS_[[Check Equiparado]:[Check Equiparado]]="Sí",IF(DATOS!AP$5="Sí",(1/DATOS_[[% anualiz]:[% anualiz]]),1)*IF(DATOS!AP$4="Sí",1/DATOS_[[% normaliz]:[% normaliz]],1)*(DATOS_[Conc.Sal.12])))))))),
0)</f>
        <v>0</v>
      </c>
      <c r="V56" s="101">
        <f t="array" ref="V56">IFERROR(
(AVERAGE((IF(DATOS_[[Sexo]:[Sexo]]=$B56,IF(DATOS_[[AGRUP. VALOR. PTO.]:[AGRUP. VALOR. PTO.]]=$B54,IF(DATOS_[[Check Periodo Ref.]:[Check Periodo Ref.]]="Dentro",IF(DATOS_[[Check Equiparado]:[Check Equiparado]]="Sí",IF(DATOS!AQ$5="Sí",(1/DATOS_[[% anualiz]:[% anualiz]]),1)*IF(DATOS!AQ$4="Sí",1/DATOS_[[% normaliz]:[% normaliz]],1)*(DATOS_[Conc.Sal.13])))))))),
0)</f>
        <v>0</v>
      </c>
      <c r="W56" s="101">
        <f t="array" ref="W56">IFERROR(
(AVERAGE((IF(DATOS_[[Sexo]:[Sexo]]=$B56,IF(DATOS_[[AGRUP. VALOR. PTO.]:[AGRUP. VALOR. PTO.]]=$B54,IF(DATOS_[[Check Periodo Ref.]:[Check Periodo Ref.]]="Dentro",IF(DATOS_[[Check Equiparado]:[Check Equiparado]]="Sí",IF(DATOS!AR$5="Sí",(1/DATOS_[[% anualiz]:[% anualiz]]),1)*IF(DATOS!AR$4="Sí",1/DATOS_[[% normaliz]:[% normaliz]],1)*(DATOS_[Conc.Sal.14])))))))),
0)</f>
        <v>0</v>
      </c>
      <c r="X56" s="101">
        <f t="array" ref="X56">IFERROR(
(AVERAGE((IF(DATOS_[[Sexo]:[Sexo]]=$B56,IF(DATOS_[[AGRUP. VALOR. PTO.]:[AGRUP. VALOR. PTO.]]=$B54,IF(DATOS_[[Check Periodo Ref.]:[Check Periodo Ref.]]="Dentro",IF(DATOS_[[Check Equiparado]:[Check Equiparado]]="Sí",IF(DATOS!AS$5="Sí",(1/DATOS_[[% anualiz]:[% anualiz]]),1)*IF(DATOS!AS$4="Sí",1/DATOS_[[% normaliz]:[% normaliz]],1)*(DATOS_[Conc.Sal.15])))))))),
0)</f>
        <v>0</v>
      </c>
      <c r="Y56" s="101">
        <f t="array" ref="Y56">IFERROR(
(AVERAGE((IF(DATOS_[[Sexo]:[Sexo]]=$B56,IF(DATOS_[[AGRUP. VALOR. PTO.]:[AGRUP. VALOR. PTO.]]=$B54,IF(DATOS_[[Check Periodo Ref.]:[Check Periodo Ref.]]="Dentro",IF(DATOS_[[Check Equiparado]:[Check Equiparado]]="Sí",IF(DATOS!AT$5="Sí",(1/DATOS_[[% anualiz]:[% anualiz]]),1)*IF(DATOS!AT$4="Sí",1/DATOS_[[% normaliz]:[% normaliz]],1)*(DATOS_[Conc.Sal.16])))))))),
0)</f>
        <v>0</v>
      </c>
      <c r="Z56" s="101">
        <f t="array" ref="Z56">IFERROR(
(AVERAGE((IF(DATOS_[[Sexo]:[Sexo]]=$B56,IF(DATOS_[[AGRUP. VALOR. PTO.]:[AGRUP. VALOR. PTO.]]=$B54,IF(DATOS_[[Check Periodo Ref.]:[Check Periodo Ref.]]="Dentro",IF(DATOS_[[Check Equiparado]:[Check Equiparado]]="Sí",IF(DATOS!AU$5="Sí",(1/DATOS_[[% anualiz]:[% anualiz]]),1)*IF(DATOS!AU$4="Sí",1/DATOS_[[% normaliz]:[% normaliz]],1)*(DATOS_[Conc.Sal.17])))))))),
0)</f>
        <v>0</v>
      </c>
      <c r="AA56" s="101">
        <f t="array" ref="AA56">IFERROR(
(AVERAGE((IF(DATOS_[[Sexo]:[Sexo]]=$B56,IF(DATOS_[[AGRUP. VALOR. PTO.]:[AGRUP. VALOR. PTO.]]=$B54,IF(DATOS_[[Check Periodo Ref.]:[Check Periodo Ref.]]="Dentro",IF(DATOS_[[Check Equiparado]:[Check Equiparado]]="Sí",IF(DATOS!AV$5="Sí",(1/DATOS_[[% anualiz]:[% anualiz]]),1)*IF(DATOS!AV$4="Sí",1/DATOS_[[% normaliz]:[% normaliz]],1)*(DATOS_[Conc.Sal.18])))))))),
0)</f>
        <v>0</v>
      </c>
      <c r="AB56" s="101">
        <f t="array" ref="AB56">IFERROR(
(AVERAGE((IF(DATOS_[[Sexo]:[Sexo]]=$B56,IF(DATOS_[[AGRUP. VALOR. PTO.]:[AGRUP. VALOR. PTO.]]=$B54,IF(DATOS_[[Check Periodo Ref.]:[Check Periodo Ref.]]="Dentro",IF(DATOS_[[Check Equiparado]:[Check Equiparado]]="Sí",IF(DATOS!AW$5="Sí",(1/DATOS_[[% anualiz]:[% anualiz]]),1)*IF(DATOS!AW$4="Sí",1/DATOS_[[% normaliz]:[% normaliz]],1)*(DATOS_[Conc.Sal.19])))))))),
0)</f>
        <v>0</v>
      </c>
      <c r="AC56" s="101">
        <f t="array" ref="AC56">IFERROR(
(AVERAGE((IF(DATOS_[[Sexo]:[Sexo]]=$B56,IF(DATOS_[[AGRUP. VALOR. PTO.]:[AGRUP. VALOR. PTO.]]=$B54,IF(DATOS_[[Check Periodo Ref.]:[Check Periodo Ref.]]="Dentro",IF(DATOS_[[Check Equiparado]:[Check Equiparado]]="Sí",IF(DATOS!AX$5="Sí",(1/DATOS_[[% anualiz]:[% anualiz]]),1)*IF(DATOS!AX$4="Sí",1/DATOS_[[% normaliz]:[% normaliz]],1)*(DATOS_[Conc.Sal.20])))))))),
0)</f>
        <v>0</v>
      </c>
      <c r="AD56" s="101">
        <f t="array" ref="AD56">IFERROR(
(AVERAGE((IF(DATOS_[[Sexo]:[Sexo]]=$B56,IF(DATOS_[[AGRUP. VALOR. PTO.]:[AGRUP. VALOR. PTO.]]=$B54,IF(DATOS_[[Check Periodo Ref.]:[Check Periodo Ref.]]="Dentro",IF(DATOS_[[Check Equiparado]:[Check Equiparado]]="Sí",IF(DATOS!AY$5="Sí",(1/DATOS_[[% anualiz]:[% anualiz]]),1)*IF(DATOS!AY$4="Sí",1/DATOS_[[% normaliz]:[% normaliz]],1)*(DATOS_[Conc.Sal.21])))))))),
0)</f>
        <v>0</v>
      </c>
      <c r="AE56" s="101">
        <f t="array" ref="AE56">IFERROR(
(AVERAGE((IF(DATOS_[[Sexo]:[Sexo]]=$B56,IF(DATOS_[[AGRUP. VALOR. PTO.]:[AGRUP. VALOR. PTO.]]=$B54,IF(DATOS_[[Check Periodo Ref.]:[Check Periodo Ref.]]="Dentro",IF(DATOS_[[Check Equiparado]:[Check Equiparado]]="Sí",IF(DATOS!AZ$5="Sí",(1/DATOS_[[% anualiz]:[% anualiz]]),1)*IF(DATOS!AZ$4="Sí",1/DATOS_[[% normaliz]:[% normaliz]],1)*(DATOS_[Conc.Sal.22])))))))),
0)</f>
        <v>0</v>
      </c>
      <c r="AF56" s="101">
        <f t="array" ref="AF56">IFERROR(
(AVERAGE((IF(DATOS_[[Sexo]:[Sexo]]=$B56,IF(DATOS_[[AGRUP. VALOR. PTO.]:[AGRUP. VALOR. PTO.]]=$B54,IF(DATOS_[[Check Periodo Ref.]:[Check Periodo Ref.]]="Dentro",IF(DATOS_[[Check Equiparado]:[Check Equiparado]]="Sí",IF(DATOS!BA$5="Sí",(1/DATOS_[[% anualiz]:[% anualiz]]),1)*IF(DATOS!BA$4="Sí",1/DATOS_[[% normaliz]:[% normaliz]],1)*(DATOS_[Conc.Sal.23])))))))),
0)</f>
        <v>0</v>
      </c>
      <c r="AG56" s="101">
        <f t="array" ref="AG56">IFERROR(
(AVERAGE((IF(DATOS_[[Sexo]:[Sexo]]=$B56,IF(DATOS_[[AGRUP. VALOR. PTO.]:[AGRUP. VALOR. PTO.]]=$B54,IF(DATOS_[[Check Periodo Ref.]:[Check Periodo Ref.]]="Dentro",IF(DATOS_[[Check Equiparado]:[Check Equiparado]]="Sí",IF(DATOS!BB$5="Sí",(1/DATOS_[[% anualiz]:[% anualiz]]),1)*IF(DATOS!BB$4="Sí",1/DATOS_[[% normaliz]:[% normaliz]],1)*(DATOS_[Conc.Sal.24])))))))),
0)</f>
        <v>0</v>
      </c>
      <c r="AH56" s="101">
        <f t="array" ref="AH56">IFERROR(
(AVERAGE((IF(DATOS_[[Sexo]:[Sexo]]=$B56,IF(DATOS_[[AGRUP. VALOR. PTO.]:[AGRUP. VALOR. PTO.]]=$B54,IF(DATOS_[[Check Periodo Ref.]:[Check Periodo Ref.]]="Dentro",IF(DATOS_[[Check Equiparado]:[Check Equiparado]]="Sí",IF(DATOS!BC$5="Sí",(1/DATOS_[[% anualiz]:[% anualiz]]),1)*IF(DATOS!BC$4="Sí",1/DATOS_[[% normaliz]:[% normaliz]],1)*(DATOS_[Conc.Sal.25])))))))),
0)</f>
        <v>0</v>
      </c>
      <c r="AI56" s="101">
        <f t="array" ref="AI56">IFERROR(
(AVERAGE((IF(DATOS_[[Sexo]:[Sexo]]=$B56,IF(DATOS_[[AGRUP. VALOR. PTO.]:[AGRUP. VALOR. PTO.]]=$B54,IF(DATOS_[[Check Periodo Ref.]:[Check Periodo Ref.]]="Dentro",IF(DATOS_[[Check Equiparado]:[Check Equiparado]]="Sí",IF(DATOS!BD$5="Sí",(1/DATOS_[[% anualiz]:[% anualiz]]),1)*IF(DATOS!BD$4="Sí",1/DATOS_[[% normaliz]:[% normaliz]],1)*(DATOS_[Conc.Sal.26])))))))),
0)</f>
        <v>0</v>
      </c>
      <c r="AJ56" s="101">
        <f t="array" ref="AJ56">IFERROR(
(AVERAGE((IF(DATOS_[[Sexo]:[Sexo]]=$B56,IF(DATOS_[[AGRUP. VALOR. PTO.]:[AGRUP. VALOR. PTO.]]=$B54,IF(DATOS_[[Check Periodo Ref.]:[Check Periodo Ref.]]="Dentro",IF(DATOS_[[Check Equiparado]:[Check Equiparado]]="Sí",IF(DATOS!BE$5="Sí",(1/DATOS_[[% anualiz]:[% anualiz]]),1)*IF(DATOS!BE$4="Sí",1/DATOS_[[% normaliz]:[% normaliz]],1)*(DATOS_[Conc.Sal.27])))))))),
0)</f>
        <v>0</v>
      </c>
      <c r="AK56" s="101">
        <f t="array" ref="AK56">IFERROR(
(AVERAGE((IF(DATOS_[[Sexo]:[Sexo]]=$B56,IF(DATOS_[[AGRUP. VALOR. PTO.]:[AGRUP. VALOR. PTO.]]=$B54,IF(DATOS_[[Check Periodo Ref.]:[Check Periodo Ref.]]="Dentro",IF(DATOS_[[Check Equiparado]:[Check Equiparado]]="Sí",IF(DATOS!BF$5="Sí",(1/DATOS_[[% anualiz]:[% anualiz]]),1)*IF(DATOS!BF$4="Sí",1/DATOS_[[% normaliz]:[% normaliz]],1)*(DATOS_[Conc.Sal.28])))))))),
0)</f>
        <v>0</v>
      </c>
      <c r="AL56" s="101">
        <f t="array" ref="AL56">IFERROR(
(AVERAGE((IF(DATOS_[[Sexo]:[Sexo]]=$B56,IF(DATOS_[[AGRUP. VALOR. PTO.]:[AGRUP. VALOR. PTO.]]=$B54,IF(DATOS_[[Check Periodo Ref.]:[Check Periodo Ref.]]="Dentro",IF(DATOS_[[Check Equiparado]:[Check Equiparado]]="Sí",IF(DATOS!BG$5="Sí",(1/DATOS_[[% anualiz]:[% anualiz]]),1)*IF(DATOS!BG$4="Sí",1/DATOS_[[% normaliz]:[% normaliz]],1)*(DATOS_[Conc.Sal.29])))))))),
0)</f>
        <v>0</v>
      </c>
      <c r="AM56" s="101">
        <f t="array" ref="AM56">IFERROR(
(AVERAGE((IF(DATOS_[[Sexo]:[Sexo]]=$B56,IF(DATOS_[[AGRUP. VALOR. PTO.]:[AGRUP. VALOR. PTO.]]=$B54,IF(DATOS_[[Check Periodo Ref.]:[Check Periodo Ref.]]="Dentro",IF(DATOS_[[Check Equiparado]:[Check Equiparado]]="Sí",IF(DATOS!BH$5="Sí",(1/DATOS_[[% anualiz]:[% anualiz]]),1)*IF(DATOS!BH$4="Sí",1/DATOS_[[% normaliz]:[% normaliz]],1)*(DATOS_[Conc.Sal.30])))))))),
0)</f>
        <v>0</v>
      </c>
      <c r="AN56" s="102">
        <f t="array" ref="AN56">IFERROR(
AVERAGE(IF(DATOS_[Sexo]=$B56,IF(DATOS_[[AGRUP. VALOR. PTO.]:[AGRUP. VALOR. PTO.]]=$B54,IF(DATOS_[Check Equiparado]="Sí",IF(DATOS_[Check Periodo Ref.]="Dentro",DATOS_[Tot COMPL.SAL Eq],FALSE))))),
0)</f>
        <v>0</v>
      </c>
      <c r="AO56" s="103">
        <f t="array" ref="AO56">IFERROR(
AVERAGE(IF(DATOS_[Sexo]=$B56,IF(DATOS_[[AGRUP. VALOR. PTO.]:[AGRUP. VALOR. PTO.]]=$B54,IF(DATOS_[Check Equiparado]="Sí",IF(DATOS_[Check Periodo Ref.]="Dentro",DATOS_[TOTAL SALARIO Eq],FALSE))))),
0)</f>
        <v>0</v>
      </c>
      <c r="AP56" s="104">
        <f t="array" ref="AP56">IFERROR(
(AVERAGE((IF(DATOS_[[Sexo]:[Sexo]]=$B56,IF(DATOS_[[AGRUP. VALOR. PTO.]:[AGRUP. VALOR. PTO.]]=$B54,IF(DATOS_[[Check Periodo Ref.]:[Check Periodo Ref.]]="Dentro",IF(DATOS_[[Check Equiparado]:[Check Equiparado]]="Sí",IF(DATOS!BI$5="Sí",(1/DATOS_[[% anualiz]:[% anualiz]]),1)*IF(DATOS!BI$4="Sí",1/DATOS_[[% normaliz]:[% normaliz]],1)*(DATOS_[C.Extra.01])))))))),
0)</f>
        <v>0</v>
      </c>
      <c r="AQ56" s="104">
        <f t="array" ref="AQ56">IFERROR(
(AVERAGE((IF(DATOS_[[Sexo]:[Sexo]]=$B56,IF(DATOS_[[AGRUP. VALOR. PTO.]:[AGRUP. VALOR. PTO.]]=$B54,IF(DATOS_[[Check Periodo Ref.]:[Check Periodo Ref.]]="Dentro",IF(DATOS_[[Check Equiparado]:[Check Equiparado]]="Sí",IF(DATOS!BJ$5="Sí",(1/DATOS_[[% anualiz]:[% anualiz]]),1)*IF(DATOS!BJ$4="Sí",1/DATOS_[[% normaliz]:[% normaliz]],1)*(DATOS_[C.Extra.02])))))))),
0)</f>
        <v>0</v>
      </c>
      <c r="AR56" s="104">
        <f t="array" ref="AR56">IFERROR(
(AVERAGE((IF(DATOS_[[Sexo]:[Sexo]]=$B56,IF(DATOS_[[AGRUP. VALOR. PTO.]:[AGRUP. VALOR. PTO.]]=$B54,IF(DATOS_[[Check Periodo Ref.]:[Check Periodo Ref.]]="Dentro",IF(DATOS_[[Check Equiparado]:[Check Equiparado]]="Sí",IF(DATOS!BK$5="Sí",(1/DATOS_[[% anualiz]:[% anualiz]]),1)*IF(DATOS!BK$4="Sí",1/DATOS_[[% normaliz]:[% normaliz]],1)*(DATOS_[C.Extra.03])))))))),
0)</f>
        <v>0</v>
      </c>
      <c r="AS56" s="104">
        <f t="array" ref="AS56">IFERROR(
(AVERAGE((IF(DATOS_[[Sexo]:[Sexo]]=$B56,IF(DATOS_[[AGRUP. VALOR. PTO.]:[AGRUP. VALOR. PTO.]]=$B54,IF(DATOS_[[Check Periodo Ref.]:[Check Periodo Ref.]]="Dentro",IF(DATOS_[[Check Equiparado]:[Check Equiparado]]="Sí",IF(DATOS!BL$5="Sí",(1/DATOS_[[% anualiz]:[% anualiz]]),1)*IF(DATOS!BL$4="Sí",1/DATOS_[[% normaliz]:[% normaliz]],1)*(DATOS_[C.Extra.04])))))))),
0)</f>
        <v>0</v>
      </c>
      <c r="AT56" s="104">
        <f t="array" ref="AT56">IFERROR(
(AVERAGE((IF(DATOS_[[Sexo]:[Sexo]]=$B56,IF(DATOS_[[AGRUP. VALOR. PTO.]:[AGRUP. VALOR. PTO.]]=$B54,IF(DATOS_[[Check Periodo Ref.]:[Check Periodo Ref.]]="Dentro",IF(DATOS_[[Check Equiparado]:[Check Equiparado]]="Sí",IF(DATOS!BM$5="Sí",(1/DATOS_[[% anualiz]:[% anualiz]]),1)*IF(DATOS!BM$4="Sí",1/DATOS_[[% normaliz]:[% normaliz]],1)*(DATOS_[C.Extra.05])))))))),
0)</f>
        <v>0</v>
      </c>
      <c r="AU56" s="105">
        <f t="array" ref="AU56">IFERROR(
AVERAGE(IF(DATOS_[Sexo]=$B56,IF(DATOS_[[AGRUP. VALOR. PTO.]:[AGRUP. VALOR. PTO.]]=$B54,IF(DATOS_[Check Equiparado]="Sí",IF(DATOS_[Check Periodo Ref.]="Dentro",DATOS_[Tot Extrasalarial Eq],FALSE))))),
0)</f>
        <v>0</v>
      </c>
      <c r="AV56" s="106">
        <f t="array" ref="AV56">IFERROR(
AVERAGE(IF(DATOS_[Sexo]=$B56,IF(DATOS_[[AGRUP. VALOR. PTO.]:[AGRUP. VALOR. PTO.]]=$B54,IF(DATOS_[Check Equiparado]="Sí",IF(DATOS_[Check Periodo Ref.]="Dentro",DATOS_[TOTAL Retrib Eq],FALSE))))),
0)</f>
        <v>0</v>
      </c>
    </row>
    <row r="57" spans="1:48" ht="17.25" hidden="1" thickBot="1" x14ac:dyDescent="0.35">
      <c r="A57" s="53" t="str">
        <f t="shared" ref="A57" si="59">+A58</f>
        <v>[ocultar]</v>
      </c>
      <c r="B57" s="62" t="s">
        <v>274</v>
      </c>
      <c r="C57" s="99"/>
      <c r="D57" s="63"/>
      <c r="E57" s="63"/>
      <c r="F57" s="63"/>
      <c r="G57" s="63"/>
      <c r="H57" s="63"/>
      <c r="I57" s="129" t="str">
        <f t="shared" ref="I57:AV57" si="60">IFERROR((I58-I59)/I58,"")</f>
        <v/>
      </c>
      <c r="J57" s="130" t="str">
        <f t="shared" si="60"/>
        <v/>
      </c>
      <c r="K57" s="131" t="str">
        <f t="shared" si="60"/>
        <v/>
      </c>
      <c r="L57" s="131" t="str">
        <f t="shared" si="60"/>
        <v/>
      </c>
      <c r="M57" s="131" t="str">
        <f t="shared" si="60"/>
        <v/>
      </c>
      <c r="N57" s="132" t="str">
        <f t="shared" si="60"/>
        <v/>
      </c>
      <c r="O57" s="133" t="str">
        <f t="shared" si="60"/>
        <v/>
      </c>
      <c r="P57" s="133" t="str">
        <f t="shared" si="60"/>
        <v/>
      </c>
      <c r="Q57" s="133" t="str">
        <f t="shared" si="60"/>
        <v/>
      </c>
      <c r="R57" s="133" t="str">
        <f t="shared" si="60"/>
        <v/>
      </c>
      <c r="S57" s="133" t="str">
        <f t="shared" si="60"/>
        <v/>
      </c>
      <c r="T57" s="133" t="str">
        <f t="shared" si="60"/>
        <v/>
      </c>
      <c r="U57" s="133" t="str">
        <f t="shared" si="60"/>
        <v/>
      </c>
      <c r="V57" s="133" t="str">
        <f t="shared" si="60"/>
        <v/>
      </c>
      <c r="W57" s="133" t="str">
        <f t="shared" si="60"/>
        <v/>
      </c>
      <c r="X57" s="133" t="str">
        <f t="shared" si="60"/>
        <v/>
      </c>
      <c r="Y57" s="133" t="str">
        <f t="shared" si="60"/>
        <v/>
      </c>
      <c r="Z57" s="132" t="str">
        <f t="shared" si="60"/>
        <v/>
      </c>
      <c r="AA57" s="132" t="str">
        <f t="shared" si="60"/>
        <v/>
      </c>
      <c r="AB57" s="132" t="str">
        <f t="shared" si="60"/>
        <v/>
      </c>
      <c r="AC57" s="132" t="str">
        <f t="shared" si="60"/>
        <v/>
      </c>
      <c r="AD57" s="132" t="str">
        <f t="shared" si="60"/>
        <v/>
      </c>
      <c r="AE57" s="132" t="str">
        <f t="shared" si="60"/>
        <v/>
      </c>
      <c r="AF57" s="132" t="str">
        <f t="shared" si="60"/>
        <v/>
      </c>
      <c r="AG57" s="132" t="str">
        <f t="shared" si="60"/>
        <v/>
      </c>
      <c r="AH57" s="132" t="str">
        <f t="shared" si="60"/>
        <v/>
      </c>
      <c r="AI57" s="132" t="str">
        <f t="shared" si="60"/>
        <v/>
      </c>
      <c r="AJ57" s="132" t="str">
        <f t="shared" si="60"/>
        <v/>
      </c>
      <c r="AK57" s="132" t="str">
        <f t="shared" si="60"/>
        <v/>
      </c>
      <c r="AL57" s="132" t="str">
        <f t="shared" si="60"/>
        <v/>
      </c>
      <c r="AM57" s="132" t="str">
        <f t="shared" si="60"/>
        <v/>
      </c>
      <c r="AN57" s="134" t="str">
        <f t="shared" si="60"/>
        <v/>
      </c>
      <c r="AO57" s="138" t="str">
        <f t="shared" si="60"/>
        <v/>
      </c>
      <c r="AP57" s="135" t="str">
        <f t="shared" si="60"/>
        <v/>
      </c>
      <c r="AQ57" s="135" t="str">
        <f t="shared" si="60"/>
        <v/>
      </c>
      <c r="AR57" s="135" t="str">
        <f t="shared" si="60"/>
        <v/>
      </c>
      <c r="AS57" s="135" t="str">
        <f t="shared" si="60"/>
        <v/>
      </c>
      <c r="AT57" s="135" t="str">
        <f t="shared" si="60"/>
        <v/>
      </c>
      <c r="AU57" s="136" t="str">
        <f t="shared" si="60"/>
        <v/>
      </c>
      <c r="AV57" s="137" t="str">
        <f t="shared" si="60"/>
        <v/>
      </c>
    </row>
    <row r="58" spans="1:48" hidden="1" x14ac:dyDescent="0.3">
      <c r="A58" s="53" t="str">
        <f t="shared" ref="A58" si="61">+IF(C58+C59=0,"[ocultar]","")</f>
        <v>[ocultar]</v>
      </c>
      <c r="B58" s="57" t="s">
        <v>162</v>
      </c>
      <c r="C58" s="56">
        <f t="array" ref="C58">SUM(IF($B58=DATOS_[Sexo],
IF($B57=DATOS_[AGRUP. VALOR. PTO.],
IF("Dentro"=DATOS_[Check Periodo Ref.],
1/(COUNTIFS(DATOS_[Sexo],$B58,DATOS_[AGRUP. VALOR. PTO.],$B57,DATOS_[Check Periodo Ref.],"Dentro",DATOS_[id],DATOS_[id]))))))</f>
        <v>0</v>
      </c>
      <c r="D58" s="58">
        <f>COUNTIFS(DATOS_[AGRUP. VALOR. PTO.],$B57,DATOS_[Sexo],$B58,DATOS_[Check Periodo Ref.],"Dentro")</f>
        <v>0</v>
      </c>
      <c r="E58" s="58">
        <f>COUNTIFS(DATOS_[AGRUP. VALOR. PTO.],$B57,DATOS_[Sexo],$B58,DATOS_[Check Periodo Ref.],"Dentro",DATOS_[Check Nº SC Norm],"Sí")</f>
        <v>0</v>
      </c>
      <c r="F58" s="58">
        <f>COUNTIFS(DATOS_[AGRUP. VALOR. PTO.],$B57,DATOS_[Sexo],$B58,DATOS_[Check Periodo Ref.],"Dentro",DATOS_[Check Nº SC Anualiz],"Sí")</f>
        <v>0</v>
      </c>
      <c r="G58" s="58">
        <f>COUNTIFS(DATOS_[AGRUP. VALOR. PTO.],$B57,DATOS_[Sexo],$B58,DATOS_[Check Periodo Ref.],"Dentro",DATOS_[Check Nº SC Norm y Anualiz],"Sí")</f>
        <v>0</v>
      </c>
      <c r="H58" s="58">
        <f>COUNTIFS(DATOS_[AGRUP. VALOR. PTO.],$B57,DATOS_[Sexo],$B58,DATOS_[Check Periodo Ref.],"Dentro",DATOS_[Check Equiparación],"Sí")</f>
        <v>0</v>
      </c>
      <c r="I58" s="100">
        <f t="array" ref="I58">IFERROR(
AVERAGE(IF(DATOS_[Sexo]=$B58,IF(DATOS_[[AGRUP. VALOR. PTO.]:[AGRUP. VALOR. PTO.]]=$B57,IF(DATOS_[Check Equiparado]="Sí",IF(DATOS_[Check Periodo Ref.]="Dentro",DATOS_[SALARIO BASE Eq],FALSE))))),
0)</f>
        <v>0</v>
      </c>
      <c r="J58" s="101">
        <f t="array" ref="J58">IFERROR(
(AVERAGE((IF(DATOS_[[Sexo]:[Sexo]]=$B58,IF(DATOS_[[AGRUP. VALOR. PTO.]:[AGRUP. VALOR. PTO.]]=$B57,IF(DATOS_[[Check Periodo Ref.]:[Check Periodo Ref.]]="Dentro",IF(DATOS_[[Check Equiparado]:[Check Equiparado]]="Sí",IF(DATOS!AE$5="Sí",(1/DATOS_[[% anualiz]:[% anualiz]]),1)*IF(DATOS!AE$4="Sí",1/DATOS_[[% normaliz]:[% normaliz]],1)*(DATOS_[Conc.Sal.01])))))))),
0)</f>
        <v>0</v>
      </c>
      <c r="K58" s="101">
        <f t="array" ref="K58">IFERROR(
(AVERAGE((IF(DATOS_[[Sexo]:[Sexo]]=$B58,IF(DATOS_[[AGRUP. VALOR. PTO.]:[AGRUP. VALOR. PTO.]]=$B57,IF(DATOS_[[Check Periodo Ref.]:[Check Periodo Ref.]]="Dentro",IF(DATOS_[[Check Equiparado]:[Check Equiparado]]="Sí",IF(DATOS!AF$5="Sí",(1/DATOS_[[% anualiz]:[% anualiz]]),1)*IF(DATOS!AF$4="Sí",1/DATOS_[[% normaliz]:[% normaliz]],1)*(DATOS_[Conc.Sal.02])))))))),
0)</f>
        <v>0</v>
      </c>
      <c r="L58" s="101">
        <f t="array" ref="L58">IFERROR(
(AVERAGE((IF(DATOS_[[Sexo]:[Sexo]]=$B58,IF(DATOS_[[AGRUP. VALOR. PTO.]:[AGRUP. VALOR. PTO.]]=$B57,IF(DATOS_[[Check Periodo Ref.]:[Check Periodo Ref.]]="Dentro",IF(DATOS_[[Check Equiparado]:[Check Equiparado]]="Sí",IF(DATOS!AG$5="Sí",(1/DATOS_[[% anualiz]:[% anualiz]]),1)*IF(DATOS!AG$4="Sí",1/DATOS_[[% normaliz]:[% normaliz]],1)*(DATOS_[Conc.Sal.03])))))))),
0)</f>
        <v>0</v>
      </c>
      <c r="M58" s="101">
        <f t="array" ref="M58">IFERROR(
(AVERAGE((IF(DATOS_[[Sexo]:[Sexo]]=$B58,IF(DATOS_[[AGRUP. VALOR. PTO.]:[AGRUP. VALOR. PTO.]]=$B57,IF(DATOS_[[Check Periodo Ref.]:[Check Periodo Ref.]]="Dentro",IF(DATOS_[[Check Equiparado]:[Check Equiparado]]="Sí",IF(DATOS!AH$5="Sí",(1/DATOS_[[% anualiz]:[% anualiz]]),1)*IF(DATOS!AH$4="Sí",1/DATOS_[[% normaliz]:[% normaliz]],1)*(DATOS_[Conc.Sal.04])))))))),
0)</f>
        <v>0</v>
      </c>
      <c r="N58" s="101">
        <f t="array" ref="N58">IFERROR(
(AVERAGE((IF(DATOS_[[Sexo]:[Sexo]]=$B58,IF(DATOS_[[AGRUP. VALOR. PTO.]:[AGRUP. VALOR. PTO.]]=$B57,IF(DATOS_[[Check Periodo Ref.]:[Check Periodo Ref.]]="Dentro",IF(DATOS_[[Check Equiparado]:[Check Equiparado]]="Sí",IF(DATOS!AI$5="Sí",(1/DATOS_[[% anualiz]:[% anualiz]]),1)*IF(DATOS!AI$4="Sí",1/DATOS_[[% normaliz]:[% normaliz]],1)*(DATOS_[Conc.Sal.05])))))))),
0)</f>
        <v>0</v>
      </c>
      <c r="O58" s="101">
        <f t="array" ref="O58">IFERROR(
(AVERAGE((IF(DATOS_[[Sexo]:[Sexo]]=$B58,IF(DATOS_[[AGRUP. VALOR. PTO.]:[AGRUP. VALOR. PTO.]]=$B57,IF(DATOS_[[Check Periodo Ref.]:[Check Periodo Ref.]]="Dentro",IF(DATOS_[[Check Equiparado]:[Check Equiparado]]="Sí",IF(DATOS!AJ$5="Sí",(1/DATOS_[[% anualiz]:[% anualiz]]),1)*IF(DATOS!AJ$4="Sí",1/DATOS_[[% normaliz]:[% normaliz]],1)*(DATOS_[Conc.Sal.06])))))))),
0)</f>
        <v>0</v>
      </c>
      <c r="P58" s="101">
        <f t="array" ref="P58">IFERROR(
(AVERAGE((IF(DATOS_[[Sexo]:[Sexo]]=$B58,IF(DATOS_[[AGRUP. VALOR. PTO.]:[AGRUP. VALOR. PTO.]]=$B57,IF(DATOS_[[Check Periodo Ref.]:[Check Periodo Ref.]]="Dentro",IF(DATOS_[[Check Equiparado]:[Check Equiparado]]="Sí",IF(DATOS!AK$5="Sí",(1/DATOS_[[% anualiz]:[% anualiz]]),1)*IF(DATOS!AK$4="Sí",1/DATOS_[[% normaliz]:[% normaliz]],1)*(DATOS_[Conc.Sal.07])))))))),
0)</f>
        <v>0</v>
      </c>
      <c r="Q58" s="101">
        <f t="array" ref="Q58">IFERROR(
(AVERAGE((IF(DATOS_[[Sexo]:[Sexo]]=$B58,IF(DATOS_[[AGRUP. VALOR. PTO.]:[AGRUP. VALOR. PTO.]]=$B57,IF(DATOS_[[Check Periodo Ref.]:[Check Periodo Ref.]]="Dentro",IF(DATOS_[[Check Equiparado]:[Check Equiparado]]="Sí",IF(DATOS!AL$5="Sí",(1/DATOS_[[% anualiz]:[% anualiz]]),1)*IF(DATOS!AL$4="Sí",1/DATOS_[[% normaliz]:[% normaliz]],1)*(DATOS_[Conc.Sal.08])))))))),
0)</f>
        <v>0</v>
      </c>
      <c r="R58" s="101">
        <f t="array" ref="R58">IFERROR(
(AVERAGE((IF(DATOS_[[Sexo]:[Sexo]]=$B58,IF(DATOS_[[AGRUP. VALOR. PTO.]:[AGRUP. VALOR. PTO.]]=$B57,IF(DATOS_[[Check Periodo Ref.]:[Check Periodo Ref.]]="Dentro",IF(DATOS_[[Check Equiparado]:[Check Equiparado]]="Sí",IF(DATOS!AM$5="Sí",(1/DATOS_[[% anualiz]:[% anualiz]]),1)*IF(DATOS!AM$4="Sí",1/DATOS_[[% normaliz]:[% normaliz]],1)*(DATOS_[Conc.Sal.09])))))))),
0)</f>
        <v>0</v>
      </c>
      <c r="S58" s="101">
        <f t="array" ref="S58">IFERROR(
(AVERAGE((IF(DATOS_[[Sexo]:[Sexo]]=$B58,IF(DATOS_[[AGRUP. VALOR. PTO.]:[AGRUP. VALOR. PTO.]]=$B57,IF(DATOS_[[Check Periodo Ref.]:[Check Periodo Ref.]]="Dentro",IF(DATOS_[[Check Equiparado]:[Check Equiparado]]="Sí",IF(DATOS!AN$5="Sí",(1/DATOS_[[% anualiz]:[% anualiz]]),1)*IF(DATOS!AN$4="Sí",1/DATOS_[[% normaliz]:[% normaliz]],1)*(DATOS_[Conc.Sal.10])))))))),
0)</f>
        <v>0</v>
      </c>
      <c r="T58" s="101">
        <f t="array" ref="T58">IFERROR(
(AVERAGE((IF(DATOS_[[Sexo]:[Sexo]]=$B58,IF(DATOS_[[AGRUP. VALOR. PTO.]:[AGRUP. VALOR. PTO.]]=$B57,IF(DATOS_[[Check Periodo Ref.]:[Check Periodo Ref.]]="Dentro",IF(DATOS_[[Check Equiparado]:[Check Equiparado]]="Sí",IF(DATOS!AO$5="Sí",(1/DATOS_[[% anualiz]:[% anualiz]]),1)*IF(DATOS!AO$4="Sí",1/DATOS_[[% normaliz]:[% normaliz]],1)*(DATOS_[Conc.Sal.11])))))))),
0)</f>
        <v>0</v>
      </c>
      <c r="U58" s="101">
        <f t="array" ref="U58">IFERROR(
(AVERAGE((IF(DATOS_[[Sexo]:[Sexo]]=$B58,IF(DATOS_[[AGRUP. VALOR. PTO.]:[AGRUP. VALOR. PTO.]]=$B57,IF(DATOS_[[Check Periodo Ref.]:[Check Periodo Ref.]]="Dentro",IF(DATOS_[[Check Equiparado]:[Check Equiparado]]="Sí",IF(DATOS!AP$5="Sí",(1/DATOS_[[% anualiz]:[% anualiz]]),1)*IF(DATOS!AP$4="Sí",1/DATOS_[[% normaliz]:[% normaliz]],1)*(DATOS_[Conc.Sal.12])))))))),
0)</f>
        <v>0</v>
      </c>
      <c r="V58" s="101">
        <f t="array" ref="V58">IFERROR(
(AVERAGE((IF(DATOS_[[Sexo]:[Sexo]]=$B58,IF(DATOS_[[AGRUP. VALOR. PTO.]:[AGRUP. VALOR. PTO.]]=$B57,IF(DATOS_[[Check Periodo Ref.]:[Check Periodo Ref.]]="Dentro",IF(DATOS_[[Check Equiparado]:[Check Equiparado]]="Sí",IF(DATOS!AQ$5="Sí",(1/DATOS_[[% anualiz]:[% anualiz]]),1)*IF(DATOS!AQ$4="Sí",1/DATOS_[[% normaliz]:[% normaliz]],1)*(DATOS_[Conc.Sal.13])))))))),
0)</f>
        <v>0</v>
      </c>
      <c r="W58" s="101">
        <f t="array" ref="W58">IFERROR(
(AVERAGE((IF(DATOS_[[Sexo]:[Sexo]]=$B58,IF(DATOS_[[AGRUP. VALOR. PTO.]:[AGRUP. VALOR. PTO.]]=$B57,IF(DATOS_[[Check Periodo Ref.]:[Check Periodo Ref.]]="Dentro",IF(DATOS_[[Check Equiparado]:[Check Equiparado]]="Sí",IF(DATOS!AR$5="Sí",(1/DATOS_[[% anualiz]:[% anualiz]]),1)*IF(DATOS!AR$4="Sí",1/DATOS_[[% normaliz]:[% normaliz]],1)*(DATOS_[Conc.Sal.14])))))))),
0)</f>
        <v>0</v>
      </c>
      <c r="X58" s="101">
        <f t="array" ref="X58">IFERROR(
(AVERAGE((IF(DATOS_[[Sexo]:[Sexo]]=$B58,IF(DATOS_[[AGRUP. VALOR. PTO.]:[AGRUP. VALOR. PTO.]]=$B57,IF(DATOS_[[Check Periodo Ref.]:[Check Periodo Ref.]]="Dentro",IF(DATOS_[[Check Equiparado]:[Check Equiparado]]="Sí",IF(DATOS!AS$5="Sí",(1/DATOS_[[% anualiz]:[% anualiz]]),1)*IF(DATOS!AS$4="Sí",1/DATOS_[[% normaliz]:[% normaliz]],1)*(DATOS_[Conc.Sal.15])))))))),
0)</f>
        <v>0</v>
      </c>
      <c r="Y58" s="101">
        <f t="array" ref="Y58">IFERROR(
(AVERAGE((IF(DATOS_[[Sexo]:[Sexo]]=$B58,IF(DATOS_[[AGRUP. VALOR. PTO.]:[AGRUP. VALOR. PTO.]]=$B57,IF(DATOS_[[Check Periodo Ref.]:[Check Periodo Ref.]]="Dentro",IF(DATOS_[[Check Equiparado]:[Check Equiparado]]="Sí",IF(DATOS!AT$5="Sí",(1/DATOS_[[% anualiz]:[% anualiz]]),1)*IF(DATOS!AT$4="Sí",1/DATOS_[[% normaliz]:[% normaliz]],1)*(DATOS_[Conc.Sal.16])))))))),
0)</f>
        <v>0</v>
      </c>
      <c r="Z58" s="101">
        <f t="array" ref="Z58">IFERROR(
(AVERAGE((IF(DATOS_[[Sexo]:[Sexo]]=$B58,IF(DATOS_[[AGRUP. VALOR. PTO.]:[AGRUP. VALOR. PTO.]]=$B57,IF(DATOS_[[Check Periodo Ref.]:[Check Periodo Ref.]]="Dentro",IF(DATOS_[[Check Equiparado]:[Check Equiparado]]="Sí",IF(DATOS!AU$5="Sí",(1/DATOS_[[% anualiz]:[% anualiz]]),1)*IF(DATOS!AU$4="Sí",1/DATOS_[[% normaliz]:[% normaliz]],1)*(DATOS_[Conc.Sal.17])))))))),
0)</f>
        <v>0</v>
      </c>
      <c r="AA58" s="101">
        <f t="array" ref="AA58">IFERROR(
(AVERAGE((IF(DATOS_[[Sexo]:[Sexo]]=$B58,IF(DATOS_[[AGRUP. VALOR. PTO.]:[AGRUP. VALOR. PTO.]]=$B57,IF(DATOS_[[Check Periodo Ref.]:[Check Periodo Ref.]]="Dentro",IF(DATOS_[[Check Equiparado]:[Check Equiparado]]="Sí",IF(DATOS!AV$5="Sí",(1/DATOS_[[% anualiz]:[% anualiz]]),1)*IF(DATOS!AV$4="Sí",1/DATOS_[[% normaliz]:[% normaliz]],1)*(DATOS_[Conc.Sal.18])))))))),
0)</f>
        <v>0</v>
      </c>
      <c r="AB58" s="101">
        <f t="array" ref="AB58">IFERROR(
(AVERAGE((IF(DATOS_[[Sexo]:[Sexo]]=$B58,IF(DATOS_[[AGRUP. VALOR. PTO.]:[AGRUP. VALOR. PTO.]]=$B57,IF(DATOS_[[Check Periodo Ref.]:[Check Periodo Ref.]]="Dentro",IF(DATOS_[[Check Equiparado]:[Check Equiparado]]="Sí",IF(DATOS!AW$5="Sí",(1/DATOS_[[% anualiz]:[% anualiz]]),1)*IF(DATOS!AW$4="Sí",1/DATOS_[[% normaliz]:[% normaliz]],1)*(DATOS_[Conc.Sal.19])))))))),
0)</f>
        <v>0</v>
      </c>
      <c r="AC58" s="101">
        <f t="array" ref="AC58">IFERROR(
(AVERAGE((IF(DATOS_[[Sexo]:[Sexo]]=$B58,IF(DATOS_[[AGRUP. VALOR. PTO.]:[AGRUP. VALOR. PTO.]]=$B57,IF(DATOS_[[Check Periodo Ref.]:[Check Periodo Ref.]]="Dentro",IF(DATOS_[[Check Equiparado]:[Check Equiparado]]="Sí",IF(DATOS!AX$5="Sí",(1/DATOS_[[% anualiz]:[% anualiz]]),1)*IF(DATOS!AX$4="Sí",1/DATOS_[[% normaliz]:[% normaliz]],1)*(DATOS_[Conc.Sal.20])))))))),
0)</f>
        <v>0</v>
      </c>
      <c r="AD58" s="101">
        <f t="array" ref="AD58">IFERROR(
(AVERAGE((IF(DATOS_[[Sexo]:[Sexo]]=$B58,IF(DATOS_[[AGRUP. VALOR. PTO.]:[AGRUP. VALOR. PTO.]]=$B57,IF(DATOS_[[Check Periodo Ref.]:[Check Periodo Ref.]]="Dentro",IF(DATOS_[[Check Equiparado]:[Check Equiparado]]="Sí",IF(DATOS!AY$5="Sí",(1/DATOS_[[% anualiz]:[% anualiz]]),1)*IF(DATOS!AY$4="Sí",1/DATOS_[[% normaliz]:[% normaliz]],1)*(DATOS_[Conc.Sal.21])))))))),
0)</f>
        <v>0</v>
      </c>
      <c r="AE58" s="101">
        <f t="array" ref="AE58">IFERROR(
(AVERAGE((IF(DATOS_[[Sexo]:[Sexo]]=$B58,IF(DATOS_[[AGRUP. VALOR. PTO.]:[AGRUP. VALOR. PTO.]]=$B57,IF(DATOS_[[Check Periodo Ref.]:[Check Periodo Ref.]]="Dentro",IF(DATOS_[[Check Equiparado]:[Check Equiparado]]="Sí",IF(DATOS!AZ$5="Sí",(1/DATOS_[[% anualiz]:[% anualiz]]),1)*IF(DATOS!AZ$4="Sí",1/DATOS_[[% normaliz]:[% normaliz]],1)*(DATOS_[Conc.Sal.22])))))))),
0)</f>
        <v>0</v>
      </c>
      <c r="AF58" s="101">
        <f t="array" ref="AF58">IFERROR(
(AVERAGE((IF(DATOS_[[Sexo]:[Sexo]]=$B58,IF(DATOS_[[AGRUP. VALOR. PTO.]:[AGRUP. VALOR. PTO.]]=$B57,IF(DATOS_[[Check Periodo Ref.]:[Check Periodo Ref.]]="Dentro",IF(DATOS_[[Check Equiparado]:[Check Equiparado]]="Sí",IF(DATOS!BA$5="Sí",(1/DATOS_[[% anualiz]:[% anualiz]]),1)*IF(DATOS!BA$4="Sí",1/DATOS_[[% normaliz]:[% normaliz]],1)*(DATOS_[Conc.Sal.23])))))))),
0)</f>
        <v>0</v>
      </c>
      <c r="AG58" s="101">
        <f t="array" ref="AG58">IFERROR(
(AVERAGE((IF(DATOS_[[Sexo]:[Sexo]]=$B58,IF(DATOS_[[AGRUP. VALOR. PTO.]:[AGRUP. VALOR. PTO.]]=$B57,IF(DATOS_[[Check Periodo Ref.]:[Check Periodo Ref.]]="Dentro",IF(DATOS_[[Check Equiparado]:[Check Equiparado]]="Sí",IF(DATOS!BB$5="Sí",(1/DATOS_[[% anualiz]:[% anualiz]]),1)*IF(DATOS!BB$4="Sí",1/DATOS_[[% normaliz]:[% normaliz]],1)*(DATOS_[Conc.Sal.24])))))))),
0)</f>
        <v>0</v>
      </c>
      <c r="AH58" s="101">
        <f t="array" ref="AH58">IFERROR(
(AVERAGE((IF(DATOS_[[Sexo]:[Sexo]]=$B58,IF(DATOS_[[AGRUP. VALOR. PTO.]:[AGRUP. VALOR. PTO.]]=$B57,IF(DATOS_[[Check Periodo Ref.]:[Check Periodo Ref.]]="Dentro",IF(DATOS_[[Check Equiparado]:[Check Equiparado]]="Sí",IF(DATOS!BC$5="Sí",(1/DATOS_[[% anualiz]:[% anualiz]]),1)*IF(DATOS!BC$4="Sí",1/DATOS_[[% normaliz]:[% normaliz]],1)*(DATOS_[Conc.Sal.25])))))))),
0)</f>
        <v>0</v>
      </c>
      <c r="AI58" s="101">
        <f t="array" ref="AI58">IFERROR(
(AVERAGE((IF(DATOS_[[Sexo]:[Sexo]]=$B58,IF(DATOS_[[AGRUP. VALOR. PTO.]:[AGRUP. VALOR. PTO.]]=$B57,IF(DATOS_[[Check Periodo Ref.]:[Check Periodo Ref.]]="Dentro",IF(DATOS_[[Check Equiparado]:[Check Equiparado]]="Sí",IF(DATOS!BD$5="Sí",(1/DATOS_[[% anualiz]:[% anualiz]]),1)*IF(DATOS!BD$4="Sí",1/DATOS_[[% normaliz]:[% normaliz]],1)*(DATOS_[Conc.Sal.26])))))))),
0)</f>
        <v>0</v>
      </c>
      <c r="AJ58" s="101">
        <f t="array" ref="AJ58">IFERROR(
(AVERAGE((IF(DATOS_[[Sexo]:[Sexo]]=$B58,IF(DATOS_[[AGRUP. VALOR. PTO.]:[AGRUP. VALOR. PTO.]]=$B57,IF(DATOS_[[Check Periodo Ref.]:[Check Periodo Ref.]]="Dentro",IF(DATOS_[[Check Equiparado]:[Check Equiparado]]="Sí",IF(DATOS!BE$5="Sí",(1/DATOS_[[% anualiz]:[% anualiz]]),1)*IF(DATOS!BE$4="Sí",1/DATOS_[[% normaliz]:[% normaliz]],1)*(DATOS_[Conc.Sal.27])))))))),
0)</f>
        <v>0</v>
      </c>
      <c r="AK58" s="101">
        <f t="array" ref="AK58">IFERROR(
(AVERAGE((IF(DATOS_[[Sexo]:[Sexo]]=$B58,IF(DATOS_[[AGRUP. VALOR. PTO.]:[AGRUP. VALOR. PTO.]]=$B57,IF(DATOS_[[Check Periodo Ref.]:[Check Periodo Ref.]]="Dentro",IF(DATOS_[[Check Equiparado]:[Check Equiparado]]="Sí",IF(DATOS!BF$5="Sí",(1/DATOS_[[% anualiz]:[% anualiz]]),1)*IF(DATOS!BF$4="Sí",1/DATOS_[[% normaliz]:[% normaliz]],1)*(DATOS_[Conc.Sal.28])))))))),
0)</f>
        <v>0</v>
      </c>
      <c r="AL58" s="101">
        <f t="array" ref="AL58">IFERROR(
(AVERAGE((IF(DATOS_[[Sexo]:[Sexo]]=$B58,IF(DATOS_[[AGRUP. VALOR. PTO.]:[AGRUP. VALOR. PTO.]]=$B57,IF(DATOS_[[Check Periodo Ref.]:[Check Periodo Ref.]]="Dentro",IF(DATOS_[[Check Equiparado]:[Check Equiparado]]="Sí",IF(DATOS!BG$5="Sí",(1/DATOS_[[% anualiz]:[% anualiz]]),1)*IF(DATOS!BG$4="Sí",1/DATOS_[[% normaliz]:[% normaliz]],1)*(DATOS_[Conc.Sal.29])))))))),
0)</f>
        <v>0</v>
      </c>
      <c r="AM58" s="101">
        <f t="array" ref="AM58">IFERROR(
(AVERAGE((IF(DATOS_[[Sexo]:[Sexo]]=$B58,IF(DATOS_[[AGRUP. VALOR. PTO.]:[AGRUP. VALOR. PTO.]]=$B57,IF(DATOS_[[Check Periodo Ref.]:[Check Periodo Ref.]]="Dentro",IF(DATOS_[[Check Equiparado]:[Check Equiparado]]="Sí",IF(DATOS!BH$5="Sí",(1/DATOS_[[% anualiz]:[% anualiz]]),1)*IF(DATOS!BH$4="Sí",1/DATOS_[[% normaliz]:[% normaliz]],1)*(DATOS_[Conc.Sal.30])))))))),
0)</f>
        <v>0</v>
      </c>
      <c r="AN58" s="102">
        <f t="array" ref="AN58">IFERROR(
AVERAGE(IF(DATOS_[Sexo]=$B58,IF(DATOS_[[AGRUP. VALOR. PTO.]:[AGRUP. VALOR. PTO.]]=$B57,IF(DATOS_[Check Equiparado]="Sí",IF(DATOS_[Check Periodo Ref.]="Dentro",DATOS_[Tot COMPL.SAL Eq],FALSE))))),
0)</f>
        <v>0</v>
      </c>
      <c r="AO58" s="103">
        <f t="array" ref="AO58">IFERROR(
AVERAGE(IF(DATOS_[Sexo]=$B58,IF(DATOS_[[AGRUP. VALOR. PTO.]:[AGRUP. VALOR. PTO.]]=$B57,IF(DATOS_[Check Equiparado]="Sí",IF(DATOS_[Check Periodo Ref.]="Dentro",DATOS_[TOTAL SALARIO Eq],FALSE))))),
0)</f>
        <v>0</v>
      </c>
      <c r="AP58" s="104">
        <f t="array" ref="AP58">IFERROR(
(AVERAGE((IF(DATOS_[[Sexo]:[Sexo]]=$B58,IF(DATOS_[[AGRUP. VALOR. PTO.]:[AGRUP. VALOR. PTO.]]=$B57,IF(DATOS_[[Check Periodo Ref.]:[Check Periodo Ref.]]="Dentro",IF(DATOS_[[Check Equiparado]:[Check Equiparado]]="Sí",IF(DATOS!BI$5="Sí",(1/DATOS_[[% anualiz]:[% anualiz]]),1)*IF(DATOS!BI$4="Sí",1/DATOS_[[% normaliz]:[% normaliz]],1)*(DATOS_[C.Extra.01])))))))),
0)</f>
        <v>0</v>
      </c>
      <c r="AQ58" s="104">
        <f t="array" ref="AQ58">IFERROR(
(AVERAGE((IF(DATOS_[[Sexo]:[Sexo]]=$B58,IF(DATOS_[[AGRUP. VALOR. PTO.]:[AGRUP. VALOR. PTO.]]=$B57,IF(DATOS_[[Check Periodo Ref.]:[Check Periodo Ref.]]="Dentro",IF(DATOS_[[Check Equiparado]:[Check Equiparado]]="Sí",IF(DATOS!BJ$5="Sí",(1/DATOS_[[% anualiz]:[% anualiz]]),1)*IF(DATOS!BJ$4="Sí",1/DATOS_[[% normaliz]:[% normaliz]],1)*(DATOS_[C.Extra.02])))))))),
0)</f>
        <v>0</v>
      </c>
      <c r="AR58" s="104">
        <f t="array" ref="AR58">IFERROR(
(AVERAGE((IF(DATOS_[[Sexo]:[Sexo]]=$B58,IF(DATOS_[[AGRUP. VALOR. PTO.]:[AGRUP. VALOR. PTO.]]=$B57,IF(DATOS_[[Check Periodo Ref.]:[Check Periodo Ref.]]="Dentro",IF(DATOS_[[Check Equiparado]:[Check Equiparado]]="Sí",IF(DATOS!BK$5="Sí",(1/DATOS_[[% anualiz]:[% anualiz]]),1)*IF(DATOS!BK$4="Sí",1/DATOS_[[% normaliz]:[% normaliz]],1)*(DATOS_[C.Extra.03])))))))),
0)</f>
        <v>0</v>
      </c>
      <c r="AS58" s="104">
        <f t="array" ref="AS58">IFERROR(
(AVERAGE((IF(DATOS_[[Sexo]:[Sexo]]=$B58,IF(DATOS_[[AGRUP. VALOR. PTO.]:[AGRUP. VALOR. PTO.]]=$B57,IF(DATOS_[[Check Periodo Ref.]:[Check Periodo Ref.]]="Dentro",IF(DATOS_[[Check Equiparado]:[Check Equiparado]]="Sí",IF(DATOS!BL$5="Sí",(1/DATOS_[[% anualiz]:[% anualiz]]),1)*IF(DATOS!BL$4="Sí",1/DATOS_[[% normaliz]:[% normaliz]],1)*(DATOS_[C.Extra.04])))))))),
0)</f>
        <v>0</v>
      </c>
      <c r="AT58" s="104">
        <f t="array" ref="AT58">IFERROR(
(AVERAGE((IF(DATOS_[[Sexo]:[Sexo]]=$B58,IF(DATOS_[[AGRUP. VALOR. PTO.]:[AGRUP. VALOR. PTO.]]=$B57,IF(DATOS_[[Check Periodo Ref.]:[Check Periodo Ref.]]="Dentro",IF(DATOS_[[Check Equiparado]:[Check Equiparado]]="Sí",IF(DATOS!BM$5="Sí",(1/DATOS_[[% anualiz]:[% anualiz]]),1)*IF(DATOS!BM$4="Sí",1/DATOS_[[% normaliz]:[% normaliz]],1)*(DATOS_[C.Extra.05])))))))),
0)</f>
        <v>0</v>
      </c>
      <c r="AU58" s="105">
        <f t="array" ref="AU58">IFERROR(
AVERAGE(IF(DATOS_[Sexo]=$B58,IF(DATOS_[[AGRUP. VALOR. PTO.]:[AGRUP. VALOR. PTO.]]=$B57,IF(DATOS_[Check Equiparado]="Sí",IF(DATOS_[Check Periodo Ref.]="Dentro",DATOS_[Tot Extrasalarial Eq],FALSE))))),
0)</f>
        <v>0</v>
      </c>
      <c r="AV58" s="106">
        <f t="array" ref="AV58">IFERROR(
AVERAGE(IF(DATOS_[Sexo]=$B58,IF(DATOS_[[AGRUP. VALOR. PTO.]:[AGRUP. VALOR. PTO.]]=$B57,IF(DATOS_[Check Equiparado]="Sí",IF(DATOS_[Check Periodo Ref.]="Dentro",DATOS_[TOTAL Retrib Eq],FALSE))))),
0)</f>
        <v>0</v>
      </c>
    </row>
    <row r="59" spans="1:48" hidden="1" x14ac:dyDescent="0.3">
      <c r="A59" s="53" t="str">
        <f t="shared" ref="A59" si="62">+A58</f>
        <v>[ocultar]</v>
      </c>
      <c r="B59" s="57" t="s">
        <v>163</v>
      </c>
      <c r="C59" s="56">
        <f t="array" ref="C59">SUM(IF($B59=DATOS_[Sexo],
IF($B57=DATOS_[AGRUP. VALOR. PTO.],
IF("Dentro"=DATOS_[Check Periodo Ref.],
1/(COUNTIFS(DATOS_[Sexo],$B59,DATOS_[AGRUP. VALOR. PTO.],$B57,DATOS_[Check Periodo Ref.],"Dentro",DATOS_[id],DATOS_[id]))))))</f>
        <v>0</v>
      </c>
      <c r="D59" s="58">
        <f>COUNTIFS(DATOS_[AGRUP. VALOR. PTO.],$B57,DATOS_[Sexo],$B59,DATOS_[Check Periodo Ref.],"Dentro")</f>
        <v>0</v>
      </c>
      <c r="E59" s="58">
        <f>COUNTIFS(DATOS_[AGRUP. VALOR. PTO.],$B57,DATOS_[Sexo],$B59,DATOS_[Check Periodo Ref.],"Dentro",DATOS_[Check Nº SC Norm],"Sí")</f>
        <v>0</v>
      </c>
      <c r="F59" s="58">
        <f>COUNTIFS(DATOS_[AGRUP. VALOR. PTO.],$B57,DATOS_[Sexo],$B59,DATOS_[Check Periodo Ref.],"Dentro",DATOS_[Check Nº SC Anualiz],"Sí")</f>
        <v>0</v>
      </c>
      <c r="G59" s="58">
        <f>COUNTIFS(DATOS_[AGRUP. VALOR. PTO.],$B57,DATOS_[Sexo],$B59,DATOS_[Check Periodo Ref.],"Dentro",DATOS_[Check Nº SC Norm y Anualiz],"Sí")</f>
        <v>0</v>
      </c>
      <c r="H59" s="58">
        <f>COUNTIFS(DATOS_[AGRUP. VALOR. PTO.],$B57,DATOS_[Sexo],$B59,DATOS_[Check Periodo Ref.],"Dentro",DATOS_[Check Equiparación],"Sí")</f>
        <v>0</v>
      </c>
      <c r="I59" s="100" cm="1">
        <f t="array" ref="I59">IFERROR(
AVERAGE(IF(DATOS_[Sexo]=$B59,IF(DATOS_[[AGRUP. VALOR. PTO.]:[AGRUP. VALOR. PTO.]]=$B57,IF(DATOS_[Check Equiparado]="Sí",IF(DATOS_[Check Periodo Ref.]="Dentro",DATOS_[SALARIO BASE Eq],FALSE))))),
0)</f>
        <v>0</v>
      </c>
      <c r="J59" s="101">
        <f t="array" ref="J59">IFERROR(
(AVERAGE((IF(DATOS_[[Sexo]:[Sexo]]=$B59,IF(DATOS_[[AGRUP. VALOR. PTO.]:[AGRUP. VALOR. PTO.]]=$B57,IF(DATOS_[[Check Periodo Ref.]:[Check Periodo Ref.]]="Dentro",IF(DATOS_[[Check Equiparado]:[Check Equiparado]]="Sí",IF(DATOS!AE$5="Sí",(1/DATOS_[[% anualiz]:[% anualiz]]),1)*IF(DATOS!AE$4="Sí",1/DATOS_[[% normaliz]:[% normaliz]],1)*(DATOS_[Conc.Sal.01])))))))),
0)</f>
        <v>0</v>
      </c>
      <c r="K59" s="101">
        <f t="array" ref="K59">IFERROR(
(AVERAGE((IF(DATOS_[[Sexo]:[Sexo]]=$B59,IF(DATOS_[[AGRUP. VALOR. PTO.]:[AGRUP. VALOR. PTO.]]=$B57,IF(DATOS_[[Check Periodo Ref.]:[Check Periodo Ref.]]="Dentro",IF(DATOS_[[Check Equiparado]:[Check Equiparado]]="Sí",IF(DATOS!AF$5="Sí",(1/DATOS_[[% anualiz]:[% anualiz]]),1)*IF(DATOS!AF$4="Sí",1/DATOS_[[% normaliz]:[% normaliz]],1)*(DATOS_[Conc.Sal.02])))))))),
0)</f>
        <v>0</v>
      </c>
      <c r="L59" s="101">
        <f t="array" ref="L59">IFERROR(
(AVERAGE((IF(DATOS_[[Sexo]:[Sexo]]=$B59,IF(DATOS_[[AGRUP. VALOR. PTO.]:[AGRUP. VALOR. PTO.]]=$B57,IF(DATOS_[[Check Periodo Ref.]:[Check Periodo Ref.]]="Dentro",IF(DATOS_[[Check Equiparado]:[Check Equiparado]]="Sí",IF(DATOS!AG$5="Sí",(1/DATOS_[[% anualiz]:[% anualiz]]),1)*IF(DATOS!AG$4="Sí",1/DATOS_[[% normaliz]:[% normaliz]],1)*(DATOS_[Conc.Sal.03])))))))),
0)</f>
        <v>0</v>
      </c>
      <c r="M59" s="101">
        <f t="array" ref="M59">IFERROR(
(AVERAGE((IF(DATOS_[[Sexo]:[Sexo]]=$B59,IF(DATOS_[[AGRUP. VALOR. PTO.]:[AGRUP. VALOR. PTO.]]=$B57,IF(DATOS_[[Check Periodo Ref.]:[Check Periodo Ref.]]="Dentro",IF(DATOS_[[Check Equiparado]:[Check Equiparado]]="Sí",IF(DATOS!AH$5="Sí",(1/DATOS_[[% anualiz]:[% anualiz]]),1)*IF(DATOS!AH$4="Sí",1/DATOS_[[% normaliz]:[% normaliz]],1)*(DATOS_[Conc.Sal.04])))))))),
0)</f>
        <v>0</v>
      </c>
      <c r="N59" s="101">
        <f t="array" ref="N59">IFERROR(
(AVERAGE((IF(DATOS_[[Sexo]:[Sexo]]=$B59,IF(DATOS_[[AGRUP. VALOR. PTO.]:[AGRUP. VALOR. PTO.]]=$B57,IF(DATOS_[[Check Periodo Ref.]:[Check Periodo Ref.]]="Dentro",IF(DATOS_[[Check Equiparado]:[Check Equiparado]]="Sí",IF(DATOS!AI$5="Sí",(1/DATOS_[[% anualiz]:[% anualiz]]),1)*IF(DATOS!AI$4="Sí",1/DATOS_[[% normaliz]:[% normaliz]],1)*(DATOS_[Conc.Sal.05])))))))),
0)</f>
        <v>0</v>
      </c>
      <c r="O59" s="101">
        <f t="array" ref="O59">IFERROR(
(AVERAGE((IF(DATOS_[[Sexo]:[Sexo]]=$B59,IF(DATOS_[[AGRUP. VALOR. PTO.]:[AGRUP. VALOR. PTO.]]=$B57,IF(DATOS_[[Check Periodo Ref.]:[Check Periodo Ref.]]="Dentro",IF(DATOS_[[Check Equiparado]:[Check Equiparado]]="Sí",IF(DATOS!AJ$5="Sí",(1/DATOS_[[% anualiz]:[% anualiz]]),1)*IF(DATOS!AJ$4="Sí",1/DATOS_[[% normaliz]:[% normaliz]],1)*(DATOS_[Conc.Sal.06])))))))),
0)</f>
        <v>0</v>
      </c>
      <c r="P59" s="101">
        <f t="array" ref="P59">IFERROR(
(AVERAGE((IF(DATOS_[[Sexo]:[Sexo]]=$B59,IF(DATOS_[[AGRUP. VALOR. PTO.]:[AGRUP. VALOR. PTO.]]=$B57,IF(DATOS_[[Check Periodo Ref.]:[Check Periodo Ref.]]="Dentro",IF(DATOS_[[Check Equiparado]:[Check Equiparado]]="Sí",IF(DATOS!AK$5="Sí",(1/DATOS_[[% anualiz]:[% anualiz]]),1)*IF(DATOS!AK$4="Sí",1/DATOS_[[% normaliz]:[% normaliz]],1)*(DATOS_[Conc.Sal.07])))))))),
0)</f>
        <v>0</v>
      </c>
      <c r="Q59" s="101">
        <f t="array" ref="Q59">IFERROR(
(AVERAGE((IF(DATOS_[[Sexo]:[Sexo]]=$B59,IF(DATOS_[[AGRUP. VALOR. PTO.]:[AGRUP. VALOR. PTO.]]=$B57,IF(DATOS_[[Check Periodo Ref.]:[Check Periodo Ref.]]="Dentro",IF(DATOS_[[Check Equiparado]:[Check Equiparado]]="Sí",IF(DATOS!AL$5="Sí",(1/DATOS_[[% anualiz]:[% anualiz]]),1)*IF(DATOS!AL$4="Sí",1/DATOS_[[% normaliz]:[% normaliz]],1)*(DATOS_[Conc.Sal.08])))))))),
0)</f>
        <v>0</v>
      </c>
      <c r="R59" s="101">
        <f t="array" ref="R59">IFERROR(
(AVERAGE((IF(DATOS_[[Sexo]:[Sexo]]=$B59,IF(DATOS_[[AGRUP. VALOR. PTO.]:[AGRUP. VALOR. PTO.]]=$B57,IF(DATOS_[[Check Periodo Ref.]:[Check Periodo Ref.]]="Dentro",IF(DATOS_[[Check Equiparado]:[Check Equiparado]]="Sí",IF(DATOS!AM$5="Sí",(1/DATOS_[[% anualiz]:[% anualiz]]),1)*IF(DATOS!AM$4="Sí",1/DATOS_[[% normaliz]:[% normaliz]],1)*(DATOS_[Conc.Sal.09])))))))),
0)</f>
        <v>0</v>
      </c>
      <c r="S59" s="101">
        <f t="array" ref="S59">IFERROR(
(AVERAGE((IF(DATOS_[[Sexo]:[Sexo]]=$B59,IF(DATOS_[[AGRUP. VALOR. PTO.]:[AGRUP. VALOR. PTO.]]=$B57,IF(DATOS_[[Check Periodo Ref.]:[Check Periodo Ref.]]="Dentro",IF(DATOS_[[Check Equiparado]:[Check Equiparado]]="Sí",IF(DATOS!AN$5="Sí",(1/DATOS_[[% anualiz]:[% anualiz]]),1)*IF(DATOS!AN$4="Sí",1/DATOS_[[% normaliz]:[% normaliz]],1)*(DATOS_[Conc.Sal.10])))))))),
0)</f>
        <v>0</v>
      </c>
      <c r="T59" s="101">
        <f t="array" ref="T59">IFERROR(
(AVERAGE((IF(DATOS_[[Sexo]:[Sexo]]=$B59,IF(DATOS_[[AGRUP. VALOR. PTO.]:[AGRUP. VALOR. PTO.]]=$B57,IF(DATOS_[[Check Periodo Ref.]:[Check Periodo Ref.]]="Dentro",IF(DATOS_[[Check Equiparado]:[Check Equiparado]]="Sí",IF(DATOS!AO$5="Sí",(1/DATOS_[[% anualiz]:[% anualiz]]),1)*IF(DATOS!AO$4="Sí",1/DATOS_[[% normaliz]:[% normaliz]],1)*(DATOS_[Conc.Sal.11])))))))),
0)</f>
        <v>0</v>
      </c>
      <c r="U59" s="101">
        <f t="array" ref="U59">IFERROR(
(AVERAGE((IF(DATOS_[[Sexo]:[Sexo]]=$B59,IF(DATOS_[[AGRUP. VALOR. PTO.]:[AGRUP. VALOR. PTO.]]=$B57,IF(DATOS_[[Check Periodo Ref.]:[Check Periodo Ref.]]="Dentro",IF(DATOS_[[Check Equiparado]:[Check Equiparado]]="Sí",IF(DATOS!AP$5="Sí",(1/DATOS_[[% anualiz]:[% anualiz]]),1)*IF(DATOS!AP$4="Sí",1/DATOS_[[% normaliz]:[% normaliz]],1)*(DATOS_[Conc.Sal.12])))))))),
0)</f>
        <v>0</v>
      </c>
      <c r="V59" s="101">
        <f t="array" ref="V59">IFERROR(
(AVERAGE((IF(DATOS_[[Sexo]:[Sexo]]=$B59,IF(DATOS_[[AGRUP. VALOR. PTO.]:[AGRUP. VALOR. PTO.]]=$B57,IF(DATOS_[[Check Periodo Ref.]:[Check Periodo Ref.]]="Dentro",IF(DATOS_[[Check Equiparado]:[Check Equiparado]]="Sí",IF(DATOS!AQ$5="Sí",(1/DATOS_[[% anualiz]:[% anualiz]]),1)*IF(DATOS!AQ$4="Sí",1/DATOS_[[% normaliz]:[% normaliz]],1)*(DATOS_[Conc.Sal.13])))))))),
0)</f>
        <v>0</v>
      </c>
      <c r="W59" s="101">
        <f t="array" ref="W59">IFERROR(
(AVERAGE((IF(DATOS_[[Sexo]:[Sexo]]=$B59,IF(DATOS_[[AGRUP. VALOR. PTO.]:[AGRUP. VALOR. PTO.]]=$B57,IF(DATOS_[[Check Periodo Ref.]:[Check Periodo Ref.]]="Dentro",IF(DATOS_[[Check Equiparado]:[Check Equiparado]]="Sí",IF(DATOS!AR$5="Sí",(1/DATOS_[[% anualiz]:[% anualiz]]),1)*IF(DATOS!AR$4="Sí",1/DATOS_[[% normaliz]:[% normaliz]],1)*(DATOS_[Conc.Sal.14])))))))),
0)</f>
        <v>0</v>
      </c>
      <c r="X59" s="101">
        <f t="array" ref="X59">IFERROR(
(AVERAGE((IF(DATOS_[[Sexo]:[Sexo]]=$B59,IF(DATOS_[[AGRUP. VALOR. PTO.]:[AGRUP. VALOR. PTO.]]=$B57,IF(DATOS_[[Check Periodo Ref.]:[Check Periodo Ref.]]="Dentro",IF(DATOS_[[Check Equiparado]:[Check Equiparado]]="Sí",IF(DATOS!AS$5="Sí",(1/DATOS_[[% anualiz]:[% anualiz]]),1)*IF(DATOS!AS$4="Sí",1/DATOS_[[% normaliz]:[% normaliz]],1)*(DATOS_[Conc.Sal.15])))))))),
0)</f>
        <v>0</v>
      </c>
      <c r="Y59" s="101">
        <f t="array" ref="Y59">IFERROR(
(AVERAGE((IF(DATOS_[[Sexo]:[Sexo]]=$B59,IF(DATOS_[[AGRUP. VALOR. PTO.]:[AGRUP. VALOR. PTO.]]=$B57,IF(DATOS_[[Check Periodo Ref.]:[Check Periodo Ref.]]="Dentro",IF(DATOS_[[Check Equiparado]:[Check Equiparado]]="Sí",IF(DATOS!AT$5="Sí",(1/DATOS_[[% anualiz]:[% anualiz]]),1)*IF(DATOS!AT$4="Sí",1/DATOS_[[% normaliz]:[% normaliz]],1)*(DATOS_[Conc.Sal.16])))))))),
0)</f>
        <v>0</v>
      </c>
      <c r="Z59" s="101">
        <f t="array" ref="Z59">IFERROR(
(AVERAGE((IF(DATOS_[[Sexo]:[Sexo]]=$B59,IF(DATOS_[[AGRUP. VALOR. PTO.]:[AGRUP. VALOR. PTO.]]=$B57,IF(DATOS_[[Check Periodo Ref.]:[Check Periodo Ref.]]="Dentro",IF(DATOS_[[Check Equiparado]:[Check Equiparado]]="Sí",IF(DATOS!AU$5="Sí",(1/DATOS_[[% anualiz]:[% anualiz]]),1)*IF(DATOS!AU$4="Sí",1/DATOS_[[% normaliz]:[% normaliz]],1)*(DATOS_[Conc.Sal.17])))))))),
0)</f>
        <v>0</v>
      </c>
      <c r="AA59" s="101">
        <f t="array" ref="AA59">IFERROR(
(AVERAGE((IF(DATOS_[[Sexo]:[Sexo]]=$B59,IF(DATOS_[[AGRUP. VALOR. PTO.]:[AGRUP. VALOR. PTO.]]=$B57,IF(DATOS_[[Check Periodo Ref.]:[Check Periodo Ref.]]="Dentro",IF(DATOS_[[Check Equiparado]:[Check Equiparado]]="Sí",IF(DATOS!AV$5="Sí",(1/DATOS_[[% anualiz]:[% anualiz]]),1)*IF(DATOS!AV$4="Sí",1/DATOS_[[% normaliz]:[% normaliz]],1)*(DATOS_[Conc.Sal.18])))))))),
0)</f>
        <v>0</v>
      </c>
      <c r="AB59" s="101">
        <f t="array" ref="AB59">IFERROR(
(AVERAGE((IF(DATOS_[[Sexo]:[Sexo]]=$B59,IF(DATOS_[[AGRUP. VALOR. PTO.]:[AGRUP. VALOR. PTO.]]=$B57,IF(DATOS_[[Check Periodo Ref.]:[Check Periodo Ref.]]="Dentro",IF(DATOS_[[Check Equiparado]:[Check Equiparado]]="Sí",IF(DATOS!AW$5="Sí",(1/DATOS_[[% anualiz]:[% anualiz]]),1)*IF(DATOS!AW$4="Sí",1/DATOS_[[% normaliz]:[% normaliz]],1)*(DATOS_[Conc.Sal.19])))))))),
0)</f>
        <v>0</v>
      </c>
      <c r="AC59" s="101">
        <f t="array" ref="AC59">IFERROR(
(AVERAGE((IF(DATOS_[[Sexo]:[Sexo]]=$B59,IF(DATOS_[[AGRUP. VALOR. PTO.]:[AGRUP. VALOR. PTO.]]=$B57,IF(DATOS_[[Check Periodo Ref.]:[Check Periodo Ref.]]="Dentro",IF(DATOS_[[Check Equiparado]:[Check Equiparado]]="Sí",IF(DATOS!AX$5="Sí",(1/DATOS_[[% anualiz]:[% anualiz]]),1)*IF(DATOS!AX$4="Sí",1/DATOS_[[% normaliz]:[% normaliz]],1)*(DATOS_[Conc.Sal.20])))))))),
0)</f>
        <v>0</v>
      </c>
      <c r="AD59" s="101">
        <f t="array" ref="AD59">IFERROR(
(AVERAGE((IF(DATOS_[[Sexo]:[Sexo]]=$B59,IF(DATOS_[[AGRUP. VALOR. PTO.]:[AGRUP. VALOR. PTO.]]=$B57,IF(DATOS_[[Check Periodo Ref.]:[Check Periodo Ref.]]="Dentro",IF(DATOS_[[Check Equiparado]:[Check Equiparado]]="Sí",IF(DATOS!AY$5="Sí",(1/DATOS_[[% anualiz]:[% anualiz]]),1)*IF(DATOS!AY$4="Sí",1/DATOS_[[% normaliz]:[% normaliz]],1)*(DATOS_[Conc.Sal.21])))))))),
0)</f>
        <v>0</v>
      </c>
      <c r="AE59" s="101">
        <f t="array" ref="AE59">IFERROR(
(AVERAGE((IF(DATOS_[[Sexo]:[Sexo]]=$B59,IF(DATOS_[[AGRUP. VALOR. PTO.]:[AGRUP. VALOR. PTO.]]=$B57,IF(DATOS_[[Check Periodo Ref.]:[Check Periodo Ref.]]="Dentro",IF(DATOS_[[Check Equiparado]:[Check Equiparado]]="Sí",IF(DATOS!AZ$5="Sí",(1/DATOS_[[% anualiz]:[% anualiz]]),1)*IF(DATOS!AZ$4="Sí",1/DATOS_[[% normaliz]:[% normaliz]],1)*(DATOS_[Conc.Sal.22])))))))),
0)</f>
        <v>0</v>
      </c>
      <c r="AF59" s="101">
        <f t="array" ref="AF59">IFERROR(
(AVERAGE((IF(DATOS_[[Sexo]:[Sexo]]=$B59,IF(DATOS_[[AGRUP. VALOR. PTO.]:[AGRUP. VALOR. PTO.]]=$B57,IF(DATOS_[[Check Periodo Ref.]:[Check Periodo Ref.]]="Dentro",IF(DATOS_[[Check Equiparado]:[Check Equiparado]]="Sí",IF(DATOS!BA$5="Sí",(1/DATOS_[[% anualiz]:[% anualiz]]),1)*IF(DATOS!BA$4="Sí",1/DATOS_[[% normaliz]:[% normaliz]],1)*(DATOS_[Conc.Sal.23])))))))),
0)</f>
        <v>0</v>
      </c>
      <c r="AG59" s="101">
        <f t="array" ref="AG59">IFERROR(
(AVERAGE((IF(DATOS_[[Sexo]:[Sexo]]=$B59,IF(DATOS_[[AGRUP. VALOR. PTO.]:[AGRUP. VALOR. PTO.]]=$B57,IF(DATOS_[[Check Periodo Ref.]:[Check Periodo Ref.]]="Dentro",IF(DATOS_[[Check Equiparado]:[Check Equiparado]]="Sí",IF(DATOS!BB$5="Sí",(1/DATOS_[[% anualiz]:[% anualiz]]),1)*IF(DATOS!BB$4="Sí",1/DATOS_[[% normaliz]:[% normaliz]],1)*(DATOS_[Conc.Sal.24])))))))),
0)</f>
        <v>0</v>
      </c>
      <c r="AH59" s="101">
        <f t="array" ref="AH59">IFERROR(
(AVERAGE((IF(DATOS_[[Sexo]:[Sexo]]=$B59,IF(DATOS_[[AGRUP. VALOR. PTO.]:[AGRUP. VALOR. PTO.]]=$B57,IF(DATOS_[[Check Periodo Ref.]:[Check Periodo Ref.]]="Dentro",IF(DATOS_[[Check Equiparado]:[Check Equiparado]]="Sí",IF(DATOS!BC$5="Sí",(1/DATOS_[[% anualiz]:[% anualiz]]),1)*IF(DATOS!BC$4="Sí",1/DATOS_[[% normaliz]:[% normaliz]],1)*(DATOS_[Conc.Sal.25])))))))),
0)</f>
        <v>0</v>
      </c>
      <c r="AI59" s="101">
        <f t="array" ref="AI59">IFERROR(
(AVERAGE((IF(DATOS_[[Sexo]:[Sexo]]=$B59,IF(DATOS_[[AGRUP. VALOR. PTO.]:[AGRUP. VALOR. PTO.]]=$B57,IF(DATOS_[[Check Periodo Ref.]:[Check Periodo Ref.]]="Dentro",IF(DATOS_[[Check Equiparado]:[Check Equiparado]]="Sí",IF(DATOS!BD$5="Sí",(1/DATOS_[[% anualiz]:[% anualiz]]),1)*IF(DATOS!BD$4="Sí",1/DATOS_[[% normaliz]:[% normaliz]],1)*(DATOS_[Conc.Sal.26])))))))),
0)</f>
        <v>0</v>
      </c>
      <c r="AJ59" s="101">
        <f t="array" ref="AJ59">IFERROR(
(AVERAGE((IF(DATOS_[[Sexo]:[Sexo]]=$B59,IF(DATOS_[[AGRUP. VALOR. PTO.]:[AGRUP. VALOR. PTO.]]=$B57,IF(DATOS_[[Check Periodo Ref.]:[Check Periodo Ref.]]="Dentro",IF(DATOS_[[Check Equiparado]:[Check Equiparado]]="Sí",IF(DATOS!BE$5="Sí",(1/DATOS_[[% anualiz]:[% anualiz]]),1)*IF(DATOS!BE$4="Sí",1/DATOS_[[% normaliz]:[% normaliz]],1)*(DATOS_[Conc.Sal.27])))))))),
0)</f>
        <v>0</v>
      </c>
      <c r="AK59" s="101">
        <f t="array" ref="AK59">IFERROR(
(AVERAGE((IF(DATOS_[[Sexo]:[Sexo]]=$B59,IF(DATOS_[[AGRUP. VALOR. PTO.]:[AGRUP. VALOR. PTO.]]=$B57,IF(DATOS_[[Check Periodo Ref.]:[Check Periodo Ref.]]="Dentro",IF(DATOS_[[Check Equiparado]:[Check Equiparado]]="Sí",IF(DATOS!BF$5="Sí",(1/DATOS_[[% anualiz]:[% anualiz]]),1)*IF(DATOS!BF$4="Sí",1/DATOS_[[% normaliz]:[% normaliz]],1)*(DATOS_[Conc.Sal.28])))))))),
0)</f>
        <v>0</v>
      </c>
      <c r="AL59" s="101">
        <f t="array" ref="AL59">IFERROR(
(AVERAGE((IF(DATOS_[[Sexo]:[Sexo]]=$B59,IF(DATOS_[[AGRUP. VALOR. PTO.]:[AGRUP. VALOR. PTO.]]=$B57,IF(DATOS_[[Check Periodo Ref.]:[Check Periodo Ref.]]="Dentro",IF(DATOS_[[Check Equiparado]:[Check Equiparado]]="Sí",IF(DATOS!BG$5="Sí",(1/DATOS_[[% anualiz]:[% anualiz]]),1)*IF(DATOS!BG$4="Sí",1/DATOS_[[% normaliz]:[% normaliz]],1)*(DATOS_[Conc.Sal.29])))))))),
0)</f>
        <v>0</v>
      </c>
      <c r="AM59" s="101">
        <f t="array" ref="AM59">IFERROR(
(AVERAGE((IF(DATOS_[[Sexo]:[Sexo]]=$B59,IF(DATOS_[[AGRUP. VALOR. PTO.]:[AGRUP. VALOR. PTO.]]=$B57,IF(DATOS_[[Check Periodo Ref.]:[Check Periodo Ref.]]="Dentro",IF(DATOS_[[Check Equiparado]:[Check Equiparado]]="Sí",IF(DATOS!BH$5="Sí",(1/DATOS_[[% anualiz]:[% anualiz]]),1)*IF(DATOS!BH$4="Sí",1/DATOS_[[% normaliz]:[% normaliz]],1)*(DATOS_[Conc.Sal.30])))))))),
0)</f>
        <v>0</v>
      </c>
      <c r="AN59" s="102">
        <f t="array" ref="AN59">IFERROR(
AVERAGE(IF(DATOS_[Sexo]=$B59,IF(DATOS_[[AGRUP. VALOR. PTO.]:[AGRUP. VALOR. PTO.]]=$B57,IF(DATOS_[Check Equiparado]="Sí",IF(DATOS_[Check Periodo Ref.]="Dentro",DATOS_[Tot COMPL.SAL Eq],FALSE))))),
0)</f>
        <v>0</v>
      </c>
      <c r="AO59" s="103">
        <f t="array" ref="AO59">IFERROR(
AVERAGE(IF(DATOS_[Sexo]=$B59,IF(DATOS_[[AGRUP. VALOR. PTO.]:[AGRUP. VALOR. PTO.]]=$B57,IF(DATOS_[Check Equiparado]="Sí",IF(DATOS_[Check Periodo Ref.]="Dentro",DATOS_[TOTAL SALARIO Eq],FALSE))))),
0)</f>
        <v>0</v>
      </c>
      <c r="AP59" s="104">
        <f t="array" ref="AP59">IFERROR(
(AVERAGE((IF(DATOS_[[Sexo]:[Sexo]]=$B59,IF(DATOS_[[AGRUP. VALOR. PTO.]:[AGRUP. VALOR. PTO.]]=$B57,IF(DATOS_[[Check Periodo Ref.]:[Check Periodo Ref.]]="Dentro",IF(DATOS_[[Check Equiparado]:[Check Equiparado]]="Sí",IF(DATOS!BI$5="Sí",(1/DATOS_[[% anualiz]:[% anualiz]]),1)*IF(DATOS!BI$4="Sí",1/DATOS_[[% normaliz]:[% normaliz]],1)*(DATOS_[C.Extra.01])))))))),
0)</f>
        <v>0</v>
      </c>
      <c r="AQ59" s="104">
        <f t="array" ref="AQ59">IFERROR(
(AVERAGE((IF(DATOS_[[Sexo]:[Sexo]]=$B59,IF(DATOS_[[AGRUP. VALOR. PTO.]:[AGRUP. VALOR. PTO.]]=$B57,IF(DATOS_[[Check Periodo Ref.]:[Check Periodo Ref.]]="Dentro",IF(DATOS_[[Check Equiparado]:[Check Equiparado]]="Sí",IF(DATOS!BJ$5="Sí",(1/DATOS_[[% anualiz]:[% anualiz]]),1)*IF(DATOS!BJ$4="Sí",1/DATOS_[[% normaliz]:[% normaliz]],1)*(DATOS_[C.Extra.02])))))))),
0)</f>
        <v>0</v>
      </c>
      <c r="AR59" s="104">
        <f t="array" ref="AR59">IFERROR(
(AVERAGE((IF(DATOS_[[Sexo]:[Sexo]]=$B59,IF(DATOS_[[AGRUP. VALOR. PTO.]:[AGRUP. VALOR. PTO.]]=$B57,IF(DATOS_[[Check Periodo Ref.]:[Check Periodo Ref.]]="Dentro",IF(DATOS_[[Check Equiparado]:[Check Equiparado]]="Sí",IF(DATOS!BK$5="Sí",(1/DATOS_[[% anualiz]:[% anualiz]]),1)*IF(DATOS!BK$4="Sí",1/DATOS_[[% normaliz]:[% normaliz]],1)*(DATOS_[C.Extra.03])))))))),
0)</f>
        <v>0</v>
      </c>
      <c r="AS59" s="104">
        <f t="array" ref="AS59">IFERROR(
(AVERAGE((IF(DATOS_[[Sexo]:[Sexo]]=$B59,IF(DATOS_[[AGRUP. VALOR. PTO.]:[AGRUP. VALOR. PTO.]]=$B57,IF(DATOS_[[Check Periodo Ref.]:[Check Periodo Ref.]]="Dentro",IF(DATOS_[[Check Equiparado]:[Check Equiparado]]="Sí",IF(DATOS!BL$5="Sí",(1/DATOS_[[% anualiz]:[% anualiz]]),1)*IF(DATOS!BL$4="Sí",1/DATOS_[[% normaliz]:[% normaliz]],1)*(DATOS_[C.Extra.04])))))))),
0)</f>
        <v>0</v>
      </c>
      <c r="AT59" s="104">
        <f t="array" ref="AT59">IFERROR(
(AVERAGE((IF(DATOS_[[Sexo]:[Sexo]]=$B59,IF(DATOS_[[AGRUP. VALOR. PTO.]:[AGRUP. VALOR. PTO.]]=$B57,IF(DATOS_[[Check Periodo Ref.]:[Check Periodo Ref.]]="Dentro",IF(DATOS_[[Check Equiparado]:[Check Equiparado]]="Sí",IF(DATOS!BM$5="Sí",(1/DATOS_[[% anualiz]:[% anualiz]]),1)*IF(DATOS!BM$4="Sí",1/DATOS_[[% normaliz]:[% normaliz]],1)*(DATOS_[C.Extra.05])))))))),
0)</f>
        <v>0</v>
      </c>
      <c r="AU59" s="105">
        <f t="array" ref="AU59">IFERROR(
AVERAGE(IF(DATOS_[Sexo]=$B59,IF(DATOS_[[AGRUP. VALOR. PTO.]:[AGRUP. VALOR. PTO.]]=$B57,IF(DATOS_[Check Equiparado]="Sí",IF(DATOS_[Check Periodo Ref.]="Dentro",DATOS_[Tot Extrasalarial Eq],FALSE))))),
0)</f>
        <v>0</v>
      </c>
      <c r="AV59" s="106">
        <f t="array" ref="AV59">IFERROR(
AVERAGE(IF(DATOS_[Sexo]=$B59,IF(DATOS_[[AGRUP. VALOR. PTO.]:[AGRUP. VALOR. PTO.]]=$B57,IF(DATOS_[Check Equiparado]="Sí",IF(DATOS_[Check Periodo Ref.]="Dentro",DATOS_[TOTAL Retrib Eq],FALSE))))),
0)</f>
        <v>0</v>
      </c>
    </row>
    <row r="60" spans="1:48" ht="17.25" hidden="1" thickBot="1" x14ac:dyDescent="0.35">
      <c r="A60" s="53" t="str">
        <f t="shared" ref="A60" si="63">+A61</f>
        <v>[ocultar]</v>
      </c>
      <c r="B60" s="62" t="s">
        <v>275</v>
      </c>
      <c r="C60" s="99"/>
      <c r="D60" s="63"/>
      <c r="E60" s="63"/>
      <c r="F60" s="63"/>
      <c r="G60" s="63"/>
      <c r="H60" s="63"/>
      <c r="I60" s="129" t="str">
        <f t="shared" ref="I60:AV60" si="64">IFERROR((I61-I62)/I61,"")</f>
        <v/>
      </c>
      <c r="J60" s="130" t="str">
        <f t="shared" si="64"/>
        <v/>
      </c>
      <c r="K60" s="131" t="str">
        <f t="shared" si="64"/>
        <v/>
      </c>
      <c r="L60" s="131" t="str">
        <f t="shared" si="64"/>
        <v/>
      </c>
      <c r="M60" s="131" t="str">
        <f t="shared" si="64"/>
        <v/>
      </c>
      <c r="N60" s="132" t="str">
        <f t="shared" si="64"/>
        <v/>
      </c>
      <c r="O60" s="133" t="str">
        <f t="shared" si="64"/>
        <v/>
      </c>
      <c r="P60" s="133" t="str">
        <f t="shared" si="64"/>
        <v/>
      </c>
      <c r="Q60" s="133" t="str">
        <f t="shared" si="64"/>
        <v/>
      </c>
      <c r="R60" s="133" t="str">
        <f t="shared" si="64"/>
        <v/>
      </c>
      <c r="S60" s="133" t="str">
        <f t="shared" si="64"/>
        <v/>
      </c>
      <c r="T60" s="133" t="str">
        <f t="shared" si="64"/>
        <v/>
      </c>
      <c r="U60" s="133" t="str">
        <f t="shared" si="64"/>
        <v/>
      </c>
      <c r="V60" s="133" t="str">
        <f t="shared" si="64"/>
        <v/>
      </c>
      <c r="W60" s="133" t="str">
        <f t="shared" si="64"/>
        <v/>
      </c>
      <c r="X60" s="133" t="str">
        <f t="shared" si="64"/>
        <v/>
      </c>
      <c r="Y60" s="133" t="str">
        <f t="shared" si="64"/>
        <v/>
      </c>
      <c r="Z60" s="132" t="str">
        <f t="shared" si="64"/>
        <v/>
      </c>
      <c r="AA60" s="132" t="str">
        <f t="shared" si="64"/>
        <v/>
      </c>
      <c r="AB60" s="132" t="str">
        <f t="shared" si="64"/>
        <v/>
      </c>
      <c r="AC60" s="132" t="str">
        <f t="shared" si="64"/>
        <v/>
      </c>
      <c r="AD60" s="132" t="str">
        <f t="shared" si="64"/>
        <v/>
      </c>
      <c r="AE60" s="132" t="str">
        <f t="shared" si="64"/>
        <v/>
      </c>
      <c r="AF60" s="132" t="str">
        <f t="shared" si="64"/>
        <v/>
      </c>
      <c r="AG60" s="132" t="str">
        <f t="shared" si="64"/>
        <v/>
      </c>
      <c r="AH60" s="132" t="str">
        <f t="shared" si="64"/>
        <v/>
      </c>
      <c r="AI60" s="132" t="str">
        <f t="shared" si="64"/>
        <v/>
      </c>
      <c r="AJ60" s="132" t="str">
        <f t="shared" si="64"/>
        <v/>
      </c>
      <c r="AK60" s="132" t="str">
        <f t="shared" si="64"/>
        <v/>
      </c>
      <c r="AL60" s="132" t="str">
        <f t="shared" si="64"/>
        <v/>
      </c>
      <c r="AM60" s="132" t="str">
        <f t="shared" si="64"/>
        <v/>
      </c>
      <c r="AN60" s="134" t="str">
        <f t="shared" si="64"/>
        <v/>
      </c>
      <c r="AO60" s="138" t="str">
        <f t="shared" si="64"/>
        <v/>
      </c>
      <c r="AP60" s="135" t="str">
        <f t="shared" si="64"/>
        <v/>
      </c>
      <c r="AQ60" s="135" t="str">
        <f t="shared" si="64"/>
        <v/>
      </c>
      <c r="AR60" s="135" t="str">
        <f t="shared" si="64"/>
        <v/>
      </c>
      <c r="AS60" s="135" t="str">
        <f t="shared" si="64"/>
        <v/>
      </c>
      <c r="AT60" s="135" t="str">
        <f t="shared" si="64"/>
        <v/>
      </c>
      <c r="AU60" s="136" t="str">
        <f t="shared" si="64"/>
        <v/>
      </c>
      <c r="AV60" s="137" t="str">
        <f t="shared" si="64"/>
        <v/>
      </c>
    </row>
    <row r="61" spans="1:48" hidden="1" x14ac:dyDescent="0.3">
      <c r="A61" s="53" t="str">
        <f t="shared" ref="A61" si="65">+IF(C61+C62=0,"[ocultar]","")</f>
        <v>[ocultar]</v>
      </c>
      <c r="B61" s="57" t="s">
        <v>162</v>
      </c>
      <c r="C61" s="56">
        <f t="array" ref="C61">SUM(IF($B61=DATOS_[Sexo],
IF($B60=DATOS_[AGRUP. VALOR. PTO.],
IF("Dentro"=DATOS_[Check Periodo Ref.],
1/(COUNTIFS(DATOS_[Sexo],$B61,DATOS_[AGRUP. VALOR. PTO.],$B60,DATOS_[Check Periodo Ref.],"Dentro",DATOS_[id],DATOS_[id]))))))</f>
        <v>0</v>
      </c>
      <c r="D61" s="58">
        <f>COUNTIFS(DATOS_[AGRUP. VALOR. PTO.],$B60,DATOS_[Sexo],$B61,DATOS_[Check Periodo Ref.],"Dentro")</f>
        <v>0</v>
      </c>
      <c r="E61" s="58">
        <f>COUNTIFS(DATOS_[AGRUP. VALOR. PTO.],$B60,DATOS_[Sexo],$B61,DATOS_[Check Periodo Ref.],"Dentro",DATOS_[Check Nº SC Norm],"Sí")</f>
        <v>0</v>
      </c>
      <c r="F61" s="58">
        <f>COUNTIFS(DATOS_[AGRUP. VALOR. PTO.],$B60,DATOS_[Sexo],$B61,DATOS_[Check Periodo Ref.],"Dentro",DATOS_[Check Nº SC Anualiz],"Sí")</f>
        <v>0</v>
      </c>
      <c r="G61" s="58">
        <f>COUNTIFS(DATOS_[AGRUP. VALOR. PTO.],$B60,DATOS_[Sexo],$B61,DATOS_[Check Periodo Ref.],"Dentro",DATOS_[Check Nº SC Norm y Anualiz],"Sí")</f>
        <v>0</v>
      </c>
      <c r="H61" s="58">
        <f>COUNTIFS(DATOS_[AGRUP. VALOR. PTO.],$B60,DATOS_[Sexo],$B61,DATOS_[Check Periodo Ref.],"Dentro",DATOS_[Check Equiparación],"Sí")</f>
        <v>0</v>
      </c>
      <c r="I61" s="100">
        <f t="array" ref="I61">IFERROR(
AVERAGE(IF(DATOS_[Sexo]=$B61,IF(DATOS_[[AGRUP. VALOR. PTO.]:[AGRUP. VALOR. PTO.]]=$B60,IF(DATOS_[Check Equiparado]="Sí",IF(DATOS_[Check Periodo Ref.]="Dentro",DATOS_[SALARIO BASE Eq],FALSE))))),
0)</f>
        <v>0</v>
      </c>
      <c r="J61" s="101">
        <f t="array" ref="J61">IFERROR(
(AVERAGE((IF(DATOS_[[Sexo]:[Sexo]]=$B61,IF(DATOS_[[AGRUP. VALOR. PTO.]:[AGRUP. VALOR. PTO.]]=$B60,IF(DATOS_[[Check Periodo Ref.]:[Check Periodo Ref.]]="Dentro",IF(DATOS_[[Check Equiparado]:[Check Equiparado]]="Sí",IF(DATOS!AE$5="Sí",(1/DATOS_[[% anualiz]:[% anualiz]]),1)*IF(DATOS!AE$4="Sí",1/DATOS_[[% normaliz]:[% normaliz]],1)*(DATOS_[Conc.Sal.01])))))))),
0)</f>
        <v>0</v>
      </c>
      <c r="K61" s="101">
        <f t="array" ref="K61">IFERROR(
(AVERAGE((IF(DATOS_[[Sexo]:[Sexo]]=$B61,IF(DATOS_[[AGRUP. VALOR. PTO.]:[AGRUP. VALOR. PTO.]]=$B60,IF(DATOS_[[Check Periodo Ref.]:[Check Periodo Ref.]]="Dentro",IF(DATOS_[[Check Equiparado]:[Check Equiparado]]="Sí",IF(DATOS!AF$5="Sí",(1/DATOS_[[% anualiz]:[% anualiz]]),1)*IF(DATOS!AF$4="Sí",1/DATOS_[[% normaliz]:[% normaliz]],1)*(DATOS_[Conc.Sal.02])))))))),
0)</f>
        <v>0</v>
      </c>
      <c r="L61" s="101">
        <f t="array" ref="L61">IFERROR(
(AVERAGE((IF(DATOS_[[Sexo]:[Sexo]]=$B61,IF(DATOS_[[AGRUP. VALOR. PTO.]:[AGRUP. VALOR. PTO.]]=$B60,IF(DATOS_[[Check Periodo Ref.]:[Check Periodo Ref.]]="Dentro",IF(DATOS_[[Check Equiparado]:[Check Equiparado]]="Sí",IF(DATOS!AG$5="Sí",(1/DATOS_[[% anualiz]:[% anualiz]]),1)*IF(DATOS!AG$4="Sí",1/DATOS_[[% normaliz]:[% normaliz]],1)*(DATOS_[Conc.Sal.03])))))))),
0)</f>
        <v>0</v>
      </c>
      <c r="M61" s="101">
        <f t="array" ref="M61">IFERROR(
(AVERAGE((IF(DATOS_[[Sexo]:[Sexo]]=$B61,IF(DATOS_[[AGRUP. VALOR. PTO.]:[AGRUP. VALOR. PTO.]]=$B60,IF(DATOS_[[Check Periodo Ref.]:[Check Periodo Ref.]]="Dentro",IF(DATOS_[[Check Equiparado]:[Check Equiparado]]="Sí",IF(DATOS!AH$5="Sí",(1/DATOS_[[% anualiz]:[% anualiz]]),1)*IF(DATOS!AH$4="Sí",1/DATOS_[[% normaliz]:[% normaliz]],1)*(DATOS_[Conc.Sal.04])))))))),
0)</f>
        <v>0</v>
      </c>
      <c r="N61" s="101">
        <f t="array" ref="N61">IFERROR(
(AVERAGE((IF(DATOS_[[Sexo]:[Sexo]]=$B61,IF(DATOS_[[AGRUP. VALOR. PTO.]:[AGRUP. VALOR. PTO.]]=$B60,IF(DATOS_[[Check Periodo Ref.]:[Check Periodo Ref.]]="Dentro",IF(DATOS_[[Check Equiparado]:[Check Equiparado]]="Sí",IF(DATOS!AI$5="Sí",(1/DATOS_[[% anualiz]:[% anualiz]]),1)*IF(DATOS!AI$4="Sí",1/DATOS_[[% normaliz]:[% normaliz]],1)*(DATOS_[Conc.Sal.05])))))))),
0)</f>
        <v>0</v>
      </c>
      <c r="O61" s="101">
        <f t="array" ref="O61">IFERROR(
(AVERAGE((IF(DATOS_[[Sexo]:[Sexo]]=$B61,IF(DATOS_[[AGRUP. VALOR. PTO.]:[AGRUP. VALOR. PTO.]]=$B60,IF(DATOS_[[Check Periodo Ref.]:[Check Periodo Ref.]]="Dentro",IF(DATOS_[[Check Equiparado]:[Check Equiparado]]="Sí",IF(DATOS!AJ$5="Sí",(1/DATOS_[[% anualiz]:[% anualiz]]),1)*IF(DATOS!AJ$4="Sí",1/DATOS_[[% normaliz]:[% normaliz]],1)*(DATOS_[Conc.Sal.06])))))))),
0)</f>
        <v>0</v>
      </c>
      <c r="P61" s="101">
        <f t="array" ref="P61">IFERROR(
(AVERAGE((IF(DATOS_[[Sexo]:[Sexo]]=$B61,IF(DATOS_[[AGRUP. VALOR. PTO.]:[AGRUP. VALOR. PTO.]]=$B60,IF(DATOS_[[Check Periodo Ref.]:[Check Periodo Ref.]]="Dentro",IF(DATOS_[[Check Equiparado]:[Check Equiparado]]="Sí",IF(DATOS!AK$5="Sí",(1/DATOS_[[% anualiz]:[% anualiz]]),1)*IF(DATOS!AK$4="Sí",1/DATOS_[[% normaliz]:[% normaliz]],1)*(DATOS_[Conc.Sal.07])))))))),
0)</f>
        <v>0</v>
      </c>
      <c r="Q61" s="101">
        <f t="array" ref="Q61">IFERROR(
(AVERAGE((IF(DATOS_[[Sexo]:[Sexo]]=$B61,IF(DATOS_[[AGRUP. VALOR. PTO.]:[AGRUP. VALOR. PTO.]]=$B60,IF(DATOS_[[Check Periodo Ref.]:[Check Periodo Ref.]]="Dentro",IF(DATOS_[[Check Equiparado]:[Check Equiparado]]="Sí",IF(DATOS!AL$5="Sí",(1/DATOS_[[% anualiz]:[% anualiz]]),1)*IF(DATOS!AL$4="Sí",1/DATOS_[[% normaliz]:[% normaliz]],1)*(DATOS_[Conc.Sal.08])))))))),
0)</f>
        <v>0</v>
      </c>
      <c r="R61" s="101">
        <f t="array" ref="R61">IFERROR(
(AVERAGE((IF(DATOS_[[Sexo]:[Sexo]]=$B61,IF(DATOS_[[AGRUP. VALOR. PTO.]:[AGRUP. VALOR. PTO.]]=$B60,IF(DATOS_[[Check Periodo Ref.]:[Check Periodo Ref.]]="Dentro",IF(DATOS_[[Check Equiparado]:[Check Equiparado]]="Sí",IF(DATOS!AM$5="Sí",(1/DATOS_[[% anualiz]:[% anualiz]]),1)*IF(DATOS!AM$4="Sí",1/DATOS_[[% normaliz]:[% normaliz]],1)*(DATOS_[Conc.Sal.09])))))))),
0)</f>
        <v>0</v>
      </c>
      <c r="S61" s="101">
        <f t="array" ref="S61">IFERROR(
(AVERAGE((IF(DATOS_[[Sexo]:[Sexo]]=$B61,IF(DATOS_[[AGRUP. VALOR. PTO.]:[AGRUP. VALOR. PTO.]]=$B60,IF(DATOS_[[Check Periodo Ref.]:[Check Periodo Ref.]]="Dentro",IF(DATOS_[[Check Equiparado]:[Check Equiparado]]="Sí",IF(DATOS!AN$5="Sí",(1/DATOS_[[% anualiz]:[% anualiz]]),1)*IF(DATOS!AN$4="Sí",1/DATOS_[[% normaliz]:[% normaliz]],1)*(DATOS_[Conc.Sal.10])))))))),
0)</f>
        <v>0</v>
      </c>
      <c r="T61" s="101">
        <f t="array" ref="T61">IFERROR(
(AVERAGE((IF(DATOS_[[Sexo]:[Sexo]]=$B61,IF(DATOS_[[AGRUP. VALOR. PTO.]:[AGRUP. VALOR. PTO.]]=$B60,IF(DATOS_[[Check Periodo Ref.]:[Check Periodo Ref.]]="Dentro",IF(DATOS_[[Check Equiparado]:[Check Equiparado]]="Sí",IF(DATOS!AO$5="Sí",(1/DATOS_[[% anualiz]:[% anualiz]]),1)*IF(DATOS!AO$4="Sí",1/DATOS_[[% normaliz]:[% normaliz]],1)*(DATOS_[Conc.Sal.11])))))))),
0)</f>
        <v>0</v>
      </c>
      <c r="U61" s="101">
        <f t="array" ref="U61">IFERROR(
(AVERAGE((IF(DATOS_[[Sexo]:[Sexo]]=$B61,IF(DATOS_[[AGRUP. VALOR. PTO.]:[AGRUP. VALOR. PTO.]]=$B60,IF(DATOS_[[Check Periodo Ref.]:[Check Periodo Ref.]]="Dentro",IF(DATOS_[[Check Equiparado]:[Check Equiparado]]="Sí",IF(DATOS!AP$5="Sí",(1/DATOS_[[% anualiz]:[% anualiz]]),1)*IF(DATOS!AP$4="Sí",1/DATOS_[[% normaliz]:[% normaliz]],1)*(DATOS_[Conc.Sal.12])))))))),
0)</f>
        <v>0</v>
      </c>
      <c r="V61" s="101">
        <f t="array" ref="V61">IFERROR(
(AVERAGE((IF(DATOS_[[Sexo]:[Sexo]]=$B61,IF(DATOS_[[AGRUP. VALOR. PTO.]:[AGRUP. VALOR. PTO.]]=$B60,IF(DATOS_[[Check Periodo Ref.]:[Check Periodo Ref.]]="Dentro",IF(DATOS_[[Check Equiparado]:[Check Equiparado]]="Sí",IF(DATOS!AQ$5="Sí",(1/DATOS_[[% anualiz]:[% anualiz]]),1)*IF(DATOS!AQ$4="Sí",1/DATOS_[[% normaliz]:[% normaliz]],1)*(DATOS_[Conc.Sal.13])))))))),
0)</f>
        <v>0</v>
      </c>
      <c r="W61" s="101">
        <f t="array" ref="W61">IFERROR(
(AVERAGE((IF(DATOS_[[Sexo]:[Sexo]]=$B61,IF(DATOS_[[AGRUP. VALOR. PTO.]:[AGRUP. VALOR. PTO.]]=$B60,IF(DATOS_[[Check Periodo Ref.]:[Check Periodo Ref.]]="Dentro",IF(DATOS_[[Check Equiparado]:[Check Equiparado]]="Sí",IF(DATOS!AR$5="Sí",(1/DATOS_[[% anualiz]:[% anualiz]]),1)*IF(DATOS!AR$4="Sí",1/DATOS_[[% normaliz]:[% normaliz]],1)*(DATOS_[Conc.Sal.14])))))))),
0)</f>
        <v>0</v>
      </c>
      <c r="X61" s="101">
        <f t="array" ref="X61">IFERROR(
(AVERAGE((IF(DATOS_[[Sexo]:[Sexo]]=$B61,IF(DATOS_[[AGRUP. VALOR. PTO.]:[AGRUP. VALOR. PTO.]]=$B60,IF(DATOS_[[Check Periodo Ref.]:[Check Periodo Ref.]]="Dentro",IF(DATOS_[[Check Equiparado]:[Check Equiparado]]="Sí",IF(DATOS!AS$5="Sí",(1/DATOS_[[% anualiz]:[% anualiz]]),1)*IF(DATOS!AS$4="Sí",1/DATOS_[[% normaliz]:[% normaliz]],1)*(DATOS_[Conc.Sal.15])))))))),
0)</f>
        <v>0</v>
      </c>
      <c r="Y61" s="101">
        <f t="array" ref="Y61">IFERROR(
(AVERAGE((IF(DATOS_[[Sexo]:[Sexo]]=$B61,IF(DATOS_[[AGRUP. VALOR. PTO.]:[AGRUP. VALOR. PTO.]]=$B60,IF(DATOS_[[Check Periodo Ref.]:[Check Periodo Ref.]]="Dentro",IF(DATOS_[[Check Equiparado]:[Check Equiparado]]="Sí",IF(DATOS!AT$5="Sí",(1/DATOS_[[% anualiz]:[% anualiz]]),1)*IF(DATOS!AT$4="Sí",1/DATOS_[[% normaliz]:[% normaliz]],1)*(DATOS_[Conc.Sal.16])))))))),
0)</f>
        <v>0</v>
      </c>
      <c r="Z61" s="101">
        <f t="array" ref="Z61">IFERROR(
(AVERAGE((IF(DATOS_[[Sexo]:[Sexo]]=$B61,IF(DATOS_[[AGRUP. VALOR. PTO.]:[AGRUP. VALOR. PTO.]]=$B60,IF(DATOS_[[Check Periodo Ref.]:[Check Periodo Ref.]]="Dentro",IF(DATOS_[[Check Equiparado]:[Check Equiparado]]="Sí",IF(DATOS!AU$5="Sí",(1/DATOS_[[% anualiz]:[% anualiz]]),1)*IF(DATOS!AU$4="Sí",1/DATOS_[[% normaliz]:[% normaliz]],1)*(DATOS_[Conc.Sal.17])))))))),
0)</f>
        <v>0</v>
      </c>
      <c r="AA61" s="101">
        <f t="array" ref="AA61">IFERROR(
(AVERAGE((IF(DATOS_[[Sexo]:[Sexo]]=$B61,IF(DATOS_[[AGRUP. VALOR. PTO.]:[AGRUP. VALOR. PTO.]]=$B60,IF(DATOS_[[Check Periodo Ref.]:[Check Periodo Ref.]]="Dentro",IF(DATOS_[[Check Equiparado]:[Check Equiparado]]="Sí",IF(DATOS!AV$5="Sí",(1/DATOS_[[% anualiz]:[% anualiz]]),1)*IF(DATOS!AV$4="Sí",1/DATOS_[[% normaliz]:[% normaliz]],1)*(DATOS_[Conc.Sal.18])))))))),
0)</f>
        <v>0</v>
      </c>
      <c r="AB61" s="101">
        <f t="array" ref="AB61">IFERROR(
(AVERAGE((IF(DATOS_[[Sexo]:[Sexo]]=$B61,IF(DATOS_[[AGRUP. VALOR. PTO.]:[AGRUP. VALOR. PTO.]]=$B60,IF(DATOS_[[Check Periodo Ref.]:[Check Periodo Ref.]]="Dentro",IF(DATOS_[[Check Equiparado]:[Check Equiparado]]="Sí",IF(DATOS!AW$5="Sí",(1/DATOS_[[% anualiz]:[% anualiz]]),1)*IF(DATOS!AW$4="Sí",1/DATOS_[[% normaliz]:[% normaliz]],1)*(DATOS_[Conc.Sal.19])))))))),
0)</f>
        <v>0</v>
      </c>
      <c r="AC61" s="101">
        <f t="array" ref="AC61">IFERROR(
(AVERAGE((IF(DATOS_[[Sexo]:[Sexo]]=$B61,IF(DATOS_[[AGRUP. VALOR. PTO.]:[AGRUP. VALOR. PTO.]]=$B60,IF(DATOS_[[Check Periodo Ref.]:[Check Periodo Ref.]]="Dentro",IF(DATOS_[[Check Equiparado]:[Check Equiparado]]="Sí",IF(DATOS!AX$5="Sí",(1/DATOS_[[% anualiz]:[% anualiz]]),1)*IF(DATOS!AX$4="Sí",1/DATOS_[[% normaliz]:[% normaliz]],1)*(DATOS_[Conc.Sal.20])))))))),
0)</f>
        <v>0</v>
      </c>
      <c r="AD61" s="101">
        <f t="array" ref="AD61">IFERROR(
(AVERAGE((IF(DATOS_[[Sexo]:[Sexo]]=$B61,IF(DATOS_[[AGRUP. VALOR. PTO.]:[AGRUP. VALOR. PTO.]]=$B60,IF(DATOS_[[Check Periodo Ref.]:[Check Periodo Ref.]]="Dentro",IF(DATOS_[[Check Equiparado]:[Check Equiparado]]="Sí",IF(DATOS!AY$5="Sí",(1/DATOS_[[% anualiz]:[% anualiz]]),1)*IF(DATOS!AY$4="Sí",1/DATOS_[[% normaliz]:[% normaliz]],1)*(DATOS_[Conc.Sal.21])))))))),
0)</f>
        <v>0</v>
      </c>
      <c r="AE61" s="101">
        <f t="array" ref="AE61">IFERROR(
(AVERAGE((IF(DATOS_[[Sexo]:[Sexo]]=$B61,IF(DATOS_[[AGRUP. VALOR. PTO.]:[AGRUP. VALOR. PTO.]]=$B60,IF(DATOS_[[Check Periodo Ref.]:[Check Periodo Ref.]]="Dentro",IF(DATOS_[[Check Equiparado]:[Check Equiparado]]="Sí",IF(DATOS!AZ$5="Sí",(1/DATOS_[[% anualiz]:[% anualiz]]),1)*IF(DATOS!AZ$4="Sí",1/DATOS_[[% normaliz]:[% normaliz]],1)*(DATOS_[Conc.Sal.22])))))))),
0)</f>
        <v>0</v>
      </c>
      <c r="AF61" s="101">
        <f t="array" ref="AF61">IFERROR(
(AVERAGE((IF(DATOS_[[Sexo]:[Sexo]]=$B61,IF(DATOS_[[AGRUP. VALOR. PTO.]:[AGRUP. VALOR. PTO.]]=$B60,IF(DATOS_[[Check Periodo Ref.]:[Check Periodo Ref.]]="Dentro",IF(DATOS_[[Check Equiparado]:[Check Equiparado]]="Sí",IF(DATOS!BA$5="Sí",(1/DATOS_[[% anualiz]:[% anualiz]]),1)*IF(DATOS!BA$4="Sí",1/DATOS_[[% normaliz]:[% normaliz]],1)*(DATOS_[Conc.Sal.23])))))))),
0)</f>
        <v>0</v>
      </c>
      <c r="AG61" s="101">
        <f t="array" ref="AG61">IFERROR(
(AVERAGE((IF(DATOS_[[Sexo]:[Sexo]]=$B61,IF(DATOS_[[AGRUP. VALOR. PTO.]:[AGRUP. VALOR. PTO.]]=$B60,IF(DATOS_[[Check Periodo Ref.]:[Check Periodo Ref.]]="Dentro",IF(DATOS_[[Check Equiparado]:[Check Equiparado]]="Sí",IF(DATOS!BB$5="Sí",(1/DATOS_[[% anualiz]:[% anualiz]]),1)*IF(DATOS!BB$4="Sí",1/DATOS_[[% normaliz]:[% normaliz]],1)*(DATOS_[Conc.Sal.24])))))))),
0)</f>
        <v>0</v>
      </c>
      <c r="AH61" s="101">
        <f t="array" ref="AH61">IFERROR(
(AVERAGE((IF(DATOS_[[Sexo]:[Sexo]]=$B61,IF(DATOS_[[AGRUP. VALOR. PTO.]:[AGRUP. VALOR. PTO.]]=$B60,IF(DATOS_[[Check Periodo Ref.]:[Check Periodo Ref.]]="Dentro",IF(DATOS_[[Check Equiparado]:[Check Equiparado]]="Sí",IF(DATOS!BC$5="Sí",(1/DATOS_[[% anualiz]:[% anualiz]]),1)*IF(DATOS!BC$4="Sí",1/DATOS_[[% normaliz]:[% normaliz]],1)*(DATOS_[Conc.Sal.25])))))))),
0)</f>
        <v>0</v>
      </c>
      <c r="AI61" s="101">
        <f t="array" ref="AI61">IFERROR(
(AVERAGE((IF(DATOS_[[Sexo]:[Sexo]]=$B61,IF(DATOS_[[AGRUP. VALOR. PTO.]:[AGRUP. VALOR. PTO.]]=$B60,IF(DATOS_[[Check Periodo Ref.]:[Check Periodo Ref.]]="Dentro",IF(DATOS_[[Check Equiparado]:[Check Equiparado]]="Sí",IF(DATOS!BD$5="Sí",(1/DATOS_[[% anualiz]:[% anualiz]]),1)*IF(DATOS!BD$4="Sí",1/DATOS_[[% normaliz]:[% normaliz]],1)*(DATOS_[Conc.Sal.26])))))))),
0)</f>
        <v>0</v>
      </c>
      <c r="AJ61" s="101">
        <f t="array" ref="AJ61">IFERROR(
(AVERAGE((IF(DATOS_[[Sexo]:[Sexo]]=$B61,IF(DATOS_[[AGRUP. VALOR. PTO.]:[AGRUP. VALOR. PTO.]]=$B60,IF(DATOS_[[Check Periodo Ref.]:[Check Periodo Ref.]]="Dentro",IF(DATOS_[[Check Equiparado]:[Check Equiparado]]="Sí",IF(DATOS!BE$5="Sí",(1/DATOS_[[% anualiz]:[% anualiz]]),1)*IF(DATOS!BE$4="Sí",1/DATOS_[[% normaliz]:[% normaliz]],1)*(DATOS_[Conc.Sal.27])))))))),
0)</f>
        <v>0</v>
      </c>
      <c r="AK61" s="101">
        <f t="array" ref="AK61">IFERROR(
(AVERAGE((IF(DATOS_[[Sexo]:[Sexo]]=$B61,IF(DATOS_[[AGRUP. VALOR. PTO.]:[AGRUP. VALOR. PTO.]]=$B60,IF(DATOS_[[Check Periodo Ref.]:[Check Periodo Ref.]]="Dentro",IF(DATOS_[[Check Equiparado]:[Check Equiparado]]="Sí",IF(DATOS!BF$5="Sí",(1/DATOS_[[% anualiz]:[% anualiz]]),1)*IF(DATOS!BF$4="Sí",1/DATOS_[[% normaliz]:[% normaliz]],1)*(DATOS_[Conc.Sal.28])))))))),
0)</f>
        <v>0</v>
      </c>
      <c r="AL61" s="101">
        <f t="array" ref="AL61">IFERROR(
(AVERAGE((IF(DATOS_[[Sexo]:[Sexo]]=$B61,IF(DATOS_[[AGRUP. VALOR. PTO.]:[AGRUP. VALOR. PTO.]]=$B60,IF(DATOS_[[Check Periodo Ref.]:[Check Periodo Ref.]]="Dentro",IF(DATOS_[[Check Equiparado]:[Check Equiparado]]="Sí",IF(DATOS!BG$5="Sí",(1/DATOS_[[% anualiz]:[% anualiz]]),1)*IF(DATOS!BG$4="Sí",1/DATOS_[[% normaliz]:[% normaliz]],1)*(DATOS_[Conc.Sal.29])))))))),
0)</f>
        <v>0</v>
      </c>
      <c r="AM61" s="101">
        <f t="array" ref="AM61">IFERROR(
(AVERAGE((IF(DATOS_[[Sexo]:[Sexo]]=$B61,IF(DATOS_[[AGRUP. VALOR. PTO.]:[AGRUP. VALOR. PTO.]]=$B60,IF(DATOS_[[Check Periodo Ref.]:[Check Periodo Ref.]]="Dentro",IF(DATOS_[[Check Equiparado]:[Check Equiparado]]="Sí",IF(DATOS!BH$5="Sí",(1/DATOS_[[% anualiz]:[% anualiz]]),1)*IF(DATOS!BH$4="Sí",1/DATOS_[[% normaliz]:[% normaliz]],1)*(DATOS_[Conc.Sal.30])))))))),
0)</f>
        <v>0</v>
      </c>
      <c r="AN61" s="102">
        <f t="array" ref="AN61">IFERROR(
AVERAGE(IF(DATOS_[Sexo]=$B61,IF(DATOS_[[AGRUP. VALOR. PTO.]:[AGRUP. VALOR. PTO.]]=$B60,IF(DATOS_[Check Equiparado]="Sí",IF(DATOS_[Check Periodo Ref.]="Dentro",DATOS_[Tot COMPL.SAL Eq],FALSE))))),
0)</f>
        <v>0</v>
      </c>
      <c r="AO61" s="103">
        <f t="array" ref="AO61">IFERROR(
AVERAGE(IF(DATOS_[Sexo]=$B61,IF(DATOS_[[AGRUP. VALOR. PTO.]:[AGRUP. VALOR. PTO.]]=$B60,IF(DATOS_[Check Equiparado]="Sí",IF(DATOS_[Check Periodo Ref.]="Dentro",DATOS_[TOTAL SALARIO Eq],FALSE))))),
0)</f>
        <v>0</v>
      </c>
      <c r="AP61" s="104">
        <f t="array" ref="AP61">IFERROR(
(AVERAGE((IF(DATOS_[[Sexo]:[Sexo]]=$B61,IF(DATOS_[[AGRUP. VALOR. PTO.]:[AGRUP. VALOR. PTO.]]=$B60,IF(DATOS_[[Check Periodo Ref.]:[Check Periodo Ref.]]="Dentro",IF(DATOS_[[Check Equiparado]:[Check Equiparado]]="Sí",IF(DATOS!BI$5="Sí",(1/DATOS_[[% anualiz]:[% anualiz]]),1)*IF(DATOS!BI$4="Sí",1/DATOS_[[% normaliz]:[% normaliz]],1)*(DATOS_[C.Extra.01])))))))),
0)</f>
        <v>0</v>
      </c>
      <c r="AQ61" s="104">
        <f t="array" ref="AQ61">IFERROR(
(AVERAGE((IF(DATOS_[[Sexo]:[Sexo]]=$B61,IF(DATOS_[[AGRUP. VALOR. PTO.]:[AGRUP. VALOR. PTO.]]=$B60,IF(DATOS_[[Check Periodo Ref.]:[Check Periodo Ref.]]="Dentro",IF(DATOS_[[Check Equiparado]:[Check Equiparado]]="Sí",IF(DATOS!BJ$5="Sí",(1/DATOS_[[% anualiz]:[% anualiz]]),1)*IF(DATOS!BJ$4="Sí",1/DATOS_[[% normaliz]:[% normaliz]],1)*(DATOS_[C.Extra.02])))))))),
0)</f>
        <v>0</v>
      </c>
      <c r="AR61" s="104">
        <f t="array" ref="AR61">IFERROR(
(AVERAGE((IF(DATOS_[[Sexo]:[Sexo]]=$B61,IF(DATOS_[[AGRUP. VALOR. PTO.]:[AGRUP. VALOR. PTO.]]=$B60,IF(DATOS_[[Check Periodo Ref.]:[Check Periodo Ref.]]="Dentro",IF(DATOS_[[Check Equiparado]:[Check Equiparado]]="Sí",IF(DATOS!BK$5="Sí",(1/DATOS_[[% anualiz]:[% anualiz]]),1)*IF(DATOS!BK$4="Sí",1/DATOS_[[% normaliz]:[% normaliz]],1)*(DATOS_[C.Extra.03])))))))),
0)</f>
        <v>0</v>
      </c>
      <c r="AS61" s="104">
        <f t="array" ref="AS61">IFERROR(
(AVERAGE((IF(DATOS_[[Sexo]:[Sexo]]=$B61,IF(DATOS_[[AGRUP. VALOR. PTO.]:[AGRUP. VALOR. PTO.]]=$B60,IF(DATOS_[[Check Periodo Ref.]:[Check Periodo Ref.]]="Dentro",IF(DATOS_[[Check Equiparado]:[Check Equiparado]]="Sí",IF(DATOS!BL$5="Sí",(1/DATOS_[[% anualiz]:[% anualiz]]),1)*IF(DATOS!BL$4="Sí",1/DATOS_[[% normaliz]:[% normaliz]],1)*(DATOS_[C.Extra.04])))))))),
0)</f>
        <v>0</v>
      </c>
      <c r="AT61" s="104">
        <f t="array" ref="AT61">IFERROR(
(AVERAGE((IF(DATOS_[[Sexo]:[Sexo]]=$B61,IF(DATOS_[[AGRUP. VALOR. PTO.]:[AGRUP. VALOR. PTO.]]=$B60,IF(DATOS_[[Check Periodo Ref.]:[Check Periodo Ref.]]="Dentro",IF(DATOS_[[Check Equiparado]:[Check Equiparado]]="Sí",IF(DATOS!BM$5="Sí",(1/DATOS_[[% anualiz]:[% anualiz]]),1)*IF(DATOS!BM$4="Sí",1/DATOS_[[% normaliz]:[% normaliz]],1)*(DATOS_[C.Extra.05])))))))),
0)</f>
        <v>0</v>
      </c>
      <c r="AU61" s="105">
        <f t="array" ref="AU61">IFERROR(
AVERAGE(IF(DATOS_[Sexo]=$B61,IF(DATOS_[[AGRUP. VALOR. PTO.]:[AGRUP. VALOR. PTO.]]=$B60,IF(DATOS_[Check Equiparado]="Sí",IF(DATOS_[Check Periodo Ref.]="Dentro",DATOS_[Tot Extrasalarial Eq],FALSE))))),
0)</f>
        <v>0</v>
      </c>
      <c r="AV61" s="106">
        <f t="array" ref="AV61">IFERROR(
AVERAGE(IF(DATOS_[Sexo]=$B61,IF(DATOS_[[AGRUP. VALOR. PTO.]:[AGRUP. VALOR. PTO.]]=$B60,IF(DATOS_[Check Equiparado]="Sí",IF(DATOS_[Check Periodo Ref.]="Dentro",DATOS_[TOTAL Retrib Eq],FALSE))))),
0)</f>
        <v>0</v>
      </c>
    </row>
    <row r="62" spans="1:48" hidden="1" x14ac:dyDescent="0.3">
      <c r="A62" s="53" t="str">
        <f t="shared" ref="A62" si="66">+A61</f>
        <v>[ocultar]</v>
      </c>
      <c r="B62" s="57" t="s">
        <v>163</v>
      </c>
      <c r="C62" s="56">
        <f t="array" ref="C62">SUM(IF($B62=DATOS_[Sexo],
IF($B60=DATOS_[AGRUP. VALOR. PTO.],
IF("Dentro"=DATOS_[Check Periodo Ref.],
1/(COUNTIFS(DATOS_[Sexo],$B62,DATOS_[AGRUP. VALOR. PTO.],$B60,DATOS_[Check Periodo Ref.],"Dentro",DATOS_[id],DATOS_[id]))))))</f>
        <v>0</v>
      </c>
      <c r="D62" s="58">
        <f>COUNTIFS(DATOS_[AGRUP. VALOR. PTO.],$B60,DATOS_[Sexo],$B62,DATOS_[Check Periodo Ref.],"Dentro")</f>
        <v>0</v>
      </c>
      <c r="E62" s="58">
        <f>COUNTIFS(DATOS_[AGRUP. VALOR. PTO.],$B60,DATOS_[Sexo],$B62,DATOS_[Check Periodo Ref.],"Dentro",DATOS_[Check Nº SC Norm],"Sí")</f>
        <v>0</v>
      </c>
      <c r="F62" s="58">
        <f>COUNTIFS(DATOS_[AGRUP. VALOR. PTO.],$B60,DATOS_[Sexo],$B62,DATOS_[Check Periodo Ref.],"Dentro",DATOS_[Check Nº SC Anualiz],"Sí")</f>
        <v>0</v>
      </c>
      <c r="G62" s="58">
        <f>COUNTIFS(DATOS_[AGRUP. VALOR. PTO.],$B60,DATOS_[Sexo],$B62,DATOS_[Check Periodo Ref.],"Dentro",DATOS_[Check Nº SC Norm y Anualiz],"Sí")</f>
        <v>0</v>
      </c>
      <c r="H62" s="58">
        <f>COUNTIFS(DATOS_[AGRUP. VALOR. PTO.],$B60,DATOS_[Sexo],$B62,DATOS_[Check Periodo Ref.],"Dentro",DATOS_[Check Equiparación],"Sí")</f>
        <v>0</v>
      </c>
      <c r="I62" s="100" cm="1">
        <f t="array" ref="I62">IFERROR(
AVERAGE(IF(DATOS_[Sexo]=$B62,IF(DATOS_[[AGRUP. VALOR. PTO.]:[AGRUP. VALOR. PTO.]]=$B60,IF(DATOS_[Check Equiparado]="Sí",IF(DATOS_[Check Periodo Ref.]="Dentro",DATOS_[SALARIO BASE Eq],FALSE))))),
0)</f>
        <v>0</v>
      </c>
      <c r="J62" s="101">
        <f t="array" ref="J62">IFERROR(
(AVERAGE((IF(DATOS_[[Sexo]:[Sexo]]=$B62,IF(DATOS_[[AGRUP. VALOR. PTO.]:[AGRUP. VALOR. PTO.]]=$B60,IF(DATOS_[[Check Periodo Ref.]:[Check Periodo Ref.]]="Dentro",IF(DATOS_[[Check Equiparado]:[Check Equiparado]]="Sí",IF(DATOS!AE$5="Sí",(1/DATOS_[[% anualiz]:[% anualiz]]),1)*IF(DATOS!AE$4="Sí",1/DATOS_[[% normaliz]:[% normaliz]],1)*(DATOS_[Conc.Sal.01])))))))),
0)</f>
        <v>0</v>
      </c>
      <c r="K62" s="101">
        <f t="array" ref="K62">IFERROR(
(AVERAGE((IF(DATOS_[[Sexo]:[Sexo]]=$B62,IF(DATOS_[[AGRUP. VALOR. PTO.]:[AGRUP. VALOR. PTO.]]=$B60,IF(DATOS_[[Check Periodo Ref.]:[Check Periodo Ref.]]="Dentro",IF(DATOS_[[Check Equiparado]:[Check Equiparado]]="Sí",IF(DATOS!AF$5="Sí",(1/DATOS_[[% anualiz]:[% anualiz]]),1)*IF(DATOS!AF$4="Sí",1/DATOS_[[% normaliz]:[% normaliz]],1)*(DATOS_[Conc.Sal.02])))))))),
0)</f>
        <v>0</v>
      </c>
      <c r="L62" s="101">
        <f t="array" ref="L62">IFERROR(
(AVERAGE((IF(DATOS_[[Sexo]:[Sexo]]=$B62,IF(DATOS_[[AGRUP. VALOR. PTO.]:[AGRUP. VALOR. PTO.]]=$B60,IF(DATOS_[[Check Periodo Ref.]:[Check Periodo Ref.]]="Dentro",IF(DATOS_[[Check Equiparado]:[Check Equiparado]]="Sí",IF(DATOS!AG$5="Sí",(1/DATOS_[[% anualiz]:[% anualiz]]),1)*IF(DATOS!AG$4="Sí",1/DATOS_[[% normaliz]:[% normaliz]],1)*(DATOS_[Conc.Sal.03])))))))),
0)</f>
        <v>0</v>
      </c>
      <c r="M62" s="101">
        <f t="array" ref="M62">IFERROR(
(AVERAGE((IF(DATOS_[[Sexo]:[Sexo]]=$B62,IF(DATOS_[[AGRUP. VALOR. PTO.]:[AGRUP. VALOR. PTO.]]=$B60,IF(DATOS_[[Check Periodo Ref.]:[Check Periodo Ref.]]="Dentro",IF(DATOS_[[Check Equiparado]:[Check Equiparado]]="Sí",IF(DATOS!AH$5="Sí",(1/DATOS_[[% anualiz]:[% anualiz]]),1)*IF(DATOS!AH$4="Sí",1/DATOS_[[% normaliz]:[% normaliz]],1)*(DATOS_[Conc.Sal.04])))))))),
0)</f>
        <v>0</v>
      </c>
      <c r="N62" s="101">
        <f t="array" ref="N62">IFERROR(
(AVERAGE((IF(DATOS_[[Sexo]:[Sexo]]=$B62,IF(DATOS_[[AGRUP. VALOR. PTO.]:[AGRUP. VALOR. PTO.]]=$B60,IF(DATOS_[[Check Periodo Ref.]:[Check Periodo Ref.]]="Dentro",IF(DATOS_[[Check Equiparado]:[Check Equiparado]]="Sí",IF(DATOS!AI$5="Sí",(1/DATOS_[[% anualiz]:[% anualiz]]),1)*IF(DATOS!AI$4="Sí",1/DATOS_[[% normaliz]:[% normaliz]],1)*(DATOS_[Conc.Sal.05])))))))),
0)</f>
        <v>0</v>
      </c>
      <c r="O62" s="101">
        <f t="array" ref="O62">IFERROR(
(AVERAGE((IF(DATOS_[[Sexo]:[Sexo]]=$B62,IF(DATOS_[[AGRUP. VALOR. PTO.]:[AGRUP. VALOR. PTO.]]=$B60,IF(DATOS_[[Check Periodo Ref.]:[Check Periodo Ref.]]="Dentro",IF(DATOS_[[Check Equiparado]:[Check Equiparado]]="Sí",IF(DATOS!AJ$5="Sí",(1/DATOS_[[% anualiz]:[% anualiz]]),1)*IF(DATOS!AJ$4="Sí",1/DATOS_[[% normaliz]:[% normaliz]],1)*(DATOS_[Conc.Sal.06])))))))),
0)</f>
        <v>0</v>
      </c>
      <c r="P62" s="101">
        <f t="array" ref="P62">IFERROR(
(AVERAGE((IF(DATOS_[[Sexo]:[Sexo]]=$B62,IF(DATOS_[[AGRUP. VALOR. PTO.]:[AGRUP. VALOR. PTO.]]=$B60,IF(DATOS_[[Check Periodo Ref.]:[Check Periodo Ref.]]="Dentro",IF(DATOS_[[Check Equiparado]:[Check Equiparado]]="Sí",IF(DATOS!AK$5="Sí",(1/DATOS_[[% anualiz]:[% anualiz]]),1)*IF(DATOS!AK$4="Sí",1/DATOS_[[% normaliz]:[% normaliz]],1)*(DATOS_[Conc.Sal.07])))))))),
0)</f>
        <v>0</v>
      </c>
      <c r="Q62" s="101">
        <f t="array" ref="Q62">IFERROR(
(AVERAGE((IF(DATOS_[[Sexo]:[Sexo]]=$B62,IF(DATOS_[[AGRUP. VALOR. PTO.]:[AGRUP. VALOR. PTO.]]=$B60,IF(DATOS_[[Check Periodo Ref.]:[Check Periodo Ref.]]="Dentro",IF(DATOS_[[Check Equiparado]:[Check Equiparado]]="Sí",IF(DATOS!AL$5="Sí",(1/DATOS_[[% anualiz]:[% anualiz]]),1)*IF(DATOS!AL$4="Sí",1/DATOS_[[% normaliz]:[% normaliz]],1)*(DATOS_[Conc.Sal.08])))))))),
0)</f>
        <v>0</v>
      </c>
      <c r="R62" s="101">
        <f t="array" ref="R62">IFERROR(
(AVERAGE((IF(DATOS_[[Sexo]:[Sexo]]=$B62,IF(DATOS_[[AGRUP. VALOR. PTO.]:[AGRUP. VALOR. PTO.]]=$B60,IF(DATOS_[[Check Periodo Ref.]:[Check Periodo Ref.]]="Dentro",IF(DATOS_[[Check Equiparado]:[Check Equiparado]]="Sí",IF(DATOS!AM$5="Sí",(1/DATOS_[[% anualiz]:[% anualiz]]),1)*IF(DATOS!AM$4="Sí",1/DATOS_[[% normaliz]:[% normaliz]],1)*(DATOS_[Conc.Sal.09])))))))),
0)</f>
        <v>0</v>
      </c>
      <c r="S62" s="101">
        <f t="array" ref="S62">IFERROR(
(AVERAGE((IF(DATOS_[[Sexo]:[Sexo]]=$B62,IF(DATOS_[[AGRUP. VALOR. PTO.]:[AGRUP. VALOR. PTO.]]=$B60,IF(DATOS_[[Check Periodo Ref.]:[Check Periodo Ref.]]="Dentro",IF(DATOS_[[Check Equiparado]:[Check Equiparado]]="Sí",IF(DATOS!AN$5="Sí",(1/DATOS_[[% anualiz]:[% anualiz]]),1)*IF(DATOS!AN$4="Sí",1/DATOS_[[% normaliz]:[% normaliz]],1)*(DATOS_[Conc.Sal.10])))))))),
0)</f>
        <v>0</v>
      </c>
      <c r="T62" s="101">
        <f t="array" ref="T62">IFERROR(
(AVERAGE((IF(DATOS_[[Sexo]:[Sexo]]=$B62,IF(DATOS_[[AGRUP. VALOR. PTO.]:[AGRUP. VALOR. PTO.]]=$B60,IF(DATOS_[[Check Periodo Ref.]:[Check Periodo Ref.]]="Dentro",IF(DATOS_[[Check Equiparado]:[Check Equiparado]]="Sí",IF(DATOS!AO$5="Sí",(1/DATOS_[[% anualiz]:[% anualiz]]),1)*IF(DATOS!AO$4="Sí",1/DATOS_[[% normaliz]:[% normaliz]],1)*(DATOS_[Conc.Sal.11])))))))),
0)</f>
        <v>0</v>
      </c>
      <c r="U62" s="101">
        <f t="array" ref="U62">IFERROR(
(AVERAGE((IF(DATOS_[[Sexo]:[Sexo]]=$B62,IF(DATOS_[[AGRUP. VALOR. PTO.]:[AGRUP. VALOR. PTO.]]=$B60,IF(DATOS_[[Check Periodo Ref.]:[Check Periodo Ref.]]="Dentro",IF(DATOS_[[Check Equiparado]:[Check Equiparado]]="Sí",IF(DATOS!AP$5="Sí",(1/DATOS_[[% anualiz]:[% anualiz]]),1)*IF(DATOS!AP$4="Sí",1/DATOS_[[% normaliz]:[% normaliz]],1)*(DATOS_[Conc.Sal.12])))))))),
0)</f>
        <v>0</v>
      </c>
      <c r="V62" s="101">
        <f t="array" ref="V62">IFERROR(
(AVERAGE((IF(DATOS_[[Sexo]:[Sexo]]=$B62,IF(DATOS_[[AGRUP. VALOR. PTO.]:[AGRUP. VALOR. PTO.]]=$B60,IF(DATOS_[[Check Periodo Ref.]:[Check Periodo Ref.]]="Dentro",IF(DATOS_[[Check Equiparado]:[Check Equiparado]]="Sí",IF(DATOS!AQ$5="Sí",(1/DATOS_[[% anualiz]:[% anualiz]]),1)*IF(DATOS!AQ$4="Sí",1/DATOS_[[% normaliz]:[% normaliz]],1)*(DATOS_[Conc.Sal.13])))))))),
0)</f>
        <v>0</v>
      </c>
      <c r="W62" s="101">
        <f t="array" ref="W62">IFERROR(
(AVERAGE((IF(DATOS_[[Sexo]:[Sexo]]=$B62,IF(DATOS_[[AGRUP. VALOR. PTO.]:[AGRUP. VALOR. PTO.]]=$B60,IF(DATOS_[[Check Periodo Ref.]:[Check Periodo Ref.]]="Dentro",IF(DATOS_[[Check Equiparado]:[Check Equiparado]]="Sí",IF(DATOS!AR$5="Sí",(1/DATOS_[[% anualiz]:[% anualiz]]),1)*IF(DATOS!AR$4="Sí",1/DATOS_[[% normaliz]:[% normaliz]],1)*(DATOS_[Conc.Sal.14])))))))),
0)</f>
        <v>0</v>
      </c>
      <c r="X62" s="101">
        <f t="array" ref="X62">IFERROR(
(AVERAGE((IF(DATOS_[[Sexo]:[Sexo]]=$B62,IF(DATOS_[[AGRUP. VALOR. PTO.]:[AGRUP. VALOR. PTO.]]=$B60,IF(DATOS_[[Check Periodo Ref.]:[Check Periodo Ref.]]="Dentro",IF(DATOS_[[Check Equiparado]:[Check Equiparado]]="Sí",IF(DATOS!AS$5="Sí",(1/DATOS_[[% anualiz]:[% anualiz]]),1)*IF(DATOS!AS$4="Sí",1/DATOS_[[% normaliz]:[% normaliz]],1)*(DATOS_[Conc.Sal.15])))))))),
0)</f>
        <v>0</v>
      </c>
      <c r="Y62" s="101">
        <f t="array" ref="Y62">IFERROR(
(AVERAGE((IF(DATOS_[[Sexo]:[Sexo]]=$B62,IF(DATOS_[[AGRUP. VALOR. PTO.]:[AGRUP. VALOR. PTO.]]=$B60,IF(DATOS_[[Check Periodo Ref.]:[Check Periodo Ref.]]="Dentro",IF(DATOS_[[Check Equiparado]:[Check Equiparado]]="Sí",IF(DATOS!AT$5="Sí",(1/DATOS_[[% anualiz]:[% anualiz]]),1)*IF(DATOS!AT$4="Sí",1/DATOS_[[% normaliz]:[% normaliz]],1)*(DATOS_[Conc.Sal.16])))))))),
0)</f>
        <v>0</v>
      </c>
      <c r="Z62" s="101">
        <f t="array" ref="Z62">IFERROR(
(AVERAGE((IF(DATOS_[[Sexo]:[Sexo]]=$B62,IF(DATOS_[[AGRUP. VALOR. PTO.]:[AGRUP. VALOR. PTO.]]=$B60,IF(DATOS_[[Check Periodo Ref.]:[Check Periodo Ref.]]="Dentro",IF(DATOS_[[Check Equiparado]:[Check Equiparado]]="Sí",IF(DATOS!AU$5="Sí",(1/DATOS_[[% anualiz]:[% anualiz]]),1)*IF(DATOS!AU$4="Sí",1/DATOS_[[% normaliz]:[% normaliz]],1)*(DATOS_[Conc.Sal.17])))))))),
0)</f>
        <v>0</v>
      </c>
      <c r="AA62" s="101">
        <f t="array" ref="AA62">IFERROR(
(AVERAGE((IF(DATOS_[[Sexo]:[Sexo]]=$B62,IF(DATOS_[[AGRUP. VALOR. PTO.]:[AGRUP. VALOR. PTO.]]=$B60,IF(DATOS_[[Check Periodo Ref.]:[Check Periodo Ref.]]="Dentro",IF(DATOS_[[Check Equiparado]:[Check Equiparado]]="Sí",IF(DATOS!AV$5="Sí",(1/DATOS_[[% anualiz]:[% anualiz]]),1)*IF(DATOS!AV$4="Sí",1/DATOS_[[% normaliz]:[% normaliz]],1)*(DATOS_[Conc.Sal.18])))))))),
0)</f>
        <v>0</v>
      </c>
      <c r="AB62" s="101">
        <f t="array" ref="AB62">IFERROR(
(AVERAGE((IF(DATOS_[[Sexo]:[Sexo]]=$B62,IF(DATOS_[[AGRUP. VALOR. PTO.]:[AGRUP. VALOR. PTO.]]=$B60,IF(DATOS_[[Check Periodo Ref.]:[Check Periodo Ref.]]="Dentro",IF(DATOS_[[Check Equiparado]:[Check Equiparado]]="Sí",IF(DATOS!AW$5="Sí",(1/DATOS_[[% anualiz]:[% anualiz]]),1)*IF(DATOS!AW$4="Sí",1/DATOS_[[% normaliz]:[% normaliz]],1)*(DATOS_[Conc.Sal.19])))))))),
0)</f>
        <v>0</v>
      </c>
      <c r="AC62" s="101">
        <f t="array" ref="AC62">IFERROR(
(AVERAGE((IF(DATOS_[[Sexo]:[Sexo]]=$B62,IF(DATOS_[[AGRUP. VALOR. PTO.]:[AGRUP. VALOR. PTO.]]=$B60,IF(DATOS_[[Check Periodo Ref.]:[Check Periodo Ref.]]="Dentro",IF(DATOS_[[Check Equiparado]:[Check Equiparado]]="Sí",IF(DATOS!AX$5="Sí",(1/DATOS_[[% anualiz]:[% anualiz]]),1)*IF(DATOS!AX$4="Sí",1/DATOS_[[% normaliz]:[% normaliz]],1)*(DATOS_[Conc.Sal.20])))))))),
0)</f>
        <v>0</v>
      </c>
      <c r="AD62" s="101">
        <f t="array" ref="AD62">IFERROR(
(AVERAGE((IF(DATOS_[[Sexo]:[Sexo]]=$B62,IF(DATOS_[[AGRUP. VALOR. PTO.]:[AGRUP. VALOR. PTO.]]=$B60,IF(DATOS_[[Check Periodo Ref.]:[Check Periodo Ref.]]="Dentro",IF(DATOS_[[Check Equiparado]:[Check Equiparado]]="Sí",IF(DATOS!AY$5="Sí",(1/DATOS_[[% anualiz]:[% anualiz]]),1)*IF(DATOS!AY$4="Sí",1/DATOS_[[% normaliz]:[% normaliz]],1)*(DATOS_[Conc.Sal.21])))))))),
0)</f>
        <v>0</v>
      </c>
      <c r="AE62" s="101">
        <f t="array" ref="AE62">IFERROR(
(AVERAGE((IF(DATOS_[[Sexo]:[Sexo]]=$B62,IF(DATOS_[[AGRUP. VALOR. PTO.]:[AGRUP. VALOR. PTO.]]=$B60,IF(DATOS_[[Check Periodo Ref.]:[Check Periodo Ref.]]="Dentro",IF(DATOS_[[Check Equiparado]:[Check Equiparado]]="Sí",IF(DATOS!AZ$5="Sí",(1/DATOS_[[% anualiz]:[% anualiz]]),1)*IF(DATOS!AZ$4="Sí",1/DATOS_[[% normaliz]:[% normaliz]],1)*(DATOS_[Conc.Sal.22])))))))),
0)</f>
        <v>0</v>
      </c>
      <c r="AF62" s="101">
        <f t="array" ref="AF62">IFERROR(
(AVERAGE((IF(DATOS_[[Sexo]:[Sexo]]=$B62,IF(DATOS_[[AGRUP. VALOR. PTO.]:[AGRUP. VALOR. PTO.]]=$B60,IF(DATOS_[[Check Periodo Ref.]:[Check Periodo Ref.]]="Dentro",IF(DATOS_[[Check Equiparado]:[Check Equiparado]]="Sí",IF(DATOS!BA$5="Sí",(1/DATOS_[[% anualiz]:[% anualiz]]),1)*IF(DATOS!BA$4="Sí",1/DATOS_[[% normaliz]:[% normaliz]],1)*(DATOS_[Conc.Sal.23])))))))),
0)</f>
        <v>0</v>
      </c>
      <c r="AG62" s="101">
        <f t="array" ref="AG62">IFERROR(
(AVERAGE((IF(DATOS_[[Sexo]:[Sexo]]=$B62,IF(DATOS_[[AGRUP. VALOR. PTO.]:[AGRUP. VALOR. PTO.]]=$B60,IF(DATOS_[[Check Periodo Ref.]:[Check Periodo Ref.]]="Dentro",IF(DATOS_[[Check Equiparado]:[Check Equiparado]]="Sí",IF(DATOS!BB$5="Sí",(1/DATOS_[[% anualiz]:[% anualiz]]),1)*IF(DATOS!BB$4="Sí",1/DATOS_[[% normaliz]:[% normaliz]],1)*(DATOS_[Conc.Sal.24])))))))),
0)</f>
        <v>0</v>
      </c>
      <c r="AH62" s="101">
        <f t="array" ref="AH62">IFERROR(
(AVERAGE((IF(DATOS_[[Sexo]:[Sexo]]=$B62,IF(DATOS_[[AGRUP. VALOR. PTO.]:[AGRUP. VALOR. PTO.]]=$B60,IF(DATOS_[[Check Periodo Ref.]:[Check Periodo Ref.]]="Dentro",IF(DATOS_[[Check Equiparado]:[Check Equiparado]]="Sí",IF(DATOS!BC$5="Sí",(1/DATOS_[[% anualiz]:[% anualiz]]),1)*IF(DATOS!BC$4="Sí",1/DATOS_[[% normaliz]:[% normaliz]],1)*(DATOS_[Conc.Sal.25])))))))),
0)</f>
        <v>0</v>
      </c>
      <c r="AI62" s="101">
        <f t="array" ref="AI62">IFERROR(
(AVERAGE((IF(DATOS_[[Sexo]:[Sexo]]=$B62,IF(DATOS_[[AGRUP. VALOR. PTO.]:[AGRUP. VALOR. PTO.]]=$B60,IF(DATOS_[[Check Periodo Ref.]:[Check Periodo Ref.]]="Dentro",IF(DATOS_[[Check Equiparado]:[Check Equiparado]]="Sí",IF(DATOS!BD$5="Sí",(1/DATOS_[[% anualiz]:[% anualiz]]),1)*IF(DATOS!BD$4="Sí",1/DATOS_[[% normaliz]:[% normaliz]],1)*(DATOS_[Conc.Sal.26])))))))),
0)</f>
        <v>0</v>
      </c>
      <c r="AJ62" s="101">
        <f t="array" ref="AJ62">IFERROR(
(AVERAGE((IF(DATOS_[[Sexo]:[Sexo]]=$B62,IF(DATOS_[[AGRUP. VALOR. PTO.]:[AGRUP. VALOR. PTO.]]=$B60,IF(DATOS_[[Check Periodo Ref.]:[Check Periodo Ref.]]="Dentro",IF(DATOS_[[Check Equiparado]:[Check Equiparado]]="Sí",IF(DATOS!BE$5="Sí",(1/DATOS_[[% anualiz]:[% anualiz]]),1)*IF(DATOS!BE$4="Sí",1/DATOS_[[% normaliz]:[% normaliz]],1)*(DATOS_[Conc.Sal.27])))))))),
0)</f>
        <v>0</v>
      </c>
      <c r="AK62" s="101">
        <f t="array" ref="AK62">IFERROR(
(AVERAGE((IF(DATOS_[[Sexo]:[Sexo]]=$B62,IF(DATOS_[[AGRUP. VALOR. PTO.]:[AGRUP. VALOR. PTO.]]=$B60,IF(DATOS_[[Check Periodo Ref.]:[Check Periodo Ref.]]="Dentro",IF(DATOS_[[Check Equiparado]:[Check Equiparado]]="Sí",IF(DATOS!BF$5="Sí",(1/DATOS_[[% anualiz]:[% anualiz]]),1)*IF(DATOS!BF$4="Sí",1/DATOS_[[% normaliz]:[% normaliz]],1)*(DATOS_[Conc.Sal.28])))))))),
0)</f>
        <v>0</v>
      </c>
      <c r="AL62" s="101">
        <f t="array" ref="AL62">IFERROR(
(AVERAGE((IF(DATOS_[[Sexo]:[Sexo]]=$B62,IF(DATOS_[[AGRUP. VALOR. PTO.]:[AGRUP. VALOR. PTO.]]=$B60,IF(DATOS_[[Check Periodo Ref.]:[Check Periodo Ref.]]="Dentro",IF(DATOS_[[Check Equiparado]:[Check Equiparado]]="Sí",IF(DATOS!BG$5="Sí",(1/DATOS_[[% anualiz]:[% anualiz]]),1)*IF(DATOS!BG$4="Sí",1/DATOS_[[% normaliz]:[% normaliz]],1)*(DATOS_[Conc.Sal.29])))))))),
0)</f>
        <v>0</v>
      </c>
      <c r="AM62" s="101">
        <f t="array" ref="AM62">IFERROR(
(AVERAGE((IF(DATOS_[[Sexo]:[Sexo]]=$B62,IF(DATOS_[[AGRUP. VALOR. PTO.]:[AGRUP. VALOR. PTO.]]=$B60,IF(DATOS_[[Check Periodo Ref.]:[Check Periodo Ref.]]="Dentro",IF(DATOS_[[Check Equiparado]:[Check Equiparado]]="Sí",IF(DATOS!BH$5="Sí",(1/DATOS_[[% anualiz]:[% anualiz]]),1)*IF(DATOS!BH$4="Sí",1/DATOS_[[% normaliz]:[% normaliz]],1)*(DATOS_[Conc.Sal.30])))))))),
0)</f>
        <v>0</v>
      </c>
      <c r="AN62" s="102">
        <f t="array" ref="AN62">IFERROR(
AVERAGE(IF(DATOS_[Sexo]=$B62,IF(DATOS_[[AGRUP. VALOR. PTO.]:[AGRUP. VALOR. PTO.]]=$B60,IF(DATOS_[Check Equiparado]="Sí",IF(DATOS_[Check Periodo Ref.]="Dentro",DATOS_[Tot COMPL.SAL Eq],FALSE))))),
0)</f>
        <v>0</v>
      </c>
      <c r="AO62" s="103">
        <f t="array" ref="AO62">IFERROR(
AVERAGE(IF(DATOS_[Sexo]=$B62,IF(DATOS_[[AGRUP. VALOR. PTO.]:[AGRUP. VALOR. PTO.]]=$B60,IF(DATOS_[Check Equiparado]="Sí",IF(DATOS_[Check Periodo Ref.]="Dentro",DATOS_[TOTAL SALARIO Eq],FALSE))))),
0)</f>
        <v>0</v>
      </c>
      <c r="AP62" s="104">
        <f t="array" ref="AP62">IFERROR(
(AVERAGE((IF(DATOS_[[Sexo]:[Sexo]]=$B62,IF(DATOS_[[AGRUP. VALOR. PTO.]:[AGRUP. VALOR. PTO.]]=$B60,IF(DATOS_[[Check Periodo Ref.]:[Check Periodo Ref.]]="Dentro",IF(DATOS_[[Check Equiparado]:[Check Equiparado]]="Sí",IF(DATOS!BI$5="Sí",(1/DATOS_[[% anualiz]:[% anualiz]]),1)*IF(DATOS!BI$4="Sí",1/DATOS_[[% normaliz]:[% normaliz]],1)*(DATOS_[C.Extra.01])))))))),
0)</f>
        <v>0</v>
      </c>
      <c r="AQ62" s="104">
        <f t="array" ref="AQ62">IFERROR(
(AVERAGE((IF(DATOS_[[Sexo]:[Sexo]]=$B62,IF(DATOS_[[AGRUP. VALOR. PTO.]:[AGRUP. VALOR. PTO.]]=$B60,IF(DATOS_[[Check Periodo Ref.]:[Check Periodo Ref.]]="Dentro",IF(DATOS_[[Check Equiparado]:[Check Equiparado]]="Sí",IF(DATOS!BJ$5="Sí",(1/DATOS_[[% anualiz]:[% anualiz]]),1)*IF(DATOS!BJ$4="Sí",1/DATOS_[[% normaliz]:[% normaliz]],1)*(DATOS_[C.Extra.02])))))))),
0)</f>
        <v>0</v>
      </c>
      <c r="AR62" s="104">
        <f t="array" ref="AR62">IFERROR(
(AVERAGE((IF(DATOS_[[Sexo]:[Sexo]]=$B62,IF(DATOS_[[AGRUP. VALOR. PTO.]:[AGRUP. VALOR. PTO.]]=$B60,IF(DATOS_[[Check Periodo Ref.]:[Check Periodo Ref.]]="Dentro",IF(DATOS_[[Check Equiparado]:[Check Equiparado]]="Sí",IF(DATOS!BK$5="Sí",(1/DATOS_[[% anualiz]:[% anualiz]]),1)*IF(DATOS!BK$4="Sí",1/DATOS_[[% normaliz]:[% normaliz]],1)*(DATOS_[C.Extra.03])))))))),
0)</f>
        <v>0</v>
      </c>
      <c r="AS62" s="104">
        <f t="array" ref="AS62">IFERROR(
(AVERAGE((IF(DATOS_[[Sexo]:[Sexo]]=$B62,IF(DATOS_[[AGRUP. VALOR. PTO.]:[AGRUP. VALOR. PTO.]]=$B60,IF(DATOS_[[Check Periodo Ref.]:[Check Periodo Ref.]]="Dentro",IF(DATOS_[[Check Equiparado]:[Check Equiparado]]="Sí",IF(DATOS!BL$5="Sí",(1/DATOS_[[% anualiz]:[% anualiz]]),1)*IF(DATOS!BL$4="Sí",1/DATOS_[[% normaliz]:[% normaliz]],1)*(DATOS_[C.Extra.04])))))))),
0)</f>
        <v>0</v>
      </c>
      <c r="AT62" s="104">
        <f t="array" ref="AT62">IFERROR(
(AVERAGE((IF(DATOS_[[Sexo]:[Sexo]]=$B62,IF(DATOS_[[AGRUP. VALOR. PTO.]:[AGRUP. VALOR. PTO.]]=$B60,IF(DATOS_[[Check Periodo Ref.]:[Check Periodo Ref.]]="Dentro",IF(DATOS_[[Check Equiparado]:[Check Equiparado]]="Sí",IF(DATOS!BM$5="Sí",(1/DATOS_[[% anualiz]:[% anualiz]]),1)*IF(DATOS!BM$4="Sí",1/DATOS_[[% normaliz]:[% normaliz]],1)*(DATOS_[C.Extra.05])))))))),
0)</f>
        <v>0</v>
      </c>
      <c r="AU62" s="105">
        <f t="array" ref="AU62">IFERROR(
AVERAGE(IF(DATOS_[Sexo]=$B62,IF(DATOS_[[AGRUP. VALOR. PTO.]:[AGRUP. VALOR. PTO.]]=$B60,IF(DATOS_[Check Equiparado]="Sí",IF(DATOS_[Check Periodo Ref.]="Dentro",DATOS_[Tot Extrasalarial Eq],FALSE))))),
0)</f>
        <v>0</v>
      </c>
      <c r="AV62" s="106">
        <f t="array" ref="AV62">IFERROR(
AVERAGE(IF(DATOS_[Sexo]=$B62,IF(DATOS_[[AGRUP. VALOR. PTO.]:[AGRUP. VALOR. PTO.]]=$B60,IF(DATOS_[Check Equiparado]="Sí",IF(DATOS_[Check Periodo Ref.]="Dentro",DATOS_[TOTAL Retrib Eq],FALSE))))),
0)</f>
        <v>0</v>
      </c>
    </row>
    <row r="63" spans="1:48" ht="17.25" hidden="1" thickBot="1" x14ac:dyDescent="0.35">
      <c r="A63" s="53" t="str">
        <f t="shared" ref="A63" si="67">+A64</f>
        <v>[ocultar]</v>
      </c>
      <c r="B63" s="62" t="s">
        <v>276</v>
      </c>
      <c r="C63" s="99"/>
      <c r="D63" s="63"/>
      <c r="E63" s="63"/>
      <c r="F63" s="63"/>
      <c r="G63" s="63"/>
      <c r="H63" s="63"/>
      <c r="I63" s="129" t="str">
        <f t="shared" ref="I63:AV63" si="68">IFERROR((I64-I65)/I64,"")</f>
        <v/>
      </c>
      <c r="J63" s="130" t="str">
        <f t="shared" si="68"/>
        <v/>
      </c>
      <c r="K63" s="131" t="str">
        <f t="shared" si="68"/>
        <v/>
      </c>
      <c r="L63" s="131" t="str">
        <f t="shared" si="68"/>
        <v/>
      </c>
      <c r="M63" s="131" t="str">
        <f t="shared" si="68"/>
        <v/>
      </c>
      <c r="N63" s="132" t="str">
        <f t="shared" si="68"/>
        <v/>
      </c>
      <c r="O63" s="133" t="str">
        <f t="shared" si="68"/>
        <v/>
      </c>
      <c r="P63" s="133" t="str">
        <f t="shared" si="68"/>
        <v/>
      </c>
      <c r="Q63" s="133" t="str">
        <f t="shared" si="68"/>
        <v/>
      </c>
      <c r="R63" s="133" t="str">
        <f t="shared" si="68"/>
        <v/>
      </c>
      <c r="S63" s="133" t="str">
        <f t="shared" si="68"/>
        <v/>
      </c>
      <c r="T63" s="133" t="str">
        <f t="shared" si="68"/>
        <v/>
      </c>
      <c r="U63" s="133" t="str">
        <f t="shared" si="68"/>
        <v/>
      </c>
      <c r="V63" s="133" t="str">
        <f t="shared" si="68"/>
        <v/>
      </c>
      <c r="W63" s="133" t="str">
        <f t="shared" si="68"/>
        <v/>
      </c>
      <c r="X63" s="133" t="str">
        <f t="shared" si="68"/>
        <v/>
      </c>
      <c r="Y63" s="133" t="str">
        <f t="shared" si="68"/>
        <v/>
      </c>
      <c r="Z63" s="132" t="str">
        <f t="shared" si="68"/>
        <v/>
      </c>
      <c r="AA63" s="132" t="str">
        <f t="shared" si="68"/>
        <v/>
      </c>
      <c r="AB63" s="132" t="str">
        <f t="shared" si="68"/>
        <v/>
      </c>
      <c r="AC63" s="132" t="str">
        <f t="shared" si="68"/>
        <v/>
      </c>
      <c r="AD63" s="132" t="str">
        <f t="shared" si="68"/>
        <v/>
      </c>
      <c r="AE63" s="132" t="str">
        <f t="shared" si="68"/>
        <v/>
      </c>
      <c r="AF63" s="132" t="str">
        <f t="shared" si="68"/>
        <v/>
      </c>
      <c r="AG63" s="132" t="str">
        <f t="shared" si="68"/>
        <v/>
      </c>
      <c r="AH63" s="132" t="str">
        <f t="shared" si="68"/>
        <v/>
      </c>
      <c r="AI63" s="132" t="str">
        <f t="shared" si="68"/>
        <v/>
      </c>
      <c r="AJ63" s="132" t="str">
        <f t="shared" si="68"/>
        <v/>
      </c>
      <c r="AK63" s="132" t="str">
        <f t="shared" si="68"/>
        <v/>
      </c>
      <c r="AL63" s="132" t="str">
        <f t="shared" si="68"/>
        <v/>
      </c>
      <c r="AM63" s="132" t="str">
        <f t="shared" si="68"/>
        <v/>
      </c>
      <c r="AN63" s="134" t="str">
        <f t="shared" si="68"/>
        <v/>
      </c>
      <c r="AO63" s="138" t="str">
        <f t="shared" si="68"/>
        <v/>
      </c>
      <c r="AP63" s="135" t="str">
        <f t="shared" si="68"/>
        <v/>
      </c>
      <c r="AQ63" s="135" t="str">
        <f t="shared" si="68"/>
        <v/>
      </c>
      <c r="AR63" s="135" t="str">
        <f t="shared" si="68"/>
        <v/>
      </c>
      <c r="AS63" s="135" t="str">
        <f t="shared" si="68"/>
        <v/>
      </c>
      <c r="AT63" s="135" t="str">
        <f t="shared" si="68"/>
        <v/>
      </c>
      <c r="AU63" s="136" t="str">
        <f t="shared" si="68"/>
        <v/>
      </c>
      <c r="AV63" s="137" t="str">
        <f t="shared" si="68"/>
        <v/>
      </c>
    </row>
    <row r="64" spans="1:48" hidden="1" x14ac:dyDescent="0.3">
      <c r="A64" s="53" t="str">
        <f t="shared" ref="A64" si="69">+IF(C64+C65=0,"[ocultar]","")</f>
        <v>[ocultar]</v>
      </c>
      <c r="B64" s="57" t="s">
        <v>162</v>
      </c>
      <c r="C64" s="56">
        <f t="array" ref="C64">SUM(IF($B64=DATOS_[Sexo],
IF($B63=DATOS_[AGRUP. VALOR. PTO.],
IF("Dentro"=DATOS_[Check Periodo Ref.],
1/(COUNTIFS(DATOS_[Sexo],$B64,DATOS_[AGRUP. VALOR. PTO.],$B63,DATOS_[Check Periodo Ref.],"Dentro",DATOS_[id],DATOS_[id]))))))</f>
        <v>0</v>
      </c>
      <c r="D64" s="58">
        <f>COUNTIFS(DATOS_[AGRUP. VALOR. PTO.],$B63,DATOS_[Sexo],$B64,DATOS_[Check Periodo Ref.],"Dentro")</f>
        <v>0</v>
      </c>
      <c r="E64" s="58">
        <f>COUNTIFS(DATOS_[AGRUP. VALOR. PTO.],$B63,DATOS_[Sexo],$B64,DATOS_[Check Periodo Ref.],"Dentro",DATOS_[Check Nº SC Norm],"Sí")</f>
        <v>0</v>
      </c>
      <c r="F64" s="58">
        <f>COUNTIFS(DATOS_[AGRUP. VALOR. PTO.],$B63,DATOS_[Sexo],$B64,DATOS_[Check Periodo Ref.],"Dentro",DATOS_[Check Nº SC Anualiz],"Sí")</f>
        <v>0</v>
      </c>
      <c r="G64" s="58">
        <f>COUNTIFS(DATOS_[AGRUP. VALOR. PTO.],$B63,DATOS_[Sexo],$B64,DATOS_[Check Periodo Ref.],"Dentro",DATOS_[Check Nº SC Norm y Anualiz],"Sí")</f>
        <v>0</v>
      </c>
      <c r="H64" s="58">
        <f>COUNTIFS(DATOS_[AGRUP. VALOR. PTO.],$B63,DATOS_[Sexo],$B64,DATOS_[Check Periodo Ref.],"Dentro",DATOS_[Check Equiparación],"Sí")</f>
        <v>0</v>
      </c>
      <c r="I64" s="100">
        <f t="array" ref="I64">IFERROR(
AVERAGE(IF(DATOS_[Sexo]=$B64,IF(DATOS_[[AGRUP. VALOR. PTO.]:[AGRUP. VALOR. PTO.]]=$B63,IF(DATOS_[Check Equiparado]="Sí",IF(DATOS_[Check Periodo Ref.]="Dentro",DATOS_[SALARIO BASE Eq],FALSE))))),
0)</f>
        <v>0</v>
      </c>
      <c r="J64" s="101">
        <f t="array" ref="J64">IFERROR(
(AVERAGE((IF(DATOS_[[Sexo]:[Sexo]]=$B64,IF(DATOS_[[AGRUP. VALOR. PTO.]:[AGRUP. VALOR. PTO.]]=$B63,IF(DATOS_[[Check Periodo Ref.]:[Check Periodo Ref.]]="Dentro",IF(DATOS_[[Check Equiparado]:[Check Equiparado]]="Sí",IF(DATOS!AE$5="Sí",(1/DATOS_[[% anualiz]:[% anualiz]]),1)*IF(DATOS!AE$4="Sí",1/DATOS_[[% normaliz]:[% normaliz]],1)*(DATOS_[Conc.Sal.01])))))))),
0)</f>
        <v>0</v>
      </c>
      <c r="K64" s="101">
        <f t="array" ref="K64">IFERROR(
(AVERAGE((IF(DATOS_[[Sexo]:[Sexo]]=$B64,IF(DATOS_[[AGRUP. VALOR. PTO.]:[AGRUP. VALOR. PTO.]]=$B63,IF(DATOS_[[Check Periodo Ref.]:[Check Periodo Ref.]]="Dentro",IF(DATOS_[[Check Equiparado]:[Check Equiparado]]="Sí",IF(DATOS!AF$5="Sí",(1/DATOS_[[% anualiz]:[% anualiz]]),1)*IF(DATOS!AF$4="Sí",1/DATOS_[[% normaliz]:[% normaliz]],1)*(DATOS_[Conc.Sal.02])))))))),
0)</f>
        <v>0</v>
      </c>
      <c r="L64" s="101">
        <f t="array" ref="L64">IFERROR(
(AVERAGE((IF(DATOS_[[Sexo]:[Sexo]]=$B64,IF(DATOS_[[AGRUP. VALOR. PTO.]:[AGRUP. VALOR. PTO.]]=$B63,IF(DATOS_[[Check Periodo Ref.]:[Check Periodo Ref.]]="Dentro",IF(DATOS_[[Check Equiparado]:[Check Equiparado]]="Sí",IF(DATOS!AG$5="Sí",(1/DATOS_[[% anualiz]:[% anualiz]]),1)*IF(DATOS!AG$4="Sí",1/DATOS_[[% normaliz]:[% normaliz]],1)*(DATOS_[Conc.Sal.03])))))))),
0)</f>
        <v>0</v>
      </c>
      <c r="M64" s="101">
        <f t="array" ref="M64">IFERROR(
(AVERAGE((IF(DATOS_[[Sexo]:[Sexo]]=$B64,IF(DATOS_[[AGRUP. VALOR. PTO.]:[AGRUP. VALOR. PTO.]]=$B63,IF(DATOS_[[Check Periodo Ref.]:[Check Periodo Ref.]]="Dentro",IF(DATOS_[[Check Equiparado]:[Check Equiparado]]="Sí",IF(DATOS!AH$5="Sí",(1/DATOS_[[% anualiz]:[% anualiz]]),1)*IF(DATOS!AH$4="Sí",1/DATOS_[[% normaliz]:[% normaliz]],1)*(DATOS_[Conc.Sal.04])))))))),
0)</f>
        <v>0</v>
      </c>
      <c r="N64" s="101">
        <f t="array" ref="N64">IFERROR(
(AVERAGE((IF(DATOS_[[Sexo]:[Sexo]]=$B64,IF(DATOS_[[AGRUP. VALOR. PTO.]:[AGRUP. VALOR. PTO.]]=$B63,IF(DATOS_[[Check Periodo Ref.]:[Check Periodo Ref.]]="Dentro",IF(DATOS_[[Check Equiparado]:[Check Equiparado]]="Sí",IF(DATOS!AI$5="Sí",(1/DATOS_[[% anualiz]:[% anualiz]]),1)*IF(DATOS!AI$4="Sí",1/DATOS_[[% normaliz]:[% normaliz]],1)*(DATOS_[Conc.Sal.05])))))))),
0)</f>
        <v>0</v>
      </c>
      <c r="O64" s="101">
        <f t="array" ref="O64">IFERROR(
(AVERAGE((IF(DATOS_[[Sexo]:[Sexo]]=$B64,IF(DATOS_[[AGRUP. VALOR. PTO.]:[AGRUP. VALOR. PTO.]]=$B63,IF(DATOS_[[Check Periodo Ref.]:[Check Periodo Ref.]]="Dentro",IF(DATOS_[[Check Equiparado]:[Check Equiparado]]="Sí",IF(DATOS!AJ$5="Sí",(1/DATOS_[[% anualiz]:[% anualiz]]),1)*IF(DATOS!AJ$4="Sí",1/DATOS_[[% normaliz]:[% normaliz]],1)*(DATOS_[Conc.Sal.06])))))))),
0)</f>
        <v>0</v>
      </c>
      <c r="P64" s="101">
        <f t="array" ref="P64">IFERROR(
(AVERAGE((IF(DATOS_[[Sexo]:[Sexo]]=$B64,IF(DATOS_[[AGRUP. VALOR. PTO.]:[AGRUP. VALOR. PTO.]]=$B63,IF(DATOS_[[Check Periodo Ref.]:[Check Periodo Ref.]]="Dentro",IF(DATOS_[[Check Equiparado]:[Check Equiparado]]="Sí",IF(DATOS!AK$5="Sí",(1/DATOS_[[% anualiz]:[% anualiz]]),1)*IF(DATOS!AK$4="Sí",1/DATOS_[[% normaliz]:[% normaliz]],1)*(DATOS_[Conc.Sal.07])))))))),
0)</f>
        <v>0</v>
      </c>
      <c r="Q64" s="101">
        <f t="array" ref="Q64">IFERROR(
(AVERAGE((IF(DATOS_[[Sexo]:[Sexo]]=$B64,IF(DATOS_[[AGRUP. VALOR. PTO.]:[AGRUP. VALOR. PTO.]]=$B63,IF(DATOS_[[Check Periodo Ref.]:[Check Periodo Ref.]]="Dentro",IF(DATOS_[[Check Equiparado]:[Check Equiparado]]="Sí",IF(DATOS!AL$5="Sí",(1/DATOS_[[% anualiz]:[% anualiz]]),1)*IF(DATOS!AL$4="Sí",1/DATOS_[[% normaliz]:[% normaliz]],1)*(DATOS_[Conc.Sal.08])))))))),
0)</f>
        <v>0</v>
      </c>
      <c r="R64" s="101">
        <f t="array" ref="R64">IFERROR(
(AVERAGE((IF(DATOS_[[Sexo]:[Sexo]]=$B64,IF(DATOS_[[AGRUP. VALOR. PTO.]:[AGRUP. VALOR. PTO.]]=$B63,IF(DATOS_[[Check Periodo Ref.]:[Check Periodo Ref.]]="Dentro",IF(DATOS_[[Check Equiparado]:[Check Equiparado]]="Sí",IF(DATOS!AM$5="Sí",(1/DATOS_[[% anualiz]:[% anualiz]]),1)*IF(DATOS!AM$4="Sí",1/DATOS_[[% normaliz]:[% normaliz]],1)*(DATOS_[Conc.Sal.09])))))))),
0)</f>
        <v>0</v>
      </c>
      <c r="S64" s="101">
        <f t="array" ref="S64">IFERROR(
(AVERAGE((IF(DATOS_[[Sexo]:[Sexo]]=$B64,IF(DATOS_[[AGRUP. VALOR. PTO.]:[AGRUP. VALOR. PTO.]]=$B63,IF(DATOS_[[Check Periodo Ref.]:[Check Periodo Ref.]]="Dentro",IF(DATOS_[[Check Equiparado]:[Check Equiparado]]="Sí",IF(DATOS!AN$5="Sí",(1/DATOS_[[% anualiz]:[% anualiz]]),1)*IF(DATOS!AN$4="Sí",1/DATOS_[[% normaliz]:[% normaliz]],1)*(DATOS_[Conc.Sal.10])))))))),
0)</f>
        <v>0</v>
      </c>
      <c r="T64" s="101">
        <f t="array" ref="T64">IFERROR(
(AVERAGE((IF(DATOS_[[Sexo]:[Sexo]]=$B64,IF(DATOS_[[AGRUP. VALOR. PTO.]:[AGRUP. VALOR. PTO.]]=$B63,IF(DATOS_[[Check Periodo Ref.]:[Check Periodo Ref.]]="Dentro",IF(DATOS_[[Check Equiparado]:[Check Equiparado]]="Sí",IF(DATOS!AO$5="Sí",(1/DATOS_[[% anualiz]:[% anualiz]]),1)*IF(DATOS!AO$4="Sí",1/DATOS_[[% normaliz]:[% normaliz]],1)*(DATOS_[Conc.Sal.11])))))))),
0)</f>
        <v>0</v>
      </c>
      <c r="U64" s="101">
        <f t="array" ref="U64">IFERROR(
(AVERAGE((IF(DATOS_[[Sexo]:[Sexo]]=$B64,IF(DATOS_[[AGRUP. VALOR. PTO.]:[AGRUP. VALOR. PTO.]]=$B63,IF(DATOS_[[Check Periodo Ref.]:[Check Periodo Ref.]]="Dentro",IF(DATOS_[[Check Equiparado]:[Check Equiparado]]="Sí",IF(DATOS!AP$5="Sí",(1/DATOS_[[% anualiz]:[% anualiz]]),1)*IF(DATOS!AP$4="Sí",1/DATOS_[[% normaliz]:[% normaliz]],1)*(DATOS_[Conc.Sal.12])))))))),
0)</f>
        <v>0</v>
      </c>
      <c r="V64" s="101">
        <f t="array" ref="V64">IFERROR(
(AVERAGE((IF(DATOS_[[Sexo]:[Sexo]]=$B64,IF(DATOS_[[AGRUP. VALOR. PTO.]:[AGRUP. VALOR. PTO.]]=$B63,IF(DATOS_[[Check Periodo Ref.]:[Check Periodo Ref.]]="Dentro",IF(DATOS_[[Check Equiparado]:[Check Equiparado]]="Sí",IF(DATOS!AQ$5="Sí",(1/DATOS_[[% anualiz]:[% anualiz]]),1)*IF(DATOS!AQ$4="Sí",1/DATOS_[[% normaliz]:[% normaliz]],1)*(DATOS_[Conc.Sal.13])))))))),
0)</f>
        <v>0</v>
      </c>
      <c r="W64" s="101">
        <f t="array" ref="W64">IFERROR(
(AVERAGE((IF(DATOS_[[Sexo]:[Sexo]]=$B64,IF(DATOS_[[AGRUP. VALOR. PTO.]:[AGRUP. VALOR. PTO.]]=$B63,IF(DATOS_[[Check Periodo Ref.]:[Check Periodo Ref.]]="Dentro",IF(DATOS_[[Check Equiparado]:[Check Equiparado]]="Sí",IF(DATOS!AR$5="Sí",(1/DATOS_[[% anualiz]:[% anualiz]]),1)*IF(DATOS!AR$4="Sí",1/DATOS_[[% normaliz]:[% normaliz]],1)*(DATOS_[Conc.Sal.14])))))))),
0)</f>
        <v>0</v>
      </c>
      <c r="X64" s="101">
        <f t="array" ref="X64">IFERROR(
(AVERAGE((IF(DATOS_[[Sexo]:[Sexo]]=$B64,IF(DATOS_[[AGRUP. VALOR. PTO.]:[AGRUP. VALOR. PTO.]]=$B63,IF(DATOS_[[Check Periodo Ref.]:[Check Periodo Ref.]]="Dentro",IF(DATOS_[[Check Equiparado]:[Check Equiparado]]="Sí",IF(DATOS!AS$5="Sí",(1/DATOS_[[% anualiz]:[% anualiz]]),1)*IF(DATOS!AS$4="Sí",1/DATOS_[[% normaliz]:[% normaliz]],1)*(DATOS_[Conc.Sal.15])))))))),
0)</f>
        <v>0</v>
      </c>
      <c r="Y64" s="101">
        <f t="array" ref="Y64">IFERROR(
(AVERAGE((IF(DATOS_[[Sexo]:[Sexo]]=$B64,IF(DATOS_[[AGRUP. VALOR. PTO.]:[AGRUP. VALOR. PTO.]]=$B63,IF(DATOS_[[Check Periodo Ref.]:[Check Periodo Ref.]]="Dentro",IF(DATOS_[[Check Equiparado]:[Check Equiparado]]="Sí",IF(DATOS!AT$5="Sí",(1/DATOS_[[% anualiz]:[% anualiz]]),1)*IF(DATOS!AT$4="Sí",1/DATOS_[[% normaliz]:[% normaliz]],1)*(DATOS_[Conc.Sal.16])))))))),
0)</f>
        <v>0</v>
      </c>
      <c r="Z64" s="101">
        <f t="array" ref="Z64">IFERROR(
(AVERAGE((IF(DATOS_[[Sexo]:[Sexo]]=$B64,IF(DATOS_[[AGRUP. VALOR. PTO.]:[AGRUP. VALOR. PTO.]]=$B63,IF(DATOS_[[Check Periodo Ref.]:[Check Periodo Ref.]]="Dentro",IF(DATOS_[[Check Equiparado]:[Check Equiparado]]="Sí",IF(DATOS!AU$5="Sí",(1/DATOS_[[% anualiz]:[% anualiz]]),1)*IF(DATOS!AU$4="Sí",1/DATOS_[[% normaliz]:[% normaliz]],1)*(DATOS_[Conc.Sal.17])))))))),
0)</f>
        <v>0</v>
      </c>
      <c r="AA64" s="101">
        <f t="array" ref="AA64">IFERROR(
(AVERAGE((IF(DATOS_[[Sexo]:[Sexo]]=$B64,IF(DATOS_[[AGRUP. VALOR. PTO.]:[AGRUP. VALOR. PTO.]]=$B63,IF(DATOS_[[Check Periodo Ref.]:[Check Periodo Ref.]]="Dentro",IF(DATOS_[[Check Equiparado]:[Check Equiparado]]="Sí",IF(DATOS!AV$5="Sí",(1/DATOS_[[% anualiz]:[% anualiz]]),1)*IF(DATOS!AV$4="Sí",1/DATOS_[[% normaliz]:[% normaliz]],1)*(DATOS_[Conc.Sal.18])))))))),
0)</f>
        <v>0</v>
      </c>
      <c r="AB64" s="101">
        <f t="array" ref="AB64">IFERROR(
(AVERAGE((IF(DATOS_[[Sexo]:[Sexo]]=$B64,IF(DATOS_[[AGRUP. VALOR. PTO.]:[AGRUP. VALOR. PTO.]]=$B63,IF(DATOS_[[Check Periodo Ref.]:[Check Periodo Ref.]]="Dentro",IF(DATOS_[[Check Equiparado]:[Check Equiparado]]="Sí",IF(DATOS!AW$5="Sí",(1/DATOS_[[% anualiz]:[% anualiz]]),1)*IF(DATOS!AW$4="Sí",1/DATOS_[[% normaliz]:[% normaliz]],1)*(DATOS_[Conc.Sal.19])))))))),
0)</f>
        <v>0</v>
      </c>
      <c r="AC64" s="101">
        <f t="array" ref="AC64">IFERROR(
(AVERAGE((IF(DATOS_[[Sexo]:[Sexo]]=$B64,IF(DATOS_[[AGRUP. VALOR. PTO.]:[AGRUP. VALOR. PTO.]]=$B63,IF(DATOS_[[Check Periodo Ref.]:[Check Periodo Ref.]]="Dentro",IF(DATOS_[[Check Equiparado]:[Check Equiparado]]="Sí",IF(DATOS!AX$5="Sí",(1/DATOS_[[% anualiz]:[% anualiz]]),1)*IF(DATOS!AX$4="Sí",1/DATOS_[[% normaliz]:[% normaliz]],1)*(DATOS_[Conc.Sal.20])))))))),
0)</f>
        <v>0</v>
      </c>
      <c r="AD64" s="101">
        <f t="array" ref="AD64">IFERROR(
(AVERAGE((IF(DATOS_[[Sexo]:[Sexo]]=$B64,IF(DATOS_[[AGRUP. VALOR. PTO.]:[AGRUP. VALOR. PTO.]]=$B63,IF(DATOS_[[Check Periodo Ref.]:[Check Periodo Ref.]]="Dentro",IF(DATOS_[[Check Equiparado]:[Check Equiparado]]="Sí",IF(DATOS!AY$5="Sí",(1/DATOS_[[% anualiz]:[% anualiz]]),1)*IF(DATOS!AY$4="Sí",1/DATOS_[[% normaliz]:[% normaliz]],1)*(DATOS_[Conc.Sal.21])))))))),
0)</f>
        <v>0</v>
      </c>
      <c r="AE64" s="101">
        <f t="array" ref="AE64">IFERROR(
(AVERAGE((IF(DATOS_[[Sexo]:[Sexo]]=$B64,IF(DATOS_[[AGRUP. VALOR. PTO.]:[AGRUP. VALOR. PTO.]]=$B63,IF(DATOS_[[Check Periodo Ref.]:[Check Periodo Ref.]]="Dentro",IF(DATOS_[[Check Equiparado]:[Check Equiparado]]="Sí",IF(DATOS!AZ$5="Sí",(1/DATOS_[[% anualiz]:[% anualiz]]),1)*IF(DATOS!AZ$4="Sí",1/DATOS_[[% normaliz]:[% normaliz]],1)*(DATOS_[Conc.Sal.22])))))))),
0)</f>
        <v>0</v>
      </c>
      <c r="AF64" s="101">
        <f t="array" ref="AF64">IFERROR(
(AVERAGE((IF(DATOS_[[Sexo]:[Sexo]]=$B64,IF(DATOS_[[AGRUP. VALOR. PTO.]:[AGRUP. VALOR. PTO.]]=$B63,IF(DATOS_[[Check Periodo Ref.]:[Check Periodo Ref.]]="Dentro",IF(DATOS_[[Check Equiparado]:[Check Equiparado]]="Sí",IF(DATOS!BA$5="Sí",(1/DATOS_[[% anualiz]:[% anualiz]]),1)*IF(DATOS!BA$4="Sí",1/DATOS_[[% normaliz]:[% normaliz]],1)*(DATOS_[Conc.Sal.23])))))))),
0)</f>
        <v>0</v>
      </c>
      <c r="AG64" s="101">
        <f t="array" ref="AG64">IFERROR(
(AVERAGE((IF(DATOS_[[Sexo]:[Sexo]]=$B64,IF(DATOS_[[AGRUP. VALOR. PTO.]:[AGRUP. VALOR. PTO.]]=$B63,IF(DATOS_[[Check Periodo Ref.]:[Check Periodo Ref.]]="Dentro",IF(DATOS_[[Check Equiparado]:[Check Equiparado]]="Sí",IF(DATOS!BB$5="Sí",(1/DATOS_[[% anualiz]:[% anualiz]]),1)*IF(DATOS!BB$4="Sí",1/DATOS_[[% normaliz]:[% normaliz]],1)*(DATOS_[Conc.Sal.24])))))))),
0)</f>
        <v>0</v>
      </c>
      <c r="AH64" s="101">
        <f t="array" ref="AH64">IFERROR(
(AVERAGE((IF(DATOS_[[Sexo]:[Sexo]]=$B64,IF(DATOS_[[AGRUP. VALOR. PTO.]:[AGRUP. VALOR. PTO.]]=$B63,IF(DATOS_[[Check Periodo Ref.]:[Check Periodo Ref.]]="Dentro",IF(DATOS_[[Check Equiparado]:[Check Equiparado]]="Sí",IF(DATOS!BC$5="Sí",(1/DATOS_[[% anualiz]:[% anualiz]]),1)*IF(DATOS!BC$4="Sí",1/DATOS_[[% normaliz]:[% normaliz]],1)*(DATOS_[Conc.Sal.25])))))))),
0)</f>
        <v>0</v>
      </c>
      <c r="AI64" s="101">
        <f t="array" ref="AI64">IFERROR(
(AVERAGE((IF(DATOS_[[Sexo]:[Sexo]]=$B64,IF(DATOS_[[AGRUP. VALOR. PTO.]:[AGRUP. VALOR. PTO.]]=$B63,IF(DATOS_[[Check Periodo Ref.]:[Check Periodo Ref.]]="Dentro",IF(DATOS_[[Check Equiparado]:[Check Equiparado]]="Sí",IF(DATOS!BD$5="Sí",(1/DATOS_[[% anualiz]:[% anualiz]]),1)*IF(DATOS!BD$4="Sí",1/DATOS_[[% normaliz]:[% normaliz]],1)*(DATOS_[Conc.Sal.26])))))))),
0)</f>
        <v>0</v>
      </c>
      <c r="AJ64" s="101">
        <f t="array" ref="AJ64">IFERROR(
(AVERAGE((IF(DATOS_[[Sexo]:[Sexo]]=$B64,IF(DATOS_[[AGRUP. VALOR. PTO.]:[AGRUP. VALOR. PTO.]]=$B63,IF(DATOS_[[Check Periodo Ref.]:[Check Periodo Ref.]]="Dentro",IF(DATOS_[[Check Equiparado]:[Check Equiparado]]="Sí",IF(DATOS!BE$5="Sí",(1/DATOS_[[% anualiz]:[% anualiz]]),1)*IF(DATOS!BE$4="Sí",1/DATOS_[[% normaliz]:[% normaliz]],1)*(DATOS_[Conc.Sal.27])))))))),
0)</f>
        <v>0</v>
      </c>
      <c r="AK64" s="101">
        <f t="array" ref="AK64">IFERROR(
(AVERAGE((IF(DATOS_[[Sexo]:[Sexo]]=$B64,IF(DATOS_[[AGRUP. VALOR. PTO.]:[AGRUP. VALOR. PTO.]]=$B63,IF(DATOS_[[Check Periodo Ref.]:[Check Periodo Ref.]]="Dentro",IF(DATOS_[[Check Equiparado]:[Check Equiparado]]="Sí",IF(DATOS!BF$5="Sí",(1/DATOS_[[% anualiz]:[% anualiz]]),1)*IF(DATOS!BF$4="Sí",1/DATOS_[[% normaliz]:[% normaliz]],1)*(DATOS_[Conc.Sal.28])))))))),
0)</f>
        <v>0</v>
      </c>
      <c r="AL64" s="101">
        <f t="array" ref="AL64">IFERROR(
(AVERAGE((IF(DATOS_[[Sexo]:[Sexo]]=$B64,IF(DATOS_[[AGRUP. VALOR. PTO.]:[AGRUP. VALOR. PTO.]]=$B63,IF(DATOS_[[Check Periodo Ref.]:[Check Periodo Ref.]]="Dentro",IF(DATOS_[[Check Equiparado]:[Check Equiparado]]="Sí",IF(DATOS!BG$5="Sí",(1/DATOS_[[% anualiz]:[% anualiz]]),1)*IF(DATOS!BG$4="Sí",1/DATOS_[[% normaliz]:[% normaliz]],1)*(DATOS_[Conc.Sal.29])))))))),
0)</f>
        <v>0</v>
      </c>
      <c r="AM64" s="101">
        <f t="array" ref="AM64">IFERROR(
(AVERAGE((IF(DATOS_[[Sexo]:[Sexo]]=$B64,IF(DATOS_[[AGRUP. VALOR. PTO.]:[AGRUP. VALOR. PTO.]]=$B63,IF(DATOS_[[Check Periodo Ref.]:[Check Periodo Ref.]]="Dentro",IF(DATOS_[[Check Equiparado]:[Check Equiparado]]="Sí",IF(DATOS!BH$5="Sí",(1/DATOS_[[% anualiz]:[% anualiz]]),1)*IF(DATOS!BH$4="Sí",1/DATOS_[[% normaliz]:[% normaliz]],1)*(DATOS_[Conc.Sal.30])))))))),
0)</f>
        <v>0</v>
      </c>
      <c r="AN64" s="102">
        <f t="array" ref="AN64">IFERROR(
AVERAGE(IF(DATOS_[Sexo]=$B64,IF(DATOS_[[AGRUP. VALOR. PTO.]:[AGRUP. VALOR. PTO.]]=$B63,IF(DATOS_[Check Equiparado]="Sí",IF(DATOS_[Check Periodo Ref.]="Dentro",DATOS_[Tot COMPL.SAL Eq],FALSE))))),
0)</f>
        <v>0</v>
      </c>
      <c r="AO64" s="103">
        <f t="array" ref="AO64">IFERROR(
AVERAGE(IF(DATOS_[Sexo]=$B64,IF(DATOS_[[AGRUP. VALOR. PTO.]:[AGRUP. VALOR. PTO.]]=$B63,IF(DATOS_[Check Equiparado]="Sí",IF(DATOS_[Check Periodo Ref.]="Dentro",DATOS_[TOTAL SALARIO Eq],FALSE))))),
0)</f>
        <v>0</v>
      </c>
      <c r="AP64" s="104">
        <f t="array" ref="AP64">IFERROR(
(AVERAGE((IF(DATOS_[[Sexo]:[Sexo]]=$B64,IF(DATOS_[[AGRUP. VALOR. PTO.]:[AGRUP. VALOR. PTO.]]=$B63,IF(DATOS_[[Check Periodo Ref.]:[Check Periodo Ref.]]="Dentro",IF(DATOS_[[Check Equiparado]:[Check Equiparado]]="Sí",IF(DATOS!BI$5="Sí",(1/DATOS_[[% anualiz]:[% anualiz]]),1)*IF(DATOS!BI$4="Sí",1/DATOS_[[% normaliz]:[% normaliz]],1)*(DATOS_[C.Extra.01])))))))),
0)</f>
        <v>0</v>
      </c>
      <c r="AQ64" s="104">
        <f t="array" ref="AQ64">IFERROR(
(AVERAGE((IF(DATOS_[[Sexo]:[Sexo]]=$B64,IF(DATOS_[[AGRUP. VALOR. PTO.]:[AGRUP. VALOR. PTO.]]=$B63,IF(DATOS_[[Check Periodo Ref.]:[Check Periodo Ref.]]="Dentro",IF(DATOS_[[Check Equiparado]:[Check Equiparado]]="Sí",IF(DATOS!BJ$5="Sí",(1/DATOS_[[% anualiz]:[% anualiz]]),1)*IF(DATOS!BJ$4="Sí",1/DATOS_[[% normaliz]:[% normaliz]],1)*(DATOS_[C.Extra.02])))))))),
0)</f>
        <v>0</v>
      </c>
      <c r="AR64" s="104">
        <f t="array" ref="AR64">IFERROR(
(AVERAGE((IF(DATOS_[[Sexo]:[Sexo]]=$B64,IF(DATOS_[[AGRUP. VALOR. PTO.]:[AGRUP. VALOR. PTO.]]=$B63,IF(DATOS_[[Check Periodo Ref.]:[Check Periodo Ref.]]="Dentro",IF(DATOS_[[Check Equiparado]:[Check Equiparado]]="Sí",IF(DATOS!BK$5="Sí",(1/DATOS_[[% anualiz]:[% anualiz]]),1)*IF(DATOS!BK$4="Sí",1/DATOS_[[% normaliz]:[% normaliz]],1)*(DATOS_[C.Extra.03])))))))),
0)</f>
        <v>0</v>
      </c>
      <c r="AS64" s="104">
        <f t="array" ref="AS64">IFERROR(
(AVERAGE((IF(DATOS_[[Sexo]:[Sexo]]=$B64,IF(DATOS_[[AGRUP. VALOR. PTO.]:[AGRUP. VALOR. PTO.]]=$B63,IF(DATOS_[[Check Periodo Ref.]:[Check Periodo Ref.]]="Dentro",IF(DATOS_[[Check Equiparado]:[Check Equiparado]]="Sí",IF(DATOS!BL$5="Sí",(1/DATOS_[[% anualiz]:[% anualiz]]),1)*IF(DATOS!BL$4="Sí",1/DATOS_[[% normaliz]:[% normaliz]],1)*(DATOS_[C.Extra.04])))))))),
0)</f>
        <v>0</v>
      </c>
      <c r="AT64" s="104">
        <f t="array" ref="AT64">IFERROR(
(AVERAGE((IF(DATOS_[[Sexo]:[Sexo]]=$B64,IF(DATOS_[[AGRUP. VALOR. PTO.]:[AGRUP. VALOR. PTO.]]=$B63,IF(DATOS_[[Check Periodo Ref.]:[Check Periodo Ref.]]="Dentro",IF(DATOS_[[Check Equiparado]:[Check Equiparado]]="Sí",IF(DATOS!BM$5="Sí",(1/DATOS_[[% anualiz]:[% anualiz]]),1)*IF(DATOS!BM$4="Sí",1/DATOS_[[% normaliz]:[% normaliz]],1)*(DATOS_[C.Extra.05])))))))),
0)</f>
        <v>0</v>
      </c>
      <c r="AU64" s="105">
        <f t="array" ref="AU64">IFERROR(
AVERAGE(IF(DATOS_[Sexo]=$B64,IF(DATOS_[[AGRUP. VALOR. PTO.]:[AGRUP. VALOR. PTO.]]=$B63,IF(DATOS_[Check Equiparado]="Sí",IF(DATOS_[Check Periodo Ref.]="Dentro",DATOS_[Tot Extrasalarial Eq],FALSE))))),
0)</f>
        <v>0</v>
      </c>
      <c r="AV64" s="106">
        <f t="array" ref="AV64">IFERROR(
AVERAGE(IF(DATOS_[Sexo]=$B64,IF(DATOS_[[AGRUP. VALOR. PTO.]:[AGRUP. VALOR. PTO.]]=$B63,IF(DATOS_[Check Equiparado]="Sí",IF(DATOS_[Check Periodo Ref.]="Dentro",DATOS_[TOTAL Retrib Eq],FALSE))))),
0)</f>
        <v>0</v>
      </c>
    </row>
    <row r="65" spans="1:48" hidden="1" x14ac:dyDescent="0.3">
      <c r="A65" s="53" t="str">
        <f t="shared" ref="A65" si="70">+A64</f>
        <v>[ocultar]</v>
      </c>
      <c r="B65" s="57" t="s">
        <v>163</v>
      </c>
      <c r="C65" s="56">
        <f t="array" ref="C65">SUM(IF($B65=DATOS_[Sexo],
IF($B63=DATOS_[AGRUP. VALOR. PTO.],
IF("Dentro"=DATOS_[Check Periodo Ref.],
1/(COUNTIFS(DATOS_[Sexo],$B65,DATOS_[AGRUP. VALOR. PTO.],$B63,DATOS_[Check Periodo Ref.],"Dentro",DATOS_[id],DATOS_[id]))))))</f>
        <v>0</v>
      </c>
      <c r="D65" s="58">
        <f>COUNTIFS(DATOS_[AGRUP. VALOR. PTO.],$B63,DATOS_[Sexo],$B65,DATOS_[Check Periodo Ref.],"Dentro")</f>
        <v>0</v>
      </c>
      <c r="E65" s="58">
        <f>COUNTIFS(DATOS_[AGRUP. VALOR. PTO.],$B63,DATOS_[Sexo],$B65,DATOS_[Check Periodo Ref.],"Dentro",DATOS_[Check Nº SC Norm],"Sí")</f>
        <v>0</v>
      </c>
      <c r="F65" s="58">
        <f>COUNTIFS(DATOS_[AGRUP. VALOR. PTO.],$B63,DATOS_[Sexo],$B65,DATOS_[Check Periodo Ref.],"Dentro",DATOS_[Check Nº SC Anualiz],"Sí")</f>
        <v>0</v>
      </c>
      <c r="G65" s="58">
        <f>COUNTIFS(DATOS_[AGRUP. VALOR. PTO.],$B63,DATOS_[Sexo],$B65,DATOS_[Check Periodo Ref.],"Dentro",DATOS_[Check Nº SC Norm y Anualiz],"Sí")</f>
        <v>0</v>
      </c>
      <c r="H65" s="58">
        <f>COUNTIFS(DATOS_[AGRUP. VALOR. PTO.],$B63,DATOS_[Sexo],$B65,DATOS_[Check Periodo Ref.],"Dentro",DATOS_[Check Equiparación],"Sí")</f>
        <v>0</v>
      </c>
      <c r="I65" s="100" cm="1">
        <f t="array" ref="I65">IFERROR(
AVERAGE(IF(DATOS_[Sexo]=$B65,IF(DATOS_[[AGRUP. VALOR. PTO.]:[AGRUP. VALOR. PTO.]]=$B63,IF(DATOS_[Check Equiparado]="Sí",IF(DATOS_[Check Periodo Ref.]="Dentro",DATOS_[SALARIO BASE Eq],FALSE))))),
0)</f>
        <v>0</v>
      </c>
      <c r="J65" s="101">
        <f t="array" ref="J65">IFERROR(
(AVERAGE((IF(DATOS_[[Sexo]:[Sexo]]=$B65,IF(DATOS_[[AGRUP. VALOR. PTO.]:[AGRUP. VALOR. PTO.]]=$B63,IF(DATOS_[[Check Periodo Ref.]:[Check Periodo Ref.]]="Dentro",IF(DATOS_[[Check Equiparado]:[Check Equiparado]]="Sí",IF(DATOS!AE$5="Sí",(1/DATOS_[[% anualiz]:[% anualiz]]),1)*IF(DATOS!AE$4="Sí",1/DATOS_[[% normaliz]:[% normaliz]],1)*(DATOS_[Conc.Sal.01])))))))),
0)</f>
        <v>0</v>
      </c>
      <c r="K65" s="101">
        <f t="array" ref="K65">IFERROR(
(AVERAGE((IF(DATOS_[[Sexo]:[Sexo]]=$B65,IF(DATOS_[[AGRUP. VALOR. PTO.]:[AGRUP. VALOR. PTO.]]=$B63,IF(DATOS_[[Check Periodo Ref.]:[Check Periodo Ref.]]="Dentro",IF(DATOS_[[Check Equiparado]:[Check Equiparado]]="Sí",IF(DATOS!AF$5="Sí",(1/DATOS_[[% anualiz]:[% anualiz]]),1)*IF(DATOS!AF$4="Sí",1/DATOS_[[% normaliz]:[% normaliz]],1)*(DATOS_[Conc.Sal.02])))))))),
0)</f>
        <v>0</v>
      </c>
      <c r="L65" s="101">
        <f t="array" ref="L65">IFERROR(
(AVERAGE((IF(DATOS_[[Sexo]:[Sexo]]=$B65,IF(DATOS_[[AGRUP. VALOR. PTO.]:[AGRUP. VALOR. PTO.]]=$B63,IF(DATOS_[[Check Periodo Ref.]:[Check Periodo Ref.]]="Dentro",IF(DATOS_[[Check Equiparado]:[Check Equiparado]]="Sí",IF(DATOS!AG$5="Sí",(1/DATOS_[[% anualiz]:[% anualiz]]),1)*IF(DATOS!AG$4="Sí",1/DATOS_[[% normaliz]:[% normaliz]],1)*(DATOS_[Conc.Sal.03])))))))),
0)</f>
        <v>0</v>
      </c>
      <c r="M65" s="101">
        <f t="array" ref="M65">IFERROR(
(AVERAGE((IF(DATOS_[[Sexo]:[Sexo]]=$B65,IF(DATOS_[[AGRUP. VALOR. PTO.]:[AGRUP. VALOR. PTO.]]=$B63,IF(DATOS_[[Check Periodo Ref.]:[Check Periodo Ref.]]="Dentro",IF(DATOS_[[Check Equiparado]:[Check Equiparado]]="Sí",IF(DATOS!AH$5="Sí",(1/DATOS_[[% anualiz]:[% anualiz]]),1)*IF(DATOS!AH$4="Sí",1/DATOS_[[% normaliz]:[% normaliz]],1)*(DATOS_[Conc.Sal.04])))))))),
0)</f>
        <v>0</v>
      </c>
      <c r="N65" s="101">
        <f t="array" ref="N65">IFERROR(
(AVERAGE((IF(DATOS_[[Sexo]:[Sexo]]=$B65,IF(DATOS_[[AGRUP. VALOR. PTO.]:[AGRUP. VALOR. PTO.]]=$B63,IF(DATOS_[[Check Periodo Ref.]:[Check Periodo Ref.]]="Dentro",IF(DATOS_[[Check Equiparado]:[Check Equiparado]]="Sí",IF(DATOS!AI$5="Sí",(1/DATOS_[[% anualiz]:[% anualiz]]),1)*IF(DATOS!AI$4="Sí",1/DATOS_[[% normaliz]:[% normaliz]],1)*(DATOS_[Conc.Sal.05])))))))),
0)</f>
        <v>0</v>
      </c>
      <c r="O65" s="101">
        <f t="array" ref="O65">IFERROR(
(AVERAGE((IF(DATOS_[[Sexo]:[Sexo]]=$B65,IF(DATOS_[[AGRUP. VALOR. PTO.]:[AGRUP. VALOR. PTO.]]=$B63,IF(DATOS_[[Check Periodo Ref.]:[Check Periodo Ref.]]="Dentro",IF(DATOS_[[Check Equiparado]:[Check Equiparado]]="Sí",IF(DATOS!AJ$5="Sí",(1/DATOS_[[% anualiz]:[% anualiz]]),1)*IF(DATOS!AJ$4="Sí",1/DATOS_[[% normaliz]:[% normaliz]],1)*(DATOS_[Conc.Sal.06])))))))),
0)</f>
        <v>0</v>
      </c>
      <c r="P65" s="101">
        <f t="array" ref="P65">IFERROR(
(AVERAGE((IF(DATOS_[[Sexo]:[Sexo]]=$B65,IF(DATOS_[[AGRUP. VALOR. PTO.]:[AGRUP. VALOR. PTO.]]=$B63,IF(DATOS_[[Check Periodo Ref.]:[Check Periodo Ref.]]="Dentro",IF(DATOS_[[Check Equiparado]:[Check Equiparado]]="Sí",IF(DATOS!AK$5="Sí",(1/DATOS_[[% anualiz]:[% anualiz]]),1)*IF(DATOS!AK$4="Sí",1/DATOS_[[% normaliz]:[% normaliz]],1)*(DATOS_[Conc.Sal.07])))))))),
0)</f>
        <v>0</v>
      </c>
      <c r="Q65" s="101">
        <f t="array" ref="Q65">IFERROR(
(AVERAGE((IF(DATOS_[[Sexo]:[Sexo]]=$B65,IF(DATOS_[[AGRUP. VALOR. PTO.]:[AGRUP. VALOR. PTO.]]=$B63,IF(DATOS_[[Check Periodo Ref.]:[Check Periodo Ref.]]="Dentro",IF(DATOS_[[Check Equiparado]:[Check Equiparado]]="Sí",IF(DATOS!AL$5="Sí",(1/DATOS_[[% anualiz]:[% anualiz]]),1)*IF(DATOS!AL$4="Sí",1/DATOS_[[% normaliz]:[% normaliz]],1)*(DATOS_[Conc.Sal.08])))))))),
0)</f>
        <v>0</v>
      </c>
      <c r="R65" s="101">
        <f t="array" ref="R65">IFERROR(
(AVERAGE((IF(DATOS_[[Sexo]:[Sexo]]=$B65,IF(DATOS_[[AGRUP. VALOR. PTO.]:[AGRUP. VALOR. PTO.]]=$B63,IF(DATOS_[[Check Periodo Ref.]:[Check Periodo Ref.]]="Dentro",IF(DATOS_[[Check Equiparado]:[Check Equiparado]]="Sí",IF(DATOS!AM$5="Sí",(1/DATOS_[[% anualiz]:[% anualiz]]),1)*IF(DATOS!AM$4="Sí",1/DATOS_[[% normaliz]:[% normaliz]],1)*(DATOS_[Conc.Sal.09])))))))),
0)</f>
        <v>0</v>
      </c>
      <c r="S65" s="101">
        <f t="array" ref="S65">IFERROR(
(AVERAGE((IF(DATOS_[[Sexo]:[Sexo]]=$B65,IF(DATOS_[[AGRUP. VALOR. PTO.]:[AGRUP. VALOR. PTO.]]=$B63,IF(DATOS_[[Check Periodo Ref.]:[Check Periodo Ref.]]="Dentro",IF(DATOS_[[Check Equiparado]:[Check Equiparado]]="Sí",IF(DATOS!AN$5="Sí",(1/DATOS_[[% anualiz]:[% anualiz]]),1)*IF(DATOS!AN$4="Sí",1/DATOS_[[% normaliz]:[% normaliz]],1)*(DATOS_[Conc.Sal.10])))))))),
0)</f>
        <v>0</v>
      </c>
      <c r="T65" s="101">
        <f t="array" ref="T65">IFERROR(
(AVERAGE((IF(DATOS_[[Sexo]:[Sexo]]=$B65,IF(DATOS_[[AGRUP. VALOR. PTO.]:[AGRUP. VALOR. PTO.]]=$B63,IF(DATOS_[[Check Periodo Ref.]:[Check Periodo Ref.]]="Dentro",IF(DATOS_[[Check Equiparado]:[Check Equiparado]]="Sí",IF(DATOS!AO$5="Sí",(1/DATOS_[[% anualiz]:[% anualiz]]),1)*IF(DATOS!AO$4="Sí",1/DATOS_[[% normaliz]:[% normaliz]],1)*(DATOS_[Conc.Sal.11])))))))),
0)</f>
        <v>0</v>
      </c>
      <c r="U65" s="101">
        <f t="array" ref="U65">IFERROR(
(AVERAGE((IF(DATOS_[[Sexo]:[Sexo]]=$B65,IF(DATOS_[[AGRUP. VALOR. PTO.]:[AGRUP. VALOR. PTO.]]=$B63,IF(DATOS_[[Check Periodo Ref.]:[Check Periodo Ref.]]="Dentro",IF(DATOS_[[Check Equiparado]:[Check Equiparado]]="Sí",IF(DATOS!AP$5="Sí",(1/DATOS_[[% anualiz]:[% anualiz]]),1)*IF(DATOS!AP$4="Sí",1/DATOS_[[% normaliz]:[% normaliz]],1)*(DATOS_[Conc.Sal.12])))))))),
0)</f>
        <v>0</v>
      </c>
      <c r="V65" s="101">
        <f t="array" ref="V65">IFERROR(
(AVERAGE((IF(DATOS_[[Sexo]:[Sexo]]=$B65,IF(DATOS_[[AGRUP. VALOR. PTO.]:[AGRUP. VALOR. PTO.]]=$B63,IF(DATOS_[[Check Periodo Ref.]:[Check Periodo Ref.]]="Dentro",IF(DATOS_[[Check Equiparado]:[Check Equiparado]]="Sí",IF(DATOS!AQ$5="Sí",(1/DATOS_[[% anualiz]:[% anualiz]]),1)*IF(DATOS!AQ$4="Sí",1/DATOS_[[% normaliz]:[% normaliz]],1)*(DATOS_[Conc.Sal.13])))))))),
0)</f>
        <v>0</v>
      </c>
      <c r="W65" s="101">
        <f t="array" ref="W65">IFERROR(
(AVERAGE((IF(DATOS_[[Sexo]:[Sexo]]=$B65,IF(DATOS_[[AGRUP. VALOR. PTO.]:[AGRUP. VALOR. PTO.]]=$B63,IF(DATOS_[[Check Periodo Ref.]:[Check Periodo Ref.]]="Dentro",IF(DATOS_[[Check Equiparado]:[Check Equiparado]]="Sí",IF(DATOS!AR$5="Sí",(1/DATOS_[[% anualiz]:[% anualiz]]),1)*IF(DATOS!AR$4="Sí",1/DATOS_[[% normaliz]:[% normaliz]],1)*(DATOS_[Conc.Sal.14])))))))),
0)</f>
        <v>0</v>
      </c>
      <c r="X65" s="101">
        <f t="array" ref="X65">IFERROR(
(AVERAGE((IF(DATOS_[[Sexo]:[Sexo]]=$B65,IF(DATOS_[[AGRUP. VALOR. PTO.]:[AGRUP. VALOR. PTO.]]=$B63,IF(DATOS_[[Check Periodo Ref.]:[Check Periodo Ref.]]="Dentro",IF(DATOS_[[Check Equiparado]:[Check Equiparado]]="Sí",IF(DATOS!AS$5="Sí",(1/DATOS_[[% anualiz]:[% anualiz]]),1)*IF(DATOS!AS$4="Sí",1/DATOS_[[% normaliz]:[% normaliz]],1)*(DATOS_[Conc.Sal.15])))))))),
0)</f>
        <v>0</v>
      </c>
      <c r="Y65" s="101">
        <f t="array" ref="Y65">IFERROR(
(AVERAGE((IF(DATOS_[[Sexo]:[Sexo]]=$B65,IF(DATOS_[[AGRUP. VALOR. PTO.]:[AGRUP. VALOR. PTO.]]=$B63,IF(DATOS_[[Check Periodo Ref.]:[Check Periodo Ref.]]="Dentro",IF(DATOS_[[Check Equiparado]:[Check Equiparado]]="Sí",IF(DATOS!AT$5="Sí",(1/DATOS_[[% anualiz]:[% anualiz]]),1)*IF(DATOS!AT$4="Sí",1/DATOS_[[% normaliz]:[% normaliz]],1)*(DATOS_[Conc.Sal.16])))))))),
0)</f>
        <v>0</v>
      </c>
      <c r="Z65" s="101">
        <f t="array" ref="Z65">IFERROR(
(AVERAGE((IF(DATOS_[[Sexo]:[Sexo]]=$B65,IF(DATOS_[[AGRUP. VALOR. PTO.]:[AGRUP. VALOR. PTO.]]=$B63,IF(DATOS_[[Check Periodo Ref.]:[Check Periodo Ref.]]="Dentro",IF(DATOS_[[Check Equiparado]:[Check Equiparado]]="Sí",IF(DATOS!AU$5="Sí",(1/DATOS_[[% anualiz]:[% anualiz]]),1)*IF(DATOS!AU$4="Sí",1/DATOS_[[% normaliz]:[% normaliz]],1)*(DATOS_[Conc.Sal.17])))))))),
0)</f>
        <v>0</v>
      </c>
      <c r="AA65" s="101">
        <f t="array" ref="AA65">IFERROR(
(AVERAGE((IF(DATOS_[[Sexo]:[Sexo]]=$B65,IF(DATOS_[[AGRUP. VALOR. PTO.]:[AGRUP. VALOR. PTO.]]=$B63,IF(DATOS_[[Check Periodo Ref.]:[Check Periodo Ref.]]="Dentro",IF(DATOS_[[Check Equiparado]:[Check Equiparado]]="Sí",IF(DATOS!AV$5="Sí",(1/DATOS_[[% anualiz]:[% anualiz]]),1)*IF(DATOS!AV$4="Sí",1/DATOS_[[% normaliz]:[% normaliz]],1)*(DATOS_[Conc.Sal.18])))))))),
0)</f>
        <v>0</v>
      </c>
      <c r="AB65" s="101">
        <f t="array" ref="AB65">IFERROR(
(AVERAGE((IF(DATOS_[[Sexo]:[Sexo]]=$B65,IF(DATOS_[[AGRUP. VALOR. PTO.]:[AGRUP. VALOR. PTO.]]=$B63,IF(DATOS_[[Check Periodo Ref.]:[Check Periodo Ref.]]="Dentro",IF(DATOS_[[Check Equiparado]:[Check Equiparado]]="Sí",IF(DATOS!AW$5="Sí",(1/DATOS_[[% anualiz]:[% anualiz]]),1)*IF(DATOS!AW$4="Sí",1/DATOS_[[% normaliz]:[% normaliz]],1)*(DATOS_[Conc.Sal.19])))))))),
0)</f>
        <v>0</v>
      </c>
      <c r="AC65" s="101">
        <f t="array" ref="AC65">IFERROR(
(AVERAGE((IF(DATOS_[[Sexo]:[Sexo]]=$B65,IF(DATOS_[[AGRUP. VALOR. PTO.]:[AGRUP. VALOR. PTO.]]=$B63,IF(DATOS_[[Check Periodo Ref.]:[Check Periodo Ref.]]="Dentro",IF(DATOS_[[Check Equiparado]:[Check Equiparado]]="Sí",IF(DATOS!AX$5="Sí",(1/DATOS_[[% anualiz]:[% anualiz]]),1)*IF(DATOS!AX$4="Sí",1/DATOS_[[% normaliz]:[% normaliz]],1)*(DATOS_[Conc.Sal.20])))))))),
0)</f>
        <v>0</v>
      </c>
      <c r="AD65" s="101">
        <f t="array" ref="AD65">IFERROR(
(AVERAGE((IF(DATOS_[[Sexo]:[Sexo]]=$B65,IF(DATOS_[[AGRUP. VALOR. PTO.]:[AGRUP. VALOR. PTO.]]=$B63,IF(DATOS_[[Check Periodo Ref.]:[Check Periodo Ref.]]="Dentro",IF(DATOS_[[Check Equiparado]:[Check Equiparado]]="Sí",IF(DATOS!AY$5="Sí",(1/DATOS_[[% anualiz]:[% anualiz]]),1)*IF(DATOS!AY$4="Sí",1/DATOS_[[% normaliz]:[% normaliz]],1)*(DATOS_[Conc.Sal.21])))))))),
0)</f>
        <v>0</v>
      </c>
      <c r="AE65" s="101">
        <f t="array" ref="AE65">IFERROR(
(AVERAGE((IF(DATOS_[[Sexo]:[Sexo]]=$B65,IF(DATOS_[[AGRUP. VALOR. PTO.]:[AGRUP. VALOR. PTO.]]=$B63,IF(DATOS_[[Check Periodo Ref.]:[Check Periodo Ref.]]="Dentro",IF(DATOS_[[Check Equiparado]:[Check Equiparado]]="Sí",IF(DATOS!AZ$5="Sí",(1/DATOS_[[% anualiz]:[% anualiz]]),1)*IF(DATOS!AZ$4="Sí",1/DATOS_[[% normaliz]:[% normaliz]],1)*(DATOS_[Conc.Sal.22])))))))),
0)</f>
        <v>0</v>
      </c>
      <c r="AF65" s="101">
        <f t="array" ref="AF65">IFERROR(
(AVERAGE((IF(DATOS_[[Sexo]:[Sexo]]=$B65,IF(DATOS_[[AGRUP. VALOR. PTO.]:[AGRUP. VALOR. PTO.]]=$B63,IF(DATOS_[[Check Periodo Ref.]:[Check Periodo Ref.]]="Dentro",IF(DATOS_[[Check Equiparado]:[Check Equiparado]]="Sí",IF(DATOS!BA$5="Sí",(1/DATOS_[[% anualiz]:[% anualiz]]),1)*IF(DATOS!BA$4="Sí",1/DATOS_[[% normaliz]:[% normaliz]],1)*(DATOS_[Conc.Sal.23])))))))),
0)</f>
        <v>0</v>
      </c>
      <c r="AG65" s="101">
        <f t="array" ref="AG65">IFERROR(
(AVERAGE((IF(DATOS_[[Sexo]:[Sexo]]=$B65,IF(DATOS_[[AGRUP. VALOR. PTO.]:[AGRUP. VALOR. PTO.]]=$B63,IF(DATOS_[[Check Periodo Ref.]:[Check Periodo Ref.]]="Dentro",IF(DATOS_[[Check Equiparado]:[Check Equiparado]]="Sí",IF(DATOS!BB$5="Sí",(1/DATOS_[[% anualiz]:[% anualiz]]),1)*IF(DATOS!BB$4="Sí",1/DATOS_[[% normaliz]:[% normaliz]],1)*(DATOS_[Conc.Sal.24])))))))),
0)</f>
        <v>0</v>
      </c>
      <c r="AH65" s="101">
        <f t="array" ref="AH65">IFERROR(
(AVERAGE((IF(DATOS_[[Sexo]:[Sexo]]=$B65,IF(DATOS_[[AGRUP. VALOR. PTO.]:[AGRUP. VALOR. PTO.]]=$B63,IF(DATOS_[[Check Periodo Ref.]:[Check Periodo Ref.]]="Dentro",IF(DATOS_[[Check Equiparado]:[Check Equiparado]]="Sí",IF(DATOS!BC$5="Sí",(1/DATOS_[[% anualiz]:[% anualiz]]),1)*IF(DATOS!BC$4="Sí",1/DATOS_[[% normaliz]:[% normaliz]],1)*(DATOS_[Conc.Sal.25])))))))),
0)</f>
        <v>0</v>
      </c>
      <c r="AI65" s="101">
        <f t="array" ref="AI65">IFERROR(
(AVERAGE((IF(DATOS_[[Sexo]:[Sexo]]=$B65,IF(DATOS_[[AGRUP. VALOR. PTO.]:[AGRUP. VALOR. PTO.]]=$B63,IF(DATOS_[[Check Periodo Ref.]:[Check Periodo Ref.]]="Dentro",IF(DATOS_[[Check Equiparado]:[Check Equiparado]]="Sí",IF(DATOS!BD$5="Sí",(1/DATOS_[[% anualiz]:[% anualiz]]),1)*IF(DATOS!BD$4="Sí",1/DATOS_[[% normaliz]:[% normaliz]],1)*(DATOS_[Conc.Sal.26])))))))),
0)</f>
        <v>0</v>
      </c>
      <c r="AJ65" s="101">
        <f t="array" ref="AJ65">IFERROR(
(AVERAGE((IF(DATOS_[[Sexo]:[Sexo]]=$B65,IF(DATOS_[[AGRUP. VALOR. PTO.]:[AGRUP. VALOR. PTO.]]=$B63,IF(DATOS_[[Check Periodo Ref.]:[Check Periodo Ref.]]="Dentro",IF(DATOS_[[Check Equiparado]:[Check Equiparado]]="Sí",IF(DATOS!BE$5="Sí",(1/DATOS_[[% anualiz]:[% anualiz]]),1)*IF(DATOS!BE$4="Sí",1/DATOS_[[% normaliz]:[% normaliz]],1)*(DATOS_[Conc.Sal.27])))))))),
0)</f>
        <v>0</v>
      </c>
      <c r="AK65" s="101">
        <f t="array" ref="AK65">IFERROR(
(AVERAGE((IF(DATOS_[[Sexo]:[Sexo]]=$B65,IF(DATOS_[[AGRUP. VALOR. PTO.]:[AGRUP. VALOR. PTO.]]=$B63,IF(DATOS_[[Check Periodo Ref.]:[Check Periodo Ref.]]="Dentro",IF(DATOS_[[Check Equiparado]:[Check Equiparado]]="Sí",IF(DATOS!BF$5="Sí",(1/DATOS_[[% anualiz]:[% anualiz]]),1)*IF(DATOS!BF$4="Sí",1/DATOS_[[% normaliz]:[% normaliz]],1)*(DATOS_[Conc.Sal.28])))))))),
0)</f>
        <v>0</v>
      </c>
      <c r="AL65" s="101">
        <f t="array" ref="AL65">IFERROR(
(AVERAGE((IF(DATOS_[[Sexo]:[Sexo]]=$B65,IF(DATOS_[[AGRUP. VALOR. PTO.]:[AGRUP. VALOR. PTO.]]=$B63,IF(DATOS_[[Check Periodo Ref.]:[Check Periodo Ref.]]="Dentro",IF(DATOS_[[Check Equiparado]:[Check Equiparado]]="Sí",IF(DATOS!BG$5="Sí",(1/DATOS_[[% anualiz]:[% anualiz]]),1)*IF(DATOS!BG$4="Sí",1/DATOS_[[% normaliz]:[% normaliz]],1)*(DATOS_[Conc.Sal.29])))))))),
0)</f>
        <v>0</v>
      </c>
      <c r="AM65" s="101">
        <f t="array" ref="AM65">IFERROR(
(AVERAGE((IF(DATOS_[[Sexo]:[Sexo]]=$B65,IF(DATOS_[[AGRUP. VALOR. PTO.]:[AGRUP. VALOR. PTO.]]=$B63,IF(DATOS_[[Check Periodo Ref.]:[Check Periodo Ref.]]="Dentro",IF(DATOS_[[Check Equiparado]:[Check Equiparado]]="Sí",IF(DATOS!BH$5="Sí",(1/DATOS_[[% anualiz]:[% anualiz]]),1)*IF(DATOS!BH$4="Sí",1/DATOS_[[% normaliz]:[% normaliz]],1)*(DATOS_[Conc.Sal.30])))))))),
0)</f>
        <v>0</v>
      </c>
      <c r="AN65" s="102">
        <f t="array" ref="AN65">IFERROR(
AVERAGE(IF(DATOS_[Sexo]=$B65,IF(DATOS_[[AGRUP. VALOR. PTO.]:[AGRUP. VALOR. PTO.]]=$B63,IF(DATOS_[Check Equiparado]="Sí",IF(DATOS_[Check Periodo Ref.]="Dentro",DATOS_[Tot COMPL.SAL Eq],FALSE))))),
0)</f>
        <v>0</v>
      </c>
      <c r="AO65" s="103">
        <f t="array" ref="AO65">IFERROR(
AVERAGE(IF(DATOS_[Sexo]=$B65,IF(DATOS_[[AGRUP. VALOR. PTO.]:[AGRUP. VALOR. PTO.]]=$B63,IF(DATOS_[Check Equiparado]="Sí",IF(DATOS_[Check Periodo Ref.]="Dentro",DATOS_[TOTAL SALARIO Eq],FALSE))))),
0)</f>
        <v>0</v>
      </c>
      <c r="AP65" s="104">
        <f t="array" ref="AP65">IFERROR(
(AVERAGE((IF(DATOS_[[Sexo]:[Sexo]]=$B65,IF(DATOS_[[AGRUP. VALOR. PTO.]:[AGRUP. VALOR. PTO.]]=$B63,IF(DATOS_[[Check Periodo Ref.]:[Check Periodo Ref.]]="Dentro",IF(DATOS_[[Check Equiparado]:[Check Equiparado]]="Sí",IF(DATOS!BI$5="Sí",(1/DATOS_[[% anualiz]:[% anualiz]]),1)*IF(DATOS!BI$4="Sí",1/DATOS_[[% normaliz]:[% normaliz]],1)*(DATOS_[C.Extra.01])))))))),
0)</f>
        <v>0</v>
      </c>
      <c r="AQ65" s="104">
        <f t="array" ref="AQ65">IFERROR(
(AVERAGE((IF(DATOS_[[Sexo]:[Sexo]]=$B65,IF(DATOS_[[AGRUP. VALOR. PTO.]:[AGRUP. VALOR. PTO.]]=$B63,IF(DATOS_[[Check Periodo Ref.]:[Check Periodo Ref.]]="Dentro",IF(DATOS_[[Check Equiparado]:[Check Equiparado]]="Sí",IF(DATOS!BJ$5="Sí",(1/DATOS_[[% anualiz]:[% anualiz]]),1)*IF(DATOS!BJ$4="Sí",1/DATOS_[[% normaliz]:[% normaliz]],1)*(DATOS_[C.Extra.02])))))))),
0)</f>
        <v>0</v>
      </c>
      <c r="AR65" s="104">
        <f t="array" ref="AR65">IFERROR(
(AVERAGE((IF(DATOS_[[Sexo]:[Sexo]]=$B65,IF(DATOS_[[AGRUP. VALOR. PTO.]:[AGRUP. VALOR. PTO.]]=$B63,IF(DATOS_[[Check Periodo Ref.]:[Check Periodo Ref.]]="Dentro",IF(DATOS_[[Check Equiparado]:[Check Equiparado]]="Sí",IF(DATOS!BK$5="Sí",(1/DATOS_[[% anualiz]:[% anualiz]]),1)*IF(DATOS!BK$4="Sí",1/DATOS_[[% normaliz]:[% normaliz]],1)*(DATOS_[C.Extra.03])))))))),
0)</f>
        <v>0</v>
      </c>
      <c r="AS65" s="104">
        <f t="array" ref="AS65">IFERROR(
(AVERAGE((IF(DATOS_[[Sexo]:[Sexo]]=$B65,IF(DATOS_[[AGRUP. VALOR. PTO.]:[AGRUP. VALOR. PTO.]]=$B63,IF(DATOS_[[Check Periodo Ref.]:[Check Periodo Ref.]]="Dentro",IF(DATOS_[[Check Equiparado]:[Check Equiparado]]="Sí",IF(DATOS!BL$5="Sí",(1/DATOS_[[% anualiz]:[% anualiz]]),1)*IF(DATOS!BL$4="Sí",1/DATOS_[[% normaliz]:[% normaliz]],1)*(DATOS_[C.Extra.04])))))))),
0)</f>
        <v>0</v>
      </c>
      <c r="AT65" s="104">
        <f t="array" ref="AT65">IFERROR(
(AVERAGE((IF(DATOS_[[Sexo]:[Sexo]]=$B65,IF(DATOS_[[AGRUP. VALOR. PTO.]:[AGRUP. VALOR. PTO.]]=$B63,IF(DATOS_[[Check Periodo Ref.]:[Check Periodo Ref.]]="Dentro",IF(DATOS_[[Check Equiparado]:[Check Equiparado]]="Sí",IF(DATOS!BM$5="Sí",(1/DATOS_[[% anualiz]:[% anualiz]]),1)*IF(DATOS!BM$4="Sí",1/DATOS_[[% normaliz]:[% normaliz]],1)*(DATOS_[C.Extra.05])))))))),
0)</f>
        <v>0</v>
      </c>
      <c r="AU65" s="105">
        <f t="array" ref="AU65">IFERROR(
AVERAGE(IF(DATOS_[Sexo]=$B65,IF(DATOS_[[AGRUP. VALOR. PTO.]:[AGRUP. VALOR. PTO.]]=$B63,IF(DATOS_[Check Equiparado]="Sí",IF(DATOS_[Check Periodo Ref.]="Dentro",DATOS_[Tot Extrasalarial Eq],FALSE))))),
0)</f>
        <v>0</v>
      </c>
      <c r="AV65" s="106">
        <f t="array" ref="AV65">IFERROR(
AVERAGE(IF(DATOS_[Sexo]=$B65,IF(DATOS_[[AGRUP. VALOR. PTO.]:[AGRUP. VALOR. PTO.]]=$B63,IF(DATOS_[Check Equiparado]="Sí",IF(DATOS_[Check Periodo Ref.]="Dentro",DATOS_[TOTAL Retrib Eq],FALSE))))),
0)</f>
        <v>0</v>
      </c>
    </row>
    <row r="66" spans="1:48" ht="17.25" hidden="1" thickBot="1" x14ac:dyDescent="0.35">
      <c r="A66" s="53" t="str">
        <f t="shared" ref="A66" si="71">+A67</f>
        <v>[ocultar]</v>
      </c>
      <c r="B66" s="62" t="s">
        <v>277</v>
      </c>
      <c r="C66" s="99"/>
      <c r="D66" s="63"/>
      <c r="E66" s="63"/>
      <c r="F66" s="63"/>
      <c r="G66" s="63"/>
      <c r="H66" s="63"/>
      <c r="I66" s="129" t="str">
        <f t="shared" ref="I66:AV66" si="72">IFERROR((I67-I68)/I67,"")</f>
        <v/>
      </c>
      <c r="J66" s="130" t="str">
        <f t="shared" si="72"/>
        <v/>
      </c>
      <c r="K66" s="131" t="str">
        <f t="shared" si="72"/>
        <v/>
      </c>
      <c r="L66" s="131" t="str">
        <f t="shared" si="72"/>
        <v/>
      </c>
      <c r="M66" s="131" t="str">
        <f t="shared" si="72"/>
        <v/>
      </c>
      <c r="N66" s="132" t="str">
        <f t="shared" si="72"/>
        <v/>
      </c>
      <c r="O66" s="133" t="str">
        <f t="shared" si="72"/>
        <v/>
      </c>
      <c r="P66" s="133" t="str">
        <f t="shared" si="72"/>
        <v/>
      </c>
      <c r="Q66" s="133" t="str">
        <f t="shared" si="72"/>
        <v/>
      </c>
      <c r="R66" s="133" t="str">
        <f t="shared" si="72"/>
        <v/>
      </c>
      <c r="S66" s="133" t="str">
        <f t="shared" si="72"/>
        <v/>
      </c>
      <c r="T66" s="133" t="str">
        <f t="shared" si="72"/>
        <v/>
      </c>
      <c r="U66" s="133" t="str">
        <f t="shared" si="72"/>
        <v/>
      </c>
      <c r="V66" s="133" t="str">
        <f t="shared" si="72"/>
        <v/>
      </c>
      <c r="W66" s="133" t="str">
        <f t="shared" si="72"/>
        <v/>
      </c>
      <c r="X66" s="133" t="str">
        <f t="shared" si="72"/>
        <v/>
      </c>
      <c r="Y66" s="133" t="str">
        <f t="shared" si="72"/>
        <v/>
      </c>
      <c r="Z66" s="132" t="str">
        <f t="shared" si="72"/>
        <v/>
      </c>
      <c r="AA66" s="132" t="str">
        <f t="shared" si="72"/>
        <v/>
      </c>
      <c r="AB66" s="132" t="str">
        <f t="shared" si="72"/>
        <v/>
      </c>
      <c r="AC66" s="132" t="str">
        <f t="shared" si="72"/>
        <v/>
      </c>
      <c r="AD66" s="132" t="str">
        <f t="shared" si="72"/>
        <v/>
      </c>
      <c r="AE66" s="132" t="str">
        <f t="shared" si="72"/>
        <v/>
      </c>
      <c r="AF66" s="132" t="str">
        <f t="shared" si="72"/>
        <v/>
      </c>
      <c r="AG66" s="132" t="str">
        <f t="shared" si="72"/>
        <v/>
      </c>
      <c r="AH66" s="132" t="str">
        <f t="shared" si="72"/>
        <v/>
      </c>
      <c r="AI66" s="132" t="str">
        <f t="shared" si="72"/>
        <v/>
      </c>
      <c r="AJ66" s="132" t="str">
        <f t="shared" si="72"/>
        <v/>
      </c>
      <c r="AK66" s="132" t="str">
        <f t="shared" si="72"/>
        <v/>
      </c>
      <c r="AL66" s="132" t="str">
        <f t="shared" si="72"/>
        <v/>
      </c>
      <c r="AM66" s="132" t="str">
        <f t="shared" si="72"/>
        <v/>
      </c>
      <c r="AN66" s="134" t="str">
        <f t="shared" si="72"/>
        <v/>
      </c>
      <c r="AO66" s="138" t="str">
        <f t="shared" si="72"/>
        <v/>
      </c>
      <c r="AP66" s="135" t="str">
        <f t="shared" si="72"/>
        <v/>
      </c>
      <c r="AQ66" s="135" t="str">
        <f t="shared" si="72"/>
        <v/>
      </c>
      <c r="AR66" s="135" t="str">
        <f t="shared" si="72"/>
        <v/>
      </c>
      <c r="AS66" s="135" t="str">
        <f t="shared" si="72"/>
        <v/>
      </c>
      <c r="AT66" s="135" t="str">
        <f t="shared" si="72"/>
        <v/>
      </c>
      <c r="AU66" s="136" t="str">
        <f t="shared" si="72"/>
        <v/>
      </c>
      <c r="AV66" s="137" t="str">
        <f t="shared" si="72"/>
        <v/>
      </c>
    </row>
    <row r="67" spans="1:48" hidden="1" x14ac:dyDescent="0.3">
      <c r="A67" s="53" t="str">
        <f t="shared" ref="A67" si="73">+IF(C67+C68=0,"[ocultar]","")</f>
        <v>[ocultar]</v>
      </c>
      <c r="B67" s="57" t="s">
        <v>162</v>
      </c>
      <c r="C67" s="56">
        <f t="array" ref="C67">SUM(IF($B67=DATOS_[Sexo],
IF($B66=DATOS_[AGRUP. VALOR. PTO.],
IF("Dentro"=DATOS_[Check Periodo Ref.],
1/(COUNTIFS(DATOS_[Sexo],$B67,DATOS_[AGRUP. VALOR. PTO.],$B66,DATOS_[Check Periodo Ref.],"Dentro",DATOS_[id],DATOS_[id]))))))</f>
        <v>0</v>
      </c>
      <c r="D67" s="58">
        <f>COUNTIFS(DATOS_[AGRUP. VALOR. PTO.],$B66,DATOS_[Sexo],$B67,DATOS_[Check Periodo Ref.],"Dentro")</f>
        <v>0</v>
      </c>
      <c r="E67" s="58">
        <f>COUNTIFS(DATOS_[AGRUP. VALOR. PTO.],$B66,DATOS_[Sexo],$B67,DATOS_[Check Periodo Ref.],"Dentro",DATOS_[Check Nº SC Norm],"Sí")</f>
        <v>0</v>
      </c>
      <c r="F67" s="58">
        <f>COUNTIFS(DATOS_[AGRUP. VALOR. PTO.],$B66,DATOS_[Sexo],$B67,DATOS_[Check Periodo Ref.],"Dentro",DATOS_[Check Nº SC Anualiz],"Sí")</f>
        <v>0</v>
      </c>
      <c r="G67" s="58">
        <f>COUNTIFS(DATOS_[AGRUP. VALOR. PTO.],$B66,DATOS_[Sexo],$B67,DATOS_[Check Periodo Ref.],"Dentro",DATOS_[Check Nº SC Norm y Anualiz],"Sí")</f>
        <v>0</v>
      </c>
      <c r="H67" s="58">
        <f>COUNTIFS(DATOS_[AGRUP. VALOR. PTO.],$B66,DATOS_[Sexo],$B67,DATOS_[Check Periodo Ref.],"Dentro",DATOS_[Check Equiparación],"Sí")</f>
        <v>0</v>
      </c>
      <c r="I67" s="100">
        <f t="array" ref="I67">IFERROR(
AVERAGE(IF(DATOS_[Sexo]=$B67,IF(DATOS_[[AGRUP. VALOR. PTO.]:[AGRUP. VALOR. PTO.]]=$B66,IF(DATOS_[Check Equiparado]="Sí",IF(DATOS_[Check Periodo Ref.]="Dentro",DATOS_[SALARIO BASE Eq],FALSE))))),
0)</f>
        <v>0</v>
      </c>
      <c r="J67" s="101">
        <f t="array" ref="J67">IFERROR(
(AVERAGE((IF(DATOS_[[Sexo]:[Sexo]]=$B67,IF(DATOS_[[AGRUP. VALOR. PTO.]:[AGRUP. VALOR. PTO.]]=$B66,IF(DATOS_[[Check Periodo Ref.]:[Check Periodo Ref.]]="Dentro",IF(DATOS_[[Check Equiparado]:[Check Equiparado]]="Sí",IF(DATOS!AE$5="Sí",(1/DATOS_[[% anualiz]:[% anualiz]]),1)*IF(DATOS!AE$4="Sí",1/DATOS_[[% normaliz]:[% normaliz]],1)*(DATOS_[Conc.Sal.01])))))))),
0)</f>
        <v>0</v>
      </c>
      <c r="K67" s="101">
        <f t="array" ref="K67">IFERROR(
(AVERAGE((IF(DATOS_[[Sexo]:[Sexo]]=$B67,IF(DATOS_[[AGRUP. VALOR. PTO.]:[AGRUP. VALOR. PTO.]]=$B66,IF(DATOS_[[Check Periodo Ref.]:[Check Periodo Ref.]]="Dentro",IF(DATOS_[[Check Equiparado]:[Check Equiparado]]="Sí",IF(DATOS!AF$5="Sí",(1/DATOS_[[% anualiz]:[% anualiz]]),1)*IF(DATOS!AF$4="Sí",1/DATOS_[[% normaliz]:[% normaliz]],1)*(DATOS_[Conc.Sal.02])))))))),
0)</f>
        <v>0</v>
      </c>
      <c r="L67" s="101">
        <f t="array" ref="L67">IFERROR(
(AVERAGE((IF(DATOS_[[Sexo]:[Sexo]]=$B67,IF(DATOS_[[AGRUP. VALOR. PTO.]:[AGRUP. VALOR. PTO.]]=$B66,IF(DATOS_[[Check Periodo Ref.]:[Check Periodo Ref.]]="Dentro",IF(DATOS_[[Check Equiparado]:[Check Equiparado]]="Sí",IF(DATOS!AG$5="Sí",(1/DATOS_[[% anualiz]:[% anualiz]]),1)*IF(DATOS!AG$4="Sí",1/DATOS_[[% normaliz]:[% normaliz]],1)*(DATOS_[Conc.Sal.03])))))))),
0)</f>
        <v>0</v>
      </c>
      <c r="M67" s="101">
        <f t="array" ref="M67">IFERROR(
(AVERAGE((IF(DATOS_[[Sexo]:[Sexo]]=$B67,IF(DATOS_[[AGRUP. VALOR. PTO.]:[AGRUP. VALOR. PTO.]]=$B66,IF(DATOS_[[Check Periodo Ref.]:[Check Periodo Ref.]]="Dentro",IF(DATOS_[[Check Equiparado]:[Check Equiparado]]="Sí",IF(DATOS!AH$5="Sí",(1/DATOS_[[% anualiz]:[% anualiz]]),1)*IF(DATOS!AH$4="Sí",1/DATOS_[[% normaliz]:[% normaliz]],1)*(DATOS_[Conc.Sal.04])))))))),
0)</f>
        <v>0</v>
      </c>
      <c r="N67" s="101">
        <f t="array" ref="N67">IFERROR(
(AVERAGE((IF(DATOS_[[Sexo]:[Sexo]]=$B67,IF(DATOS_[[AGRUP. VALOR. PTO.]:[AGRUP. VALOR. PTO.]]=$B66,IF(DATOS_[[Check Periodo Ref.]:[Check Periodo Ref.]]="Dentro",IF(DATOS_[[Check Equiparado]:[Check Equiparado]]="Sí",IF(DATOS!AI$5="Sí",(1/DATOS_[[% anualiz]:[% anualiz]]),1)*IF(DATOS!AI$4="Sí",1/DATOS_[[% normaliz]:[% normaliz]],1)*(DATOS_[Conc.Sal.05])))))))),
0)</f>
        <v>0</v>
      </c>
      <c r="O67" s="101">
        <f t="array" ref="O67">IFERROR(
(AVERAGE((IF(DATOS_[[Sexo]:[Sexo]]=$B67,IF(DATOS_[[AGRUP. VALOR. PTO.]:[AGRUP. VALOR. PTO.]]=$B66,IF(DATOS_[[Check Periodo Ref.]:[Check Periodo Ref.]]="Dentro",IF(DATOS_[[Check Equiparado]:[Check Equiparado]]="Sí",IF(DATOS!AJ$5="Sí",(1/DATOS_[[% anualiz]:[% anualiz]]),1)*IF(DATOS!AJ$4="Sí",1/DATOS_[[% normaliz]:[% normaliz]],1)*(DATOS_[Conc.Sal.06])))))))),
0)</f>
        <v>0</v>
      </c>
      <c r="P67" s="101">
        <f t="array" ref="P67">IFERROR(
(AVERAGE((IF(DATOS_[[Sexo]:[Sexo]]=$B67,IF(DATOS_[[AGRUP. VALOR. PTO.]:[AGRUP. VALOR. PTO.]]=$B66,IF(DATOS_[[Check Periodo Ref.]:[Check Periodo Ref.]]="Dentro",IF(DATOS_[[Check Equiparado]:[Check Equiparado]]="Sí",IF(DATOS!AK$5="Sí",(1/DATOS_[[% anualiz]:[% anualiz]]),1)*IF(DATOS!AK$4="Sí",1/DATOS_[[% normaliz]:[% normaliz]],1)*(DATOS_[Conc.Sal.07])))))))),
0)</f>
        <v>0</v>
      </c>
      <c r="Q67" s="101">
        <f t="array" ref="Q67">IFERROR(
(AVERAGE((IF(DATOS_[[Sexo]:[Sexo]]=$B67,IF(DATOS_[[AGRUP. VALOR. PTO.]:[AGRUP. VALOR. PTO.]]=$B66,IF(DATOS_[[Check Periodo Ref.]:[Check Periodo Ref.]]="Dentro",IF(DATOS_[[Check Equiparado]:[Check Equiparado]]="Sí",IF(DATOS!AL$5="Sí",(1/DATOS_[[% anualiz]:[% anualiz]]),1)*IF(DATOS!AL$4="Sí",1/DATOS_[[% normaliz]:[% normaliz]],1)*(DATOS_[Conc.Sal.08])))))))),
0)</f>
        <v>0</v>
      </c>
      <c r="R67" s="101">
        <f t="array" ref="R67">IFERROR(
(AVERAGE((IF(DATOS_[[Sexo]:[Sexo]]=$B67,IF(DATOS_[[AGRUP. VALOR. PTO.]:[AGRUP. VALOR. PTO.]]=$B66,IF(DATOS_[[Check Periodo Ref.]:[Check Periodo Ref.]]="Dentro",IF(DATOS_[[Check Equiparado]:[Check Equiparado]]="Sí",IF(DATOS!AM$5="Sí",(1/DATOS_[[% anualiz]:[% anualiz]]),1)*IF(DATOS!AM$4="Sí",1/DATOS_[[% normaliz]:[% normaliz]],1)*(DATOS_[Conc.Sal.09])))))))),
0)</f>
        <v>0</v>
      </c>
      <c r="S67" s="101">
        <f t="array" ref="S67">IFERROR(
(AVERAGE((IF(DATOS_[[Sexo]:[Sexo]]=$B67,IF(DATOS_[[AGRUP. VALOR. PTO.]:[AGRUP. VALOR. PTO.]]=$B66,IF(DATOS_[[Check Periodo Ref.]:[Check Periodo Ref.]]="Dentro",IF(DATOS_[[Check Equiparado]:[Check Equiparado]]="Sí",IF(DATOS!AN$5="Sí",(1/DATOS_[[% anualiz]:[% anualiz]]),1)*IF(DATOS!AN$4="Sí",1/DATOS_[[% normaliz]:[% normaliz]],1)*(DATOS_[Conc.Sal.10])))))))),
0)</f>
        <v>0</v>
      </c>
      <c r="T67" s="101">
        <f t="array" ref="T67">IFERROR(
(AVERAGE((IF(DATOS_[[Sexo]:[Sexo]]=$B67,IF(DATOS_[[AGRUP. VALOR. PTO.]:[AGRUP. VALOR. PTO.]]=$B66,IF(DATOS_[[Check Periodo Ref.]:[Check Periodo Ref.]]="Dentro",IF(DATOS_[[Check Equiparado]:[Check Equiparado]]="Sí",IF(DATOS!AO$5="Sí",(1/DATOS_[[% anualiz]:[% anualiz]]),1)*IF(DATOS!AO$4="Sí",1/DATOS_[[% normaliz]:[% normaliz]],1)*(DATOS_[Conc.Sal.11])))))))),
0)</f>
        <v>0</v>
      </c>
      <c r="U67" s="101">
        <f t="array" ref="U67">IFERROR(
(AVERAGE((IF(DATOS_[[Sexo]:[Sexo]]=$B67,IF(DATOS_[[AGRUP. VALOR. PTO.]:[AGRUP. VALOR. PTO.]]=$B66,IF(DATOS_[[Check Periodo Ref.]:[Check Periodo Ref.]]="Dentro",IF(DATOS_[[Check Equiparado]:[Check Equiparado]]="Sí",IF(DATOS!AP$5="Sí",(1/DATOS_[[% anualiz]:[% anualiz]]),1)*IF(DATOS!AP$4="Sí",1/DATOS_[[% normaliz]:[% normaliz]],1)*(DATOS_[Conc.Sal.12])))))))),
0)</f>
        <v>0</v>
      </c>
      <c r="V67" s="101">
        <f t="array" ref="V67">IFERROR(
(AVERAGE((IF(DATOS_[[Sexo]:[Sexo]]=$B67,IF(DATOS_[[AGRUP. VALOR. PTO.]:[AGRUP. VALOR. PTO.]]=$B66,IF(DATOS_[[Check Periodo Ref.]:[Check Periodo Ref.]]="Dentro",IF(DATOS_[[Check Equiparado]:[Check Equiparado]]="Sí",IF(DATOS!AQ$5="Sí",(1/DATOS_[[% anualiz]:[% anualiz]]),1)*IF(DATOS!AQ$4="Sí",1/DATOS_[[% normaliz]:[% normaliz]],1)*(DATOS_[Conc.Sal.13])))))))),
0)</f>
        <v>0</v>
      </c>
      <c r="W67" s="101">
        <f t="array" ref="W67">IFERROR(
(AVERAGE((IF(DATOS_[[Sexo]:[Sexo]]=$B67,IF(DATOS_[[AGRUP. VALOR. PTO.]:[AGRUP. VALOR. PTO.]]=$B66,IF(DATOS_[[Check Periodo Ref.]:[Check Periodo Ref.]]="Dentro",IF(DATOS_[[Check Equiparado]:[Check Equiparado]]="Sí",IF(DATOS!AR$5="Sí",(1/DATOS_[[% anualiz]:[% anualiz]]),1)*IF(DATOS!AR$4="Sí",1/DATOS_[[% normaliz]:[% normaliz]],1)*(DATOS_[Conc.Sal.14])))))))),
0)</f>
        <v>0</v>
      </c>
      <c r="X67" s="101">
        <f t="array" ref="X67">IFERROR(
(AVERAGE((IF(DATOS_[[Sexo]:[Sexo]]=$B67,IF(DATOS_[[AGRUP. VALOR. PTO.]:[AGRUP. VALOR. PTO.]]=$B66,IF(DATOS_[[Check Periodo Ref.]:[Check Periodo Ref.]]="Dentro",IF(DATOS_[[Check Equiparado]:[Check Equiparado]]="Sí",IF(DATOS!AS$5="Sí",(1/DATOS_[[% anualiz]:[% anualiz]]),1)*IF(DATOS!AS$4="Sí",1/DATOS_[[% normaliz]:[% normaliz]],1)*(DATOS_[Conc.Sal.15])))))))),
0)</f>
        <v>0</v>
      </c>
      <c r="Y67" s="101">
        <f t="array" ref="Y67">IFERROR(
(AVERAGE((IF(DATOS_[[Sexo]:[Sexo]]=$B67,IF(DATOS_[[AGRUP. VALOR. PTO.]:[AGRUP. VALOR. PTO.]]=$B66,IF(DATOS_[[Check Periodo Ref.]:[Check Periodo Ref.]]="Dentro",IF(DATOS_[[Check Equiparado]:[Check Equiparado]]="Sí",IF(DATOS!AT$5="Sí",(1/DATOS_[[% anualiz]:[% anualiz]]),1)*IF(DATOS!AT$4="Sí",1/DATOS_[[% normaliz]:[% normaliz]],1)*(DATOS_[Conc.Sal.16])))))))),
0)</f>
        <v>0</v>
      </c>
      <c r="Z67" s="101">
        <f t="array" ref="Z67">IFERROR(
(AVERAGE((IF(DATOS_[[Sexo]:[Sexo]]=$B67,IF(DATOS_[[AGRUP. VALOR. PTO.]:[AGRUP. VALOR. PTO.]]=$B66,IF(DATOS_[[Check Periodo Ref.]:[Check Periodo Ref.]]="Dentro",IF(DATOS_[[Check Equiparado]:[Check Equiparado]]="Sí",IF(DATOS!AU$5="Sí",(1/DATOS_[[% anualiz]:[% anualiz]]),1)*IF(DATOS!AU$4="Sí",1/DATOS_[[% normaliz]:[% normaliz]],1)*(DATOS_[Conc.Sal.17])))))))),
0)</f>
        <v>0</v>
      </c>
      <c r="AA67" s="101">
        <f t="array" ref="AA67">IFERROR(
(AVERAGE((IF(DATOS_[[Sexo]:[Sexo]]=$B67,IF(DATOS_[[AGRUP. VALOR. PTO.]:[AGRUP. VALOR. PTO.]]=$B66,IF(DATOS_[[Check Periodo Ref.]:[Check Periodo Ref.]]="Dentro",IF(DATOS_[[Check Equiparado]:[Check Equiparado]]="Sí",IF(DATOS!AV$5="Sí",(1/DATOS_[[% anualiz]:[% anualiz]]),1)*IF(DATOS!AV$4="Sí",1/DATOS_[[% normaliz]:[% normaliz]],1)*(DATOS_[Conc.Sal.18])))))))),
0)</f>
        <v>0</v>
      </c>
      <c r="AB67" s="101">
        <f t="array" ref="AB67">IFERROR(
(AVERAGE((IF(DATOS_[[Sexo]:[Sexo]]=$B67,IF(DATOS_[[AGRUP. VALOR. PTO.]:[AGRUP. VALOR. PTO.]]=$B66,IF(DATOS_[[Check Periodo Ref.]:[Check Periodo Ref.]]="Dentro",IF(DATOS_[[Check Equiparado]:[Check Equiparado]]="Sí",IF(DATOS!AW$5="Sí",(1/DATOS_[[% anualiz]:[% anualiz]]),1)*IF(DATOS!AW$4="Sí",1/DATOS_[[% normaliz]:[% normaliz]],1)*(DATOS_[Conc.Sal.19])))))))),
0)</f>
        <v>0</v>
      </c>
      <c r="AC67" s="101">
        <f t="array" ref="AC67">IFERROR(
(AVERAGE((IF(DATOS_[[Sexo]:[Sexo]]=$B67,IF(DATOS_[[AGRUP. VALOR. PTO.]:[AGRUP. VALOR. PTO.]]=$B66,IF(DATOS_[[Check Periodo Ref.]:[Check Periodo Ref.]]="Dentro",IF(DATOS_[[Check Equiparado]:[Check Equiparado]]="Sí",IF(DATOS!AX$5="Sí",(1/DATOS_[[% anualiz]:[% anualiz]]),1)*IF(DATOS!AX$4="Sí",1/DATOS_[[% normaliz]:[% normaliz]],1)*(DATOS_[Conc.Sal.20])))))))),
0)</f>
        <v>0</v>
      </c>
      <c r="AD67" s="101">
        <f t="array" ref="AD67">IFERROR(
(AVERAGE((IF(DATOS_[[Sexo]:[Sexo]]=$B67,IF(DATOS_[[AGRUP. VALOR. PTO.]:[AGRUP. VALOR. PTO.]]=$B66,IF(DATOS_[[Check Periodo Ref.]:[Check Periodo Ref.]]="Dentro",IF(DATOS_[[Check Equiparado]:[Check Equiparado]]="Sí",IF(DATOS!AY$5="Sí",(1/DATOS_[[% anualiz]:[% anualiz]]),1)*IF(DATOS!AY$4="Sí",1/DATOS_[[% normaliz]:[% normaliz]],1)*(DATOS_[Conc.Sal.21])))))))),
0)</f>
        <v>0</v>
      </c>
      <c r="AE67" s="101">
        <f t="array" ref="AE67">IFERROR(
(AVERAGE((IF(DATOS_[[Sexo]:[Sexo]]=$B67,IF(DATOS_[[AGRUP. VALOR. PTO.]:[AGRUP. VALOR. PTO.]]=$B66,IF(DATOS_[[Check Periodo Ref.]:[Check Periodo Ref.]]="Dentro",IF(DATOS_[[Check Equiparado]:[Check Equiparado]]="Sí",IF(DATOS!AZ$5="Sí",(1/DATOS_[[% anualiz]:[% anualiz]]),1)*IF(DATOS!AZ$4="Sí",1/DATOS_[[% normaliz]:[% normaliz]],1)*(DATOS_[Conc.Sal.22])))))))),
0)</f>
        <v>0</v>
      </c>
      <c r="AF67" s="101">
        <f t="array" ref="AF67">IFERROR(
(AVERAGE((IF(DATOS_[[Sexo]:[Sexo]]=$B67,IF(DATOS_[[AGRUP. VALOR. PTO.]:[AGRUP. VALOR. PTO.]]=$B66,IF(DATOS_[[Check Periodo Ref.]:[Check Periodo Ref.]]="Dentro",IF(DATOS_[[Check Equiparado]:[Check Equiparado]]="Sí",IF(DATOS!BA$5="Sí",(1/DATOS_[[% anualiz]:[% anualiz]]),1)*IF(DATOS!BA$4="Sí",1/DATOS_[[% normaliz]:[% normaliz]],1)*(DATOS_[Conc.Sal.23])))))))),
0)</f>
        <v>0</v>
      </c>
      <c r="AG67" s="101">
        <f t="array" ref="AG67">IFERROR(
(AVERAGE((IF(DATOS_[[Sexo]:[Sexo]]=$B67,IF(DATOS_[[AGRUP. VALOR. PTO.]:[AGRUP. VALOR. PTO.]]=$B66,IF(DATOS_[[Check Periodo Ref.]:[Check Periodo Ref.]]="Dentro",IF(DATOS_[[Check Equiparado]:[Check Equiparado]]="Sí",IF(DATOS!BB$5="Sí",(1/DATOS_[[% anualiz]:[% anualiz]]),1)*IF(DATOS!BB$4="Sí",1/DATOS_[[% normaliz]:[% normaliz]],1)*(DATOS_[Conc.Sal.24])))))))),
0)</f>
        <v>0</v>
      </c>
      <c r="AH67" s="101">
        <f t="array" ref="AH67">IFERROR(
(AVERAGE((IF(DATOS_[[Sexo]:[Sexo]]=$B67,IF(DATOS_[[AGRUP. VALOR. PTO.]:[AGRUP. VALOR. PTO.]]=$B66,IF(DATOS_[[Check Periodo Ref.]:[Check Periodo Ref.]]="Dentro",IF(DATOS_[[Check Equiparado]:[Check Equiparado]]="Sí",IF(DATOS!BC$5="Sí",(1/DATOS_[[% anualiz]:[% anualiz]]),1)*IF(DATOS!BC$4="Sí",1/DATOS_[[% normaliz]:[% normaliz]],1)*(DATOS_[Conc.Sal.25])))))))),
0)</f>
        <v>0</v>
      </c>
      <c r="AI67" s="101">
        <f t="array" ref="AI67">IFERROR(
(AVERAGE((IF(DATOS_[[Sexo]:[Sexo]]=$B67,IF(DATOS_[[AGRUP. VALOR. PTO.]:[AGRUP. VALOR. PTO.]]=$B66,IF(DATOS_[[Check Periodo Ref.]:[Check Periodo Ref.]]="Dentro",IF(DATOS_[[Check Equiparado]:[Check Equiparado]]="Sí",IF(DATOS!BD$5="Sí",(1/DATOS_[[% anualiz]:[% anualiz]]),1)*IF(DATOS!BD$4="Sí",1/DATOS_[[% normaliz]:[% normaliz]],1)*(DATOS_[Conc.Sal.26])))))))),
0)</f>
        <v>0</v>
      </c>
      <c r="AJ67" s="101">
        <f t="array" ref="AJ67">IFERROR(
(AVERAGE((IF(DATOS_[[Sexo]:[Sexo]]=$B67,IF(DATOS_[[AGRUP. VALOR. PTO.]:[AGRUP. VALOR. PTO.]]=$B66,IF(DATOS_[[Check Periodo Ref.]:[Check Periodo Ref.]]="Dentro",IF(DATOS_[[Check Equiparado]:[Check Equiparado]]="Sí",IF(DATOS!BE$5="Sí",(1/DATOS_[[% anualiz]:[% anualiz]]),1)*IF(DATOS!BE$4="Sí",1/DATOS_[[% normaliz]:[% normaliz]],1)*(DATOS_[Conc.Sal.27])))))))),
0)</f>
        <v>0</v>
      </c>
      <c r="AK67" s="101">
        <f t="array" ref="AK67">IFERROR(
(AVERAGE((IF(DATOS_[[Sexo]:[Sexo]]=$B67,IF(DATOS_[[AGRUP. VALOR. PTO.]:[AGRUP. VALOR. PTO.]]=$B66,IF(DATOS_[[Check Periodo Ref.]:[Check Periodo Ref.]]="Dentro",IF(DATOS_[[Check Equiparado]:[Check Equiparado]]="Sí",IF(DATOS!BF$5="Sí",(1/DATOS_[[% anualiz]:[% anualiz]]),1)*IF(DATOS!BF$4="Sí",1/DATOS_[[% normaliz]:[% normaliz]],1)*(DATOS_[Conc.Sal.28])))))))),
0)</f>
        <v>0</v>
      </c>
      <c r="AL67" s="101">
        <f t="array" ref="AL67">IFERROR(
(AVERAGE((IF(DATOS_[[Sexo]:[Sexo]]=$B67,IF(DATOS_[[AGRUP. VALOR. PTO.]:[AGRUP. VALOR. PTO.]]=$B66,IF(DATOS_[[Check Periodo Ref.]:[Check Periodo Ref.]]="Dentro",IF(DATOS_[[Check Equiparado]:[Check Equiparado]]="Sí",IF(DATOS!BG$5="Sí",(1/DATOS_[[% anualiz]:[% anualiz]]),1)*IF(DATOS!BG$4="Sí",1/DATOS_[[% normaliz]:[% normaliz]],1)*(DATOS_[Conc.Sal.29])))))))),
0)</f>
        <v>0</v>
      </c>
      <c r="AM67" s="101">
        <f t="array" ref="AM67">IFERROR(
(AVERAGE((IF(DATOS_[[Sexo]:[Sexo]]=$B67,IF(DATOS_[[AGRUP. VALOR. PTO.]:[AGRUP. VALOR. PTO.]]=$B66,IF(DATOS_[[Check Periodo Ref.]:[Check Periodo Ref.]]="Dentro",IF(DATOS_[[Check Equiparado]:[Check Equiparado]]="Sí",IF(DATOS!BH$5="Sí",(1/DATOS_[[% anualiz]:[% anualiz]]),1)*IF(DATOS!BH$4="Sí",1/DATOS_[[% normaliz]:[% normaliz]],1)*(DATOS_[Conc.Sal.30])))))))),
0)</f>
        <v>0</v>
      </c>
      <c r="AN67" s="102">
        <f t="array" ref="AN67">IFERROR(
AVERAGE(IF(DATOS_[Sexo]=$B67,IF(DATOS_[[AGRUP. VALOR. PTO.]:[AGRUP. VALOR. PTO.]]=$B66,IF(DATOS_[Check Equiparado]="Sí",IF(DATOS_[Check Periodo Ref.]="Dentro",DATOS_[Tot COMPL.SAL Eq],FALSE))))),
0)</f>
        <v>0</v>
      </c>
      <c r="AO67" s="103">
        <f t="array" ref="AO67">IFERROR(
AVERAGE(IF(DATOS_[Sexo]=$B67,IF(DATOS_[[AGRUP. VALOR. PTO.]:[AGRUP. VALOR. PTO.]]=$B66,IF(DATOS_[Check Equiparado]="Sí",IF(DATOS_[Check Periodo Ref.]="Dentro",DATOS_[TOTAL SALARIO Eq],FALSE))))),
0)</f>
        <v>0</v>
      </c>
      <c r="AP67" s="104">
        <f t="array" ref="AP67">IFERROR(
(AVERAGE((IF(DATOS_[[Sexo]:[Sexo]]=$B67,IF(DATOS_[[AGRUP. VALOR. PTO.]:[AGRUP. VALOR. PTO.]]=$B66,IF(DATOS_[[Check Periodo Ref.]:[Check Periodo Ref.]]="Dentro",IF(DATOS_[[Check Equiparado]:[Check Equiparado]]="Sí",IF(DATOS!BI$5="Sí",(1/DATOS_[[% anualiz]:[% anualiz]]),1)*IF(DATOS!BI$4="Sí",1/DATOS_[[% normaliz]:[% normaliz]],1)*(DATOS_[C.Extra.01])))))))),
0)</f>
        <v>0</v>
      </c>
      <c r="AQ67" s="104">
        <f t="array" ref="AQ67">IFERROR(
(AVERAGE((IF(DATOS_[[Sexo]:[Sexo]]=$B67,IF(DATOS_[[AGRUP. VALOR. PTO.]:[AGRUP. VALOR. PTO.]]=$B66,IF(DATOS_[[Check Periodo Ref.]:[Check Periodo Ref.]]="Dentro",IF(DATOS_[[Check Equiparado]:[Check Equiparado]]="Sí",IF(DATOS!BJ$5="Sí",(1/DATOS_[[% anualiz]:[% anualiz]]),1)*IF(DATOS!BJ$4="Sí",1/DATOS_[[% normaliz]:[% normaliz]],1)*(DATOS_[C.Extra.02])))))))),
0)</f>
        <v>0</v>
      </c>
      <c r="AR67" s="104">
        <f t="array" ref="AR67">IFERROR(
(AVERAGE((IF(DATOS_[[Sexo]:[Sexo]]=$B67,IF(DATOS_[[AGRUP. VALOR. PTO.]:[AGRUP. VALOR. PTO.]]=$B66,IF(DATOS_[[Check Periodo Ref.]:[Check Periodo Ref.]]="Dentro",IF(DATOS_[[Check Equiparado]:[Check Equiparado]]="Sí",IF(DATOS!BK$5="Sí",(1/DATOS_[[% anualiz]:[% anualiz]]),1)*IF(DATOS!BK$4="Sí",1/DATOS_[[% normaliz]:[% normaliz]],1)*(DATOS_[C.Extra.03])))))))),
0)</f>
        <v>0</v>
      </c>
      <c r="AS67" s="104">
        <f t="array" ref="AS67">IFERROR(
(AVERAGE((IF(DATOS_[[Sexo]:[Sexo]]=$B67,IF(DATOS_[[AGRUP. VALOR. PTO.]:[AGRUP. VALOR. PTO.]]=$B66,IF(DATOS_[[Check Periodo Ref.]:[Check Periodo Ref.]]="Dentro",IF(DATOS_[[Check Equiparado]:[Check Equiparado]]="Sí",IF(DATOS!BL$5="Sí",(1/DATOS_[[% anualiz]:[% anualiz]]),1)*IF(DATOS!BL$4="Sí",1/DATOS_[[% normaliz]:[% normaliz]],1)*(DATOS_[C.Extra.04])))))))),
0)</f>
        <v>0</v>
      </c>
      <c r="AT67" s="104">
        <f t="array" ref="AT67">IFERROR(
(AVERAGE((IF(DATOS_[[Sexo]:[Sexo]]=$B67,IF(DATOS_[[AGRUP. VALOR. PTO.]:[AGRUP. VALOR. PTO.]]=$B66,IF(DATOS_[[Check Periodo Ref.]:[Check Periodo Ref.]]="Dentro",IF(DATOS_[[Check Equiparado]:[Check Equiparado]]="Sí",IF(DATOS!BM$5="Sí",(1/DATOS_[[% anualiz]:[% anualiz]]),1)*IF(DATOS!BM$4="Sí",1/DATOS_[[% normaliz]:[% normaliz]],1)*(DATOS_[C.Extra.05])))))))),
0)</f>
        <v>0</v>
      </c>
      <c r="AU67" s="105">
        <f t="array" ref="AU67">IFERROR(
AVERAGE(IF(DATOS_[Sexo]=$B67,IF(DATOS_[[AGRUP. VALOR. PTO.]:[AGRUP. VALOR. PTO.]]=$B66,IF(DATOS_[Check Equiparado]="Sí",IF(DATOS_[Check Periodo Ref.]="Dentro",DATOS_[Tot Extrasalarial Eq],FALSE))))),
0)</f>
        <v>0</v>
      </c>
      <c r="AV67" s="106">
        <f t="array" ref="AV67">IFERROR(
AVERAGE(IF(DATOS_[Sexo]=$B67,IF(DATOS_[[AGRUP. VALOR. PTO.]:[AGRUP. VALOR. PTO.]]=$B66,IF(DATOS_[Check Equiparado]="Sí",IF(DATOS_[Check Periodo Ref.]="Dentro",DATOS_[TOTAL Retrib Eq],FALSE))))),
0)</f>
        <v>0</v>
      </c>
    </row>
    <row r="68" spans="1:48" hidden="1" x14ac:dyDescent="0.3">
      <c r="A68" s="53" t="str">
        <f t="shared" ref="A68" si="74">+A67</f>
        <v>[ocultar]</v>
      </c>
      <c r="B68" s="57" t="s">
        <v>163</v>
      </c>
      <c r="C68" s="56">
        <f t="array" ref="C68">SUM(IF($B68=DATOS_[Sexo],
IF($B66=DATOS_[AGRUP. VALOR. PTO.],
IF("Dentro"=DATOS_[Check Periodo Ref.],
1/(COUNTIFS(DATOS_[Sexo],$B68,DATOS_[AGRUP. VALOR. PTO.],$B66,DATOS_[Check Periodo Ref.],"Dentro",DATOS_[id],DATOS_[id]))))))</f>
        <v>0</v>
      </c>
      <c r="D68" s="58">
        <f>COUNTIFS(DATOS_[AGRUP. VALOR. PTO.],$B66,DATOS_[Sexo],$B68,DATOS_[Check Periodo Ref.],"Dentro")</f>
        <v>0</v>
      </c>
      <c r="E68" s="58">
        <f>COUNTIFS(DATOS_[AGRUP. VALOR. PTO.],$B66,DATOS_[Sexo],$B68,DATOS_[Check Periodo Ref.],"Dentro",DATOS_[Check Nº SC Norm],"Sí")</f>
        <v>0</v>
      </c>
      <c r="F68" s="58">
        <f>COUNTIFS(DATOS_[AGRUP. VALOR. PTO.],$B66,DATOS_[Sexo],$B68,DATOS_[Check Periodo Ref.],"Dentro",DATOS_[Check Nº SC Anualiz],"Sí")</f>
        <v>0</v>
      </c>
      <c r="G68" s="58">
        <f>COUNTIFS(DATOS_[AGRUP. VALOR. PTO.],$B66,DATOS_[Sexo],$B68,DATOS_[Check Periodo Ref.],"Dentro",DATOS_[Check Nº SC Norm y Anualiz],"Sí")</f>
        <v>0</v>
      </c>
      <c r="H68" s="58">
        <f>COUNTIFS(DATOS_[AGRUP. VALOR. PTO.],$B66,DATOS_[Sexo],$B68,DATOS_[Check Periodo Ref.],"Dentro",DATOS_[Check Equiparación],"Sí")</f>
        <v>0</v>
      </c>
      <c r="I68" s="100" cm="1">
        <f t="array" ref="I68">IFERROR(
AVERAGE(IF(DATOS_[Sexo]=$B68,IF(DATOS_[[AGRUP. VALOR. PTO.]:[AGRUP. VALOR. PTO.]]=$B66,IF(DATOS_[Check Equiparado]="Sí",IF(DATOS_[Check Periodo Ref.]="Dentro",DATOS_[SALARIO BASE Eq],FALSE))))),
0)</f>
        <v>0</v>
      </c>
      <c r="J68" s="101">
        <f t="array" ref="J68">IFERROR(
(AVERAGE((IF(DATOS_[[Sexo]:[Sexo]]=$B68,IF(DATOS_[[AGRUP. VALOR. PTO.]:[AGRUP. VALOR. PTO.]]=$B66,IF(DATOS_[[Check Periodo Ref.]:[Check Periodo Ref.]]="Dentro",IF(DATOS_[[Check Equiparado]:[Check Equiparado]]="Sí",IF(DATOS!AE$5="Sí",(1/DATOS_[[% anualiz]:[% anualiz]]),1)*IF(DATOS!AE$4="Sí",1/DATOS_[[% normaliz]:[% normaliz]],1)*(DATOS_[Conc.Sal.01])))))))),
0)</f>
        <v>0</v>
      </c>
      <c r="K68" s="101">
        <f t="array" ref="K68">IFERROR(
(AVERAGE((IF(DATOS_[[Sexo]:[Sexo]]=$B68,IF(DATOS_[[AGRUP. VALOR. PTO.]:[AGRUP. VALOR. PTO.]]=$B66,IF(DATOS_[[Check Periodo Ref.]:[Check Periodo Ref.]]="Dentro",IF(DATOS_[[Check Equiparado]:[Check Equiparado]]="Sí",IF(DATOS!AF$5="Sí",(1/DATOS_[[% anualiz]:[% anualiz]]),1)*IF(DATOS!AF$4="Sí",1/DATOS_[[% normaliz]:[% normaliz]],1)*(DATOS_[Conc.Sal.02])))))))),
0)</f>
        <v>0</v>
      </c>
      <c r="L68" s="101">
        <f t="array" ref="L68">IFERROR(
(AVERAGE((IF(DATOS_[[Sexo]:[Sexo]]=$B68,IF(DATOS_[[AGRUP. VALOR. PTO.]:[AGRUP. VALOR. PTO.]]=$B66,IF(DATOS_[[Check Periodo Ref.]:[Check Periodo Ref.]]="Dentro",IF(DATOS_[[Check Equiparado]:[Check Equiparado]]="Sí",IF(DATOS!AG$5="Sí",(1/DATOS_[[% anualiz]:[% anualiz]]),1)*IF(DATOS!AG$4="Sí",1/DATOS_[[% normaliz]:[% normaliz]],1)*(DATOS_[Conc.Sal.03])))))))),
0)</f>
        <v>0</v>
      </c>
      <c r="M68" s="101">
        <f t="array" ref="M68">IFERROR(
(AVERAGE((IF(DATOS_[[Sexo]:[Sexo]]=$B68,IF(DATOS_[[AGRUP. VALOR. PTO.]:[AGRUP. VALOR. PTO.]]=$B66,IF(DATOS_[[Check Periodo Ref.]:[Check Periodo Ref.]]="Dentro",IF(DATOS_[[Check Equiparado]:[Check Equiparado]]="Sí",IF(DATOS!AH$5="Sí",(1/DATOS_[[% anualiz]:[% anualiz]]),1)*IF(DATOS!AH$4="Sí",1/DATOS_[[% normaliz]:[% normaliz]],1)*(DATOS_[Conc.Sal.04])))))))),
0)</f>
        <v>0</v>
      </c>
      <c r="N68" s="101">
        <f t="array" ref="N68">IFERROR(
(AVERAGE((IF(DATOS_[[Sexo]:[Sexo]]=$B68,IF(DATOS_[[AGRUP. VALOR. PTO.]:[AGRUP. VALOR. PTO.]]=$B66,IF(DATOS_[[Check Periodo Ref.]:[Check Periodo Ref.]]="Dentro",IF(DATOS_[[Check Equiparado]:[Check Equiparado]]="Sí",IF(DATOS!AI$5="Sí",(1/DATOS_[[% anualiz]:[% anualiz]]),1)*IF(DATOS!AI$4="Sí",1/DATOS_[[% normaliz]:[% normaliz]],1)*(DATOS_[Conc.Sal.05])))))))),
0)</f>
        <v>0</v>
      </c>
      <c r="O68" s="101">
        <f t="array" ref="O68">IFERROR(
(AVERAGE((IF(DATOS_[[Sexo]:[Sexo]]=$B68,IF(DATOS_[[AGRUP. VALOR. PTO.]:[AGRUP. VALOR. PTO.]]=$B66,IF(DATOS_[[Check Periodo Ref.]:[Check Periodo Ref.]]="Dentro",IF(DATOS_[[Check Equiparado]:[Check Equiparado]]="Sí",IF(DATOS!AJ$5="Sí",(1/DATOS_[[% anualiz]:[% anualiz]]),1)*IF(DATOS!AJ$4="Sí",1/DATOS_[[% normaliz]:[% normaliz]],1)*(DATOS_[Conc.Sal.06])))))))),
0)</f>
        <v>0</v>
      </c>
      <c r="P68" s="101">
        <f t="array" ref="P68">IFERROR(
(AVERAGE((IF(DATOS_[[Sexo]:[Sexo]]=$B68,IF(DATOS_[[AGRUP. VALOR. PTO.]:[AGRUP. VALOR. PTO.]]=$B66,IF(DATOS_[[Check Periodo Ref.]:[Check Periodo Ref.]]="Dentro",IF(DATOS_[[Check Equiparado]:[Check Equiparado]]="Sí",IF(DATOS!AK$5="Sí",(1/DATOS_[[% anualiz]:[% anualiz]]),1)*IF(DATOS!AK$4="Sí",1/DATOS_[[% normaliz]:[% normaliz]],1)*(DATOS_[Conc.Sal.07])))))))),
0)</f>
        <v>0</v>
      </c>
      <c r="Q68" s="101">
        <f t="array" ref="Q68">IFERROR(
(AVERAGE((IF(DATOS_[[Sexo]:[Sexo]]=$B68,IF(DATOS_[[AGRUP. VALOR. PTO.]:[AGRUP. VALOR. PTO.]]=$B66,IF(DATOS_[[Check Periodo Ref.]:[Check Periodo Ref.]]="Dentro",IF(DATOS_[[Check Equiparado]:[Check Equiparado]]="Sí",IF(DATOS!AL$5="Sí",(1/DATOS_[[% anualiz]:[% anualiz]]),1)*IF(DATOS!AL$4="Sí",1/DATOS_[[% normaliz]:[% normaliz]],1)*(DATOS_[Conc.Sal.08])))))))),
0)</f>
        <v>0</v>
      </c>
      <c r="R68" s="101">
        <f t="array" ref="R68">IFERROR(
(AVERAGE((IF(DATOS_[[Sexo]:[Sexo]]=$B68,IF(DATOS_[[AGRUP. VALOR. PTO.]:[AGRUP. VALOR. PTO.]]=$B66,IF(DATOS_[[Check Periodo Ref.]:[Check Periodo Ref.]]="Dentro",IF(DATOS_[[Check Equiparado]:[Check Equiparado]]="Sí",IF(DATOS!AM$5="Sí",(1/DATOS_[[% anualiz]:[% anualiz]]),1)*IF(DATOS!AM$4="Sí",1/DATOS_[[% normaliz]:[% normaliz]],1)*(DATOS_[Conc.Sal.09])))))))),
0)</f>
        <v>0</v>
      </c>
      <c r="S68" s="101">
        <f t="array" ref="S68">IFERROR(
(AVERAGE((IF(DATOS_[[Sexo]:[Sexo]]=$B68,IF(DATOS_[[AGRUP. VALOR. PTO.]:[AGRUP. VALOR. PTO.]]=$B66,IF(DATOS_[[Check Periodo Ref.]:[Check Periodo Ref.]]="Dentro",IF(DATOS_[[Check Equiparado]:[Check Equiparado]]="Sí",IF(DATOS!AN$5="Sí",(1/DATOS_[[% anualiz]:[% anualiz]]),1)*IF(DATOS!AN$4="Sí",1/DATOS_[[% normaliz]:[% normaliz]],1)*(DATOS_[Conc.Sal.10])))))))),
0)</f>
        <v>0</v>
      </c>
      <c r="T68" s="101">
        <f t="array" ref="T68">IFERROR(
(AVERAGE((IF(DATOS_[[Sexo]:[Sexo]]=$B68,IF(DATOS_[[AGRUP. VALOR. PTO.]:[AGRUP. VALOR. PTO.]]=$B66,IF(DATOS_[[Check Periodo Ref.]:[Check Periodo Ref.]]="Dentro",IF(DATOS_[[Check Equiparado]:[Check Equiparado]]="Sí",IF(DATOS!AO$5="Sí",(1/DATOS_[[% anualiz]:[% anualiz]]),1)*IF(DATOS!AO$4="Sí",1/DATOS_[[% normaliz]:[% normaliz]],1)*(DATOS_[Conc.Sal.11])))))))),
0)</f>
        <v>0</v>
      </c>
      <c r="U68" s="101">
        <f t="array" ref="U68">IFERROR(
(AVERAGE((IF(DATOS_[[Sexo]:[Sexo]]=$B68,IF(DATOS_[[AGRUP. VALOR. PTO.]:[AGRUP. VALOR. PTO.]]=$B66,IF(DATOS_[[Check Periodo Ref.]:[Check Periodo Ref.]]="Dentro",IF(DATOS_[[Check Equiparado]:[Check Equiparado]]="Sí",IF(DATOS!AP$5="Sí",(1/DATOS_[[% anualiz]:[% anualiz]]),1)*IF(DATOS!AP$4="Sí",1/DATOS_[[% normaliz]:[% normaliz]],1)*(DATOS_[Conc.Sal.12])))))))),
0)</f>
        <v>0</v>
      </c>
      <c r="V68" s="101">
        <f t="array" ref="V68">IFERROR(
(AVERAGE((IF(DATOS_[[Sexo]:[Sexo]]=$B68,IF(DATOS_[[AGRUP. VALOR. PTO.]:[AGRUP. VALOR. PTO.]]=$B66,IF(DATOS_[[Check Periodo Ref.]:[Check Periodo Ref.]]="Dentro",IF(DATOS_[[Check Equiparado]:[Check Equiparado]]="Sí",IF(DATOS!AQ$5="Sí",(1/DATOS_[[% anualiz]:[% anualiz]]),1)*IF(DATOS!AQ$4="Sí",1/DATOS_[[% normaliz]:[% normaliz]],1)*(DATOS_[Conc.Sal.13])))))))),
0)</f>
        <v>0</v>
      </c>
      <c r="W68" s="101">
        <f t="array" ref="W68">IFERROR(
(AVERAGE((IF(DATOS_[[Sexo]:[Sexo]]=$B68,IF(DATOS_[[AGRUP. VALOR. PTO.]:[AGRUP. VALOR. PTO.]]=$B66,IF(DATOS_[[Check Periodo Ref.]:[Check Periodo Ref.]]="Dentro",IF(DATOS_[[Check Equiparado]:[Check Equiparado]]="Sí",IF(DATOS!AR$5="Sí",(1/DATOS_[[% anualiz]:[% anualiz]]),1)*IF(DATOS!AR$4="Sí",1/DATOS_[[% normaliz]:[% normaliz]],1)*(DATOS_[Conc.Sal.14])))))))),
0)</f>
        <v>0</v>
      </c>
      <c r="X68" s="101">
        <f t="array" ref="X68">IFERROR(
(AVERAGE((IF(DATOS_[[Sexo]:[Sexo]]=$B68,IF(DATOS_[[AGRUP. VALOR. PTO.]:[AGRUP. VALOR. PTO.]]=$B66,IF(DATOS_[[Check Periodo Ref.]:[Check Periodo Ref.]]="Dentro",IF(DATOS_[[Check Equiparado]:[Check Equiparado]]="Sí",IF(DATOS!AS$5="Sí",(1/DATOS_[[% anualiz]:[% anualiz]]),1)*IF(DATOS!AS$4="Sí",1/DATOS_[[% normaliz]:[% normaliz]],1)*(DATOS_[Conc.Sal.15])))))))),
0)</f>
        <v>0</v>
      </c>
      <c r="Y68" s="101">
        <f t="array" ref="Y68">IFERROR(
(AVERAGE((IF(DATOS_[[Sexo]:[Sexo]]=$B68,IF(DATOS_[[AGRUP. VALOR. PTO.]:[AGRUP. VALOR. PTO.]]=$B66,IF(DATOS_[[Check Periodo Ref.]:[Check Periodo Ref.]]="Dentro",IF(DATOS_[[Check Equiparado]:[Check Equiparado]]="Sí",IF(DATOS!AT$5="Sí",(1/DATOS_[[% anualiz]:[% anualiz]]),1)*IF(DATOS!AT$4="Sí",1/DATOS_[[% normaliz]:[% normaliz]],1)*(DATOS_[Conc.Sal.16])))))))),
0)</f>
        <v>0</v>
      </c>
      <c r="Z68" s="101">
        <f t="array" ref="Z68">IFERROR(
(AVERAGE((IF(DATOS_[[Sexo]:[Sexo]]=$B68,IF(DATOS_[[AGRUP. VALOR. PTO.]:[AGRUP. VALOR. PTO.]]=$B66,IF(DATOS_[[Check Periodo Ref.]:[Check Periodo Ref.]]="Dentro",IF(DATOS_[[Check Equiparado]:[Check Equiparado]]="Sí",IF(DATOS!AU$5="Sí",(1/DATOS_[[% anualiz]:[% anualiz]]),1)*IF(DATOS!AU$4="Sí",1/DATOS_[[% normaliz]:[% normaliz]],1)*(DATOS_[Conc.Sal.17])))))))),
0)</f>
        <v>0</v>
      </c>
      <c r="AA68" s="101">
        <f t="array" ref="AA68">IFERROR(
(AVERAGE((IF(DATOS_[[Sexo]:[Sexo]]=$B68,IF(DATOS_[[AGRUP. VALOR. PTO.]:[AGRUP. VALOR. PTO.]]=$B66,IF(DATOS_[[Check Periodo Ref.]:[Check Periodo Ref.]]="Dentro",IF(DATOS_[[Check Equiparado]:[Check Equiparado]]="Sí",IF(DATOS!AV$5="Sí",(1/DATOS_[[% anualiz]:[% anualiz]]),1)*IF(DATOS!AV$4="Sí",1/DATOS_[[% normaliz]:[% normaliz]],1)*(DATOS_[Conc.Sal.18])))))))),
0)</f>
        <v>0</v>
      </c>
      <c r="AB68" s="101">
        <f t="array" ref="AB68">IFERROR(
(AVERAGE((IF(DATOS_[[Sexo]:[Sexo]]=$B68,IF(DATOS_[[AGRUP. VALOR. PTO.]:[AGRUP. VALOR. PTO.]]=$B66,IF(DATOS_[[Check Periodo Ref.]:[Check Periodo Ref.]]="Dentro",IF(DATOS_[[Check Equiparado]:[Check Equiparado]]="Sí",IF(DATOS!AW$5="Sí",(1/DATOS_[[% anualiz]:[% anualiz]]),1)*IF(DATOS!AW$4="Sí",1/DATOS_[[% normaliz]:[% normaliz]],1)*(DATOS_[Conc.Sal.19])))))))),
0)</f>
        <v>0</v>
      </c>
      <c r="AC68" s="101">
        <f t="array" ref="AC68">IFERROR(
(AVERAGE((IF(DATOS_[[Sexo]:[Sexo]]=$B68,IF(DATOS_[[AGRUP. VALOR. PTO.]:[AGRUP. VALOR. PTO.]]=$B66,IF(DATOS_[[Check Periodo Ref.]:[Check Periodo Ref.]]="Dentro",IF(DATOS_[[Check Equiparado]:[Check Equiparado]]="Sí",IF(DATOS!AX$5="Sí",(1/DATOS_[[% anualiz]:[% anualiz]]),1)*IF(DATOS!AX$4="Sí",1/DATOS_[[% normaliz]:[% normaliz]],1)*(DATOS_[Conc.Sal.20])))))))),
0)</f>
        <v>0</v>
      </c>
      <c r="AD68" s="101">
        <f t="array" ref="AD68">IFERROR(
(AVERAGE((IF(DATOS_[[Sexo]:[Sexo]]=$B68,IF(DATOS_[[AGRUP. VALOR. PTO.]:[AGRUP. VALOR. PTO.]]=$B66,IF(DATOS_[[Check Periodo Ref.]:[Check Periodo Ref.]]="Dentro",IF(DATOS_[[Check Equiparado]:[Check Equiparado]]="Sí",IF(DATOS!AY$5="Sí",(1/DATOS_[[% anualiz]:[% anualiz]]),1)*IF(DATOS!AY$4="Sí",1/DATOS_[[% normaliz]:[% normaliz]],1)*(DATOS_[Conc.Sal.21])))))))),
0)</f>
        <v>0</v>
      </c>
      <c r="AE68" s="101">
        <f t="array" ref="AE68">IFERROR(
(AVERAGE((IF(DATOS_[[Sexo]:[Sexo]]=$B68,IF(DATOS_[[AGRUP. VALOR. PTO.]:[AGRUP. VALOR. PTO.]]=$B66,IF(DATOS_[[Check Periodo Ref.]:[Check Periodo Ref.]]="Dentro",IF(DATOS_[[Check Equiparado]:[Check Equiparado]]="Sí",IF(DATOS!AZ$5="Sí",(1/DATOS_[[% anualiz]:[% anualiz]]),1)*IF(DATOS!AZ$4="Sí",1/DATOS_[[% normaliz]:[% normaliz]],1)*(DATOS_[Conc.Sal.22])))))))),
0)</f>
        <v>0</v>
      </c>
      <c r="AF68" s="101">
        <f t="array" ref="AF68">IFERROR(
(AVERAGE((IF(DATOS_[[Sexo]:[Sexo]]=$B68,IF(DATOS_[[AGRUP. VALOR. PTO.]:[AGRUP. VALOR. PTO.]]=$B66,IF(DATOS_[[Check Periodo Ref.]:[Check Periodo Ref.]]="Dentro",IF(DATOS_[[Check Equiparado]:[Check Equiparado]]="Sí",IF(DATOS!BA$5="Sí",(1/DATOS_[[% anualiz]:[% anualiz]]),1)*IF(DATOS!BA$4="Sí",1/DATOS_[[% normaliz]:[% normaliz]],1)*(DATOS_[Conc.Sal.23])))))))),
0)</f>
        <v>0</v>
      </c>
      <c r="AG68" s="101">
        <f t="array" ref="AG68">IFERROR(
(AVERAGE((IF(DATOS_[[Sexo]:[Sexo]]=$B68,IF(DATOS_[[AGRUP. VALOR. PTO.]:[AGRUP. VALOR. PTO.]]=$B66,IF(DATOS_[[Check Periodo Ref.]:[Check Periodo Ref.]]="Dentro",IF(DATOS_[[Check Equiparado]:[Check Equiparado]]="Sí",IF(DATOS!BB$5="Sí",(1/DATOS_[[% anualiz]:[% anualiz]]),1)*IF(DATOS!BB$4="Sí",1/DATOS_[[% normaliz]:[% normaliz]],1)*(DATOS_[Conc.Sal.24])))))))),
0)</f>
        <v>0</v>
      </c>
      <c r="AH68" s="101">
        <f t="array" ref="AH68">IFERROR(
(AVERAGE((IF(DATOS_[[Sexo]:[Sexo]]=$B68,IF(DATOS_[[AGRUP. VALOR. PTO.]:[AGRUP. VALOR. PTO.]]=$B66,IF(DATOS_[[Check Periodo Ref.]:[Check Periodo Ref.]]="Dentro",IF(DATOS_[[Check Equiparado]:[Check Equiparado]]="Sí",IF(DATOS!BC$5="Sí",(1/DATOS_[[% anualiz]:[% anualiz]]),1)*IF(DATOS!BC$4="Sí",1/DATOS_[[% normaliz]:[% normaliz]],1)*(DATOS_[Conc.Sal.25])))))))),
0)</f>
        <v>0</v>
      </c>
      <c r="AI68" s="101">
        <f t="array" ref="AI68">IFERROR(
(AVERAGE((IF(DATOS_[[Sexo]:[Sexo]]=$B68,IF(DATOS_[[AGRUP. VALOR. PTO.]:[AGRUP. VALOR. PTO.]]=$B66,IF(DATOS_[[Check Periodo Ref.]:[Check Periodo Ref.]]="Dentro",IF(DATOS_[[Check Equiparado]:[Check Equiparado]]="Sí",IF(DATOS!BD$5="Sí",(1/DATOS_[[% anualiz]:[% anualiz]]),1)*IF(DATOS!BD$4="Sí",1/DATOS_[[% normaliz]:[% normaliz]],1)*(DATOS_[Conc.Sal.26])))))))),
0)</f>
        <v>0</v>
      </c>
      <c r="AJ68" s="101">
        <f t="array" ref="AJ68">IFERROR(
(AVERAGE((IF(DATOS_[[Sexo]:[Sexo]]=$B68,IF(DATOS_[[AGRUP. VALOR. PTO.]:[AGRUP. VALOR. PTO.]]=$B66,IF(DATOS_[[Check Periodo Ref.]:[Check Periodo Ref.]]="Dentro",IF(DATOS_[[Check Equiparado]:[Check Equiparado]]="Sí",IF(DATOS!BE$5="Sí",(1/DATOS_[[% anualiz]:[% anualiz]]),1)*IF(DATOS!BE$4="Sí",1/DATOS_[[% normaliz]:[% normaliz]],1)*(DATOS_[Conc.Sal.27])))))))),
0)</f>
        <v>0</v>
      </c>
      <c r="AK68" s="101">
        <f t="array" ref="AK68">IFERROR(
(AVERAGE((IF(DATOS_[[Sexo]:[Sexo]]=$B68,IF(DATOS_[[AGRUP. VALOR. PTO.]:[AGRUP. VALOR. PTO.]]=$B66,IF(DATOS_[[Check Periodo Ref.]:[Check Periodo Ref.]]="Dentro",IF(DATOS_[[Check Equiparado]:[Check Equiparado]]="Sí",IF(DATOS!BF$5="Sí",(1/DATOS_[[% anualiz]:[% anualiz]]),1)*IF(DATOS!BF$4="Sí",1/DATOS_[[% normaliz]:[% normaliz]],1)*(DATOS_[Conc.Sal.28])))))))),
0)</f>
        <v>0</v>
      </c>
      <c r="AL68" s="101">
        <f t="array" ref="AL68">IFERROR(
(AVERAGE((IF(DATOS_[[Sexo]:[Sexo]]=$B68,IF(DATOS_[[AGRUP. VALOR. PTO.]:[AGRUP. VALOR. PTO.]]=$B66,IF(DATOS_[[Check Periodo Ref.]:[Check Periodo Ref.]]="Dentro",IF(DATOS_[[Check Equiparado]:[Check Equiparado]]="Sí",IF(DATOS!BG$5="Sí",(1/DATOS_[[% anualiz]:[% anualiz]]),1)*IF(DATOS!BG$4="Sí",1/DATOS_[[% normaliz]:[% normaliz]],1)*(DATOS_[Conc.Sal.29])))))))),
0)</f>
        <v>0</v>
      </c>
      <c r="AM68" s="101">
        <f t="array" ref="AM68">IFERROR(
(AVERAGE((IF(DATOS_[[Sexo]:[Sexo]]=$B68,IF(DATOS_[[AGRUP. VALOR. PTO.]:[AGRUP. VALOR. PTO.]]=$B66,IF(DATOS_[[Check Periodo Ref.]:[Check Periodo Ref.]]="Dentro",IF(DATOS_[[Check Equiparado]:[Check Equiparado]]="Sí",IF(DATOS!BH$5="Sí",(1/DATOS_[[% anualiz]:[% anualiz]]),1)*IF(DATOS!BH$4="Sí",1/DATOS_[[% normaliz]:[% normaliz]],1)*(DATOS_[Conc.Sal.30])))))))),
0)</f>
        <v>0</v>
      </c>
      <c r="AN68" s="102">
        <f t="array" ref="AN68">IFERROR(
AVERAGE(IF(DATOS_[Sexo]=$B68,IF(DATOS_[[AGRUP. VALOR. PTO.]:[AGRUP. VALOR. PTO.]]=$B66,IF(DATOS_[Check Equiparado]="Sí",IF(DATOS_[Check Periodo Ref.]="Dentro",DATOS_[Tot COMPL.SAL Eq],FALSE))))),
0)</f>
        <v>0</v>
      </c>
      <c r="AO68" s="103">
        <f t="array" ref="AO68">IFERROR(
AVERAGE(IF(DATOS_[Sexo]=$B68,IF(DATOS_[[AGRUP. VALOR. PTO.]:[AGRUP. VALOR. PTO.]]=$B66,IF(DATOS_[Check Equiparado]="Sí",IF(DATOS_[Check Periodo Ref.]="Dentro",DATOS_[TOTAL SALARIO Eq],FALSE))))),
0)</f>
        <v>0</v>
      </c>
      <c r="AP68" s="104">
        <f t="array" ref="AP68">IFERROR(
(AVERAGE((IF(DATOS_[[Sexo]:[Sexo]]=$B68,IF(DATOS_[[AGRUP. VALOR. PTO.]:[AGRUP. VALOR. PTO.]]=$B66,IF(DATOS_[[Check Periodo Ref.]:[Check Periodo Ref.]]="Dentro",IF(DATOS_[[Check Equiparado]:[Check Equiparado]]="Sí",IF(DATOS!BI$5="Sí",(1/DATOS_[[% anualiz]:[% anualiz]]),1)*IF(DATOS!BI$4="Sí",1/DATOS_[[% normaliz]:[% normaliz]],1)*(DATOS_[C.Extra.01])))))))),
0)</f>
        <v>0</v>
      </c>
      <c r="AQ68" s="104">
        <f t="array" ref="AQ68">IFERROR(
(AVERAGE((IF(DATOS_[[Sexo]:[Sexo]]=$B68,IF(DATOS_[[AGRUP. VALOR. PTO.]:[AGRUP. VALOR. PTO.]]=$B66,IF(DATOS_[[Check Periodo Ref.]:[Check Periodo Ref.]]="Dentro",IF(DATOS_[[Check Equiparado]:[Check Equiparado]]="Sí",IF(DATOS!BJ$5="Sí",(1/DATOS_[[% anualiz]:[% anualiz]]),1)*IF(DATOS!BJ$4="Sí",1/DATOS_[[% normaliz]:[% normaliz]],1)*(DATOS_[C.Extra.02])))))))),
0)</f>
        <v>0</v>
      </c>
      <c r="AR68" s="104">
        <f t="array" ref="AR68">IFERROR(
(AVERAGE((IF(DATOS_[[Sexo]:[Sexo]]=$B68,IF(DATOS_[[AGRUP. VALOR. PTO.]:[AGRUP. VALOR. PTO.]]=$B66,IF(DATOS_[[Check Periodo Ref.]:[Check Periodo Ref.]]="Dentro",IF(DATOS_[[Check Equiparado]:[Check Equiparado]]="Sí",IF(DATOS!BK$5="Sí",(1/DATOS_[[% anualiz]:[% anualiz]]),1)*IF(DATOS!BK$4="Sí",1/DATOS_[[% normaliz]:[% normaliz]],1)*(DATOS_[C.Extra.03])))))))),
0)</f>
        <v>0</v>
      </c>
      <c r="AS68" s="104">
        <f t="array" ref="AS68">IFERROR(
(AVERAGE((IF(DATOS_[[Sexo]:[Sexo]]=$B68,IF(DATOS_[[AGRUP. VALOR. PTO.]:[AGRUP. VALOR. PTO.]]=$B66,IF(DATOS_[[Check Periodo Ref.]:[Check Periodo Ref.]]="Dentro",IF(DATOS_[[Check Equiparado]:[Check Equiparado]]="Sí",IF(DATOS!BL$5="Sí",(1/DATOS_[[% anualiz]:[% anualiz]]),1)*IF(DATOS!BL$4="Sí",1/DATOS_[[% normaliz]:[% normaliz]],1)*(DATOS_[C.Extra.04])))))))),
0)</f>
        <v>0</v>
      </c>
      <c r="AT68" s="104">
        <f t="array" ref="AT68">IFERROR(
(AVERAGE((IF(DATOS_[[Sexo]:[Sexo]]=$B68,IF(DATOS_[[AGRUP. VALOR. PTO.]:[AGRUP. VALOR. PTO.]]=$B66,IF(DATOS_[[Check Periodo Ref.]:[Check Periodo Ref.]]="Dentro",IF(DATOS_[[Check Equiparado]:[Check Equiparado]]="Sí",IF(DATOS!BM$5="Sí",(1/DATOS_[[% anualiz]:[% anualiz]]),1)*IF(DATOS!BM$4="Sí",1/DATOS_[[% normaliz]:[% normaliz]],1)*(DATOS_[C.Extra.05])))))))),
0)</f>
        <v>0</v>
      </c>
      <c r="AU68" s="105">
        <f t="array" ref="AU68">IFERROR(
AVERAGE(IF(DATOS_[Sexo]=$B68,IF(DATOS_[[AGRUP. VALOR. PTO.]:[AGRUP. VALOR. PTO.]]=$B66,IF(DATOS_[Check Equiparado]="Sí",IF(DATOS_[Check Periodo Ref.]="Dentro",DATOS_[Tot Extrasalarial Eq],FALSE))))),
0)</f>
        <v>0</v>
      </c>
      <c r="AV68" s="106">
        <f t="array" ref="AV68">IFERROR(
AVERAGE(IF(DATOS_[Sexo]=$B68,IF(DATOS_[[AGRUP. VALOR. PTO.]:[AGRUP. VALOR. PTO.]]=$B66,IF(DATOS_[Check Equiparado]="Sí",IF(DATOS_[Check Periodo Ref.]="Dentro",DATOS_[TOTAL Retrib Eq],FALSE))))),
0)</f>
        <v>0</v>
      </c>
    </row>
    <row r="69" spans="1:48" ht="17.25" hidden="1" thickBot="1" x14ac:dyDescent="0.35">
      <c r="A69" s="53" t="str">
        <f t="shared" ref="A69" si="75">+A70</f>
        <v>[ocultar]</v>
      </c>
      <c r="B69" s="62" t="s">
        <v>278</v>
      </c>
      <c r="C69" s="99"/>
      <c r="D69" s="63"/>
      <c r="E69" s="63"/>
      <c r="F69" s="63"/>
      <c r="G69" s="63"/>
      <c r="H69" s="63"/>
      <c r="I69" s="129" t="str">
        <f t="shared" ref="I69:AV69" si="76">IFERROR((I70-I71)/I70,"")</f>
        <v/>
      </c>
      <c r="J69" s="130" t="str">
        <f t="shared" si="76"/>
        <v/>
      </c>
      <c r="K69" s="131" t="str">
        <f t="shared" si="76"/>
        <v/>
      </c>
      <c r="L69" s="131" t="str">
        <f t="shared" si="76"/>
        <v/>
      </c>
      <c r="M69" s="131" t="str">
        <f t="shared" si="76"/>
        <v/>
      </c>
      <c r="N69" s="132" t="str">
        <f t="shared" si="76"/>
        <v/>
      </c>
      <c r="O69" s="133" t="str">
        <f t="shared" si="76"/>
        <v/>
      </c>
      <c r="P69" s="133" t="str">
        <f t="shared" si="76"/>
        <v/>
      </c>
      <c r="Q69" s="133" t="str">
        <f t="shared" si="76"/>
        <v/>
      </c>
      <c r="R69" s="133" t="str">
        <f t="shared" si="76"/>
        <v/>
      </c>
      <c r="S69" s="133" t="str">
        <f t="shared" si="76"/>
        <v/>
      </c>
      <c r="T69" s="133" t="str">
        <f t="shared" si="76"/>
        <v/>
      </c>
      <c r="U69" s="133" t="str">
        <f t="shared" si="76"/>
        <v/>
      </c>
      <c r="V69" s="133" t="str">
        <f t="shared" si="76"/>
        <v/>
      </c>
      <c r="W69" s="133" t="str">
        <f t="shared" si="76"/>
        <v/>
      </c>
      <c r="X69" s="133" t="str">
        <f t="shared" si="76"/>
        <v/>
      </c>
      <c r="Y69" s="133" t="str">
        <f t="shared" si="76"/>
        <v/>
      </c>
      <c r="Z69" s="132" t="str">
        <f t="shared" si="76"/>
        <v/>
      </c>
      <c r="AA69" s="132" t="str">
        <f t="shared" si="76"/>
        <v/>
      </c>
      <c r="AB69" s="132" t="str">
        <f t="shared" si="76"/>
        <v/>
      </c>
      <c r="AC69" s="132" t="str">
        <f t="shared" si="76"/>
        <v/>
      </c>
      <c r="AD69" s="132" t="str">
        <f t="shared" si="76"/>
        <v/>
      </c>
      <c r="AE69" s="132" t="str">
        <f t="shared" si="76"/>
        <v/>
      </c>
      <c r="AF69" s="132" t="str">
        <f t="shared" si="76"/>
        <v/>
      </c>
      <c r="AG69" s="132" t="str">
        <f t="shared" si="76"/>
        <v/>
      </c>
      <c r="AH69" s="132" t="str">
        <f t="shared" si="76"/>
        <v/>
      </c>
      <c r="AI69" s="132" t="str">
        <f t="shared" si="76"/>
        <v/>
      </c>
      <c r="AJ69" s="132" t="str">
        <f t="shared" si="76"/>
        <v/>
      </c>
      <c r="AK69" s="132" t="str">
        <f t="shared" si="76"/>
        <v/>
      </c>
      <c r="AL69" s="132" t="str">
        <f t="shared" si="76"/>
        <v/>
      </c>
      <c r="AM69" s="132" t="str">
        <f t="shared" si="76"/>
        <v/>
      </c>
      <c r="AN69" s="134" t="str">
        <f t="shared" si="76"/>
        <v/>
      </c>
      <c r="AO69" s="138" t="str">
        <f t="shared" si="76"/>
        <v/>
      </c>
      <c r="AP69" s="135" t="str">
        <f t="shared" si="76"/>
        <v/>
      </c>
      <c r="AQ69" s="135" t="str">
        <f t="shared" si="76"/>
        <v/>
      </c>
      <c r="AR69" s="135" t="str">
        <f t="shared" si="76"/>
        <v/>
      </c>
      <c r="AS69" s="135" t="str">
        <f t="shared" si="76"/>
        <v/>
      </c>
      <c r="AT69" s="135" t="str">
        <f t="shared" si="76"/>
        <v/>
      </c>
      <c r="AU69" s="136" t="str">
        <f t="shared" si="76"/>
        <v/>
      </c>
      <c r="AV69" s="137" t="str">
        <f t="shared" si="76"/>
        <v/>
      </c>
    </row>
    <row r="70" spans="1:48" hidden="1" x14ac:dyDescent="0.3">
      <c r="A70" s="53" t="str">
        <f t="shared" ref="A70" si="77">+IF(C70+C71=0,"[ocultar]","")</f>
        <v>[ocultar]</v>
      </c>
      <c r="B70" s="57" t="s">
        <v>162</v>
      </c>
      <c r="C70" s="56">
        <f t="array" ref="C70">SUM(IF($B70=DATOS_[Sexo],
IF($B69=DATOS_[AGRUP. VALOR. PTO.],
IF("Dentro"=DATOS_[Check Periodo Ref.],
1/(COUNTIFS(DATOS_[Sexo],$B70,DATOS_[AGRUP. VALOR. PTO.],$B69,DATOS_[Check Periodo Ref.],"Dentro",DATOS_[id],DATOS_[id]))))))</f>
        <v>0</v>
      </c>
      <c r="D70" s="58">
        <f>COUNTIFS(DATOS_[AGRUP. VALOR. PTO.],$B69,DATOS_[Sexo],$B70,DATOS_[Check Periodo Ref.],"Dentro")</f>
        <v>0</v>
      </c>
      <c r="E70" s="58">
        <f>COUNTIFS(DATOS_[AGRUP. VALOR. PTO.],$B69,DATOS_[Sexo],$B70,DATOS_[Check Periodo Ref.],"Dentro",DATOS_[Check Nº SC Norm],"Sí")</f>
        <v>0</v>
      </c>
      <c r="F70" s="58">
        <f>COUNTIFS(DATOS_[AGRUP. VALOR. PTO.],$B69,DATOS_[Sexo],$B70,DATOS_[Check Periodo Ref.],"Dentro",DATOS_[Check Nº SC Anualiz],"Sí")</f>
        <v>0</v>
      </c>
      <c r="G70" s="58">
        <f>COUNTIFS(DATOS_[AGRUP. VALOR. PTO.],$B69,DATOS_[Sexo],$B70,DATOS_[Check Periodo Ref.],"Dentro",DATOS_[Check Nº SC Norm y Anualiz],"Sí")</f>
        <v>0</v>
      </c>
      <c r="H70" s="58">
        <f>COUNTIFS(DATOS_[AGRUP. VALOR. PTO.],$B69,DATOS_[Sexo],$B70,DATOS_[Check Periodo Ref.],"Dentro",DATOS_[Check Equiparación],"Sí")</f>
        <v>0</v>
      </c>
      <c r="I70" s="100">
        <f t="array" ref="I70">IFERROR(
AVERAGE(IF(DATOS_[Sexo]=$B70,IF(DATOS_[[AGRUP. VALOR. PTO.]:[AGRUP. VALOR. PTO.]]=$B69,IF(DATOS_[Check Equiparado]="Sí",IF(DATOS_[Check Periodo Ref.]="Dentro",DATOS_[SALARIO BASE Eq],FALSE))))),
0)</f>
        <v>0</v>
      </c>
      <c r="J70" s="101">
        <f t="array" ref="J70">IFERROR(
(AVERAGE((IF(DATOS_[[Sexo]:[Sexo]]=$B70,IF(DATOS_[[AGRUP. VALOR. PTO.]:[AGRUP. VALOR. PTO.]]=$B69,IF(DATOS_[[Check Periodo Ref.]:[Check Periodo Ref.]]="Dentro",IF(DATOS_[[Check Equiparado]:[Check Equiparado]]="Sí",IF(DATOS!AE$5="Sí",(1/DATOS_[[% anualiz]:[% anualiz]]),1)*IF(DATOS!AE$4="Sí",1/DATOS_[[% normaliz]:[% normaliz]],1)*(DATOS_[Conc.Sal.01])))))))),
0)</f>
        <v>0</v>
      </c>
      <c r="K70" s="101">
        <f t="array" ref="K70">IFERROR(
(AVERAGE((IF(DATOS_[[Sexo]:[Sexo]]=$B70,IF(DATOS_[[AGRUP. VALOR. PTO.]:[AGRUP. VALOR. PTO.]]=$B69,IF(DATOS_[[Check Periodo Ref.]:[Check Periodo Ref.]]="Dentro",IF(DATOS_[[Check Equiparado]:[Check Equiparado]]="Sí",IF(DATOS!AF$5="Sí",(1/DATOS_[[% anualiz]:[% anualiz]]),1)*IF(DATOS!AF$4="Sí",1/DATOS_[[% normaliz]:[% normaliz]],1)*(DATOS_[Conc.Sal.02])))))))),
0)</f>
        <v>0</v>
      </c>
      <c r="L70" s="101">
        <f t="array" ref="L70">IFERROR(
(AVERAGE((IF(DATOS_[[Sexo]:[Sexo]]=$B70,IF(DATOS_[[AGRUP. VALOR. PTO.]:[AGRUP. VALOR. PTO.]]=$B69,IF(DATOS_[[Check Periodo Ref.]:[Check Periodo Ref.]]="Dentro",IF(DATOS_[[Check Equiparado]:[Check Equiparado]]="Sí",IF(DATOS!AG$5="Sí",(1/DATOS_[[% anualiz]:[% anualiz]]),1)*IF(DATOS!AG$4="Sí",1/DATOS_[[% normaliz]:[% normaliz]],1)*(DATOS_[Conc.Sal.03])))))))),
0)</f>
        <v>0</v>
      </c>
      <c r="M70" s="101">
        <f t="array" ref="M70">IFERROR(
(AVERAGE((IF(DATOS_[[Sexo]:[Sexo]]=$B70,IF(DATOS_[[AGRUP. VALOR. PTO.]:[AGRUP. VALOR. PTO.]]=$B69,IF(DATOS_[[Check Periodo Ref.]:[Check Periodo Ref.]]="Dentro",IF(DATOS_[[Check Equiparado]:[Check Equiparado]]="Sí",IF(DATOS!AH$5="Sí",(1/DATOS_[[% anualiz]:[% anualiz]]),1)*IF(DATOS!AH$4="Sí",1/DATOS_[[% normaliz]:[% normaliz]],1)*(DATOS_[Conc.Sal.04])))))))),
0)</f>
        <v>0</v>
      </c>
      <c r="N70" s="101">
        <f t="array" ref="N70">IFERROR(
(AVERAGE((IF(DATOS_[[Sexo]:[Sexo]]=$B70,IF(DATOS_[[AGRUP. VALOR. PTO.]:[AGRUP. VALOR. PTO.]]=$B69,IF(DATOS_[[Check Periodo Ref.]:[Check Periodo Ref.]]="Dentro",IF(DATOS_[[Check Equiparado]:[Check Equiparado]]="Sí",IF(DATOS!AI$5="Sí",(1/DATOS_[[% anualiz]:[% anualiz]]),1)*IF(DATOS!AI$4="Sí",1/DATOS_[[% normaliz]:[% normaliz]],1)*(DATOS_[Conc.Sal.05])))))))),
0)</f>
        <v>0</v>
      </c>
      <c r="O70" s="101">
        <f t="array" ref="O70">IFERROR(
(AVERAGE((IF(DATOS_[[Sexo]:[Sexo]]=$B70,IF(DATOS_[[AGRUP. VALOR. PTO.]:[AGRUP. VALOR. PTO.]]=$B69,IF(DATOS_[[Check Periodo Ref.]:[Check Periodo Ref.]]="Dentro",IF(DATOS_[[Check Equiparado]:[Check Equiparado]]="Sí",IF(DATOS!AJ$5="Sí",(1/DATOS_[[% anualiz]:[% anualiz]]),1)*IF(DATOS!AJ$4="Sí",1/DATOS_[[% normaliz]:[% normaliz]],1)*(DATOS_[Conc.Sal.06])))))))),
0)</f>
        <v>0</v>
      </c>
      <c r="P70" s="101">
        <f t="array" ref="P70">IFERROR(
(AVERAGE((IF(DATOS_[[Sexo]:[Sexo]]=$B70,IF(DATOS_[[AGRUP. VALOR. PTO.]:[AGRUP. VALOR. PTO.]]=$B69,IF(DATOS_[[Check Periodo Ref.]:[Check Periodo Ref.]]="Dentro",IF(DATOS_[[Check Equiparado]:[Check Equiparado]]="Sí",IF(DATOS!AK$5="Sí",(1/DATOS_[[% anualiz]:[% anualiz]]),1)*IF(DATOS!AK$4="Sí",1/DATOS_[[% normaliz]:[% normaliz]],1)*(DATOS_[Conc.Sal.07])))))))),
0)</f>
        <v>0</v>
      </c>
      <c r="Q70" s="101">
        <f t="array" ref="Q70">IFERROR(
(AVERAGE((IF(DATOS_[[Sexo]:[Sexo]]=$B70,IF(DATOS_[[AGRUP. VALOR. PTO.]:[AGRUP. VALOR. PTO.]]=$B69,IF(DATOS_[[Check Periodo Ref.]:[Check Periodo Ref.]]="Dentro",IF(DATOS_[[Check Equiparado]:[Check Equiparado]]="Sí",IF(DATOS!AL$5="Sí",(1/DATOS_[[% anualiz]:[% anualiz]]),1)*IF(DATOS!AL$4="Sí",1/DATOS_[[% normaliz]:[% normaliz]],1)*(DATOS_[Conc.Sal.08])))))))),
0)</f>
        <v>0</v>
      </c>
      <c r="R70" s="101">
        <f t="array" ref="R70">IFERROR(
(AVERAGE((IF(DATOS_[[Sexo]:[Sexo]]=$B70,IF(DATOS_[[AGRUP. VALOR. PTO.]:[AGRUP. VALOR. PTO.]]=$B69,IF(DATOS_[[Check Periodo Ref.]:[Check Periodo Ref.]]="Dentro",IF(DATOS_[[Check Equiparado]:[Check Equiparado]]="Sí",IF(DATOS!AM$5="Sí",(1/DATOS_[[% anualiz]:[% anualiz]]),1)*IF(DATOS!AM$4="Sí",1/DATOS_[[% normaliz]:[% normaliz]],1)*(DATOS_[Conc.Sal.09])))))))),
0)</f>
        <v>0</v>
      </c>
      <c r="S70" s="101">
        <f t="array" ref="S70">IFERROR(
(AVERAGE((IF(DATOS_[[Sexo]:[Sexo]]=$B70,IF(DATOS_[[AGRUP. VALOR. PTO.]:[AGRUP. VALOR. PTO.]]=$B69,IF(DATOS_[[Check Periodo Ref.]:[Check Periodo Ref.]]="Dentro",IF(DATOS_[[Check Equiparado]:[Check Equiparado]]="Sí",IF(DATOS!AN$5="Sí",(1/DATOS_[[% anualiz]:[% anualiz]]),1)*IF(DATOS!AN$4="Sí",1/DATOS_[[% normaliz]:[% normaliz]],1)*(DATOS_[Conc.Sal.10])))))))),
0)</f>
        <v>0</v>
      </c>
      <c r="T70" s="101">
        <f t="array" ref="T70">IFERROR(
(AVERAGE((IF(DATOS_[[Sexo]:[Sexo]]=$B70,IF(DATOS_[[AGRUP. VALOR. PTO.]:[AGRUP. VALOR. PTO.]]=$B69,IF(DATOS_[[Check Periodo Ref.]:[Check Periodo Ref.]]="Dentro",IF(DATOS_[[Check Equiparado]:[Check Equiparado]]="Sí",IF(DATOS!AO$5="Sí",(1/DATOS_[[% anualiz]:[% anualiz]]),1)*IF(DATOS!AO$4="Sí",1/DATOS_[[% normaliz]:[% normaliz]],1)*(DATOS_[Conc.Sal.11])))))))),
0)</f>
        <v>0</v>
      </c>
      <c r="U70" s="101">
        <f t="array" ref="U70">IFERROR(
(AVERAGE((IF(DATOS_[[Sexo]:[Sexo]]=$B70,IF(DATOS_[[AGRUP. VALOR. PTO.]:[AGRUP. VALOR. PTO.]]=$B69,IF(DATOS_[[Check Periodo Ref.]:[Check Periodo Ref.]]="Dentro",IF(DATOS_[[Check Equiparado]:[Check Equiparado]]="Sí",IF(DATOS!AP$5="Sí",(1/DATOS_[[% anualiz]:[% anualiz]]),1)*IF(DATOS!AP$4="Sí",1/DATOS_[[% normaliz]:[% normaliz]],1)*(DATOS_[Conc.Sal.12])))))))),
0)</f>
        <v>0</v>
      </c>
      <c r="V70" s="101">
        <f t="array" ref="V70">IFERROR(
(AVERAGE((IF(DATOS_[[Sexo]:[Sexo]]=$B70,IF(DATOS_[[AGRUP. VALOR. PTO.]:[AGRUP. VALOR. PTO.]]=$B69,IF(DATOS_[[Check Periodo Ref.]:[Check Periodo Ref.]]="Dentro",IF(DATOS_[[Check Equiparado]:[Check Equiparado]]="Sí",IF(DATOS!AQ$5="Sí",(1/DATOS_[[% anualiz]:[% anualiz]]),1)*IF(DATOS!AQ$4="Sí",1/DATOS_[[% normaliz]:[% normaliz]],1)*(DATOS_[Conc.Sal.13])))))))),
0)</f>
        <v>0</v>
      </c>
      <c r="W70" s="101">
        <f t="array" ref="W70">IFERROR(
(AVERAGE((IF(DATOS_[[Sexo]:[Sexo]]=$B70,IF(DATOS_[[AGRUP. VALOR. PTO.]:[AGRUP. VALOR. PTO.]]=$B69,IF(DATOS_[[Check Periodo Ref.]:[Check Periodo Ref.]]="Dentro",IF(DATOS_[[Check Equiparado]:[Check Equiparado]]="Sí",IF(DATOS!AR$5="Sí",(1/DATOS_[[% anualiz]:[% anualiz]]),1)*IF(DATOS!AR$4="Sí",1/DATOS_[[% normaliz]:[% normaliz]],1)*(DATOS_[Conc.Sal.14])))))))),
0)</f>
        <v>0</v>
      </c>
      <c r="X70" s="101">
        <f t="array" ref="X70">IFERROR(
(AVERAGE((IF(DATOS_[[Sexo]:[Sexo]]=$B70,IF(DATOS_[[AGRUP. VALOR. PTO.]:[AGRUP. VALOR. PTO.]]=$B69,IF(DATOS_[[Check Periodo Ref.]:[Check Periodo Ref.]]="Dentro",IF(DATOS_[[Check Equiparado]:[Check Equiparado]]="Sí",IF(DATOS!AS$5="Sí",(1/DATOS_[[% anualiz]:[% anualiz]]),1)*IF(DATOS!AS$4="Sí",1/DATOS_[[% normaliz]:[% normaliz]],1)*(DATOS_[Conc.Sal.15])))))))),
0)</f>
        <v>0</v>
      </c>
      <c r="Y70" s="101">
        <f t="array" ref="Y70">IFERROR(
(AVERAGE((IF(DATOS_[[Sexo]:[Sexo]]=$B70,IF(DATOS_[[AGRUP. VALOR. PTO.]:[AGRUP. VALOR. PTO.]]=$B69,IF(DATOS_[[Check Periodo Ref.]:[Check Periodo Ref.]]="Dentro",IF(DATOS_[[Check Equiparado]:[Check Equiparado]]="Sí",IF(DATOS!AT$5="Sí",(1/DATOS_[[% anualiz]:[% anualiz]]),1)*IF(DATOS!AT$4="Sí",1/DATOS_[[% normaliz]:[% normaliz]],1)*(DATOS_[Conc.Sal.16])))))))),
0)</f>
        <v>0</v>
      </c>
      <c r="Z70" s="101">
        <f t="array" ref="Z70">IFERROR(
(AVERAGE((IF(DATOS_[[Sexo]:[Sexo]]=$B70,IF(DATOS_[[AGRUP. VALOR. PTO.]:[AGRUP. VALOR. PTO.]]=$B69,IF(DATOS_[[Check Periodo Ref.]:[Check Periodo Ref.]]="Dentro",IF(DATOS_[[Check Equiparado]:[Check Equiparado]]="Sí",IF(DATOS!AU$5="Sí",(1/DATOS_[[% anualiz]:[% anualiz]]),1)*IF(DATOS!AU$4="Sí",1/DATOS_[[% normaliz]:[% normaliz]],1)*(DATOS_[Conc.Sal.17])))))))),
0)</f>
        <v>0</v>
      </c>
      <c r="AA70" s="101">
        <f t="array" ref="AA70">IFERROR(
(AVERAGE((IF(DATOS_[[Sexo]:[Sexo]]=$B70,IF(DATOS_[[AGRUP. VALOR. PTO.]:[AGRUP. VALOR. PTO.]]=$B69,IF(DATOS_[[Check Periodo Ref.]:[Check Periodo Ref.]]="Dentro",IF(DATOS_[[Check Equiparado]:[Check Equiparado]]="Sí",IF(DATOS!AV$5="Sí",(1/DATOS_[[% anualiz]:[% anualiz]]),1)*IF(DATOS!AV$4="Sí",1/DATOS_[[% normaliz]:[% normaliz]],1)*(DATOS_[Conc.Sal.18])))))))),
0)</f>
        <v>0</v>
      </c>
      <c r="AB70" s="101">
        <f t="array" ref="AB70">IFERROR(
(AVERAGE((IF(DATOS_[[Sexo]:[Sexo]]=$B70,IF(DATOS_[[AGRUP. VALOR. PTO.]:[AGRUP. VALOR. PTO.]]=$B69,IF(DATOS_[[Check Periodo Ref.]:[Check Periodo Ref.]]="Dentro",IF(DATOS_[[Check Equiparado]:[Check Equiparado]]="Sí",IF(DATOS!AW$5="Sí",(1/DATOS_[[% anualiz]:[% anualiz]]),1)*IF(DATOS!AW$4="Sí",1/DATOS_[[% normaliz]:[% normaliz]],1)*(DATOS_[Conc.Sal.19])))))))),
0)</f>
        <v>0</v>
      </c>
      <c r="AC70" s="101">
        <f t="array" ref="AC70">IFERROR(
(AVERAGE((IF(DATOS_[[Sexo]:[Sexo]]=$B70,IF(DATOS_[[AGRUP. VALOR. PTO.]:[AGRUP. VALOR. PTO.]]=$B69,IF(DATOS_[[Check Periodo Ref.]:[Check Periodo Ref.]]="Dentro",IF(DATOS_[[Check Equiparado]:[Check Equiparado]]="Sí",IF(DATOS!AX$5="Sí",(1/DATOS_[[% anualiz]:[% anualiz]]),1)*IF(DATOS!AX$4="Sí",1/DATOS_[[% normaliz]:[% normaliz]],1)*(DATOS_[Conc.Sal.20])))))))),
0)</f>
        <v>0</v>
      </c>
      <c r="AD70" s="101">
        <f t="array" ref="AD70">IFERROR(
(AVERAGE((IF(DATOS_[[Sexo]:[Sexo]]=$B70,IF(DATOS_[[AGRUP. VALOR. PTO.]:[AGRUP. VALOR. PTO.]]=$B69,IF(DATOS_[[Check Periodo Ref.]:[Check Periodo Ref.]]="Dentro",IF(DATOS_[[Check Equiparado]:[Check Equiparado]]="Sí",IF(DATOS!AY$5="Sí",(1/DATOS_[[% anualiz]:[% anualiz]]),1)*IF(DATOS!AY$4="Sí",1/DATOS_[[% normaliz]:[% normaliz]],1)*(DATOS_[Conc.Sal.21])))))))),
0)</f>
        <v>0</v>
      </c>
      <c r="AE70" s="101">
        <f t="array" ref="AE70">IFERROR(
(AVERAGE((IF(DATOS_[[Sexo]:[Sexo]]=$B70,IF(DATOS_[[AGRUP. VALOR. PTO.]:[AGRUP. VALOR. PTO.]]=$B69,IF(DATOS_[[Check Periodo Ref.]:[Check Periodo Ref.]]="Dentro",IF(DATOS_[[Check Equiparado]:[Check Equiparado]]="Sí",IF(DATOS!AZ$5="Sí",(1/DATOS_[[% anualiz]:[% anualiz]]),1)*IF(DATOS!AZ$4="Sí",1/DATOS_[[% normaliz]:[% normaliz]],1)*(DATOS_[Conc.Sal.22])))))))),
0)</f>
        <v>0</v>
      </c>
      <c r="AF70" s="101">
        <f t="array" ref="AF70">IFERROR(
(AVERAGE((IF(DATOS_[[Sexo]:[Sexo]]=$B70,IF(DATOS_[[AGRUP. VALOR. PTO.]:[AGRUP. VALOR. PTO.]]=$B69,IF(DATOS_[[Check Periodo Ref.]:[Check Periodo Ref.]]="Dentro",IF(DATOS_[[Check Equiparado]:[Check Equiparado]]="Sí",IF(DATOS!BA$5="Sí",(1/DATOS_[[% anualiz]:[% anualiz]]),1)*IF(DATOS!BA$4="Sí",1/DATOS_[[% normaliz]:[% normaliz]],1)*(DATOS_[Conc.Sal.23])))))))),
0)</f>
        <v>0</v>
      </c>
      <c r="AG70" s="101">
        <f t="array" ref="AG70">IFERROR(
(AVERAGE((IF(DATOS_[[Sexo]:[Sexo]]=$B70,IF(DATOS_[[AGRUP. VALOR. PTO.]:[AGRUP. VALOR. PTO.]]=$B69,IF(DATOS_[[Check Periodo Ref.]:[Check Periodo Ref.]]="Dentro",IF(DATOS_[[Check Equiparado]:[Check Equiparado]]="Sí",IF(DATOS!BB$5="Sí",(1/DATOS_[[% anualiz]:[% anualiz]]),1)*IF(DATOS!BB$4="Sí",1/DATOS_[[% normaliz]:[% normaliz]],1)*(DATOS_[Conc.Sal.24])))))))),
0)</f>
        <v>0</v>
      </c>
      <c r="AH70" s="101">
        <f t="array" ref="AH70">IFERROR(
(AVERAGE((IF(DATOS_[[Sexo]:[Sexo]]=$B70,IF(DATOS_[[AGRUP. VALOR. PTO.]:[AGRUP. VALOR. PTO.]]=$B69,IF(DATOS_[[Check Periodo Ref.]:[Check Periodo Ref.]]="Dentro",IF(DATOS_[[Check Equiparado]:[Check Equiparado]]="Sí",IF(DATOS!BC$5="Sí",(1/DATOS_[[% anualiz]:[% anualiz]]),1)*IF(DATOS!BC$4="Sí",1/DATOS_[[% normaliz]:[% normaliz]],1)*(DATOS_[Conc.Sal.25])))))))),
0)</f>
        <v>0</v>
      </c>
      <c r="AI70" s="101">
        <f t="array" ref="AI70">IFERROR(
(AVERAGE((IF(DATOS_[[Sexo]:[Sexo]]=$B70,IF(DATOS_[[AGRUP. VALOR. PTO.]:[AGRUP. VALOR. PTO.]]=$B69,IF(DATOS_[[Check Periodo Ref.]:[Check Periodo Ref.]]="Dentro",IF(DATOS_[[Check Equiparado]:[Check Equiparado]]="Sí",IF(DATOS!BD$5="Sí",(1/DATOS_[[% anualiz]:[% anualiz]]),1)*IF(DATOS!BD$4="Sí",1/DATOS_[[% normaliz]:[% normaliz]],1)*(DATOS_[Conc.Sal.26])))))))),
0)</f>
        <v>0</v>
      </c>
      <c r="AJ70" s="101">
        <f t="array" ref="AJ70">IFERROR(
(AVERAGE((IF(DATOS_[[Sexo]:[Sexo]]=$B70,IF(DATOS_[[AGRUP. VALOR. PTO.]:[AGRUP. VALOR. PTO.]]=$B69,IF(DATOS_[[Check Periodo Ref.]:[Check Periodo Ref.]]="Dentro",IF(DATOS_[[Check Equiparado]:[Check Equiparado]]="Sí",IF(DATOS!BE$5="Sí",(1/DATOS_[[% anualiz]:[% anualiz]]),1)*IF(DATOS!BE$4="Sí",1/DATOS_[[% normaliz]:[% normaliz]],1)*(DATOS_[Conc.Sal.27])))))))),
0)</f>
        <v>0</v>
      </c>
      <c r="AK70" s="101">
        <f t="array" ref="AK70">IFERROR(
(AVERAGE((IF(DATOS_[[Sexo]:[Sexo]]=$B70,IF(DATOS_[[AGRUP. VALOR. PTO.]:[AGRUP. VALOR. PTO.]]=$B69,IF(DATOS_[[Check Periodo Ref.]:[Check Periodo Ref.]]="Dentro",IF(DATOS_[[Check Equiparado]:[Check Equiparado]]="Sí",IF(DATOS!BF$5="Sí",(1/DATOS_[[% anualiz]:[% anualiz]]),1)*IF(DATOS!BF$4="Sí",1/DATOS_[[% normaliz]:[% normaliz]],1)*(DATOS_[Conc.Sal.28])))))))),
0)</f>
        <v>0</v>
      </c>
      <c r="AL70" s="101">
        <f t="array" ref="AL70">IFERROR(
(AVERAGE((IF(DATOS_[[Sexo]:[Sexo]]=$B70,IF(DATOS_[[AGRUP. VALOR. PTO.]:[AGRUP. VALOR. PTO.]]=$B69,IF(DATOS_[[Check Periodo Ref.]:[Check Periodo Ref.]]="Dentro",IF(DATOS_[[Check Equiparado]:[Check Equiparado]]="Sí",IF(DATOS!BG$5="Sí",(1/DATOS_[[% anualiz]:[% anualiz]]),1)*IF(DATOS!BG$4="Sí",1/DATOS_[[% normaliz]:[% normaliz]],1)*(DATOS_[Conc.Sal.29])))))))),
0)</f>
        <v>0</v>
      </c>
      <c r="AM70" s="101">
        <f t="array" ref="AM70">IFERROR(
(AVERAGE((IF(DATOS_[[Sexo]:[Sexo]]=$B70,IF(DATOS_[[AGRUP. VALOR. PTO.]:[AGRUP. VALOR. PTO.]]=$B69,IF(DATOS_[[Check Periodo Ref.]:[Check Periodo Ref.]]="Dentro",IF(DATOS_[[Check Equiparado]:[Check Equiparado]]="Sí",IF(DATOS!BH$5="Sí",(1/DATOS_[[% anualiz]:[% anualiz]]),1)*IF(DATOS!BH$4="Sí",1/DATOS_[[% normaliz]:[% normaliz]],1)*(DATOS_[Conc.Sal.30])))))))),
0)</f>
        <v>0</v>
      </c>
      <c r="AN70" s="102">
        <f t="array" ref="AN70">IFERROR(
AVERAGE(IF(DATOS_[Sexo]=$B70,IF(DATOS_[[AGRUP. VALOR. PTO.]:[AGRUP. VALOR. PTO.]]=$B69,IF(DATOS_[Check Equiparado]="Sí",IF(DATOS_[Check Periodo Ref.]="Dentro",DATOS_[Tot COMPL.SAL Eq],FALSE))))),
0)</f>
        <v>0</v>
      </c>
      <c r="AO70" s="103">
        <f t="array" ref="AO70">IFERROR(
AVERAGE(IF(DATOS_[Sexo]=$B70,IF(DATOS_[[AGRUP. VALOR. PTO.]:[AGRUP. VALOR. PTO.]]=$B69,IF(DATOS_[Check Equiparado]="Sí",IF(DATOS_[Check Periodo Ref.]="Dentro",DATOS_[TOTAL SALARIO Eq],FALSE))))),
0)</f>
        <v>0</v>
      </c>
      <c r="AP70" s="104">
        <f t="array" ref="AP70">IFERROR(
(AVERAGE((IF(DATOS_[[Sexo]:[Sexo]]=$B70,IF(DATOS_[[AGRUP. VALOR. PTO.]:[AGRUP. VALOR. PTO.]]=$B69,IF(DATOS_[[Check Periodo Ref.]:[Check Periodo Ref.]]="Dentro",IF(DATOS_[[Check Equiparado]:[Check Equiparado]]="Sí",IF(DATOS!BI$5="Sí",(1/DATOS_[[% anualiz]:[% anualiz]]),1)*IF(DATOS!BI$4="Sí",1/DATOS_[[% normaliz]:[% normaliz]],1)*(DATOS_[C.Extra.01])))))))),
0)</f>
        <v>0</v>
      </c>
      <c r="AQ70" s="104">
        <f t="array" ref="AQ70">IFERROR(
(AVERAGE((IF(DATOS_[[Sexo]:[Sexo]]=$B70,IF(DATOS_[[AGRUP. VALOR. PTO.]:[AGRUP. VALOR. PTO.]]=$B69,IF(DATOS_[[Check Periodo Ref.]:[Check Periodo Ref.]]="Dentro",IF(DATOS_[[Check Equiparado]:[Check Equiparado]]="Sí",IF(DATOS!BJ$5="Sí",(1/DATOS_[[% anualiz]:[% anualiz]]),1)*IF(DATOS!BJ$4="Sí",1/DATOS_[[% normaliz]:[% normaliz]],1)*(DATOS_[C.Extra.02])))))))),
0)</f>
        <v>0</v>
      </c>
      <c r="AR70" s="104">
        <f t="array" ref="AR70">IFERROR(
(AVERAGE((IF(DATOS_[[Sexo]:[Sexo]]=$B70,IF(DATOS_[[AGRUP. VALOR. PTO.]:[AGRUP. VALOR. PTO.]]=$B69,IF(DATOS_[[Check Periodo Ref.]:[Check Periodo Ref.]]="Dentro",IF(DATOS_[[Check Equiparado]:[Check Equiparado]]="Sí",IF(DATOS!BK$5="Sí",(1/DATOS_[[% anualiz]:[% anualiz]]),1)*IF(DATOS!BK$4="Sí",1/DATOS_[[% normaliz]:[% normaliz]],1)*(DATOS_[C.Extra.03])))))))),
0)</f>
        <v>0</v>
      </c>
      <c r="AS70" s="104">
        <f t="array" ref="AS70">IFERROR(
(AVERAGE((IF(DATOS_[[Sexo]:[Sexo]]=$B70,IF(DATOS_[[AGRUP. VALOR. PTO.]:[AGRUP. VALOR. PTO.]]=$B69,IF(DATOS_[[Check Periodo Ref.]:[Check Periodo Ref.]]="Dentro",IF(DATOS_[[Check Equiparado]:[Check Equiparado]]="Sí",IF(DATOS!BL$5="Sí",(1/DATOS_[[% anualiz]:[% anualiz]]),1)*IF(DATOS!BL$4="Sí",1/DATOS_[[% normaliz]:[% normaliz]],1)*(DATOS_[C.Extra.04])))))))),
0)</f>
        <v>0</v>
      </c>
      <c r="AT70" s="104">
        <f t="array" ref="AT70">IFERROR(
(AVERAGE((IF(DATOS_[[Sexo]:[Sexo]]=$B70,IF(DATOS_[[AGRUP. VALOR. PTO.]:[AGRUP. VALOR. PTO.]]=$B69,IF(DATOS_[[Check Periodo Ref.]:[Check Periodo Ref.]]="Dentro",IF(DATOS_[[Check Equiparado]:[Check Equiparado]]="Sí",IF(DATOS!BM$5="Sí",(1/DATOS_[[% anualiz]:[% anualiz]]),1)*IF(DATOS!BM$4="Sí",1/DATOS_[[% normaliz]:[% normaliz]],1)*(DATOS_[C.Extra.05])))))))),
0)</f>
        <v>0</v>
      </c>
      <c r="AU70" s="105">
        <f t="array" ref="AU70">IFERROR(
AVERAGE(IF(DATOS_[Sexo]=$B70,IF(DATOS_[[AGRUP. VALOR. PTO.]:[AGRUP. VALOR. PTO.]]=$B69,IF(DATOS_[Check Equiparado]="Sí",IF(DATOS_[Check Periodo Ref.]="Dentro",DATOS_[Tot Extrasalarial Eq],FALSE))))),
0)</f>
        <v>0</v>
      </c>
      <c r="AV70" s="106">
        <f t="array" ref="AV70">IFERROR(
AVERAGE(IF(DATOS_[Sexo]=$B70,IF(DATOS_[[AGRUP. VALOR. PTO.]:[AGRUP. VALOR. PTO.]]=$B69,IF(DATOS_[Check Equiparado]="Sí",IF(DATOS_[Check Periodo Ref.]="Dentro",DATOS_[TOTAL Retrib Eq],FALSE))))),
0)</f>
        <v>0</v>
      </c>
    </row>
    <row r="71" spans="1:48" hidden="1" x14ac:dyDescent="0.3">
      <c r="A71" s="53" t="str">
        <f t="shared" ref="A71" si="78">+A70</f>
        <v>[ocultar]</v>
      </c>
      <c r="B71" s="57" t="s">
        <v>163</v>
      </c>
      <c r="C71" s="56">
        <f t="array" ref="C71">SUM(IF($B71=DATOS_[Sexo],
IF($B69=DATOS_[AGRUP. VALOR. PTO.],
IF("Dentro"=DATOS_[Check Periodo Ref.],
1/(COUNTIFS(DATOS_[Sexo],$B71,DATOS_[AGRUP. VALOR. PTO.],$B69,DATOS_[Check Periodo Ref.],"Dentro",DATOS_[id],DATOS_[id]))))))</f>
        <v>0</v>
      </c>
      <c r="D71" s="58">
        <f>COUNTIFS(DATOS_[AGRUP. VALOR. PTO.],$B69,DATOS_[Sexo],$B71,DATOS_[Check Periodo Ref.],"Dentro")</f>
        <v>0</v>
      </c>
      <c r="E71" s="58">
        <f>COUNTIFS(DATOS_[AGRUP. VALOR. PTO.],$B69,DATOS_[Sexo],$B71,DATOS_[Check Periodo Ref.],"Dentro",DATOS_[Check Nº SC Norm],"Sí")</f>
        <v>0</v>
      </c>
      <c r="F71" s="58">
        <f>COUNTIFS(DATOS_[AGRUP. VALOR. PTO.],$B69,DATOS_[Sexo],$B71,DATOS_[Check Periodo Ref.],"Dentro",DATOS_[Check Nº SC Anualiz],"Sí")</f>
        <v>0</v>
      </c>
      <c r="G71" s="58">
        <f>COUNTIFS(DATOS_[AGRUP. VALOR. PTO.],$B69,DATOS_[Sexo],$B71,DATOS_[Check Periodo Ref.],"Dentro",DATOS_[Check Nº SC Norm y Anualiz],"Sí")</f>
        <v>0</v>
      </c>
      <c r="H71" s="58">
        <f>COUNTIFS(DATOS_[AGRUP. VALOR. PTO.],$B69,DATOS_[Sexo],$B71,DATOS_[Check Periodo Ref.],"Dentro",DATOS_[Check Equiparación],"Sí")</f>
        <v>0</v>
      </c>
      <c r="I71" s="100" cm="1">
        <f t="array" ref="I71">IFERROR(
AVERAGE(IF(DATOS_[Sexo]=$B71,IF(DATOS_[[AGRUP. VALOR. PTO.]:[AGRUP. VALOR. PTO.]]=$B69,IF(DATOS_[Check Equiparado]="Sí",IF(DATOS_[Check Periodo Ref.]="Dentro",DATOS_[SALARIO BASE Eq],FALSE))))),
0)</f>
        <v>0</v>
      </c>
      <c r="J71" s="101">
        <f t="array" ref="J71">IFERROR(
(AVERAGE((IF(DATOS_[[Sexo]:[Sexo]]=$B71,IF(DATOS_[[AGRUP. VALOR. PTO.]:[AGRUP. VALOR. PTO.]]=$B69,IF(DATOS_[[Check Periodo Ref.]:[Check Periodo Ref.]]="Dentro",IF(DATOS_[[Check Equiparado]:[Check Equiparado]]="Sí",IF(DATOS!AE$5="Sí",(1/DATOS_[[% anualiz]:[% anualiz]]),1)*IF(DATOS!AE$4="Sí",1/DATOS_[[% normaliz]:[% normaliz]],1)*(DATOS_[Conc.Sal.01])))))))),
0)</f>
        <v>0</v>
      </c>
      <c r="K71" s="101">
        <f t="array" ref="K71">IFERROR(
(AVERAGE((IF(DATOS_[[Sexo]:[Sexo]]=$B71,IF(DATOS_[[AGRUP. VALOR. PTO.]:[AGRUP. VALOR. PTO.]]=$B69,IF(DATOS_[[Check Periodo Ref.]:[Check Periodo Ref.]]="Dentro",IF(DATOS_[[Check Equiparado]:[Check Equiparado]]="Sí",IF(DATOS!AF$5="Sí",(1/DATOS_[[% anualiz]:[% anualiz]]),1)*IF(DATOS!AF$4="Sí",1/DATOS_[[% normaliz]:[% normaliz]],1)*(DATOS_[Conc.Sal.02])))))))),
0)</f>
        <v>0</v>
      </c>
      <c r="L71" s="101">
        <f t="array" ref="L71">IFERROR(
(AVERAGE((IF(DATOS_[[Sexo]:[Sexo]]=$B71,IF(DATOS_[[AGRUP. VALOR. PTO.]:[AGRUP. VALOR. PTO.]]=$B69,IF(DATOS_[[Check Periodo Ref.]:[Check Periodo Ref.]]="Dentro",IF(DATOS_[[Check Equiparado]:[Check Equiparado]]="Sí",IF(DATOS!AG$5="Sí",(1/DATOS_[[% anualiz]:[% anualiz]]),1)*IF(DATOS!AG$4="Sí",1/DATOS_[[% normaliz]:[% normaliz]],1)*(DATOS_[Conc.Sal.03])))))))),
0)</f>
        <v>0</v>
      </c>
      <c r="M71" s="101">
        <f t="array" ref="M71">IFERROR(
(AVERAGE((IF(DATOS_[[Sexo]:[Sexo]]=$B71,IF(DATOS_[[AGRUP. VALOR. PTO.]:[AGRUP. VALOR. PTO.]]=$B69,IF(DATOS_[[Check Periodo Ref.]:[Check Periodo Ref.]]="Dentro",IF(DATOS_[[Check Equiparado]:[Check Equiparado]]="Sí",IF(DATOS!AH$5="Sí",(1/DATOS_[[% anualiz]:[% anualiz]]),1)*IF(DATOS!AH$4="Sí",1/DATOS_[[% normaliz]:[% normaliz]],1)*(DATOS_[Conc.Sal.04])))))))),
0)</f>
        <v>0</v>
      </c>
      <c r="N71" s="101">
        <f t="array" ref="N71">IFERROR(
(AVERAGE((IF(DATOS_[[Sexo]:[Sexo]]=$B71,IF(DATOS_[[AGRUP. VALOR. PTO.]:[AGRUP. VALOR. PTO.]]=$B69,IF(DATOS_[[Check Periodo Ref.]:[Check Periodo Ref.]]="Dentro",IF(DATOS_[[Check Equiparado]:[Check Equiparado]]="Sí",IF(DATOS!AI$5="Sí",(1/DATOS_[[% anualiz]:[% anualiz]]),1)*IF(DATOS!AI$4="Sí",1/DATOS_[[% normaliz]:[% normaliz]],1)*(DATOS_[Conc.Sal.05])))))))),
0)</f>
        <v>0</v>
      </c>
      <c r="O71" s="101">
        <f t="array" ref="O71">IFERROR(
(AVERAGE((IF(DATOS_[[Sexo]:[Sexo]]=$B71,IF(DATOS_[[AGRUP. VALOR. PTO.]:[AGRUP. VALOR. PTO.]]=$B69,IF(DATOS_[[Check Periodo Ref.]:[Check Periodo Ref.]]="Dentro",IF(DATOS_[[Check Equiparado]:[Check Equiparado]]="Sí",IF(DATOS!AJ$5="Sí",(1/DATOS_[[% anualiz]:[% anualiz]]),1)*IF(DATOS!AJ$4="Sí",1/DATOS_[[% normaliz]:[% normaliz]],1)*(DATOS_[Conc.Sal.06])))))))),
0)</f>
        <v>0</v>
      </c>
      <c r="P71" s="101">
        <f t="array" ref="P71">IFERROR(
(AVERAGE((IF(DATOS_[[Sexo]:[Sexo]]=$B71,IF(DATOS_[[AGRUP. VALOR. PTO.]:[AGRUP. VALOR. PTO.]]=$B69,IF(DATOS_[[Check Periodo Ref.]:[Check Periodo Ref.]]="Dentro",IF(DATOS_[[Check Equiparado]:[Check Equiparado]]="Sí",IF(DATOS!AK$5="Sí",(1/DATOS_[[% anualiz]:[% anualiz]]),1)*IF(DATOS!AK$4="Sí",1/DATOS_[[% normaliz]:[% normaliz]],1)*(DATOS_[Conc.Sal.07])))))))),
0)</f>
        <v>0</v>
      </c>
      <c r="Q71" s="101">
        <f t="array" ref="Q71">IFERROR(
(AVERAGE((IF(DATOS_[[Sexo]:[Sexo]]=$B71,IF(DATOS_[[AGRUP. VALOR. PTO.]:[AGRUP. VALOR. PTO.]]=$B69,IF(DATOS_[[Check Periodo Ref.]:[Check Periodo Ref.]]="Dentro",IF(DATOS_[[Check Equiparado]:[Check Equiparado]]="Sí",IF(DATOS!AL$5="Sí",(1/DATOS_[[% anualiz]:[% anualiz]]),1)*IF(DATOS!AL$4="Sí",1/DATOS_[[% normaliz]:[% normaliz]],1)*(DATOS_[Conc.Sal.08])))))))),
0)</f>
        <v>0</v>
      </c>
      <c r="R71" s="101">
        <f t="array" ref="R71">IFERROR(
(AVERAGE((IF(DATOS_[[Sexo]:[Sexo]]=$B71,IF(DATOS_[[AGRUP. VALOR. PTO.]:[AGRUP. VALOR. PTO.]]=$B69,IF(DATOS_[[Check Periodo Ref.]:[Check Periodo Ref.]]="Dentro",IF(DATOS_[[Check Equiparado]:[Check Equiparado]]="Sí",IF(DATOS!AM$5="Sí",(1/DATOS_[[% anualiz]:[% anualiz]]),1)*IF(DATOS!AM$4="Sí",1/DATOS_[[% normaliz]:[% normaliz]],1)*(DATOS_[Conc.Sal.09])))))))),
0)</f>
        <v>0</v>
      </c>
      <c r="S71" s="101">
        <f t="array" ref="S71">IFERROR(
(AVERAGE((IF(DATOS_[[Sexo]:[Sexo]]=$B71,IF(DATOS_[[AGRUP. VALOR. PTO.]:[AGRUP. VALOR. PTO.]]=$B69,IF(DATOS_[[Check Periodo Ref.]:[Check Periodo Ref.]]="Dentro",IF(DATOS_[[Check Equiparado]:[Check Equiparado]]="Sí",IF(DATOS!AN$5="Sí",(1/DATOS_[[% anualiz]:[% anualiz]]),1)*IF(DATOS!AN$4="Sí",1/DATOS_[[% normaliz]:[% normaliz]],1)*(DATOS_[Conc.Sal.10])))))))),
0)</f>
        <v>0</v>
      </c>
      <c r="T71" s="101">
        <f t="array" ref="T71">IFERROR(
(AVERAGE((IF(DATOS_[[Sexo]:[Sexo]]=$B71,IF(DATOS_[[AGRUP. VALOR. PTO.]:[AGRUP. VALOR. PTO.]]=$B69,IF(DATOS_[[Check Periodo Ref.]:[Check Periodo Ref.]]="Dentro",IF(DATOS_[[Check Equiparado]:[Check Equiparado]]="Sí",IF(DATOS!AO$5="Sí",(1/DATOS_[[% anualiz]:[% anualiz]]),1)*IF(DATOS!AO$4="Sí",1/DATOS_[[% normaliz]:[% normaliz]],1)*(DATOS_[Conc.Sal.11])))))))),
0)</f>
        <v>0</v>
      </c>
      <c r="U71" s="101">
        <f t="array" ref="U71">IFERROR(
(AVERAGE((IF(DATOS_[[Sexo]:[Sexo]]=$B71,IF(DATOS_[[AGRUP. VALOR. PTO.]:[AGRUP. VALOR. PTO.]]=$B69,IF(DATOS_[[Check Periodo Ref.]:[Check Periodo Ref.]]="Dentro",IF(DATOS_[[Check Equiparado]:[Check Equiparado]]="Sí",IF(DATOS!AP$5="Sí",(1/DATOS_[[% anualiz]:[% anualiz]]),1)*IF(DATOS!AP$4="Sí",1/DATOS_[[% normaliz]:[% normaliz]],1)*(DATOS_[Conc.Sal.12])))))))),
0)</f>
        <v>0</v>
      </c>
      <c r="V71" s="101">
        <f t="array" ref="V71">IFERROR(
(AVERAGE((IF(DATOS_[[Sexo]:[Sexo]]=$B71,IF(DATOS_[[AGRUP. VALOR. PTO.]:[AGRUP. VALOR. PTO.]]=$B69,IF(DATOS_[[Check Periodo Ref.]:[Check Periodo Ref.]]="Dentro",IF(DATOS_[[Check Equiparado]:[Check Equiparado]]="Sí",IF(DATOS!AQ$5="Sí",(1/DATOS_[[% anualiz]:[% anualiz]]),1)*IF(DATOS!AQ$4="Sí",1/DATOS_[[% normaliz]:[% normaliz]],1)*(DATOS_[Conc.Sal.13])))))))),
0)</f>
        <v>0</v>
      </c>
      <c r="W71" s="101">
        <f t="array" ref="W71">IFERROR(
(AVERAGE((IF(DATOS_[[Sexo]:[Sexo]]=$B71,IF(DATOS_[[AGRUP. VALOR. PTO.]:[AGRUP. VALOR. PTO.]]=$B69,IF(DATOS_[[Check Periodo Ref.]:[Check Periodo Ref.]]="Dentro",IF(DATOS_[[Check Equiparado]:[Check Equiparado]]="Sí",IF(DATOS!AR$5="Sí",(1/DATOS_[[% anualiz]:[% anualiz]]),1)*IF(DATOS!AR$4="Sí",1/DATOS_[[% normaliz]:[% normaliz]],1)*(DATOS_[Conc.Sal.14])))))))),
0)</f>
        <v>0</v>
      </c>
      <c r="X71" s="101">
        <f t="array" ref="X71">IFERROR(
(AVERAGE((IF(DATOS_[[Sexo]:[Sexo]]=$B71,IF(DATOS_[[AGRUP. VALOR. PTO.]:[AGRUP. VALOR. PTO.]]=$B69,IF(DATOS_[[Check Periodo Ref.]:[Check Periodo Ref.]]="Dentro",IF(DATOS_[[Check Equiparado]:[Check Equiparado]]="Sí",IF(DATOS!AS$5="Sí",(1/DATOS_[[% anualiz]:[% anualiz]]),1)*IF(DATOS!AS$4="Sí",1/DATOS_[[% normaliz]:[% normaliz]],1)*(DATOS_[Conc.Sal.15])))))))),
0)</f>
        <v>0</v>
      </c>
      <c r="Y71" s="101">
        <f t="array" ref="Y71">IFERROR(
(AVERAGE((IF(DATOS_[[Sexo]:[Sexo]]=$B71,IF(DATOS_[[AGRUP. VALOR. PTO.]:[AGRUP. VALOR. PTO.]]=$B69,IF(DATOS_[[Check Periodo Ref.]:[Check Periodo Ref.]]="Dentro",IF(DATOS_[[Check Equiparado]:[Check Equiparado]]="Sí",IF(DATOS!AT$5="Sí",(1/DATOS_[[% anualiz]:[% anualiz]]),1)*IF(DATOS!AT$4="Sí",1/DATOS_[[% normaliz]:[% normaliz]],1)*(DATOS_[Conc.Sal.16])))))))),
0)</f>
        <v>0</v>
      </c>
      <c r="Z71" s="101">
        <f t="array" ref="Z71">IFERROR(
(AVERAGE((IF(DATOS_[[Sexo]:[Sexo]]=$B71,IF(DATOS_[[AGRUP. VALOR. PTO.]:[AGRUP. VALOR. PTO.]]=$B69,IF(DATOS_[[Check Periodo Ref.]:[Check Periodo Ref.]]="Dentro",IF(DATOS_[[Check Equiparado]:[Check Equiparado]]="Sí",IF(DATOS!AU$5="Sí",(1/DATOS_[[% anualiz]:[% anualiz]]),1)*IF(DATOS!AU$4="Sí",1/DATOS_[[% normaliz]:[% normaliz]],1)*(DATOS_[Conc.Sal.17])))))))),
0)</f>
        <v>0</v>
      </c>
      <c r="AA71" s="101">
        <f t="array" ref="AA71">IFERROR(
(AVERAGE((IF(DATOS_[[Sexo]:[Sexo]]=$B71,IF(DATOS_[[AGRUP. VALOR. PTO.]:[AGRUP. VALOR. PTO.]]=$B69,IF(DATOS_[[Check Periodo Ref.]:[Check Periodo Ref.]]="Dentro",IF(DATOS_[[Check Equiparado]:[Check Equiparado]]="Sí",IF(DATOS!AV$5="Sí",(1/DATOS_[[% anualiz]:[% anualiz]]),1)*IF(DATOS!AV$4="Sí",1/DATOS_[[% normaliz]:[% normaliz]],1)*(DATOS_[Conc.Sal.18])))))))),
0)</f>
        <v>0</v>
      </c>
      <c r="AB71" s="101">
        <f t="array" ref="AB71">IFERROR(
(AVERAGE((IF(DATOS_[[Sexo]:[Sexo]]=$B71,IF(DATOS_[[AGRUP. VALOR. PTO.]:[AGRUP. VALOR. PTO.]]=$B69,IF(DATOS_[[Check Periodo Ref.]:[Check Periodo Ref.]]="Dentro",IF(DATOS_[[Check Equiparado]:[Check Equiparado]]="Sí",IF(DATOS!AW$5="Sí",(1/DATOS_[[% anualiz]:[% anualiz]]),1)*IF(DATOS!AW$4="Sí",1/DATOS_[[% normaliz]:[% normaliz]],1)*(DATOS_[Conc.Sal.19])))))))),
0)</f>
        <v>0</v>
      </c>
      <c r="AC71" s="101">
        <f t="array" ref="AC71">IFERROR(
(AVERAGE((IF(DATOS_[[Sexo]:[Sexo]]=$B71,IF(DATOS_[[AGRUP. VALOR. PTO.]:[AGRUP. VALOR. PTO.]]=$B69,IF(DATOS_[[Check Periodo Ref.]:[Check Periodo Ref.]]="Dentro",IF(DATOS_[[Check Equiparado]:[Check Equiparado]]="Sí",IF(DATOS!AX$5="Sí",(1/DATOS_[[% anualiz]:[% anualiz]]),1)*IF(DATOS!AX$4="Sí",1/DATOS_[[% normaliz]:[% normaliz]],1)*(DATOS_[Conc.Sal.20])))))))),
0)</f>
        <v>0</v>
      </c>
      <c r="AD71" s="101">
        <f t="array" ref="AD71">IFERROR(
(AVERAGE((IF(DATOS_[[Sexo]:[Sexo]]=$B71,IF(DATOS_[[AGRUP. VALOR. PTO.]:[AGRUP. VALOR. PTO.]]=$B69,IF(DATOS_[[Check Periodo Ref.]:[Check Periodo Ref.]]="Dentro",IF(DATOS_[[Check Equiparado]:[Check Equiparado]]="Sí",IF(DATOS!AY$5="Sí",(1/DATOS_[[% anualiz]:[% anualiz]]),1)*IF(DATOS!AY$4="Sí",1/DATOS_[[% normaliz]:[% normaliz]],1)*(DATOS_[Conc.Sal.21])))))))),
0)</f>
        <v>0</v>
      </c>
      <c r="AE71" s="101">
        <f t="array" ref="AE71">IFERROR(
(AVERAGE((IF(DATOS_[[Sexo]:[Sexo]]=$B71,IF(DATOS_[[AGRUP. VALOR. PTO.]:[AGRUP. VALOR. PTO.]]=$B69,IF(DATOS_[[Check Periodo Ref.]:[Check Periodo Ref.]]="Dentro",IF(DATOS_[[Check Equiparado]:[Check Equiparado]]="Sí",IF(DATOS!AZ$5="Sí",(1/DATOS_[[% anualiz]:[% anualiz]]),1)*IF(DATOS!AZ$4="Sí",1/DATOS_[[% normaliz]:[% normaliz]],1)*(DATOS_[Conc.Sal.22])))))))),
0)</f>
        <v>0</v>
      </c>
      <c r="AF71" s="101">
        <f t="array" ref="AF71">IFERROR(
(AVERAGE((IF(DATOS_[[Sexo]:[Sexo]]=$B71,IF(DATOS_[[AGRUP. VALOR. PTO.]:[AGRUP. VALOR. PTO.]]=$B69,IF(DATOS_[[Check Periodo Ref.]:[Check Periodo Ref.]]="Dentro",IF(DATOS_[[Check Equiparado]:[Check Equiparado]]="Sí",IF(DATOS!BA$5="Sí",(1/DATOS_[[% anualiz]:[% anualiz]]),1)*IF(DATOS!BA$4="Sí",1/DATOS_[[% normaliz]:[% normaliz]],1)*(DATOS_[Conc.Sal.23])))))))),
0)</f>
        <v>0</v>
      </c>
      <c r="AG71" s="101">
        <f t="array" ref="AG71">IFERROR(
(AVERAGE((IF(DATOS_[[Sexo]:[Sexo]]=$B71,IF(DATOS_[[AGRUP. VALOR. PTO.]:[AGRUP. VALOR. PTO.]]=$B69,IF(DATOS_[[Check Periodo Ref.]:[Check Periodo Ref.]]="Dentro",IF(DATOS_[[Check Equiparado]:[Check Equiparado]]="Sí",IF(DATOS!BB$5="Sí",(1/DATOS_[[% anualiz]:[% anualiz]]),1)*IF(DATOS!BB$4="Sí",1/DATOS_[[% normaliz]:[% normaliz]],1)*(DATOS_[Conc.Sal.24])))))))),
0)</f>
        <v>0</v>
      </c>
      <c r="AH71" s="101">
        <f t="array" ref="AH71">IFERROR(
(AVERAGE((IF(DATOS_[[Sexo]:[Sexo]]=$B71,IF(DATOS_[[AGRUP. VALOR. PTO.]:[AGRUP. VALOR. PTO.]]=$B69,IF(DATOS_[[Check Periodo Ref.]:[Check Periodo Ref.]]="Dentro",IF(DATOS_[[Check Equiparado]:[Check Equiparado]]="Sí",IF(DATOS!BC$5="Sí",(1/DATOS_[[% anualiz]:[% anualiz]]),1)*IF(DATOS!BC$4="Sí",1/DATOS_[[% normaliz]:[% normaliz]],1)*(DATOS_[Conc.Sal.25])))))))),
0)</f>
        <v>0</v>
      </c>
      <c r="AI71" s="101">
        <f t="array" ref="AI71">IFERROR(
(AVERAGE((IF(DATOS_[[Sexo]:[Sexo]]=$B71,IF(DATOS_[[AGRUP. VALOR. PTO.]:[AGRUP. VALOR. PTO.]]=$B69,IF(DATOS_[[Check Periodo Ref.]:[Check Periodo Ref.]]="Dentro",IF(DATOS_[[Check Equiparado]:[Check Equiparado]]="Sí",IF(DATOS!BD$5="Sí",(1/DATOS_[[% anualiz]:[% anualiz]]),1)*IF(DATOS!BD$4="Sí",1/DATOS_[[% normaliz]:[% normaliz]],1)*(DATOS_[Conc.Sal.26])))))))),
0)</f>
        <v>0</v>
      </c>
      <c r="AJ71" s="101">
        <f t="array" ref="AJ71">IFERROR(
(AVERAGE((IF(DATOS_[[Sexo]:[Sexo]]=$B71,IF(DATOS_[[AGRUP. VALOR. PTO.]:[AGRUP. VALOR. PTO.]]=$B69,IF(DATOS_[[Check Periodo Ref.]:[Check Periodo Ref.]]="Dentro",IF(DATOS_[[Check Equiparado]:[Check Equiparado]]="Sí",IF(DATOS!BE$5="Sí",(1/DATOS_[[% anualiz]:[% anualiz]]),1)*IF(DATOS!BE$4="Sí",1/DATOS_[[% normaliz]:[% normaliz]],1)*(DATOS_[Conc.Sal.27])))))))),
0)</f>
        <v>0</v>
      </c>
      <c r="AK71" s="101">
        <f t="array" ref="AK71">IFERROR(
(AVERAGE((IF(DATOS_[[Sexo]:[Sexo]]=$B71,IF(DATOS_[[AGRUP. VALOR. PTO.]:[AGRUP. VALOR. PTO.]]=$B69,IF(DATOS_[[Check Periodo Ref.]:[Check Periodo Ref.]]="Dentro",IF(DATOS_[[Check Equiparado]:[Check Equiparado]]="Sí",IF(DATOS!BF$5="Sí",(1/DATOS_[[% anualiz]:[% anualiz]]),1)*IF(DATOS!BF$4="Sí",1/DATOS_[[% normaliz]:[% normaliz]],1)*(DATOS_[Conc.Sal.28])))))))),
0)</f>
        <v>0</v>
      </c>
      <c r="AL71" s="101">
        <f t="array" ref="AL71">IFERROR(
(AVERAGE((IF(DATOS_[[Sexo]:[Sexo]]=$B71,IF(DATOS_[[AGRUP. VALOR. PTO.]:[AGRUP. VALOR. PTO.]]=$B69,IF(DATOS_[[Check Periodo Ref.]:[Check Periodo Ref.]]="Dentro",IF(DATOS_[[Check Equiparado]:[Check Equiparado]]="Sí",IF(DATOS!BG$5="Sí",(1/DATOS_[[% anualiz]:[% anualiz]]),1)*IF(DATOS!BG$4="Sí",1/DATOS_[[% normaliz]:[% normaliz]],1)*(DATOS_[Conc.Sal.29])))))))),
0)</f>
        <v>0</v>
      </c>
      <c r="AM71" s="101">
        <f t="array" ref="AM71">IFERROR(
(AVERAGE((IF(DATOS_[[Sexo]:[Sexo]]=$B71,IF(DATOS_[[AGRUP. VALOR. PTO.]:[AGRUP. VALOR. PTO.]]=$B69,IF(DATOS_[[Check Periodo Ref.]:[Check Periodo Ref.]]="Dentro",IF(DATOS_[[Check Equiparado]:[Check Equiparado]]="Sí",IF(DATOS!BH$5="Sí",(1/DATOS_[[% anualiz]:[% anualiz]]),1)*IF(DATOS!BH$4="Sí",1/DATOS_[[% normaliz]:[% normaliz]],1)*(DATOS_[Conc.Sal.30])))))))),
0)</f>
        <v>0</v>
      </c>
      <c r="AN71" s="102">
        <f t="array" ref="AN71">IFERROR(
AVERAGE(IF(DATOS_[Sexo]=$B71,IF(DATOS_[[AGRUP. VALOR. PTO.]:[AGRUP. VALOR. PTO.]]=$B69,IF(DATOS_[Check Equiparado]="Sí",IF(DATOS_[Check Periodo Ref.]="Dentro",DATOS_[Tot COMPL.SAL Eq],FALSE))))),
0)</f>
        <v>0</v>
      </c>
      <c r="AO71" s="103">
        <f t="array" ref="AO71">IFERROR(
AVERAGE(IF(DATOS_[Sexo]=$B71,IF(DATOS_[[AGRUP. VALOR. PTO.]:[AGRUP. VALOR. PTO.]]=$B69,IF(DATOS_[Check Equiparado]="Sí",IF(DATOS_[Check Periodo Ref.]="Dentro",DATOS_[TOTAL SALARIO Eq],FALSE))))),
0)</f>
        <v>0</v>
      </c>
      <c r="AP71" s="104">
        <f t="array" ref="AP71">IFERROR(
(AVERAGE((IF(DATOS_[[Sexo]:[Sexo]]=$B71,IF(DATOS_[[AGRUP. VALOR. PTO.]:[AGRUP. VALOR. PTO.]]=$B69,IF(DATOS_[[Check Periodo Ref.]:[Check Periodo Ref.]]="Dentro",IF(DATOS_[[Check Equiparado]:[Check Equiparado]]="Sí",IF(DATOS!BI$5="Sí",(1/DATOS_[[% anualiz]:[% anualiz]]),1)*IF(DATOS!BI$4="Sí",1/DATOS_[[% normaliz]:[% normaliz]],1)*(DATOS_[C.Extra.01])))))))),
0)</f>
        <v>0</v>
      </c>
      <c r="AQ71" s="104">
        <f t="array" ref="AQ71">IFERROR(
(AVERAGE((IF(DATOS_[[Sexo]:[Sexo]]=$B71,IF(DATOS_[[AGRUP. VALOR. PTO.]:[AGRUP. VALOR. PTO.]]=$B69,IF(DATOS_[[Check Periodo Ref.]:[Check Periodo Ref.]]="Dentro",IF(DATOS_[[Check Equiparado]:[Check Equiparado]]="Sí",IF(DATOS!BJ$5="Sí",(1/DATOS_[[% anualiz]:[% anualiz]]),1)*IF(DATOS!BJ$4="Sí",1/DATOS_[[% normaliz]:[% normaliz]],1)*(DATOS_[C.Extra.02])))))))),
0)</f>
        <v>0</v>
      </c>
      <c r="AR71" s="104">
        <f t="array" ref="AR71">IFERROR(
(AVERAGE((IF(DATOS_[[Sexo]:[Sexo]]=$B71,IF(DATOS_[[AGRUP. VALOR. PTO.]:[AGRUP. VALOR. PTO.]]=$B69,IF(DATOS_[[Check Periodo Ref.]:[Check Periodo Ref.]]="Dentro",IF(DATOS_[[Check Equiparado]:[Check Equiparado]]="Sí",IF(DATOS!BK$5="Sí",(1/DATOS_[[% anualiz]:[% anualiz]]),1)*IF(DATOS!BK$4="Sí",1/DATOS_[[% normaliz]:[% normaliz]],1)*(DATOS_[C.Extra.03])))))))),
0)</f>
        <v>0</v>
      </c>
      <c r="AS71" s="104">
        <f t="array" ref="AS71">IFERROR(
(AVERAGE((IF(DATOS_[[Sexo]:[Sexo]]=$B71,IF(DATOS_[[AGRUP. VALOR. PTO.]:[AGRUP. VALOR. PTO.]]=$B69,IF(DATOS_[[Check Periodo Ref.]:[Check Periodo Ref.]]="Dentro",IF(DATOS_[[Check Equiparado]:[Check Equiparado]]="Sí",IF(DATOS!BL$5="Sí",(1/DATOS_[[% anualiz]:[% anualiz]]),1)*IF(DATOS!BL$4="Sí",1/DATOS_[[% normaliz]:[% normaliz]],1)*(DATOS_[C.Extra.04])))))))),
0)</f>
        <v>0</v>
      </c>
      <c r="AT71" s="104">
        <f t="array" ref="AT71">IFERROR(
(AVERAGE((IF(DATOS_[[Sexo]:[Sexo]]=$B71,IF(DATOS_[[AGRUP. VALOR. PTO.]:[AGRUP. VALOR. PTO.]]=$B69,IF(DATOS_[[Check Periodo Ref.]:[Check Periodo Ref.]]="Dentro",IF(DATOS_[[Check Equiparado]:[Check Equiparado]]="Sí",IF(DATOS!BM$5="Sí",(1/DATOS_[[% anualiz]:[% anualiz]]),1)*IF(DATOS!BM$4="Sí",1/DATOS_[[% normaliz]:[% normaliz]],1)*(DATOS_[C.Extra.05])))))))),
0)</f>
        <v>0</v>
      </c>
      <c r="AU71" s="105">
        <f t="array" ref="AU71">IFERROR(
AVERAGE(IF(DATOS_[Sexo]=$B71,IF(DATOS_[[AGRUP. VALOR. PTO.]:[AGRUP. VALOR. PTO.]]=$B69,IF(DATOS_[Check Equiparado]="Sí",IF(DATOS_[Check Periodo Ref.]="Dentro",DATOS_[Tot Extrasalarial Eq],FALSE))))),
0)</f>
        <v>0</v>
      </c>
      <c r="AV71" s="106">
        <f t="array" ref="AV71">IFERROR(
AVERAGE(IF(DATOS_[Sexo]=$B71,IF(DATOS_[[AGRUP. VALOR. PTO.]:[AGRUP. VALOR. PTO.]]=$B69,IF(DATOS_[Check Equiparado]="Sí",IF(DATOS_[Check Periodo Ref.]="Dentro",DATOS_[TOTAL Retrib Eq],FALSE))))),
0)</f>
        <v>0</v>
      </c>
    </row>
    <row r="72" spans="1:48" ht="17.25" hidden="1" thickBot="1" x14ac:dyDescent="0.35">
      <c r="A72" s="53" t="str">
        <f t="shared" ref="A72" si="79">+A73</f>
        <v>[ocultar]</v>
      </c>
      <c r="B72" s="62" t="s">
        <v>279</v>
      </c>
      <c r="C72" s="99"/>
      <c r="D72" s="63"/>
      <c r="E72" s="63"/>
      <c r="F72" s="63"/>
      <c r="G72" s="63"/>
      <c r="H72" s="63"/>
      <c r="I72" s="129" t="str">
        <f t="shared" ref="I72:AV72" si="80">IFERROR((I73-I74)/I73,"")</f>
        <v/>
      </c>
      <c r="J72" s="130" t="str">
        <f t="shared" si="80"/>
        <v/>
      </c>
      <c r="K72" s="131" t="str">
        <f t="shared" si="80"/>
        <v/>
      </c>
      <c r="L72" s="131" t="str">
        <f t="shared" si="80"/>
        <v/>
      </c>
      <c r="M72" s="131" t="str">
        <f t="shared" si="80"/>
        <v/>
      </c>
      <c r="N72" s="132" t="str">
        <f t="shared" si="80"/>
        <v/>
      </c>
      <c r="O72" s="133" t="str">
        <f t="shared" si="80"/>
        <v/>
      </c>
      <c r="P72" s="133" t="str">
        <f t="shared" si="80"/>
        <v/>
      </c>
      <c r="Q72" s="133" t="str">
        <f t="shared" si="80"/>
        <v/>
      </c>
      <c r="R72" s="133" t="str">
        <f t="shared" si="80"/>
        <v/>
      </c>
      <c r="S72" s="133" t="str">
        <f t="shared" si="80"/>
        <v/>
      </c>
      <c r="T72" s="133" t="str">
        <f t="shared" si="80"/>
        <v/>
      </c>
      <c r="U72" s="133" t="str">
        <f t="shared" si="80"/>
        <v/>
      </c>
      <c r="V72" s="133" t="str">
        <f t="shared" si="80"/>
        <v/>
      </c>
      <c r="W72" s="133" t="str">
        <f t="shared" si="80"/>
        <v/>
      </c>
      <c r="X72" s="133" t="str">
        <f t="shared" si="80"/>
        <v/>
      </c>
      <c r="Y72" s="133" t="str">
        <f t="shared" si="80"/>
        <v/>
      </c>
      <c r="Z72" s="132" t="str">
        <f t="shared" si="80"/>
        <v/>
      </c>
      <c r="AA72" s="132" t="str">
        <f t="shared" si="80"/>
        <v/>
      </c>
      <c r="AB72" s="132" t="str">
        <f t="shared" si="80"/>
        <v/>
      </c>
      <c r="AC72" s="132" t="str">
        <f t="shared" si="80"/>
        <v/>
      </c>
      <c r="AD72" s="132" t="str">
        <f t="shared" si="80"/>
        <v/>
      </c>
      <c r="AE72" s="132" t="str">
        <f t="shared" si="80"/>
        <v/>
      </c>
      <c r="AF72" s="132" t="str">
        <f t="shared" si="80"/>
        <v/>
      </c>
      <c r="AG72" s="132" t="str">
        <f t="shared" si="80"/>
        <v/>
      </c>
      <c r="AH72" s="132" t="str">
        <f t="shared" si="80"/>
        <v/>
      </c>
      <c r="AI72" s="132" t="str">
        <f t="shared" si="80"/>
        <v/>
      </c>
      <c r="AJ72" s="132" t="str">
        <f t="shared" si="80"/>
        <v/>
      </c>
      <c r="AK72" s="132" t="str">
        <f t="shared" si="80"/>
        <v/>
      </c>
      <c r="AL72" s="132" t="str">
        <f t="shared" si="80"/>
        <v/>
      </c>
      <c r="AM72" s="132" t="str">
        <f t="shared" si="80"/>
        <v/>
      </c>
      <c r="AN72" s="134" t="str">
        <f t="shared" si="80"/>
        <v/>
      </c>
      <c r="AO72" s="138" t="str">
        <f t="shared" si="80"/>
        <v/>
      </c>
      <c r="AP72" s="135" t="str">
        <f t="shared" si="80"/>
        <v/>
      </c>
      <c r="AQ72" s="135" t="str">
        <f t="shared" si="80"/>
        <v/>
      </c>
      <c r="AR72" s="135" t="str">
        <f t="shared" si="80"/>
        <v/>
      </c>
      <c r="AS72" s="135" t="str">
        <f t="shared" si="80"/>
        <v/>
      </c>
      <c r="AT72" s="135" t="str">
        <f t="shared" si="80"/>
        <v/>
      </c>
      <c r="AU72" s="136" t="str">
        <f t="shared" si="80"/>
        <v/>
      </c>
      <c r="AV72" s="137" t="str">
        <f t="shared" si="80"/>
        <v/>
      </c>
    </row>
    <row r="73" spans="1:48" hidden="1" x14ac:dyDescent="0.3">
      <c r="A73" s="53" t="str">
        <f t="shared" ref="A73" si="81">+IF(C73+C74=0,"[ocultar]","")</f>
        <v>[ocultar]</v>
      </c>
      <c r="B73" s="57" t="s">
        <v>162</v>
      </c>
      <c r="C73" s="56">
        <f t="array" ref="C73">SUM(IF($B73=DATOS_[Sexo],
IF($B72=DATOS_[AGRUP. VALOR. PTO.],
IF("Dentro"=DATOS_[Check Periodo Ref.],
1/(COUNTIFS(DATOS_[Sexo],$B73,DATOS_[AGRUP. VALOR. PTO.],$B72,DATOS_[Check Periodo Ref.],"Dentro",DATOS_[id],DATOS_[id]))))))</f>
        <v>0</v>
      </c>
      <c r="D73" s="58">
        <f>COUNTIFS(DATOS_[AGRUP. VALOR. PTO.],$B72,DATOS_[Sexo],$B73,DATOS_[Check Periodo Ref.],"Dentro")</f>
        <v>0</v>
      </c>
      <c r="E73" s="58">
        <f>COUNTIFS(DATOS_[AGRUP. VALOR. PTO.],$B72,DATOS_[Sexo],$B73,DATOS_[Check Periodo Ref.],"Dentro",DATOS_[Check Nº SC Norm],"Sí")</f>
        <v>0</v>
      </c>
      <c r="F73" s="58">
        <f>COUNTIFS(DATOS_[AGRUP. VALOR. PTO.],$B72,DATOS_[Sexo],$B73,DATOS_[Check Periodo Ref.],"Dentro",DATOS_[Check Nº SC Anualiz],"Sí")</f>
        <v>0</v>
      </c>
      <c r="G73" s="58">
        <f>COUNTIFS(DATOS_[AGRUP. VALOR. PTO.],$B72,DATOS_[Sexo],$B73,DATOS_[Check Periodo Ref.],"Dentro",DATOS_[Check Nº SC Norm y Anualiz],"Sí")</f>
        <v>0</v>
      </c>
      <c r="H73" s="58">
        <f>COUNTIFS(DATOS_[AGRUP. VALOR. PTO.],$B72,DATOS_[Sexo],$B73,DATOS_[Check Periodo Ref.],"Dentro",DATOS_[Check Equiparación],"Sí")</f>
        <v>0</v>
      </c>
      <c r="I73" s="100">
        <f t="array" ref="I73">IFERROR(
AVERAGE(IF(DATOS_[Sexo]=$B73,IF(DATOS_[[AGRUP. VALOR. PTO.]:[AGRUP. VALOR. PTO.]]=$B72,IF(DATOS_[Check Equiparado]="Sí",IF(DATOS_[Check Periodo Ref.]="Dentro",DATOS_[SALARIO BASE Eq],FALSE))))),
0)</f>
        <v>0</v>
      </c>
      <c r="J73" s="101">
        <f t="array" ref="J73">IFERROR(
(AVERAGE((IF(DATOS_[[Sexo]:[Sexo]]=$B73,IF(DATOS_[[AGRUP. VALOR. PTO.]:[AGRUP. VALOR. PTO.]]=$B72,IF(DATOS_[[Check Periodo Ref.]:[Check Periodo Ref.]]="Dentro",IF(DATOS_[[Check Equiparado]:[Check Equiparado]]="Sí",IF(DATOS!AE$5="Sí",(1/DATOS_[[% anualiz]:[% anualiz]]),1)*IF(DATOS!AE$4="Sí",1/DATOS_[[% normaliz]:[% normaliz]],1)*(DATOS_[Conc.Sal.01])))))))),
0)</f>
        <v>0</v>
      </c>
      <c r="K73" s="101">
        <f t="array" ref="K73">IFERROR(
(AVERAGE((IF(DATOS_[[Sexo]:[Sexo]]=$B73,IF(DATOS_[[AGRUP. VALOR. PTO.]:[AGRUP. VALOR. PTO.]]=$B72,IF(DATOS_[[Check Periodo Ref.]:[Check Periodo Ref.]]="Dentro",IF(DATOS_[[Check Equiparado]:[Check Equiparado]]="Sí",IF(DATOS!AF$5="Sí",(1/DATOS_[[% anualiz]:[% anualiz]]),1)*IF(DATOS!AF$4="Sí",1/DATOS_[[% normaliz]:[% normaliz]],1)*(DATOS_[Conc.Sal.02])))))))),
0)</f>
        <v>0</v>
      </c>
      <c r="L73" s="101">
        <f t="array" ref="L73">IFERROR(
(AVERAGE((IF(DATOS_[[Sexo]:[Sexo]]=$B73,IF(DATOS_[[AGRUP. VALOR. PTO.]:[AGRUP. VALOR. PTO.]]=$B72,IF(DATOS_[[Check Periodo Ref.]:[Check Periodo Ref.]]="Dentro",IF(DATOS_[[Check Equiparado]:[Check Equiparado]]="Sí",IF(DATOS!AG$5="Sí",(1/DATOS_[[% anualiz]:[% anualiz]]),1)*IF(DATOS!AG$4="Sí",1/DATOS_[[% normaliz]:[% normaliz]],1)*(DATOS_[Conc.Sal.03])))))))),
0)</f>
        <v>0</v>
      </c>
      <c r="M73" s="101">
        <f t="array" ref="M73">IFERROR(
(AVERAGE((IF(DATOS_[[Sexo]:[Sexo]]=$B73,IF(DATOS_[[AGRUP. VALOR. PTO.]:[AGRUP. VALOR. PTO.]]=$B72,IF(DATOS_[[Check Periodo Ref.]:[Check Periodo Ref.]]="Dentro",IF(DATOS_[[Check Equiparado]:[Check Equiparado]]="Sí",IF(DATOS!AH$5="Sí",(1/DATOS_[[% anualiz]:[% anualiz]]),1)*IF(DATOS!AH$4="Sí",1/DATOS_[[% normaliz]:[% normaliz]],1)*(DATOS_[Conc.Sal.04])))))))),
0)</f>
        <v>0</v>
      </c>
      <c r="N73" s="101">
        <f t="array" ref="N73">IFERROR(
(AVERAGE((IF(DATOS_[[Sexo]:[Sexo]]=$B73,IF(DATOS_[[AGRUP. VALOR. PTO.]:[AGRUP. VALOR. PTO.]]=$B72,IF(DATOS_[[Check Periodo Ref.]:[Check Periodo Ref.]]="Dentro",IF(DATOS_[[Check Equiparado]:[Check Equiparado]]="Sí",IF(DATOS!AI$5="Sí",(1/DATOS_[[% anualiz]:[% anualiz]]),1)*IF(DATOS!AI$4="Sí",1/DATOS_[[% normaliz]:[% normaliz]],1)*(DATOS_[Conc.Sal.05])))))))),
0)</f>
        <v>0</v>
      </c>
      <c r="O73" s="101">
        <f t="array" ref="O73">IFERROR(
(AVERAGE((IF(DATOS_[[Sexo]:[Sexo]]=$B73,IF(DATOS_[[AGRUP. VALOR. PTO.]:[AGRUP. VALOR. PTO.]]=$B72,IF(DATOS_[[Check Periodo Ref.]:[Check Periodo Ref.]]="Dentro",IF(DATOS_[[Check Equiparado]:[Check Equiparado]]="Sí",IF(DATOS!AJ$5="Sí",(1/DATOS_[[% anualiz]:[% anualiz]]),1)*IF(DATOS!AJ$4="Sí",1/DATOS_[[% normaliz]:[% normaliz]],1)*(DATOS_[Conc.Sal.06])))))))),
0)</f>
        <v>0</v>
      </c>
      <c r="P73" s="101">
        <f t="array" ref="P73">IFERROR(
(AVERAGE((IF(DATOS_[[Sexo]:[Sexo]]=$B73,IF(DATOS_[[AGRUP. VALOR. PTO.]:[AGRUP. VALOR. PTO.]]=$B72,IF(DATOS_[[Check Periodo Ref.]:[Check Periodo Ref.]]="Dentro",IF(DATOS_[[Check Equiparado]:[Check Equiparado]]="Sí",IF(DATOS!AK$5="Sí",(1/DATOS_[[% anualiz]:[% anualiz]]),1)*IF(DATOS!AK$4="Sí",1/DATOS_[[% normaliz]:[% normaliz]],1)*(DATOS_[Conc.Sal.07])))))))),
0)</f>
        <v>0</v>
      </c>
      <c r="Q73" s="101">
        <f t="array" ref="Q73">IFERROR(
(AVERAGE((IF(DATOS_[[Sexo]:[Sexo]]=$B73,IF(DATOS_[[AGRUP. VALOR. PTO.]:[AGRUP. VALOR. PTO.]]=$B72,IF(DATOS_[[Check Periodo Ref.]:[Check Periodo Ref.]]="Dentro",IF(DATOS_[[Check Equiparado]:[Check Equiparado]]="Sí",IF(DATOS!AL$5="Sí",(1/DATOS_[[% anualiz]:[% anualiz]]),1)*IF(DATOS!AL$4="Sí",1/DATOS_[[% normaliz]:[% normaliz]],1)*(DATOS_[Conc.Sal.08])))))))),
0)</f>
        <v>0</v>
      </c>
      <c r="R73" s="101">
        <f t="array" ref="R73">IFERROR(
(AVERAGE((IF(DATOS_[[Sexo]:[Sexo]]=$B73,IF(DATOS_[[AGRUP. VALOR. PTO.]:[AGRUP. VALOR. PTO.]]=$B72,IF(DATOS_[[Check Periodo Ref.]:[Check Periodo Ref.]]="Dentro",IF(DATOS_[[Check Equiparado]:[Check Equiparado]]="Sí",IF(DATOS!AM$5="Sí",(1/DATOS_[[% anualiz]:[% anualiz]]),1)*IF(DATOS!AM$4="Sí",1/DATOS_[[% normaliz]:[% normaliz]],1)*(DATOS_[Conc.Sal.09])))))))),
0)</f>
        <v>0</v>
      </c>
      <c r="S73" s="101">
        <f t="array" ref="S73">IFERROR(
(AVERAGE((IF(DATOS_[[Sexo]:[Sexo]]=$B73,IF(DATOS_[[AGRUP. VALOR. PTO.]:[AGRUP. VALOR. PTO.]]=$B72,IF(DATOS_[[Check Periodo Ref.]:[Check Periodo Ref.]]="Dentro",IF(DATOS_[[Check Equiparado]:[Check Equiparado]]="Sí",IF(DATOS!AN$5="Sí",(1/DATOS_[[% anualiz]:[% anualiz]]),1)*IF(DATOS!AN$4="Sí",1/DATOS_[[% normaliz]:[% normaliz]],1)*(DATOS_[Conc.Sal.10])))))))),
0)</f>
        <v>0</v>
      </c>
      <c r="T73" s="101">
        <f t="array" ref="T73">IFERROR(
(AVERAGE((IF(DATOS_[[Sexo]:[Sexo]]=$B73,IF(DATOS_[[AGRUP. VALOR. PTO.]:[AGRUP. VALOR. PTO.]]=$B72,IF(DATOS_[[Check Periodo Ref.]:[Check Periodo Ref.]]="Dentro",IF(DATOS_[[Check Equiparado]:[Check Equiparado]]="Sí",IF(DATOS!AO$5="Sí",(1/DATOS_[[% anualiz]:[% anualiz]]),1)*IF(DATOS!AO$4="Sí",1/DATOS_[[% normaliz]:[% normaliz]],1)*(DATOS_[Conc.Sal.11])))))))),
0)</f>
        <v>0</v>
      </c>
      <c r="U73" s="101">
        <f t="array" ref="U73">IFERROR(
(AVERAGE((IF(DATOS_[[Sexo]:[Sexo]]=$B73,IF(DATOS_[[AGRUP. VALOR. PTO.]:[AGRUP. VALOR. PTO.]]=$B72,IF(DATOS_[[Check Periodo Ref.]:[Check Periodo Ref.]]="Dentro",IF(DATOS_[[Check Equiparado]:[Check Equiparado]]="Sí",IF(DATOS!AP$5="Sí",(1/DATOS_[[% anualiz]:[% anualiz]]),1)*IF(DATOS!AP$4="Sí",1/DATOS_[[% normaliz]:[% normaliz]],1)*(DATOS_[Conc.Sal.12])))))))),
0)</f>
        <v>0</v>
      </c>
      <c r="V73" s="101">
        <f t="array" ref="V73">IFERROR(
(AVERAGE((IF(DATOS_[[Sexo]:[Sexo]]=$B73,IF(DATOS_[[AGRUP. VALOR. PTO.]:[AGRUP. VALOR. PTO.]]=$B72,IF(DATOS_[[Check Periodo Ref.]:[Check Periodo Ref.]]="Dentro",IF(DATOS_[[Check Equiparado]:[Check Equiparado]]="Sí",IF(DATOS!AQ$5="Sí",(1/DATOS_[[% anualiz]:[% anualiz]]),1)*IF(DATOS!AQ$4="Sí",1/DATOS_[[% normaliz]:[% normaliz]],1)*(DATOS_[Conc.Sal.13])))))))),
0)</f>
        <v>0</v>
      </c>
      <c r="W73" s="101">
        <f t="array" ref="W73">IFERROR(
(AVERAGE((IF(DATOS_[[Sexo]:[Sexo]]=$B73,IF(DATOS_[[AGRUP. VALOR. PTO.]:[AGRUP. VALOR. PTO.]]=$B72,IF(DATOS_[[Check Periodo Ref.]:[Check Periodo Ref.]]="Dentro",IF(DATOS_[[Check Equiparado]:[Check Equiparado]]="Sí",IF(DATOS!AR$5="Sí",(1/DATOS_[[% anualiz]:[% anualiz]]),1)*IF(DATOS!AR$4="Sí",1/DATOS_[[% normaliz]:[% normaliz]],1)*(DATOS_[Conc.Sal.14])))))))),
0)</f>
        <v>0</v>
      </c>
      <c r="X73" s="101">
        <f t="array" ref="X73">IFERROR(
(AVERAGE((IF(DATOS_[[Sexo]:[Sexo]]=$B73,IF(DATOS_[[AGRUP. VALOR. PTO.]:[AGRUP. VALOR. PTO.]]=$B72,IF(DATOS_[[Check Periodo Ref.]:[Check Periodo Ref.]]="Dentro",IF(DATOS_[[Check Equiparado]:[Check Equiparado]]="Sí",IF(DATOS!AS$5="Sí",(1/DATOS_[[% anualiz]:[% anualiz]]),1)*IF(DATOS!AS$4="Sí",1/DATOS_[[% normaliz]:[% normaliz]],1)*(DATOS_[Conc.Sal.15])))))))),
0)</f>
        <v>0</v>
      </c>
      <c r="Y73" s="101">
        <f t="array" ref="Y73">IFERROR(
(AVERAGE((IF(DATOS_[[Sexo]:[Sexo]]=$B73,IF(DATOS_[[AGRUP. VALOR. PTO.]:[AGRUP. VALOR. PTO.]]=$B72,IF(DATOS_[[Check Periodo Ref.]:[Check Periodo Ref.]]="Dentro",IF(DATOS_[[Check Equiparado]:[Check Equiparado]]="Sí",IF(DATOS!AT$5="Sí",(1/DATOS_[[% anualiz]:[% anualiz]]),1)*IF(DATOS!AT$4="Sí",1/DATOS_[[% normaliz]:[% normaliz]],1)*(DATOS_[Conc.Sal.16])))))))),
0)</f>
        <v>0</v>
      </c>
      <c r="Z73" s="101">
        <f t="array" ref="Z73">IFERROR(
(AVERAGE((IF(DATOS_[[Sexo]:[Sexo]]=$B73,IF(DATOS_[[AGRUP. VALOR. PTO.]:[AGRUP. VALOR. PTO.]]=$B72,IF(DATOS_[[Check Periodo Ref.]:[Check Periodo Ref.]]="Dentro",IF(DATOS_[[Check Equiparado]:[Check Equiparado]]="Sí",IF(DATOS!AU$5="Sí",(1/DATOS_[[% anualiz]:[% anualiz]]),1)*IF(DATOS!AU$4="Sí",1/DATOS_[[% normaliz]:[% normaliz]],1)*(DATOS_[Conc.Sal.17])))))))),
0)</f>
        <v>0</v>
      </c>
      <c r="AA73" s="101">
        <f t="array" ref="AA73">IFERROR(
(AVERAGE((IF(DATOS_[[Sexo]:[Sexo]]=$B73,IF(DATOS_[[AGRUP. VALOR. PTO.]:[AGRUP. VALOR. PTO.]]=$B72,IF(DATOS_[[Check Periodo Ref.]:[Check Periodo Ref.]]="Dentro",IF(DATOS_[[Check Equiparado]:[Check Equiparado]]="Sí",IF(DATOS!AV$5="Sí",(1/DATOS_[[% anualiz]:[% anualiz]]),1)*IF(DATOS!AV$4="Sí",1/DATOS_[[% normaliz]:[% normaliz]],1)*(DATOS_[Conc.Sal.18])))))))),
0)</f>
        <v>0</v>
      </c>
      <c r="AB73" s="101">
        <f t="array" ref="AB73">IFERROR(
(AVERAGE((IF(DATOS_[[Sexo]:[Sexo]]=$B73,IF(DATOS_[[AGRUP. VALOR. PTO.]:[AGRUP. VALOR. PTO.]]=$B72,IF(DATOS_[[Check Periodo Ref.]:[Check Periodo Ref.]]="Dentro",IF(DATOS_[[Check Equiparado]:[Check Equiparado]]="Sí",IF(DATOS!AW$5="Sí",(1/DATOS_[[% anualiz]:[% anualiz]]),1)*IF(DATOS!AW$4="Sí",1/DATOS_[[% normaliz]:[% normaliz]],1)*(DATOS_[Conc.Sal.19])))))))),
0)</f>
        <v>0</v>
      </c>
      <c r="AC73" s="101">
        <f t="array" ref="AC73">IFERROR(
(AVERAGE((IF(DATOS_[[Sexo]:[Sexo]]=$B73,IF(DATOS_[[AGRUP. VALOR. PTO.]:[AGRUP. VALOR. PTO.]]=$B72,IF(DATOS_[[Check Periodo Ref.]:[Check Periodo Ref.]]="Dentro",IF(DATOS_[[Check Equiparado]:[Check Equiparado]]="Sí",IF(DATOS!AX$5="Sí",(1/DATOS_[[% anualiz]:[% anualiz]]),1)*IF(DATOS!AX$4="Sí",1/DATOS_[[% normaliz]:[% normaliz]],1)*(DATOS_[Conc.Sal.20])))))))),
0)</f>
        <v>0</v>
      </c>
      <c r="AD73" s="101">
        <f t="array" ref="AD73">IFERROR(
(AVERAGE((IF(DATOS_[[Sexo]:[Sexo]]=$B73,IF(DATOS_[[AGRUP. VALOR. PTO.]:[AGRUP. VALOR. PTO.]]=$B72,IF(DATOS_[[Check Periodo Ref.]:[Check Periodo Ref.]]="Dentro",IF(DATOS_[[Check Equiparado]:[Check Equiparado]]="Sí",IF(DATOS!AY$5="Sí",(1/DATOS_[[% anualiz]:[% anualiz]]),1)*IF(DATOS!AY$4="Sí",1/DATOS_[[% normaliz]:[% normaliz]],1)*(DATOS_[Conc.Sal.21])))))))),
0)</f>
        <v>0</v>
      </c>
      <c r="AE73" s="101">
        <f t="array" ref="AE73">IFERROR(
(AVERAGE((IF(DATOS_[[Sexo]:[Sexo]]=$B73,IF(DATOS_[[AGRUP. VALOR. PTO.]:[AGRUP. VALOR. PTO.]]=$B72,IF(DATOS_[[Check Periodo Ref.]:[Check Periodo Ref.]]="Dentro",IF(DATOS_[[Check Equiparado]:[Check Equiparado]]="Sí",IF(DATOS!AZ$5="Sí",(1/DATOS_[[% anualiz]:[% anualiz]]),1)*IF(DATOS!AZ$4="Sí",1/DATOS_[[% normaliz]:[% normaliz]],1)*(DATOS_[Conc.Sal.22])))))))),
0)</f>
        <v>0</v>
      </c>
      <c r="AF73" s="101">
        <f t="array" ref="AF73">IFERROR(
(AVERAGE((IF(DATOS_[[Sexo]:[Sexo]]=$B73,IF(DATOS_[[AGRUP. VALOR. PTO.]:[AGRUP. VALOR. PTO.]]=$B72,IF(DATOS_[[Check Periodo Ref.]:[Check Periodo Ref.]]="Dentro",IF(DATOS_[[Check Equiparado]:[Check Equiparado]]="Sí",IF(DATOS!BA$5="Sí",(1/DATOS_[[% anualiz]:[% anualiz]]),1)*IF(DATOS!BA$4="Sí",1/DATOS_[[% normaliz]:[% normaliz]],1)*(DATOS_[Conc.Sal.23])))))))),
0)</f>
        <v>0</v>
      </c>
      <c r="AG73" s="101">
        <f t="array" ref="AG73">IFERROR(
(AVERAGE((IF(DATOS_[[Sexo]:[Sexo]]=$B73,IF(DATOS_[[AGRUP. VALOR. PTO.]:[AGRUP. VALOR. PTO.]]=$B72,IF(DATOS_[[Check Periodo Ref.]:[Check Periodo Ref.]]="Dentro",IF(DATOS_[[Check Equiparado]:[Check Equiparado]]="Sí",IF(DATOS!BB$5="Sí",(1/DATOS_[[% anualiz]:[% anualiz]]),1)*IF(DATOS!BB$4="Sí",1/DATOS_[[% normaliz]:[% normaliz]],1)*(DATOS_[Conc.Sal.24])))))))),
0)</f>
        <v>0</v>
      </c>
      <c r="AH73" s="101">
        <f t="array" ref="AH73">IFERROR(
(AVERAGE((IF(DATOS_[[Sexo]:[Sexo]]=$B73,IF(DATOS_[[AGRUP. VALOR. PTO.]:[AGRUP. VALOR. PTO.]]=$B72,IF(DATOS_[[Check Periodo Ref.]:[Check Periodo Ref.]]="Dentro",IF(DATOS_[[Check Equiparado]:[Check Equiparado]]="Sí",IF(DATOS!BC$5="Sí",(1/DATOS_[[% anualiz]:[% anualiz]]),1)*IF(DATOS!BC$4="Sí",1/DATOS_[[% normaliz]:[% normaliz]],1)*(DATOS_[Conc.Sal.25])))))))),
0)</f>
        <v>0</v>
      </c>
      <c r="AI73" s="101">
        <f t="array" ref="AI73">IFERROR(
(AVERAGE((IF(DATOS_[[Sexo]:[Sexo]]=$B73,IF(DATOS_[[AGRUP. VALOR. PTO.]:[AGRUP. VALOR. PTO.]]=$B72,IF(DATOS_[[Check Periodo Ref.]:[Check Periodo Ref.]]="Dentro",IF(DATOS_[[Check Equiparado]:[Check Equiparado]]="Sí",IF(DATOS!BD$5="Sí",(1/DATOS_[[% anualiz]:[% anualiz]]),1)*IF(DATOS!BD$4="Sí",1/DATOS_[[% normaliz]:[% normaliz]],1)*(DATOS_[Conc.Sal.26])))))))),
0)</f>
        <v>0</v>
      </c>
      <c r="AJ73" s="101">
        <f t="array" ref="AJ73">IFERROR(
(AVERAGE((IF(DATOS_[[Sexo]:[Sexo]]=$B73,IF(DATOS_[[AGRUP. VALOR. PTO.]:[AGRUP. VALOR. PTO.]]=$B72,IF(DATOS_[[Check Periodo Ref.]:[Check Periodo Ref.]]="Dentro",IF(DATOS_[[Check Equiparado]:[Check Equiparado]]="Sí",IF(DATOS!BE$5="Sí",(1/DATOS_[[% anualiz]:[% anualiz]]),1)*IF(DATOS!BE$4="Sí",1/DATOS_[[% normaliz]:[% normaliz]],1)*(DATOS_[Conc.Sal.27])))))))),
0)</f>
        <v>0</v>
      </c>
      <c r="AK73" s="101">
        <f t="array" ref="AK73">IFERROR(
(AVERAGE((IF(DATOS_[[Sexo]:[Sexo]]=$B73,IF(DATOS_[[AGRUP. VALOR. PTO.]:[AGRUP. VALOR. PTO.]]=$B72,IF(DATOS_[[Check Periodo Ref.]:[Check Periodo Ref.]]="Dentro",IF(DATOS_[[Check Equiparado]:[Check Equiparado]]="Sí",IF(DATOS!BF$5="Sí",(1/DATOS_[[% anualiz]:[% anualiz]]),1)*IF(DATOS!BF$4="Sí",1/DATOS_[[% normaliz]:[% normaliz]],1)*(DATOS_[Conc.Sal.28])))))))),
0)</f>
        <v>0</v>
      </c>
      <c r="AL73" s="101">
        <f t="array" ref="AL73">IFERROR(
(AVERAGE((IF(DATOS_[[Sexo]:[Sexo]]=$B73,IF(DATOS_[[AGRUP. VALOR. PTO.]:[AGRUP. VALOR. PTO.]]=$B72,IF(DATOS_[[Check Periodo Ref.]:[Check Periodo Ref.]]="Dentro",IF(DATOS_[[Check Equiparado]:[Check Equiparado]]="Sí",IF(DATOS!BG$5="Sí",(1/DATOS_[[% anualiz]:[% anualiz]]),1)*IF(DATOS!BG$4="Sí",1/DATOS_[[% normaliz]:[% normaliz]],1)*(DATOS_[Conc.Sal.29])))))))),
0)</f>
        <v>0</v>
      </c>
      <c r="AM73" s="101">
        <f t="array" ref="AM73">IFERROR(
(AVERAGE((IF(DATOS_[[Sexo]:[Sexo]]=$B73,IF(DATOS_[[AGRUP. VALOR. PTO.]:[AGRUP. VALOR. PTO.]]=$B72,IF(DATOS_[[Check Periodo Ref.]:[Check Periodo Ref.]]="Dentro",IF(DATOS_[[Check Equiparado]:[Check Equiparado]]="Sí",IF(DATOS!BH$5="Sí",(1/DATOS_[[% anualiz]:[% anualiz]]),1)*IF(DATOS!BH$4="Sí",1/DATOS_[[% normaliz]:[% normaliz]],1)*(DATOS_[Conc.Sal.30])))))))),
0)</f>
        <v>0</v>
      </c>
      <c r="AN73" s="102">
        <f t="array" ref="AN73">IFERROR(
AVERAGE(IF(DATOS_[Sexo]=$B73,IF(DATOS_[[AGRUP. VALOR. PTO.]:[AGRUP. VALOR. PTO.]]=$B72,IF(DATOS_[Check Equiparado]="Sí",IF(DATOS_[Check Periodo Ref.]="Dentro",DATOS_[Tot COMPL.SAL Eq],FALSE))))),
0)</f>
        <v>0</v>
      </c>
      <c r="AO73" s="103">
        <f t="array" ref="AO73">IFERROR(
AVERAGE(IF(DATOS_[Sexo]=$B73,IF(DATOS_[[AGRUP. VALOR. PTO.]:[AGRUP. VALOR. PTO.]]=$B72,IF(DATOS_[Check Equiparado]="Sí",IF(DATOS_[Check Periodo Ref.]="Dentro",DATOS_[TOTAL SALARIO Eq],FALSE))))),
0)</f>
        <v>0</v>
      </c>
      <c r="AP73" s="104">
        <f t="array" ref="AP73">IFERROR(
(AVERAGE((IF(DATOS_[[Sexo]:[Sexo]]=$B73,IF(DATOS_[[AGRUP. VALOR. PTO.]:[AGRUP. VALOR. PTO.]]=$B72,IF(DATOS_[[Check Periodo Ref.]:[Check Periodo Ref.]]="Dentro",IF(DATOS_[[Check Equiparado]:[Check Equiparado]]="Sí",IF(DATOS!BI$5="Sí",(1/DATOS_[[% anualiz]:[% anualiz]]),1)*IF(DATOS!BI$4="Sí",1/DATOS_[[% normaliz]:[% normaliz]],1)*(DATOS_[C.Extra.01])))))))),
0)</f>
        <v>0</v>
      </c>
      <c r="AQ73" s="104">
        <f t="array" ref="AQ73">IFERROR(
(AVERAGE((IF(DATOS_[[Sexo]:[Sexo]]=$B73,IF(DATOS_[[AGRUP. VALOR. PTO.]:[AGRUP. VALOR. PTO.]]=$B72,IF(DATOS_[[Check Periodo Ref.]:[Check Periodo Ref.]]="Dentro",IF(DATOS_[[Check Equiparado]:[Check Equiparado]]="Sí",IF(DATOS!BJ$5="Sí",(1/DATOS_[[% anualiz]:[% anualiz]]),1)*IF(DATOS!BJ$4="Sí",1/DATOS_[[% normaliz]:[% normaliz]],1)*(DATOS_[C.Extra.02])))))))),
0)</f>
        <v>0</v>
      </c>
      <c r="AR73" s="104">
        <f t="array" ref="AR73">IFERROR(
(AVERAGE((IF(DATOS_[[Sexo]:[Sexo]]=$B73,IF(DATOS_[[AGRUP. VALOR. PTO.]:[AGRUP. VALOR. PTO.]]=$B72,IF(DATOS_[[Check Periodo Ref.]:[Check Periodo Ref.]]="Dentro",IF(DATOS_[[Check Equiparado]:[Check Equiparado]]="Sí",IF(DATOS!BK$5="Sí",(1/DATOS_[[% anualiz]:[% anualiz]]),1)*IF(DATOS!BK$4="Sí",1/DATOS_[[% normaliz]:[% normaliz]],1)*(DATOS_[C.Extra.03])))))))),
0)</f>
        <v>0</v>
      </c>
      <c r="AS73" s="104">
        <f t="array" ref="AS73">IFERROR(
(AVERAGE((IF(DATOS_[[Sexo]:[Sexo]]=$B73,IF(DATOS_[[AGRUP. VALOR. PTO.]:[AGRUP. VALOR. PTO.]]=$B72,IF(DATOS_[[Check Periodo Ref.]:[Check Periodo Ref.]]="Dentro",IF(DATOS_[[Check Equiparado]:[Check Equiparado]]="Sí",IF(DATOS!BL$5="Sí",(1/DATOS_[[% anualiz]:[% anualiz]]),1)*IF(DATOS!BL$4="Sí",1/DATOS_[[% normaliz]:[% normaliz]],1)*(DATOS_[C.Extra.04])))))))),
0)</f>
        <v>0</v>
      </c>
      <c r="AT73" s="104">
        <f t="array" ref="AT73">IFERROR(
(AVERAGE((IF(DATOS_[[Sexo]:[Sexo]]=$B73,IF(DATOS_[[AGRUP. VALOR. PTO.]:[AGRUP. VALOR. PTO.]]=$B72,IF(DATOS_[[Check Periodo Ref.]:[Check Periodo Ref.]]="Dentro",IF(DATOS_[[Check Equiparado]:[Check Equiparado]]="Sí",IF(DATOS!BM$5="Sí",(1/DATOS_[[% anualiz]:[% anualiz]]),1)*IF(DATOS!BM$4="Sí",1/DATOS_[[% normaliz]:[% normaliz]],1)*(DATOS_[C.Extra.05])))))))),
0)</f>
        <v>0</v>
      </c>
      <c r="AU73" s="105">
        <f t="array" ref="AU73">IFERROR(
AVERAGE(IF(DATOS_[Sexo]=$B73,IF(DATOS_[[AGRUP. VALOR. PTO.]:[AGRUP. VALOR. PTO.]]=$B72,IF(DATOS_[Check Equiparado]="Sí",IF(DATOS_[Check Periodo Ref.]="Dentro",DATOS_[Tot Extrasalarial Eq],FALSE))))),
0)</f>
        <v>0</v>
      </c>
      <c r="AV73" s="106">
        <f t="array" ref="AV73">IFERROR(
AVERAGE(IF(DATOS_[Sexo]=$B73,IF(DATOS_[[AGRUP. VALOR. PTO.]:[AGRUP. VALOR. PTO.]]=$B72,IF(DATOS_[Check Equiparado]="Sí",IF(DATOS_[Check Periodo Ref.]="Dentro",DATOS_[TOTAL Retrib Eq],FALSE))))),
0)</f>
        <v>0</v>
      </c>
    </row>
    <row r="74" spans="1:48" hidden="1" x14ac:dyDescent="0.3">
      <c r="A74" s="53" t="str">
        <f t="shared" ref="A74" si="82">+A73</f>
        <v>[ocultar]</v>
      </c>
      <c r="B74" s="57" t="s">
        <v>163</v>
      </c>
      <c r="C74" s="56">
        <f t="array" ref="C74">SUM(IF($B74=DATOS_[Sexo],
IF($B72=DATOS_[AGRUP. VALOR. PTO.],
IF("Dentro"=DATOS_[Check Periodo Ref.],
1/(COUNTIFS(DATOS_[Sexo],$B74,DATOS_[AGRUP. VALOR. PTO.],$B72,DATOS_[Check Periodo Ref.],"Dentro",DATOS_[id],DATOS_[id]))))))</f>
        <v>0</v>
      </c>
      <c r="D74" s="58">
        <f>COUNTIFS(DATOS_[AGRUP. VALOR. PTO.],$B72,DATOS_[Sexo],$B74,DATOS_[Check Periodo Ref.],"Dentro")</f>
        <v>0</v>
      </c>
      <c r="E74" s="58">
        <f>COUNTIFS(DATOS_[AGRUP. VALOR. PTO.],$B72,DATOS_[Sexo],$B74,DATOS_[Check Periodo Ref.],"Dentro",DATOS_[Check Nº SC Norm],"Sí")</f>
        <v>0</v>
      </c>
      <c r="F74" s="58">
        <f>COUNTIFS(DATOS_[AGRUP. VALOR. PTO.],$B72,DATOS_[Sexo],$B74,DATOS_[Check Periodo Ref.],"Dentro",DATOS_[Check Nº SC Anualiz],"Sí")</f>
        <v>0</v>
      </c>
      <c r="G74" s="58">
        <f>COUNTIFS(DATOS_[AGRUP. VALOR. PTO.],$B72,DATOS_[Sexo],$B74,DATOS_[Check Periodo Ref.],"Dentro",DATOS_[Check Nº SC Norm y Anualiz],"Sí")</f>
        <v>0</v>
      </c>
      <c r="H74" s="58">
        <f>COUNTIFS(DATOS_[AGRUP. VALOR. PTO.],$B72,DATOS_[Sexo],$B74,DATOS_[Check Periodo Ref.],"Dentro",DATOS_[Check Equiparación],"Sí")</f>
        <v>0</v>
      </c>
      <c r="I74" s="100" cm="1">
        <f t="array" ref="I74">IFERROR(
AVERAGE(IF(DATOS_[Sexo]=$B74,IF(DATOS_[[AGRUP. VALOR. PTO.]:[AGRUP. VALOR. PTO.]]=$B72,IF(DATOS_[Check Equiparado]="Sí",IF(DATOS_[Check Periodo Ref.]="Dentro",DATOS_[SALARIO BASE Eq],FALSE))))),
0)</f>
        <v>0</v>
      </c>
      <c r="J74" s="101">
        <f t="array" ref="J74">IFERROR(
(AVERAGE((IF(DATOS_[[Sexo]:[Sexo]]=$B74,IF(DATOS_[[AGRUP. VALOR. PTO.]:[AGRUP. VALOR. PTO.]]=$B72,IF(DATOS_[[Check Periodo Ref.]:[Check Periodo Ref.]]="Dentro",IF(DATOS_[[Check Equiparado]:[Check Equiparado]]="Sí",IF(DATOS!AE$5="Sí",(1/DATOS_[[% anualiz]:[% anualiz]]),1)*IF(DATOS!AE$4="Sí",1/DATOS_[[% normaliz]:[% normaliz]],1)*(DATOS_[Conc.Sal.01])))))))),
0)</f>
        <v>0</v>
      </c>
      <c r="K74" s="101">
        <f t="array" ref="K74">IFERROR(
(AVERAGE((IF(DATOS_[[Sexo]:[Sexo]]=$B74,IF(DATOS_[[AGRUP. VALOR. PTO.]:[AGRUP. VALOR. PTO.]]=$B72,IF(DATOS_[[Check Periodo Ref.]:[Check Periodo Ref.]]="Dentro",IF(DATOS_[[Check Equiparado]:[Check Equiparado]]="Sí",IF(DATOS!AF$5="Sí",(1/DATOS_[[% anualiz]:[% anualiz]]),1)*IF(DATOS!AF$4="Sí",1/DATOS_[[% normaliz]:[% normaliz]],1)*(DATOS_[Conc.Sal.02])))))))),
0)</f>
        <v>0</v>
      </c>
      <c r="L74" s="101">
        <f t="array" ref="L74">IFERROR(
(AVERAGE((IF(DATOS_[[Sexo]:[Sexo]]=$B74,IF(DATOS_[[AGRUP. VALOR. PTO.]:[AGRUP. VALOR. PTO.]]=$B72,IF(DATOS_[[Check Periodo Ref.]:[Check Periodo Ref.]]="Dentro",IF(DATOS_[[Check Equiparado]:[Check Equiparado]]="Sí",IF(DATOS!AG$5="Sí",(1/DATOS_[[% anualiz]:[% anualiz]]),1)*IF(DATOS!AG$4="Sí",1/DATOS_[[% normaliz]:[% normaliz]],1)*(DATOS_[Conc.Sal.03])))))))),
0)</f>
        <v>0</v>
      </c>
      <c r="M74" s="101">
        <f t="array" ref="M74">IFERROR(
(AVERAGE((IF(DATOS_[[Sexo]:[Sexo]]=$B74,IF(DATOS_[[AGRUP. VALOR. PTO.]:[AGRUP. VALOR. PTO.]]=$B72,IF(DATOS_[[Check Periodo Ref.]:[Check Periodo Ref.]]="Dentro",IF(DATOS_[[Check Equiparado]:[Check Equiparado]]="Sí",IF(DATOS!AH$5="Sí",(1/DATOS_[[% anualiz]:[% anualiz]]),1)*IF(DATOS!AH$4="Sí",1/DATOS_[[% normaliz]:[% normaliz]],1)*(DATOS_[Conc.Sal.04])))))))),
0)</f>
        <v>0</v>
      </c>
      <c r="N74" s="101">
        <f t="array" ref="N74">IFERROR(
(AVERAGE((IF(DATOS_[[Sexo]:[Sexo]]=$B74,IF(DATOS_[[AGRUP. VALOR. PTO.]:[AGRUP. VALOR. PTO.]]=$B72,IF(DATOS_[[Check Periodo Ref.]:[Check Periodo Ref.]]="Dentro",IF(DATOS_[[Check Equiparado]:[Check Equiparado]]="Sí",IF(DATOS!AI$5="Sí",(1/DATOS_[[% anualiz]:[% anualiz]]),1)*IF(DATOS!AI$4="Sí",1/DATOS_[[% normaliz]:[% normaliz]],1)*(DATOS_[Conc.Sal.05])))))))),
0)</f>
        <v>0</v>
      </c>
      <c r="O74" s="101">
        <f t="array" ref="O74">IFERROR(
(AVERAGE((IF(DATOS_[[Sexo]:[Sexo]]=$B74,IF(DATOS_[[AGRUP. VALOR. PTO.]:[AGRUP. VALOR. PTO.]]=$B72,IF(DATOS_[[Check Periodo Ref.]:[Check Periodo Ref.]]="Dentro",IF(DATOS_[[Check Equiparado]:[Check Equiparado]]="Sí",IF(DATOS!AJ$5="Sí",(1/DATOS_[[% anualiz]:[% anualiz]]),1)*IF(DATOS!AJ$4="Sí",1/DATOS_[[% normaliz]:[% normaliz]],1)*(DATOS_[Conc.Sal.06])))))))),
0)</f>
        <v>0</v>
      </c>
      <c r="P74" s="101">
        <f t="array" ref="P74">IFERROR(
(AVERAGE((IF(DATOS_[[Sexo]:[Sexo]]=$B74,IF(DATOS_[[AGRUP. VALOR. PTO.]:[AGRUP. VALOR. PTO.]]=$B72,IF(DATOS_[[Check Periodo Ref.]:[Check Periodo Ref.]]="Dentro",IF(DATOS_[[Check Equiparado]:[Check Equiparado]]="Sí",IF(DATOS!AK$5="Sí",(1/DATOS_[[% anualiz]:[% anualiz]]),1)*IF(DATOS!AK$4="Sí",1/DATOS_[[% normaliz]:[% normaliz]],1)*(DATOS_[Conc.Sal.07])))))))),
0)</f>
        <v>0</v>
      </c>
      <c r="Q74" s="101">
        <f t="array" ref="Q74">IFERROR(
(AVERAGE((IF(DATOS_[[Sexo]:[Sexo]]=$B74,IF(DATOS_[[AGRUP. VALOR. PTO.]:[AGRUP. VALOR. PTO.]]=$B72,IF(DATOS_[[Check Periodo Ref.]:[Check Periodo Ref.]]="Dentro",IF(DATOS_[[Check Equiparado]:[Check Equiparado]]="Sí",IF(DATOS!AL$5="Sí",(1/DATOS_[[% anualiz]:[% anualiz]]),1)*IF(DATOS!AL$4="Sí",1/DATOS_[[% normaliz]:[% normaliz]],1)*(DATOS_[Conc.Sal.08])))))))),
0)</f>
        <v>0</v>
      </c>
      <c r="R74" s="101">
        <f t="array" ref="R74">IFERROR(
(AVERAGE((IF(DATOS_[[Sexo]:[Sexo]]=$B74,IF(DATOS_[[AGRUP. VALOR. PTO.]:[AGRUP. VALOR. PTO.]]=$B72,IF(DATOS_[[Check Periodo Ref.]:[Check Periodo Ref.]]="Dentro",IF(DATOS_[[Check Equiparado]:[Check Equiparado]]="Sí",IF(DATOS!AM$5="Sí",(1/DATOS_[[% anualiz]:[% anualiz]]),1)*IF(DATOS!AM$4="Sí",1/DATOS_[[% normaliz]:[% normaliz]],1)*(DATOS_[Conc.Sal.09])))))))),
0)</f>
        <v>0</v>
      </c>
      <c r="S74" s="101">
        <f t="array" ref="S74">IFERROR(
(AVERAGE((IF(DATOS_[[Sexo]:[Sexo]]=$B74,IF(DATOS_[[AGRUP. VALOR. PTO.]:[AGRUP. VALOR. PTO.]]=$B72,IF(DATOS_[[Check Periodo Ref.]:[Check Periodo Ref.]]="Dentro",IF(DATOS_[[Check Equiparado]:[Check Equiparado]]="Sí",IF(DATOS!AN$5="Sí",(1/DATOS_[[% anualiz]:[% anualiz]]),1)*IF(DATOS!AN$4="Sí",1/DATOS_[[% normaliz]:[% normaliz]],1)*(DATOS_[Conc.Sal.10])))))))),
0)</f>
        <v>0</v>
      </c>
      <c r="T74" s="101">
        <f t="array" ref="T74">IFERROR(
(AVERAGE((IF(DATOS_[[Sexo]:[Sexo]]=$B74,IF(DATOS_[[AGRUP. VALOR. PTO.]:[AGRUP. VALOR. PTO.]]=$B72,IF(DATOS_[[Check Periodo Ref.]:[Check Periodo Ref.]]="Dentro",IF(DATOS_[[Check Equiparado]:[Check Equiparado]]="Sí",IF(DATOS!AO$5="Sí",(1/DATOS_[[% anualiz]:[% anualiz]]),1)*IF(DATOS!AO$4="Sí",1/DATOS_[[% normaliz]:[% normaliz]],1)*(DATOS_[Conc.Sal.11])))))))),
0)</f>
        <v>0</v>
      </c>
      <c r="U74" s="101">
        <f t="array" ref="U74">IFERROR(
(AVERAGE((IF(DATOS_[[Sexo]:[Sexo]]=$B74,IF(DATOS_[[AGRUP. VALOR. PTO.]:[AGRUP. VALOR. PTO.]]=$B72,IF(DATOS_[[Check Periodo Ref.]:[Check Periodo Ref.]]="Dentro",IF(DATOS_[[Check Equiparado]:[Check Equiparado]]="Sí",IF(DATOS!AP$5="Sí",(1/DATOS_[[% anualiz]:[% anualiz]]),1)*IF(DATOS!AP$4="Sí",1/DATOS_[[% normaliz]:[% normaliz]],1)*(DATOS_[Conc.Sal.12])))))))),
0)</f>
        <v>0</v>
      </c>
      <c r="V74" s="101">
        <f t="array" ref="V74">IFERROR(
(AVERAGE((IF(DATOS_[[Sexo]:[Sexo]]=$B74,IF(DATOS_[[AGRUP. VALOR. PTO.]:[AGRUP. VALOR. PTO.]]=$B72,IF(DATOS_[[Check Periodo Ref.]:[Check Periodo Ref.]]="Dentro",IF(DATOS_[[Check Equiparado]:[Check Equiparado]]="Sí",IF(DATOS!AQ$5="Sí",(1/DATOS_[[% anualiz]:[% anualiz]]),1)*IF(DATOS!AQ$4="Sí",1/DATOS_[[% normaliz]:[% normaliz]],1)*(DATOS_[Conc.Sal.13])))))))),
0)</f>
        <v>0</v>
      </c>
      <c r="W74" s="101">
        <f t="array" ref="W74">IFERROR(
(AVERAGE((IF(DATOS_[[Sexo]:[Sexo]]=$B74,IF(DATOS_[[AGRUP. VALOR. PTO.]:[AGRUP. VALOR. PTO.]]=$B72,IF(DATOS_[[Check Periodo Ref.]:[Check Periodo Ref.]]="Dentro",IF(DATOS_[[Check Equiparado]:[Check Equiparado]]="Sí",IF(DATOS!AR$5="Sí",(1/DATOS_[[% anualiz]:[% anualiz]]),1)*IF(DATOS!AR$4="Sí",1/DATOS_[[% normaliz]:[% normaliz]],1)*(DATOS_[Conc.Sal.14])))))))),
0)</f>
        <v>0</v>
      </c>
      <c r="X74" s="101">
        <f t="array" ref="X74">IFERROR(
(AVERAGE((IF(DATOS_[[Sexo]:[Sexo]]=$B74,IF(DATOS_[[AGRUP. VALOR. PTO.]:[AGRUP. VALOR. PTO.]]=$B72,IF(DATOS_[[Check Periodo Ref.]:[Check Periodo Ref.]]="Dentro",IF(DATOS_[[Check Equiparado]:[Check Equiparado]]="Sí",IF(DATOS!AS$5="Sí",(1/DATOS_[[% anualiz]:[% anualiz]]),1)*IF(DATOS!AS$4="Sí",1/DATOS_[[% normaliz]:[% normaliz]],1)*(DATOS_[Conc.Sal.15])))))))),
0)</f>
        <v>0</v>
      </c>
      <c r="Y74" s="101">
        <f t="array" ref="Y74">IFERROR(
(AVERAGE((IF(DATOS_[[Sexo]:[Sexo]]=$B74,IF(DATOS_[[AGRUP. VALOR. PTO.]:[AGRUP. VALOR. PTO.]]=$B72,IF(DATOS_[[Check Periodo Ref.]:[Check Periodo Ref.]]="Dentro",IF(DATOS_[[Check Equiparado]:[Check Equiparado]]="Sí",IF(DATOS!AT$5="Sí",(1/DATOS_[[% anualiz]:[% anualiz]]),1)*IF(DATOS!AT$4="Sí",1/DATOS_[[% normaliz]:[% normaliz]],1)*(DATOS_[Conc.Sal.16])))))))),
0)</f>
        <v>0</v>
      </c>
      <c r="Z74" s="101">
        <f t="array" ref="Z74">IFERROR(
(AVERAGE((IF(DATOS_[[Sexo]:[Sexo]]=$B74,IF(DATOS_[[AGRUP. VALOR. PTO.]:[AGRUP. VALOR. PTO.]]=$B72,IF(DATOS_[[Check Periodo Ref.]:[Check Periodo Ref.]]="Dentro",IF(DATOS_[[Check Equiparado]:[Check Equiparado]]="Sí",IF(DATOS!AU$5="Sí",(1/DATOS_[[% anualiz]:[% anualiz]]),1)*IF(DATOS!AU$4="Sí",1/DATOS_[[% normaliz]:[% normaliz]],1)*(DATOS_[Conc.Sal.17])))))))),
0)</f>
        <v>0</v>
      </c>
      <c r="AA74" s="101">
        <f t="array" ref="AA74">IFERROR(
(AVERAGE((IF(DATOS_[[Sexo]:[Sexo]]=$B74,IF(DATOS_[[AGRUP. VALOR. PTO.]:[AGRUP. VALOR. PTO.]]=$B72,IF(DATOS_[[Check Periodo Ref.]:[Check Periodo Ref.]]="Dentro",IF(DATOS_[[Check Equiparado]:[Check Equiparado]]="Sí",IF(DATOS!AV$5="Sí",(1/DATOS_[[% anualiz]:[% anualiz]]),1)*IF(DATOS!AV$4="Sí",1/DATOS_[[% normaliz]:[% normaliz]],1)*(DATOS_[Conc.Sal.18])))))))),
0)</f>
        <v>0</v>
      </c>
      <c r="AB74" s="101">
        <f t="array" ref="AB74">IFERROR(
(AVERAGE((IF(DATOS_[[Sexo]:[Sexo]]=$B74,IF(DATOS_[[AGRUP. VALOR. PTO.]:[AGRUP. VALOR. PTO.]]=$B72,IF(DATOS_[[Check Periodo Ref.]:[Check Periodo Ref.]]="Dentro",IF(DATOS_[[Check Equiparado]:[Check Equiparado]]="Sí",IF(DATOS!AW$5="Sí",(1/DATOS_[[% anualiz]:[% anualiz]]),1)*IF(DATOS!AW$4="Sí",1/DATOS_[[% normaliz]:[% normaliz]],1)*(DATOS_[Conc.Sal.19])))))))),
0)</f>
        <v>0</v>
      </c>
      <c r="AC74" s="101">
        <f t="array" ref="AC74">IFERROR(
(AVERAGE((IF(DATOS_[[Sexo]:[Sexo]]=$B74,IF(DATOS_[[AGRUP. VALOR. PTO.]:[AGRUP. VALOR. PTO.]]=$B72,IF(DATOS_[[Check Periodo Ref.]:[Check Periodo Ref.]]="Dentro",IF(DATOS_[[Check Equiparado]:[Check Equiparado]]="Sí",IF(DATOS!AX$5="Sí",(1/DATOS_[[% anualiz]:[% anualiz]]),1)*IF(DATOS!AX$4="Sí",1/DATOS_[[% normaliz]:[% normaliz]],1)*(DATOS_[Conc.Sal.20])))))))),
0)</f>
        <v>0</v>
      </c>
      <c r="AD74" s="101">
        <f t="array" ref="AD74">IFERROR(
(AVERAGE((IF(DATOS_[[Sexo]:[Sexo]]=$B74,IF(DATOS_[[AGRUP. VALOR. PTO.]:[AGRUP. VALOR. PTO.]]=$B72,IF(DATOS_[[Check Periodo Ref.]:[Check Periodo Ref.]]="Dentro",IF(DATOS_[[Check Equiparado]:[Check Equiparado]]="Sí",IF(DATOS!AY$5="Sí",(1/DATOS_[[% anualiz]:[% anualiz]]),1)*IF(DATOS!AY$4="Sí",1/DATOS_[[% normaliz]:[% normaliz]],1)*(DATOS_[Conc.Sal.21])))))))),
0)</f>
        <v>0</v>
      </c>
      <c r="AE74" s="101">
        <f t="array" ref="AE74">IFERROR(
(AVERAGE((IF(DATOS_[[Sexo]:[Sexo]]=$B74,IF(DATOS_[[AGRUP. VALOR. PTO.]:[AGRUP. VALOR. PTO.]]=$B72,IF(DATOS_[[Check Periodo Ref.]:[Check Periodo Ref.]]="Dentro",IF(DATOS_[[Check Equiparado]:[Check Equiparado]]="Sí",IF(DATOS!AZ$5="Sí",(1/DATOS_[[% anualiz]:[% anualiz]]),1)*IF(DATOS!AZ$4="Sí",1/DATOS_[[% normaliz]:[% normaliz]],1)*(DATOS_[Conc.Sal.22])))))))),
0)</f>
        <v>0</v>
      </c>
      <c r="AF74" s="101">
        <f t="array" ref="AF74">IFERROR(
(AVERAGE((IF(DATOS_[[Sexo]:[Sexo]]=$B74,IF(DATOS_[[AGRUP. VALOR. PTO.]:[AGRUP. VALOR. PTO.]]=$B72,IF(DATOS_[[Check Periodo Ref.]:[Check Periodo Ref.]]="Dentro",IF(DATOS_[[Check Equiparado]:[Check Equiparado]]="Sí",IF(DATOS!BA$5="Sí",(1/DATOS_[[% anualiz]:[% anualiz]]),1)*IF(DATOS!BA$4="Sí",1/DATOS_[[% normaliz]:[% normaliz]],1)*(DATOS_[Conc.Sal.23])))))))),
0)</f>
        <v>0</v>
      </c>
      <c r="AG74" s="101">
        <f t="array" ref="AG74">IFERROR(
(AVERAGE((IF(DATOS_[[Sexo]:[Sexo]]=$B74,IF(DATOS_[[AGRUP. VALOR. PTO.]:[AGRUP. VALOR. PTO.]]=$B72,IF(DATOS_[[Check Periodo Ref.]:[Check Periodo Ref.]]="Dentro",IF(DATOS_[[Check Equiparado]:[Check Equiparado]]="Sí",IF(DATOS!BB$5="Sí",(1/DATOS_[[% anualiz]:[% anualiz]]),1)*IF(DATOS!BB$4="Sí",1/DATOS_[[% normaliz]:[% normaliz]],1)*(DATOS_[Conc.Sal.24])))))))),
0)</f>
        <v>0</v>
      </c>
      <c r="AH74" s="101">
        <f t="array" ref="AH74">IFERROR(
(AVERAGE((IF(DATOS_[[Sexo]:[Sexo]]=$B74,IF(DATOS_[[AGRUP. VALOR. PTO.]:[AGRUP. VALOR. PTO.]]=$B72,IF(DATOS_[[Check Periodo Ref.]:[Check Periodo Ref.]]="Dentro",IF(DATOS_[[Check Equiparado]:[Check Equiparado]]="Sí",IF(DATOS!BC$5="Sí",(1/DATOS_[[% anualiz]:[% anualiz]]),1)*IF(DATOS!BC$4="Sí",1/DATOS_[[% normaliz]:[% normaliz]],1)*(DATOS_[Conc.Sal.25])))))))),
0)</f>
        <v>0</v>
      </c>
      <c r="AI74" s="101">
        <f t="array" ref="AI74">IFERROR(
(AVERAGE((IF(DATOS_[[Sexo]:[Sexo]]=$B74,IF(DATOS_[[AGRUP. VALOR. PTO.]:[AGRUP. VALOR. PTO.]]=$B72,IF(DATOS_[[Check Periodo Ref.]:[Check Periodo Ref.]]="Dentro",IF(DATOS_[[Check Equiparado]:[Check Equiparado]]="Sí",IF(DATOS!BD$5="Sí",(1/DATOS_[[% anualiz]:[% anualiz]]),1)*IF(DATOS!BD$4="Sí",1/DATOS_[[% normaliz]:[% normaliz]],1)*(DATOS_[Conc.Sal.26])))))))),
0)</f>
        <v>0</v>
      </c>
      <c r="AJ74" s="101">
        <f t="array" ref="AJ74">IFERROR(
(AVERAGE((IF(DATOS_[[Sexo]:[Sexo]]=$B74,IF(DATOS_[[AGRUP. VALOR. PTO.]:[AGRUP. VALOR. PTO.]]=$B72,IF(DATOS_[[Check Periodo Ref.]:[Check Periodo Ref.]]="Dentro",IF(DATOS_[[Check Equiparado]:[Check Equiparado]]="Sí",IF(DATOS!BE$5="Sí",(1/DATOS_[[% anualiz]:[% anualiz]]),1)*IF(DATOS!BE$4="Sí",1/DATOS_[[% normaliz]:[% normaliz]],1)*(DATOS_[Conc.Sal.27])))))))),
0)</f>
        <v>0</v>
      </c>
      <c r="AK74" s="101">
        <f t="array" ref="AK74">IFERROR(
(AVERAGE((IF(DATOS_[[Sexo]:[Sexo]]=$B74,IF(DATOS_[[AGRUP. VALOR. PTO.]:[AGRUP. VALOR. PTO.]]=$B72,IF(DATOS_[[Check Periodo Ref.]:[Check Periodo Ref.]]="Dentro",IF(DATOS_[[Check Equiparado]:[Check Equiparado]]="Sí",IF(DATOS!BF$5="Sí",(1/DATOS_[[% anualiz]:[% anualiz]]),1)*IF(DATOS!BF$4="Sí",1/DATOS_[[% normaliz]:[% normaliz]],1)*(DATOS_[Conc.Sal.28])))))))),
0)</f>
        <v>0</v>
      </c>
      <c r="AL74" s="101">
        <f t="array" ref="AL74">IFERROR(
(AVERAGE((IF(DATOS_[[Sexo]:[Sexo]]=$B74,IF(DATOS_[[AGRUP. VALOR. PTO.]:[AGRUP. VALOR. PTO.]]=$B72,IF(DATOS_[[Check Periodo Ref.]:[Check Periodo Ref.]]="Dentro",IF(DATOS_[[Check Equiparado]:[Check Equiparado]]="Sí",IF(DATOS!BG$5="Sí",(1/DATOS_[[% anualiz]:[% anualiz]]),1)*IF(DATOS!BG$4="Sí",1/DATOS_[[% normaliz]:[% normaliz]],1)*(DATOS_[Conc.Sal.29])))))))),
0)</f>
        <v>0</v>
      </c>
      <c r="AM74" s="101">
        <f t="array" ref="AM74">IFERROR(
(AVERAGE((IF(DATOS_[[Sexo]:[Sexo]]=$B74,IF(DATOS_[[AGRUP. VALOR. PTO.]:[AGRUP. VALOR. PTO.]]=$B72,IF(DATOS_[[Check Periodo Ref.]:[Check Periodo Ref.]]="Dentro",IF(DATOS_[[Check Equiparado]:[Check Equiparado]]="Sí",IF(DATOS!BH$5="Sí",(1/DATOS_[[% anualiz]:[% anualiz]]),1)*IF(DATOS!BH$4="Sí",1/DATOS_[[% normaliz]:[% normaliz]],1)*(DATOS_[Conc.Sal.30])))))))),
0)</f>
        <v>0</v>
      </c>
      <c r="AN74" s="102">
        <f t="array" ref="AN74">IFERROR(
AVERAGE(IF(DATOS_[Sexo]=$B74,IF(DATOS_[[AGRUP. VALOR. PTO.]:[AGRUP. VALOR. PTO.]]=$B72,IF(DATOS_[Check Equiparado]="Sí",IF(DATOS_[Check Periodo Ref.]="Dentro",DATOS_[Tot COMPL.SAL Eq],FALSE))))),
0)</f>
        <v>0</v>
      </c>
      <c r="AO74" s="103">
        <f t="array" ref="AO74">IFERROR(
AVERAGE(IF(DATOS_[Sexo]=$B74,IF(DATOS_[[AGRUP. VALOR. PTO.]:[AGRUP. VALOR. PTO.]]=$B72,IF(DATOS_[Check Equiparado]="Sí",IF(DATOS_[Check Periodo Ref.]="Dentro",DATOS_[TOTAL SALARIO Eq],FALSE))))),
0)</f>
        <v>0</v>
      </c>
      <c r="AP74" s="104">
        <f t="array" ref="AP74">IFERROR(
(AVERAGE((IF(DATOS_[[Sexo]:[Sexo]]=$B74,IF(DATOS_[[AGRUP. VALOR. PTO.]:[AGRUP. VALOR. PTO.]]=$B72,IF(DATOS_[[Check Periodo Ref.]:[Check Periodo Ref.]]="Dentro",IF(DATOS_[[Check Equiparado]:[Check Equiparado]]="Sí",IF(DATOS!BI$5="Sí",(1/DATOS_[[% anualiz]:[% anualiz]]),1)*IF(DATOS!BI$4="Sí",1/DATOS_[[% normaliz]:[% normaliz]],1)*(DATOS_[C.Extra.01])))))))),
0)</f>
        <v>0</v>
      </c>
      <c r="AQ74" s="104">
        <f t="array" ref="AQ74">IFERROR(
(AVERAGE((IF(DATOS_[[Sexo]:[Sexo]]=$B74,IF(DATOS_[[AGRUP. VALOR. PTO.]:[AGRUP. VALOR. PTO.]]=$B72,IF(DATOS_[[Check Periodo Ref.]:[Check Periodo Ref.]]="Dentro",IF(DATOS_[[Check Equiparado]:[Check Equiparado]]="Sí",IF(DATOS!BJ$5="Sí",(1/DATOS_[[% anualiz]:[% anualiz]]),1)*IF(DATOS!BJ$4="Sí",1/DATOS_[[% normaliz]:[% normaliz]],1)*(DATOS_[C.Extra.02])))))))),
0)</f>
        <v>0</v>
      </c>
      <c r="AR74" s="104">
        <f t="array" ref="AR74">IFERROR(
(AVERAGE((IF(DATOS_[[Sexo]:[Sexo]]=$B74,IF(DATOS_[[AGRUP. VALOR. PTO.]:[AGRUP. VALOR. PTO.]]=$B72,IF(DATOS_[[Check Periodo Ref.]:[Check Periodo Ref.]]="Dentro",IF(DATOS_[[Check Equiparado]:[Check Equiparado]]="Sí",IF(DATOS!BK$5="Sí",(1/DATOS_[[% anualiz]:[% anualiz]]),1)*IF(DATOS!BK$4="Sí",1/DATOS_[[% normaliz]:[% normaliz]],1)*(DATOS_[C.Extra.03])))))))),
0)</f>
        <v>0</v>
      </c>
      <c r="AS74" s="104">
        <f t="array" ref="AS74">IFERROR(
(AVERAGE((IF(DATOS_[[Sexo]:[Sexo]]=$B74,IF(DATOS_[[AGRUP. VALOR. PTO.]:[AGRUP. VALOR. PTO.]]=$B72,IF(DATOS_[[Check Periodo Ref.]:[Check Periodo Ref.]]="Dentro",IF(DATOS_[[Check Equiparado]:[Check Equiparado]]="Sí",IF(DATOS!BL$5="Sí",(1/DATOS_[[% anualiz]:[% anualiz]]),1)*IF(DATOS!BL$4="Sí",1/DATOS_[[% normaliz]:[% normaliz]],1)*(DATOS_[C.Extra.04])))))))),
0)</f>
        <v>0</v>
      </c>
      <c r="AT74" s="104">
        <f t="array" ref="AT74">IFERROR(
(AVERAGE((IF(DATOS_[[Sexo]:[Sexo]]=$B74,IF(DATOS_[[AGRUP. VALOR. PTO.]:[AGRUP. VALOR. PTO.]]=$B72,IF(DATOS_[[Check Periodo Ref.]:[Check Periodo Ref.]]="Dentro",IF(DATOS_[[Check Equiparado]:[Check Equiparado]]="Sí",IF(DATOS!BM$5="Sí",(1/DATOS_[[% anualiz]:[% anualiz]]),1)*IF(DATOS!BM$4="Sí",1/DATOS_[[% normaliz]:[% normaliz]],1)*(DATOS_[C.Extra.05])))))))),
0)</f>
        <v>0</v>
      </c>
      <c r="AU74" s="105">
        <f t="array" ref="AU74">IFERROR(
AVERAGE(IF(DATOS_[Sexo]=$B74,IF(DATOS_[[AGRUP. VALOR. PTO.]:[AGRUP. VALOR. PTO.]]=$B72,IF(DATOS_[Check Equiparado]="Sí",IF(DATOS_[Check Periodo Ref.]="Dentro",DATOS_[Tot Extrasalarial Eq],FALSE))))),
0)</f>
        <v>0</v>
      </c>
      <c r="AV74" s="106">
        <f t="array" ref="AV74">IFERROR(
AVERAGE(IF(DATOS_[Sexo]=$B74,IF(DATOS_[[AGRUP. VALOR. PTO.]:[AGRUP. VALOR. PTO.]]=$B72,IF(DATOS_[Check Equiparado]="Sí",IF(DATOS_[Check Periodo Ref.]="Dentro",DATOS_[TOTAL Retrib Eq],FALSE))))),
0)</f>
        <v>0</v>
      </c>
    </row>
    <row r="75" spans="1:48" ht="17.25" hidden="1" thickBot="1" x14ac:dyDescent="0.35">
      <c r="A75" s="53" t="str">
        <f t="shared" ref="A75" si="83">+A76</f>
        <v>[ocultar]</v>
      </c>
      <c r="B75" s="62" t="s">
        <v>280</v>
      </c>
      <c r="C75" s="99"/>
      <c r="D75" s="63"/>
      <c r="E75" s="63"/>
      <c r="F75" s="63"/>
      <c r="G75" s="63"/>
      <c r="H75" s="63"/>
      <c r="I75" s="129" t="str">
        <f t="shared" ref="I75:AV75" si="84">IFERROR((I76-I77)/I76,"")</f>
        <v/>
      </c>
      <c r="J75" s="130" t="str">
        <f t="shared" si="84"/>
        <v/>
      </c>
      <c r="K75" s="131" t="str">
        <f t="shared" si="84"/>
        <v/>
      </c>
      <c r="L75" s="131" t="str">
        <f t="shared" si="84"/>
        <v/>
      </c>
      <c r="M75" s="131" t="str">
        <f t="shared" si="84"/>
        <v/>
      </c>
      <c r="N75" s="132" t="str">
        <f t="shared" si="84"/>
        <v/>
      </c>
      <c r="O75" s="133" t="str">
        <f t="shared" si="84"/>
        <v/>
      </c>
      <c r="P75" s="133" t="str">
        <f t="shared" si="84"/>
        <v/>
      </c>
      <c r="Q75" s="133" t="str">
        <f t="shared" si="84"/>
        <v/>
      </c>
      <c r="R75" s="133" t="str">
        <f t="shared" si="84"/>
        <v/>
      </c>
      <c r="S75" s="133" t="str">
        <f t="shared" si="84"/>
        <v/>
      </c>
      <c r="T75" s="133" t="str">
        <f t="shared" si="84"/>
        <v/>
      </c>
      <c r="U75" s="133" t="str">
        <f t="shared" si="84"/>
        <v/>
      </c>
      <c r="V75" s="133" t="str">
        <f t="shared" si="84"/>
        <v/>
      </c>
      <c r="W75" s="133" t="str">
        <f t="shared" si="84"/>
        <v/>
      </c>
      <c r="X75" s="133" t="str">
        <f t="shared" si="84"/>
        <v/>
      </c>
      <c r="Y75" s="133" t="str">
        <f t="shared" si="84"/>
        <v/>
      </c>
      <c r="Z75" s="132" t="str">
        <f t="shared" si="84"/>
        <v/>
      </c>
      <c r="AA75" s="132" t="str">
        <f t="shared" si="84"/>
        <v/>
      </c>
      <c r="AB75" s="132" t="str">
        <f t="shared" si="84"/>
        <v/>
      </c>
      <c r="AC75" s="132" t="str">
        <f t="shared" si="84"/>
        <v/>
      </c>
      <c r="AD75" s="132" t="str">
        <f t="shared" si="84"/>
        <v/>
      </c>
      <c r="AE75" s="132" t="str">
        <f t="shared" si="84"/>
        <v/>
      </c>
      <c r="AF75" s="132" t="str">
        <f t="shared" si="84"/>
        <v/>
      </c>
      <c r="AG75" s="132" t="str">
        <f t="shared" si="84"/>
        <v/>
      </c>
      <c r="AH75" s="132" t="str">
        <f t="shared" si="84"/>
        <v/>
      </c>
      <c r="AI75" s="132" t="str">
        <f t="shared" si="84"/>
        <v/>
      </c>
      <c r="AJ75" s="132" t="str">
        <f t="shared" si="84"/>
        <v/>
      </c>
      <c r="AK75" s="132" t="str">
        <f t="shared" si="84"/>
        <v/>
      </c>
      <c r="AL75" s="132" t="str">
        <f t="shared" si="84"/>
        <v/>
      </c>
      <c r="AM75" s="132" t="str">
        <f t="shared" si="84"/>
        <v/>
      </c>
      <c r="AN75" s="134" t="str">
        <f t="shared" si="84"/>
        <v/>
      </c>
      <c r="AO75" s="138" t="str">
        <f t="shared" si="84"/>
        <v/>
      </c>
      <c r="AP75" s="135" t="str">
        <f t="shared" si="84"/>
        <v/>
      </c>
      <c r="AQ75" s="135" t="str">
        <f t="shared" si="84"/>
        <v/>
      </c>
      <c r="AR75" s="135" t="str">
        <f t="shared" si="84"/>
        <v/>
      </c>
      <c r="AS75" s="135" t="str">
        <f t="shared" si="84"/>
        <v/>
      </c>
      <c r="AT75" s="135" t="str">
        <f t="shared" si="84"/>
        <v/>
      </c>
      <c r="AU75" s="136" t="str">
        <f t="shared" si="84"/>
        <v/>
      </c>
      <c r="AV75" s="137" t="str">
        <f t="shared" si="84"/>
        <v/>
      </c>
    </row>
    <row r="76" spans="1:48" hidden="1" x14ac:dyDescent="0.3">
      <c r="A76" s="53" t="str">
        <f t="shared" ref="A76" si="85">+IF(C76+C77=0,"[ocultar]","")</f>
        <v>[ocultar]</v>
      </c>
      <c r="B76" s="57" t="s">
        <v>162</v>
      </c>
      <c r="C76" s="56">
        <f t="array" ref="C76">SUM(IF($B76=DATOS_[Sexo],
IF($B75=DATOS_[AGRUP. VALOR. PTO.],
IF("Dentro"=DATOS_[Check Periodo Ref.],
1/(COUNTIFS(DATOS_[Sexo],$B76,DATOS_[AGRUP. VALOR. PTO.],$B75,DATOS_[Check Periodo Ref.],"Dentro",DATOS_[id],DATOS_[id]))))))</f>
        <v>0</v>
      </c>
      <c r="D76" s="58">
        <f>COUNTIFS(DATOS_[AGRUP. VALOR. PTO.],$B75,DATOS_[Sexo],$B76,DATOS_[Check Periodo Ref.],"Dentro")</f>
        <v>0</v>
      </c>
      <c r="E76" s="58">
        <f>COUNTIFS(DATOS_[AGRUP. VALOR. PTO.],$B75,DATOS_[Sexo],$B76,DATOS_[Check Periodo Ref.],"Dentro",DATOS_[Check Nº SC Norm],"Sí")</f>
        <v>0</v>
      </c>
      <c r="F76" s="58">
        <f>COUNTIFS(DATOS_[AGRUP. VALOR. PTO.],$B75,DATOS_[Sexo],$B76,DATOS_[Check Periodo Ref.],"Dentro",DATOS_[Check Nº SC Anualiz],"Sí")</f>
        <v>0</v>
      </c>
      <c r="G76" s="58">
        <f>COUNTIFS(DATOS_[AGRUP. VALOR. PTO.],$B75,DATOS_[Sexo],$B76,DATOS_[Check Periodo Ref.],"Dentro",DATOS_[Check Nº SC Norm y Anualiz],"Sí")</f>
        <v>0</v>
      </c>
      <c r="H76" s="58">
        <f>COUNTIFS(DATOS_[AGRUP. VALOR. PTO.],$B75,DATOS_[Sexo],$B76,DATOS_[Check Periodo Ref.],"Dentro",DATOS_[Check Equiparación],"Sí")</f>
        <v>0</v>
      </c>
      <c r="I76" s="100">
        <f t="array" ref="I76">IFERROR(
AVERAGE(IF(DATOS_[Sexo]=$B76,IF(DATOS_[[AGRUP. VALOR. PTO.]:[AGRUP. VALOR. PTO.]]=$B75,IF(DATOS_[Check Equiparado]="Sí",IF(DATOS_[Check Periodo Ref.]="Dentro",DATOS_[SALARIO BASE Eq],FALSE))))),
0)</f>
        <v>0</v>
      </c>
      <c r="J76" s="101">
        <f t="array" ref="J76">IFERROR(
(AVERAGE((IF(DATOS_[[Sexo]:[Sexo]]=$B76,IF(DATOS_[[AGRUP. VALOR. PTO.]:[AGRUP. VALOR. PTO.]]=$B75,IF(DATOS_[[Check Periodo Ref.]:[Check Periodo Ref.]]="Dentro",IF(DATOS_[[Check Equiparado]:[Check Equiparado]]="Sí",IF(DATOS!AE$5="Sí",(1/DATOS_[[% anualiz]:[% anualiz]]),1)*IF(DATOS!AE$4="Sí",1/DATOS_[[% normaliz]:[% normaliz]],1)*(DATOS_[Conc.Sal.01])))))))),
0)</f>
        <v>0</v>
      </c>
      <c r="K76" s="101">
        <f t="array" ref="K76">IFERROR(
(AVERAGE((IF(DATOS_[[Sexo]:[Sexo]]=$B76,IF(DATOS_[[AGRUP. VALOR. PTO.]:[AGRUP. VALOR. PTO.]]=$B75,IF(DATOS_[[Check Periodo Ref.]:[Check Periodo Ref.]]="Dentro",IF(DATOS_[[Check Equiparado]:[Check Equiparado]]="Sí",IF(DATOS!AF$5="Sí",(1/DATOS_[[% anualiz]:[% anualiz]]),1)*IF(DATOS!AF$4="Sí",1/DATOS_[[% normaliz]:[% normaliz]],1)*(DATOS_[Conc.Sal.02])))))))),
0)</f>
        <v>0</v>
      </c>
      <c r="L76" s="101">
        <f t="array" ref="L76">IFERROR(
(AVERAGE((IF(DATOS_[[Sexo]:[Sexo]]=$B76,IF(DATOS_[[AGRUP. VALOR. PTO.]:[AGRUP. VALOR. PTO.]]=$B75,IF(DATOS_[[Check Periodo Ref.]:[Check Periodo Ref.]]="Dentro",IF(DATOS_[[Check Equiparado]:[Check Equiparado]]="Sí",IF(DATOS!AG$5="Sí",(1/DATOS_[[% anualiz]:[% anualiz]]),1)*IF(DATOS!AG$4="Sí",1/DATOS_[[% normaliz]:[% normaliz]],1)*(DATOS_[Conc.Sal.03])))))))),
0)</f>
        <v>0</v>
      </c>
      <c r="M76" s="101">
        <f t="array" ref="M76">IFERROR(
(AVERAGE((IF(DATOS_[[Sexo]:[Sexo]]=$B76,IF(DATOS_[[AGRUP. VALOR. PTO.]:[AGRUP. VALOR. PTO.]]=$B75,IF(DATOS_[[Check Periodo Ref.]:[Check Periodo Ref.]]="Dentro",IF(DATOS_[[Check Equiparado]:[Check Equiparado]]="Sí",IF(DATOS!AH$5="Sí",(1/DATOS_[[% anualiz]:[% anualiz]]),1)*IF(DATOS!AH$4="Sí",1/DATOS_[[% normaliz]:[% normaliz]],1)*(DATOS_[Conc.Sal.04])))))))),
0)</f>
        <v>0</v>
      </c>
      <c r="N76" s="101">
        <f t="array" ref="N76">IFERROR(
(AVERAGE((IF(DATOS_[[Sexo]:[Sexo]]=$B76,IF(DATOS_[[AGRUP. VALOR. PTO.]:[AGRUP. VALOR. PTO.]]=$B75,IF(DATOS_[[Check Periodo Ref.]:[Check Periodo Ref.]]="Dentro",IF(DATOS_[[Check Equiparado]:[Check Equiparado]]="Sí",IF(DATOS!AI$5="Sí",(1/DATOS_[[% anualiz]:[% anualiz]]),1)*IF(DATOS!AI$4="Sí",1/DATOS_[[% normaliz]:[% normaliz]],1)*(DATOS_[Conc.Sal.05])))))))),
0)</f>
        <v>0</v>
      </c>
      <c r="O76" s="101">
        <f t="array" ref="O76">IFERROR(
(AVERAGE((IF(DATOS_[[Sexo]:[Sexo]]=$B76,IF(DATOS_[[AGRUP. VALOR. PTO.]:[AGRUP. VALOR. PTO.]]=$B75,IF(DATOS_[[Check Periodo Ref.]:[Check Periodo Ref.]]="Dentro",IF(DATOS_[[Check Equiparado]:[Check Equiparado]]="Sí",IF(DATOS!AJ$5="Sí",(1/DATOS_[[% anualiz]:[% anualiz]]),1)*IF(DATOS!AJ$4="Sí",1/DATOS_[[% normaliz]:[% normaliz]],1)*(DATOS_[Conc.Sal.06])))))))),
0)</f>
        <v>0</v>
      </c>
      <c r="P76" s="101">
        <f t="array" ref="P76">IFERROR(
(AVERAGE((IF(DATOS_[[Sexo]:[Sexo]]=$B76,IF(DATOS_[[AGRUP. VALOR. PTO.]:[AGRUP. VALOR. PTO.]]=$B75,IF(DATOS_[[Check Periodo Ref.]:[Check Periodo Ref.]]="Dentro",IF(DATOS_[[Check Equiparado]:[Check Equiparado]]="Sí",IF(DATOS!AK$5="Sí",(1/DATOS_[[% anualiz]:[% anualiz]]),1)*IF(DATOS!AK$4="Sí",1/DATOS_[[% normaliz]:[% normaliz]],1)*(DATOS_[Conc.Sal.07])))))))),
0)</f>
        <v>0</v>
      </c>
      <c r="Q76" s="101">
        <f t="array" ref="Q76">IFERROR(
(AVERAGE((IF(DATOS_[[Sexo]:[Sexo]]=$B76,IF(DATOS_[[AGRUP. VALOR. PTO.]:[AGRUP. VALOR. PTO.]]=$B75,IF(DATOS_[[Check Periodo Ref.]:[Check Periodo Ref.]]="Dentro",IF(DATOS_[[Check Equiparado]:[Check Equiparado]]="Sí",IF(DATOS!AL$5="Sí",(1/DATOS_[[% anualiz]:[% anualiz]]),1)*IF(DATOS!AL$4="Sí",1/DATOS_[[% normaliz]:[% normaliz]],1)*(DATOS_[Conc.Sal.08])))))))),
0)</f>
        <v>0</v>
      </c>
      <c r="R76" s="101">
        <f t="array" ref="R76">IFERROR(
(AVERAGE((IF(DATOS_[[Sexo]:[Sexo]]=$B76,IF(DATOS_[[AGRUP. VALOR. PTO.]:[AGRUP. VALOR. PTO.]]=$B75,IF(DATOS_[[Check Periodo Ref.]:[Check Periodo Ref.]]="Dentro",IF(DATOS_[[Check Equiparado]:[Check Equiparado]]="Sí",IF(DATOS!AM$5="Sí",(1/DATOS_[[% anualiz]:[% anualiz]]),1)*IF(DATOS!AM$4="Sí",1/DATOS_[[% normaliz]:[% normaliz]],1)*(DATOS_[Conc.Sal.09])))))))),
0)</f>
        <v>0</v>
      </c>
      <c r="S76" s="101">
        <f t="array" ref="S76">IFERROR(
(AVERAGE((IF(DATOS_[[Sexo]:[Sexo]]=$B76,IF(DATOS_[[AGRUP. VALOR. PTO.]:[AGRUP. VALOR. PTO.]]=$B75,IF(DATOS_[[Check Periodo Ref.]:[Check Periodo Ref.]]="Dentro",IF(DATOS_[[Check Equiparado]:[Check Equiparado]]="Sí",IF(DATOS!AN$5="Sí",(1/DATOS_[[% anualiz]:[% anualiz]]),1)*IF(DATOS!AN$4="Sí",1/DATOS_[[% normaliz]:[% normaliz]],1)*(DATOS_[Conc.Sal.10])))))))),
0)</f>
        <v>0</v>
      </c>
      <c r="T76" s="101">
        <f t="array" ref="T76">IFERROR(
(AVERAGE((IF(DATOS_[[Sexo]:[Sexo]]=$B76,IF(DATOS_[[AGRUP. VALOR. PTO.]:[AGRUP. VALOR. PTO.]]=$B75,IF(DATOS_[[Check Periodo Ref.]:[Check Periodo Ref.]]="Dentro",IF(DATOS_[[Check Equiparado]:[Check Equiparado]]="Sí",IF(DATOS!AO$5="Sí",(1/DATOS_[[% anualiz]:[% anualiz]]),1)*IF(DATOS!AO$4="Sí",1/DATOS_[[% normaliz]:[% normaliz]],1)*(DATOS_[Conc.Sal.11])))))))),
0)</f>
        <v>0</v>
      </c>
      <c r="U76" s="101">
        <f t="array" ref="U76">IFERROR(
(AVERAGE((IF(DATOS_[[Sexo]:[Sexo]]=$B76,IF(DATOS_[[AGRUP. VALOR. PTO.]:[AGRUP. VALOR. PTO.]]=$B75,IF(DATOS_[[Check Periodo Ref.]:[Check Periodo Ref.]]="Dentro",IF(DATOS_[[Check Equiparado]:[Check Equiparado]]="Sí",IF(DATOS!AP$5="Sí",(1/DATOS_[[% anualiz]:[% anualiz]]),1)*IF(DATOS!AP$4="Sí",1/DATOS_[[% normaliz]:[% normaliz]],1)*(DATOS_[Conc.Sal.12])))))))),
0)</f>
        <v>0</v>
      </c>
      <c r="V76" s="101">
        <f t="array" ref="V76">IFERROR(
(AVERAGE((IF(DATOS_[[Sexo]:[Sexo]]=$B76,IF(DATOS_[[AGRUP. VALOR. PTO.]:[AGRUP. VALOR. PTO.]]=$B75,IF(DATOS_[[Check Periodo Ref.]:[Check Periodo Ref.]]="Dentro",IF(DATOS_[[Check Equiparado]:[Check Equiparado]]="Sí",IF(DATOS!AQ$5="Sí",(1/DATOS_[[% anualiz]:[% anualiz]]),1)*IF(DATOS!AQ$4="Sí",1/DATOS_[[% normaliz]:[% normaliz]],1)*(DATOS_[Conc.Sal.13])))))))),
0)</f>
        <v>0</v>
      </c>
      <c r="W76" s="101">
        <f t="array" ref="W76">IFERROR(
(AVERAGE((IF(DATOS_[[Sexo]:[Sexo]]=$B76,IF(DATOS_[[AGRUP. VALOR. PTO.]:[AGRUP. VALOR. PTO.]]=$B75,IF(DATOS_[[Check Periodo Ref.]:[Check Periodo Ref.]]="Dentro",IF(DATOS_[[Check Equiparado]:[Check Equiparado]]="Sí",IF(DATOS!AR$5="Sí",(1/DATOS_[[% anualiz]:[% anualiz]]),1)*IF(DATOS!AR$4="Sí",1/DATOS_[[% normaliz]:[% normaliz]],1)*(DATOS_[Conc.Sal.14])))))))),
0)</f>
        <v>0</v>
      </c>
      <c r="X76" s="101">
        <f t="array" ref="X76">IFERROR(
(AVERAGE((IF(DATOS_[[Sexo]:[Sexo]]=$B76,IF(DATOS_[[AGRUP. VALOR. PTO.]:[AGRUP. VALOR. PTO.]]=$B75,IF(DATOS_[[Check Periodo Ref.]:[Check Periodo Ref.]]="Dentro",IF(DATOS_[[Check Equiparado]:[Check Equiparado]]="Sí",IF(DATOS!AS$5="Sí",(1/DATOS_[[% anualiz]:[% anualiz]]),1)*IF(DATOS!AS$4="Sí",1/DATOS_[[% normaliz]:[% normaliz]],1)*(DATOS_[Conc.Sal.15])))))))),
0)</f>
        <v>0</v>
      </c>
      <c r="Y76" s="101">
        <f t="array" ref="Y76">IFERROR(
(AVERAGE((IF(DATOS_[[Sexo]:[Sexo]]=$B76,IF(DATOS_[[AGRUP. VALOR. PTO.]:[AGRUP. VALOR. PTO.]]=$B75,IF(DATOS_[[Check Periodo Ref.]:[Check Periodo Ref.]]="Dentro",IF(DATOS_[[Check Equiparado]:[Check Equiparado]]="Sí",IF(DATOS!AT$5="Sí",(1/DATOS_[[% anualiz]:[% anualiz]]),1)*IF(DATOS!AT$4="Sí",1/DATOS_[[% normaliz]:[% normaliz]],1)*(DATOS_[Conc.Sal.16])))))))),
0)</f>
        <v>0</v>
      </c>
      <c r="Z76" s="101">
        <f t="array" ref="Z76">IFERROR(
(AVERAGE((IF(DATOS_[[Sexo]:[Sexo]]=$B76,IF(DATOS_[[AGRUP. VALOR. PTO.]:[AGRUP. VALOR. PTO.]]=$B75,IF(DATOS_[[Check Periodo Ref.]:[Check Periodo Ref.]]="Dentro",IF(DATOS_[[Check Equiparado]:[Check Equiparado]]="Sí",IF(DATOS!AU$5="Sí",(1/DATOS_[[% anualiz]:[% anualiz]]),1)*IF(DATOS!AU$4="Sí",1/DATOS_[[% normaliz]:[% normaliz]],1)*(DATOS_[Conc.Sal.17])))))))),
0)</f>
        <v>0</v>
      </c>
      <c r="AA76" s="101">
        <f t="array" ref="AA76">IFERROR(
(AVERAGE((IF(DATOS_[[Sexo]:[Sexo]]=$B76,IF(DATOS_[[AGRUP. VALOR. PTO.]:[AGRUP. VALOR. PTO.]]=$B75,IF(DATOS_[[Check Periodo Ref.]:[Check Periodo Ref.]]="Dentro",IF(DATOS_[[Check Equiparado]:[Check Equiparado]]="Sí",IF(DATOS!AV$5="Sí",(1/DATOS_[[% anualiz]:[% anualiz]]),1)*IF(DATOS!AV$4="Sí",1/DATOS_[[% normaliz]:[% normaliz]],1)*(DATOS_[Conc.Sal.18])))))))),
0)</f>
        <v>0</v>
      </c>
      <c r="AB76" s="101">
        <f t="array" ref="AB76">IFERROR(
(AVERAGE((IF(DATOS_[[Sexo]:[Sexo]]=$B76,IF(DATOS_[[AGRUP. VALOR. PTO.]:[AGRUP. VALOR. PTO.]]=$B75,IF(DATOS_[[Check Periodo Ref.]:[Check Periodo Ref.]]="Dentro",IF(DATOS_[[Check Equiparado]:[Check Equiparado]]="Sí",IF(DATOS!AW$5="Sí",(1/DATOS_[[% anualiz]:[% anualiz]]),1)*IF(DATOS!AW$4="Sí",1/DATOS_[[% normaliz]:[% normaliz]],1)*(DATOS_[Conc.Sal.19])))))))),
0)</f>
        <v>0</v>
      </c>
      <c r="AC76" s="101">
        <f t="array" ref="AC76">IFERROR(
(AVERAGE((IF(DATOS_[[Sexo]:[Sexo]]=$B76,IF(DATOS_[[AGRUP. VALOR. PTO.]:[AGRUP. VALOR. PTO.]]=$B75,IF(DATOS_[[Check Periodo Ref.]:[Check Periodo Ref.]]="Dentro",IF(DATOS_[[Check Equiparado]:[Check Equiparado]]="Sí",IF(DATOS!AX$5="Sí",(1/DATOS_[[% anualiz]:[% anualiz]]),1)*IF(DATOS!AX$4="Sí",1/DATOS_[[% normaliz]:[% normaliz]],1)*(DATOS_[Conc.Sal.20])))))))),
0)</f>
        <v>0</v>
      </c>
      <c r="AD76" s="101">
        <f t="array" ref="AD76">IFERROR(
(AVERAGE((IF(DATOS_[[Sexo]:[Sexo]]=$B76,IF(DATOS_[[AGRUP. VALOR. PTO.]:[AGRUP. VALOR. PTO.]]=$B75,IF(DATOS_[[Check Periodo Ref.]:[Check Periodo Ref.]]="Dentro",IF(DATOS_[[Check Equiparado]:[Check Equiparado]]="Sí",IF(DATOS!AY$5="Sí",(1/DATOS_[[% anualiz]:[% anualiz]]),1)*IF(DATOS!AY$4="Sí",1/DATOS_[[% normaliz]:[% normaliz]],1)*(DATOS_[Conc.Sal.21])))))))),
0)</f>
        <v>0</v>
      </c>
      <c r="AE76" s="101">
        <f t="array" ref="AE76">IFERROR(
(AVERAGE((IF(DATOS_[[Sexo]:[Sexo]]=$B76,IF(DATOS_[[AGRUP. VALOR. PTO.]:[AGRUP. VALOR. PTO.]]=$B75,IF(DATOS_[[Check Periodo Ref.]:[Check Periodo Ref.]]="Dentro",IF(DATOS_[[Check Equiparado]:[Check Equiparado]]="Sí",IF(DATOS!AZ$5="Sí",(1/DATOS_[[% anualiz]:[% anualiz]]),1)*IF(DATOS!AZ$4="Sí",1/DATOS_[[% normaliz]:[% normaliz]],1)*(DATOS_[Conc.Sal.22])))))))),
0)</f>
        <v>0</v>
      </c>
      <c r="AF76" s="101">
        <f t="array" ref="AF76">IFERROR(
(AVERAGE((IF(DATOS_[[Sexo]:[Sexo]]=$B76,IF(DATOS_[[AGRUP. VALOR. PTO.]:[AGRUP. VALOR. PTO.]]=$B75,IF(DATOS_[[Check Periodo Ref.]:[Check Periodo Ref.]]="Dentro",IF(DATOS_[[Check Equiparado]:[Check Equiparado]]="Sí",IF(DATOS!BA$5="Sí",(1/DATOS_[[% anualiz]:[% anualiz]]),1)*IF(DATOS!BA$4="Sí",1/DATOS_[[% normaliz]:[% normaliz]],1)*(DATOS_[Conc.Sal.23])))))))),
0)</f>
        <v>0</v>
      </c>
      <c r="AG76" s="101">
        <f t="array" ref="AG76">IFERROR(
(AVERAGE((IF(DATOS_[[Sexo]:[Sexo]]=$B76,IF(DATOS_[[AGRUP. VALOR. PTO.]:[AGRUP. VALOR. PTO.]]=$B75,IF(DATOS_[[Check Periodo Ref.]:[Check Periodo Ref.]]="Dentro",IF(DATOS_[[Check Equiparado]:[Check Equiparado]]="Sí",IF(DATOS!BB$5="Sí",(1/DATOS_[[% anualiz]:[% anualiz]]),1)*IF(DATOS!BB$4="Sí",1/DATOS_[[% normaliz]:[% normaliz]],1)*(DATOS_[Conc.Sal.24])))))))),
0)</f>
        <v>0</v>
      </c>
      <c r="AH76" s="101">
        <f t="array" ref="AH76">IFERROR(
(AVERAGE((IF(DATOS_[[Sexo]:[Sexo]]=$B76,IF(DATOS_[[AGRUP. VALOR. PTO.]:[AGRUP. VALOR. PTO.]]=$B75,IF(DATOS_[[Check Periodo Ref.]:[Check Periodo Ref.]]="Dentro",IF(DATOS_[[Check Equiparado]:[Check Equiparado]]="Sí",IF(DATOS!BC$5="Sí",(1/DATOS_[[% anualiz]:[% anualiz]]),1)*IF(DATOS!BC$4="Sí",1/DATOS_[[% normaliz]:[% normaliz]],1)*(DATOS_[Conc.Sal.25])))))))),
0)</f>
        <v>0</v>
      </c>
      <c r="AI76" s="101">
        <f t="array" ref="AI76">IFERROR(
(AVERAGE((IF(DATOS_[[Sexo]:[Sexo]]=$B76,IF(DATOS_[[AGRUP. VALOR. PTO.]:[AGRUP. VALOR. PTO.]]=$B75,IF(DATOS_[[Check Periodo Ref.]:[Check Periodo Ref.]]="Dentro",IF(DATOS_[[Check Equiparado]:[Check Equiparado]]="Sí",IF(DATOS!BD$5="Sí",(1/DATOS_[[% anualiz]:[% anualiz]]),1)*IF(DATOS!BD$4="Sí",1/DATOS_[[% normaliz]:[% normaliz]],1)*(DATOS_[Conc.Sal.26])))))))),
0)</f>
        <v>0</v>
      </c>
      <c r="AJ76" s="101">
        <f t="array" ref="AJ76">IFERROR(
(AVERAGE((IF(DATOS_[[Sexo]:[Sexo]]=$B76,IF(DATOS_[[AGRUP. VALOR. PTO.]:[AGRUP. VALOR. PTO.]]=$B75,IF(DATOS_[[Check Periodo Ref.]:[Check Periodo Ref.]]="Dentro",IF(DATOS_[[Check Equiparado]:[Check Equiparado]]="Sí",IF(DATOS!BE$5="Sí",(1/DATOS_[[% anualiz]:[% anualiz]]),1)*IF(DATOS!BE$4="Sí",1/DATOS_[[% normaliz]:[% normaliz]],1)*(DATOS_[Conc.Sal.27])))))))),
0)</f>
        <v>0</v>
      </c>
      <c r="AK76" s="101">
        <f t="array" ref="AK76">IFERROR(
(AVERAGE((IF(DATOS_[[Sexo]:[Sexo]]=$B76,IF(DATOS_[[AGRUP. VALOR. PTO.]:[AGRUP. VALOR. PTO.]]=$B75,IF(DATOS_[[Check Periodo Ref.]:[Check Periodo Ref.]]="Dentro",IF(DATOS_[[Check Equiparado]:[Check Equiparado]]="Sí",IF(DATOS!BF$5="Sí",(1/DATOS_[[% anualiz]:[% anualiz]]),1)*IF(DATOS!BF$4="Sí",1/DATOS_[[% normaliz]:[% normaliz]],1)*(DATOS_[Conc.Sal.28])))))))),
0)</f>
        <v>0</v>
      </c>
      <c r="AL76" s="101">
        <f t="array" ref="AL76">IFERROR(
(AVERAGE((IF(DATOS_[[Sexo]:[Sexo]]=$B76,IF(DATOS_[[AGRUP. VALOR. PTO.]:[AGRUP. VALOR. PTO.]]=$B75,IF(DATOS_[[Check Periodo Ref.]:[Check Periodo Ref.]]="Dentro",IF(DATOS_[[Check Equiparado]:[Check Equiparado]]="Sí",IF(DATOS!BG$5="Sí",(1/DATOS_[[% anualiz]:[% anualiz]]),1)*IF(DATOS!BG$4="Sí",1/DATOS_[[% normaliz]:[% normaliz]],1)*(DATOS_[Conc.Sal.29])))))))),
0)</f>
        <v>0</v>
      </c>
      <c r="AM76" s="101">
        <f t="array" ref="AM76">IFERROR(
(AVERAGE((IF(DATOS_[[Sexo]:[Sexo]]=$B76,IF(DATOS_[[AGRUP. VALOR. PTO.]:[AGRUP. VALOR. PTO.]]=$B75,IF(DATOS_[[Check Periodo Ref.]:[Check Periodo Ref.]]="Dentro",IF(DATOS_[[Check Equiparado]:[Check Equiparado]]="Sí",IF(DATOS!BH$5="Sí",(1/DATOS_[[% anualiz]:[% anualiz]]),1)*IF(DATOS!BH$4="Sí",1/DATOS_[[% normaliz]:[% normaliz]],1)*(DATOS_[Conc.Sal.30])))))))),
0)</f>
        <v>0</v>
      </c>
      <c r="AN76" s="102">
        <f t="array" ref="AN76">IFERROR(
AVERAGE(IF(DATOS_[Sexo]=$B76,IF(DATOS_[[AGRUP. VALOR. PTO.]:[AGRUP. VALOR. PTO.]]=$B75,IF(DATOS_[Check Equiparado]="Sí",IF(DATOS_[Check Periodo Ref.]="Dentro",DATOS_[Tot COMPL.SAL Eq],FALSE))))),
0)</f>
        <v>0</v>
      </c>
      <c r="AO76" s="103">
        <f t="array" ref="AO76">IFERROR(
AVERAGE(IF(DATOS_[Sexo]=$B76,IF(DATOS_[[AGRUP. VALOR. PTO.]:[AGRUP. VALOR. PTO.]]=$B75,IF(DATOS_[Check Equiparado]="Sí",IF(DATOS_[Check Periodo Ref.]="Dentro",DATOS_[TOTAL SALARIO Eq],FALSE))))),
0)</f>
        <v>0</v>
      </c>
      <c r="AP76" s="104">
        <f t="array" ref="AP76">IFERROR(
(AVERAGE((IF(DATOS_[[Sexo]:[Sexo]]=$B76,IF(DATOS_[[AGRUP. VALOR. PTO.]:[AGRUP. VALOR. PTO.]]=$B75,IF(DATOS_[[Check Periodo Ref.]:[Check Periodo Ref.]]="Dentro",IF(DATOS_[[Check Equiparado]:[Check Equiparado]]="Sí",IF(DATOS!BI$5="Sí",(1/DATOS_[[% anualiz]:[% anualiz]]),1)*IF(DATOS!BI$4="Sí",1/DATOS_[[% normaliz]:[% normaliz]],1)*(DATOS_[C.Extra.01])))))))),
0)</f>
        <v>0</v>
      </c>
      <c r="AQ76" s="104">
        <f t="array" ref="AQ76">IFERROR(
(AVERAGE((IF(DATOS_[[Sexo]:[Sexo]]=$B76,IF(DATOS_[[AGRUP. VALOR. PTO.]:[AGRUP. VALOR. PTO.]]=$B75,IF(DATOS_[[Check Periodo Ref.]:[Check Periodo Ref.]]="Dentro",IF(DATOS_[[Check Equiparado]:[Check Equiparado]]="Sí",IF(DATOS!BJ$5="Sí",(1/DATOS_[[% anualiz]:[% anualiz]]),1)*IF(DATOS!BJ$4="Sí",1/DATOS_[[% normaliz]:[% normaliz]],1)*(DATOS_[C.Extra.02])))))))),
0)</f>
        <v>0</v>
      </c>
      <c r="AR76" s="104">
        <f t="array" ref="AR76">IFERROR(
(AVERAGE((IF(DATOS_[[Sexo]:[Sexo]]=$B76,IF(DATOS_[[AGRUP. VALOR. PTO.]:[AGRUP. VALOR. PTO.]]=$B75,IF(DATOS_[[Check Periodo Ref.]:[Check Periodo Ref.]]="Dentro",IF(DATOS_[[Check Equiparado]:[Check Equiparado]]="Sí",IF(DATOS!BK$5="Sí",(1/DATOS_[[% anualiz]:[% anualiz]]),1)*IF(DATOS!BK$4="Sí",1/DATOS_[[% normaliz]:[% normaliz]],1)*(DATOS_[C.Extra.03])))))))),
0)</f>
        <v>0</v>
      </c>
      <c r="AS76" s="104">
        <f t="array" ref="AS76">IFERROR(
(AVERAGE((IF(DATOS_[[Sexo]:[Sexo]]=$B76,IF(DATOS_[[AGRUP. VALOR. PTO.]:[AGRUP. VALOR. PTO.]]=$B75,IF(DATOS_[[Check Periodo Ref.]:[Check Periodo Ref.]]="Dentro",IF(DATOS_[[Check Equiparado]:[Check Equiparado]]="Sí",IF(DATOS!BL$5="Sí",(1/DATOS_[[% anualiz]:[% anualiz]]),1)*IF(DATOS!BL$4="Sí",1/DATOS_[[% normaliz]:[% normaliz]],1)*(DATOS_[C.Extra.04])))))))),
0)</f>
        <v>0</v>
      </c>
      <c r="AT76" s="104">
        <f t="array" ref="AT76">IFERROR(
(AVERAGE((IF(DATOS_[[Sexo]:[Sexo]]=$B76,IF(DATOS_[[AGRUP. VALOR. PTO.]:[AGRUP. VALOR. PTO.]]=$B75,IF(DATOS_[[Check Periodo Ref.]:[Check Periodo Ref.]]="Dentro",IF(DATOS_[[Check Equiparado]:[Check Equiparado]]="Sí",IF(DATOS!BM$5="Sí",(1/DATOS_[[% anualiz]:[% anualiz]]),1)*IF(DATOS!BM$4="Sí",1/DATOS_[[% normaliz]:[% normaliz]],1)*(DATOS_[C.Extra.05])))))))),
0)</f>
        <v>0</v>
      </c>
      <c r="AU76" s="105">
        <f t="array" ref="AU76">IFERROR(
AVERAGE(IF(DATOS_[Sexo]=$B76,IF(DATOS_[[AGRUP. VALOR. PTO.]:[AGRUP. VALOR. PTO.]]=$B75,IF(DATOS_[Check Equiparado]="Sí",IF(DATOS_[Check Periodo Ref.]="Dentro",DATOS_[Tot Extrasalarial Eq],FALSE))))),
0)</f>
        <v>0</v>
      </c>
      <c r="AV76" s="106">
        <f t="array" ref="AV76">IFERROR(
AVERAGE(IF(DATOS_[Sexo]=$B76,IF(DATOS_[[AGRUP. VALOR. PTO.]:[AGRUP. VALOR. PTO.]]=$B75,IF(DATOS_[Check Equiparado]="Sí",IF(DATOS_[Check Periodo Ref.]="Dentro",DATOS_[TOTAL Retrib Eq],FALSE))))),
0)</f>
        <v>0</v>
      </c>
    </row>
    <row r="77" spans="1:48" hidden="1" x14ac:dyDescent="0.3">
      <c r="A77" s="53" t="str">
        <f t="shared" ref="A77" si="86">+A76</f>
        <v>[ocultar]</v>
      </c>
      <c r="B77" s="57" t="s">
        <v>163</v>
      </c>
      <c r="C77" s="56">
        <f t="array" ref="C77">SUM(IF($B77=DATOS_[Sexo],
IF($B75=DATOS_[AGRUP. VALOR. PTO.],
IF("Dentro"=DATOS_[Check Periodo Ref.],
1/(COUNTIFS(DATOS_[Sexo],$B77,DATOS_[AGRUP. VALOR. PTO.],$B75,DATOS_[Check Periodo Ref.],"Dentro",DATOS_[id],DATOS_[id]))))))</f>
        <v>0</v>
      </c>
      <c r="D77" s="58">
        <f>COUNTIFS(DATOS_[AGRUP. VALOR. PTO.],$B75,DATOS_[Sexo],$B77,DATOS_[Check Periodo Ref.],"Dentro")</f>
        <v>0</v>
      </c>
      <c r="E77" s="58">
        <f>COUNTIFS(DATOS_[AGRUP. VALOR. PTO.],$B75,DATOS_[Sexo],$B77,DATOS_[Check Periodo Ref.],"Dentro",DATOS_[Check Nº SC Norm],"Sí")</f>
        <v>0</v>
      </c>
      <c r="F77" s="58">
        <f>COUNTIFS(DATOS_[AGRUP. VALOR. PTO.],$B75,DATOS_[Sexo],$B77,DATOS_[Check Periodo Ref.],"Dentro",DATOS_[Check Nº SC Anualiz],"Sí")</f>
        <v>0</v>
      </c>
      <c r="G77" s="58">
        <f>COUNTIFS(DATOS_[AGRUP. VALOR. PTO.],$B75,DATOS_[Sexo],$B77,DATOS_[Check Periodo Ref.],"Dentro",DATOS_[Check Nº SC Norm y Anualiz],"Sí")</f>
        <v>0</v>
      </c>
      <c r="H77" s="58">
        <f>COUNTIFS(DATOS_[AGRUP. VALOR. PTO.],$B75,DATOS_[Sexo],$B77,DATOS_[Check Periodo Ref.],"Dentro",DATOS_[Check Equiparación],"Sí")</f>
        <v>0</v>
      </c>
      <c r="I77" s="100" cm="1">
        <f t="array" ref="I77">IFERROR(
AVERAGE(IF(DATOS_[Sexo]=$B77,IF(DATOS_[[AGRUP. VALOR. PTO.]:[AGRUP. VALOR. PTO.]]=$B75,IF(DATOS_[Check Equiparado]="Sí",IF(DATOS_[Check Periodo Ref.]="Dentro",DATOS_[SALARIO BASE Eq],FALSE))))),
0)</f>
        <v>0</v>
      </c>
      <c r="J77" s="101">
        <f t="array" ref="J77">IFERROR(
(AVERAGE((IF(DATOS_[[Sexo]:[Sexo]]=$B77,IF(DATOS_[[AGRUP. VALOR. PTO.]:[AGRUP. VALOR. PTO.]]=$B75,IF(DATOS_[[Check Periodo Ref.]:[Check Periodo Ref.]]="Dentro",IF(DATOS_[[Check Equiparado]:[Check Equiparado]]="Sí",IF(DATOS!AE$5="Sí",(1/DATOS_[[% anualiz]:[% anualiz]]),1)*IF(DATOS!AE$4="Sí",1/DATOS_[[% normaliz]:[% normaliz]],1)*(DATOS_[Conc.Sal.01])))))))),
0)</f>
        <v>0</v>
      </c>
      <c r="K77" s="101">
        <f t="array" ref="K77">IFERROR(
(AVERAGE((IF(DATOS_[[Sexo]:[Sexo]]=$B77,IF(DATOS_[[AGRUP. VALOR. PTO.]:[AGRUP. VALOR. PTO.]]=$B75,IF(DATOS_[[Check Periodo Ref.]:[Check Periodo Ref.]]="Dentro",IF(DATOS_[[Check Equiparado]:[Check Equiparado]]="Sí",IF(DATOS!AF$5="Sí",(1/DATOS_[[% anualiz]:[% anualiz]]),1)*IF(DATOS!AF$4="Sí",1/DATOS_[[% normaliz]:[% normaliz]],1)*(DATOS_[Conc.Sal.02])))))))),
0)</f>
        <v>0</v>
      </c>
      <c r="L77" s="101">
        <f t="array" ref="L77">IFERROR(
(AVERAGE((IF(DATOS_[[Sexo]:[Sexo]]=$B77,IF(DATOS_[[AGRUP. VALOR. PTO.]:[AGRUP. VALOR. PTO.]]=$B75,IF(DATOS_[[Check Periodo Ref.]:[Check Periodo Ref.]]="Dentro",IF(DATOS_[[Check Equiparado]:[Check Equiparado]]="Sí",IF(DATOS!AG$5="Sí",(1/DATOS_[[% anualiz]:[% anualiz]]),1)*IF(DATOS!AG$4="Sí",1/DATOS_[[% normaliz]:[% normaliz]],1)*(DATOS_[Conc.Sal.03])))))))),
0)</f>
        <v>0</v>
      </c>
      <c r="M77" s="101">
        <f t="array" ref="M77">IFERROR(
(AVERAGE((IF(DATOS_[[Sexo]:[Sexo]]=$B77,IF(DATOS_[[AGRUP. VALOR. PTO.]:[AGRUP. VALOR. PTO.]]=$B75,IF(DATOS_[[Check Periodo Ref.]:[Check Periodo Ref.]]="Dentro",IF(DATOS_[[Check Equiparado]:[Check Equiparado]]="Sí",IF(DATOS!AH$5="Sí",(1/DATOS_[[% anualiz]:[% anualiz]]),1)*IF(DATOS!AH$4="Sí",1/DATOS_[[% normaliz]:[% normaliz]],1)*(DATOS_[Conc.Sal.04])))))))),
0)</f>
        <v>0</v>
      </c>
      <c r="N77" s="101">
        <f t="array" ref="N77">IFERROR(
(AVERAGE((IF(DATOS_[[Sexo]:[Sexo]]=$B77,IF(DATOS_[[AGRUP. VALOR. PTO.]:[AGRUP. VALOR. PTO.]]=$B75,IF(DATOS_[[Check Periodo Ref.]:[Check Periodo Ref.]]="Dentro",IF(DATOS_[[Check Equiparado]:[Check Equiparado]]="Sí",IF(DATOS!AI$5="Sí",(1/DATOS_[[% anualiz]:[% anualiz]]),1)*IF(DATOS!AI$4="Sí",1/DATOS_[[% normaliz]:[% normaliz]],1)*(DATOS_[Conc.Sal.05])))))))),
0)</f>
        <v>0</v>
      </c>
      <c r="O77" s="101">
        <f t="array" ref="O77">IFERROR(
(AVERAGE((IF(DATOS_[[Sexo]:[Sexo]]=$B77,IF(DATOS_[[AGRUP. VALOR. PTO.]:[AGRUP. VALOR. PTO.]]=$B75,IF(DATOS_[[Check Periodo Ref.]:[Check Periodo Ref.]]="Dentro",IF(DATOS_[[Check Equiparado]:[Check Equiparado]]="Sí",IF(DATOS!AJ$5="Sí",(1/DATOS_[[% anualiz]:[% anualiz]]),1)*IF(DATOS!AJ$4="Sí",1/DATOS_[[% normaliz]:[% normaliz]],1)*(DATOS_[Conc.Sal.06])))))))),
0)</f>
        <v>0</v>
      </c>
      <c r="P77" s="101">
        <f t="array" ref="P77">IFERROR(
(AVERAGE((IF(DATOS_[[Sexo]:[Sexo]]=$B77,IF(DATOS_[[AGRUP. VALOR. PTO.]:[AGRUP. VALOR. PTO.]]=$B75,IF(DATOS_[[Check Periodo Ref.]:[Check Periodo Ref.]]="Dentro",IF(DATOS_[[Check Equiparado]:[Check Equiparado]]="Sí",IF(DATOS!AK$5="Sí",(1/DATOS_[[% anualiz]:[% anualiz]]),1)*IF(DATOS!AK$4="Sí",1/DATOS_[[% normaliz]:[% normaliz]],1)*(DATOS_[Conc.Sal.07])))))))),
0)</f>
        <v>0</v>
      </c>
      <c r="Q77" s="101">
        <f t="array" ref="Q77">IFERROR(
(AVERAGE((IF(DATOS_[[Sexo]:[Sexo]]=$B77,IF(DATOS_[[AGRUP. VALOR. PTO.]:[AGRUP. VALOR. PTO.]]=$B75,IF(DATOS_[[Check Periodo Ref.]:[Check Periodo Ref.]]="Dentro",IF(DATOS_[[Check Equiparado]:[Check Equiparado]]="Sí",IF(DATOS!AL$5="Sí",(1/DATOS_[[% anualiz]:[% anualiz]]),1)*IF(DATOS!AL$4="Sí",1/DATOS_[[% normaliz]:[% normaliz]],1)*(DATOS_[Conc.Sal.08])))))))),
0)</f>
        <v>0</v>
      </c>
      <c r="R77" s="101">
        <f t="array" ref="R77">IFERROR(
(AVERAGE((IF(DATOS_[[Sexo]:[Sexo]]=$B77,IF(DATOS_[[AGRUP. VALOR. PTO.]:[AGRUP. VALOR. PTO.]]=$B75,IF(DATOS_[[Check Periodo Ref.]:[Check Periodo Ref.]]="Dentro",IF(DATOS_[[Check Equiparado]:[Check Equiparado]]="Sí",IF(DATOS!AM$5="Sí",(1/DATOS_[[% anualiz]:[% anualiz]]),1)*IF(DATOS!AM$4="Sí",1/DATOS_[[% normaliz]:[% normaliz]],1)*(DATOS_[Conc.Sal.09])))))))),
0)</f>
        <v>0</v>
      </c>
      <c r="S77" s="101">
        <f t="array" ref="S77">IFERROR(
(AVERAGE((IF(DATOS_[[Sexo]:[Sexo]]=$B77,IF(DATOS_[[AGRUP. VALOR. PTO.]:[AGRUP. VALOR. PTO.]]=$B75,IF(DATOS_[[Check Periodo Ref.]:[Check Periodo Ref.]]="Dentro",IF(DATOS_[[Check Equiparado]:[Check Equiparado]]="Sí",IF(DATOS!AN$5="Sí",(1/DATOS_[[% anualiz]:[% anualiz]]),1)*IF(DATOS!AN$4="Sí",1/DATOS_[[% normaliz]:[% normaliz]],1)*(DATOS_[Conc.Sal.10])))))))),
0)</f>
        <v>0</v>
      </c>
      <c r="T77" s="101">
        <f t="array" ref="T77">IFERROR(
(AVERAGE((IF(DATOS_[[Sexo]:[Sexo]]=$B77,IF(DATOS_[[AGRUP. VALOR. PTO.]:[AGRUP. VALOR. PTO.]]=$B75,IF(DATOS_[[Check Periodo Ref.]:[Check Periodo Ref.]]="Dentro",IF(DATOS_[[Check Equiparado]:[Check Equiparado]]="Sí",IF(DATOS!AO$5="Sí",(1/DATOS_[[% anualiz]:[% anualiz]]),1)*IF(DATOS!AO$4="Sí",1/DATOS_[[% normaliz]:[% normaliz]],1)*(DATOS_[Conc.Sal.11])))))))),
0)</f>
        <v>0</v>
      </c>
      <c r="U77" s="101">
        <f t="array" ref="U77">IFERROR(
(AVERAGE((IF(DATOS_[[Sexo]:[Sexo]]=$B77,IF(DATOS_[[AGRUP. VALOR. PTO.]:[AGRUP. VALOR. PTO.]]=$B75,IF(DATOS_[[Check Periodo Ref.]:[Check Periodo Ref.]]="Dentro",IF(DATOS_[[Check Equiparado]:[Check Equiparado]]="Sí",IF(DATOS!AP$5="Sí",(1/DATOS_[[% anualiz]:[% anualiz]]),1)*IF(DATOS!AP$4="Sí",1/DATOS_[[% normaliz]:[% normaliz]],1)*(DATOS_[Conc.Sal.12])))))))),
0)</f>
        <v>0</v>
      </c>
      <c r="V77" s="101">
        <f t="array" ref="V77">IFERROR(
(AVERAGE((IF(DATOS_[[Sexo]:[Sexo]]=$B77,IF(DATOS_[[AGRUP. VALOR. PTO.]:[AGRUP. VALOR. PTO.]]=$B75,IF(DATOS_[[Check Periodo Ref.]:[Check Periodo Ref.]]="Dentro",IF(DATOS_[[Check Equiparado]:[Check Equiparado]]="Sí",IF(DATOS!AQ$5="Sí",(1/DATOS_[[% anualiz]:[% anualiz]]),1)*IF(DATOS!AQ$4="Sí",1/DATOS_[[% normaliz]:[% normaliz]],1)*(DATOS_[Conc.Sal.13])))))))),
0)</f>
        <v>0</v>
      </c>
      <c r="W77" s="101">
        <f t="array" ref="W77">IFERROR(
(AVERAGE((IF(DATOS_[[Sexo]:[Sexo]]=$B77,IF(DATOS_[[AGRUP. VALOR. PTO.]:[AGRUP. VALOR. PTO.]]=$B75,IF(DATOS_[[Check Periodo Ref.]:[Check Periodo Ref.]]="Dentro",IF(DATOS_[[Check Equiparado]:[Check Equiparado]]="Sí",IF(DATOS!AR$5="Sí",(1/DATOS_[[% anualiz]:[% anualiz]]),1)*IF(DATOS!AR$4="Sí",1/DATOS_[[% normaliz]:[% normaliz]],1)*(DATOS_[Conc.Sal.14])))))))),
0)</f>
        <v>0</v>
      </c>
      <c r="X77" s="101">
        <f t="array" ref="X77">IFERROR(
(AVERAGE((IF(DATOS_[[Sexo]:[Sexo]]=$B77,IF(DATOS_[[AGRUP. VALOR. PTO.]:[AGRUP. VALOR. PTO.]]=$B75,IF(DATOS_[[Check Periodo Ref.]:[Check Periodo Ref.]]="Dentro",IF(DATOS_[[Check Equiparado]:[Check Equiparado]]="Sí",IF(DATOS!AS$5="Sí",(1/DATOS_[[% anualiz]:[% anualiz]]),1)*IF(DATOS!AS$4="Sí",1/DATOS_[[% normaliz]:[% normaliz]],1)*(DATOS_[Conc.Sal.15])))))))),
0)</f>
        <v>0</v>
      </c>
      <c r="Y77" s="101">
        <f t="array" ref="Y77">IFERROR(
(AVERAGE((IF(DATOS_[[Sexo]:[Sexo]]=$B77,IF(DATOS_[[AGRUP. VALOR. PTO.]:[AGRUP. VALOR. PTO.]]=$B75,IF(DATOS_[[Check Periodo Ref.]:[Check Periodo Ref.]]="Dentro",IF(DATOS_[[Check Equiparado]:[Check Equiparado]]="Sí",IF(DATOS!AT$5="Sí",(1/DATOS_[[% anualiz]:[% anualiz]]),1)*IF(DATOS!AT$4="Sí",1/DATOS_[[% normaliz]:[% normaliz]],1)*(DATOS_[Conc.Sal.16])))))))),
0)</f>
        <v>0</v>
      </c>
      <c r="Z77" s="101">
        <f t="array" ref="Z77">IFERROR(
(AVERAGE((IF(DATOS_[[Sexo]:[Sexo]]=$B77,IF(DATOS_[[AGRUP. VALOR. PTO.]:[AGRUP. VALOR. PTO.]]=$B75,IF(DATOS_[[Check Periodo Ref.]:[Check Periodo Ref.]]="Dentro",IF(DATOS_[[Check Equiparado]:[Check Equiparado]]="Sí",IF(DATOS!AU$5="Sí",(1/DATOS_[[% anualiz]:[% anualiz]]),1)*IF(DATOS!AU$4="Sí",1/DATOS_[[% normaliz]:[% normaliz]],1)*(DATOS_[Conc.Sal.17])))))))),
0)</f>
        <v>0</v>
      </c>
      <c r="AA77" s="101">
        <f t="array" ref="AA77">IFERROR(
(AVERAGE((IF(DATOS_[[Sexo]:[Sexo]]=$B77,IF(DATOS_[[AGRUP. VALOR. PTO.]:[AGRUP. VALOR. PTO.]]=$B75,IF(DATOS_[[Check Periodo Ref.]:[Check Periodo Ref.]]="Dentro",IF(DATOS_[[Check Equiparado]:[Check Equiparado]]="Sí",IF(DATOS!AV$5="Sí",(1/DATOS_[[% anualiz]:[% anualiz]]),1)*IF(DATOS!AV$4="Sí",1/DATOS_[[% normaliz]:[% normaliz]],1)*(DATOS_[Conc.Sal.18])))))))),
0)</f>
        <v>0</v>
      </c>
      <c r="AB77" s="101">
        <f t="array" ref="AB77">IFERROR(
(AVERAGE((IF(DATOS_[[Sexo]:[Sexo]]=$B77,IF(DATOS_[[AGRUP. VALOR. PTO.]:[AGRUP. VALOR. PTO.]]=$B75,IF(DATOS_[[Check Periodo Ref.]:[Check Periodo Ref.]]="Dentro",IF(DATOS_[[Check Equiparado]:[Check Equiparado]]="Sí",IF(DATOS!AW$5="Sí",(1/DATOS_[[% anualiz]:[% anualiz]]),1)*IF(DATOS!AW$4="Sí",1/DATOS_[[% normaliz]:[% normaliz]],1)*(DATOS_[Conc.Sal.19])))))))),
0)</f>
        <v>0</v>
      </c>
      <c r="AC77" s="101">
        <f t="array" ref="AC77">IFERROR(
(AVERAGE((IF(DATOS_[[Sexo]:[Sexo]]=$B77,IF(DATOS_[[AGRUP. VALOR. PTO.]:[AGRUP. VALOR. PTO.]]=$B75,IF(DATOS_[[Check Periodo Ref.]:[Check Periodo Ref.]]="Dentro",IF(DATOS_[[Check Equiparado]:[Check Equiparado]]="Sí",IF(DATOS!AX$5="Sí",(1/DATOS_[[% anualiz]:[% anualiz]]),1)*IF(DATOS!AX$4="Sí",1/DATOS_[[% normaliz]:[% normaliz]],1)*(DATOS_[Conc.Sal.20])))))))),
0)</f>
        <v>0</v>
      </c>
      <c r="AD77" s="101">
        <f t="array" ref="AD77">IFERROR(
(AVERAGE((IF(DATOS_[[Sexo]:[Sexo]]=$B77,IF(DATOS_[[AGRUP. VALOR. PTO.]:[AGRUP. VALOR. PTO.]]=$B75,IF(DATOS_[[Check Periodo Ref.]:[Check Periodo Ref.]]="Dentro",IF(DATOS_[[Check Equiparado]:[Check Equiparado]]="Sí",IF(DATOS!AY$5="Sí",(1/DATOS_[[% anualiz]:[% anualiz]]),1)*IF(DATOS!AY$4="Sí",1/DATOS_[[% normaliz]:[% normaliz]],1)*(DATOS_[Conc.Sal.21])))))))),
0)</f>
        <v>0</v>
      </c>
      <c r="AE77" s="101">
        <f t="array" ref="AE77">IFERROR(
(AVERAGE((IF(DATOS_[[Sexo]:[Sexo]]=$B77,IF(DATOS_[[AGRUP. VALOR. PTO.]:[AGRUP. VALOR. PTO.]]=$B75,IF(DATOS_[[Check Periodo Ref.]:[Check Periodo Ref.]]="Dentro",IF(DATOS_[[Check Equiparado]:[Check Equiparado]]="Sí",IF(DATOS!AZ$5="Sí",(1/DATOS_[[% anualiz]:[% anualiz]]),1)*IF(DATOS!AZ$4="Sí",1/DATOS_[[% normaliz]:[% normaliz]],1)*(DATOS_[Conc.Sal.22])))))))),
0)</f>
        <v>0</v>
      </c>
      <c r="AF77" s="101">
        <f t="array" ref="AF77">IFERROR(
(AVERAGE((IF(DATOS_[[Sexo]:[Sexo]]=$B77,IF(DATOS_[[AGRUP. VALOR. PTO.]:[AGRUP. VALOR. PTO.]]=$B75,IF(DATOS_[[Check Periodo Ref.]:[Check Periodo Ref.]]="Dentro",IF(DATOS_[[Check Equiparado]:[Check Equiparado]]="Sí",IF(DATOS!BA$5="Sí",(1/DATOS_[[% anualiz]:[% anualiz]]),1)*IF(DATOS!BA$4="Sí",1/DATOS_[[% normaliz]:[% normaliz]],1)*(DATOS_[Conc.Sal.23])))))))),
0)</f>
        <v>0</v>
      </c>
      <c r="AG77" s="101">
        <f t="array" ref="AG77">IFERROR(
(AVERAGE((IF(DATOS_[[Sexo]:[Sexo]]=$B77,IF(DATOS_[[AGRUP. VALOR. PTO.]:[AGRUP. VALOR. PTO.]]=$B75,IF(DATOS_[[Check Periodo Ref.]:[Check Periodo Ref.]]="Dentro",IF(DATOS_[[Check Equiparado]:[Check Equiparado]]="Sí",IF(DATOS!BB$5="Sí",(1/DATOS_[[% anualiz]:[% anualiz]]),1)*IF(DATOS!BB$4="Sí",1/DATOS_[[% normaliz]:[% normaliz]],1)*(DATOS_[Conc.Sal.24])))))))),
0)</f>
        <v>0</v>
      </c>
      <c r="AH77" s="101">
        <f t="array" ref="AH77">IFERROR(
(AVERAGE((IF(DATOS_[[Sexo]:[Sexo]]=$B77,IF(DATOS_[[AGRUP. VALOR. PTO.]:[AGRUP. VALOR. PTO.]]=$B75,IF(DATOS_[[Check Periodo Ref.]:[Check Periodo Ref.]]="Dentro",IF(DATOS_[[Check Equiparado]:[Check Equiparado]]="Sí",IF(DATOS!BC$5="Sí",(1/DATOS_[[% anualiz]:[% anualiz]]),1)*IF(DATOS!BC$4="Sí",1/DATOS_[[% normaliz]:[% normaliz]],1)*(DATOS_[Conc.Sal.25])))))))),
0)</f>
        <v>0</v>
      </c>
      <c r="AI77" s="101">
        <f t="array" ref="AI77">IFERROR(
(AVERAGE((IF(DATOS_[[Sexo]:[Sexo]]=$B77,IF(DATOS_[[AGRUP. VALOR. PTO.]:[AGRUP. VALOR. PTO.]]=$B75,IF(DATOS_[[Check Periodo Ref.]:[Check Periodo Ref.]]="Dentro",IF(DATOS_[[Check Equiparado]:[Check Equiparado]]="Sí",IF(DATOS!BD$5="Sí",(1/DATOS_[[% anualiz]:[% anualiz]]),1)*IF(DATOS!BD$4="Sí",1/DATOS_[[% normaliz]:[% normaliz]],1)*(DATOS_[Conc.Sal.26])))))))),
0)</f>
        <v>0</v>
      </c>
      <c r="AJ77" s="101">
        <f t="array" ref="AJ77">IFERROR(
(AVERAGE((IF(DATOS_[[Sexo]:[Sexo]]=$B77,IF(DATOS_[[AGRUP. VALOR. PTO.]:[AGRUP. VALOR. PTO.]]=$B75,IF(DATOS_[[Check Periodo Ref.]:[Check Periodo Ref.]]="Dentro",IF(DATOS_[[Check Equiparado]:[Check Equiparado]]="Sí",IF(DATOS!BE$5="Sí",(1/DATOS_[[% anualiz]:[% anualiz]]),1)*IF(DATOS!BE$4="Sí",1/DATOS_[[% normaliz]:[% normaliz]],1)*(DATOS_[Conc.Sal.27])))))))),
0)</f>
        <v>0</v>
      </c>
      <c r="AK77" s="101">
        <f t="array" ref="AK77">IFERROR(
(AVERAGE((IF(DATOS_[[Sexo]:[Sexo]]=$B77,IF(DATOS_[[AGRUP. VALOR. PTO.]:[AGRUP. VALOR. PTO.]]=$B75,IF(DATOS_[[Check Periodo Ref.]:[Check Periodo Ref.]]="Dentro",IF(DATOS_[[Check Equiparado]:[Check Equiparado]]="Sí",IF(DATOS!BF$5="Sí",(1/DATOS_[[% anualiz]:[% anualiz]]),1)*IF(DATOS!BF$4="Sí",1/DATOS_[[% normaliz]:[% normaliz]],1)*(DATOS_[Conc.Sal.28])))))))),
0)</f>
        <v>0</v>
      </c>
      <c r="AL77" s="101">
        <f t="array" ref="AL77">IFERROR(
(AVERAGE((IF(DATOS_[[Sexo]:[Sexo]]=$B77,IF(DATOS_[[AGRUP. VALOR. PTO.]:[AGRUP. VALOR. PTO.]]=$B75,IF(DATOS_[[Check Periodo Ref.]:[Check Periodo Ref.]]="Dentro",IF(DATOS_[[Check Equiparado]:[Check Equiparado]]="Sí",IF(DATOS!BG$5="Sí",(1/DATOS_[[% anualiz]:[% anualiz]]),1)*IF(DATOS!BG$4="Sí",1/DATOS_[[% normaliz]:[% normaliz]],1)*(DATOS_[Conc.Sal.29])))))))),
0)</f>
        <v>0</v>
      </c>
      <c r="AM77" s="101">
        <f t="array" ref="AM77">IFERROR(
(AVERAGE((IF(DATOS_[[Sexo]:[Sexo]]=$B77,IF(DATOS_[[AGRUP. VALOR. PTO.]:[AGRUP. VALOR. PTO.]]=$B75,IF(DATOS_[[Check Periodo Ref.]:[Check Periodo Ref.]]="Dentro",IF(DATOS_[[Check Equiparado]:[Check Equiparado]]="Sí",IF(DATOS!BH$5="Sí",(1/DATOS_[[% anualiz]:[% anualiz]]),1)*IF(DATOS!BH$4="Sí",1/DATOS_[[% normaliz]:[% normaliz]],1)*(DATOS_[Conc.Sal.30])))))))),
0)</f>
        <v>0</v>
      </c>
      <c r="AN77" s="102">
        <f t="array" ref="AN77">IFERROR(
AVERAGE(IF(DATOS_[Sexo]=$B77,IF(DATOS_[[AGRUP. VALOR. PTO.]:[AGRUP. VALOR. PTO.]]=$B75,IF(DATOS_[Check Equiparado]="Sí",IF(DATOS_[Check Periodo Ref.]="Dentro",DATOS_[Tot COMPL.SAL Eq],FALSE))))),
0)</f>
        <v>0</v>
      </c>
      <c r="AO77" s="103">
        <f t="array" ref="AO77">IFERROR(
AVERAGE(IF(DATOS_[Sexo]=$B77,IF(DATOS_[[AGRUP. VALOR. PTO.]:[AGRUP. VALOR. PTO.]]=$B75,IF(DATOS_[Check Equiparado]="Sí",IF(DATOS_[Check Periodo Ref.]="Dentro",DATOS_[TOTAL SALARIO Eq],FALSE))))),
0)</f>
        <v>0</v>
      </c>
      <c r="AP77" s="104">
        <f t="array" ref="AP77">IFERROR(
(AVERAGE((IF(DATOS_[[Sexo]:[Sexo]]=$B77,IF(DATOS_[[AGRUP. VALOR. PTO.]:[AGRUP. VALOR. PTO.]]=$B75,IF(DATOS_[[Check Periodo Ref.]:[Check Periodo Ref.]]="Dentro",IF(DATOS_[[Check Equiparado]:[Check Equiparado]]="Sí",IF(DATOS!BI$5="Sí",(1/DATOS_[[% anualiz]:[% anualiz]]),1)*IF(DATOS!BI$4="Sí",1/DATOS_[[% normaliz]:[% normaliz]],1)*(DATOS_[C.Extra.01])))))))),
0)</f>
        <v>0</v>
      </c>
      <c r="AQ77" s="104">
        <f t="array" ref="AQ77">IFERROR(
(AVERAGE((IF(DATOS_[[Sexo]:[Sexo]]=$B77,IF(DATOS_[[AGRUP. VALOR. PTO.]:[AGRUP. VALOR. PTO.]]=$B75,IF(DATOS_[[Check Periodo Ref.]:[Check Periodo Ref.]]="Dentro",IF(DATOS_[[Check Equiparado]:[Check Equiparado]]="Sí",IF(DATOS!BJ$5="Sí",(1/DATOS_[[% anualiz]:[% anualiz]]),1)*IF(DATOS!BJ$4="Sí",1/DATOS_[[% normaliz]:[% normaliz]],1)*(DATOS_[C.Extra.02])))))))),
0)</f>
        <v>0</v>
      </c>
      <c r="AR77" s="104">
        <f t="array" ref="AR77">IFERROR(
(AVERAGE((IF(DATOS_[[Sexo]:[Sexo]]=$B77,IF(DATOS_[[AGRUP. VALOR. PTO.]:[AGRUP. VALOR. PTO.]]=$B75,IF(DATOS_[[Check Periodo Ref.]:[Check Periodo Ref.]]="Dentro",IF(DATOS_[[Check Equiparado]:[Check Equiparado]]="Sí",IF(DATOS!BK$5="Sí",(1/DATOS_[[% anualiz]:[% anualiz]]),1)*IF(DATOS!BK$4="Sí",1/DATOS_[[% normaliz]:[% normaliz]],1)*(DATOS_[C.Extra.03])))))))),
0)</f>
        <v>0</v>
      </c>
      <c r="AS77" s="104">
        <f t="array" ref="AS77">IFERROR(
(AVERAGE((IF(DATOS_[[Sexo]:[Sexo]]=$B77,IF(DATOS_[[AGRUP. VALOR. PTO.]:[AGRUP. VALOR. PTO.]]=$B75,IF(DATOS_[[Check Periodo Ref.]:[Check Periodo Ref.]]="Dentro",IF(DATOS_[[Check Equiparado]:[Check Equiparado]]="Sí",IF(DATOS!BL$5="Sí",(1/DATOS_[[% anualiz]:[% anualiz]]),1)*IF(DATOS!BL$4="Sí",1/DATOS_[[% normaliz]:[% normaliz]],1)*(DATOS_[C.Extra.04])))))))),
0)</f>
        <v>0</v>
      </c>
      <c r="AT77" s="104">
        <f t="array" ref="AT77">IFERROR(
(AVERAGE((IF(DATOS_[[Sexo]:[Sexo]]=$B77,IF(DATOS_[[AGRUP. VALOR. PTO.]:[AGRUP. VALOR. PTO.]]=$B75,IF(DATOS_[[Check Periodo Ref.]:[Check Periodo Ref.]]="Dentro",IF(DATOS_[[Check Equiparado]:[Check Equiparado]]="Sí",IF(DATOS!BM$5="Sí",(1/DATOS_[[% anualiz]:[% anualiz]]),1)*IF(DATOS!BM$4="Sí",1/DATOS_[[% normaliz]:[% normaliz]],1)*(DATOS_[C.Extra.05])))))))),
0)</f>
        <v>0</v>
      </c>
      <c r="AU77" s="105">
        <f t="array" ref="AU77">IFERROR(
AVERAGE(IF(DATOS_[Sexo]=$B77,IF(DATOS_[[AGRUP. VALOR. PTO.]:[AGRUP. VALOR. PTO.]]=$B75,IF(DATOS_[Check Equiparado]="Sí",IF(DATOS_[Check Periodo Ref.]="Dentro",DATOS_[Tot Extrasalarial Eq],FALSE))))),
0)</f>
        <v>0</v>
      </c>
      <c r="AV77" s="106">
        <f t="array" ref="AV77">IFERROR(
AVERAGE(IF(DATOS_[Sexo]=$B77,IF(DATOS_[[AGRUP. VALOR. PTO.]:[AGRUP. VALOR. PTO.]]=$B75,IF(DATOS_[Check Equiparado]="Sí",IF(DATOS_[Check Periodo Ref.]="Dentro",DATOS_[TOTAL Retrib Eq],FALSE))))),
0)</f>
        <v>0</v>
      </c>
    </row>
    <row r="78" spans="1:48" ht="17.25" hidden="1" thickBot="1" x14ac:dyDescent="0.35">
      <c r="A78" s="53" t="str">
        <f t="shared" ref="A78" si="87">+A79</f>
        <v>[ocultar]</v>
      </c>
      <c r="B78" s="62" t="s">
        <v>281</v>
      </c>
      <c r="C78" s="99"/>
      <c r="D78" s="63"/>
      <c r="E78" s="63"/>
      <c r="F78" s="63"/>
      <c r="G78" s="63"/>
      <c r="H78" s="63"/>
      <c r="I78" s="129" t="str">
        <f t="shared" ref="I78:AV78" si="88">IFERROR((I79-I80)/I79,"")</f>
        <v/>
      </c>
      <c r="J78" s="130" t="str">
        <f t="shared" si="88"/>
        <v/>
      </c>
      <c r="K78" s="131" t="str">
        <f t="shared" si="88"/>
        <v/>
      </c>
      <c r="L78" s="131" t="str">
        <f t="shared" si="88"/>
        <v/>
      </c>
      <c r="M78" s="131" t="str">
        <f t="shared" si="88"/>
        <v/>
      </c>
      <c r="N78" s="132" t="str">
        <f t="shared" si="88"/>
        <v/>
      </c>
      <c r="O78" s="133" t="str">
        <f t="shared" si="88"/>
        <v/>
      </c>
      <c r="P78" s="133" t="str">
        <f t="shared" si="88"/>
        <v/>
      </c>
      <c r="Q78" s="133" t="str">
        <f t="shared" si="88"/>
        <v/>
      </c>
      <c r="R78" s="133" t="str">
        <f t="shared" si="88"/>
        <v/>
      </c>
      <c r="S78" s="133" t="str">
        <f t="shared" si="88"/>
        <v/>
      </c>
      <c r="T78" s="133" t="str">
        <f t="shared" si="88"/>
        <v/>
      </c>
      <c r="U78" s="133" t="str">
        <f t="shared" si="88"/>
        <v/>
      </c>
      <c r="V78" s="133" t="str">
        <f t="shared" si="88"/>
        <v/>
      </c>
      <c r="W78" s="133" t="str">
        <f t="shared" si="88"/>
        <v/>
      </c>
      <c r="X78" s="133" t="str">
        <f t="shared" si="88"/>
        <v/>
      </c>
      <c r="Y78" s="133" t="str">
        <f t="shared" si="88"/>
        <v/>
      </c>
      <c r="Z78" s="132" t="str">
        <f t="shared" si="88"/>
        <v/>
      </c>
      <c r="AA78" s="132" t="str">
        <f t="shared" si="88"/>
        <v/>
      </c>
      <c r="AB78" s="132" t="str">
        <f t="shared" si="88"/>
        <v/>
      </c>
      <c r="AC78" s="132" t="str">
        <f t="shared" si="88"/>
        <v/>
      </c>
      <c r="AD78" s="132" t="str">
        <f t="shared" si="88"/>
        <v/>
      </c>
      <c r="AE78" s="132" t="str">
        <f t="shared" si="88"/>
        <v/>
      </c>
      <c r="AF78" s="132" t="str">
        <f t="shared" si="88"/>
        <v/>
      </c>
      <c r="AG78" s="132" t="str">
        <f t="shared" si="88"/>
        <v/>
      </c>
      <c r="AH78" s="132" t="str">
        <f t="shared" si="88"/>
        <v/>
      </c>
      <c r="AI78" s="132" t="str">
        <f t="shared" si="88"/>
        <v/>
      </c>
      <c r="AJ78" s="132" t="str">
        <f t="shared" si="88"/>
        <v/>
      </c>
      <c r="AK78" s="132" t="str">
        <f t="shared" si="88"/>
        <v/>
      </c>
      <c r="AL78" s="132" t="str">
        <f t="shared" si="88"/>
        <v/>
      </c>
      <c r="AM78" s="132" t="str">
        <f t="shared" si="88"/>
        <v/>
      </c>
      <c r="AN78" s="134" t="str">
        <f t="shared" si="88"/>
        <v/>
      </c>
      <c r="AO78" s="138" t="str">
        <f t="shared" si="88"/>
        <v/>
      </c>
      <c r="AP78" s="135" t="str">
        <f t="shared" si="88"/>
        <v/>
      </c>
      <c r="AQ78" s="135" t="str">
        <f t="shared" si="88"/>
        <v/>
      </c>
      <c r="AR78" s="135" t="str">
        <f t="shared" si="88"/>
        <v/>
      </c>
      <c r="AS78" s="135" t="str">
        <f t="shared" si="88"/>
        <v/>
      </c>
      <c r="AT78" s="135" t="str">
        <f t="shared" si="88"/>
        <v/>
      </c>
      <c r="AU78" s="136" t="str">
        <f t="shared" si="88"/>
        <v/>
      </c>
      <c r="AV78" s="137" t="str">
        <f t="shared" si="88"/>
        <v/>
      </c>
    </row>
    <row r="79" spans="1:48" hidden="1" x14ac:dyDescent="0.3">
      <c r="A79" s="53" t="str">
        <f t="shared" ref="A79" si="89">+IF(C79+C80=0,"[ocultar]","")</f>
        <v>[ocultar]</v>
      </c>
      <c r="B79" s="57" t="s">
        <v>162</v>
      </c>
      <c r="C79" s="56">
        <f t="array" ref="C79">SUM(IF($B79=DATOS_[Sexo],
IF($B78=DATOS_[AGRUP. VALOR. PTO.],
IF("Dentro"=DATOS_[Check Periodo Ref.],
1/(COUNTIFS(DATOS_[Sexo],$B79,DATOS_[AGRUP. VALOR. PTO.],$B78,DATOS_[Check Periodo Ref.],"Dentro",DATOS_[id],DATOS_[id]))))))</f>
        <v>0</v>
      </c>
      <c r="D79" s="58">
        <f>COUNTIFS(DATOS_[AGRUP. VALOR. PTO.],$B78,DATOS_[Sexo],$B79,DATOS_[Check Periodo Ref.],"Dentro")</f>
        <v>0</v>
      </c>
      <c r="E79" s="58">
        <f>COUNTIFS(DATOS_[AGRUP. VALOR. PTO.],$B78,DATOS_[Sexo],$B79,DATOS_[Check Periodo Ref.],"Dentro",DATOS_[Check Nº SC Norm],"Sí")</f>
        <v>0</v>
      </c>
      <c r="F79" s="58">
        <f>COUNTIFS(DATOS_[AGRUP. VALOR. PTO.],$B78,DATOS_[Sexo],$B79,DATOS_[Check Periodo Ref.],"Dentro",DATOS_[Check Nº SC Anualiz],"Sí")</f>
        <v>0</v>
      </c>
      <c r="G79" s="58">
        <f>COUNTIFS(DATOS_[AGRUP. VALOR. PTO.],$B78,DATOS_[Sexo],$B79,DATOS_[Check Periodo Ref.],"Dentro",DATOS_[Check Nº SC Norm y Anualiz],"Sí")</f>
        <v>0</v>
      </c>
      <c r="H79" s="58">
        <f>COUNTIFS(DATOS_[AGRUP. VALOR. PTO.],$B78,DATOS_[Sexo],$B79,DATOS_[Check Periodo Ref.],"Dentro",DATOS_[Check Equiparación],"Sí")</f>
        <v>0</v>
      </c>
      <c r="I79" s="100">
        <f t="array" ref="I79">IFERROR(
AVERAGE(IF(DATOS_[Sexo]=$B79,IF(DATOS_[[AGRUP. VALOR. PTO.]:[AGRUP. VALOR. PTO.]]=$B78,IF(DATOS_[Check Equiparado]="Sí",IF(DATOS_[Check Periodo Ref.]="Dentro",DATOS_[SALARIO BASE Eq],FALSE))))),
0)</f>
        <v>0</v>
      </c>
      <c r="J79" s="101">
        <f t="array" ref="J79">IFERROR(
(AVERAGE((IF(DATOS_[[Sexo]:[Sexo]]=$B79,IF(DATOS_[[AGRUP. VALOR. PTO.]:[AGRUP. VALOR. PTO.]]=$B78,IF(DATOS_[[Check Periodo Ref.]:[Check Periodo Ref.]]="Dentro",IF(DATOS_[[Check Equiparado]:[Check Equiparado]]="Sí",IF(DATOS!AE$5="Sí",(1/DATOS_[[% anualiz]:[% anualiz]]),1)*IF(DATOS!AE$4="Sí",1/DATOS_[[% normaliz]:[% normaliz]],1)*(DATOS_[Conc.Sal.01])))))))),
0)</f>
        <v>0</v>
      </c>
      <c r="K79" s="101">
        <f t="array" ref="K79">IFERROR(
(AVERAGE((IF(DATOS_[[Sexo]:[Sexo]]=$B79,IF(DATOS_[[AGRUP. VALOR. PTO.]:[AGRUP. VALOR. PTO.]]=$B78,IF(DATOS_[[Check Periodo Ref.]:[Check Periodo Ref.]]="Dentro",IF(DATOS_[[Check Equiparado]:[Check Equiparado]]="Sí",IF(DATOS!AF$5="Sí",(1/DATOS_[[% anualiz]:[% anualiz]]),1)*IF(DATOS!AF$4="Sí",1/DATOS_[[% normaliz]:[% normaliz]],1)*(DATOS_[Conc.Sal.02])))))))),
0)</f>
        <v>0</v>
      </c>
      <c r="L79" s="101">
        <f t="array" ref="L79">IFERROR(
(AVERAGE((IF(DATOS_[[Sexo]:[Sexo]]=$B79,IF(DATOS_[[AGRUP. VALOR. PTO.]:[AGRUP. VALOR. PTO.]]=$B78,IF(DATOS_[[Check Periodo Ref.]:[Check Periodo Ref.]]="Dentro",IF(DATOS_[[Check Equiparado]:[Check Equiparado]]="Sí",IF(DATOS!AG$5="Sí",(1/DATOS_[[% anualiz]:[% anualiz]]),1)*IF(DATOS!AG$4="Sí",1/DATOS_[[% normaliz]:[% normaliz]],1)*(DATOS_[Conc.Sal.03])))))))),
0)</f>
        <v>0</v>
      </c>
      <c r="M79" s="101">
        <f t="array" ref="M79">IFERROR(
(AVERAGE((IF(DATOS_[[Sexo]:[Sexo]]=$B79,IF(DATOS_[[AGRUP. VALOR. PTO.]:[AGRUP. VALOR. PTO.]]=$B78,IF(DATOS_[[Check Periodo Ref.]:[Check Periodo Ref.]]="Dentro",IF(DATOS_[[Check Equiparado]:[Check Equiparado]]="Sí",IF(DATOS!AH$5="Sí",(1/DATOS_[[% anualiz]:[% anualiz]]),1)*IF(DATOS!AH$4="Sí",1/DATOS_[[% normaliz]:[% normaliz]],1)*(DATOS_[Conc.Sal.04])))))))),
0)</f>
        <v>0</v>
      </c>
      <c r="N79" s="101">
        <f t="array" ref="N79">IFERROR(
(AVERAGE((IF(DATOS_[[Sexo]:[Sexo]]=$B79,IF(DATOS_[[AGRUP. VALOR. PTO.]:[AGRUP. VALOR. PTO.]]=$B78,IF(DATOS_[[Check Periodo Ref.]:[Check Periodo Ref.]]="Dentro",IF(DATOS_[[Check Equiparado]:[Check Equiparado]]="Sí",IF(DATOS!AI$5="Sí",(1/DATOS_[[% anualiz]:[% anualiz]]),1)*IF(DATOS!AI$4="Sí",1/DATOS_[[% normaliz]:[% normaliz]],1)*(DATOS_[Conc.Sal.05])))))))),
0)</f>
        <v>0</v>
      </c>
      <c r="O79" s="101">
        <f t="array" ref="O79">IFERROR(
(AVERAGE((IF(DATOS_[[Sexo]:[Sexo]]=$B79,IF(DATOS_[[AGRUP. VALOR. PTO.]:[AGRUP. VALOR. PTO.]]=$B78,IF(DATOS_[[Check Periodo Ref.]:[Check Periodo Ref.]]="Dentro",IF(DATOS_[[Check Equiparado]:[Check Equiparado]]="Sí",IF(DATOS!AJ$5="Sí",(1/DATOS_[[% anualiz]:[% anualiz]]),1)*IF(DATOS!AJ$4="Sí",1/DATOS_[[% normaliz]:[% normaliz]],1)*(DATOS_[Conc.Sal.06])))))))),
0)</f>
        <v>0</v>
      </c>
      <c r="P79" s="101">
        <f t="array" ref="P79">IFERROR(
(AVERAGE((IF(DATOS_[[Sexo]:[Sexo]]=$B79,IF(DATOS_[[AGRUP. VALOR. PTO.]:[AGRUP. VALOR. PTO.]]=$B78,IF(DATOS_[[Check Periodo Ref.]:[Check Periodo Ref.]]="Dentro",IF(DATOS_[[Check Equiparado]:[Check Equiparado]]="Sí",IF(DATOS!AK$5="Sí",(1/DATOS_[[% anualiz]:[% anualiz]]),1)*IF(DATOS!AK$4="Sí",1/DATOS_[[% normaliz]:[% normaliz]],1)*(DATOS_[Conc.Sal.07])))))))),
0)</f>
        <v>0</v>
      </c>
      <c r="Q79" s="101">
        <f t="array" ref="Q79">IFERROR(
(AVERAGE((IF(DATOS_[[Sexo]:[Sexo]]=$B79,IF(DATOS_[[AGRUP. VALOR. PTO.]:[AGRUP. VALOR. PTO.]]=$B78,IF(DATOS_[[Check Periodo Ref.]:[Check Periodo Ref.]]="Dentro",IF(DATOS_[[Check Equiparado]:[Check Equiparado]]="Sí",IF(DATOS!AL$5="Sí",(1/DATOS_[[% anualiz]:[% anualiz]]),1)*IF(DATOS!AL$4="Sí",1/DATOS_[[% normaliz]:[% normaliz]],1)*(DATOS_[Conc.Sal.08])))))))),
0)</f>
        <v>0</v>
      </c>
      <c r="R79" s="101">
        <f t="array" ref="R79">IFERROR(
(AVERAGE((IF(DATOS_[[Sexo]:[Sexo]]=$B79,IF(DATOS_[[AGRUP. VALOR. PTO.]:[AGRUP. VALOR. PTO.]]=$B78,IF(DATOS_[[Check Periodo Ref.]:[Check Periodo Ref.]]="Dentro",IF(DATOS_[[Check Equiparado]:[Check Equiparado]]="Sí",IF(DATOS!AM$5="Sí",(1/DATOS_[[% anualiz]:[% anualiz]]),1)*IF(DATOS!AM$4="Sí",1/DATOS_[[% normaliz]:[% normaliz]],1)*(DATOS_[Conc.Sal.09])))))))),
0)</f>
        <v>0</v>
      </c>
      <c r="S79" s="101">
        <f t="array" ref="S79">IFERROR(
(AVERAGE((IF(DATOS_[[Sexo]:[Sexo]]=$B79,IF(DATOS_[[AGRUP. VALOR. PTO.]:[AGRUP. VALOR. PTO.]]=$B78,IF(DATOS_[[Check Periodo Ref.]:[Check Periodo Ref.]]="Dentro",IF(DATOS_[[Check Equiparado]:[Check Equiparado]]="Sí",IF(DATOS!AN$5="Sí",(1/DATOS_[[% anualiz]:[% anualiz]]),1)*IF(DATOS!AN$4="Sí",1/DATOS_[[% normaliz]:[% normaliz]],1)*(DATOS_[Conc.Sal.10])))))))),
0)</f>
        <v>0</v>
      </c>
      <c r="T79" s="101">
        <f t="array" ref="T79">IFERROR(
(AVERAGE((IF(DATOS_[[Sexo]:[Sexo]]=$B79,IF(DATOS_[[AGRUP. VALOR. PTO.]:[AGRUP. VALOR. PTO.]]=$B78,IF(DATOS_[[Check Periodo Ref.]:[Check Periodo Ref.]]="Dentro",IF(DATOS_[[Check Equiparado]:[Check Equiparado]]="Sí",IF(DATOS!AO$5="Sí",(1/DATOS_[[% anualiz]:[% anualiz]]),1)*IF(DATOS!AO$4="Sí",1/DATOS_[[% normaliz]:[% normaliz]],1)*(DATOS_[Conc.Sal.11])))))))),
0)</f>
        <v>0</v>
      </c>
      <c r="U79" s="101">
        <f t="array" ref="U79">IFERROR(
(AVERAGE((IF(DATOS_[[Sexo]:[Sexo]]=$B79,IF(DATOS_[[AGRUP. VALOR. PTO.]:[AGRUP. VALOR. PTO.]]=$B78,IF(DATOS_[[Check Periodo Ref.]:[Check Periodo Ref.]]="Dentro",IF(DATOS_[[Check Equiparado]:[Check Equiparado]]="Sí",IF(DATOS!AP$5="Sí",(1/DATOS_[[% anualiz]:[% anualiz]]),1)*IF(DATOS!AP$4="Sí",1/DATOS_[[% normaliz]:[% normaliz]],1)*(DATOS_[Conc.Sal.12])))))))),
0)</f>
        <v>0</v>
      </c>
      <c r="V79" s="101">
        <f t="array" ref="V79">IFERROR(
(AVERAGE((IF(DATOS_[[Sexo]:[Sexo]]=$B79,IF(DATOS_[[AGRUP. VALOR. PTO.]:[AGRUP. VALOR. PTO.]]=$B78,IF(DATOS_[[Check Periodo Ref.]:[Check Periodo Ref.]]="Dentro",IF(DATOS_[[Check Equiparado]:[Check Equiparado]]="Sí",IF(DATOS!AQ$5="Sí",(1/DATOS_[[% anualiz]:[% anualiz]]),1)*IF(DATOS!AQ$4="Sí",1/DATOS_[[% normaliz]:[% normaliz]],1)*(DATOS_[Conc.Sal.13])))))))),
0)</f>
        <v>0</v>
      </c>
      <c r="W79" s="101">
        <f t="array" ref="W79">IFERROR(
(AVERAGE((IF(DATOS_[[Sexo]:[Sexo]]=$B79,IF(DATOS_[[AGRUP. VALOR. PTO.]:[AGRUP. VALOR. PTO.]]=$B78,IF(DATOS_[[Check Periodo Ref.]:[Check Periodo Ref.]]="Dentro",IF(DATOS_[[Check Equiparado]:[Check Equiparado]]="Sí",IF(DATOS!AR$5="Sí",(1/DATOS_[[% anualiz]:[% anualiz]]),1)*IF(DATOS!AR$4="Sí",1/DATOS_[[% normaliz]:[% normaliz]],1)*(DATOS_[Conc.Sal.14])))))))),
0)</f>
        <v>0</v>
      </c>
      <c r="X79" s="101">
        <f t="array" ref="X79">IFERROR(
(AVERAGE((IF(DATOS_[[Sexo]:[Sexo]]=$B79,IF(DATOS_[[AGRUP. VALOR. PTO.]:[AGRUP. VALOR. PTO.]]=$B78,IF(DATOS_[[Check Periodo Ref.]:[Check Periodo Ref.]]="Dentro",IF(DATOS_[[Check Equiparado]:[Check Equiparado]]="Sí",IF(DATOS!AS$5="Sí",(1/DATOS_[[% anualiz]:[% anualiz]]),1)*IF(DATOS!AS$4="Sí",1/DATOS_[[% normaliz]:[% normaliz]],1)*(DATOS_[Conc.Sal.15])))))))),
0)</f>
        <v>0</v>
      </c>
      <c r="Y79" s="101">
        <f t="array" ref="Y79">IFERROR(
(AVERAGE((IF(DATOS_[[Sexo]:[Sexo]]=$B79,IF(DATOS_[[AGRUP. VALOR. PTO.]:[AGRUP. VALOR. PTO.]]=$B78,IF(DATOS_[[Check Periodo Ref.]:[Check Periodo Ref.]]="Dentro",IF(DATOS_[[Check Equiparado]:[Check Equiparado]]="Sí",IF(DATOS!AT$5="Sí",(1/DATOS_[[% anualiz]:[% anualiz]]),1)*IF(DATOS!AT$4="Sí",1/DATOS_[[% normaliz]:[% normaliz]],1)*(DATOS_[Conc.Sal.16])))))))),
0)</f>
        <v>0</v>
      </c>
      <c r="Z79" s="101">
        <f t="array" ref="Z79">IFERROR(
(AVERAGE((IF(DATOS_[[Sexo]:[Sexo]]=$B79,IF(DATOS_[[AGRUP. VALOR. PTO.]:[AGRUP. VALOR. PTO.]]=$B78,IF(DATOS_[[Check Periodo Ref.]:[Check Periodo Ref.]]="Dentro",IF(DATOS_[[Check Equiparado]:[Check Equiparado]]="Sí",IF(DATOS!AU$5="Sí",(1/DATOS_[[% anualiz]:[% anualiz]]),1)*IF(DATOS!AU$4="Sí",1/DATOS_[[% normaliz]:[% normaliz]],1)*(DATOS_[Conc.Sal.17])))))))),
0)</f>
        <v>0</v>
      </c>
      <c r="AA79" s="101">
        <f t="array" ref="AA79">IFERROR(
(AVERAGE((IF(DATOS_[[Sexo]:[Sexo]]=$B79,IF(DATOS_[[AGRUP. VALOR. PTO.]:[AGRUP. VALOR. PTO.]]=$B78,IF(DATOS_[[Check Periodo Ref.]:[Check Periodo Ref.]]="Dentro",IF(DATOS_[[Check Equiparado]:[Check Equiparado]]="Sí",IF(DATOS!AV$5="Sí",(1/DATOS_[[% anualiz]:[% anualiz]]),1)*IF(DATOS!AV$4="Sí",1/DATOS_[[% normaliz]:[% normaliz]],1)*(DATOS_[Conc.Sal.18])))))))),
0)</f>
        <v>0</v>
      </c>
      <c r="AB79" s="101">
        <f t="array" ref="AB79">IFERROR(
(AVERAGE((IF(DATOS_[[Sexo]:[Sexo]]=$B79,IF(DATOS_[[AGRUP. VALOR. PTO.]:[AGRUP. VALOR. PTO.]]=$B78,IF(DATOS_[[Check Periodo Ref.]:[Check Periodo Ref.]]="Dentro",IF(DATOS_[[Check Equiparado]:[Check Equiparado]]="Sí",IF(DATOS!AW$5="Sí",(1/DATOS_[[% anualiz]:[% anualiz]]),1)*IF(DATOS!AW$4="Sí",1/DATOS_[[% normaliz]:[% normaliz]],1)*(DATOS_[Conc.Sal.19])))))))),
0)</f>
        <v>0</v>
      </c>
      <c r="AC79" s="101">
        <f t="array" ref="AC79">IFERROR(
(AVERAGE((IF(DATOS_[[Sexo]:[Sexo]]=$B79,IF(DATOS_[[AGRUP. VALOR. PTO.]:[AGRUP. VALOR. PTO.]]=$B78,IF(DATOS_[[Check Periodo Ref.]:[Check Periodo Ref.]]="Dentro",IF(DATOS_[[Check Equiparado]:[Check Equiparado]]="Sí",IF(DATOS!AX$5="Sí",(1/DATOS_[[% anualiz]:[% anualiz]]),1)*IF(DATOS!AX$4="Sí",1/DATOS_[[% normaliz]:[% normaliz]],1)*(DATOS_[Conc.Sal.20])))))))),
0)</f>
        <v>0</v>
      </c>
      <c r="AD79" s="101">
        <f t="array" ref="AD79">IFERROR(
(AVERAGE((IF(DATOS_[[Sexo]:[Sexo]]=$B79,IF(DATOS_[[AGRUP. VALOR. PTO.]:[AGRUP. VALOR. PTO.]]=$B78,IF(DATOS_[[Check Periodo Ref.]:[Check Periodo Ref.]]="Dentro",IF(DATOS_[[Check Equiparado]:[Check Equiparado]]="Sí",IF(DATOS!AY$5="Sí",(1/DATOS_[[% anualiz]:[% anualiz]]),1)*IF(DATOS!AY$4="Sí",1/DATOS_[[% normaliz]:[% normaliz]],1)*(DATOS_[Conc.Sal.21])))))))),
0)</f>
        <v>0</v>
      </c>
      <c r="AE79" s="101">
        <f t="array" ref="AE79">IFERROR(
(AVERAGE((IF(DATOS_[[Sexo]:[Sexo]]=$B79,IF(DATOS_[[AGRUP. VALOR. PTO.]:[AGRUP. VALOR. PTO.]]=$B78,IF(DATOS_[[Check Periodo Ref.]:[Check Periodo Ref.]]="Dentro",IF(DATOS_[[Check Equiparado]:[Check Equiparado]]="Sí",IF(DATOS!AZ$5="Sí",(1/DATOS_[[% anualiz]:[% anualiz]]),1)*IF(DATOS!AZ$4="Sí",1/DATOS_[[% normaliz]:[% normaliz]],1)*(DATOS_[Conc.Sal.22])))))))),
0)</f>
        <v>0</v>
      </c>
      <c r="AF79" s="101">
        <f t="array" ref="AF79">IFERROR(
(AVERAGE((IF(DATOS_[[Sexo]:[Sexo]]=$B79,IF(DATOS_[[AGRUP. VALOR. PTO.]:[AGRUP. VALOR. PTO.]]=$B78,IF(DATOS_[[Check Periodo Ref.]:[Check Periodo Ref.]]="Dentro",IF(DATOS_[[Check Equiparado]:[Check Equiparado]]="Sí",IF(DATOS!BA$5="Sí",(1/DATOS_[[% anualiz]:[% anualiz]]),1)*IF(DATOS!BA$4="Sí",1/DATOS_[[% normaliz]:[% normaliz]],1)*(DATOS_[Conc.Sal.23])))))))),
0)</f>
        <v>0</v>
      </c>
      <c r="AG79" s="101">
        <f t="array" ref="AG79">IFERROR(
(AVERAGE((IF(DATOS_[[Sexo]:[Sexo]]=$B79,IF(DATOS_[[AGRUP. VALOR. PTO.]:[AGRUP. VALOR. PTO.]]=$B78,IF(DATOS_[[Check Periodo Ref.]:[Check Periodo Ref.]]="Dentro",IF(DATOS_[[Check Equiparado]:[Check Equiparado]]="Sí",IF(DATOS!BB$5="Sí",(1/DATOS_[[% anualiz]:[% anualiz]]),1)*IF(DATOS!BB$4="Sí",1/DATOS_[[% normaliz]:[% normaliz]],1)*(DATOS_[Conc.Sal.24])))))))),
0)</f>
        <v>0</v>
      </c>
      <c r="AH79" s="101">
        <f t="array" ref="AH79">IFERROR(
(AVERAGE((IF(DATOS_[[Sexo]:[Sexo]]=$B79,IF(DATOS_[[AGRUP. VALOR. PTO.]:[AGRUP. VALOR. PTO.]]=$B78,IF(DATOS_[[Check Periodo Ref.]:[Check Periodo Ref.]]="Dentro",IF(DATOS_[[Check Equiparado]:[Check Equiparado]]="Sí",IF(DATOS!BC$5="Sí",(1/DATOS_[[% anualiz]:[% anualiz]]),1)*IF(DATOS!BC$4="Sí",1/DATOS_[[% normaliz]:[% normaliz]],1)*(DATOS_[Conc.Sal.25])))))))),
0)</f>
        <v>0</v>
      </c>
      <c r="AI79" s="101">
        <f t="array" ref="AI79">IFERROR(
(AVERAGE((IF(DATOS_[[Sexo]:[Sexo]]=$B79,IF(DATOS_[[AGRUP. VALOR. PTO.]:[AGRUP. VALOR. PTO.]]=$B78,IF(DATOS_[[Check Periodo Ref.]:[Check Periodo Ref.]]="Dentro",IF(DATOS_[[Check Equiparado]:[Check Equiparado]]="Sí",IF(DATOS!BD$5="Sí",(1/DATOS_[[% anualiz]:[% anualiz]]),1)*IF(DATOS!BD$4="Sí",1/DATOS_[[% normaliz]:[% normaliz]],1)*(DATOS_[Conc.Sal.26])))))))),
0)</f>
        <v>0</v>
      </c>
      <c r="AJ79" s="101">
        <f t="array" ref="AJ79">IFERROR(
(AVERAGE((IF(DATOS_[[Sexo]:[Sexo]]=$B79,IF(DATOS_[[AGRUP. VALOR. PTO.]:[AGRUP. VALOR. PTO.]]=$B78,IF(DATOS_[[Check Periodo Ref.]:[Check Periodo Ref.]]="Dentro",IF(DATOS_[[Check Equiparado]:[Check Equiparado]]="Sí",IF(DATOS!BE$5="Sí",(1/DATOS_[[% anualiz]:[% anualiz]]),1)*IF(DATOS!BE$4="Sí",1/DATOS_[[% normaliz]:[% normaliz]],1)*(DATOS_[Conc.Sal.27])))))))),
0)</f>
        <v>0</v>
      </c>
      <c r="AK79" s="101">
        <f t="array" ref="AK79">IFERROR(
(AVERAGE((IF(DATOS_[[Sexo]:[Sexo]]=$B79,IF(DATOS_[[AGRUP. VALOR. PTO.]:[AGRUP. VALOR. PTO.]]=$B78,IF(DATOS_[[Check Periodo Ref.]:[Check Periodo Ref.]]="Dentro",IF(DATOS_[[Check Equiparado]:[Check Equiparado]]="Sí",IF(DATOS!BF$5="Sí",(1/DATOS_[[% anualiz]:[% anualiz]]),1)*IF(DATOS!BF$4="Sí",1/DATOS_[[% normaliz]:[% normaliz]],1)*(DATOS_[Conc.Sal.28])))))))),
0)</f>
        <v>0</v>
      </c>
      <c r="AL79" s="101">
        <f t="array" ref="AL79">IFERROR(
(AVERAGE((IF(DATOS_[[Sexo]:[Sexo]]=$B79,IF(DATOS_[[AGRUP. VALOR. PTO.]:[AGRUP. VALOR. PTO.]]=$B78,IF(DATOS_[[Check Periodo Ref.]:[Check Periodo Ref.]]="Dentro",IF(DATOS_[[Check Equiparado]:[Check Equiparado]]="Sí",IF(DATOS!BG$5="Sí",(1/DATOS_[[% anualiz]:[% anualiz]]),1)*IF(DATOS!BG$4="Sí",1/DATOS_[[% normaliz]:[% normaliz]],1)*(DATOS_[Conc.Sal.29])))))))),
0)</f>
        <v>0</v>
      </c>
      <c r="AM79" s="101">
        <f t="array" ref="AM79">IFERROR(
(AVERAGE((IF(DATOS_[[Sexo]:[Sexo]]=$B79,IF(DATOS_[[AGRUP. VALOR. PTO.]:[AGRUP. VALOR. PTO.]]=$B78,IF(DATOS_[[Check Periodo Ref.]:[Check Periodo Ref.]]="Dentro",IF(DATOS_[[Check Equiparado]:[Check Equiparado]]="Sí",IF(DATOS!BH$5="Sí",(1/DATOS_[[% anualiz]:[% anualiz]]),1)*IF(DATOS!BH$4="Sí",1/DATOS_[[% normaliz]:[% normaliz]],1)*(DATOS_[Conc.Sal.30])))))))),
0)</f>
        <v>0</v>
      </c>
      <c r="AN79" s="102">
        <f t="array" ref="AN79">IFERROR(
AVERAGE(IF(DATOS_[Sexo]=$B79,IF(DATOS_[[AGRUP. VALOR. PTO.]:[AGRUP. VALOR. PTO.]]=$B78,IF(DATOS_[Check Equiparado]="Sí",IF(DATOS_[Check Periodo Ref.]="Dentro",DATOS_[Tot COMPL.SAL Eq],FALSE))))),
0)</f>
        <v>0</v>
      </c>
      <c r="AO79" s="103">
        <f t="array" ref="AO79">IFERROR(
AVERAGE(IF(DATOS_[Sexo]=$B79,IF(DATOS_[[AGRUP. VALOR. PTO.]:[AGRUP. VALOR. PTO.]]=$B78,IF(DATOS_[Check Equiparado]="Sí",IF(DATOS_[Check Periodo Ref.]="Dentro",DATOS_[TOTAL SALARIO Eq],FALSE))))),
0)</f>
        <v>0</v>
      </c>
      <c r="AP79" s="104">
        <f t="array" ref="AP79">IFERROR(
(AVERAGE((IF(DATOS_[[Sexo]:[Sexo]]=$B79,IF(DATOS_[[AGRUP. VALOR. PTO.]:[AGRUP. VALOR. PTO.]]=$B78,IF(DATOS_[[Check Periodo Ref.]:[Check Periodo Ref.]]="Dentro",IF(DATOS_[[Check Equiparado]:[Check Equiparado]]="Sí",IF(DATOS!BI$5="Sí",(1/DATOS_[[% anualiz]:[% anualiz]]),1)*IF(DATOS!BI$4="Sí",1/DATOS_[[% normaliz]:[% normaliz]],1)*(DATOS_[C.Extra.01])))))))),
0)</f>
        <v>0</v>
      </c>
      <c r="AQ79" s="104">
        <f t="array" ref="AQ79">IFERROR(
(AVERAGE((IF(DATOS_[[Sexo]:[Sexo]]=$B79,IF(DATOS_[[AGRUP. VALOR. PTO.]:[AGRUP. VALOR. PTO.]]=$B78,IF(DATOS_[[Check Periodo Ref.]:[Check Periodo Ref.]]="Dentro",IF(DATOS_[[Check Equiparado]:[Check Equiparado]]="Sí",IF(DATOS!BJ$5="Sí",(1/DATOS_[[% anualiz]:[% anualiz]]),1)*IF(DATOS!BJ$4="Sí",1/DATOS_[[% normaliz]:[% normaliz]],1)*(DATOS_[C.Extra.02])))))))),
0)</f>
        <v>0</v>
      </c>
      <c r="AR79" s="104">
        <f t="array" ref="AR79">IFERROR(
(AVERAGE((IF(DATOS_[[Sexo]:[Sexo]]=$B79,IF(DATOS_[[AGRUP. VALOR. PTO.]:[AGRUP. VALOR. PTO.]]=$B78,IF(DATOS_[[Check Periodo Ref.]:[Check Periodo Ref.]]="Dentro",IF(DATOS_[[Check Equiparado]:[Check Equiparado]]="Sí",IF(DATOS!BK$5="Sí",(1/DATOS_[[% anualiz]:[% anualiz]]),1)*IF(DATOS!BK$4="Sí",1/DATOS_[[% normaliz]:[% normaliz]],1)*(DATOS_[C.Extra.03])))))))),
0)</f>
        <v>0</v>
      </c>
      <c r="AS79" s="104">
        <f t="array" ref="AS79">IFERROR(
(AVERAGE((IF(DATOS_[[Sexo]:[Sexo]]=$B79,IF(DATOS_[[AGRUP. VALOR. PTO.]:[AGRUP. VALOR. PTO.]]=$B78,IF(DATOS_[[Check Periodo Ref.]:[Check Periodo Ref.]]="Dentro",IF(DATOS_[[Check Equiparado]:[Check Equiparado]]="Sí",IF(DATOS!BL$5="Sí",(1/DATOS_[[% anualiz]:[% anualiz]]),1)*IF(DATOS!BL$4="Sí",1/DATOS_[[% normaliz]:[% normaliz]],1)*(DATOS_[C.Extra.04])))))))),
0)</f>
        <v>0</v>
      </c>
      <c r="AT79" s="104">
        <f t="array" ref="AT79">IFERROR(
(AVERAGE((IF(DATOS_[[Sexo]:[Sexo]]=$B79,IF(DATOS_[[AGRUP. VALOR. PTO.]:[AGRUP. VALOR. PTO.]]=$B78,IF(DATOS_[[Check Periodo Ref.]:[Check Periodo Ref.]]="Dentro",IF(DATOS_[[Check Equiparado]:[Check Equiparado]]="Sí",IF(DATOS!BM$5="Sí",(1/DATOS_[[% anualiz]:[% anualiz]]),1)*IF(DATOS!BM$4="Sí",1/DATOS_[[% normaliz]:[% normaliz]],1)*(DATOS_[C.Extra.05])))))))),
0)</f>
        <v>0</v>
      </c>
      <c r="AU79" s="105">
        <f t="array" ref="AU79">IFERROR(
AVERAGE(IF(DATOS_[Sexo]=$B79,IF(DATOS_[[AGRUP. VALOR. PTO.]:[AGRUP. VALOR. PTO.]]=$B78,IF(DATOS_[Check Equiparado]="Sí",IF(DATOS_[Check Periodo Ref.]="Dentro",DATOS_[Tot Extrasalarial Eq],FALSE))))),
0)</f>
        <v>0</v>
      </c>
      <c r="AV79" s="106">
        <f t="array" ref="AV79">IFERROR(
AVERAGE(IF(DATOS_[Sexo]=$B79,IF(DATOS_[[AGRUP. VALOR. PTO.]:[AGRUP. VALOR. PTO.]]=$B78,IF(DATOS_[Check Equiparado]="Sí",IF(DATOS_[Check Periodo Ref.]="Dentro",DATOS_[TOTAL Retrib Eq],FALSE))))),
0)</f>
        <v>0</v>
      </c>
    </row>
    <row r="80" spans="1:48" hidden="1" x14ac:dyDescent="0.3">
      <c r="A80" s="53" t="str">
        <f t="shared" ref="A80" si="90">+A79</f>
        <v>[ocultar]</v>
      </c>
      <c r="B80" s="57" t="s">
        <v>163</v>
      </c>
      <c r="C80" s="56">
        <f t="array" ref="C80">SUM(IF($B80=DATOS_[Sexo],
IF($B78=DATOS_[AGRUP. VALOR. PTO.],
IF("Dentro"=DATOS_[Check Periodo Ref.],
1/(COUNTIFS(DATOS_[Sexo],$B80,DATOS_[AGRUP. VALOR. PTO.],$B78,DATOS_[Check Periodo Ref.],"Dentro",DATOS_[id],DATOS_[id]))))))</f>
        <v>0</v>
      </c>
      <c r="D80" s="58">
        <f>COUNTIFS(DATOS_[AGRUP. VALOR. PTO.],$B78,DATOS_[Sexo],$B80,DATOS_[Check Periodo Ref.],"Dentro")</f>
        <v>0</v>
      </c>
      <c r="E80" s="58">
        <f>COUNTIFS(DATOS_[AGRUP. VALOR. PTO.],$B78,DATOS_[Sexo],$B80,DATOS_[Check Periodo Ref.],"Dentro",DATOS_[Check Nº SC Norm],"Sí")</f>
        <v>0</v>
      </c>
      <c r="F80" s="58">
        <f>COUNTIFS(DATOS_[AGRUP. VALOR. PTO.],$B78,DATOS_[Sexo],$B80,DATOS_[Check Periodo Ref.],"Dentro",DATOS_[Check Nº SC Anualiz],"Sí")</f>
        <v>0</v>
      </c>
      <c r="G80" s="58">
        <f>COUNTIFS(DATOS_[AGRUP. VALOR. PTO.],$B78,DATOS_[Sexo],$B80,DATOS_[Check Periodo Ref.],"Dentro",DATOS_[Check Nº SC Norm y Anualiz],"Sí")</f>
        <v>0</v>
      </c>
      <c r="H80" s="58">
        <f>COUNTIFS(DATOS_[AGRUP. VALOR. PTO.],$B78,DATOS_[Sexo],$B80,DATOS_[Check Periodo Ref.],"Dentro",DATOS_[Check Equiparación],"Sí")</f>
        <v>0</v>
      </c>
      <c r="I80" s="100" cm="1">
        <f t="array" ref="I80">IFERROR(
AVERAGE(IF(DATOS_[Sexo]=$B80,IF(DATOS_[[AGRUP. VALOR. PTO.]:[AGRUP. VALOR. PTO.]]=$B78,IF(DATOS_[Check Equiparado]="Sí",IF(DATOS_[Check Periodo Ref.]="Dentro",DATOS_[SALARIO BASE Eq],FALSE))))),
0)</f>
        <v>0</v>
      </c>
      <c r="J80" s="101">
        <f t="array" ref="J80">IFERROR(
(AVERAGE((IF(DATOS_[[Sexo]:[Sexo]]=$B80,IF(DATOS_[[AGRUP. VALOR. PTO.]:[AGRUP. VALOR. PTO.]]=$B78,IF(DATOS_[[Check Periodo Ref.]:[Check Periodo Ref.]]="Dentro",IF(DATOS_[[Check Equiparado]:[Check Equiparado]]="Sí",IF(DATOS!AE$5="Sí",(1/DATOS_[[% anualiz]:[% anualiz]]),1)*IF(DATOS!AE$4="Sí",1/DATOS_[[% normaliz]:[% normaliz]],1)*(DATOS_[Conc.Sal.01])))))))),
0)</f>
        <v>0</v>
      </c>
      <c r="K80" s="101">
        <f t="array" ref="K80">IFERROR(
(AVERAGE((IF(DATOS_[[Sexo]:[Sexo]]=$B80,IF(DATOS_[[AGRUP. VALOR. PTO.]:[AGRUP. VALOR. PTO.]]=$B78,IF(DATOS_[[Check Periodo Ref.]:[Check Periodo Ref.]]="Dentro",IF(DATOS_[[Check Equiparado]:[Check Equiparado]]="Sí",IF(DATOS!AF$5="Sí",(1/DATOS_[[% anualiz]:[% anualiz]]),1)*IF(DATOS!AF$4="Sí",1/DATOS_[[% normaliz]:[% normaliz]],1)*(DATOS_[Conc.Sal.02])))))))),
0)</f>
        <v>0</v>
      </c>
      <c r="L80" s="101">
        <f t="array" ref="L80">IFERROR(
(AVERAGE((IF(DATOS_[[Sexo]:[Sexo]]=$B80,IF(DATOS_[[AGRUP. VALOR. PTO.]:[AGRUP. VALOR. PTO.]]=$B78,IF(DATOS_[[Check Periodo Ref.]:[Check Periodo Ref.]]="Dentro",IF(DATOS_[[Check Equiparado]:[Check Equiparado]]="Sí",IF(DATOS!AG$5="Sí",(1/DATOS_[[% anualiz]:[% anualiz]]),1)*IF(DATOS!AG$4="Sí",1/DATOS_[[% normaliz]:[% normaliz]],1)*(DATOS_[Conc.Sal.03])))))))),
0)</f>
        <v>0</v>
      </c>
      <c r="M80" s="101">
        <f t="array" ref="M80">IFERROR(
(AVERAGE((IF(DATOS_[[Sexo]:[Sexo]]=$B80,IF(DATOS_[[AGRUP. VALOR. PTO.]:[AGRUP. VALOR. PTO.]]=$B78,IF(DATOS_[[Check Periodo Ref.]:[Check Periodo Ref.]]="Dentro",IF(DATOS_[[Check Equiparado]:[Check Equiparado]]="Sí",IF(DATOS!AH$5="Sí",(1/DATOS_[[% anualiz]:[% anualiz]]),1)*IF(DATOS!AH$4="Sí",1/DATOS_[[% normaliz]:[% normaliz]],1)*(DATOS_[Conc.Sal.04])))))))),
0)</f>
        <v>0</v>
      </c>
      <c r="N80" s="101">
        <f t="array" ref="N80">IFERROR(
(AVERAGE((IF(DATOS_[[Sexo]:[Sexo]]=$B80,IF(DATOS_[[AGRUP. VALOR. PTO.]:[AGRUP. VALOR. PTO.]]=$B78,IF(DATOS_[[Check Periodo Ref.]:[Check Periodo Ref.]]="Dentro",IF(DATOS_[[Check Equiparado]:[Check Equiparado]]="Sí",IF(DATOS!AI$5="Sí",(1/DATOS_[[% anualiz]:[% anualiz]]),1)*IF(DATOS!AI$4="Sí",1/DATOS_[[% normaliz]:[% normaliz]],1)*(DATOS_[Conc.Sal.05])))))))),
0)</f>
        <v>0</v>
      </c>
      <c r="O80" s="101">
        <f t="array" ref="O80">IFERROR(
(AVERAGE((IF(DATOS_[[Sexo]:[Sexo]]=$B80,IF(DATOS_[[AGRUP. VALOR. PTO.]:[AGRUP. VALOR. PTO.]]=$B78,IF(DATOS_[[Check Periodo Ref.]:[Check Periodo Ref.]]="Dentro",IF(DATOS_[[Check Equiparado]:[Check Equiparado]]="Sí",IF(DATOS!AJ$5="Sí",(1/DATOS_[[% anualiz]:[% anualiz]]),1)*IF(DATOS!AJ$4="Sí",1/DATOS_[[% normaliz]:[% normaliz]],1)*(DATOS_[Conc.Sal.06])))))))),
0)</f>
        <v>0</v>
      </c>
      <c r="P80" s="101">
        <f t="array" ref="P80">IFERROR(
(AVERAGE((IF(DATOS_[[Sexo]:[Sexo]]=$B80,IF(DATOS_[[AGRUP. VALOR. PTO.]:[AGRUP. VALOR. PTO.]]=$B78,IF(DATOS_[[Check Periodo Ref.]:[Check Periodo Ref.]]="Dentro",IF(DATOS_[[Check Equiparado]:[Check Equiparado]]="Sí",IF(DATOS!AK$5="Sí",(1/DATOS_[[% anualiz]:[% anualiz]]),1)*IF(DATOS!AK$4="Sí",1/DATOS_[[% normaliz]:[% normaliz]],1)*(DATOS_[Conc.Sal.07])))))))),
0)</f>
        <v>0</v>
      </c>
      <c r="Q80" s="101">
        <f t="array" ref="Q80">IFERROR(
(AVERAGE((IF(DATOS_[[Sexo]:[Sexo]]=$B80,IF(DATOS_[[AGRUP. VALOR. PTO.]:[AGRUP. VALOR. PTO.]]=$B78,IF(DATOS_[[Check Periodo Ref.]:[Check Periodo Ref.]]="Dentro",IF(DATOS_[[Check Equiparado]:[Check Equiparado]]="Sí",IF(DATOS!AL$5="Sí",(1/DATOS_[[% anualiz]:[% anualiz]]),1)*IF(DATOS!AL$4="Sí",1/DATOS_[[% normaliz]:[% normaliz]],1)*(DATOS_[Conc.Sal.08])))))))),
0)</f>
        <v>0</v>
      </c>
      <c r="R80" s="101">
        <f t="array" ref="R80">IFERROR(
(AVERAGE((IF(DATOS_[[Sexo]:[Sexo]]=$B80,IF(DATOS_[[AGRUP. VALOR. PTO.]:[AGRUP. VALOR. PTO.]]=$B78,IF(DATOS_[[Check Periodo Ref.]:[Check Periodo Ref.]]="Dentro",IF(DATOS_[[Check Equiparado]:[Check Equiparado]]="Sí",IF(DATOS!AM$5="Sí",(1/DATOS_[[% anualiz]:[% anualiz]]),1)*IF(DATOS!AM$4="Sí",1/DATOS_[[% normaliz]:[% normaliz]],1)*(DATOS_[Conc.Sal.09])))))))),
0)</f>
        <v>0</v>
      </c>
      <c r="S80" s="101">
        <f t="array" ref="S80">IFERROR(
(AVERAGE((IF(DATOS_[[Sexo]:[Sexo]]=$B80,IF(DATOS_[[AGRUP. VALOR. PTO.]:[AGRUP. VALOR. PTO.]]=$B78,IF(DATOS_[[Check Periodo Ref.]:[Check Periodo Ref.]]="Dentro",IF(DATOS_[[Check Equiparado]:[Check Equiparado]]="Sí",IF(DATOS!AN$5="Sí",(1/DATOS_[[% anualiz]:[% anualiz]]),1)*IF(DATOS!AN$4="Sí",1/DATOS_[[% normaliz]:[% normaliz]],1)*(DATOS_[Conc.Sal.10])))))))),
0)</f>
        <v>0</v>
      </c>
      <c r="T80" s="101">
        <f t="array" ref="T80">IFERROR(
(AVERAGE((IF(DATOS_[[Sexo]:[Sexo]]=$B80,IF(DATOS_[[AGRUP. VALOR. PTO.]:[AGRUP. VALOR. PTO.]]=$B78,IF(DATOS_[[Check Periodo Ref.]:[Check Periodo Ref.]]="Dentro",IF(DATOS_[[Check Equiparado]:[Check Equiparado]]="Sí",IF(DATOS!AO$5="Sí",(1/DATOS_[[% anualiz]:[% anualiz]]),1)*IF(DATOS!AO$4="Sí",1/DATOS_[[% normaliz]:[% normaliz]],1)*(DATOS_[Conc.Sal.11])))))))),
0)</f>
        <v>0</v>
      </c>
      <c r="U80" s="101">
        <f t="array" ref="U80">IFERROR(
(AVERAGE((IF(DATOS_[[Sexo]:[Sexo]]=$B80,IF(DATOS_[[AGRUP. VALOR. PTO.]:[AGRUP. VALOR. PTO.]]=$B78,IF(DATOS_[[Check Periodo Ref.]:[Check Periodo Ref.]]="Dentro",IF(DATOS_[[Check Equiparado]:[Check Equiparado]]="Sí",IF(DATOS!AP$5="Sí",(1/DATOS_[[% anualiz]:[% anualiz]]),1)*IF(DATOS!AP$4="Sí",1/DATOS_[[% normaliz]:[% normaliz]],1)*(DATOS_[Conc.Sal.12])))))))),
0)</f>
        <v>0</v>
      </c>
      <c r="V80" s="101">
        <f t="array" ref="V80">IFERROR(
(AVERAGE((IF(DATOS_[[Sexo]:[Sexo]]=$B80,IF(DATOS_[[AGRUP. VALOR. PTO.]:[AGRUP. VALOR. PTO.]]=$B78,IF(DATOS_[[Check Periodo Ref.]:[Check Periodo Ref.]]="Dentro",IF(DATOS_[[Check Equiparado]:[Check Equiparado]]="Sí",IF(DATOS!AQ$5="Sí",(1/DATOS_[[% anualiz]:[% anualiz]]),1)*IF(DATOS!AQ$4="Sí",1/DATOS_[[% normaliz]:[% normaliz]],1)*(DATOS_[Conc.Sal.13])))))))),
0)</f>
        <v>0</v>
      </c>
      <c r="W80" s="101">
        <f t="array" ref="W80">IFERROR(
(AVERAGE((IF(DATOS_[[Sexo]:[Sexo]]=$B80,IF(DATOS_[[AGRUP. VALOR. PTO.]:[AGRUP. VALOR. PTO.]]=$B78,IF(DATOS_[[Check Periodo Ref.]:[Check Periodo Ref.]]="Dentro",IF(DATOS_[[Check Equiparado]:[Check Equiparado]]="Sí",IF(DATOS!AR$5="Sí",(1/DATOS_[[% anualiz]:[% anualiz]]),1)*IF(DATOS!AR$4="Sí",1/DATOS_[[% normaliz]:[% normaliz]],1)*(DATOS_[Conc.Sal.14])))))))),
0)</f>
        <v>0</v>
      </c>
      <c r="X80" s="101">
        <f t="array" ref="X80">IFERROR(
(AVERAGE((IF(DATOS_[[Sexo]:[Sexo]]=$B80,IF(DATOS_[[AGRUP. VALOR. PTO.]:[AGRUP. VALOR. PTO.]]=$B78,IF(DATOS_[[Check Periodo Ref.]:[Check Periodo Ref.]]="Dentro",IF(DATOS_[[Check Equiparado]:[Check Equiparado]]="Sí",IF(DATOS!AS$5="Sí",(1/DATOS_[[% anualiz]:[% anualiz]]),1)*IF(DATOS!AS$4="Sí",1/DATOS_[[% normaliz]:[% normaliz]],1)*(DATOS_[Conc.Sal.15])))))))),
0)</f>
        <v>0</v>
      </c>
      <c r="Y80" s="101">
        <f t="array" ref="Y80">IFERROR(
(AVERAGE((IF(DATOS_[[Sexo]:[Sexo]]=$B80,IF(DATOS_[[AGRUP. VALOR. PTO.]:[AGRUP. VALOR. PTO.]]=$B78,IF(DATOS_[[Check Periodo Ref.]:[Check Periodo Ref.]]="Dentro",IF(DATOS_[[Check Equiparado]:[Check Equiparado]]="Sí",IF(DATOS!AT$5="Sí",(1/DATOS_[[% anualiz]:[% anualiz]]),1)*IF(DATOS!AT$4="Sí",1/DATOS_[[% normaliz]:[% normaliz]],1)*(DATOS_[Conc.Sal.16])))))))),
0)</f>
        <v>0</v>
      </c>
      <c r="Z80" s="101">
        <f t="array" ref="Z80">IFERROR(
(AVERAGE((IF(DATOS_[[Sexo]:[Sexo]]=$B80,IF(DATOS_[[AGRUP. VALOR. PTO.]:[AGRUP. VALOR. PTO.]]=$B78,IF(DATOS_[[Check Periodo Ref.]:[Check Periodo Ref.]]="Dentro",IF(DATOS_[[Check Equiparado]:[Check Equiparado]]="Sí",IF(DATOS!AU$5="Sí",(1/DATOS_[[% anualiz]:[% anualiz]]),1)*IF(DATOS!AU$4="Sí",1/DATOS_[[% normaliz]:[% normaliz]],1)*(DATOS_[Conc.Sal.17])))))))),
0)</f>
        <v>0</v>
      </c>
      <c r="AA80" s="101">
        <f t="array" ref="AA80">IFERROR(
(AVERAGE((IF(DATOS_[[Sexo]:[Sexo]]=$B80,IF(DATOS_[[AGRUP. VALOR. PTO.]:[AGRUP. VALOR. PTO.]]=$B78,IF(DATOS_[[Check Periodo Ref.]:[Check Periodo Ref.]]="Dentro",IF(DATOS_[[Check Equiparado]:[Check Equiparado]]="Sí",IF(DATOS!AV$5="Sí",(1/DATOS_[[% anualiz]:[% anualiz]]),1)*IF(DATOS!AV$4="Sí",1/DATOS_[[% normaliz]:[% normaliz]],1)*(DATOS_[Conc.Sal.18])))))))),
0)</f>
        <v>0</v>
      </c>
      <c r="AB80" s="101">
        <f t="array" ref="AB80">IFERROR(
(AVERAGE((IF(DATOS_[[Sexo]:[Sexo]]=$B80,IF(DATOS_[[AGRUP. VALOR. PTO.]:[AGRUP. VALOR. PTO.]]=$B78,IF(DATOS_[[Check Periodo Ref.]:[Check Periodo Ref.]]="Dentro",IF(DATOS_[[Check Equiparado]:[Check Equiparado]]="Sí",IF(DATOS!AW$5="Sí",(1/DATOS_[[% anualiz]:[% anualiz]]),1)*IF(DATOS!AW$4="Sí",1/DATOS_[[% normaliz]:[% normaliz]],1)*(DATOS_[Conc.Sal.19])))))))),
0)</f>
        <v>0</v>
      </c>
      <c r="AC80" s="101">
        <f t="array" ref="AC80">IFERROR(
(AVERAGE((IF(DATOS_[[Sexo]:[Sexo]]=$B80,IF(DATOS_[[AGRUP. VALOR. PTO.]:[AGRUP. VALOR. PTO.]]=$B78,IF(DATOS_[[Check Periodo Ref.]:[Check Periodo Ref.]]="Dentro",IF(DATOS_[[Check Equiparado]:[Check Equiparado]]="Sí",IF(DATOS!AX$5="Sí",(1/DATOS_[[% anualiz]:[% anualiz]]),1)*IF(DATOS!AX$4="Sí",1/DATOS_[[% normaliz]:[% normaliz]],1)*(DATOS_[Conc.Sal.20])))))))),
0)</f>
        <v>0</v>
      </c>
      <c r="AD80" s="101">
        <f t="array" ref="AD80">IFERROR(
(AVERAGE((IF(DATOS_[[Sexo]:[Sexo]]=$B80,IF(DATOS_[[AGRUP. VALOR. PTO.]:[AGRUP. VALOR. PTO.]]=$B78,IF(DATOS_[[Check Periodo Ref.]:[Check Periodo Ref.]]="Dentro",IF(DATOS_[[Check Equiparado]:[Check Equiparado]]="Sí",IF(DATOS!AY$5="Sí",(1/DATOS_[[% anualiz]:[% anualiz]]),1)*IF(DATOS!AY$4="Sí",1/DATOS_[[% normaliz]:[% normaliz]],1)*(DATOS_[Conc.Sal.21])))))))),
0)</f>
        <v>0</v>
      </c>
      <c r="AE80" s="101">
        <f t="array" ref="AE80">IFERROR(
(AVERAGE((IF(DATOS_[[Sexo]:[Sexo]]=$B80,IF(DATOS_[[AGRUP. VALOR. PTO.]:[AGRUP. VALOR. PTO.]]=$B78,IF(DATOS_[[Check Periodo Ref.]:[Check Periodo Ref.]]="Dentro",IF(DATOS_[[Check Equiparado]:[Check Equiparado]]="Sí",IF(DATOS!AZ$5="Sí",(1/DATOS_[[% anualiz]:[% anualiz]]),1)*IF(DATOS!AZ$4="Sí",1/DATOS_[[% normaliz]:[% normaliz]],1)*(DATOS_[Conc.Sal.22])))))))),
0)</f>
        <v>0</v>
      </c>
      <c r="AF80" s="101">
        <f t="array" ref="AF80">IFERROR(
(AVERAGE((IF(DATOS_[[Sexo]:[Sexo]]=$B80,IF(DATOS_[[AGRUP. VALOR. PTO.]:[AGRUP. VALOR. PTO.]]=$B78,IF(DATOS_[[Check Periodo Ref.]:[Check Periodo Ref.]]="Dentro",IF(DATOS_[[Check Equiparado]:[Check Equiparado]]="Sí",IF(DATOS!BA$5="Sí",(1/DATOS_[[% anualiz]:[% anualiz]]),1)*IF(DATOS!BA$4="Sí",1/DATOS_[[% normaliz]:[% normaliz]],1)*(DATOS_[Conc.Sal.23])))))))),
0)</f>
        <v>0</v>
      </c>
      <c r="AG80" s="101">
        <f t="array" ref="AG80">IFERROR(
(AVERAGE((IF(DATOS_[[Sexo]:[Sexo]]=$B80,IF(DATOS_[[AGRUP. VALOR. PTO.]:[AGRUP. VALOR. PTO.]]=$B78,IF(DATOS_[[Check Periodo Ref.]:[Check Periodo Ref.]]="Dentro",IF(DATOS_[[Check Equiparado]:[Check Equiparado]]="Sí",IF(DATOS!BB$5="Sí",(1/DATOS_[[% anualiz]:[% anualiz]]),1)*IF(DATOS!BB$4="Sí",1/DATOS_[[% normaliz]:[% normaliz]],1)*(DATOS_[Conc.Sal.24])))))))),
0)</f>
        <v>0</v>
      </c>
      <c r="AH80" s="101">
        <f t="array" ref="AH80">IFERROR(
(AVERAGE((IF(DATOS_[[Sexo]:[Sexo]]=$B80,IF(DATOS_[[AGRUP. VALOR. PTO.]:[AGRUP. VALOR. PTO.]]=$B78,IF(DATOS_[[Check Periodo Ref.]:[Check Periodo Ref.]]="Dentro",IF(DATOS_[[Check Equiparado]:[Check Equiparado]]="Sí",IF(DATOS!BC$5="Sí",(1/DATOS_[[% anualiz]:[% anualiz]]),1)*IF(DATOS!BC$4="Sí",1/DATOS_[[% normaliz]:[% normaliz]],1)*(DATOS_[Conc.Sal.25])))))))),
0)</f>
        <v>0</v>
      </c>
      <c r="AI80" s="101">
        <f t="array" ref="AI80">IFERROR(
(AVERAGE((IF(DATOS_[[Sexo]:[Sexo]]=$B80,IF(DATOS_[[AGRUP. VALOR. PTO.]:[AGRUP. VALOR. PTO.]]=$B78,IF(DATOS_[[Check Periodo Ref.]:[Check Periodo Ref.]]="Dentro",IF(DATOS_[[Check Equiparado]:[Check Equiparado]]="Sí",IF(DATOS!BD$5="Sí",(1/DATOS_[[% anualiz]:[% anualiz]]),1)*IF(DATOS!BD$4="Sí",1/DATOS_[[% normaliz]:[% normaliz]],1)*(DATOS_[Conc.Sal.26])))))))),
0)</f>
        <v>0</v>
      </c>
      <c r="AJ80" s="101">
        <f t="array" ref="AJ80">IFERROR(
(AVERAGE((IF(DATOS_[[Sexo]:[Sexo]]=$B80,IF(DATOS_[[AGRUP. VALOR. PTO.]:[AGRUP. VALOR. PTO.]]=$B78,IF(DATOS_[[Check Periodo Ref.]:[Check Periodo Ref.]]="Dentro",IF(DATOS_[[Check Equiparado]:[Check Equiparado]]="Sí",IF(DATOS!BE$5="Sí",(1/DATOS_[[% anualiz]:[% anualiz]]),1)*IF(DATOS!BE$4="Sí",1/DATOS_[[% normaliz]:[% normaliz]],1)*(DATOS_[Conc.Sal.27])))))))),
0)</f>
        <v>0</v>
      </c>
      <c r="AK80" s="101">
        <f t="array" ref="AK80">IFERROR(
(AVERAGE((IF(DATOS_[[Sexo]:[Sexo]]=$B80,IF(DATOS_[[AGRUP. VALOR. PTO.]:[AGRUP. VALOR. PTO.]]=$B78,IF(DATOS_[[Check Periodo Ref.]:[Check Periodo Ref.]]="Dentro",IF(DATOS_[[Check Equiparado]:[Check Equiparado]]="Sí",IF(DATOS!BF$5="Sí",(1/DATOS_[[% anualiz]:[% anualiz]]),1)*IF(DATOS!BF$4="Sí",1/DATOS_[[% normaliz]:[% normaliz]],1)*(DATOS_[Conc.Sal.28])))))))),
0)</f>
        <v>0</v>
      </c>
      <c r="AL80" s="101">
        <f t="array" ref="AL80">IFERROR(
(AVERAGE((IF(DATOS_[[Sexo]:[Sexo]]=$B80,IF(DATOS_[[AGRUP. VALOR. PTO.]:[AGRUP. VALOR. PTO.]]=$B78,IF(DATOS_[[Check Periodo Ref.]:[Check Periodo Ref.]]="Dentro",IF(DATOS_[[Check Equiparado]:[Check Equiparado]]="Sí",IF(DATOS!BG$5="Sí",(1/DATOS_[[% anualiz]:[% anualiz]]),1)*IF(DATOS!BG$4="Sí",1/DATOS_[[% normaliz]:[% normaliz]],1)*(DATOS_[Conc.Sal.29])))))))),
0)</f>
        <v>0</v>
      </c>
      <c r="AM80" s="101">
        <f t="array" ref="AM80">IFERROR(
(AVERAGE((IF(DATOS_[[Sexo]:[Sexo]]=$B80,IF(DATOS_[[AGRUP. VALOR. PTO.]:[AGRUP. VALOR. PTO.]]=$B78,IF(DATOS_[[Check Periodo Ref.]:[Check Periodo Ref.]]="Dentro",IF(DATOS_[[Check Equiparado]:[Check Equiparado]]="Sí",IF(DATOS!BH$5="Sí",(1/DATOS_[[% anualiz]:[% anualiz]]),1)*IF(DATOS!BH$4="Sí",1/DATOS_[[% normaliz]:[% normaliz]],1)*(DATOS_[Conc.Sal.30])))))))),
0)</f>
        <v>0</v>
      </c>
      <c r="AN80" s="102">
        <f t="array" ref="AN80">IFERROR(
AVERAGE(IF(DATOS_[Sexo]=$B80,IF(DATOS_[[AGRUP. VALOR. PTO.]:[AGRUP. VALOR. PTO.]]=$B78,IF(DATOS_[Check Equiparado]="Sí",IF(DATOS_[Check Periodo Ref.]="Dentro",DATOS_[Tot COMPL.SAL Eq],FALSE))))),
0)</f>
        <v>0</v>
      </c>
      <c r="AO80" s="103">
        <f t="array" ref="AO80">IFERROR(
AVERAGE(IF(DATOS_[Sexo]=$B80,IF(DATOS_[[AGRUP. VALOR. PTO.]:[AGRUP. VALOR. PTO.]]=$B78,IF(DATOS_[Check Equiparado]="Sí",IF(DATOS_[Check Periodo Ref.]="Dentro",DATOS_[TOTAL SALARIO Eq],FALSE))))),
0)</f>
        <v>0</v>
      </c>
      <c r="AP80" s="104">
        <f t="array" ref="AP80">IFERROR(
(AVERAGE((IF(DATOS_[[Sexo]:[Sexo]]=$B80,IF(DATOS_[[AGRUP. VALOR. PTO.]:[AGRUP. VALOR. PTO.]]=$B78,IF(DATOS_[[Check Periodo Ref.]:[Check Periodo Ref.]]="Dentro",IF(DATOS_[[Check Equiparado]:[Check Equiparado]]="Sí",IF(DATOS!BI$5="Sí",(1/DATOS_[[% anualiz]:[% anualiz]]),1)*IF(DATOS!BI$4="Sí",1/DATOS_[[% normaliz]:[% normaliz]],1)*(DATOS_[C.Extra.01])))))))),
0)</f>
        <v>0</v>
      </c>
      <c r="AQ80" s="104">
        <f t="array" ref="AQ80">IFERROR(
(AVERAGE((IF(DATOS_[[Sexo]:[Sexo]]=$B80,IF(DATOS_[[AGRUP. VALOR. PTO.]:[AGRUP. VALOR. PTO.]]=$B78,IF(DATOS_[[Check Periodo Ref.]:[Check Periodo Ref.]]="Dentro",IF(DATOS_[[Check Equiparado]:[Check Equiparado]]="Sí",IF(DATOS!BJ$5="Sí",(1/DATOS_[[% anualiz]:[% anualiz]]),1)*IF(DATOS!BJ$4="Sí",1/DATOS_[[% normaliz]:[% normaliz]],1)*(DATOS_[C.Extra.02])))))))),
0)</f>
        <v>0</v>
      </c>
      <c r="AR80" s="104">
        <f t="array" ref="AR80">IFERROR(
(AVERAGE((IF(DATOS_[[Sexo]:[Sexo]]=$B80,IF(DATOS_[[AGRUP. VALOR. PTO.]:[AGRUP. VALOR. PTO.]]=$B78,IF(DATOS_[[Check Periodo Ref.]:[Check Periodo Ref.]]="Dentro",IF(DATOS_[[Check Equiparado]:[Check Equiparado]]="Sí",IF(DATOS!BK$5="Sí",(1/DATOS_[[% anualiz]:[% anualiz]]),1)*IF(DATOS!BK$4="Sí",1/DATOS_[[% normaliz]:[% normaliz]],1)*(DATOS_[C.Extra.03])))))))),
0)</f>
        <v>0</v>
      </c>
      <c r="AS80" s="104">
        <f t="array" ref="AS80">IFERROR(
(AVERAGE((IF(DATOS_[[Sexo]:[Sexo]]=$B80,IF(DATOS_[[AGRUP. VALOR. PTO.]:[AGRUP. VALOR. PTO.]]=$B78,IF(DATOS_[[Check Periodo Ref.]:[Check Periodo Ref.]]="Dentro",IF(DATOS_[[Check Equiparado]:[Check Equiparado]]="Sí",IF(DATOS!BL$5="Sí",(1/DATOS_[[% anualiz]:[% anualiz]]),1)*IF(DATOS!BL$4="Sí",1/DATOS_[[% normaliz]:[% normaliz]],1)*(DATOS_[C.Extra.04])))))))),
0)</f>
        <v>0</v>
      </c>
      <c r="AT80" s="104">
        <f t="array" ref="AT80">IFERROR(
(AVERAGE((IF(DATOS_[[Sexo]:[Sexo]]=$B80,IF(DATOS_[[AGRUP. VALOR. PTO.]:[AGRUP. VALOR. PTO.]]=$B78,IF(DATOS_[[Check Periodo Ref.]:[Check Periodo Ref.]]="Dentro",IF(DATOS_[[Check Equiparado]:[Check Equiparado]]="Sí",IF(DATOS!BM$5="Sí",(1/DATOS_[[% anualiz]:[% anualiz]]),1)*IF(DATOS!BM$4="Sí",1/DATOS_[[% normaliz]:[% normaliz]],1)*(DATOS_[C.Extra.05])))))))),
0)</f>
        <v>0</v>
      </c>
      <c r="AU80" s="105">
        <f t="array" ref="AU80">IFERROR(
AVERAGE(IF(DATOS_[Sexo]=$B80,IF(DATOS_[[AGRUP. VALOR. PTO.]:[AGRUP. VALOR. PTO.]]=$B78,IF(DATOS_[Check Equiparado]="Sí",IF(DATOS_[Check Periodo Ref.]="Dentro",DATOS_[Tot Extrasalarial Eq],FALSE))))),
0)</f>
        <v>0</v>
      </c>
      <c r="AV80" s="106">
        <f t="array" ref="AV80">IFERROR(
AVERAGE(IF(DATOS_[Sexo]=$B80,IF(DATOS_[[AGRUP. VALOR. PTO.]:[AGRUP. VALOR. PTO.]]=$B78,IF(DATOS_[Check Equiparado]="Sí",IF(DATOS_[Check Periodo Ref.]="Dentro",DATOS_[TOTAL Retrib Eq],FALSE))))),
0)</f>
        <v>0</v>
      </c>
    </row>
    <row r="81" spans="1:48" ht="17.25" hidden="1" thickBot="1" x14ac:dyDescent="0.35">
      <c r="A81" s="53" t="str">
        <f t="shared" ref="A81" si="91">+A82</f>
        <v>[ocultar]</v>
      </c>
      <c r="B81" s="62" t="s">
        <v>282</v>
      </c>
      <c r="C81" s="99"/>
      <c r="D81" s="63"/>
      <c r="E81" s="63"/>
      <c r="F81" s="63"/>
      <c r="G81" s="63"/>
      <c r="H81" s="63"/>
      <c r="I81" s="129" t="str">
        <f t="shared" ref="I81:AV81" si="92">IFERROR((I82-I83)/I82,"")</f>
        <v/>
      </c>
      <c r="J81" s="130" t="str">
        <f t="shared" si="92"/>
        <v/>
      </c>
      <c r="K81" s="131" t="str">
        <f t="shared" si="92"/>
        <v/>
      </c>
      <c r="L81" s="131" t="str">
        <f t="shared" si="92"/>
        <v/>
      </c>
      <c r="M81" s="131" t="str">
        <f t="shared" si="92"/>
        <v/>
      </c>
      <c r="N81" s="132" t="str">
        <f t="shared" si="92"/>
        <v/>
      </c>
      <c r="O81" s="133" t="str">
        <f t="shared" si="92"/>
        <v/>
      </c>
      <c r="P81" s="133" t="str">
        <f t="shared" si="92"/>
        <v/>
      </c>
      <c r="Q81" s="133" t="str">
        <f t="shared" si="92"/>
        <v/>
      </c>
      <c r="R81" s="133" t="str">
        <f t="shared" si="92"/>
        <v/>
      </c>
      <c r="S81" s="133" t="str">
        <f t="shared" si="92"/>
        <v/>
      </c>
      <c r="T81" s="133" t="str">
        <f t="shared" si="92"/>
        <v/>
      </c>
      <c r="U81" s="133" t="str">
        <f t="shared" si="92"/>
        <v/>
      </c>
      <c r="V81" s="133" t="str">
        <f t="shared" si="92"/>
        <v/>
      </c>
      <c r="W81" s="133" t="str">
        <f t="shared" si="92"/>
        <v/>
      </c>
      <c r="X81" s="133" t="str">
        <f t="shared" si="92"/>
        <v/>
      </c>
      <c r="Y81" s="133" t="str">
        <f t="shared" si="92"/>
        <v/>
      </c>
      <c r="Z81" s="132" t="str">
        <f t="shared" si="92"/>
        <v/>
      </c>
      <c r="AA81" s="132" t="str">
        <f t="shared" si="92"/>
        <v/>
      </c>
      <c r="AB81" s="132" t="str">
        <f t="shared" si="92"/>
        <v/>
      </c>
      <c r="AC81" s="132" t="str">
        <f t="shared" si="92"/>
        <v/>
      </c>
      <c r="AD81" s="132" t="str">
        <f t="shared" si="92"/>
        <v/>
      </c>
      <c r="AE81" s="132" t="str">
        <f t="shared" si="92"/>
        <v/>
      </c>
      <c r="AF81" s="132" t="str">
        <f t="shared" si="92"/>
        <v/>
      </c>
      <c r="AG81" s="132" t="str">
        <f t="shared" si="92"/>
        <v/>
      </c>
      <c r="AH81" s="132" t="str">
        <f t="shared" si="92"/>
        <v/>
      </c>
      <c r="AI81" s="132" t="str">
        <f t="shared" si="92"/>
        <v/>
      </c>
      <c r="AJ81" s="132" t="str">
        <f t="shared" si="92"/>
        <v/>
      </c>
      <c r="AK81" s="132" t="str">
        <f t="shared" si="92"/>
        <v/>
      </c>
      <c r="AL81" s="132" t="str">
        <f t="shared" si="92"/>
        <v/>
      </c>
      <c r="AM81" s="132" t="str">
        <f t="shared" si="92"/>
        <v/>
      </c>
      <c r="AN81" s="134" t="str">
        <f t="shared" si="92"/>
        <v/>
      </c>
      <c r="AO81" s="138" t="str">
        <f t="shared" si="92"/>
        <v/>
      </c>
      <c r="AP81" s="135" t="str">
        <f t="shared" si="92"/>
        <v/>
      </c>
      <c r="AQ81" s="135" t="str">
        <f t="shared" si="92"/>
        <v/>
      </c>
      <c r="AR81" s="135" t="str">
        <f t="shared" si="92"/>
        <v/>
      </c>
      <c r="AS81" s="135" t="str">
        <f t="shared" si="92"/>
        <v/>
      </c>
      <c r="AT81" s="135" t="str">
        <f t="shared" si="92"/>
        <v/>
      </c>
      <c r="AU81" s="136" t="str">
        <f t="shared" si="92"/>
        <v/>
      </c>
      <c r="AV81" s="137" t="str">
        <f t="shared" si="92"/>
        <v/>
      </c>
    </row>
    <row r="82" spans="1:48" hidden="1" x14ac:dyDescent="0.3">
      <c r="A82" s="53" t="str">
        <f t="shared" ref="A82" si="93">+IF(C82+C83=0,"[ocultar]","")</f>
        <v>[ocultar]</v>
      </c>
      <c r="B82" s="57" t="s">
        <v>162</v>
      </c>
      <c r="C82" s="56">
        <f t="array" ref="C82">SUM(IF($B82=DATOS_[Sexo],
IF($B81=DATOS_[AGRUP. VALOR. PTO.],
IF("Dentro"=DATOS_[Check Periodo Ref.],
1/(COUNTIFS(DATOS_[Sexo],$B82,DATOS_[AGRUP. VALOR. PTO.],$B81,DATOS_[Check Periodo Ref.],"Dentro",DATOS_[id],DATOS_[id]))))))</f>
        <v>0</v>
      </c>
      <c r="D82" s="58">
        <f>COUNTIFS(DATOS_[AGRUP. VALOR. PTO.],$B81,DATOS_[Sexo],$B82,DATOS_[Check Periodo Ref.],"Dentro")</f>
        <v>0</v>
      </c>
      <c r="E82" s="58">
        <f>COUNTIFS(DATOS_[AGRUP. VALOR. PTO.],$B81,DATOS_[Sexo],$B82,DATOS_[Check Periodo Ref.],"Dentro",DATOS_[Check Nº SC Norm],"Sí")</f>
        <v>0</v>
      </c>
      <c r="F82" s="58">
        <f>COUNTIFS(DATOS_[AGRUP. VALOR. PTO.],$B81,DATOS_[Sexo],$B82,DATOS_[Check Periodo Ref.],"Dentro",DATOS_[Check Nº SC Anualiz],"Sí")</f>
        <v>0</v>
      </c>
      <c r="G82" s="58">
        <f>COUNTIFS(DATOS_[AGRUP. VALOR. PTO.],$B81,DATOS_[Sexo],$B82,DATOS_[Check Periodo Ref.],"Dentro",DATOS_[Check Nº SC Norm y Anualiz],"Sí")</f>
        <v>0</v>
      </c>
      <c r="H82" s="58">
        <f>COUNTIFS(DATOS_[AGRUP. VALOR. PTO.],$B81,DATOS_[Sexo],$B82,DATOS_[Check Periodo Ref.],"Dentro",DATOS_[Check Equiparación],"Sí")</f>
        <v>0</v>
      </c>
      <c r="I82" s="100">
        <f t="array" ref="I82">IFERROR(
AVERAGE(IF(DATOS_[Sexo]=$B82,IF(DATOS_[[AGRUP. VALOR. PTO.]:[AGRUP. VALOR. PTO.]]=$B81,IF(DATOS_[Check Equiparado]="Sí",IF(DATOS_[Check Periodo Ref.]="Dentro",DATOS_[SALARIO BASE Eq],FALSE))))),
0)</f>
        <v>0</v>
      </c>
      <c r="J82" s="101">
        <f t="array" ref="J82">IFERROR(
(AVERAGE((IF(DATOS_[[Sexo]:[Sexo]]=$B82,IF(DATOS_[[AGRUP. VALOR. PTO.]:[AGRUP. VALOR. PTO.]]=$B81,IF(DATOS_[[Check Periodo Ref.]:[Check Periodo Ref.]]="Dentro",IF(DATOS_[[Check Equiparado]:[Check Equiparado]]="Sí",IF(DATOS!AE$5="Sí",(1/DATOS_[[% anualiz]:[% anualiz]]),1)*IF(DATOS!AE$4="Sí",1/DATOS_[[% normaliz]:[% normaliz]],1)*(DATOS_[Conc.Sal.01])))))))),
0)</f>
        <v>0</v>
      </c>
      <c r="K82" s="101">
        <f t="array" ref="K82">IFERROR(
(AVERAGE((IF(DATOS_[[Sexo]:[Sexo]]=$B82,IF(DATOS_[[AGRUP. VALOR. PTO.]:[AGRUP. VALOR. PTO.]]=$B81,IF(DATOS_[[Check Periodo Ref.]:[Check Periodo Ref.]]="Dentro",IF(DATOS_[[Check Equiparado]:[Check Equiparado]]="Sí",IF(DATOS!AF$5="Sí",(1/DATOS_[[% anualiz]:[% anualiz]]),1)*IF(DATOS!AF$4="Sí",1/DATOS_[[% normaliz]:[% normaliz]],1)*(DATOS_[Conc.Sal.02])))))))),
0)</f>
        <v>0</v>
      </c>
      <c r="L82" s="101">
        <f t="array" ref="L82">IFERROR(
(AVERAGE((IF(DATOS_[[Sexo]:[Sexo]]=$B82,IF(DATOS_[[AGRUP. VALOR. PTO.]:[AGRUP. VALOR. PTO.]]=$B81,IF(DATOS_[[Check Periodo Ref.]:[Check Periodo Ref.]]="Dentro",IF(DATOS_[[Check Equiparado]:[Check Equiparado]]="Sí",IF(DATOS!AG$5="Sí",(1/DATOS_[[% anualiz]:[% anualiz]]),1)*IF(DATOS!AG$4="Sí",1/DATOS_[[% normaliz]:[% normaliz]],1)*(DATOS_[Conc.Sal.03])))))))),
0)</f>
        <v>0</v>
      </c>
      <c r="M82" s="101">
        <f t="array" ref="M82">IFERROR(
(AVERAGE((IF(DATOS_[[Sexo]:[Sexo]]=$B82,IF(DATOS_[[AGRUP. VALOR. PTO.]:[AGRUP. VALOR. PTO.]]=$B81,IF(DATOS_[[Check Periodo Ref.]:[Check Periodo Ref.]]="Dentro",IF(DATOS_[[Check Equiparado]:[Check Equiparado]]="Sí",IF(DATOS!AH$5="Sí",(1/DATOS_[[% anualiz]:[% anualiz]]),1)*IF(DATOS!AH$4="Sí",1/DATOS_[[% normaliz]:[% normaliz]],1)*(DATOS_[Conc.Sal.04])))))))),
0)</f>
        <v>0</v>
      </c>
      <c r="N82" s="101">
        <f t="array" ref="N82">IFERROR(
(AVERAGE((IF(DATOS_[[Sexo]:[Sexo]]=$B82,IF(DATOS_[[AGRUP. VALOR. PTO.]:[AGRUP. VALOR. PTO.]]=$B81,IF(DATOS_[[Check Periodo Ref.]:[Check Periodo Ref.]]="Dentro",IF(DATOS_[[Check Equiparado]:[Check Equiparado]]="Sí",IF(DATOS!AI$5="Sí",(1/DATOS_[[% anualiz]:[% anualiz]]),1)*IF(DATOS!AI$4="Sí",1/DATOS_[[% normaliz]:[% normaliz]],1)*(DATOS_[Conc.Sal.05])))))))),
0)</f>
        <v>0</v>
      </c>
      <c r="O82" s="101">
        <f t="array" ref="O82">IFERROR(
(AVERAGE((IF(DATOS_[[Sexo]:[Sexo]]=$B82,IF(DATOS_[[AGRUP. VALOR. PTO.]:[AGRUP. VALOR. PTO.]]=$B81,IF(DATOS_[[Check Periodo Ref.]:[Check Periodo Ref.]]="Dentro",IF(DATOS_[[Check Equiparado]:[Check Equiparado]]="Sí",IF(DATOS!AJ$5="Sí",(1/DATOS_[[% anualiz]:[% anualiz]]),1)*IF(DATOS!AJ$4="Sí",1/DATOS_[[% normaliz]:[% normaliz]],1)*(DATOS_[Conc.Sal.06])))))))),
0)</f>
        <v>0</v>
      </c>
      <c r="P82" s="101">
        <f t="array" ref="P82">IFERROR(
(AVERAGE((IF(DATOS_[[Sexo]:[Sexo]]=$B82,IF(DATOS_[[AGRUP. VALOR. PTO.]:[AGRUP. VALOR. PTO.]]=$B81,IF(DATOS_[[Check Periodo Ref.]:[Check Periodo Ref.]]="Dentro",IF(DATOS_[[Check Equiparado]:[Check Equiparado]]="Sí",IF(DATOS!AK$5="Sí",(1/DATOS_[[% anualiz]:[% anualiz]]),1)*IF(DATOS!AK$4="Sí",1/DATOS_[[% normaliz]:[% normaliz]],1)*(DATOS_[Conc.Sal.07])))))))),
0)</f>
        <v>0</v>
      </c>
      <c r="Q82" s="101">
        <f t="array" ref="Q82">IFERROR(
(AVERAGE((IF(DATOS_[[Sexo]:[Sexo]]=$B82,IF(DATOS_[[AGRUP. VALOR. PTO.]:[AGRUP. VALOR. PTO.]]=$B81,IF(DATOS_[[Check Periodo Ref.]:[Check Periodo Ref.]]="Dentro",IF(DATOS_[[Check Equiparado]:[Check Equiparado]]="Sí",IF(DATOS!AL$5="Sí",(1/DATOS_[[% anualiz]:[% anualiz]]),1)*IF(DATOS!AL$4="Sí",1/DATOS_[[% normaliz]:[% normaliz]],1)*(DATOS_[Conc.Sal.08])))))))),
0)</f>
        <v>0</v>
      </c>
      <c r="R82" s="101">
        <f t="array" ref="R82">IFERROR(
(AVERAGE((IF(DATOS_[[Sexo]:[Sexo]]=$B82,IF(DATOS_[[AGRUP. VALOR. PTO.]:[AGRUP. VALOR. PTO.]]=$B81,IF(DATOS_[[Check Periodo Ref.]:[Check Periodo Ref.]]="Dentro",IF(DATOS_[[Check Equiparado]:[Check Equiparado]]="Sí",IF(DATOS!AM$5="Sí",(1/DATOS_[[% anualiz]:[% anualiz]]),1)*IF(DATOS!AM$4="Sí",1/DATOS_[[% normaliz]:[% normaliz]],1)*(DATOS_[Conc.Sal.09])))))))),
0)</f>
        <v>0</v>
      </c>
      <c r="S82" s="101">
        <f t="array" ref="S82">IFERROR(
(AVERAGE((IF(DATOS_[[Sexo]:[Sexo]]=$B82,IF(DATOS_[[AGRUP. VALOR. PTO.]:[AGRUP. VALOR. PTO.]]=$B81,IF(DATOS_[[Check Periodo Ref.]:[Check Periodo Ref.]]="Dentro",IF(DATOS_[[Check Equiparado]:[Check Equiparado]]="Sí",IF(DATOS!AN$5="Sí",(1/DATOS_[[% anualiz]:[% anualiz]]),1)*IF(DATOS!AN$4="Sí",1/DATOS_[[% normaliz]:[% normaliz]],1)*(DATOS_[Conc.Sal.10])))))))),
0)</f>
        <v>0</v>
      </c>
      <c r="T82" s="101">
        <f t="array" ref="T82">IFERROR(
(AVERAGE((IF(DATOS_[[Sexo]:[Sexo]]=$B82,IF(DATOS_[[AGRUP. VALOR. PTO.]:[AGRUP. VALOR. PTO.]]=$B81,IF(DATOS_[[Check Periodo Ref.]:[Check Periodo Ref.]]="Dentro",IF(DATOS_[[Check Equiparado]:[Check Equiparado]]="Sí",IF(DATOS!AO$5="Sí",(1/DATOS_[[% anualiz]:[% anualiz]]),1)*IF(DATOS!AO$4="Sí",1/DATOS_[[% normaliz]:[% normaliz]],1)*(DATOS_[Conc.Sal.11])))))))),
0)</f>
        <v>0</v>
      </c>
      <c r="U82" s="101">
        <f t="array" ref="U82">IFERROR(
(AVERAGE((IF(DATOS_[[Sexo]:[Sexo]]=$B82,IF(DATOS_[[AGRUP. VALOR. PTO.]:[AGRUP. VALOR. PTO.]]=$B81,IF(DATOS_[[Check Periodo Ref.]:[Check Periodo Ref.]]="Dentro",IF(DATOS_[[Check Equiparado]:[Check Equiparado]]="Sí",IF(DATOS!AP$5="Sí",(1/DATOS_[[% anualiz]:[% anualiz]]),1)*IF(DATOS!AP$4="Sí",1/DATOS_[[% normaliz]:[% normaliz]],1)*(DATOS_[Conc.Sal.12])))))))),
0)</f>
        <v>0</v>
      </c>
      <c r="V82" s="101">
        <f t="array" ref="V82">IFERROR(
(AVERAGE((IF(DATOS_[[Sexo]:[Sexo]]=$B82,IF(DATOS_[[AGRUP. VALOR. PTO.]:[AGRUP. VALOR. PTO.]]=$B81,IF(DATOS_[[Check Periodo Ref.]:[Check Periodo Ref.]]="Dentro",IF(DATOS_[[Check Equiparado]:[Check Equiparado]]="Sí",IF(DATOS!AQ$5="Sí",(1/DATOS_[[% anualiz]:[% anualiz]]),1)*IF(DATOS!AQ$4="Sí",1/DATOS_[[% normaliz]:[% normaliz]],1)*(DATOS_[Conc.Sal.13])))))))),
0)</f>
        <v>0</v>
      </c>
      <c r="W82" s="101">
        <f t="array" ref="W82">IFERROR(
(AVERAGE((IF(DATOS_[[Sexo]:[Sexo]]=$B82,IF(DATOS_[[AGRUP. VALOR. PTO.]:[AGRUP. VALOR. PTO.]]=$B81,IF(DATOS_[[Check Periodo Ref.]:[Check Periodo Ref.]]="Dentro",IF(DATOS_[[Check Equiparado]:[Check Equiparado]]="Sí",IF(DATOS!AR$5="Sí",(1/DATOS_[[% anualiz]:[% anualiz]]),1)*IF(DATOS!AR$4="Sí",1/DATOS_[[% normaliz]:[% normaliz]],1)*(DATOS_[Conc.Sal.14])))))))),
0)</f>
        <v>0</v>
      </c>
      <c r="X82" s="101">
        <f t="array" ref="X82">IFERROR(
(AVERAGE((IF(DATOS_[[Sexo]:[Sexo]]=$B82,IF(DATOS_[[AGRUP. VALOR. PTO.]:[AGRUP. VALOR. PTO.]]=$B81,IF(DATOS_[[Check Periodo Ref.]:[Check Periodo Ref.]]="Dentro",IF(DATOS_[[Check Equiparado]:[Check Equiparado]]="Sí",IF(DATOS!AS$5="Sí",(1/DATOS_[[% anualiz]:[% anualiz]]),1)*IF(DATOS!AS$4="Sí",1/DATOS_[[% normaliz]:[% normaliz]],1)*(DATOS_[Conc.Sal.15])))))))),
0)</f>
        <v>0</v>
      </c>
      <c r="Y82" s="101">
        <f t="array" ref="Y82">IFERROR(
(AVERAGE((IF(DATOS_[[Sexo]:[Sexo]]=$B82,IF(DATOS_[[AGRUP. VALOR. PTO.]:[AGRUP. VALOR. PTO.]]=$B81,IF(DATOS_[[Check Periodo Ref.]:[Check Periodo Ref.]]="Dentro",IF(DATOS_[[Check Equiparado]:[Check Equiparado]]="Sí",IF(DATOS!AT$5="Sí",(1/DATOS_[[% anualiz]:[% anualiz]]),1)*IF(DATOS!AT$4="Sí",1/DATOS_[[% normaliz]:[% normaliz]],1)*(DATOS_[Conc.Sal.16])))))))),
0)</f>
        <v>0</v>
      </c>
      <c r="Z82" s="101">
        <f t="array" ref="Z82">IFERROR(
(AVERAGE((IF(DATOS_[[Sexo]:[Sexo]]=$B82,IF(DATOS_[[AGRUP. VALOR. PTO.]:[AGRUP. VALOR. PTO.]]=$B81,IF(DATOS_[[Check Periodo Ref.]:[Check Periodo Ref.]]="Dentro",IF(DATOS_[[Check Equiparado]:[Check Equiparado]]="Sí",IF(DATOS!AU$5="Sí",(1/DATOS_[[% anualiz]:[% anualiz]]),1)*IF(DATOS!AU$4="Sí",1/DATOS_[[% normaliz]:[% normaliz]],1)*(DATOS_[Conc.Sal.17])))))))),
0)</f>
        <v>0</v>
      </c>
      <c r="AA82" s="101">
        <f t="array" ref="AA82">IFERROR(
(AVERAGE((IF(DATOS_[[Sexo]:[Sexo]]=$B82,IF(DATOS_[[AGRUP. VALOR. PTO.]:[AGRUP. VALOR. PTO.]]=$B81,IF(DATOS_[[Check Periodo Ref.]:[Check Periodo Ref.]]="Dentro",IF(DATOS_[[Check Equiparado]:[Check Equiparado]]="Sí",IF(DATOS!AV$5="Sí",(1/DATOS_[[% anualiz]:[% anualiz]]),1)*IF(DATOS!AV$4="Sí",1/DATOS_[[% normaliz]:[% normaliz]],1)*(DATOS_[Conc.Sal.18])))))))),
0)</f>
        <v>0</v>
      </c>
      <c r="AB82" s="101">
        <f t="array" ref="AB82">IFERROR(
(AVERAGE((IF(DATOS_[[Sexo]:[Sexo]]=$B82,IF(DATOS_[[AGRUP. VALOR. PTO.]:[AGRUP. VALOR. PTO.]]=$B81,IF(DATOS_[[Check Periodo Ref.]:[Check Periodo Ref.]]="Dentro",IF(DATOS_[[Check Equiparado]:[Check Equiparado]]="Sí",IF(DATOS!AW$5="Sí",(1/DATOS_[[% anualiz]:[% anualiz]]),1)*IF(DATOS!AW$4="Sí",1/DATOS_[[% normaliz]:[% normaliz]],1)*(DATOS_[Conc.Sal.19])))))))),
0)</f>
        <v>0</v>
      </c>
      <c r="AC82" s="101">
        <f t="array" ref="AC82">IFERROR(
(AVERAGE((IF(DATOS_[[Sexo]:[Sexo]]=$B82,IF(DATOS_[[AGRUP. VALOR. PTO.]:[AGRUP. VALOR. PTO.]]=$B81,IF(DATOS_[[Check Periodo Ref.]:[Check Periodo Ref.]]="Dentro",IF(DATOS_[[Check Equiparado]:[Check Equiparado]]="Sí",IF(DATOS!AX$5="Sí",(1/DATOS_[[% anualiz]:[% anualiz]]),1)*IF(DATOS!AX$4="Sí",1/DATOS_[[% normaliz]:[% normaliz]],1)*(DATOS_[Conc.Sal.20])))))))),
0)</f>
        <v>0</v>
      </c>
      <c r="AD82" s="101">
        <f t="array" ref="AD82">IFERROR(
(AVERAGE((IF(DATOS_[[Sexo]:[Sexo]]=$B82,IF(DATOS_[[AGRUP. VALOR. PTO.]:[AGRUP. VALOR. PTO.]]=$B81,IF(DATOS_[[Check Periodo Ref.]:[Check Periodo Ref.]]="Dentro",IF(DATOS_[[Check Equiparado]:[Check Equiparado]]="Sí",IF(DATOS!AY$5="Sí",(1/DATOS_[[% anualiz]:[% anualiz]]),1)*IF(DATOS!AY$4="Sí",1/DATOS_[[% normaliz]:[% normaliz]],1)*(DATOS_[Conc.Sal.21])))))))),
0)</f>
        <v>0</v>
      </c>
      <c r="AE82" s="101">
        <f t="array" ref="AE82">IFERROR(
(AVERAGE((IF(DATOS_[[Sexo]:[Sexo]]=$B82,IF(DATOS_[[AGRUP. VALOR. PTO.]:[AGRUP. VALOR. PTO.]]=$B81,IF(DATOS_[[Check Periodo Ref.]:[Check Periodo Ref.]]="Dentro",IF(DATOS_[[Check Equiparado]:[Check Equiparado]]="Sí",IF(DATOS!AZ$5="Sí",(1/DATOS_[[% anualiz]:[% anualiz]]),1)*IF(DATOS!AZ$4="Sí",1/DATOS_[[% normaliz]:[% normaliz]],1)*(DATOS_[Conc.Sal.22])))))))),
0)</f>
        <v>0</v>
      </c>
      <c r="AF82" s="101">
        <f t="array" ref="AF82">IFERROR(
(AVERAGE((IF(DATOS_[[Sexo]:[Sexo]]=$B82,IF(DATOS_[[AGRUP. VALOR. PTO.]:[AGRUP. VALOR. PTO.]]=$B81,IF(DATOS_[[Check Periodo Ref.]:[Check Periodo Ref.]]="Dentro",IF(DATOS_[[Check Equiparado]:[Check Equiparado]]="Sí",IF(DATOS!BA$5="Sí",(1/DATOS_[[% anualiz]:[% anualiz]]),1)*IF(DATOS!BA$4="Sí",1/DATOS_[[% normaliz]:[% normaliz]],1)*(DATOS_[Conc.Sal.23])))))))),
0)</f>
        <v>0</v>
      </c>
      <c r="AG82" s="101">
        <f t="array" ref="AG82">IFERROR(
(AVERAGE((IF(DATOS_[[Sexo]:[Sexo]]=$B82,IF(DATOS_[[AGRUP. VALOR. PTO.]:[AGRUP. VALOR. PTO.]]=$B81,IF(DATOS_[[Check Periodo Ref.]:[Check Periodo Ref.]]="Dentro",IF(DATOS_[[Check Equiparado]:[Check Equiparado]]="Sí",IF(DATOS!BB$5="Sí",(1/DATOS_[[% anualiz]:[% anualiz]]),1)*IF(DATOS!BB$4="Sí",1/DATOS_[[% normaliz]:[% normaliz]],1)*(DATOS_[Conc.Sal.24])))))))),
0)</f>
        <v>0</v>
      </c>
      <c r="AH82" s="101">
        <f t="array" ref="AH82">IFERROR(
(AVERAGE((IF(DATOS_[[Sexo]:[Sexo]]=$B82,IF(DATOS_[[AGRUP. VALOR. PTO.]:[AGRUP. VALOR. PTO.]]=$B81,IF(DATOS_[[Check Periodo Ref.]:[Check Periodo Ref.]]="Dentro",IF(DATOS_[[Check Equiparado]:[Check Equiparado]]="Sí",IF(DATOS!BC$5="Sí",(1/DATOS_[[% anualiz]:[% anualiz]]),1)*IF(DATOS!BC$4="Sí",1/DATOS_[[% normaliz]:[% normaliz]],1)*(DATOS_[Conc.Sal.25])))))))),
0)</f>
        <v>0</v>
      </c>
      <c r="AI82" s="101">
        <f t="array" ref="AI82">IFERROR(
(AVERAGE((IF(DATOS_[[Sexo]:[Sexo]]=$B82,IF(DATOS_[[AGRUP. VALOR. PTO.]:[AGRUP. VALOR. PTO.]]=$B81,IF(DATOS_[[Check Periodo Ref.]:[Check Periodo Ref.]]="Dentro",IF(DATOS_[[Check Equiparado]:[Check Equiparado]]="Sí",IF(DATOS!BD$5="Sí",(1/DATOS_[[% anualiz]:[% anualiz]]),1)*IF(DATOS!BD$4="Sí",1/DATOS_[[% normaliz]:[% normaliz]],1)*(DATOS_[Conc.Sal.26])))))))),
0)</f>
        <v>0</v>
      </c>
      <c r="AJ82" s="101">
        <f t="array" ref="AJ82">IFERROR(
(AVERAGE((IF(DATOS_[[Sexo]:[Sexo]]=$B82,IF(DATOS_[[AGRUP. VALOR. PTO.]:[AGRUP. VALOR. PTO.]]=$B81,IF(DATOS_[[Check Periodo Ref.]:[Check Periodo Ref.]]="Dentro",IF(DATOS_[[Check Equiparado]:[Check Equiparado]]="Sí",IF(DATOS!BE$5="Sí",(1/DATOS_[[% anualiz]:[% anualiz]]),1)*IF(DATOS!BE$4="Sí",1/DATOS_[[% normaliz]:[% normaliz]],1)*(DATOS_[Conc.Sal.27])))))))),
0)</f>
        <v>0</v>
      </c>
      <c r="AK82" s="101">
        <f t="array" ref="AK82">IFERROR(
(AVERAGE((IF(DATOS_[[Sexo]:[Sexo]]=$B82,IF(DATOS_[[AGRUP. VALOR. PTO.]:[AGRUP. VALOR. PTO.]]=$B81,IF(DATOS_[[Check Periodo Ref.]:[Check Periodo Ref.]]="Dentro",IF(DATOS_[[Check Equiparado]:[Check Equiparado]]="Sí",IF(DATOS!BF$5="Sí",(1/DATOS_[[% anualiz]:[% anualiz]]),1)*IF(DATOS!BF$4="Sí",1/DATOS_[[% normaliz]:[% normaliz]],1)*(DATOS_[Conc.Sal.28])))))))),
0)</f>
        <v>0</v>
      </c>
      <c r="AL82" s="101">
        <f t="array" ref="AL82">IFERROR(
(AVERAGE((IF(DATOS_[[Sexo]:[Sexo]]=$B82,IF(DATOS_[[AGRUP. VALOR. PTO.]:[AGRUP. VALOR. PTO.]]=$B81,IF(DATOS_[[Check Periodo Ref.]:[Check Periodo Ref.]]="Dentro",IF(DATOS_[[Check Equiparado]:[Check Equiparado]]="Sí",IF(DATOS!BG$5="Sí",(1/DATOS_[[% anualiz]:[% anualiz]]),1)*IF(DATOS!BG$4="Sí",1/DATOS_[[% normaliz]:[% normaliz]],1)*(DATOS_[Conc.Sal.29])))))))),
0)</f>
        <v>0</v>
      </c>
      <c r="AM82" s="101">
        <f t="array" ref="AM82">IFERROR(
(AVERAGE((IF(DATOS_[[Sexo]:[Sexo]]=$B82,IF(DATOS_[[AGRUP. VALOR. PTO.]:[AGRUP. VALOR. PTO.]]=$B81,IF(DATOS_[[Check Periodo Ref.]:[Check Periodo Ref.]]="Dentro",IF(DATOS_[[Check Equiparado]:[Check Equiparado]]="Sí",IF(DATOS!BH$5="Sí",(1/DATOS_[[% anualiz]:[% anualiz]]),1)*IF(DATOS!BH$4="Sí",1/DATOS_[[% normaliz]:[% normaliz]],1)*(DATOS_[Conc.Sal.30])))))))),
0)</f>
        <v>0</v>
      </c>
      <c r="AN82" s="102">
        <f t="array" ref="AN82">IFERROR(
AVERAGE(IF(DATOS_[Sexo]=$B82,IF(DATOS_[[AGRUP. VALOR. PTO.]:[AGRUP. VALOR. PTO.]]=$B81,IF(DATOS_[Check Equiparado]="Sí",IF(DATOS_[Check Periodo Ref.]="Dentro",DATOS_[Tot COMPL.SAL Eq],FALSE))))),
0)</f>
        <v>0</v>
      </c>
      <c r="AO82" s="103">
        <f t="array" ref="AO82">IFERROR(
AVERAGE(IF(DATOS_[Sexo]=$B82,IF(DATOS_[[AGRUP. VALOR. PTO.]:[AGRUP. VALOR. PTO.]]=$B81,IF(DATOS_[Check Equiparado]="Sí",IF(DATOS_[Check Periodo Ref.]="Dentro",DATOS_[TOTAL SALARIO Eq],FALSE))))),
0)</f>
        <v>0</v>
      </c>
      <c r="AP82" s="104">
        <f t="array" ref="AP82">IFERROR(
(AVERAGE((IF(DATOS_[[Sexo]:[Sexo]]=$B82,IF(DATOS_[[AGRUP. VALOR. PTO.]:[AGRUP. VALOR. PTO.]]=$B81,IF(DATOS_[[Check Periodo Ref.]:[Check Periodo Ref.]]="Dentro",IF(DATOS_[[Check Equiparado]:[Check Equiparado]]="Sí",IF(DATOS!BI$5="Sí",(1/DATOS_[[% anualiz]:[% anualiz]]),1)*IF(DATOS!BI$4="Sí",1/DATOS_[[% normaliz]:[% normaliz]],1)*(DATOS_[C.Extra.01])))))))),
0)</f>
        <v>0</v>
      </c>
      <c r="AQ82" s="104">
        <f t="array" ref="AQ82">IFERROR(
(AVERAGE((IF(DATOS_[[Sexo]:[Sexo]]=$B82,IF(DATOS_[[AGRUP. VALOR. PTO.]:[AGRUP. VALOR. PTO.]]=$B81,IF(DATOS_[[Check Periodo Ref.]:[Check Periodo Ref.]]="Dentro",IF(DATOS_[[Check Equiparado]:[Check Equiparado]]="Sí",IF(DATOS!BJ$5="Sí",(1/DATOS_[[% anualiz]:[% anualiz]]),1)*IF(DATOS!BJ$4="Sí",1/DATOS_[[% normaliz]:[% normaliz]],1)*(DATOS_[C.Extra.02])))))))),
0)</f>
        <v>0</v>
      </c>
      <c r="AR82" s="104">
        <f t="array" ref="AR82">IFERROR(
(AVERAGE((IF(DATOS_[[Sexo]:[Sexo]]=$B82,IF(DATOS_[[AGRUP. VALOR. PTO.]:[AGRUP. VALOR. PTO.]]=$B81,IF(DATOS_[[Check Periodo Ref.]:[Check Periodo Ref.]]="Dentro",IF(DATOS_[[Check Equiparado]:[Check Equiparado]]="Sí",IF(DATOS!BK$5="Sí",(1/DATOS_[[% anualiz]:[% anualiz]]),1)*IF(DATOS!BK$4="Sí",1/DATOS_[[% normaliz]:[% normaliz]],1)*(DATOS_[C.Extra.03])))))))),
0)</f>
        <v>0</v>
      </c>
      <c r="AS82" s="104">
        <f t="array" ref="AS82">IFERROR(
(AVERAGE((IF(DATOS_[[Sexo]:[Sexo]]=$B82,IF(DATOS_[[AGRUP. VALOR. PTO.]:[AGRUP. VALOR. PTO.]]=$B81,IF(DATOS_[[Check Periodo Ref.]:[Check Periodo Ref.]]="Dentro",IF(DATOS_[[Check Equiparado]:[Check Equiparado]]="Sí",IF(DATOS!BL$5="Sí",(1/DATOS_[[% anualiz]:[% anualiz]]),1)*IF(DATOS!BL$4="Sí",1/DATOS_[[% normaliz]:[% normaliz]],1)*(DATOS_[C.Extra.04])))))))),
0)</f>
        <v>0</v>
      </c>
      <c r="AT82" s="104">
        <f t="array" ref="AT82">IFERROR(
(AVERAGE((IF(DATOS_[[Sexo]:[Sexo]]=$B82,IF(DATOS_[[AGRUP. VALOR. PTO.]:[AGRUP. VALOR. PTO.]]=$B81,IF(DATOS_[[Check Periodo Ref.]:[Check Periodo Ref.]]="Dentro",IF(DATOS_[[Check Equiparado]:[Check Equiparado]]="Sí",IF(DATOS!BM$5="Sí",(1/DATOS_[[% anualiz]:[% anualiz]]),1)*IF(DATOS!BM$4="Sí",1/DATOS_[[% normaliz]:[% normaliz]],1)*(DATOS_[C.Extra.05])))))))),
0)</f>
        <v>0</v>
      </c>
      <c r="AU82" s="105">
        <f t="array" ref="AU82">IFERROR(
AVERAGE(IF(DATOS_[Sexo]=$B82,IF(DATOS_[[AGRUP. VALOR. PTO.]:[AGRUP. VALOR. PTO.]]=$B81,IF(DATOS_[Check Equiparado]="Sí",IF(DATOS_[Check Periodo Ref.]="Dentro",DATOS_[Tot Extrasalarial Eq],FALSE))))),
0)</f>
        <v>0</v>
      </c>
      <c r="AV82" s="106">
        <f t="array" ref="AV82">IFERROR(
AVERAGE(IF(DATOS_[Sexo]=$B82,IF(DATOS_[[AGRUP. VALOR. PTO.]:[AGRUP. VALOR. PTO.]]=$B81,IF(DATOS_[Check Equiparado]="Sí",IF(DATOS_[Check Periodo Ref.]="Dentro",DATOS_[TOTAL Retrib Eq],FALSE))))),
0)</f>
        <v>0</v>
      </c>
    </row>
    <row r="83" spans="1:48" hidden="1" x14ac:dyDescent="0.3">
      <c r="A83" s="53" t="str">
        <f t="shared" ref="A83" si="94">+A82</f>
        <v>[ocultar]</v>
      </c>
      <c r="B83" s="57" t="s">
        <v>163</v>
      </c>
      <c r="C83" s="56">
        <f t="array" ref="C83">SUM(IF($B83=DATOS_[Sexo],
IF($B81=DATOS_[AGRUP. VALOR. PTO.],
IF("Dentro"=DATOS_[Check Periodo Ref.],
1/(COUNTIFS(DATOS_[Sexo],$B83,DATOS_[AGRUP. VALOR. PTO.],$B81,DATOS_[Check Periodo Ref.],"Dentro",DATOS_[id],DATOS_[id]))))))</f>
        <v>0</v>
      </c>
      <c r="D83" s="58">
        <f>COUNTIFS(DATOS_[AGRUP. VALOR. PTO.],$B81,DATOS_[Sexo],$B83,DATOS_[Check Periodo Ref.],"Dentro")</f>
        <v>0</v>
      </c>
      <c r="E83" s="58">
        <f>COUNTIFS(DATOS_[AGRUP. VALOR. PTO.],$B81,DATOS_[Sexo],$B83,DATOS_[Check Periodo Ref.],"Dentro",DATOS_[Check Nº SC Norm],"Sí")</f>
        <v>0</v>
      </c>
      <c r="F83" s="58">
        <f>COUNTIFS(DATOS_[AGRUP. VALOR. PTO.],$B81,DATOS_[Sexo],$B83,DATOS_[Check Periodo Ref.],"Dentro",DATOS_[Check Nº SC Anualiz],"Sí")</f>
        <v>0</v>
      </c>
      <c r="G83" s="58">
        <f>COUNTIFS(DATOS_[AGRUP. VALOR. PTO.],$B81,DATOS_[Sexo],$B83,DATOS_[Check Periodo Ref.],"Dentro",DATOS_[Check Nº SC Norm y Anualiz],"Sí")</f>
        <v>0</v>
      </c>
      <c r="H83" s="58">
        <f>COUNTIFS(DATOS_[AGRUP. VALOR. PTO.],$B81,DATOS_[Sexo],$B83,DATOS_[Check Periodo Ref.],"Dentro",DATOS_[Check Equiparación],"Sí")</f>
        <v>0</v>
      </c>
      <c r="I83" s="100" cm="1">
        <f t="array" ref="I83">IFERROR(
AVERAGE(IF(DATOS_[Sexo]=$B83,IF(DATOS_[[AGRUP. VALOR. PTO.]:[AGRUP. VALOR. PTO.]]=$B81,IF(DATOS_[Check Equiparado]="Sí",IF(DATOS_[Check Periodo Ref.]="Dentro",DATOS_[SALARIO BASE Eq],FALSE))))),
0)</f>
        <v>0</v>
      </c>
      <c r="J83" s="101">
        <f t="array" ref="J83">IFERROR(
(AVERAGE((IF(DATOS_[[Sexo]:[Sexo]]=$B83,IF(DATOS_[[AGRUP. VALOR. PTO.]:[AGRUP. VALOR. PTO.]]=$B81,IF(DATOS_[[Check Periodo Ref.]:[Check Periodo Ref.]]="Dentro",IF(DATOS_[[Check Equiparado]:[Check Equiparado]]="Sí",IF(DATOS!AE$5="Sí",(1/DATOS_[[% anualiz]:[% anualiz]]),1)*IF(DATOS!AE$4="Sí",1/DATOS_[[% normaliz]:[% normaliz]],1)*(DATOS_[Conc.Sal.01])))))))),
0)</f>
        <v>0</v>
      </c>
      <c r="K83" s="101">
        <f t="array" ref="K83">IFERROR(
(AVERAGE((IF(DATOS_[[Sexo]:[Sexo]]=$B83,IF(DATOS_[[AGRUP. VALOR. PTO.]:[AGRUP. VALOR. PTO.]]=$B81,IF(DATOS_[[Check Periodo Ref.]:[Check Periodo Ref.]]="Dentro",IF(DATOS_[[Check Equiparado]:[Check Equiparado]]="Sí",IF(DATOS!AF$5="Sí",(1/DATOS_[[% anualiz]:[% anualiz]]),1)*IF(DATOS!AF$4="Sí",1/DATOS_[[% normaliz]:[% normaliz]],1)*(DATOS_[Conc.Sal.02])))))))),
0)</f>
        <v>0</v>
      </c>
      <c r="L83" s="101">
        <f t="array" ref="L83">IFERROR(
(AVERAGE((IF(DATOS_[[Sexo]:[Sexo]]=$B83,IF(DATOS_[[AGRUP. VALOR. PTO.]:[AGRUP. VALOR. PTO.]]=$B81,IF(DATOS_[[Check Periodo Ref.]:[Check Periodo Ref.]]="Dentro",IF(DATOS_[[Check Equiparado]:[Check Equiparado]]="Sí",IF(DATOS!AG$5="Sí",(1/DATOS_[[% anualiz]:[% anualiz]]),1)*IF(DATOS!AG$4="Sí",1/DATOS_[[% normaliz]:[% normaliz]],1)*(DATOS_[Conc.Sal.03])))))))),
0)</f>
        <v>0</v>
      </c>
      <c r="M83" s="101">
        <f t="array" ref="M83">IFERROR(
(AVERAGE((IF(DATOS_[[Sexo]:[Sexo]]=$B83,IF(DATOS_[[AGRUP. VALOR. PTO.]:[AGRUP. VALOR. PTO.]]=$B81,IF(DATOS_[[Check Periodo Ref.]:[Check Periodo Ref.]]="Dentro",IF(DATOS_[[Check Equiparado]:[Check Equiparado]]="Sí",IF(DATOS!AH$5="Sí",(1/DATOS_[[% anualiz]:[% anualiz]]),1)*IF(DATOS!AH$4="Sí",1/DATOS_[[% normaliz]:[% normaliz]],1)*(DATOS_[Conc.Sal.04])))))))),
0)</f>
        <v>0</v>
      </c>
      <c r="N83" s="101">
        <f t="array" ref="N83">IFERROR(
(AVERAGE((IF(DATOS_[[Sexo]:[Sexo]]=$B83,IF(DATOS_[[AGRUP. VALOR. PTO.]:[AGRUP. VALOR. PTO.]]=$B81,IF(DATOS_[[Check Periodo Ref.]:[Check Periodo Ref.]]="Dentro",IF(DATOS_[[Check Equiparado]:[Check Equiparado]]="Sí",IF(DATOS!AI$5="Sí",(1/DATOS_[[% anualiz]:[% anualiz]]),1)*IF(DATOS!AI$4="Sí",1/DATOS_[[% normaliz]:[% normaliz]],1)*(DATOS_[Conc.Sal.05])))))))),
0)</f>
        <v>0</v>
      </c>
      <c r="O83" s="101">
        <f t="array" ref="O83">IFERROR(
(AVERAGE((IF(DATOS_[[Sexo]:[Sexo]]=$B83,IF(DATOS_[[AGRUP. VALOR. PTO.]:[AGRUP. VALOR. PTO.]]=$B81,IF(DATOS_[[Check Periodo Ref.]:[Check Periodo Ref.]]="Dentro",IF(DATOS_[[Check Equiparado]:[Check Equiparado]]="Sí",IF(DATOS!AJ$5="Sí",(1/DATOS_[[% anualiz]:[% anualiz]]),1)*IF(DATOS!AJ$4="Sí",1/DATOS_[[% normaliz]:[% normaliz]],1)*(DATOS_[Conc.Sal.06])))))))),
0)</f>
        <v>0</v>
      </c>
      <c r="P83" s="101">
        <f t="array" ref="P83">IFERROR(
(AVERAGE((IF(DATOS_[[Sexo]:[Sexo]]=$B83,IF(DATOS_[[AGRUP. VALOR. PTO.]:[AGRUP. VALOR. PTO.]]=$B81,IF(DATOS_[[Check Periodo Ref.]:[Check Periodo Ref.]]="Dentro",IF(DATOS_[[Check Equiparado]:[Check Equiparado]]="Sí",IF(DATOS!AK$5="Sí",(1/DATOS_[[% anualiz]:[% anualiz]]),1)*IF(DATOS!AK$4="Sí",1/DATOS_[[% normaliz]:[% normaliz]],1)*(DATOS_[Conc.Sal.07])))))))),
0)</f>
        <v>0</v>
      </c>
      <c r="Q83" s="101">
        <f t="array" ref="Q83">IFERROR(
(AVERAGE((IF(DATOS_[[Sexo]:[Sexo]]=$B83,IF(DATOS_[[AGRUP. VALOR. PTO.]:[AGRUP. VALOR. PTO.]]=$B81,IF(DATOS_[[Check Periodo Ref.]:[Check Periodo Ref.]]="Dentro",IF(DATOS_[[Check Equiparado]:[Check Equiparado]]="Sí",IF(DATOS!AL$5="Sí",(1/DATOS_[[% anualiz]:[% anualiz]]),1)*IF(DATOS!AL$4="Sí",1/DATOS_[[% normaliz]:[% normaliz]],1)*(DATOS_[Conc.Sal.08])))))))),
0)</f>
        <v>0</v>
      </c>
      <c r="R83" s="101">
        <f t="array" ref="R83">IFERROR(
(AVERAGE((IF(DATOS_[[Sexo]:[Sexo]]=$B83,IF(DATOS_[[AGRUP. VALOR. PTO.]:[AGRUP. VALOR. PTO.]]=$B81,IF(DATOS_[[Check Periodo Ref.]:[Check Periodo Ref.]]="Dentro",IF(DATOS_[[Check Equiparado]:[Check Equiparado]]="Sí",IF(DATOS!AM$5="Sí",(1/DATOS_[[% anualiz]:[% anualiz]]),1)*IF(DATOS!AM$4="Sí",1/DATOS_[[% normaliz]:[% normaliz]],1)*(DATOS_[Conc.Sal.09])))))))),
0)</f>
        <v>0</v>
      </c>
      <c r="S83" s="101">
        <f t="array" ref="S83">IFERROR(
(AVERAGE((IF(DATOS_[[Sexo]:[Sexo]]=$B83,IF(DATOS_[[AGRUP. VALOR. PTO.]:[AGRUP. VALOR. PTO.]]=$B81,IF(DATOS_[[Check Periodo Ref.]:[Check Periodo Ref.]]="Dentro",IF(DATOS_[[Check Equiparado]:[Check Equiparado]]="Sí",IF(DATOS!AN$5="Sí",(1/DATOS_[[% anualiz]:[% anualiz]]),1)*IF(DATOS!AN$4="Sí",1/DATOS_[[% normaliz]:[% normaliz]],1)*(DATOS_[Conc.Sal.10])))))))),
0)</f>
        <v>0</v>
      </c>
      <c r="T83" s="101">
        <f t="array" ref="T83">IFERROR(
(AVERAGE((IF(DATOS_[[Sexo]:[Sexo]]=$B83,IF(DATOS_[[AGRUP. VALOR. PTO.]:[AGRUP. VALOR. PTO.]]=$B81,IF(DATOS_[[Check Periodo Ref.]:[Check Periodo Ref.]]="Dentro",IF(DATOS_[[Check Equiparado]:[Check Equiparado]]="Sí",IF(DATOS!AO$5="Sí",(1/DATOS_[[% anualiz]:[% anualiz]]),1)*IF(DATOS!AO$4="Sí",1/DATOS_[[% normaliz]:[% normaliz]],1)*(DATOS_[Conc.Sal.11])))))))),
0)</f>
        <v>0</v>
      </c>
      <c r="U83" s="101">
        <f t="array" ref="U83">IFERROR(
(AVERAGE((IF(DATOS_[[Sexo]:[Sexo]]=$B83,IF(DATOS_[[AGRUP. VALOR. PTO.]:[AGRUP. VALOR. PTO.]]=$B81,IF(DATOS_[[Check Periodo Ref.]:[Check Periodo Ref.]]="Dentro",IF(DATOS_[[Check Equiparado]:[Check Equiparado]]="Sí",IF(DATOS!AP$5="Sí",(1/DATOS_[[% anualiz]:[% anualiz]]),1)*IF(DATOS!AP$4="Sí",1/DATOS_[[% normaliz]:[% normaliz]],1)*(DATOS_[Conc.Sal.12])))))))),
0)</f>
        <v>0</v>
      </c>
      <c r="V83" s="101">
        <f t="array" ref="V83">IFERROR(
(AVERAGE((IF(DATOS_[[Sexo]:[Sexo]]=$B83,IF(DATOS_[[AGRUP. VALOR. PTO.]:[AGRUP. VALOR. PTO.]]=$B81,IF(DATOS_[[Check Periodo Ref.]:[Check Periodo Ref.]]="Dentro",IF(DATOS_[[Check Equiparado]:[Check Equiparado]]="Sí",IF(DATOS!AQ$5="Sí",(1/DATOS_[[% anualiz]:[% anualiz]]),1)*IF(DATOS!AQ$4="Sí",1/DATOS_[[% normaliz]:[% normaliz]],1)*(DATOS_[Conc.Sal.13])))))))),
0)</f>
        <v>0</v>
      </c>
      <c r="W83" s="101">
        <f t="array" ref="W83">IFERROR(
(AVERAGE((IF(DATOS_[[Sexo]:[Sexo]]=$B83,IF(DATOS_[[AGRUP. VALOR. PTO.]:[AGRUP. VALOR. PTO.]]=$B81,IF(DATOS_[[Check Periodo Ref.]:[Check Periodo Ref.]]="Dentro",IF(DATOS_[[Check Equiparado]:[Check Equiparado]]="Sí",IF(DATOS!AR$5="Sí",(1/DATOS_[[% anualiz]:[% anualiz]]),1)*IF(DATOS!AR$4="Sí",1/DATOS_[[% normaliz]:[% normaliz]],1)*(DATOS_[Conc.Sal.14])))))))),
0)</f>
        <v>0</v>
      </c>
      <c r="X83" s="101">
        <f t="array" ref="X83">IFERROR(
(AVERAGE((IF(DATOS_[[Sexo]:[Sexo]]=$B83,IF(DATOS_[[AGRUP. VALOR. PTO.]:[AGRUP. VALOR. PTO.]]=$B81,IF(DATOS_[[Check Periodo Ref.]:[Check Periodo Ref.]]="Dentro",IF(DATOS_[[Check Equiparado]:[Check Equiparado]]="Sí",IF(DATOS!AS$5="Sí",(1/DATOS_[[% anualiz]:[% anualiz]]),1)*IF(DATOS!AS$4="Sí",1/DATOS_[[% normaliz]:[% normaliz]],1)*(DATOS_[Conc.Sal.15])))))))),
0)</f>
        <v>0</v>
      </c>
      <c r="Y83" s="101">
        <f t="array" ref="Y83">IFERROR(
(AVERAGE((IF(DATOS_[[Sexo]:[Sexo]]=$B83,IF(DATOS_[[AGRUP. VALOR. PTO.]:[AGRUP. VALOR. PTO.]]=$B81,IF(DATOS_[[Check Periodo Ref.]:[Check Periodo Ref.]]="Dentro",IF(DATOS_[[Check Equiparado]:[Check Equiparado]]="Sí",IF(DATOS!AT$5="Sí",(1/DATOS_[[% anualiz]:[% anualiz]]),1)*IF(DATOS!AT$4="Sí",1/DATOS_[[% normaliz]:[% normaliz]],1)*(DATOS_[Conc.Sal.16])))))))),
0)</f>
        <v>0</v>
      </c>
      <c r="Z83" s="101">
        <f t="array" ref="Z83">IFERROR(
(AVERAGE((IF(DATOS_[[Sexo]:[Sexo]]=$B83,IF(DATOS_[[AGRUP. VALOR. PTO.]:[AGRUP. VALOR. PTO.]]=$B81,IF(DATOS_[[Check Periodo Ref.]:[Check Periodo Ref.]]="Dentro",IF(DATOS_[[Check Equiparado]:[Check Equiparado]]="Sí",IF(DATOS!AU$5="Sí",(1/DATOS_[[% anualiz]:[% anualiz]]),1)*IF(DATOS!AU$4="Sí",1/DATOS_[[% normaliz]:[% normaliz]],1)*(DATOS_[Conc.Sal.17])))))))),
0)</f>
        <v>0</v>
      </c>
      <c r="AA83" s="101">
        <f t="array" ref="AA83">IFERROR(
(AVERAGE((IF(DATOS_[[Sexo]:[Sexo]]=$B83,IF(DATOS_[[AGRUP. VALOR. PTO.]:[AGRUP. VALOR. PTO.]]=$B81,IF(DATOS_[[Check Periodo Ref.]:[Check Periodo Ref.]]="Dentro",IF(DATOS_[[Check Equiparado]:[Check Equiparado]]="Sí",IF(DATOS!AV$5="Sí",(1/DATOS_[[% anualiz]:[% anualiz]]),1)*IF(DATOS!AV$4="Sí",1/DATOS_[[% normaliz]:[% normaliz]],1)*(DATOS_[Conc.Sal.18])))))))),
0)</f>
        <v>0</v>
      </c>
      <c r="AB83" s="101">
        <f t="array" ref="AB83">IFERROR(
(AVERAGE((IF(DATOS_[[Sexo]:[Sexo]]=$B83,IF(DATOS_[[AGRUP. VALOR. PTO.]:[AGRUP. VALOR. PTO.]]=$B81,IF(DATOS_[[Check Periodo Ref.]:[Check Periodo Ref.]]="Dentro",IF(DATOS_[[Check Equiparado]:[Check Equiparado]]="Sí",IF(DATOS!AW$5="Sí",(1/DATOS_[[% anualiz]:[% anualiz]]),1)*IF(DATOS!AW$4="Sí",1/DATOS_[[% normaliz]:[% normaliz]],1)*(DATOS_[Conc.Sal.19])))))))),
0)</f>
        <v>0</v>
      </c>
      <c r="AC83" s="101">
        <f t="array" ref="AC83">IFERROR(
(AVERAGE((IF(DATOS_[[Sexo]:[Sexo]]=$B83,IF(DATOS_[[AGRUP. VALOR. PTO.]:[AGRUP. VALOR. PTO.]]=$B81,IF(DATOS_[[Check Periodo Ref.]:[Check Periodo Ref.]]="Dentro",IF(DATOS_[[Check Equiparado]:[Check Equiparado]]="Sí",IF(DATOS!AX$5="Sí",(1/DATOS_[[% anualiz]:[% anualiz]]),1)*IF(DATOS!AX$4="Sí",1/DATOS_[[% normaliz]:[% normaliz]],1)*(DATOS_[Conc.Sal.20])))))))),
0)</f>
        <v>0</v>
      </c>
      <c r="AD83" s="101">
        <f t="array" ref="AD83">IFERROR(
(AVERAGE((IF(DATOS_[[Sexo]:[Sexo]]=$B83,IF(DATOS_[[AGRUP. VALOR. PTO.]:[AGRUP. VALOR. PTO.]]=$B81,IF(DATOS_[[Check Periodo Ref.]:[Check Periodo Ref.]]="Dentro",IF(DATOS_[[Check Equiparado]:[Check Equiparado]]="Sí",IF(DATOS!AY$5="Sí",(1/DATOS_[[% anualiz]:[% anualiz]]),1)*IF(DATOS!AY$4="Sí",1/DATOS_[[% normaliz]:[% normaliz]],1)*(DATOS_[Conc.Sal.21])))))))),
0)</f>
        <v>0</v>
      </c>
      <c r="AE83" s="101">
        <f t="array" ref="AE83">IFERROR(
(AVERAGE((IF(DATOS_[[Sexo]:[Sexo]]=$B83,IF(DATOS_[[AGRUP. VALOR. PTO.]:[AGRUP. VALOR. PTO.]]=$B81,IF(DATOS_[[Check Periodo Ref.]:[Check Periodo Ref.]]="Dentro",IF(DATOS_[[Check Equiparado]:[Check Equiparado]]="Sí",IF(DATOS!AZ$5="Sí",(1/DATOS_[[% anualiz]:[% anualiz]]),1)*IF(DATOS!AZ$4="Sí",1/DATOS_[[% normaliz]:[% normaliz]],1)*(DATOS_[Conc.Sal.22])))))))),
0)</f>
        <v>0</v>
      </c>
      <c r="AF83" s="101">
        <f t="array" ref="AF83">IFERROR(
(AVERAGE((IF(DATOS_[[Sexo]:[Sexo]]=$B83,IF(DATOS_[[AGRUP. VALOR. PTO.]:[AGRUP. VALOR. PTO.]]=$B81,IF(DATOS_[[Check Periodo Ref.]:[Check Periodo Ref.]]="Dentro",IF(DATOS_[[Check Equiparado]:[Check Equiparado]]="Sí",IF(DATOS!BA$5="Sí",(1/DATOS_[[% anualiz]:[% anualiz]]),1)*IF(DATOS!BA$4="Sí",1/DATOS_[[% normaliz]:[% normaliz]],1)*(DATOS_[Conc.Sal.23])))))))),
0)</f>
        <v>0</v>
      </c>
      <c r="AG83" s="101">
        <f t="array" ref="AG83">IFERROR(
(AVERAGE((IF(DATOS_[[Sexo]:[Sexo]]=$B83,IF(DATOS_[[AGRUP. VALOR. PTO.]:[AGRUP. VALOR. PTO.]]=$B81,IF(DATOS_[[Check Periodo Ref.]:[Check Periodo Ref.]]="Dentro",IF(DATOS_[[Check Equiparado]:[Check Equiparado]]="Sí",IF(DATOS!BB$5="Sí",(1/DATOS_[[% anualiz]:[% anualiz]]),1)*IF(DATOS!BB$4="Sí",1/DATOS_[[% normaliz]:[% normaliz]],1)*(DATOS_[Conc.Sal.24])))))))),
0)</f>
        <v>0</v>
      </c>
      <c r="AH83" s="101">
        <f t="array" ref="AH83">IFERROR(
(AVERAGE((IF(DATOS_[[Sexo]:[Sexo]]=$B83,IF(DATOS_[[AGRUP. VALOR. PTO.]:[AGRUP. VALOR. PTO.]]=$B81,IF(DATOS_[[Check Periodo Ref.]:[Check Periodo Ref.]]="Dentro",IF(DATOS_[[Check Equiparado]:[Check Equiparado]]="Sí",IF(DATOS!BC$5="Sí",(1/DATOS_[[% anualiz]:[% anualiz]]),1)*IF(DATOS!BC$4="Sí",1/DATOS_[[% normaliz]:[% normaliz]],1)*(DATOS_[Conc.Sal.25])))))))),
0)</f>
        <v>0</v>
      </c>
      <c r="AI83" s="101">
        <f t="array" ref="AI83">IFERROR(
(AVERAGE((IF(DATOS_[[Sexo]:[Sexo]]=$B83,IF(DATOS_[[AGRUP. VALOR. PTO.]:[AGRUP. VALOR. PTO.]]=$B81,IF(DATOS_[[Check Periodo Ref.]:[Check Periodo Ref.]]="Dentro",IF(DATOS_[[Check Equiparado]:[Check Equiparado]]="Sí",IF(DATOS!BD$5="Sí",(1/DATOS_[[% anualiz]:[% anualiz]]),1)*IF(DATOS!BD$4="Sí",1/DATOS_[[% normaliz]:[% normaliz]],1)*(DATOS_[Conc.Sal.26])))))))),
0)</f>
        <v>0</v>
      </c>
      <c r="AJ83" s="101">
        <f t="array" ref="AJ83">IFERROR(
(AVERAGE((IF(DATOS_[[Sexo]:[Sexo]]=$B83,IF(DATOS_[[AGRUP. VALOR. PTO.]:[AGRUP. VALOR. PTO.]]=$B81,IF(DATOS_[[Check Periodo Ref.]:[Check Periodo Ref.]]="Dentro",IF(DATOS_[[Check Equiparado]:[Check Equiparado]]="Sí",IF(DATOS!BE$5="Sí",(1/DATOS_[[% anualiz]:[% anualiz]]),1)*IF(DATOS!BE$4="Sí",1/DATOS_[[% normaliz]:[% normaliz]],1)*(DATOS_[Conc.Sal.27])))))))),
0)</f>
        <v>0</v>
      </c>
      <c r="AK83" s="101">
        <f t="array" ref="AK83">IFERROR(
(AVERAGE((IF(DATOS_[[Sexo]:[Sexo]]=$B83,IF(DATOS_[[AGRUP. VALOR. PTO.]:[AGRUP. VALOR. PTO.]]=$B81,IF(DATOS_[[Check Periodo Ref.]:[Check Periodo Ref.]]="Dentro",IF(DATOS_[[Check Equiparado]:[Check Equiparado]]="Sí",IF(DATOS!BF$5="Sí",(1/DATOS_[[% anualiz]:[% anualiz]]),1)*IF(DATOS!BF$4="Sí",1/DATOS_[[% normaliz]:[% normaliz]],1)*(DATOS_[Conc.Sal.28])))))))),
0)</f>
        <v>0</v>
      </c>
      <c r="AL83" s="101">
        <f t="array" ref="AL83">IFERROR(
(AVERAGE((IF(DATOS_[[Sexo]:[Sexo]]=$B83,IF(DATOS_[[AGRUP. VALOR. PTO.]:[AGRUP. VALOR. PTO.]]=$B81,IF(DATOS_[[Check Periodo Ref.]:[Check Periodo Ref.]]="Dentro",IF(DATOS_[[Check Equiparado]:[Check Equiparado]]="Sí",IF(DATOS!BG$5="Sí",(1/DATOS_[[% anualiz]:[% anualiz]]),1)*IF(DATOS!BG$4="Sí",1/DATOS_[[% normaliz]:[% normaliz]],1)*(DATOS_[Conc.Sal.29])))))))),
0)</f>
        <v>0</v>
      </c>
      <c r="AM83" s="101">
        <f t="array" ref="AM83">IFERROR(
(AVERAGE((IF(DATOS_[[Sexo]:[Sexo]]=$B83,IF(DATOS_[[AGRUP. VALOR. PTO.]:[AGRUP. VALOR. PTO.]]=$B81,IF(DATOS_[[Check Periodo Ref.]:[Check Periodo Ref.]]="Dentro",IF(DATOS_[[Check Equiparado]:[Check Equiparado]]="Sí",IF(DATOS!BH$5="Sí",(1/DATOS_[[% anualiz]:[% anualiz]]),1)*IF(DATOS!BH$4="Sí",1/DATOS_[[% normaliz]:[% normaliz]],1)*(DATOS_[Conc.Sal.30])))))))),
0)</f>
        <v>0</v>
      </c>
      <c r="AN83" s="102">
        <f t="array" ref="AN83">IFERROR(
AVERAGE(IF(DATOS_[Sexo]=$B83,IF(DATOS_[[AGRUP. VALOR. PTO.]:[AGRUP. VALOR. PTO.]]=$B81,IF(DATOS_[Check Equiparado]="Sí",IF(DATOS_[Check Periodo Ref.]="Dentro",DATOS_[Tot COMPL.SAL Eq],FALSE))))),
0)</f>
        <v>0</v>
      </c>
      <c r="AO83" s="103">
        <f t="array" ref="AO83">IFERROR(
AVERAGE(IF(DATOS_[Sexo]=$B83,IF(DATOS_[[AGRUP. VALOR. PTO.]:[AGRUP. VALOR. PTO.]]=$B81,IF(DATOS_[Check Equiparado]="Sí",IF(DATOS_[Check Periodo Ref.]="Dentro",DATOS_[TOTAL SALARIO Eq],FALSE))))),
0)</f>
        <v>0</v>
      </c>
      <c r="AP83" s="104">
        <f t="array" ref="AP83">IFERROR(
(AVERAGE((IF(DATOS_[[Sexo]:[Sexo]]=$B83,IF(DATOS_[[AGRUP. VALOR. PTO.]:[AGRUP. VALOR. PTO.]]=$B81,IF(DATOS_[[Check Periodo Ref.]:[Check Periodo Ref.]]="Dentro",IF(DATOS_[[Check Equiparado]:[Check Equiparado]]="Sí",IF(DATOS!BI$5="Sí",(1/DATOS_[[% anualiz]:[% anualiz]]),1)*IF(DATOS!BI$4="Sí",1/DATOS_[[% normaliz]:[% normaliz]],1)*(DATOS_[C.Extra.01])))))))),
0)</f>
        <v>0</v>
      </c>
      <c r="AQ83" s="104">
        <f t="array" ref="AQ83">IFERROR(
(AVERAGE((IF(DATOS_[[Sexo]:[Sexo]]=$B83,IF(DATOS_[[AGRUP. VALOR. PTO.]:[AGRUP. VALOR. PTO.]]=$B81,IF(DATOS_[[Check Periodo Ref.]:[Check Periodo Ref.]]="Dentro",IF(DATOS_[[Check Equiparado]:[Check Equiparado]]="Sí",IF(DATOS!BJ$5="Sí",(1/DATOS_[[% anualiz]:[% anualiz]]),1)*IF(DATOS!BJ$4="Sí",1/DATOS_[[% normaliz]:[% normaliz]],1)*(DATOS_[C.Extra.02])))))))),
0)</f>
        <v>0</v>
      </c>
      <c r="AR83" s="104">
        <f t="array" ref="AR83">IFERROR(
(AVERAGE((IF(DATOS_[[Sexo]:[Sexo]]=$B83,IF(DATOS_[[AGRUP. VALOR. PTO.]:[AGRUP. VALOR. PTO.]]=$B81,IF(DATOS_[[Check Periodo Ref.]:[Check Periodo Ref.]]="Dentro",IF(DATOS_[[Check Equiparado]:[Check Equiparado]]="Sí",IF(DATOS!BK$5="Sí",(1/DATOS_[[% anualiz]:[% anualiz]]),1)*IF(DATOS!BK$4="Sí",1/DATOS_[[% normaliz]:[% normaliz]],1)*(DATOS_[C.Extra.03])))))))),
0)</f>
        <v>0</v>
      </c>
      <c r="AS83" s="104">
        <f t="array" ref="AS83">IFERROR(
(AVERAGE((IF(DATOS_[[Sexo]:[Sexo]]=$B83,IF(DATOS_[[AGRUP. VALOR. PTO.]:[AGRUP. VALOR. PTO.]]=$B81,IF(DATOS_[[Check Periodo Ref.]:[Check Periodo Ref.]]="Dentro",IF(DATOS_[[Check Equiparado]:[Check Equiparado]]="Sí",IF(DATOS!BL$5="Sí",(1/DATOS_[[% anualiz]:[% anualiz]]),1)*IF(DATOS!BL$4="Sí",1/DATOS_[[% normaliz]:[% normaliz]],1)*(DATOS_[C.Extra.04])))))))),
0)</f>
        <v>0</v>
      </c>
      <c r="AT83" s="104">
        <f t="array" ref="AT83">IFERROR(
(AVERAGE((IF(DATOS_[[Sexo]:[Sexo]]=$B83,IF(DATOS_[[AGRUP. VALOR. PTO.]:[AGRUP. VALOR. PTO.]]=$B81,IF(DATOS_[[Check Periodo Ref.]:[Check Periodo Ref.]]="Dentro",IF(DATOS_[[Check Equiparado]:[Check Equiparado]]="Sí",IF(DATOS!BM$5="Sí",(1/DATOS_[[% anualiz]:[% anualiz]]),1)*IF(DATOS!BM$4="Sí",1/DATOS_[[% normaliz]:[% normaliz]],1)*(DATOS_[C.Extra.05])))))))),
0)</f>
        <v>0</v>
      </c>
      <c r="AU83" s="105">
        <f t="array" ref="AU83">IFERROR(
AVERAGE(IF(DATOS_[Sexo]=$B83,IF(DATOS_[[AGRUP. VALOR. PTO.]:[AGRUP. VALOR. PTO.]]=$B81,IF(DATOS_[Check Equiparado]="Sí",IF(DATOS_[Check Periodo Ref.]="Dentro",DATOS_[Tot Extrasalarial Eq],FALSE))))),
0)</f>
        <v>0</v>
      </c>
      <c r="AV83" s="106">
        <f t="array" ref="AV83">IFERROR(
AVERAGE(IF(DATOS_[Sexo]=$B83,IF(DATOS_[[AGRUP. VALOR. PTO.]:[AGRUP. VALOR. PTO.]]=$B81,IF(DATOS_[Check Equiparado]="Sí",IF(DATOS_[Check Periodo Ref.]="Dentro",DATOS_[TOTAL Retrib Eq],FALSE))))),
0)</f>
        <v>0</v>
      </c>
    </row>
    <row r="84" spans="1:48" ht="17.25" hidden="1" thickBot="1" x14ac:dyDescent="0.35">
      <c r="A84" s="53" t="str">
        <f t="shared" ref="A84" si="95">+A85</f>
        <v>[ocultar]</v>
      </c>
      <c r="B84" s="62" t="s">
        <v>283</v>
      </c>
      <c r="C84" s="99"/>
      <c r="D84" s="63"/>
      <c r="E84" s="63"/>
      <c r="F84" s="63"/>
      <c r="G84" s="63"/>
      <c r="H84" s="63"/>
      <c r="I84" s="129" t="str">
        <f t="shared" ref="I84:AV84" si="96">IFERROR((I85-I86)/I85,"")</f>
        <v/>
      </c>
      <c r="J84" s="130" t="str">
        <f t="shared" si="96"/>
        <v/>
      </c>
      <c r="K84" s="131" t="str">
        <f t="shared" si="96"/>
        <v/>
      </c>
      <c r="L84" s="131" t="str">
        <f t="shared" si="96"/>
        <v/>
      </c>
      <c r="M84" s="131" t="str">
        <f t="shared" si="96"/>
        <v/>
      </c>
      <c r="N84" s="132" t="str">
        <f t="shared" si="96"/>
        <v/>
      </c>
      <c r="O84" s="133" t="str">
        <f t="shared" si="96"/>
        <v/>
      </c>
      <c r="P84" s="133" t="str">
        <f t="shared" si="96"/>
        <v/>
      </c>
      <c r="Q84" s="133" t="str">
        <f t="shared" si="96"/>
        <v/>
      </c>
      <c r="R84" s="133" t="str">
        <f t="shared" si="96"/>
        <v/>
      </c>
      <c r="S84" s="133" t="str">
        <f t="shared" si="96"/>
        <v/>
      </c>
      <c r="T84" s="133" t="str">
        <f t="shared" si="96"/>
        <v/>
      </c>
      <c r="U84" s="133" t="str">
        <f t="shared" si="96"/>
        <v/>
      </c>
      <c r="V84" s="133" t="str">
        <f t="shared" si="96"/>
        <v/>
      </c>
      <c r="W84" s="133" t="str">
        <f t="shared" si="96"/>
        <v/>
      </c>
      <c r="X84" s="133" t="str">
        <f t="shared" si="96"/>
        <v/>
      </c>
      <c r="Y84" s="133" t="str">
        <f t="shared" si="96"/>
        <v/>
      </c>
      <c r="Z84" s="132" t="str">
        <f t="shared" si="96"/>
        <v/>
      </c>
      <c r="AA84" s="132" t="str">
        <f t="shared" si="96"/>
        <v/>
      </c>
      <c r="AB84" s="132" t="str">
        <f t="shared" si="96"/>
        <v/>
      </c>
      <c r="AC84" s="132" t="str">
        <f t="shared" si="96"/>
        <v/>
      </c>
      <c r="AD84" s="132" t="str">
        <f t="shared" si="96"/>
        <v/>
      </c>
      <c r="AE84" s="132" t="str">
        <f t="shared" si="96"/>
        <v/>
      </c>
      <c r="AF84" s="132" t="str">
        <f t="shared" si="96"/>
        <v/>
      </c>
      <c r="AG84" s="132" t="str">
        <f t="shared" si="96"/>
        <v/>
      </c>
      <c r="AH84" s="132" t="str">
        <f t="shared" si="96"/>
        <v/>
      </c>
      <c r="AI84" s="132" t="str">
        <f t="shared" si="96"/>
        <v/>
      </c>
      <c r="AJ84" s="132" t="str">
        <f t="shared" si="96"/>
        <v/>
      </c>
      <c r="AK84" s="132" t="str">
        <f t="shared" si="96"/>
        <v/>
      </c>
      <c r="AL84" s="132" t="str">
        <f t="shared" si="96"/>
        <v/>
      </c>
      <c r="AM84" s="132" t="str">
        <f t="shared" si="96"/>
        <v/>
      </c>
      <c r="AN84" s="134" t="str">
        <f t="shared" si="96"/>
        <v/>
      </c>
      <c r="AO84" s="138" t="str">
        <f t="shared" si="96"/>
        <v/>
      </c>
      <c r="AP84" s="135" t="str">
        <f t="shared" si="96"/>
        <v/>
      </c>
      <c r="AQ84" s="135" t="str">
        <f t="shared" si="96"/>
        <v/>
      </c>
      <c r="AR84" s="135" t="str">
        <f t="shared" si="96"/>
        <v/>
      </c>
      <c r="AS84" s="135" t="str">
        <f t="shared" si="96"/>
        <v/>
      </c>
      <c r="AT84" s="135" t="str">
        <f t="shared" si="96"/>
        <v/>
      </c>
      <c r="AU84" s="136" t="str">
        <f t="shared" si="96"/>
        <v/>
      </c>
      <c r="AV84" s="137" t="str">
        <f t="shared" si="96"/>
        <v/>
      </c>
    </row>
    <row r="85" spans="1:48" hidden="1" x14ac:dyDescent="0.3">
      <c r="A85" s="53" t="str">
        <f t="shared" ref="A85" si="97">+IF(C85+C86=0,"[ocultar]","")</f>
        <v>[ocultar]</v>
      </c>
      <c r="B85" s="57" t="s">
        <v>162</v>
      </c>
      <c r="C85" s="56">
        <f t="array" ref="C85">SUM(IF($B85=DATOS_[Sexo],
IF($B84=DATOS_[AGRUP. VALOR. PTO.],
IF("Dentro"=DATOS_[Check Periodo Ref.],
1/(COUNTIFS(DATOS_[Sexo],$B85,DATOS_[AGRUP. VALOR. PTO.],$B84,DATOS_[Check Periodo Ref.],"Dentro",DATOS_[id],DATOS_[id]))))))</f>
        <v>0</v>
      </c>
      <c r="D85" s="58">
        <f>COUNTIFS(DATOS_[AGRUP. VALOR. PTO.],$B84,DATOS_[Sexo],$B85,DATOS_[Check Periodo Ref.],"Dentro")</f>
        <v>0</v>
      </c>
      <c r="E85" s="58">
        <f>COUNTIFS(DATOS_[AGRUP. VALOR. PTO.],$B84,DATOS_[Sexo],$B85,DATOS_[Check Periodo Ref.],"Dentro",DATOS_[Check Nº SC Norm],"Sí")</f>
        <v>0</v>
      </c>
      <c r="F85" s="58">
        <f>COUNTIFS(DATOS_[AGRUP. VALOR. PTO.],$B84,DATOS_[Sexo],$B85,DATOS_[Check Periodo Ref.],"Dentro",DATOS_[Check Nº SC Anualiz],"Sí")</f>
        <v>0</v>
      </c>
      <c r="G85" s="58">
        <f>COUNTIFS(DATOS_[AGRUP. VALOR. PTO.],$B84,DATOS_[Sexo],$B85,DATOS_[Check Periodo Ref.],"Dentro",DATOS_[Check Nº SC Norm y Anualiz],"Sí")</f>
        <v>0</v>
      </c>
      <c r="H85" s="58">
        <f>COUNTIFS(DATOS_[AGRUP. VALOR. PTO.],$B84,DATOS_[Sexo],$B85,DATOS_[Check Periodo Ref.],"Dentro",DATOS_[Check Equiparación],"Sí")</f>
        <v>0</v>
      </c>
      <c r="I85" s="100">
        <f t="array" ref="I85">IFERROR(
AVERAGE(IF(DATOS_[Sexo]=$B85,IF(DATOS_[[AGRUP. VALOR. PTO.]:[AGRUP. VALOR. PTO.]]=$B84,IF(DATOS_[Check Equiparado]="Sí",IF(DATOS_[Check Periodo Ref.]="Dentro",DATOS_[SALARIO BASE Eq],FALSE))))),
0)</f>
        <v>0</v>
      </c>
      <c r="J85" s="101">
        <f t="array" ref="J85">IFERROR(
(AVERAGE((IF(DATOS_[[Sexo]:[Sexo]]=$B85,IF(DATOS_[[AGRUP. VALOR. PTO.]:[AGRUP. VALOR. PTO.]]=$B84,IF(DATOS_[[Check Periodo Ref.]:[Check Periodo Ref.]]="Dentro",IF(DATOS_[[Check Equiparado]:[Check Equiparado]]="Sí",IF(DATOS!AE$5="Sí",(1/DATOS_[[% anualiz]:[% anualiz]]),1)*IF(DATOS!AE$4="Sí",1/DATOS_[[% normaliz]:[% normaliz]],1)*(DATOS_[Conc.Sal.01])))))))),
0)</f>
        <v>0</v>
      </c>
      <c r="K85" s="101">
        <f t="array" ref="K85">IFERROR(
(AVERAGE((IF(DATOS_[[Sexo]:[Sexo]]=$B85,IF(DATOS_[[AGRUP. VALOR. PTO.]:[AGRUP. VALOR. PTO.]]=$B84,IF(DATOS_[[Check Periodo Ref.]:[Check Periodo Ref.]]="Dentro",IF(DATOS_[[Check Equiparado]:[Check Equiparado]]="Sí",IF(DATOS!AF$5="Sí",(1/DATOS_[[% anualiz]:[% anualiz]]),1)*IF(DATOS!AF$4="Sí",1/DATOS_[[% normaliz]:[% normaliz]],1)*(DATOS_[Conc.Sal.02])))))))),
0)</f>
        <v>0</v>
      </c>
      <c r="L85" s="101">
        <f t="array" ref="L85">IFERROR(
(AVERAGE((IF(DATOS_[[Sexo]:[Sexo]]=$B85,IF(DATOS_[[AGRUP. VALOR. PTO.]:[AGRUP. VALOR. PTO.]]=$B84,IF(DATOS_[[Check Periodo Ref.]:[Check Periodo Ref.]]="Dentro",IF(DATOS_[[Check Equiparado]:[Check Equiparado]]="Sí",IF(DATOS!AG$5="Sí",(1/DATOS_[[% anualiz]:[% anualiz]]),1)*IF(DATOS!AG$4="Sí",1/DATOS_[[% normaliz]:[% normaliz]],1)*(DATOS_[Conc.Sal.03])))))))),
0)</f>
        <v>0</v>
      </c>
      <c r="M85" s="101">
        <f t="array" ref="M85">IFERROR(
(AVERAGE((IF(DATOS_[[Sexo]:[Sexo]]=$B85,IF(DATOS_[[AGRUP. VALOR. PTO.]:[AGRUP. VALOR. PTO.]]=$B84,IF(DATOS_[[Check Periodo Ref.]:[Check Periodo Ref.]]="Dentro",IF(DATOS_[[Check Equiparado]:[Check Equiparado]]="Sí",IF(DATOS!AH$5="Sí",(1/DATOS_[[% anualiz]:[% anualiz]]),1)*IF(DATOS!AH$4="Sí",1/DATOS_[[% normaliz]:[% normaliz]],1)*(DATOS_[Conc.Sal.04])))))))),
0)</f>
        <v>0</v>
      </c>
      <c r="N85" s="101">
        <f t="array" ref="N85">IFERROR(
(AVERAGE((IF(DATOS_[[Sexo]:[Sexo]]=$B85,IF(DATOS_[[AGRUP. VALOR. PTO.]:[AGRUP. VALOR. PTO.]]=$B84,IF(DATOS_[[Check Periodo Ref.]:[Check Periodo Ref.]]="Dentro",IF(DATOS_[[Check Equiparado]:[Check Equiparado]]="Sí",IF(DATOS!AI$5="Sí",(1/DATOS_[[% anualiz]:[% anualiz]]),1)*IF(DATOS!AI$4="Sí",1/DATOS_[[% normaliz]:[% normaliz]],1)*(DATOS_[Conc.Sal.05])))))))),
0)</f>
        <v>0</v>
      </c>
      <c r="O85" s="101">
        <f t="array" ref="O85">IFERROR(
(AVERAGE((IF(DATOS_[[Sexo]:[Sexo]]=$B85,IF(DATOS_[[AGRUP. VALOR. PTO.]:[AGRUP. VALOR. PTO.]]=$B84,IF(DATOS_[[Check Periodo Ref.]:[Check Periodo Ref.]]="Dentro",IF(DATOS_[[Check Equiparado]:[Check Equiparado]]="Sí",IF(DATOS!AJ$5="Sí",(1/DATOS_[[% anualiz]:[% anualiz]]),1)*IF(DATOS!AJ$4="Sí",1/DATOS_[[% normaliz]:[% normaliz]],1)*(DATOS_[Conc.Sal.06])))))))),
0)</f>
        <v>0</v>
      </c>
      <c r="P85" s="101">
        <f t="array" ref="P85">IFERROR(
(AVERAGE((IF(DATOS_[[Sexo]:[Sexo]]=$B85,IF(DATOS_[[AGRUP. VALOR. PTO.]:[AGRUP. VALOR. PTO.]]=$B84,IF(DATOS_[[Check Periodo Ref.]:[Check Periodo Ref.]]="Dentro",IF(DATOS_[[Check Equiparado]:[Check Equiparado]]="Sí",IF(DATOS!AK$5="Sí",(1/DATOS_[[% anualiz]:[% anualiz]]),1)*IF(DATOS!AK$4="Sí",1/DATOS_[[% normaliz]:[% normaliz]],1)*(DATOS_[Conc.Sal.07])))))))),
0)</f>
        <v>0</v>
      </c>
      <c r="Q85" s="101">
        <f t="array" ref="Q85">IFERROR(
(AVERAGE((IF(DATOS_[[Sexo]:[Sexo]]=$B85,IF(DATOS_[[AGRUP. VALOR. PTO.]:[AGRUP. VALOR. PTO.]]=$B84,IF(DATOS_[[Check Periodo Ref.]:[Check Periodo Ref.]]="Dentro",IF(DATOS_[[Check Equiparado]:[Check Equiparado]]="Sí",IF(DATOS!AL$5="Sí",(1/DATOS_[[% anualiz]:[% anualiz]]),1)*IF(DATOS!AL$4="Sí",1/DATOS_[[% normaliz]:[% normaliz]],1)*(DATOS_[Conc.Sal.08])))))))),
0)</f>
        <v>0</v>
      </c>
      <c r="R85" s="101">
        <f t="array" ref="R85">IFERROR(
(AVERAGE((IF(DATOS_[[Sexo]:[Sexo]]=$B85,IF(DATOS_[[AGRUP. VALOR. PTO.]:[AGRUP. VALOR. PTO.]]=$B84,IF(DATOS_[[Check Periodo Ref.]:[Check Periodo Ref.]]="Dentro",IF(DATOS_[[Check Equiparado]:[Check Equiparado]]="Sí",IF(DATOS!AM$5="Sí",(1/DATOS_[[% anualiz]:[% anualiz]]),1)*IF(DATOS!AM$4="Sí",1/DATOS_[[% normaliz]:[% normaliz]],1)*(DATOS_[Conc.Sal.09])))))))),
0)</f>
        <v>0</v>
      </c>
      <c r="S85" s="101">
        <f t="array" ref="S85">IFERROR(
(AVERAGE((IF(DATOS_[[Sexo]:[Sexo]]=$B85,IF(DATOS_[[AGRUP. VALOR. PTO.]:[AGRUP. VALOR. PTO.]]=$B84,IF(DATOS_[[Check Periodo Ref.]:[Check Periodo Ref.]]="Dentro",IF(DATOS_[[Check Equiparado]:[Check Equiparado]]="Sí",IF(DATOS!AN$5="Sí",(1/DATOS_[[% anualiz]:[% anualiz]]),1)*IF(DATOS!AN$4="Sí",1/DATOS_[[% normaliz]:[% normaliz]],1)*(DATOS_[Conc.Sal.10])))))))),
0)</f>
        <v>0</v>
      </c>
      <c r="T85" s="101">
        <f t="array" ref="T85">IFERROR(
(AVERAGE((IF(DATOS_[[Sexo]:[Sexo]]=$B85,IF(DATOS_[[AGRUP. VALOR. PTO.]:[AGRUP. VALOR. PTO.]]=$B84,IF(DATOS_[[Check Periodo Ref.]:[Check Periodo Ref.]]="Dentro",IF(DATOS_[[Check Equiparado]:[Check Equiparado]]="Sí",IF(DATOS!AO$5="Sí",(1/DATOS_[[% anualiz]:[% anualiz]]),1)*IF(DATOS!AO$4="Sí",1/DATOS_[[% normaliz]:[% normaliz]],1)*(DATOS_[Conc.Sal.11])))))))),
0)</f>
        <v>0</v>
      </c>
      <c r="U85" s="101">
        <f t="array" ref="U85">IFERROR(
(AVERAGE((IF(DATOS_[[Sexo]:[Sexo]]=$B85,IF(DATOS_[[AGRUP. VALOR. PTO.]:[AGRUP. VALOR. PTO.]]=$B84,IF(DATOS_[[Check Periodo Ref.]:[Check Periodo Ref.]]="Dentro",IF(DATOS_[[Check Equiparado]:[Check Equiparado]]="Sí",IF(DATOS!AP$5="Sí",(1/DATOS_[[% anualiz]:[% anualiz]]),1)*IF(DATOS!AP$4="Sí",1/DATOS_[[% normaliz]:[% normaliz]],1)*(DATOS_[Conc.Sal.12])))))))),
0)</f>
        <v>0</v>
      </c>
      <c r="V85" s="101">
        <f t="array" ref="V85">IFERROR(
(AVERAGE((IF(DATOS_[[Sexo]:[Sexo]]=$B85,IF(DATOS_[[AGRUP. VALOR. PTO.]:[AGRUP. VALOR. PTO.]]=$B84,IF(DATOS_[[Check Periodo Ref.]:[Check Periodo Ref.]]="Dentro",IF(DATOS_[[Check Equiparado]:[Check Equiparado]]="Sí",IF(DATOS!AQ$5="Sí",(1/DATOS_[[% anualiz]:[% anualiz]]),1)*IF(DATOS!AQ$4="Sí",1/DATOS_[[% normaliz]:[% normaliz]],1)*(DATOS_[Conc.Sal.13])))))))),
0)</f>
        <v>0</v>
      </c>
      <c r="W85" s="101">
        <f t="array" ref="W85">IFERROR(
(AVERAGE((IF(DATOS_[[Sexo]:[Sexo]]=$B85,IF(DATOS_[[AGRUP. VALOR. PTO.]:[AGRUP. VALOR. PTO.]]=$B84,IF(DATOS_[[Check Periodo Ref.]:[Check Periodo Ref.]]="Dentro",IF(DATOS_[[Check Equiparado]:[Check Equiparado]]="Sí",IF(DATOS!AR$5="Sí",(1/DATOS_[[% anualiz]:[% anualiz]]),1)*IF(DATOS!AR$4="Sí",1/DATOS_[[% normaliz]:[% normaliz]],1)*(DATOS_[Conc.Sal.14])))))))),
0)</f>
        <v>0</v>
      </c>
      <c r="X85" s="101">
        <f t="array" ref="X85">IFERROR(
(AVERAGE((IF(DATOS_[[Sexo]:[Sexo]]=$B85,IF(DATOS_[[AGRUP. VALOR. PTO.]:[AGRUP. VALOR. PTO.]]=$B84,IF(DATOS_[[Check Periodo Ref.]:[Check Periodo Ref.]]="Dentro",IF(DATOS_[[Check Equiparado]:[Check Equiparado]]="Sí",IF(DATOS!AS$5="Sí",(1/DATOS_[[% anualiz]:[% anualiz]]),1)*IF(DATOS!AS$4="Sí",1/DATOS_[[% normaliz]:[% normaliz]],1)*(DATOS_[Conc.Sal.15])))))))),
0)</f>
        <v>0</v>
      </c>
      <c r="Y85" s="101">
        <f t="array" ref="Y85">IFERROR(
(AVERAGE((IF(DATOS_[[Sexo]:[Sexo]]=$B85,IF(DATOS_[[AGRUP. VALOR. PTO.]:[AGRUP. VALOR. PTO.]]=$B84,IF(DATOS_[[Check Periodo Ref.]:[Check Periodo Ref.]]="Dentro",IF(DATOS_[[Check Equiparado]:[Check Equiparado]]="Sí",IF(DATOS!AT$5="Sí",(1/DATOS_[[% anualiz]:[% anualiz]]),1)*IF(DATOS!AT$4="Sí",1/DATOS_[[% normaliz]:[% normaliz]],1)*(DATOS_[Conc.Sal.16])))))))),
0)</f>
        <v>0</v>
      </c>
      <c r="Z85" s="101">
        <f t="array" ref="Z85">IFERROR(
(AVERAGE((IF(DATOS_[[Sexo]:[Sexo]]=$B85,IF(DATOS_[[AGRUP. VALOR. PTO.]:[AGRUP. VALOR. PTO.]]=$B84,IF(DATOS_[[Check Periodo Ref.]:[Check Periodo Ref.]]="Dentro",IF(DATOS_[[Check Equiparado]:[Check Equiparado]]="Sí",IF(DATOS!AU$5="Sí",(1/DATOS_[[% anualiz]:[% anualiz]]),1)*IF(DATOS!AU$4="Sí",1/DATOS_[[% normaliz]:[% normaliz]],1)*(DATOS_[Conc.Sal.17])))))))),
0)</f>
        <v>0</v>
      </c>
      <c r="AA85" s="101">
        <f t="array" ref="AA85">IFERROR(
(AVERAGE((IF(DATOS_[[Sexo]:[Sexo]]=$B85,IF(DATOS_[[AGRUP. VALOR. PTO.]:[AGRUP. VALOR. PTO.]]=$B84,IF(DATOS_[[Check Periodo Ref.]:[Check Periodo Ref.]]="Dentro",IF(DATOS_[[Check Equiparado]:[Check Equiparado]]="Sí",IF(DATOS!AV$5="Sí",(1/DATOS_[[% anualiz]:[% anualiz]]),1)*IF(DATOS!AV$4="Sí",1/DATOS_[[% normaliz]:[% normaliz]],1)*(DATOS_[Conc.Sal.18])))))))),
0)</f>
        <v>0</v>
      </c>
      <c r="AB85" s="101">
        <f t="array" ref="AB85">IFERROR(
(AVERAGE((IF(DATOS_[[Sexo]:[Sexo]]=$B85,IF(DATOS_[[AGRUP. VALOR. PTO.]:[AGRUP. VALOR. PTO.]]=$B84,IF(DATOS_[[Check Periodo Ref.]:[Check Periodo Ref.]]="Dentro",IF(DATOS_[[Check Equiparado]:[Check Equiparado]]="Sí",IF(DATOS!AW$5="Sí",(1/DATOS_[[% anualiz]:[% anualiz]]),1)*IF(DATOS!AW$4="Sí",1/DATOS_[[% normaliz]:[% normaliz]],1)*(DATOS_[Conc.Sal.19])))))))),
0)</f>
        <v>0</v>
      </c>
      <c r="AC85" s="101">
        <f t="array" ref="AC85">IFERROR(
(AVERAGE((IF(DATOS_[[Sexo]:[Sexo]]=$B85,IF(DATOS_[[AGRUP. VALOR. PTO.]:[AGRUP. VALOR. PTO.]]=$B84,IF(DATOS_[[Check Periodo Ref.]:[Check Periodo Ref.]]="Dentro",IF(DATOS_[[Check Equiparado]:[Check Equiparado]]="Sí",IF(DATOS!AX$5="Sí",(1/DATOS_[[% anualiz]:[% anualiz]]),1)*IF(DATOS!AX$4="Sí",1/DATOS_[[% normaliz]:[% normaliz]],1)*(DATOS_[Conc.Sal.20])))))))),
0)</f>
        <v>0</v>
      </c>
      <c r="AD85" s="101">
        <f t="array" ref="AD85">IFERROR(
(AVERAGE((IF(DATOS_[[Sexo]:[Sexo]]=$B85,IF(DATOS_[[AGRUP. VALOR. PTO.]:[AGRUP. VALOR. PTO.]]=$B84,IF(DATOS_[[Check Periodo Ref.]:[Check Periodo Ref.]]="Dentro",IF(DATOS_[[Check Equiparado]:[Check Equiparado]]="Sí",IF(DATOS!AY$5="Sí",(1/DATOS_[[% anualiz]:[% anualiz]]),1)*IF(DATOS!AY$4="Sí",1/DATOS_[[% normaliz]:[% normaliz]],1)*(DATOS_[Conc.Sal.21])))))))),
0)</f>
        <v>0</v>
      </c>
      <c r="AE85" s="101">
        <f t="array" ref="AE85">IFERROR(
(AVERAGE((IF(DATOS_[[Sexo]:[Sexo]]=$B85,IF(DATOS_[[AGRUP. VALOR. PTO.]:[AGRUP. VALOR. PTO.]]=$B84,IF(DATOS_[[Check Periodo Ref.]:[Check Periodo Ref.]]="Dentro",IF(DATOS_[[Check Equiparado]:[Check Equiparado]]="Sí",IF(DATOS!AZ$5="Sí",(1/DATOS_[[% anualiz]:[% anualiz]]),1)*IF(DATOS!AZ$4="Sí",1/DATOS_[[% normaliz]:[% normaliz]],1)*(DATOS_[Conc.Sal.22])))))))),
0)</f>
        <v>0</v>
      </c>
      <c r="AF85" s="101">
        <f t="array" ref="AF85">IFERROR(
(AVERAGE((IF(DATOS_[[Sexo]:[Sexo]]=$B85,IF(DATOS_[[AGRUP. VALOR. PTO.]:[AGRUP. VALOR. PTO.]]=$B84,IF(DATOS_[[Check Periodo Ref.]:[Check Periodo Ref.]]="Dentro",IF(DATOS_[[Check Equiparado]:[Check Equiparado]]="Sí",IF(DATOS!BA$5="Sí",(1/DATOS_[[% anualiz]:[% anualiz]]),1)*IF(DATOS!BA$4="Sí",1/DATOS_[[% normaliz]:[% normaliz]],1)*(DATOS_[Conc.Sal.23])))))))),
0)</f>
        <v>0</v>
      </c>
      <c r="AG85" s="101">
        <f t="array" ref="AG85">IFERROR(
(AVERAGE((IF(DATOS_[[Sexo]:[Sexo]]=$B85,IF(DATOS_[[AGRUP. VALOR. PTO.]:[AGRUP. VALOR. PTO.]]=$B84,IF(DATOS_[[Check Periodo Ref.]:[Check Periodo Ref.]]="Dentro",IF(DATOS_[[Check Equiparado]:[Check Equiparado]]="Sí",IF(DATOS!BB$5="Sí",(1/DATOS_[[% anualiz]:[% anualiz]]),1)*IF(DATOS!BB$4="Sí",1/DATOS_[[% normaliz]:[% normaliz]],1)*(DATOS_[Conc.Sal.24])))))))),
0)</f>
        <v>0</v>
      </c>
      <c r="AH85" s="101">
        <f t="array" ref="AH85">IFERROR(
(AVERAGE((IF(DATOS_[[Sexo]:[Sexo]]=$B85,IF(DATOS_[[AGRUP. VALOR. PTO.]:[AGRUP. VALOR. PTO.]]=$B84,IF(DATOS_[[Check Periodo Ref.]:[Check Periodo Ref.]]="Dentro",IF(DATOS_[[Check Equiparado]:[Check Equiparado]]="Sí",IF(DATOS!BC$5="Sí",(1/DATOS_[[% anualiz]:[% anualiz]]),1)*IF(DATOS!BC$4="Sí",1/DATOS_[[% normaliz]:[% normaliz]],1)*(DATOS_[Conc.Sal.25])))))))),
0)</f>
        <v>0</v>
      </c>
      <c r="AI85" s="101">
        <f t="array" ref="AI85">IFERROR(
(AVERAGE((IF(DATOS_[[Sexo]:[Sexo]]=$B85,IF(DATOS_[[AGRUP. VALOR. PTO.]:[AGRUP. VALOR. PTO.]]=$B84,IF(DATOS_[[Check Periodo Ref.]:[Check Periodo Ref.]]="Dentro",IF(DATOS_[[Check Equiparado]:[Check Equiparado]]="Sí",IF(DATOS!BD$5="Sí",(1/DATOS_[[% anualiz]:[% anualiz]]),1)*IF(DATOS!BD$4="Sí",1/DATOS_[[% normaliz]:[% normaliz]],1)*(DATOS_[Conc.Sal.26])))))))),
0)</f>
        <v>0</v>
      </c>
      <c r="AJ85" s="101">
        <f t="array" ref="AJ85">IFERROR(
(AVERAGE((IF(DATOS_[[Sexo]:[Sexo]]=$B85,IF(DATOS_[[AGRUP. VALOR. PTO.]:[AGRUP. VALOR. PTO.]]=$B84,IF(DATOS_[[Check Periodo Ref.]:[Check Periodo Ref.]]="Dentro",IF(DATOS_[[Check Equiparado]:[Check Equiparado]]="Sí",IF(DATOS!BE$5="Sí",(1/DATOS_[[% anualiz]:[% anualiz]]),1)*IF(DATOS!BE$4="Sí",1/DATOS_[[% normaliz]:[% normaliz]],1)*(DATOS_[Conc.Sal.27])))))))),
0)</f>
        <v>0</v>
      </c>
      <c r="AK85" s="101">
        <f t="array" ref="AK85">IFERROR(
(AVERAGE((IF(DATOS_[[Sexo]:[Sexo]]=$B85,IF(DATOS_[[AGRUP. VALOR. PTO.]:[AGRUP. VALOR. PTO.]]=$B84,IF(DATOS_[[Check Periodo Ref.]:[Check Periodo Ref.]]="Dentro",IF(DATOS_[[Check Equiparado]:[Check Equiparado]]="Sí",IF(DATOS!BF$5="Sí",(1/DATOS_[[% anualiz]:[% anualiz]]),1)*IF(DATOS!BF$4="Sí",1/DATOS_[[% normaliz]:[% normaliz]],1)*(DATOS_[Conc.Sal.28])))))))),
0)</f>
        <v>0</v>
      </c>
      <c r="AL85" s="101">
        <f t="array" ref="AL85">IFERROR(
(AVERAGE((IF(DATOS_[[Sexo]:[Sexo]]=$B85,IF(DATOS_[[AGRUP. VALOR. PTO.]:[AGRUP. VALOR. PTO.]]=$B84,IF(DATOS_[[Check Periodo Ref.]:[Check Periodo Ref.]]="Dentro",IF(DATOS_[[Check Equiparado]:[Check Equiparado]]="Sí",IF(DATOS!BG$5="Sí",(1/DATOS_[[% anualiz]:[% anualiz]]),1)*IF(DATOS!BG$4="Sí",1/DATOS_[[% normaliz]:[% normaliz]],1)*(DATOS_[Conc.Sal.29])))))))),
0)</f>
        <v>0</v>
      </c>
      <c r="AM85" s="101">
        <f t="array" ref="AM85">IFERROR(
(AVERAGE((IF(DATOS_[[Sexo]:[Sexo]]=$B85,IF(DATOS_[[AGRUP. VALOR. PTO.]:[AGRUP. VALOR. PTO.]]=$B84,IF(DATOS_[[Check Periodo Ref.]:[Check Periodo Ref.]]="Dentro",IF(DATOS_[[Check Equiparado]:[Check Equiparado]]="Sí",IF(DATOS!BH$5="Sí",(1/DATOS_[[% anualiz]:[% anualiz]]),1)*IF(DATOS!BH$4="Sí",1/DATOS_[[% normaliz]:[% normaliz]],1)*(DATOS_[Conc.Sal.30])))))))),
0)</f>
        <v>0</v>
      </c>
      <c r="AN85" s="102">
        <f t="array" ref="AN85">IFERROR(
AVERAGE(IF(DATOS_[Sexo]=$B85,IF(DATOS_[[AGRUP. VALOR. PTO.]:[AGRUP. VALOR. PTO.]]=$B84,IF(DATOS_[Check Equiparado]="Sí",IF(DATOS_[Check Periodo Ref.]="Dentro",DATOS_[Tot COMPL.SAL Eq],FALSE))))),
0)</f>
        <v>0</v>
      </c>
      <c r="AO85" s="103">
        <f t="array" ref="AO85">IFERROR(
AVERAGE(IF(DATOS_[Sexo]=$B85,IF(DATOS_[[AGRUP. VALOR. PTO.]:[AGRUP. VALOR. PTO.]]=$B84,IF(DATOS_[Check Equiparado]="Sí",IF(DATOS_[Check Periodo Ref.]="Dentro",DATOS_[TOTAL SALARIO Eq],FALSE))))),
0)</f>
        <v>0</v>
      </c>
      <c r="AP85" s="104">
        <f t="array" ref="AP85">IFERROR(
(AVERAGE((IF(DATOS_[[Sexo]:[Sexo]]=$B85,IF(DATOS_[[AGRUP. VALOR. PTO.]:[AGRUP. VALOR. PTO.]]=$B84,IF(DATOS_[[Check Periodo Ref.]:[Check Periodo Ref.]]="Dentro",IF(DATOS_[[Check Equiparado]:[Check Equiparado]]="Sí",IF(DATOS!BI$5="Sí",(1/DATOS_[[% anualiz]:[% anualiz]]),1)*IF(DATOS!BI$4="Sí",1/DATOS_[[% normaliz]:[% normaliz]],1)*(DATOS_[C.Extra.01])))))))),
0)</f>
        <v>0</v>
      </c>
      <c r="AQ85" s="104">
        <f t="array" ref="AQ85">IFERROR(
(AVERAGE((IF(DATOS_[[Sexo]:[Sexo]]=$B85,IF(DATOS_[[AGRUP. VALOR. PTO.]:[AGRUP. VALOR. PTO.]]=$B84,IF(DATOS_[[Check Periodo Ref.]:[Check Periodo Ref.]]="Dentro",IF(DATOS_[[Check Equiparado]:[Check Equiparado]]="Sí",IF(DATOS!BJ$5="Sí",(1/DATOS_[[% anualiz]:[% anualiz]]),1)*IF(DATOS!BJ$4="Sí",1/DATOS_[[% normaliz]:[% normaliz]],1)*(DATOS_[C.Extra.02])))))))),
0)</f>
        <v>0</v>
      </c>
      <c r="AR85" s="104">
        <f t="array" ref="AR85">IFERROR(
(AVERAGE((IF(DATOS_[[Sexo]:[Sexo]]=$B85,IF(DATOS_[[AGRUP. VALOR. PTO.]:[AGRUP. VALOR. PTO.]]=$B84,IF(DATOS_[[Check Periodo Ref.]:[Check Periodo Ref.]]="Dentro",IF(DATOS_[[Check Equiparado]:[Check Equiparado]]="Sí",IF(DATOS!BK$5="Sí",(1/DATOS_[[% anualiz]:[% anualiz]]),1)*IF(DATOS!BK$4="Sí",1/DATOS_[[% normaliz]:[% normaliz]],1)*(DATOS_[C.Extra.03])))))))),
0)</f>
        <v>0</v>
      </c>
      <c r="AS85" s="104">
        <f t="array" ref="AS85">IFERROR(
(AVERAGE((IF(DATOS_[[Sexo]:[Sexo]]=$B85,IF(DATOS_[[AGRUP. VALOR. PTO.]:[AGRUP. VALOR. PTO.]]=$B84,IF(DATOS_[[Check Periodo Ref.]:[Check Periodo Ref.]]="Dentro",IF(DATOS_[[Check Equiparado]:[Check Equiparado]]="Sí",IF(DATOS!BL$5="Sí",(1/DATOS_[[% anualiz]:[% anualiz]]),1)*IF(DATOS!BL$4="Sí",1/DATOS_[[% normaliz]:[% normaliz]],1)*(DATOS_[C.Extra.04])))))))),
0)</f>
        <v>0</v>
      </c>
      <c r="AT85" s="104">
        <f t="array" ref="AT85">IFERROR(
(AVERAGE((IF(DATOS_[[Sexo]:[Sexo]]=$B85,IF(DATOS_[[AGRUP. VALOR. PTO.]:[AGRUP. VALOR. PTO.]]=$B84,IF(DATOS_[[Check Periodo Ref.]:[Check Periodo Ref.]]="Dentro",IF(DATOS_[[Check Equiparado]:[Check Equiparado]]="Sí",IF(DATOS!BM$5="Sí",(1/DATOS_[[% anualiz]:[% anualiz]]),1)*IF(DATOS!BM$4="Sí",1/DATOS_[[% normaliz]:[% normaliz]],1)*(DATOS_[C.Extra.05])))))))),
0)</f>
        <v>0</v>
      </c>
      <c r="AU85" s="105">
        <f t="array" ref="AU85">IFERROR(
AVERAGE(IF(DATOS_[Sexo]=$B85,IF(DATOS_[[AGRUP. VALOR. PTO.]:[AGRUP. VALOR. PTO.]]=$B84,IF(DATOS_[Check Equiparado]="Sí",IF(DATOS_[Check Periodo Ref.]="Dentro",DATOS_[Tot Extrasalarial Eq],FALSE))))),
0)</f>
        <v>0</v>
      </c>
      <c r="AV85" s="106">
        <f t="array" ref="AV85">IFERROR(
AVERAGE(IF(DATOS_[Sexo]=$B85,IF(DATOS_[[AGRUP. VALOR. PTO.]:[AGRUP. VALOR. PTO.]]=$B84,IF(DATOS_[Check Equiparado]="Sí",IF(DATOS_[Check Periodo Ref.]="Dentro",DATOS_[TOTAL Retrib Eq],FALSE))))),
0)</f>
        <v>0</v>
      </c>
    </row>
    <row r="86" spans="1:48" hidden="1" x14ac:dyDescent="0.3">
      <c r="A86" s="53" t="str">
        <f t="shared" ref="A86" si="98">+A85</f>
        <v>[ocultar]</v>
      </c>
      <c r="B86" s="57" t="s">
        <v>163</v>
      </c>
      <c r="C86" s="56">
        <f t="array" ref="C86">SUM(IF($B86=DATOS_[Sexo],
IF($B84=DATOS_[AGRUP. VALOR. PTO.],
IF("Dentro"=DATOS_[Check Periodo Ref.],
1/(COUNTIFS(DATOS_[Sexo],$B86,DATOS_[AGRUP. VALOR. PTO.],$B84,DATOS_[Check Periodo Ref.],"Dentro",DATOS_[id],DATOS_[id]))))))</f>
        <v>0</v>
      </c>
      <c r="D86" s="58">
        <f>COUNTIFS(DATOS_[AGRUP. VALOR. PTO.],$B84,DATOS_[Sexo],$B86,DATOS_[Check Periodo Ref.],"Dentro")</f>
        <v>0</v>
      </c>
      <c r="E86" s="58">
        <f>COUNTIFS(DATOS_[AGRUP. VALOR. PTO.],$B84,DATOS_[Sexo],$B86,DATOS_[Check Periodo Ref.],"Dentro",DATOS_[Check Nº SC Norm],"Sí")</f>
        <v>0</v>
      </c>
      <c r="F86" s="58">
        <f>COUNTIFS(DATOS_[AGRUP. VALOR. PTO.],$B84,DATOS_[Sexo],$B86,DATOS_[Check Periodo Ref.],"Dentro",DATOS_[Check Nº SC Anualiz],"Sí")</f>
        <v>0</v>
      </c>
      <c r="G86" s="58">
        <f>COUNTIFS(DATOS_[AGRUP. VALOR. PTO.],$B84,DATOS_[Sexo],$B86,DATOS_[Check Periodo Ref.],"Dentro",DATOS_[Check Nº SC Norm y Anualiz],"Sí")</f>
        <v>0</v>
      </c>
      <c r="H86" s="58">
        <f>COUNTIFS(DATOS_[AGRUP. VALOR. PTO.],$B84,DATOS_[Sexo],$B86,DATOS_[Check Periodo Ref.],"Dentro",DATOS_[Check Equiparación],"Sí")</f>
        <v>0</v>
      </c>
      <c r="I86" s="100" cm="1">
        <f t="array" ref="I86">IFERROR(
AVERAGE(IF(DATOS_[Sexo]=$B86,IF(DATOS_[[AGRUP. VALOR. PTO.]:[AGRUP. VALOR. PTO.]]=$B84,IF(DATOS_[Check Equiparado]="Sí",IF(DATOS_[Check Periodo Ref.]="Dentro",DATOS_[SALARIO BASE Eq],FALSE))))),
0)</f>
        <v>0</v>
      </c>
      <c r="J86" s="101">
        <f t="array" ref="J86">IFERROR(
(AVERAGE((IF(DATOS_[[Sexo]:[Sexo]]=$B86,IF(DATOS_[[AGRUP. VALOR. PTO.]:[AGRUP. VALOR. PTO.]]=$B84,IF(DATOS_[[Check Periodo Ref.]:[Check Periodo Ref.]]="Dentro",IF(DATOS_[[Check Equiparado]:[Check Equiparado]]="Sí",IF(DATOS!AE$5="Sí",(1/DATOS_[[% anualiz]:[% anualiz]]),1)*IF(DATOS!AE$4="Sí",1/DATOS_[[% normaliz]:[% normaliz]],1)*(DATOS_[Conc.Sal.01])))))))),
0)</f>
        <v>0</v>
      </c>
      <c r="K86" s="101">
        <f t="array" ref="K86">IFERROR(
(AVERAGE((IF(DATOS_[[Sexo]:[Sexo]]=$B86,IF(DATOS_[[AGRUP. VALOR. PTO.]:[AGRUP. VALOR. PTO.]]=$B84,IF(DATOS_[[Check Periodo Ref.]:[Check Periodo Ref.]]="Dentro",IF(DATOS_[[Check Equiparado]:[Check Equiparado]]="Sí",IF(DATOS!AF$5="Sí",(1/DATOS_[[% anualiz]:[% anualiz]]),1)*IF(DATOS!AF$4="Sí",1/DATOS_[[% normaliz]:[% normaliz]],1)*(DATOS_[Conc.Sal.02])))))))),
0)</f>
        <v>0</v>
      </c>
      <c r="L86" s="101">
        <f t="array" ref="L86">IFERROR(
(AVERAGE((IF(DATOS_[[Sexo]:[Sexo]]=$B86,IF(DATOS_[[AGRUP. VALOR. PTO.]:[AGRUP. VALOR. PTO.]]=$B84,IF(DATOS_[[Check Periodo Ref.]:[Check Periodo Ref.]]="Dentro",IF(DATOS_[[Check Equiparado]:[Check Equiparado]]="Sí",IF(DATOS!AG$5="Sí",(1/DATOS_[[% anualiz]:[% anualiz]]),1)*IF(DATOS!AG$4="Sí",1/DATOS_[[% normaliz]:[% normaliz]],1)*(DATOS_[Conc.Sal.03])))))))),
0)</f>
        <v>0</v>
      </c>
      <c r="M86" s="101">
        <f t="array" ref="M86">IFERROR(
(AVERAGE((IF(DATOS_[[Sexo]:[Sexo]]=$B86,IF(DATOS_[[AGRUP. VALOR. PTO.]:[AGRUP. VALOR. PTO.]]=$B84,IF(DATOS_[[Check Periodo Ref.]:[Check Periodo Ref.]]="Dentro",IF(DATOS_[[Check Equiparado]:[Check Equiparado]]="Sí",IF(DATOS!AH$5="Sí",(1/DATOS_[[% anualiz]:[% anualiz]]),1)*IF(DATOS!AH$4="Sí",1/DATOS_[[% normaliz]:[% normaliz]],1)*(DATOS_[Conc.Sal.04])))))))),
0)</f>
        <v>0</v>
      </c>
      <c r="N86" s="101">
        <f t="array" ref="N86">IFERROR(
(AVERAGE((IF(DATOS_[[Sexo]:[Sexo]]=$B86,IF(DATOS_[[AGRUP. VALOR. PTO.]:[AGRUP. VALOR. PTO.]]=$B84,IF(DATOS_[[Check Periodo Ref.]:[Check Periodo Ref.]]="Dentro",IF(DATOS_[[Check Equiparado]:[Check Equiparado]]="Sí",IF(DATOS!AI$5="Sí",(1/DATOS_[[% anualiz]:[% anualiz]]),1)*IF(DATOS!AI$4="Sí",1/DATOS_[[% normaliz]:[% normaliz]],1)*(DATOS_[Conc.Sal.05])))))))),
0)</f>
        <v>0</v>
      </c>
      <c r="O86" s="101">
        <f t="array" ref="O86">IFERROR(
(AVERAGE((IF(DATOS_[[Sexo]:[Sexo]]=$B86,IF(DATOS_[[AGRUP. VALOR. PTO.]:[AGRUP. VALOR. PTO.]]=$B84,IF(DATOS_[[Check Periodo Ref.]:[Check Periodo Ref.]]="Dentro",IF(DATOS_[[Check Equiparado]:[Check Equiparado]]="Sí",IF(DATOS!AJ$5="Sí",(1/DATOS_[[% anualiz]:[% anualiz]]),1)*IF(DATOS!AJ$4="Sí",1/DATOS_[[% normaliz]:[% normaliz]],1)*(DATOS_[Conc.Sal.06])))))))),
0)</f>
        <v>0</v>
      </c>
      <c r="P86" s="101">
        <f t="array" ref="P86">IFERROR(
(AVERAGE((IF(DATOS_[[Sexo]:[Sexo]]=$B86,IF(DATOS_[[AGRUP. VALOR. PTO.]:[AGRUP. VALOR. PTO.]]=$B84,IF(DATOS_[[Check Periodo Ref.]:[Check Periodo Ref.]]="Dentro",IF(DATOS_[[Check Equiparado]:[Check Equiparado]]="Sí",IF(DATOS!AK$5="Sí",(1/DATOS_[[% anualiz]:[% anualiz]]),1)*IF(DATOS!AK$4="Sí",1/DATOS_[[% normaliz]:[% normaliz]],1)*(DATOS_[Conc.Sal.07])))))))),
0)</f>
        <v>0</v>
      </c>
      <c r="Q86" s="101">
        <f t="array" ref="Q86">IFERROR(
(AVERAGE((IF(DATOS_[[Sexo]:[Sexo]]=$B86,IF(DATOS_[[AGRUP. VALOR. PTO.]:[AGRUP. VALOR. PTO.]]=$B84,IF(DATOS_[[Check Periodo Ref.]:[Check Periodo Ref.]]="Dentro",IF(DATOS_[[Check Equiparado]:[Check Equiparado]]="Sí",IF(DATOS!AL$5="Sí",(1/DATOS_[[% anualiz]:[% anualiz]]),1)*IF(DATOS!AL$4="Sí",1/DATOS_[[% normaliz]:[% normaliz]],1)*(DATOS_[Conc.Sal.08])))))))),
0)</f>
        <v>0</v>
      </c>
      <c r="R86" s="101">
        <f t="array" ref="R86">IFERROR(
(AVERAGE((IF(DATOS_[[Sexo]:[Sexo]]=$B86,IF(DATOS_[[AGRUP. VALOR. PTO.]:[AGRUP. VALOR. PTO.]]=$B84,IF(DATOS_[[Check Periodo Ref.]:[Check Periodo Ref.]]="Dentro",IF(DATOS_[[Check Equiparado]:[Check Equiparado]]="Sí",IF(DATOS!AM$5="Sí",(1/DATOS_[[% anualiz]:[% anualiz]]),1)*IF(DATOS!AM$4="Sí",1/DATOS_[[% normaliz]:[% normaliz]],1)*(DATOS_[Conc.Sal.09])))))))),
0)</f>
        <v>0</v>
      </c>
      <c r="S86" s="101">
        <f t="array" ref="S86">IFERROR(
(AVERAGE((IF(DATOS_[[Sexo]:[Sexo]]=$B86,IF(DATOS_[[AGRUP. VALOR. PTO.]:[AGRUP. VALOR. PTO.]]=$B84,IF(DATOS_[[Check Periodo Ref.]:[Check Periodo Ref.]]="Dentro",IF(DATOS_[[Check Equiparado]:[Check Equiparado]]="Sí",IF(DATOS!AN$5="Sí",(1/DATOS_[[% anualiz]:[% anualiz]]),1)*IF(DATOS!AN$4="Sí",1/DATOS_[[% normaliz]:[% normaliz]],1)*(DATOS_[Conc.Sal.10])))))))),
0)</f>
        <v>0</v>
      </c>
      <c r="T86" s="101">
        <f t="array" ref="T86">IFERROR(
(AVERAGE((IF(DATOS_[[Sexo]:[Sexo]]=$B86,IF(DATOS_[[AGRUP. VALOR. PTO.]:[AGRUP. VALOR. PTO.]]=$B84,IF(DATOS_[[Check Periodo Ref.]:[Check Periodo Ref.]]="Dentro",IF(DATOS_[[Check Equiparado]:[Check Equiparado]]="Sí",IF(DATOS!AO$5="Sí",(1/DATOS_[[% anualiz]:[% anualiz]]),1)*IF(DATOS!AO$4="Sí",1/DATOS_[[% normaliz]:[% normaliz]],1)*(DATOS_[Conc.Sal.11])))))))),
0)</f>
        <v>0</v>
      </c>
      <c r="U86" s="101">
        <f t="array" ref="U86">IFERROR(
(AVERAGE((IF(DATOS_[[Sexo]:[Sexo]]=$B86,IF(DATOS_[[AGRUP. VALOR. PTO.]:[AGRUP. VALOR. PTO.]]=$B84,IF(DATOS_[[Check Periodo Ref.]:[Check Periodo Ref.]]="Dentro",IF(DATOS_[[Check Equiparado]:[Check Equiparado]]="Sí",IF(DATOS!AP$5="Sí",(1/DATOS_[[% anualiz]:[% anualiz]]),1)*IF(DATOS!AP$4="Sí",1/DATOS_[[% normaliz]:[% normaliz]],1)*(DATOS_[Conc.Sal.12])))))))),
0)</f>
        <v>0</v>
      </c>
      <c r="V86" s="101">
        <f t="array" ref="V86">IFERROR(
(AVERAGE((IF(DATOS_[[Sexo]:[Sexo]]=$B86,IF(DATOS_[[AGRUP. VALOR. PTO.]:[AGRUP. VALOR. PTO.]]=$B84,IF(DATOS_[[Check Periodo Ref.]:[Check Periodo Ref.]]="Dentro",IF(DATOS_[[Check Equiparado]:[Check Equiparado]]="Sí",IF(DATOS!AQ$5="Sí",(1/DATOS_[[% anualiz]:[% anualiz]]),1)*IF(DATOS!AQ$4="Sí",1/DATOS_[[% normaliz]:[% normaliz]],1)*(DATOS_[Conc.Sal.13])))))))),
0)</f>
        <v>0</v>
      </c>
      <c r="W86" s="101">
        <f t="array" ref="W86">IFERROR(
(AVERAGE((IF(DATOS_[[Sexo]:[Sexo]]=$B86,IF(DATOS_[[AGRUP. VALOR. PTO.]:[AGRUP. VALOR. PTO.]]=$B84,IF(DATOS_[[Check Periodo Ref.]:[Check Periodo Ref.]]="Dentro",IF(DATOS_[[Check Equiparado]:[Check Equiparado]]="Sí",IF(DATOS!AR$5="Sí",(1/DATOS_[[% anualiz]:[% anualiz]]),1)*IF(DATOS!AR$4="Sí",1/DATOS_[[% normaliz]:[% normaliz]],1)*(DATOS_[Conc.Sal.14])))))))),
0)</f>
        <v>0</v>
      </c>
      <c r="X86" s="101">
        <f t="array" ref="X86">IFERROR(
(AVERAGE((IF(DATOS_[[Sexo]:[Sexo]]=$B86,IF(DATOS_[[AGRUP. VALOR. PTO.]:[AGRUP. VALOR. PTO.]]=$B84,IF(DATOS_[[Check Periodo Ref.]:[Check Periodo Ref.]]="Dentro",IF(DATOS_[[Check Equiparado]:[Check Equiparado]]="Sí",IF(DATOS!AS$5="Sí",(1/DATOS_[[% anualiz]:[% anualiz]]),1)*IF(DATOS!AS$4="Sí",1/DATOS_[[% normaliz]:[% normaliz]],1)*(DATOS_[Conc.Sal.15])))))))),
0)</f>
        <v>0</v>
      </c>
      <c r="Y86" s="101">
        <f t="array" ref="Y86">IFERROR(
(AVERAGE((IF(DATOS_[[Sexo]:[Sexo]]=$B86,IF(DATOS_[[AGRUP. VALOR. PTO.]:[AGRUP. VALOR. PTO.]]=$B84,IF(DATOS_[[Check Periodo Ref.]:[Check Periodo Ref.]]="Dentro",IF(DATOS_[[Check Equiparado]:[Check Equiparado]]="Sí",IF(DATOS!AT$5="Sí",(1/DATOS_[[% anualiz]:[% anualiz]]),1)*IF(DATOS!AT$4="Sí",1/DATOS_[[% normaliz]:[% normaliz]],1)*(DATOS_[Conc.Sal.16])))))))),
0)</f>
        <v>0</v>
      </c>
      <c r="Z86" s="101">
        <f t="array" ref="Z86">IFERROR(
(AVERAGE((IF(DATOS_[[Sexo]:[Sexo]]=$B86,IF(DATOS_[[AGRUP. VALOR. PTO.]:[AGRUP. VALOR. PTO.]]=$B84,IF(DATOS_[[Check Periodo Ref.]:[Check Periodo Ref.]]="Dentro",IF(DATOS_[[Check Equiparado]:[Check Equiparado]]="Sí",IF(DATOS!AU$5="Sí",(1/DATOS_[[% anualiz]:[% anualiz]]),1)*IF(DATOS!AU$4="Sí",1/DATOS_[[% normaliz]:[% normaliz]],1)*(DATOS_[Conc.Sal.17])))))))),
0)</f>
        <v>0</v>
      </c>
      <c r="AA86" s="101">
        <f t="array" ref="AA86">IFERROR(
(AVERAGE((IF(DATOS_[[Sexo]:[Sexo]]=$B86,IF(DATOS_[[AGRUP. VALOR. PTO.]:[AGRUP. VALOR. PTO.]]=$B84,IF(DATOS_[[Check Periodo Ref.]:[Check Periodo Ref.]]="Dentro",IF(DATOS_[[Check Equiparado]:[Check Equiparado]]="Sí",IF(DATOS!AV$5="Sí",(1/DATOS_[[% anualiz]:[% anualiz]]),1)*IF(DATOS!AV$4="Sí",1/DATOS_[[% normaliz]:[% normaliz]],1)*(DATOS_[Conc.Sal.18])))))))),
0)</f>
        <v>0</v>
      </c>
      <c r="AB86" s="101">
        <f t="array" ref="AB86">IFERROR(
(AVERAGE((IF(DATOS_[[Sexo]:[Sexo]]=$B86,IF(DATOS_[[AGRUP. VALOR. PTO.]:[AGRUP. VALOR. PTO.]]=$B84,IF(DATOS_[[Check Periodo Ref.]:[Check Periodo Ref.]]="Dentro",IF(DATOS_[[Check Equiparado]:[Check Equiparado]]="Sí",IF(DATOS!AW$5="Sí",(1/DATOS_[[% anualiz]:[% anualiz]]),1)*IF(DATOS!AW$4="Sí",1/DATOS_[[% normaliz]:[% normaliz]],1)*(DATOS_[Conc.Sal.19])))))))),
0)</f>
        <v>0</v>
      </c>
      <c r="AC86" s="101">
        <f t="array" ref="AC86">IFERROR(
(AVERAGE((IF(DATOS_[[Sexo]:[Sexo]]=$B86,IF(DATOS_[[AGRUP. VALOR. PTO.]:[AGRUP. VALOR. PTO.]]=$B84,IF(DATOS_[[Check Periodo Ref.]:[Check Periodo Ref.]]="Dentro",IF(DATOS_[[Check Equiparado]:[Check Equiparado]]="Sí",IF(DATOS!AX$5="Sí",(1/DATOS_[[% anualiz]:[% anualiz]]),1)*IF(DATOS!AX$4="Sí",1/DATOS_[[% normaliz]:[% normaliz]],1)*(DATOS_[Conc.Sal.20])))))))),
0)</f>
        <v>0</v>
      </c>
      <c r="AD86" s="101">
        <f t="array" ref="AD86">IFERROR(
(AVERAGE((IF(DATOS_[[Sexo]:[Sexo]]=$B86,IF(DATOS_[[AGRUP. VALOR. PTO.]:[AGRUP. VALOR. PTO.]]=$B84,IF(DATOS_[[Check Periodo Ref.]:[Check Periodo Ref.]]="Dentro",IF(DATOS_[[Check Equiparado]:[Check Equiparado]]="Sí",IF(DATOS!AY$5="Sí",(1/DATOS_[[% anualiz]:[% anualiz]]),1)*IF(DATOS!AY$4="Sí",1/DATOS_[[% normaliz]:[% normaliz]],1)*(DATOS_[Conc.Sal.21])))))))),
0)</f>
        <v>0</v>
      </c>
      <c r="AE86" s="101">
        <f t="array" ref="AE86">IFERROR(
(AVERAGE((IF(DATOS_[[Sexo]:[Sexo]]=$B86,IF(DATOS_[[AGRUP. VALOR. PTO.]:[AGRUP. VALOR. PTO.]]=$B84,IF(DATOS_[[Check Periodo Ref.]:[Check Periodo Ref.]]="Dentro",IF(DATOS_[[Check Equiparado]:[Check Equiparado]]="Sí",IF(DATOS!AZ$5="Sí",(1/DATOS_[[% anualiz]:[% anualiz]]),1)*IF(DATOS!AZ$4="Sí",1/DATOS_[[% normaliz]:[% normaliz]],1)*(DATOS_[Conc.Sal.22])))))))),
0)</f>
        <v>0</v>
      </c>
      <c r="AF86" s="101">
        <f t="array" ref="AF86">IFERROR(
(AVERAGE((IF(DATOS_[[Sexo]:[Sexo]]=$B86,IF(DATOS_[[AGRUP. VALOR. PTO.]:[AGRUP. VALOR. PTO.]]=$B84,IF(DATOS_[[Check Periodo Ref.]:[Check Periodo Ref.]]="Dentro",IF(DATOS_[[Check Equiparado]:[Check Equiparado]]="Sí",IF(DATOS!BA$5="Sí",(1/DATOS_[[% anualiz]:[% anualiz]]),1)*IF(DATOS!BA$4="Sí",1/DATOS_[[% normaliz]:[% normaliz]],1)*(DATOS_[Conc.Sal.23])))))))),
0)</f>
        <v>0</v>
      </c>
      <c r="AG86" s="101">
        <f t="array" ref="AG86">IFERROR(
(AVERAGE((IF(DATOS_[[Sexo]:[Sexo]]=$B86,IF(DATOS_[[AGRUP. VALOR. PTO.]:[AGRUP. VALOR. PTO.]]=$B84,IF(DATOS_[[Check Periodo Ref.]:[Check Periodo Ref.]]="Dentro",IF(DATOS_[[Check Equiparado]:[Check Equiparado]]="Sí",IF(DATOS!BB$5="Sí",(1/DATOS_[[% anualiz]:[% anualiz]]),1)*IF(DATOS!BB$4="Sí",1/DATOS_[[% normaliz]:[% normaliz]],1)*(DATOS_[Conc.Sal.24])))))))),
0)</f>
        <v>0</v>
      </c>
      <c r="AH86" s="101">
        <f t="array" ref="AH86">IFERROR(
(AVERAGE((IF(DATOS_[[Sexo]:[Sexo]]=$B86,IF(DATOS_[[AGRUP. VALOR. PTO.]:[AGRUP. VALOR. PTO.]]=$B84,IF(DATOS_[[Check Periodo Ref.]:[Check Periodo Ref.]]="Dentro",IF(DATOS_[[Check Equiparado]:[Check Equiparado]]="Sí",IF(DATOS!BC$5="Sí",(1/DATOS_[[% anualiz]:[% anualiz]]),1)*IF(DATOS!BC$4="Sí",1/DATOS_[[% normaliz]:[% normaliz]],1)*(DATOS_[Conc.Sal.25])))))))),
0)</f>
        <v>0</v>
      </c>
      <c r="AI86" s="101">
        <f t="array" ref="AI86">IFERROR(
(AVERAGE((IF(DATOS_[[Sexo]:[Sexo]]=$B86,IF(DATOS_[[AGRUP. VALOR. PTO.]:[AGRUP. VALOR. PTO.]]=$B84,IF(DATOS_[[Check Periodo Ref.]:[Check Periodo Ref.]]="Dentro",IF(DATOS_[[Check Equiparado]:[Check Equiparado]]="Sí",IF(DATOS!BD$5="Sí",(1/DATOS_[[% anualiz]:[% anualiz]]),1)*IF(DATOS!BD$4="Sí",1/DATOS_[[% normaliz]:[% normaliz]],1)*(DATOS_[Conc.Sal.26])))))))),
0)</f>
        <v>0</v>
      </c>
      <c r="AJ86" s="101">
        <f t="array" ref="AJ86">IFERROR(
(AVERAGE((IF(DATOS_[[Sexo]:[Sexo]]=$B86,IF(DATOS_[[AGRUP. VALOR. PTO.]:[AGRUP. VALOR. PTO.]]=$B84,IF(DATOS_[[Check Periodo Ref.]:[Check Periodo Ref.]]="Dentro",IF(DATOS_[[Check Equiparado]:[Check Equiparado]]="Sí",IF(DATOS!BE$5="Sí",(1/DATOS_[[% anualiz]:[% anualiz]]),1)*IF(DATOS!BE$4="Sí",1/DATOS_[[% normaliz]:[% normaliz]],1)*(DATOS_[Conc.Sal.27])))))))),
0)</f>
        <v>0</v>
      </c>
      <c r="AK86" s="101">
        <f t="array" ref="AK86">IFERROR(
(AVERAGE((IF(DATOS_[[Sexo]:[Sexo]]=$B86,IF(DATOS_[[AGRUP. VALOR. PTO.]:[AGRUP. VALOR. PTO.]]=$B84,IF(DATOS_[[Check Periodo Ref.]:[Check Periodo Ref.]]="Dentro",IF(DATOS_[[Check Equiparado]:[Check Equiparado]]="Sí",IF(DATOS!BF$5="Sí",(1/DATOS_[[% anualiz]:[% anualiz]]),1)*IF(DATOS!BF$4="Sí",1/DATOS_[[% normaliz]:[% normaliz]],1)*(DATOS_[Conc.Sal.28])))))))),
0)</f>
        <v>0</v>
      </c>
      <c r="AL86" s="101">
        <f t="array" ref="AL86">IFERROR(
(AVERAGE((IF(DATOS_[[Sexo]:[Sexo]]=$B86,IF(DATOS_[[AGRUP. VALOR. PTO.]:[AGRUP. VALOR. PTO.]]=$B84,IF(DATOS_[[Check Periodo Ref.]:[Check Periodo Ref.]]="Dentro",IF(DATOS_[[Check Equiparado]:[Check Equiparado]]="Sí",IF(DATOS!BG$5="Sí",(1/DATOS_[[% anualiz]:[% anualiz]]),1)*IF(DATOS!BG$4="Sí",1/DATOS_[[% normaliz]:[% normaliz]],1)*(DATOS_[Conc.Sal.29])))))))),
0)</f>
        <v>0</v>
      </c>
      <c r="AM86" s="101">
        <f t="array" ref="AM86">IFERROR(
(AVERAGE((IF(DATOS_[[Sexo]:[Sexo]]=$B86,IF(DATOS_[[AGRUP. VALOR. PTO.]:[AGRUP. VALOR. PTO.]]=$B84,IF(DATOS_[[Check Periodo Ref.]:[Check Periodo Ref.]]="Dentro",IF(DATOS_[[Check Equiparado]:[Check Equiparado]]="Sí",IF(DATOS!BH$5="Sí",(1/DATOS_[[% anualiz]:[% anualiz]]),1)*IF(DATOS!BH$4="Sí",1/DATOS_[[% normaliz]:[% normaliz]],1)*(DATOS_[Conc.Sal.30])))))))),
0)</f>
        <v>0</v>
      </c>
      <c r="AN86" s="102">
        <f t="array" ref="AN86">IFERROR(
AVERAGE(IF(DATOS_[Sexo]=$B86,IF(DATOS_[[AGRUP. VALOR. PTO.]:[AGRUP. VALOR. PTO.]]=$B84,IF(DATOS_[Check Equiparado]="Sí",IF(DATOS_[Check Periodo Ref.]="Dentro",DATOS_[Tot COMPL.SAL Eq],FALSE))))),
0)</f>
        <v>0</v>
      </c>
      <c r="AO86" s="103">
        <f t="array" ref="AO86">IFERROR(
AVERAGE(IF(DATOS_[Sexo]=$B86,IF(DATOS_[[AGRUP. VALOR. PTO.]:[AGRUP. VALOR. PTO.]]=$B84,IF(DATOS_[Check Equiparado]="Sí",IF(DATOS_[Check Periodo Ref.]="Dentro",DATOS_[TOTAL SALARIO Eq],FALSE))))),
0)</f>
        <v>0</v>
      </c>
      <c r="AP86" s="104">
        <f t="array" ref="AP86">IFERROR(
(AVERAGE((IF(DATOS_[[Sexo]:[Sexo]]=$B86,IF(DATOS_[[AGRUP. VALOR. PTO.]:[AGRUP. VALOR. PTO.]]=$B84,IF(DATOS_[[Check Periodo Ref.]:[Check Periodo Ref.]]="Dentro",IF(DATOS_[[Check Equiparado]:[Check Equiparado]]="Sí",IF(DATOS!BI$5="Sí",(1/DATOS_[[% anualiz]:[% anualiz]]),1)*IF(DATOS!BI$4="Sí",1/DATOS_[[% normaliz]:[% normaliz]],1)*(DATOS_[C.Extra.01])))))))),
0)</f>
        <v>0</v>
      </c>
      <c r="AQ86" s="104">
        <f t="array" ref="AQ86">IFERROR(
(AVERAGE((IF(DATOS_[[Sexo]:[Sexo]]=$B86,IF(DATOS_[[AGRUP. VALOR. PTO.]:[AGRUP. VALOR. PTO.]]=$B84,IF(DATOS_[[Check Periodo Ref.]:[Check Periodo Ref.]]="Dentro",IF(DATOS_[[Check Equiparado]:[Check Equiparado]]="Sí",IF(DATOS!BJ$5="Sí",(1/DATOS_[[% anualiz]:[% anualiz]]),1)*IF(DATOS!BJ$4="Sí",1/DATOS_[[% normaliz]:[% normaliz]],1)*(DATOS_[C.Extra.02])))))))),
0)</f>
        <v>0</v>
      </c>
      <c r="AR86" s="104">
        <f t="array" ref="AR86">IFERROR(
(AVERAGE((IF(DATOS_[[Sexo]:[Sexo]]=$B86,IF(DATOS_[[AGRUP. VALOR. PTO.]:[AGRUP. VALOR. PTO.]]=$B84,IF(DATOS_[[Check Periodo Ref.]:[Check Periodo Ref.]]="Dentro",IF(DATOS_[[Check Equiparado]:[Check Equiparado]]="Sí",IF(DATOS!BK$5="Sí",(1/DATOS_[[% anualiz]:[% anualiz]]),1)*IF(DATOS!BK$4="Sí",1/DATOS_[[% normaliz]:[% normaliz]],1)*(DATOS_[C.Extra.03])))))))),
0)</f>
        <v>0</v>
      </c>
      <c r="AS86" s="104">
        <f t="array" ref="AS86">IFERROR(
(AVERAGE((IF(DATOS_[[Sexo]:[Sexo]]=$B86,IF(DATOS_[[AGRUP. VALOR. PTO.]:[AGRUP. VALOR. PTO.]]=$B84,IF(DATOS_[[Check Periodo Ref.]:[Check Periodo Ref.]]="Dentro",IF(DATOS_[[Check Equiparado]:[Check Equiparado]]="Sí",IF(DATOS!BL$5="Sí",(1/DATOS_[[% anualiz]:[% anualiz]]),1)*IF(DATOS!BL$4="Sí",1/DATOS_[[% normaliz]:[% normaliz]],1)*(DATOS_[C.Extra.04])))))))),
0)</f>
        <v>0</v>
      </c>
      <c r="AT86" s="104">
        <f t="array" ref="AT86">IFERROR(
(AVERAGE((IF(DATOS_[[Sexo]:[Sexo]]=$B86,IF(DATOS_[[AGRUP. VALOR. PTO.]:[AGRUP. VALOR. PTO.]]=$B84,IF(DATOS_[[Check Periodo Ref.]:[Check Periodo Ref.]]="Dentro",IF(DATOS_[[Check Equiparado]:[Check Equiparado]]="Sí",IF(DATOS!BM$5="Sí",(1/DATOS_[[% anualiz]:[% anualiz]]),1)*IF(DATOS!BM$4="Sí",1/DATOS_[[% normaliz]:[% normaliz]],1)*(DATOS_[C.Extra.05])))))))),
0)</f>
        <v>0</v>
      </c>
      <c r="AU86" s="105">
        <f t="array" ref="AU86">IFERROR(
AVERAGE(IF(DATOS_[Sexo]=$B86,IF(DATOS_[[AGRUP. VALOR. PTO.]:[AGRUP. VALOR. PTO.]]=$B84,IF(DATOS_[Check Equiparado]="Sí",IF(DATOS_[Check Periodo Ref.]="Dentro",DATOS_[Tot Extrasalarial Eq],FALSE))))),
0)</f>
        <v>0</v>
      </c>
      <c r="AV86" s="106">
        <f t="array" ref="AV86">IFERROR(
AVERAGE(IF(DATOS_[Sexo]=$B86,IF(DATOS_[[AGRUP. VALOR. PTO.]:[AGRUP. VALOR. PTO.]]=$B84,IF(DATOS_[Check Equiparado]="Sí",IF(DATOS_[Check Periodo Ref.]="Dentro",DATOS_[TOTAL Retrib Eq],FALSE))))),
0)</f>
        <v>0</v>
      </c>
    </row>
    <row r="87" spans="1:48" ht="17.25" hidden="1" thickBot="1" x14ac:dyDescent="0.35">
      <c r="A87" s="53" t="str">
        <f t="shared" ref="A87" si="99">+A88</f>
        <v>[ocultar]</v>
      </c>
      <c r="B87" s="62" t="s">
        <v>284</v>
      </c>
      <c r="C87" s="99"/>
      <c r="D87" s="63"/>
      <c r="E87" s="63"/>
      <c r="F87" s="63"/>
      <c r="G87" s="63"/>
      <c r="H87" s="63"/>
      <c r="I87" s="129" t="str">
        <f t="shared" ref="I87:AV87" si="100">IFERROR((I88-I89)/I88,"")</f>
        <v/>
      </c>
      <c r="J87" s="130" t="str">
        <f t="shared" si="100"/>
        <v/>
      </c>
      <c r="K87" s="131" t="str">
        <f t="shared" si="100"/>
        <v/>
      </c>
      <c r="L87" s="131" t="str">
        <f t="shared" si="100"/>
        <v/>
      </c>
      <c r="M87" s="131" t="str">
        <f t="shared" si="100"/>
        <v/>
      </c>
      <c r="N87" s="132" t="str">
        <f t="shared" si="100"/>
        <v/>
      </c>
      <c r="O87" s="133" t="str">
        <f t="shared" si="100"/>
        <v/>
      </c>
      <c r="P87" s="133" t="str">
        <f t="shared" si="100"/>
        <v/>
      </c>
      <c r="Q87" s="133" t="str">
        <f t="shared" si="100"/>
        <v/>
      </c>
      <c r="R87" s="133" t="str">
        <f t="shared" si="100"/>
        <v/>
      </c>
      <c r="S87" s="133" t="str">
        <f t="shared" si="100"/>
        <v/>
      </c>
      <c r="T87" s="133" t="str">
        <f t="shared" si="100"/>
        <v/>
      </c>
      <c r="U87" s="133" t="str">
        <f t="shared" si="100"/>
        <v/>
      </c>
      <c r="V87" s="133" t="str">
        <f t="shared" si="100"/>
        <v/>
      </c>
      <c r="W87" s="133" t="str">
        <f t="shared" si="100"/>
        <v/>
      </c>
      <c r="X87" s="133" t="str">
        <f t="shared" si="100"/>
        <v/>
      </c>
      <c r="Y87" s="133" t="str">
        <f t="shared" si="100"/>
        <v/>
      </c>
      <c r="Z87" s="132" t="str">
        <f t="shared" si="100"/>
        <v/>
      </c>
      <c r="AA87" s="132" t="str">
        <f t="shared" si="100"/>
        <v/>
      </c>
      <c r="AB87" s="132" t="str">
        <f t="shared" si="100"/>
        <v/>
      </c>
      <c r="AC87" s="132" t="str">
        <f t="shared" si="100"/>
        <v/>
      </c>
      <c r="AD87" s="132" t="str">
        <f t="shared" si="100"/>
        <v/>
      </c>
      <c r="AE87" s="132" t="str">
        <f t="shared" si="100"/>
        <v/>
      </c>
      <c r="AF87" s="132" t="str">
        <f t="shared" si="100"/>
        <v/>
      </c>
      <c r="AG87" s="132" t="str">
        <f t="shared" si="100"/>
        <v/>
      </c>
      <c r="AH87" s="132" t="str">
        <f t="shared" si="100"/>
        <v/>
      </c>
      <c r="AI87" s="132" t="str">
        <f t="shared" si="100"/>
        <v/>
      </c>
      <c r="AJ87" s="132" t="str">
        <f t="shared" si="100"/>
        <v/>
      </c>
      <c r="AK87" s="132" t="str">
        <f t="shared" si="100"/>
        <v/>
      </c>
      <c r="AL87" s="132" t="str">
        <f t="shared" si="100"/>
        <v/>
      </c>
      <c r="AM87" s="132" t="str">
        <f t="shared" si="100"/>
        <v/>
      </c>
      <c r="AN87" s="134" t="str">
        <f t="shared" si="100"/>
        <v/>
      </c>
      <c r="AO87" s="138" t="str">
        <f t="shared" si="100"/>
        <v/>
      </c>
      <c r="AP87" s="135" t="str">
        <f t="shared" si="100"/>
        <v/>
      </c>
      <c r="AQ87" s="135" t="str">
        <f t="shared" si="100"/>
        <v/>
      </c>
      <c r="AR87" s="135" t="str">
        <f t="shared" si="100"/>
        <v/>
      </c>
      <c r="AS87" s="135" t="str">
        <f t="shared" si="100"/>
        <v/>
      </c>
      <c r="AT87" s="135" t="str">
        <f t="shared" si="100"/>
        <v/>
      </c>
      <c r="AU87" s="136" t="str">
        <f t="shared" si="100"/>
        <v/>
      </c>
      <c r="AV87" s="137" t="str">
        <f t="shared" si="100"/>
        <v/>
      </c>
    </row>
    <row r="88" spans="1:48" hidden="1" x14ac:dyDescent="0.3">
      <c r="A88" s="53" t="str">
        <f t="shared" ref="A88" si="101">+IF(C88+C89=0,"[ocultar]","")</f>
        <v>[ocultar]</v>
      </c>
      <c r="B88" s="57" t="s">
        <v>162</v>
      </c>
      <c r="C88" s="56">
        <f t="array" ref="C88">SUM(IF($B88=DATOS_[Sexo],
IF($B87=DATOS_[AGRUP. VALOR. PTO.],
IF("Dentro"=DATOS_[Check Periodo Ref.],
1/(COUNTIFS(DATOS_[Sexo],$B88,DATOS_[AGRUP. VALOR. PTO.],$B87,DATOS_[Check Periodo Ref.],"Dentro",DATOS_[id],DATOS_[id]))))))</f>
        <v>0</v>
      </c>
      <c r="D88" s="58">
        <f>COUNTIFS(DATOS_[AGRUP. VALOR. PTO.],$B87,DATOS_[Sexo],$B88,DATOS_[Check Periodo Ref.],"Dentro")</f>
        <v>0</v>
      </c>
      <c r="E88" s="58">
        <f>COUNTIFS(DATOS_[AGRUP. VALOR. PTO.],$B87,DATOS_[Sexo],$B88,DATOS_[Check Periodo Ref.],"Dentro",DATOS_[Check Nº SC Norm],"Sí")</f>
        <v>0</v>
      </c>
      <c r="F88" s="58">
        <f>COUNTIFS(DATOS_[AGRUP. VALOR. PTO.],$B87,DATOS_[Sexo],$B88,DATOS_[Check Periodo Ref.],"Dentro",DATOS_[Check Nº SC Anualiz],"Sí")</f>
        <v>0</v>
      </c>
      <c r="G88" s="58">
        <f>COUNTIFS(DATOS_[AGRUP. VALOR. PTO.],$B87,DATOS_[Sexo],$B88,DATOS_[Check Periodo Ref.],"Dentro",DATOS_[Check Nº SC Norm y Anualiz],"Sí")</f>
        <v>0</v>
      </c>
      <c r="H88" s="58">
        <f>COUNTIFS(DATOS_[AGRUP. VALOR. PTO.],$B87,DATOS_[Sexo],$B88,DATOS_[Check Periodo Ref.],"Dentro",DATOS_[Check Equiparación],"Sí")</f>
        <v>0</v>
      </c>
      <c r="I88" s="100">
        <f t="array" ref="I88">IFERROR(
AVERAGE(IF(DATOS_[Sexo]=$B88,IF(DATOS_[[AGRUP. VALOR. PTO.]:[AGRUP. VALOR. PTO.]]=$B87,IF(DATOS_[Check Equiparado]="Sí",IF(DATOS_[Check Periodo Ref.]="Dentro",DATOS_[SALARIO BASE Eq],FALSE))))),
0)</f>
        <v>0</v>
      </c>
      <c r="J88" s="101">
        <f t="array" ref="J88">IFERROR(
(AVERAGE((IF(DATOS_[[Sexo]:[Sexo]]=$B88,IF(DATOS_[[AGRUP. VALOR. PTO.]:[AGRUP. VALOR. PTO.]]=$B87,IF(DATOS_[[Check Periodo Ref.]:[Check Periodo Ref.]]="Dentro",IF(DATOS_[[Check Equiparado]:[Check Equiparado]]="Sí",IF(DATOS!AE$5="Sí",(1/DATOS_[[% anualiz]:[% anualiz]]),1)*IF(DATOS!AE$4="Sí",1/DATOS_[[% normaliz]:[% normaliz]],1)*(DATOS_[Conc.Sal.01])))))))),
0)</f>
        <v>0</v>
      </c>
      <c r="K88" s="101">
        <f t="array" ref="K88">IFERROR(
(AVERAGE((IF(DATOS_[[Sexo]:[Sexo]]=$B88,IF(DATOS_[[AGRUP. VALOR. PTO.]:[AGRUP. VALOR. PTO.]]=$B87,IF(DATOS_[[Check Periodo Ref.]:[Check Periodo Ref.]]="Dentro",IF(DATOS_[[Check Equiparado]:[Check Equiparado]]="Sí",IF(DATOS!AF$5="Sí",(1/DATOS_[[% anualiz]:[% anualiz]]),1)*IF(DATOS!AF$4="Sí",1/DATOS_[[% normaliz]:[% normaliz]],1)*(DATOS_[Conc.Sal.02])))))))),
0)</f>
        <v>0</v>
      </c>
      <c r="L88" s="101">
        <f t="array" ref="L88">IFERROR(
(AVERAGE((IF(DATOS_[[Sexo]:[Sexo]]=$B88,IF(DATOS_[[AGRUP. VALOR. PTO.]:[AGRUP. VALOR. PTO.]]=$B87,IF(DATOS_[[Check Periodo Ref.]:[Check Periodo Ref.]]="Dentro",IF(DATOS_[[Check Equiparado]:[Check Equiparado]]="Sí",IF(DATOS!AG$5="Sí",(1/DATOS_[[% anualiz]:[% anualiz]]),1)*IF(DATOS!AG$4="Sí",1/DATOS_[[% normaliz]:[% normaliz]],1)*(DATOS_[Conc.Sal.03])))))))),
0)</f>
        <v>0</v>
      </c>
      <c r="M88" s="101">
        <f t="array" ref="M88">IFERROR(
(AVERAGE((IF(DATOS_[[Sexo]:[Sexo]]=$B88,IF(DATOS_[[AGRUP. VALOR. PTO.]:[AGRUP. VALOR. PTO.]]=$B87,IF(DATOS_[[Check Periodo Ref.]:[Check Periodo Ref.]]="Dentro",IF(DATOS_[[Check Equiparado]:[Check Equiparado]]="Sí",IF(DATOS!AH$5="Sí",(1/DATOS_[[% anualiz]:[% anualiz]]),1)*IF(DATOS!AH$4="Sí",1/DATOS_[[% normaliz]:[% normaliz]],1)*(DATOS_[Conc.Sal.04])))))))),
0)</f>
        <v>0</v>
      </c>
      <c r="N88" s="101">
        <f t="array" ref="N88">IFERROR(
(AVERAGE((IF(DATOS_[[Sexo]:[Sexo]]=$B88,IF(DATOS_[[AGRUP. VALOR. PTO.]:[AGRUP. VALOR. PTO.]]=$B87,IF(DATOS_[[Check Periodo Ref.]:[Check Periodo Ref.]]="Dentro",IF(DATOS_[[Check Equiparado]:[Check Equiparado]]="Sí",IF(DATOS!AI$5="Sí",(1/DATOS_[[% anualiz]:[% anualiz]]),1)*IF(DATOS!AI$4="Sí",1/DATOS_[[% normaliz]:[% normaliz]],1)*(DATOS_[Conc.Sal.05])))))))),
0)</f>
        <v>0</v>
      </c>
      <c r="O88" s="101">
        <f t="array" ref="O88">IFERROR(
(AVERAGE((IF(DATOS_[[Sexo]:[Sexo]]=$B88,IF(DATOS_[[AGRUP. VALOR. PTO.]:[AGRUP. VALOR. PTO.]]=$B87,IF(DATOS_[[Check Periodo Ref.]:[Check Periodo Ref.]]="Dentro",IF(DATOS_[[Check Equiparado]:[Check Equiparado]]="Sí",IF(DATOS!AJ$5="Sí",(1/DATOS_[[% anualiz]:[% anualiz]]),1)*IF(DATOS!AJ$4="Sí",1/DATOS_[[% normaliz]:[% normaliz]],1)*(DATOS_[Conc.Sal.06])))))))),
0)</f>
        <v>0</v>
      </c>
      <c r="P88" s="101">
        <f t="array" ref="P88">IFERROR(
(AVERAGE((IF(DATOS_[[Sexo]:[Sexo]]=$B88,IF(DATOS_[[AGRUP. VALOR. PTO.]:[AGRUP. VALOR. PTO.]]=$B87,IF(DATOS_[[Check Periodo Ref.]:[Check Periodo Ref.]]="Dentro",IF(DATOS_[[Check Equiparado]:[Check Equiparado]]="Sí",IF(DATOS!AK$5="Sí",(1/DATOS_[[% anualiz]:[% anualiz]]),1)*IF(DATOS!AK$4="Sí",1/DATOS_[[% normaliz]:[% normaliz]],1)*(DATOS_[Conc.Sal.07])))))))),
0)</f>
        <v>0</v>
      </c>
      <c r="Q88" s="101">
        <f t="array" ref="Q88">IFERROR(
(AVERAGE((IF(DATOS_[[Sexo]:[Sexo]]=$B88,IF(DATOS_[[AGRUP. VALOR. PTO.]:[AGRUP. VALOR. PTO.]]=$B87,IF(DATOS_[[Check Periodo Ref.]:[Check Periodo Ref.]]="Dentro",IF(DATOS_[[Check Equiparado]:[Check Equiparado]]="Sí",IF(DATOS!AL$5="Sí",(1/DATOS_[[% anualiz]:[% anualiz]]),1)*IF(DATOS!AL$4="Sí",1/DATOS_[[% normaliz]:[% normaliz]],1)*(DATOS_[Conc.Sal.08])))))))),
0)</f>
        <v>0</v>
      </c>
      <c r="R88" s="101">
        <f t="array" ref="R88">IFERROR(
(AVERAGE((IF(DATOS_[[Sexo]:[Sexo]]=$B88,IF(DATOS_[[AGRUP. VALOR. PTO.]:[AGRUP. VALOR. PTO.]]=$B87,IF(DATOS_[[Check Periodo Ref.]:[Check Periodo Ref.]]="Dentro",IF(DATOS_[[Check Equiparado]:[Check Equiparado]]="Sí",IF(DATOS!AM$5="Sí",(1/DATOS_[[% anualiz]:[% anualiz]]),1)*IF(DATOS!AM$4="Sí",1/DATOS_[[% normaliz]:[% normaliz]],1)*(DATOS_[Conc.Sal.09])))))))),
0)</f>
        <v>0</v>
      </c>
      <c r="S88" s="101">
        <f t="array" ref="S88">IFERROR(
(AVERAGE((IF(DATOS_[[Sexo]:[Sexo]]=$B88,IF(DATOS_[[AGRUP. VALOR. PTO.]:[AGRUP. VALOR. PTO.]]=$B87,IF(DATOS_[[Check Periodo Ref.]:[Check Periodo Ref.]]="Dentro",IF(DATOS_[[Check Equiparado]:[Check Equiparado]]="Sí",IF(DATOS!AN$5="Sí",(1/DATOS_[[% anualiz]:[% anualiz]]),1)*IF(DATOS!AN$4="Sí",1/DATOS_[[% normaliz]:[% normaliz]],1)*(DATOS_[Conc.Sal.10])))))))),
0)</f>
        <v>0</v>
      </c>
      <c r="T88" s="101">
        <f t="array" ref="T88">IFERROR(
(AVERAGE((IF(DATOS_[[Sexo]:[Sexo]]=$B88,IF(DATOS_[[AGRUP. VALOR. PTO.]:[AGRUP. VALOR. PTO.]]=$B87,IF(DATOS_[[Check Periodo Ref.]:[Check Periodo Ref.]]="Dentro",IF(DATOS_[[Check Equiparado]:[Check Equiparado]]="Sí",IF(DATOS!AO$5="Sí",(1/DATOS_[[% anualiz]:[% anualiz]]),1)*IF(DATOS!AO$4="Sí",1/DATOS_[[% normaliz]:[% normaliz]],1)*(DATOS_[Conc.Sal.11])))))))),
0)</f>
        <v>0</v>
      </c>
      <c r="U88" s="101">
        <f t="array" ref="U88">IFERROR(
(AVERAGE((IF(DATOS_[[Sexo]:[Sexo]]=$B88,IF(DATOS_[[AGRUP. VALOR. PTO.]:[AGRUP. VALOR. PTO.]]=$B87,IF(DATOS_[[Check Periodo Ref.]:[Check Periodo Ref.]]="Dentro",IF(DATOS_[[Check Equiparado]:[Check Equiparado]]="Sí",IF(DATOS!AP$5="Sí",(1/DATOS_[[% anualiz]:[% anualiz]]),1)*IF(DATOS!AP$4="Sí",1/DATOS_[[% normaliz]:[% normaliz]],1)*(DATOS_[Conc.Sal.12])))))))),
0)</f>
        <v>0</v>
      </c>
      <c r="V88" s="101">
        <f t="array" ref="V88">IFERROR(
(AVERAGE((IF(DATOS_[[Sexo]:[Sexo]]=$B88,IF(DATOS_[[AGRUP. VALOR. PTO.]:[AGRUP. VALOR. PTO.]]=$B87,IF(DATOS_[[Check Periodo Ref.]:[Check Periodo Ref.]]="Dentro",IF(DATOS_[[Check Equiparado]:[Check Equiparado]]="Sí",IF(DATOS!AQ$5="Sí",(1/DATOS_[[% anualiz]:[% anualiz]]),1)*IF(DATOS!AQ$4="Sí",1/DATOS_[[% normaliz]:[% normaliz]],1)*(DATOS_[Conc.Sal.13])))))))),
0)</f>
        <v>0</v>
      </c>
      <c r="W88" s="101">
        <f t="array" ref="W88">IFERROR(
(AVERAGE((IF(DATOS_[[Sexo]:[Sexo]]=$B88,IF(DATOS_[[AGRUP. VALOR. PTO.]:[AGRUP. VALOR. PTO.]]=$B87,IF(DATOS_[[Check Periodo Ref.]:[Check Periodo Ref.]]="Dentro",IF(DATOS_[[Check Equiparado]:[Check Equiparado]]="Sí",IF(DATOS!AR$5="Sí",(1/DATOS_[[% anualiz]:[% anualiz]]),1)*IF(DATOS!AR$4="Sí",1/DATOS_[[% normaliz]:[% normaliz]],1)*(DATOS_[Conc.Sal.14])))))))),
0)</f>
        <v>0</v>
      </c>
      <c r="X88" s="101">
        <f t="array" ref="X88">IFERROR(
(AVERAGE((IF(DATOS_[[Sexo]:[Sexo]]=$B88,IF(DATOS_[[AGRUP. VALOR. PTO.]:[AGRUP. VALOR. PTO.]]=$B87,IF(DATOS_[[Check Periodo Ref.]:[Check Periodo Ref.]]="Dentro",IF(DATOS_[[Check Equiparado]:[Check Equiparado]]="Sí",IF(DATOS!AS$5="Sí",(1/DATOS_[[% anualiz]:[% anualiz]]),1)*IF(DATOS!AS$4="Sí",1/DATOS_[[% normaliz]:[% normaliz]],1)*(DATOS_[Conc.Sal.15])))))))),
0)</f>
        <v>0</v>
      </c>
      <c r="Y88" s="101">
        <f t="array" ref="Y88">IFERROR(
(AVERAGE((IF(DATOS_[[Sexo]:[Sexo]]=$B88,IF(DATOS_[[AGRUP. VALOR. PTO.]:[AGRUP. VALOR. PTO.]]=$B87,IF(DATOS_[[Check Periodo Ref.]:[Check Periodo Ref.]]="Dentro",IF(DATOS_[[Check Equiparado]:[Check Equiparado]]="Sí",IF(DATOS!AT$5="Sí",(1/DATOS_[[% anualiz]:[% anualiz]]),1)*IF(DATOS!AT$4="Sí",1/DATOS_[[% normaliz]:[% normaliz]],1)*(DATOS_[Conc.Sal.16])))))))),
0)</f>
        <v>0</v>
      </c>
      <c r="Z88" s="101">
        <f t="array" ref="Z88">IFERROR(
(AVERAGE((IF(DATOS_[[Sexo]:[Sexo]]=$B88,IF(DATOS_[[AGRUP. VALOR. PTO.]:[AGRUP. VALOR. PTO.]]=$B87,IF(DATOS_[[Check Periodo Ref.]:[Check Periodo Ref.]]="Dentro",IF(DATOS_[[Check Equiparado]:[Check Equiparado]]="Sí",IF(DATOS!AU$5="Sí",(1/DATOS_[[% anualiz]:[% anualiz]]),1)*IF(DATOS!AU$4="Sí",1/DATOS_[[% normaliz]:[% normaliz]],1)*(DATOS_[Conc.Sal.17])))))))),
0)</f>
        <v>0</v>
      </c>
      <c r="AA88" s="101">
        <f t="array" ref="AA88">IFERROR(
(AVERAGE((IF(DATOS_[[Sexo]:[Sexo]]=$B88,IF(DATOS_[[AGRUP. VALOR. PTO.]:[AGRUP. VALOR. PTO.]]=$B87,IF(DATOS_[[Check Periodo Ref.]:[Check Periodo Ref.]]="Dentro",IF(DATOS_[[Check Equiparado]:[Check Equiparado]]="Sí",IF(DATOS!AV$5="Sí",(1/DATOS_[[% anualiz]:[% anualiz]]),1)*IF(DATOS!AV$4="Sí",1/DATOS_[[% normaliz]:[% normaliz]],1)*(DATOS_[Conc.Sal.18])))))))),
0)</f>
        <v>0</v>
      </c>
      <c r="AB88" s="101">
        <f t="array" ref="AB88">IFERROR(
(AVERAGE((IF(DATOS_[[Sexo]:[Sexo]]=$B88,IF(DATOS_[[AGRUP. VALOR. PTO.]:[AGRUP. VALOR. PTO.]]=$B87,IF(DATOS_[[Check Periodo Ref.]:[Check Periodo Ref.]]="Dentro",IF(DATOS_[[Check Equiparado]:[Check Equiparado]]="Sí",IF(DATOS!AW$5="Sí",(1/DATOS_[[% anualiz]:[% anualiz]]),1)*IF(DATOS!AW$4="Sí",1/DATOS_[[% normaliz]:[% normaliz]],1)*(DATOS_[Conc.Sal.19])))))))),
0)</f>
        <v>0</v>
      </c>
      <c r="AC88" s="101">
        <f t="array" ref="AC88">IFERROR(
(AVERAGE((IF(DATOS_[[Sexo]:[Sexo]]=$B88,IF(DATOS_[[AGRUP. VALOR. PTO.]:[AGRUP. VALOR. PTO.]]=$B87,IF(DATOS_[[Check Periodo Ref.]:[Check Periodo Ref.]]="Dentro",IF(DATOS_[[Check Equiparado]:[Check Equiparado]]="Sí",IF(DATOS!AX$5="Sí",(1/DATOS_[[% anualiz]:[% anualiz]]),1)*IF(DATOS!AX$4="Sí",1/DATOS_[[% normaliz]:[% normaliz]],1)*(DATOS_[Conc.Sal.20])))))))),
0)</f>
        <v>0</v>
      </c>
      <c r="AD88" s="101">
        <f t="array" ref="AD88">IFERROR(
(AVERAGE((IF(DATOS_[[Sexo]:[Sexo]]=$B88,IF(DATOS_[[AGRUP. VALOR. PTO.]:[AGRUP. VALOR. PTO.]]=$B87,IF(DATOS_[[Check Periodo Ref.]:[Check Periodo Ref.]]="Dentro",IF(DATOS_[[Check Equiparado]:[Check Equiparado]]="Sí",IF(DATOS!AY$5="Sí",(1/DATOS_[[% anualiz]:[% anualiz]]),1)*IF(DATOS!AY$4="Sí",1/DATOS_[[% normaliz]:[% normaliz]],1)*(DATOS_[Conc.Sal.21])))))))),
0)</f>
        <v>0</v>
      </c>
      <c r="AE88" s="101">
        <f t="array" ref="AE88">IFERROR(
(AVERAGE((IF(DATOS_[[Sexo]:[Sexo]]=$B88,IF(DATOS_[[AGRUP. VALOR. PTO.]:[AGRUP. VALOR. PTO.]]=$B87,IF(DATOS_[[Check Periodo Ref.]:[Check Periodo Ref.]]="Dentro",IF(DATOS_[[Check Equiparado]:[Check Equiparado]]="Sí",IF(DATOS!AZ$5="Sí",(1/DATOS_[[% anualiz]:[% anualiz]]),1)*IF(DATOS!AZ$4="Sí",1/DATOS_[[% normaliz]:[% normaliz]],1)*(DATOS_[Conc.Sal.22])))))))),
0)</f>
        <v>0</v>
      </c>
      <c r="AF88" s="101">
        <f t="array" ref="AF88">IFERROR(
(AVERAGE((IF(DATOS_[[Sexo]:[Sexo]]=$B88,IF(DATOS_[[AGRUP. VALOR. PTO.]:[AGRUP. VALOR. PTO.]]=$B87,IF(DATOS_[[Check Periodo Ref.]:[Check Periodo Ref.]]="Dentro",IF(DATOS_[[Check Equiparado]:[Check Equiparado]]="Sí",IF(DATOS!BA$5="Sí",(1/DATOS_[[% anualiz]:[% anualiz]]),1)*IF(DATOS!BA$4="Sí",1/DATOS_[[% normaliz]:[% normaliz]],1)*(DATOS_[Conc.Sal.23])))))))),
0)</f>
        <v>0</v>
      </c>
      <c r="AG88" s="101">
        <f t="array" ref="AG88">IFERROR(
(AVERAGE((IF(DATOS_[[Sexo]:[Sexo]]=$B88,IF(DATOS_[[AGRUP. VALOR. PTO.]:[AGRUP. VALOR. PTO.]]=$B87,IF(DATOS_[[Check Periodo Ref.]:[Check Periodo Ref.]]="Dentro",IF(DATOS_[[Check Equiparado]:[Check Equiparado]]="Sí",IF(DATOS!BB$5="Sí",(1/DATOS_[[% anualiz]:[% anualiz]]),1)*IF(DATOS!BB$4="Sí",1/DATOS_[[% normaliz]:[% normaliz]],1)*(DATOS_[Conc.Sal.24])))))))),
0)</f>
        <v>0</v>
      </c>
      <c r="AH88" s="101">
        <f t="array" ref="AH88">IFERROR(
(AVERAGE((IF(DATOS_[[Sexo]:[Sexo]]=$B88,IF(DATOS_[[AGRUP. VALOR. PTO.]:[AGRUP. VALOR. PTO.]]=$B87,IF(DATOS_[[Check Periodo Ref.]:[Check Periodo Ref.]]="Dentro",IF(DATOS_[[Check Equiparado]:[Check Equiparado]]="Sí",IF(DATOS!BC$5="Sí",(1/DATOS_[[% anualiz]:[% anualiz]]),1)*IF(DATOS!BC$4="Sí",1/DATOS_[[% normaliz]:[% normaliz]],1)*(DATOS_[Conc.Sal.25])))))))),
0)</f>
        <v>0</v>
      </c>
      <c r="AI88" s="101">
        <f t="array" ref="AI88">IFERROR(
(AVERAGE((IF(DATOS_[[Sexo]:[Sexo]]=$B88,IF(DATOS_[[AGRUP. VALOR. PTO.]:[AGRUP. VALOR. PTO.]]=$B87,IF(DATOS_[[Check Periodo Ref.]:[Check Periodo Ref.]]="Dentro",IF(DATOS_[[Check Equiparado]:[Check Equiparado]]="Sí",IF(DATOS!BD$5="Sí",(1/DATOS_[[% anualiz]:[% anualiz]]),1)*IF(DATOS!BD$4="Sí",1/DATOS_[[% normaliz]:[% normaliz]],1)*(DATOS_[Conc.Sal.26])))))))),
0)</f>
        <v>0</v>
      </c>
      <c r="AJ88" s="101">
        <f t="array" ref="AJ88">IFERROR(
(AVERAGE((IF(DATOS_[[Sexo]:[Sexo]]=$B88,IF(DATOS_[[AGRUP. VALOR. PTO.]:[AGRUP. VALOR. PTO.]]=$B87,IF(DATOS_[[Check Periodo Ref.]:[Check Periodo Ref.]]="Dentro",IF(DATOS_[[Check Equiparado]:[Check Equiparado]]="Sí",IF(DATOS!BE$5="Sí",(1/DATOS_[[% anualiz]:[% anualiz]]),1)*IF(DATOS!BE$4="Sí",1/DATOS_[[% normaliz]:[% normaliz]],1)*(DATOS_[Conc.Sal.27])))))))),
0)</f>
        <v>0</v>
      </c>
      <c r="AK88" s="101">
        <f t="array" ref="AK88">IFERROR(
(AVERAGE((IF(DATOS_[[Sexo]:[Sexo]]=$B88,IF(DATOS_[[AGRUP. VALOR. PTO.]:[AGRUP. VALOR. PTO.]]=$B87,IF(DATOS_[[Check Periodo Ref.]:[Check Periodo Ref.]]="Dentro",IF(DATOS_[[Check Equiparado]:[Check Equiparado]]="Sí",IF(DATOS!BF$5="Sí",(1/DATOS_[[% anualiz]:[% anualiz]]),1)*IF(DATOS!BF$4="Sí",1/DATOS_[[% normaliz]:[% normaliz]],1)*(DATOS_[Conc.Sal.28])))))))),
0)</f>
        <v>0</v>
      </c>
      <c r="AL88" s="101">
        <f t="array" ref="AL88">IFERROR(
(AVERAGE((IF(DATOS_[[Sexo]:[Sexo]]=$B88,IF(DATOS_[[AGRUP. VALOR. PTO.]:[AGRUP. VALOR. PTO.]]=$B87,IF(DATOS_[[Check Periodo Ref.]:[Check Periodo Ref.]]="Dentro",IF(DATOS_[[Check Equiparado]:[Check Equiparado]]="Sí",IF(DATOS!BG$5="Sí",(1/DATOS_[[% anualiz]:[% anualiz]]),1)*IF(DATOS!BG$4="Sí",1/DATOS_[[% normaliz]:[% normaliz]],1)*(DATOS_[Conc.Sal.29])))))))),
0)</f>
        <v>0</v>
      </c>
      <c r="AM88" s="101">
        <f t="array" ref="AM88">IFERROR(
(AVERAGE((IF(DATOS_[[Sexo]:[Sexo]]=$B88,IF(DATOS_[[AGRUP. VALOR. PTO.]:[AGRUP. VALOR. PTO.]]=$B87,IF(DATOS_[[Check Periodo Ref.]:[Check Periodo Ref.]]="Dentro",IF(DATOS_[[Check Equiparado]:[Check Equiparado]]="Sí",IF(DATOS!BH$5="Sí",(1/DATOS_[[% anualiz]:[% anualiz]]),1)*IF(DATOS!BH$4="Sí",1/DATOS_[[% normaliz]:[% normaliz]],1)*(DATOS_[Conc.Sal.30])))))))),
0)</f>
        <v>0</v>
      </c>
      <c r="AN88" s="102">
        <f t="array" ref="AN88">IFERROR(
AVERAGE(IF(DATOS_[Sexo]=$B88,IF(DATOS_[[AGRUP. VALOR. PTO.]:[AGRUP. VALOR. PTO.]]=$B87,IF(DATOS_[Check Equiparado]="Sí",IF(DATOS_[Check Periodo Ref.]="Dentro",DATOS_[Tot COMPL.SAL Eq],FALSE))))),
0)</f>
        <v>0</v>
      </c>
      <c r="AO88" s="103">
        <f t="array" ref="AO88">IFERROR(
AVERAGE(IF(DATOS_[Sexo]=$B88,IF(DATOS_[[AGRUP. VALOR. PTO.]:[AGRUP. VALOR. PTO.]]=$B87,IF(DATOS_[Check Equiparado]="Sí",IF(DATOS_[Check Periodo Ref.]="Dentro",DATOS_[TOTAL SALARIO Eq],FALSE))))),
0)</f>
        <v>0</v>
      </c>
      <c r="AP88" s="104">
        <f t="array" ref="AP88">IFERROR(
(AVERAGE((IF(DATOS_[[Sexo]:[Sexo]]=$B88,IF(DATOS_[[AGRUP. VALOR. PTO.]:[AGRUP. VALOR. PTO.]]=$B87,IF(DATOS_[[Check Periodo Ref.]:[Check Periodo Ref.]]="Dentro",IF(DATOS_[[Check Equiparado]:[Check Equiparado]]="Sí",IF(DATOS!BI$5="Sí",(1/DATOS_[[% anualiz]:[% anualiz]]),1)*IF(DATOS!BI$4="Sí",1/DATOS_[[% normaliz]:[% normaliz]],1)*(DATOS_[C.Extra.01])))))))),
0)</f>
        <v>0</v>
      </c>
      <c r="AQ88" s="104">
        <f t="array" ref="AQ88">IFERROR(
(AVERAGE((IF(DATOS_[[Sexo]:[Sexo]]=$B88,IF(DATOS_[[AGRUP. VALOR. PTO.]:[AGRUP. VALOR. PTO.]]=$B87,IF(DATOS_[[Check Periodo Ref.]:[Check Periodo Ref.]]="Dentro",IF(DATOS_[[Check Equiparado]:[Check Equiparado]]="Sí",IF(DATOS!BJ$5="Sí",(1/DATOS_[[% anualiz]:[% anualiz]]),1)*IF(DATOS!BJ$4="Sí",1/DATOS_[[% normaliz]:[% normaliz]],1)*(DATOS_[C.Extra.02])))))))),
0)</f>
        <v>0</v>
      </c>
      <c r="AR88" s="104">
        <f t="array" ref="AR88">IFERROR(
(AVERAGE((IF(DATOS_[[Sexo]:[Sexo]]=$B88,IF(DATOS_[[AGRUP. VALOR. PTO.]:[AGRUP. VALOR. PTO.]]=$B87,IF(DATOS_[[Check Periodo Ref.]:[Check Periodo Ref.]]="Dentro",IF(DATOS_[[Check Equiparado]:[Check Equiparado]]="Sí",IF(DATOS!BK$5="Sí",(1/DATOS_[[% anualiz]:[% anualiz]]),1)*IF(DATOS!BK$4="Sí",1/DATOS_[[% normaliz]:[% normaliz]],1)*(DATOS_[C.Extra.03])))))))),
0)</f>
        <v>0</v>
      </c>
      <c r="AS88" s="104">
        <f t="array" ref="AS88">IFERROR(
(AVERAGE((IF(DATOS_[[Sexo]:[Sexo]]=$B88,IF(DATOS_[[AGRUP. VALOR. PTO.]:[AGRUP. VALOR. PTO.]]=$B87,IF(DATOS_[[Check Periodo Ref.]:[Check Periodo Ref.]]="Dentro",IF(DATOS_[[Check Equiparado]:[Check Equiparado]]="Sí",IF(DATOS!BL$5="Sí",(1/DATOS_[[% anualiz]:[% anualiz]]),1)*IF(DATOS!BL$4="Sí",1/DATOS_[[% normaliz]:[% normaliz]],1)*(DATOS_[C.Extra.04])))))))),
0)</f>
        <v>0</v>
      </c>
      <c r="AT88" s="104">
        <f t="array" ref="AT88">IFERROR(
(AVERAGE((IF(DATOS_[[Sexo]:[Sexo]]=$B88,IF(DATOS_[[AGRUP. VALOR. PTO.]:[AGRUP. VALOR. PTO.]]=$B87,IF(DATOS_[[Check Periodo Ref.]:[Check Periodo Ref.]]="Dentro",IF(DATOS_[[Check Equiparado]:[Check Equiparado]]="Sí",IF(DATOS!BM$5="Sí",(1/DATOS_[[% anualiz]:[% anualiz]]),1)*IF(DATOS!BM$4="Sí",1/DATOS_[[% normaliz]:[% normaliz]],1)*(DATOS_[C.Extra.05])))))))),
0)</f>
        <v>0</v>
      </c>
      <c r="AU88" s="105">
        <f t="array" ref="AU88">IFERROR(
AVERAGE(IF(DATOS_[Sexo]=$B88,IF(DATOS_[[AGRUP. VALOR. PTO.]:[AGRUP. VALOR. PTO.]]=$B87,IF(DATOS_[Check Equiparado]="Sí",IF(DATOS_[Check Periodo Ref.]="Dentro",DATOS_[Tot Extrasalarial Eq],FALSE))))),
0)</f>
        <v>0</v>
      </c>
      <c r="AV88" s="106">
        <f t="array" ref="AV88">IFERROR(
AVERAGE(IF(DATOS_[Sexo]=$B88,IF(DATOS_[[AGRUP. VALOR. PTO.]:[AGRUP. VALOR. PTO.]]=$B87,IF(DATOS_[Check Equiparado]="Sí",IF(DATOS_[Check Periodo Ref.]="Dentro",DATOS_[TOTAL Retrib Eq],FALSE))))),
0)</f>
        <v>0</v>
      </c>
    </row>
    <row r="89" spans="1:48" hidden="1" x14ac:dyDescent="0.3">
      <c r="A89" s="53" t="str">
        <f t="shared" ref="A89" si="102">+A88</f>
        <v>[ocultar]</v>
      </c>
      <c r="B89" s="57" t="s">
        <v>163</v>
      </c>
      <c r="C89" s="56">
        <f t="array" ref="C89">SUM(IF($B89=DATOS_[Sexo],
IF($B87=DATOS_[AGRUP. VALOR. PTO.],
IF("Dentro"=DATOS_[Check Periodo Ref.],
1/(COUNTIFS(DATOS_[Sexo],$B89,DATOS_[AGRUP. VALOR. PTO.],$B87,DATOS_[Check Periodo Ref.],"Dentro",DATOS_[id],DATOS_[id]))))))</f>
        <v>0</v>
      </c>
      <c r="D89" s="58">
        <f>COUNTIFS(DATOS_[AGRUP. VALOR. PTO.],$B87,DATOS_[Sexo],$B89,DATOS_[Check Periodo Ref.],"Dentro")</f>
        <v>0</v>
      </c>
      <c r="E89" s="58">
        <f>COUNTIFS(DATOS_[AGRUP. VALOR. PTO.],$B87,DATOS_[Sexo],$B89,DATOS_[Check Periodo Ref.],"Dentro",DATOS_[Check Nº SC Norm],"Sí")</f>
        <v>0</v>
      </c>
      <c r="F89" s="58">
        <f>COUNTIFS(DATOS_[AGRUP. VALOR. PTO.],$B87,DATOS_[Sexo],$B89,DATOS_[Check Periodo Ref.],"Dentro",DATOS_[Check Nº SC Anualiz],"Sí")</f>
        <v>0</v>
      </c>
      <c r="G89" s="58">
        <f>COUNTIFS(DATOS_[AGRUP. VALOR. PTO.],$B87,DATOS_[Sexo],$B89,DATOS_[Check Periodo Ref.],"Dentro",DATOS_[Check Nº SC Norm y Anualiz],"Sí")</f>
        <v>0</v>
      </c>
      <c r="H89" s="58">
        <f>COUNTIFS(DATOS_[AGRUP. VALOR. PTO.],$B87,DATOS_[Sexo],$B89,DATOS_[Check Periodo Ref.],"Dentro",DATOS_[Check Equiparación],"Sí")</f>
        <v>0</v>
      </c>
      <c r="I89" s="100" cm="1">
        <f t="array" ref="I89">IFERROR(
AVERAGE(IF(DATOS_[Sexo]=$B89,IF(DATOS_[[AGRUP. VALOR. PTO.]:[AGRUP. VALOR. PTO.]]=$B87,IF(DATOS_[Check Equiparado]="Sí",IF(DATOS_[Check Periodo Ref.]="Dentro",DATOS_[SALARIO BASE Eq],FALSE))))),
0)</f>
        <v>0</v>
      </c>
      <c r="J89" s="101">
        <f t="array" ref="J89">IFERROR(
(AVERAGE((IF(DATOS_[[Sexo]:[Sexo]]=$B89,IF(DATOS_[[AGRUP. VALOR. PTO.]:[AGRUP. VALOR. PTO.]]=$B87,IF(DATOS_[[Check Periodo Ref.]:[Check Periodo Ref.]]="Dentro",IF(DATOS_[[Check Equiparado]:[Check Equiparado]]="Sí",IF(DATOS!AE$5="Sí",(1/DATOS_[[% anualiz]:[% anualiz]]),1)*IF(DATOS!AE$4="Sí",1/DATOS_[[% normaliz]:[% normaliz]],1)*(DATOS_[Conc.Sal.01])))))))),
0)</f>
        <v>0</v>
      </c>
      <c r="K89" s="101">
        <f t="array" ref="K89">IFERROR(
(AVERAGE((IF(DATOS_[[Sexo]:[Sexo]]=$B89,IF(DATOS_[[AGRUP. VALOR. PTO.]:[AGRUP. VALOR. PTO.]]=$B87,IF(DATOS_[[Check Periodo Ref.]:[Check Periodo Ref.]]="Dentro",IF(DATOS_[[Check Equiparado]:[Check Equiparado]]="Sí",IF(DATOS!AF$5="Sí",(1/DATOS_[[% anualiz]:[% anualiz]]),1)*IF(DATOS!AF$4="Sí",1/DATOS_[[% normaliz]:[% normaliz]],1)*(DATOS_[Conc.Sal.02])))))))),
0)</f>
        <v>0</v>
      </c>
      <c r="L89" s="101">
        <f t="array" ref="L89">IFERROR(
(AVERAGE((IF(DATOS_[[Sexo]:[Sexo]]=$B89,IF(DATOS_[[AGRUP. VALOR. PTO.]:[AGRUP. VALOR. PTO.]]=$B87,IF(DATOS_[[Check Periodo Ref.]:[Check Periodo Ref.]]="Dentro",IF(DATOS_[[Check Equiparado]:[Check Equiparado]]="Sí",IF(DATOS!AG$5="Sí",(1/DATOS_[[% anualiz]:[% anualiz]]),1)*IF(DATOS!AG$4="Sí",1/DATOS_[[% normaliz]:[% normaliz]],1)*(DATOS_[Conc.Sal.03])))))))),
0)</f>
        <v>0</v>
      </c>
      <c r="M89" s="101">
        <f t="array" ref="M89">IFERROR(
(AVERAGE((IF(DATOS_[[Sexo]:[Sexo]]=$B89,IF(DATOS_[[AGRUP. VALOR. PTO.]:[AGRUP. VALOR. PTO.]]=$B87,IF(DATOS_[[Check Periodo Ref.]:[Check Periodo Ref.]]="Dentro",IF(DATOS_[[Check Equiparado]:[Check Equiparado]]="Sí",IF(DATOS!AH$5="Sí",(1/DATOS_[[% anualiz]:[% anualiz]]),1)*IF(DATOS!AH$4="Sí",1/DATOS_[[% normaliz]:[% normaliz]],1)*(DATOS_[Conc.Sal.04])))))))),
0)</f>
        <v>0</v>
      </c>
      <c r="N89" s="101">
        <f t="array" ref="N89">IFERROR(
(AVERAGE((IF(DATOS_[[Sexo]:[Sexo]]=$B89,IF(DATOS_[[AGRUP. VALOR. PTO.]:[AGRUP. VALOR. PTO.]]=$B87,IF(DATOS_[[Check Periodo Ref.]:[Check Periodo Ref.]]="Dentro",IF(DATOS_[[Check Equiparado]:[Check Equiparado]]="Sí",IF(DATOS!AI$5="Sí",(1/DATOS_[[% anualiz]:[% anualiz]]),1)*IF(DATOS!AI$4="Sí",1/DATOS_[[% normaliz]:[% normaliz]],1)*(DATOS_[Conc.Sal.05])))))))),
0)</f>
        <v>0</v>
      </c>
      <c r="O89" s="101">
        <f t="array" ref="O89">IFERROR(
(AVERAGE((IF(DATOS_[[Sexo]:[Sexo]]=$B89,IF(DATOS_[[AGRUP. VALOR. PTO.]:[AGRUP. VALOR. PTO.]]=$B87,IF(DATOS_[[Check Periodo Ref.]:[Check Periodo Ref.]]="Dentro",IF(DATOS_[[Check Equiparado]:[Check Equiparado]]="Sí",IF(DATOS!AJ$5="Sí",(1/DATOS_[[% anualiz]:[% anualiz]]),1)*IF(DATOS!AJ$4="Sí",1/DATOS_[[% normaliz]:[% normaliz]],1)*(DATOS_[Conc.Sal.06])))))))),
0)</f>
        <v>0</v>
      </c>
      <c r="P89" s="101">
        <f t="array" ref="P89">IFERROR(
(AVERAGE((IF(DATOS_[[Sexo]:[Sexo]]=$B89,IF(DATOS_[[AGRUP. VALOR. PTO.]:[AGRUP. VALOR. PTO.]]=$B87,IF(DATOS_[[Check Periodo Ref.]:[Check Periodo Ref.]]="Dentro",IF(DATOS_[[Check Equiparado]:[Check Equiparado]]="Sí",IF(DATOS!AK$5="Sí",(1/DATOS_[[% anualiz]:[% anualiz]]),1)*IF(DATOS!AK$4="Sí",1/DATOS_[[% normaliz]:[% normaliz]],1)*(DATOS_[Conc.Sal.07])))))))),
0)</f>
        <v>0</v>
      </c>
      <c r="Q89" s="101">
        <f t="array" ref="Q89">IFERROR(
(AVERAGE((IF(DATOS_[[Sexo]:[Sexo]]=$B89,IF(DATOS_[[AGRUP. VALOR. PTO.]:[AGRUP. VALOR. PTO.]]=$B87,IF(DATOS_[[Check Periodo Ref.]:[Check Periodo Ref.]]="Dentro",IF(DATOS_[[Check Equiparado]:[Check Equiparado]]="Sí",IF(DATOS!AL$5="Sí",(1/DATOS_[[% anualiz]:[% anualiz]]),1)*IF(DATOS!AL$4="Sí",1/DATOS_[[% normaliz]:[% normaliz]],1)*(DATOS_[Conc.Sal.08])))))))),
0)</f>
        <v>0</v>
      </c>
      <c r="R89" s="101">
        <f t="array" ref="R89">IFERROR(
(AVERAGE((IF(DATOS_[[Sexo]:[Sexo]]=$B89,IF(DATOS_[[AGRUP. VALOR. PTO.]:[AGRUP. VALOR. PTO.]]=$B87,IF(DATOS_[[Check Periodo Ref.]:[Check Periodo Ref.]]="Dentro",IF(DATOS_[[Check Equiparado]:[Check Equiparado]]="Sí",IF(DATOS!AM$5="Sí",(1/DATOS_[[% anualiz]:[% anualiz]]),1)*IF(DATOS!AM$4="Sí",1/DATOS_[[% normaliz]:[% normaliz]],1)*(DATOS_[Conc.Sal.09])))))))),
0)</f>
        <v>0</v>
      </c>
      <c r="S89" s="101">
        <f t="array" ref="S89">IFERROR(
(AVERAGE((IF(DATOS_[[Sexo]:[Sexo]]=$B89,IF(DATOS_[[AGRUP. VALOR. PTO.]:[AGRUP. VALOR. PTO.]]=$B87,IF(DATOS_[[Check Periodo Ref.]:[Check Periodo Ref.]]="Dentro",IF(DATOS_[[Check Equiparado]:[Check Equiparado]]="Sí",IF(DATOS!AN$5="Sí",(1/DATOS_[[% anualiz]:[% anualiz]]),1)*IF(DATOS!AN$4="Sí",1/DATOS_[[% normaliz]:[% normaliz]],1)*(DATOS_[Conc.Sal.10])))))))),
0)</f>
        <v>0</v>
      </c>
      <c r="T89" s="101">
        <f t="array" ref="T89">IFERROR(
(AVERAGE((IF(DATOS_[[Sexo]:[Sexo]]=$B89,IF(DATOS_[[AGRUP. VALOR. PTO.]:[AGRUP. VALOR. PTO.]]=$B87,IF(DATOS_[[Check Periodo Ref.]:[Check Periodo Ref.]]="Dentro",IF(DATOS_[[Check Equiparado]:[Check Equiparado]]="Sí",IF(DATOS!AO$5="Sí",(1/DATOS_[[% anualiz]:[% anualiz]]),1)*IF(DATOS!AO$4="Sí",1/DATOS_[[% normaliz]:[% normaliz]],1)*(DATOS_[Conc.Sal.11])))))))),
0)</f>
        <v>0</v>
      </c>
      <c r="U89" s="101">
        <f t="array" ref="U89">IFERROR(
(AVERAGE((IF(DATOS_[[Sexo]:[Sexo]]=$B89,IF(DATOS_[[AGRUP. VALOR. PTO.]:[AGRUP. VALOR. PTO.]]=$B87,IF(DATOS_[[Check Periodo Ref.]:[Check Periodo Ref.]]="Dentro",IF(DATOS_[[Check Equiparado]:[Check Equiparado]]="Sí",IF(DATOS!AP$5="Sí",(1/DATOS_[[% anualiz]:[% anualiz]]),1)*IF(DATOS!AP$4="Sí",1/DATOS_[[% normaliz]:[% normaliz]],1)*(DATOS_[Conc.Sal.12])))))))),
0)</f>
        <v>0</v>
      </c>
      <c r="V89" s="101">
        <f t="array" ref="V89">IFERROR(
(AVERAGE((IF(DATOS_[[Sexo]:[Sexo]]=$B89,IF(DATOS_[[AGRUP. VALOR. PTO.]:[AGRUP. VALOR. PTO.]]=$B87,IF(DATOS_[[Check Periodo Ref.]:[Check Periodo Ref.]]="Dentro",IF(DATOS_[[Check Equiparado]:[Check Equiparado]]="Sí",IF(DATOS!AQ$5="Sí",(1/DATOS_[[% anualiz]:[% anualiz]]),1)*IF(DATOS!AQ$4="Sí",1/DATOS_[[% normaliz]:[% normaliz]],1)*(DATOS_[Conc.Sal.13])))))))),
0)</f>
        <v>0</v>
      </c>
      <c r="W89" s="101">
        <f t="array" ref="W89">IFERROR(
(AVERAGE((IF(DATOS_[[Sexo]:[Sexo]]=$B89,IF(DATOS_[[AGRUP. VALOR. PTO.]:[AGRUP. VALOR. PTO.]]=$B87,IF(DATOS_[[Check Periodo Ref.]:[Check Periodo Ref.]]="Dentro",IF(DATOS_[[Check Equiparado]:[Check Equiparado]]="Sí",IF(DATOS!AR$5="Sí",(1/DATOS_[[% anualiz]:[% anualiz]]),1)*IF(DATOS!AR$4="Sí",1/DATOS_[[% normaliz]:[% normaliz]],1)*(DATOS_[Conc.Sal.14])))))))),
0)</f>
        <v>0</v>
      </c>
      <c r="X89" s="101">
        <f t="array" ref="X89">IFERROR(
(AVERAGE((IF(DATOS_[[Sexo]:[Sexo]]=$B89,IF(DATOS_[[AGRUP. VALOR. PTO.]:[AGRUP. VALOR. PTO.]]=$B87,IF(DATOS_[[Check Periodo Ref.]:[Check Periodo Ref.]]="Dentro",IF(DATOS_[[Check Equiparado]:[Check Equiparado]]="Sí",IF(DATOS!AS$5="Sí",(1/DATOS_[[% anualiz]:[% anualiz]]),1)*IF(DATOS!AS$4="Sí",1/DATOS_[[% normaliz]:[% normaliz]],1)*(DATOS_[Conc.Sal.15])))))))),
0)</f>
        <v>0</v>
      </c>
      <c r="Y89" s="101">
        <f t="array" ref="Y89">IFERROR(
(AVERAGE((IF(DATOS_[[Sexo]:[Sexo]]=$B89,IF(DATOS_[[AGRUP. VALOR. PTO.]:[AGRUP. VALOR. PTO.]]=$B87,IF(DATOS_[[Check Periodo Ref.]:[Check Periodo Ref.]]="Dentro",IF(DATOS_[[Check Equiparado]:[Check Equiparado]]="Sí",IF(DATOS!AT$5="Sí",(1/DATOS_[[% anualiz]:[% anualiz]]),1)*IF(DATOS!AT$4="Sí",1/DATOS_[[% normaliz]:[% normaliz]],1)*(DATOS_[Conc.Sal.16])))))))),
0)</f>
        <v>0</v>
      </c>
      <c r="Z89" s="101">
        <f t="array" ref="Z89">IFERROR(
(AVERAGE((IF(DATOS_[[Sexo]:[Sexo]]=$B89,IF(DATOS_[[AGRUP. VALOR. PTO.]:[AGRUP. VALOR. PTO.]]=$B87,IF(DATOS_[[Check Periodo Ref.]:[Check Periodo Ref.]]="Dentro",IF(DATOS_[[Check Equiparado]:[Check Equiparado]]="Sí",IF(DATOS!AU$5="Sí",(1/DATOS_[[% anualiz]:[% anualiz]]),1)*IF(DATOS!AU$4="Sí",1/DATOS_[[% normaliz]:[% normaliz]],1)*(DATOS_[Conc.Sal.17])))))))),
0)</f>
        <v>0</v>
      </c>
      <c r="AA89" s="101">
        <f t="array" ref="AA89">IFERROR(
(AVERAGE((IF(DATOS_[[Sexo]:[Sexo]]=$B89,IF(DATOS_[[AGRUP. VALOR. PTO.]:[AGRUP. VALOR. PTO.]]=$B87,IF(DATOS_[[Check Periodo Ref.]:[Check Periodo Ref.]]="Dentro",IF(DATOS_[[Check Equiparado]:[Check Equiparado]]="Sí",IF(DATOS!AV$5="Sí",(1/DATOS_[[% anualiz]:[% anualiz]]),1)*IF(DATOS!AV$4="Sí",1/DATOS_[[% normaliz]:[% normaliz]],1)*(DATOS_[Conc.Sal.18])))))))),
0)</f>
        <v>0</v>
      </c>
      <c r="AB89" s="101">
        <f t="array" ref="AB89">IFERROR(
(AVERAGE((IF(DATOS_[[Sexo]:[Sexo]]=$B89,IF(DATOS_[[AGRUP. VALOR. PTO.]:[AGRUP. VALOR. PTO.]]=$B87,IF(DATOS_[[Check Periodo Ref.]:[Check Periodo Ref.]]="Dentro",IF(DATOS_[[Check Equiparado]:[Check Equiparado]]="Sí",IF(DATOS!AW$5="Sí",(1/DATOS_[[% anualiz]:[% anualiz]]),1)*IF(DATOS!AW$4="Sí",1/DATOS_[[% normaliz]:[% normaliz]],1)*(DATOS_[Conc.Sal.19])))))))),
0)</f>
        <v>0</v>
      </c>
      <c r="AC89" s="101">
        <f t="array" ref="AC89">IFERROR(
(AVERAGE((IF(DATOS_[[Sexo]:[Sexo]]=$B89,IF(DATOS_[[AGRUP. VALOR. PTO.]:[AGRUP. VALOR. PTO.]]=$B87,IF(DATOS_[[Check Periodo Ref.]:[Check Periodo Ref.]]="Dentro",IF(DATOS_[[Check Equiparado]:[Check Equiparado]]="Sí",IF(DATOS!AX$5="Sí",(1/DATOS_[[% anualiz]:[% anualiz]]),1)*IF(DATOS!AX$4="Sí",1/DATOS_[[% normaliz]:[% normaliz]],1)*(DATOS_[Conc.Sal.20])))))))),
0)</f>
        <v>0</v>
      </c>
      <c r="AD89" s="101">
        <f t="array" ref="AD89">IFERROR(
(AVERAGE((IF(DATOS_[[Sexo]:[Sexo]]=$B89,IF(DATOS_[[AGRUP. VALOR. PTO.]:[AGRUP. VALOR. PTO.]]=$B87,IF(DATOS_[[Check Periodo Ref.]:[Check Periodo Ref.]]="Dentro",IF(DATOS_[[Check Equiparado]:[Check Equiparado]]="Sí",IF(DATOS!AY$5="Sí",(1/DATOS_[[% anualiz]:[% anualiz]]),1)*IF(DATOS!AY$4="Sí",1/DATOS_[[% normaliz]:[% normaliz]],1)*(DATOS_[Conc.Sal.21])))))))),
0)</f>
        <v>0</v>
      </c>
      <c r="AE89" s="101">
        <f t="array" ref="AE89">IFERROR(
(AVERAGE((IF(DATOS_[[Sexo]:[Sexo]]=$B89,IF(DATOS_[[AGRUP. VALOR. PTO.]:[AGRUP. VALOR. PTO.]]=$B87,IF(DATOS_[[Check Periodo Ref.]:[Check Periodo Ref.]]="Dentro",IF(DATOS_[[Check Equiparado]:[Check Equiparado]]="Sí",IF(DATOS!AZ$5="Sí",(1/DATOS_[[% anualiz]:[% anualiz]]),1)*IF(DATOS!AZ$4="Sí",1/DATOS_[[% normaliz]:[% normaliz]],1)*(DATOS_[Conc.Sal.22])))))))),
0)</f>
        <v>0</v>
      </c>
      <c r="AF89" s="101">
        <f t="array" ref="AF89">IFERROR(
(AVERAGE((IF(DATOS_[[Sexo]:[Sexo]]=$B89,IF(DATOS_[[AGRUP. VALOR. PTO.]:[AGRUP. VALOR. PTO.]]=$B87,IF(DATOS_[[Check Periodo Ref.]:[Check Periodo Ref.]]="Dentro",IF(DATOS_[[Check Equiparado]:[Check Equiparado]]="Sí",IF(DATOS!BA$5="Sí",(1/DATOS_[[% anualiz]:[% anualiz]]),1)*IF(DATOS!BA$4="Sí",1/DATOS_[[% normaliz]:[% normaliz]],1)*(DATOS_[Conc.Sal.23])))))))),
0)</f>
        <v>0</v>
      </c>
      <c r="AG89" s="101">
        <f t="array" ref="AG89">IFERROR(
(AVERAGE((IF(DATOS_[[Sexo]:[Sexo]]=$B89,IF(DATOS_[[AGRUP. VALOR. PTO.]:[AGRUP. VALOR. PTO.]]=$B87,IF(DATOS_[[Check Periodo Ref.]:[Check Periodo Ref.]]="Dentro",IF(DATOS_[[Check Equiparado]:[Check Equiparado]]="Sí",IF(DATOS!BB$5="Sí",(1/DATOS_[[% anualiz]:[% anualiz]]),1)*IF(DATOS!BB$4="Sí",1/DATOS_[[% normaliz]:[% normaliz]],1)*(DATOS_[Conc.Sal.24])))))))),
0)</f>
        <v>0</v>
      </c>
      <c r="AH89" s="101">
        <f t="array" ref="AH89">IFERROR(
(AVERAGE((IF(DATOS_[[Sexo]:[Sexo]]=$B89,IF(DATOS_[[AGRUP. VALOR. PTO.]:[AGRUP. VALOR. PTO.]]=$B87,IF(DATOS_[[Check Periodo Ref.]:[Check Periodo Ref.]]="Dentro",IF(DATOS_[[Check Equiparado]:[Check Equiparado]]="Sí",IF(DATOS!BC$5="Sí",(1/DATOS_[[% anualiz]:[% anualiz]]),1)*IF(DATOS!BC$4="Sí",1/DATOS_[[% normaliz]:[% normaliz]],1)*(DATOS_[Conc.Sal.25])))))))),
0)</f>
        <v>0</v>
      </c>
      <c r="AI89" s="101">
        <f t="array" ref="AI89">IFERROR(
(AVERAGE((IF(DATOS_[[Sexo]:[Sexo]]=$B89,IF(DATOS_[[AGRUP. VALOR. PTO.]:[AGRUP. VALOR. PTO.]]=$B87,IF(DATOS_[[Check Periodo Ref.]:[Check Periodo Ref.]]="Dentro",IF(DATOS_[[Check Equiparado]:[Check Equiparado]]="Sí",IF(DATOS!BD$5="Sí",(1/DATOS_[[% anualiz]:[% anualiz]]),1)*IF(DATOS!BD$4="Sí",1/DATOS_[[% normaliz]:[% normaliz]],1)*(DATOS_[Conc.Sal.26])))))))),
0)</f>
        <v>0</v>
      </c>
      <c r="AJ89" s="101">
        <f t="array" ref="AJ89">IFERROR(
(AVERAGE((IF(DATOS_[[Sexo]:[Sexo]]=$B89,IF(DATOS_[[AGRUP. VALOR. PTO.]:[AGRUP. VALOR. PTO.]]=$B87,IF(DATOS_[[Check Periodo Ref.]:[Check Periodo Ref.]]="Dentro",IF(DATOS_[[Check Equiparado]:[Check Equiparado]]="Sí",IF(DATOS!BE$5="Sí",(1/DATOS_[[% anualiz]:[% anualiz]]),1)*IF(DATOS!BE$4="Sí",1/DATOS_[[% normaliz]:[% normaliz]],1)*(DATOS_[Conc.Sal.27])))))))),
0)</f>
        <v>0</v>
      </c>
      <c r="AK89" s="101">
        <f t="array" ref="AK89">IFERROR(
(AVERAGE((IF(DATOS_[[Sexo]:[Sexo]]=$B89,IF(DATOS_[[AGRUP. VALOR. PTO.]:[AGRUP. VALOR. PTO.]]=$B87,IF(DATOS_[[Check Periodo Ref.]:[Check Periodo Ref.]]="Dentro",IF(DATOS_[[Check Equiparado]:[Check Equiparado]]="Sí",IF(DATOS!BF$5="Sí",(1/DATOS_[[% anualiz]:[% anualiz]]),1)*IF(DATOS!BF$4="Sí",1/DATOS_[[% normaliz]:[% normaliz]],1)*(DATOS_[Conc.Sal.28])))))))),
0)</f>
        <v>0</v>
      </c>
      <c r="AL89" s="101">
        <f t="array" ref="AL89">IFERROR(
(AVERAGE((IF(DATOS_[[Sexo]:[Sexo]]=$B89,IF(DATOS_[[AGRUP. VALOR. PTO.]:[AGRUP. VALOR. PTO.]]=$B87,IF(DATOS_[[Check Periodo Ref.]:[Check Periodo Ref.]]="Dentro",IF(DATOS_[[Check Equiparado]:[Check Equiparado]]="Sí",IF(DATOS!BG$5="Sí",(1/DATOS_[[% anualiz]:[% anualiz]]),1)*IF(DATOS!BG$4="Sí",1/DATOS_[[% normaliz]:[% normaliz]],1)*(DATOS_[Conc.Sal.29])))))))),
0)</f>
        <v>0</v>
      </c>
      <c r="AM89" s="101">
        <f t="array" ref="AM89">IFERROR(
(AVERAGE((IF(DATOS_[[Sexo]:[Sexo]]=$B89,IF(DATOS_[[AGRUP. VALOR. PTO.]:[AGRUP. VALOR. PTO.]]=$B87,IF(DATOS_[[Check Periodo Ref.]:[Check Periodo Ref.]]="Dentro",IF(DATOS_[[Check Equiparado]:[Check Equiparado]]="Sí",IF(DATOS!BH$5="Sí",(1/DATOS_[[% anualiz]:[% anualiz]]),1)*IF(DATOS!BH$4="Sí",1/DATOS_[[% normaliz]:[% normaliz]],1)*(DATOS_[Conc.Sal.30])))))))),
0)</f>
        <v>0</v>
      </c>
      <c r="AN89" s="102">
        <f t="array" ref="AN89">IFERROR(
AVERAGE(IF(DATOS_[Sexo]=$B89,IF(DATOS_[[AGRUP. VALOR. PTO.]:[AGRUP. VALOR. PTO.]]=$B87,IF(DATOS_[Check Equiparado]="Sí",IF(DATOS_[Check Periodo Ref.]="Dentro",DATOS_[Tot COMPL.SAL Eq],FALSE))))),
0)</f>
        <v>0</v>
      </c>
      <c r="AO89" s="103">
        <f t="array" ref="AO89">IFERROR(
AVERAGE(IF(DATOS_[Sexo]=$B89,IF(DATOS_[[AGRUP. VALOR. PTO.]:[AGRUP. VALOR. PTO.]]=$B87,IF(DATOS_[Check Equiparado]="Sí",IF(DATOS_[Check Periodo Ref.]="Dentro",DATOS_[TOTAL SALARIO Eq],FALSE))))),
0)</f>
        <v>0</v>
      </c>
      <c r="AP89" s="104">
        <f t="array" ref="AP89">IFERROR(
(AVERAGE((IF(DATOS_[[Sexo]:[Sexo]]=$B89,IF(DATOS_[[AGRUP. VALOR. PTO.]:[AGRUP. VALOR. PTO.]]=$B87,IF(DATOS_[[Check Periodo Ref.]:[Check Periodo Ref.]]="Dentro",IF(DATOS_[[Check Equiparado]:[Check Equiparado]]="Sí",IF(DATOS!BI$5="Sí",(1/DATOS_[[% anualiz]:[% anualiz]]),1)*IF(DATOS!BI$4="Sí",1/DATOS_[[% normaliz]:[% normaliz]],1)*(DATOS_[C.Extra.01])))))))),
0)</f>
        <v>0</v>
      </c>
      <c r="AQ89" s="104">
        <f t="array" ref="AQ89">IFERROR(
(AVERAGE((IF(DATOS_[[Sexo]:[Sexo]]=$B89,IF(DATOS_[[AGRUP. VALOR. PTO.]:[AGRUP. VALOR. PTO.]]=$B87,IF(DATOS_[[Check Periodo Ref.]:[Check Periodo Ref.]]="Dentro",IF(DATOS_[[Check Equiparado]:[Check Equiparado]]="Sí",IF(DATOS!BJ$5="Sí",(1/DATOS_[[% anualiz]:[% anualiz]]),1)*IF(DATOS!BJ$4="Sí",1/DATOS_[[% normaliz]:[% normaliz]],1)*(DATOS_[C.Extra.02])))))))),
0)</f>
        <v>0</v>
      </c>
      <c r="AR89" s="104">
        <f t="array" ref="AR89">IFERROR(
(AVERAGE((IF(DATOS_[[Sexo]:[Sexo]]=$B89,IF(DATOS_[[AGRUP. VALOR. PTO.]:[AGRUP. VALOR. PTO.]]=$B87,IF(DATOS_[[Check Periodo Ref.]:[Check Periodo Ref.]]="Dentro",IF(DATOS_[[Check Equiparado]:[Check Equiparado]]="Sí",IF(DATOS!BK$5="Sí",(1/DATOS_[[% anualiz]:[% anualiz]]),1)*IF(DATOS!BK$4="Sí",1/DATOS_[[% normaliz]:[% normaliz]],1)*(DATOS_[C.Extra.03])))))))),
0)</f>
        <v>0</v>
      </c>
      <c r="AS89" s="104">
        <f t="array" ref="AS89">IFERROR(
(AVERAGE((IF(DATOS_[[Sexo]:[Sexo]]=$B89,IF(DATOS_[[AGRUP. VALOR. PTO.]:[AGRUP. VALOR. PTO.]]=$B87,IF(DATOS_[[Check Periodo Ref.]:[Check Periodo Ref.]]="Dentro",IF(DATOS_[[Check Equiparado]:[Check Equiparado]]="Sí",IF(DATOS!BL$5="Sí",(1/DATOS_[[% anualiz]:[% anualiz]]),1)*IF(DATOS!BL$4="Sí",1/DATOS_[[% normaliz]:[% normaliz]],1)*(DATOS_[C.Extra.04])))))))),
0)</f>
        <v>0</v>
      </c>
      <c r="AT89" s="104">
        <f t="array" ref="AT89">IFERROR(
(AVERAGE((IF(DATOS_[[Sexo]:[Sexo]]=$B89,IF(DATOS_[[AGRUP. VALOR. PTO.]:[AGRUP. VALOR. PTO.]]=$B87,IF(DATOS_[[Check Periodo Ref.]:[Check Periodo Ref.]]="Dentro",IF(DATOS_[[Check Equiparado]:[Check Equiparado]]="Sí",IF(DATOS!BM$5="Sí",(1/DATOS_[[% anualiz]:[% anualiz]]),1)*IF(DATOS!BM$4="Sí",1/DATOS_[[% normaliz]:[% normaliz]],1)*(DATOS_[C.Extra.05])))))))),
0)</f>
        <v>0</v>
      </c>
      <c r="AU89" s="105">
        <f t="array" ref="AU89">IFERROR(
AVERAGE(IF(DATOS_[Sexo]=$B89,IF(DATOS_[[AGRUP. VALOR. PTO.]:[AGRUP. VALOR. PTO.]]=$B87,IF(DATOS_[Check Equiparado]="Sí",IF(DATOS_[Check Periodo Ref.]="Dentro",DATOS_[Tot Extrasalarial Eq],FALSE))))),
0)</f>
        <v>0</v>
      </c>
      <c r="AV89" s="106">
        <f t="array" ref="AV89">IFERROR(
AVERAGE(IF(DATOS_[Sexo]=$B89,IF(DATOS_[[AGRUP. VALOR. PTO.]:[AGRUP. VALOR. PTO.]]=$B87,IF(DATOS_[Check Equiparado]="Sí",IF(DATOS_[Check Periodo Ref.]="Dentro",DATOS_[TOTAL Retrib Eq],FALSE))))),
0)</f>
        <v>0</v>
      </c>
    </row>
    <row r="90" spans="1:48" ht="17.25" hidden="1" thickBot="1" x14ac:dyDescent="0.35">
      <c r="A90" s="53" t="str">
        <f t="shared" ref="A90" si="103">+A91</f>
        <v>[ocultar]</v>
      </c>
      <c r="B90" s="62" t="s">
        <v>285</v>
      </c>
      <c r="C90" s="99"/>
      <c r="D90" s="63"/>
      <c r="E90" s="63"/>
      <c r="F90" s="63"/>
      <c r="G90" s="63"/>
      <c r="H90" s="63"/>
      <c r="I90" s="129" t="str">
        <f t="shared" ref="I90:AV90" si="104">IFERROR((I91-I92)/I91,"")</f>
        <v/>
      </c>
      <c r="J90" s="130" t="str">
        <f t="shared" si="104"/>
        <v/>
      </c>
      <c r="K90" s="131" t="str">
        <f t="shared" si="104"/>
        <v/>
      </c>
      <c r="L90" s="131" t="str">
        <f t="shared" si="104"/>
        <v/>
      </c>
      <c r="M90" s="131" t="str">
        <f t="shared" si="104"/>
        <v/>
      </c>
      <c r="N90" s="132" t="str">
        <f t="shared" si="104"/>
        <v/>
      </c>
      <c r="O90" s="133" t="str">
        <f t="shared" si="104"/>
        <v/>
      </c>
      <c r="P90" s="133" t="str">
        <f t="shared" si="104"/>
        <v/>
      </c>
      <c r="Q90" s="133" t="str">
        <f t="shared" si="104"/>
        <v/>
      </c>
      <c r="R90" s="133" t="str">
        <f t="shared" si="104"/>
        <v/>
      </c>
      <c r="S90" s="133" t="str">
        <f t="shared" si="104"/>
        <v/>
      </c>
      <c r="T90" s="133" t="str">
        <f t="shared" si="104"/>
        <v/>
      </c>
      <c r="U90" s="133" t="str">
        <f t="shared" si="104"/>
        <v/>
      </c>
      <c r="V90" s="133" t="str">
        <f t="shared" si="104"/>
        <v/>
      </c>
      <c r="W90" s="133" t="str">
        <f t="shared" si="104"/>
        <v/>
      </c>
      <c r="X90" s="133" t="str">
        <f t="shared" si="104"/>
        <v/>
      </c>
      <c r="Y90" s="133" t="str">
        <f t="shared" si="104"/>
        <v/>
      </c>
      <c r="Z90" s="132" t="str">
        <f t="shared" si="104"/>
        <v/>
      </c>
      <c r="AA90" s="132" t="str">
        <f t="shared" si="104"/>
        <v/>
      </c>
      <c r="AB90" s="132" t="str">
        <f t="shared" si="104"/>
        <v/>
      </c>
      <c r="AC90" s="132" t="str">
        <f t="shared" si="104"/>
        <v/>
      </c>
      <c r="AD90" s="132" t="str">
        <f t="shared" si="104"/>
        <v/>
      </c>
      <c r="AE90" s="132" t="str">
        <f t="shared" si="104"/>
        <v/>
      </c>
      <c r="AF90" s="132" t="str">
        <f t="shared" si="104"/>
        <v/>
      </c>
      <c r="AG90" s="132" t="str">
        <f t="shared" si="104"/>
        <v/>
      </c>
      <c r="AH90" s="132" t="str">
        <f t="shared" si="104"/>
        <v/>
      </c>
      <c r="AI90" s="132" t="str">
        <f t="shared" si="104"/>
        <v/>
      </c>
      <c r="AJ90" s="132" t="str">
        <f t="shared" si="104"/>
        <v/>
      </c>
      <c r="AK90" s="132" t="str">
        <f t="shared" si="104"/>
        <v/>
      </c>
      <c r="AL90" s="132" t="str">
        <f t="shared" si="104"/>
        <v/>
      </c>
      <c r="AM90" s="132" t="str">
        <f t="shared" si="104"/>
        <v/>
      </c>
      <c r="AN90" s="134" t="str">
        <f t="shared" si="104"/>
        <v/>
      </c>
      <c r="AO90" s="138" t="str">
        <f t="shared" si="104"/>
        <v/>
      </c>
      <c r="AP90" s="135" t="str">
        <f t="shared" si="104"/>
        <v/>
      </c>
      <c r="AQ90" s="135" t="str">
        <f t="shared" si="104"/>
        <v/>
      </c>
      <c r="AR90" s="135" t="str">
        <f t="shared" si="104"/>
        <v/>
      </c>
      <c r="AS90" s="135" t="str">
        <f t="shared" si="104"/>
        <v/>
      </c>
      <c r="AT90" s="135" t="str">
        <f t="shared" si="104"/>
        <v/>
      </c>
      <c r="AU90" s="136" t="str">
        <f t="shared" si="104"/>
        <v/>
      </c>
      <c r="AV90" s="137" t="str">
        <f t="shared" si="104"/>
        <v/>
      </c>
    </row>
    <row r="91" spans="1:48" hidden="1" x14ac:dyDescent="0.3">
      <c r="A91" s="53" t="str">
        <f t="shared" ref="A91" si="105">+IF(C91+C92=0,"[ocultar]","")</f>
        <v>[ocultar]</v>
      </c>
      <c r="B91" s="57" t="s">
        <v>162</v>
      </c>
      <c r="C91" s="56">
        <f t="array" ref="C91">SUM(IF($B91=DATOS_[Sexo],
IF($B90=DATOS_[AGRUP. VALOR. PTO.],
IF("Dentro"=DATOS_[Check Periodo Ref.],
1/(COUNTIFS(DATOS_[Sexo],$B91,DATOS_[AGRUP. VALOR. PTO.],$B90,DATOS_[Check Periodo Ref.],"Dentro",DATOS_[id],DATOS_[id]))))))</f>
        <v>0</v>
      </c>
      <c r="D91" s="58">
        <f>COUNTIFS(DATOS_[AGRUP. VALOR. PTO.],$B90,DATOS_[Sexo],$B91,DATOS_[Check Periodo Ref.],"Dentro")</f>
        <v>0</v>
      </c>
      <c r="E91" s="58">
        <f>COUNTIFS(DATOS_[AGRUP. VALOR. PTO.],$B90,DATOS_[Sexo],$B91,DATOS_[Check Periodo Ref.],"Dentro",DATOS_[Check Nº SC Norm],"Sí")</f>
        <v>0</v>
      </c>
      <c r="F91" s="58">
        <f>COUNTIFS(DATOS_[AGRUP. VALOR. PTO.],$B90,DATOS_[Sexo],$B91,DATOS_[Check Periodo Ref.],"Dentro",DATOS_[Check Nº SC Anualiz],"Sí")</f>
        <v>0</v>
      </c>
      <c r="G91" s="58">
        <f>COUNTIFS(DATOS_[AGRUP. VALOR. PTO.],$B90,DATOS_[Sexo],$B91,DATOS_[Check Periodo Ref.],"Dentro",DATOS_[Check Nº SC Norm y Anualiz],"Sí")</f>
        <v>0</v>
      </c>
      <c r="H91" s="58">
        <f>COUNTIFS(DATOS_[AGRUP. VALOR. PTO.],$B90,DATOS_[Sexo],$B91,DATOS_[Check Periodo Ref.],"Dentro",DATOS_[Check Equiparación],"Sí")</f>
        <v>0</v>
      </c>
      <c r="I91" s="100">
        <f t="array" ref="I91">IFERROR(
AVERAGE(IF(DATOS_[Sexo]=$B91,IF(DATOS_[[AGRUP. VALOR. PTO.]:[AGRUP. VALOR. PTO.]]=$B90,IF(DATOS_[Check Equiparado]="Sí",IF(DATOS_[Check Periodo Ref.]="Dentro",DATOS_[SALARIO BASE Eq],FALSE))))),
0)</f>
        <v>0</v>
      </c>
      <c r="J91" s="101">
        <f t="array" ref="J91">IFERROR(
(AVERAGE((IF(DATOS_[[Sexo]:[Sexo]]=$B91,IF(DATOS_[[AGRUP. VALOR. PTO.]:[AGRUP. VALOR. PTO.]]=$B90,IF(DATOS_[[Check Periodo Ref.]:[Check Periodo Ref.]]="Dentro",IF(DATOS_[[Check Equiparado]:[Check Equiparado]]="Sí",IF(DATOS!AE$5="Sí",(1/DATOS_[[% anualiz]:[% anualiz]]),1)*IF(DATOS!AE$4="Sí",1/DATOS_[[% normaliz]:[% normaliz]],1)*(DATOS_[Conc.Sal.01])))))))),
0)</f>
        <v>0</v>
      </c>
      <c r="K91" s="101">
        <f t="array" ref="K91">IFERROR(
(AVERAGE((IF(DATOS_[[Sexo]:[Sexo]]=$B91,IF(DATOS_[[AGRUP. VALOR. PTO.]:[AGRUP. VALOR. PTO.]]=$B90,IF(DATOS_[[Check Periodo Ref.]:[Check Periodo Ref.]]="Dentro",IF(DATOS_[[Check Equiparado]:[Check Equiparado]]="Sí",IF(DATOS!AF$5="Sí",(1/DATOS_[[% anualiz]:[% anualiz]]),1)*IF(DATOS!AF$4="Sí",1/DATOS_[[% normaliz]:[% normaliz]],1)*(DATOS_[Conc.Sal.02])))))))),
0)</f>
        <v>0</v>
      </c>
      <c r="L91" s="101">
        <f t="array" ref="L91">IFERROR(
(AVERAGE((IF(DATOS_[[Sexo]:[Sexo]]=$B91,IF(DATOS_[[AGRUP. VALOR. PTO.]:[AGRUP. VALOR. PTO.]]=$B90,IF(DATOS_[[Check Periodo Ref.]:[Check Periodo Ref.]]="Dentro",IF(DATOS_[[Check Equiparado]:[Check Equiparado]]="Sí",IF(DATOS!AG$5="Sí",(1/DATOS_[[% anualiz]:[% anualiz]]),1)*IF(DATOS!AG$4="Sí",1/DATOS_[[% normaliz]:[% normaliz]],1)*(DATOS_[Conc.Sal.03])))))))),
0)</f>
        <v>0</v>
      </c>
      <c r="M91" s="101">
        <f t="array" ref="M91">IFERROR(
(AVERAGE((IF(DATOS_[[Sexo]:[Sexo]]=$B91,IF(DATOS_[[AGRUP. VALOR. PTO.]:[AGRUP. VALOR. PTO.]]=$B90,IF(DATOS_[[Check Periodo Ref.]:[Check Periodo Ref.]]="Dentro",IF(DATOS_[[Check Equiparado]:[Check Equiparado]]="Sí",IF(DATOS!AH$5="Sí",(1/DATOS_[[% anualiz]:[% anualiz]]),1)*IF(DATOS!AH$4="Sí",1/DATOS_[[% normaliz]:[% normaliz]],1)*(DATOS_[Conc.Sal.04])))))))),
0)</f>
        <v>0</v>
      </c>
      <c r="N91" s="101">
        <f t="array" ref="N91">IFERROR(
(AVERAGE((IF(DATOS_[[Sexo]:[Sexo]]=$B91,IF(DATOS_[[AGRUP. VALOR. PTO.]:[AGRUP. VALOR. PTO.]]=$B90,IF(DATOS_[[Check Periodo Ref.]:[Check Periodo Ref.]]="Dentro",IF(DATOS_[[Check Equiparado]:[Check Equiparado]]="Sí",IF(DATOS!AI$5="Sí",(1/DATOS_[[% anualiz]:[% anualiz]]),1)*IF(DATOS!AI$4="Sí",1/DATOS_[[% normaliz]:[% normaliz]],1)*(DATOS_[Conc.Sal.05])))))))),
0)</f>
        <v>0</v>
      </c>
      <c r="O91" s="101">
        <f t="array" ref="O91">IFERROR(
(AVERAGE((IF(DATOS_[[Sexo]:[Sexo]]=$B91,IF(DATOS_[[AGRUP. VALOR. PTO.]:[AGRUP. VALOR. PTO.]]=$B90,IF(DATOS_[[Check Periodo Ref.]:[Check Periodo Ref.]]="Dentro",IF(DATOS_[[Check Equiparado]:[Check Equiparado]]="Sí",IF(DATOS!AJ$5="Sí",(1/DATOS_[[% anualiz]:[% anualiz]]),1)*IF(DATOS!AJ$4="Sí",1/DATOS_[[% normaliz]:[% normaliz]],1)*(DATOS_[Conc.Sal.06])))))))),
0)</f>
        <v>0</v>
      </c>
      <c r="P91" s="101">
        <f t="array" ref="P91">IFERROR(
(AVERAGE((IF(DATOS_[[Sexo]:[Sexo]]=$B91,IF(DATOS_[[AGRUP. VALOR. PTO.]:[AGRUP. VALOR. PTO.]]=$B90,IF(DATOS_[[Check Periodo Ref.]:[Check Periodo Ref.]]="Dentro",IF(DATOS_[[Check Equiparado]:[Check Equiparado]]="Sí",IF(DATOS!AK$5="Sí",(1/DATOS_[[% anualiz]:[% anualiz]]),1)*IF(DATOS!AK$4="Sí",1/DATOS_[[% normaliz]:[% normaliz]],1)*(DATOS_[Conc.Sal.07])))))))),
0)</f>
        <v>0</v>
      </c>
      <c r="Q91" s="101">
        <f t="array" ref="Q91">IFERROR(
(AVERAGE((IF(DATOS_[[Sexo]:[Sexo]]=$B91,IF(DATOS_[[AGRUP. VALOR. PTO.]:[AGRUP. VALOR. PTO.]]=$B90,IF(DATOS_[[Check Periodo Ref.]:[Check Periodo Ref.]]="Dentro",IF(DATOS_[[Check Equiparado]:[Check Equiparado]]="Sí",IF(DATOS!AL$5="Sí",(1/DATOS_[[% anualiz]:[% anualiz]]),1)*IF(DATOS!AL$4="Sí",1/DATOS_[[% normaliz]:[% normaliz]],1)*(DATOS_[Conc.Sal.08])))))))),
0)</f>
        <v>0</v>
      </c>
      <c r="R91" s="101">
        <f t="array" ref="R91">IFERROR(
(AVERAGE((IF(DATOS_[[Sexo]:[Sexo]]=$B91,IF(DATOS_[[AGRUP. VALOR. PTO.]:[AGRUP. VALOR. PTO.]]=$B90,IF(DATOS_[[Check Periodo Ref.]:[Check Periodo Ref.]]="Dentro",IF(DATOS_[[Check Equiparado]:[Check Equiparado]]="Sí",IF(DATOS!AM$5="Sí",(1/DATOS_[[% anualiz]:[% anualiz]]),1)*IF(DATOS!AM$4="Sí",1/DATOS_[[% normaliz]:[% normaliz]],1)*(DATOS_[Conc.Sal.09])))))))),
0)</f>
        <v>0</v>
      </c>
      <c r="S91" s="101">
        <f t="array" ref="S91">IFERROR(
(AVERAGE((IF(DATOS_[[Sexo]:[Sexo]]=$B91,IF(DATOS_[[AGRUP. VALOR. PTO.]:[AGRUP. VALOR. PTO.]]=$B90,IF(DATOS_[[Check Periodo Ref.]:[Check Periodo Ref.]]="Dentro",IF(DATOS_[[Check Equiparado]:[Check Equiparado]]="Sí",IF(DATOS!AN$5="Sí",(1/DATOS_[[% anualiz]:[% anualiz]]),1)*IF(DATOS!AN$4="Sí",1/DATOS_[[% normaliz]:[% normaliz]],1)*(DATOS_[Conc.Sal.10])))))))),
0)</f>
        <v>0</v>
      </c>
      <c r="T91" s="101">
        <f t="array" ref="T91">IFERROR(
(AVERAGE((IF(DATOS_[[Sexo]:[Sexo]]=$B91,IF(DATOS_[[AGRUP. VALOR. PTO.]:[AGRUP. VALOR. PTO.]]=$B90,IF(DATOS_[[Check Periodo Ref.]:[Check Periodo Ref.]]="Dentro",IF(DATOS_[[Check Equiparado]:[Check Equiparado]]="Sí",IF(DATOS!AO$5="Sí",(1/DATOS_[[% anualiz]:[% anualiz]]),1)*IF(DATOS!AO$4="Sí",1/DATOS_[[% normaliz]:[% normaliz]],1)*(DATOS_[Conc.Sal.11])))))))),
0)</f>
        <v>0</v>
      </c>
      <c r="U91" s="101">
        <f t="array" ref="U91">IFERROR(
(AVERAGE((IF(DATOS_[[Sexo]:[Sexo]]=$B91,IF(DATOS_[[AGRUP. VALOR. PTO.]:[AGRUP. VALOR. PTO.]]=$B90,IF(DATOS_[[Check Periodo Ref.]:[Check Periodo Ref.]]="Dentro",IF(DATOS_[[Check Equiparado]:[Check Equiparado]]="Sí",IF(DATOS!AP$5="Sí",(1/DATOS_[[% anualiz]:[% anualiz]]),1)*IF(DATOS!AP$4="Sí",1/DATOS_[[% normaliz]:[% normaliz]],1)*(DATOS_[Conc.Sal.12])))))))),
0)</f>
        <v>0</v>
      </c>
      <c r="V91" s="101">
        <f t="array" ref="V91">IFERROR(
(AVERAGE((IF(DATOS_[[Sexo]:[Sexo]]=$B91,IF(DATOS_[[AGRUP. VALOR. PTO.]:[AGRUP. VALOR. PTO.]]=$B90,IF(DATOS_[[Check Periodo Ref.]:[Check Periodo Ref.]]="Dentro",IF(DATOS_[[Check Equiparado]:[Check Equiparado]]="Sí",IF(DATOS!AQ$5="Sí",(1/DATOS_[[% anualiz]:[% anualiz]]),1)*IF(DATOS!AQ$4="Sí",1/DATOS_[[% normaliz]:[% normaliz]],1)*(DATOS_[Conc.Sal.13])))))))),
0)</f>
        <v>0</v>
      </c>
      <c r="W91" s="101">
        <f t="array" ref="W91">IFERROR(
(AVERAGE((IF(DATOS_[[Sexo]:[Sexo]]=$B91,IF(DATOS_[[AGRUP. VALOR. PTO.]:[AGRUP. VALOR. PTO.]]=$B90,IF(DATOS_[[Check Periodo Ref.]:[Check Periodo Ref.]]="Dentro",IF(DATOS_[[Check Equiparado]:[Check Equiparado]]="Sí",IF(DATOS!AR$5="Sí",(1/DATOS_[[% anualiz]:[% anualiz]]),1)*IF(DATOS!AR$4="Sí",1/DATOS_[[% normaliz]:[% normaliz]],1)*(DATOS_[Conc.Sal.14])))))))),
0)</f>
        <v>0</v>
      </c>
      <c r="X91" s="101">
        <f t="array" ref="X91">IFERROR(
(AVERAGE((IF(DATOS_[[Sexo]:[Sexo]]=$B91,IF(DATOS_[[AGRUP. VALOR. PTO.]:[AGRUP. VALOR. PTO.]]=$B90,IF(DATOS_[[Check Periodo Ref.]:[Check Periodo Ref.]]="Dentro",IF(DATOS_[[Check Equiparado]:[Check Equiparado]]="Sí",IF(DATOS!AS$5="Sí",(1/DATOS_[[% anualiz]:[% anualiz]]),1)*IF(DATOS!AS$4="Sí",1/DATOS_[[% normaliz]:[% normaliz]],1)*(DATOS_[Conc.Sal.15])))))))),
0)</f>
        <v>0</v>
      </c>
      <c r="Y91" s="101">
        <f t="array" ref="Y91">IFERROR(
(AVERAGE((IF(DATOS_[[Sexo]:[Sexo]]=$B91,IF(DATOS_[[AGRUP. VALOR. PTO.]:[AGRUP. VALOR. PTO.]]=$B90,IF(DATOS_[[Check Periodo Ref.]:[Check Periodo Ref.]]="Dentro",IF(DATOS_[[Check Equiparado]:[Check Equiparado]]="Sí",IF(DATOS!AT$5="Sí",(1/DATOS_[[% anualiz]:[% anualiz]]),1)*IF(DATOS!AT$4="Sí",1/DATOS_[[% normaliz]:[% normaliz]],1)*(DATOS_[Conc.Sal.16])))))))),
0)</f>
        <v>0</v>
      </c>
      <c r="Z91" s="101">
        <f t="array" ref="Z91">IFERROR(
(AVERAGE((IF(DATOS_[[Sexo]:[Sexo]]=$B91,IF(DATOS_[[AGRUP. VALOR. PTO.]:[AGRUP. VALOR. PTO.]]=$B90,IF(DATOS_[[Check Periodo Ref.]:[Check Periodo Ref.]]="Dentro",IF(DATOS_[[Check Equiparado]:[Check Equiparado]]="Sí",IF(DATOS!AU$5="Sí",(1/DATOS_[[% anualiz]:[% anualiz]]),1)*IF(DATOS!AU$4="Sí",1/DATOS_[[% normaliz]:[% normaliz]],1)*(DATOS_[Conc.Sal.17])))))))),
0)</f>
        <v>0</v>
      </c>
      <c r="AA91" s="101">
        <f t="array" ref="AA91">IFERROR(
(AVERAGE((IF(DATOS_[[Sexo]:[Sexo]]=$B91,IF(DATOS_[[AGRUP. VALOR. PTO.]:[AGRUP. VALOR. PTO.]]=$B90,IF(DATOS_[[Check Periodo Ref.]:[Check Periodo Ref.]]="Dentro",IF(DATOS_[[Check Equiparado]:[Check Equiparado]]="Sí",IF(DATOS!AV$5="Sí",(1/DATOS_[[% anualiz]:[% anualiz]]),1)*IF(DATOS!AV$4="Sí",1/DATOS_[[% normaliz]:[% normaliz]],1)*(DATOS_[Conc.Sal.18])))))))),
0)</f>
        <v>0</v>
      </c>
      <c r="AB91" s="101">
        <f t="array" ref="AB91">IFERROR(
(AVERAGE((IF(DATOS_[[Sexo]:[Sexo]]=$B91,IF(DATOS_[[AGRUP. VALOR. PTO.]:[AGRUP. VALOR. PTO.]]=$B90,IF(DATOS_[[Check Periodo Ref.]:[Check Periodo Ref.]]="Dentro",IF(DATOS_[[Check Equiparado]:[Check Equiparado]]="Sí",IF(DATOS!AW$5="Sí",(1/DATOS_[[% anualiz]:[% anualiz]]),1)*IF(DATOS!AW$4="Sí",1/DATOS_[[% normaliz]:[% normaliz]],1)*(DATOS_[Conc.Sal.19])))))))),
0)</f>
        <v>0</v>
      </c>
      <c r="AC91" s="101">
        <f t="array" ref="AC91">IFERROR(
(AVERAGE((IF(DATOS_[[Sexo]:[Sexo]]=$B91,IF(DATOS_[[AGRUP. VALOR. PTO.]:[AGRUP. VALOR. PTO.]]=$B90,IF(DATOS_[[Check Periodo Ref.]:[Check Periodo Ref.]]="Dentro",IF(DATOS_[[Check Equiparado]:[Check Equiparado]]="Sí",IF(DATOS!AX$5="Sí",(1/DATOS_[[% anualiz]:[% anualiz]]),1)*IF(DATOS!AX$4="Sí",1/DATOS_[[% normaliz]:[% normaliz]],1)*(DATOS_[Conc.Sal.20])))))))),
0)</f>
        <v>0</v>
      </c>
      <c r="AD91" s="101">
        <f t="array" ref="AD91">IFERROR(
(AVERAGE((IF(DATOS_[[Sexo]:[Sexo]]=$B91,IF(DATOS_[[AGRUP. VALOR. PTO.]:[AGRUP. VALOR. PTO.]]=$B90,IF(DATOS_[[Check Periodo Ref.]:[Check Periodo Ref.]]="Dentro",IF(DATOS_[[Check Equiparado]:[Check Equiparado]]="Sí",IF(DATOS!AY$5="Sí",(1/DATOS_[[% anualiz]:[% anualiz]]),1)*IF(DATOS!AY$4="Sí",1/DATOS_[[% normaliz]:[% normaliz]],1)*(DATOS_[Conc.Sal.21])))))))),
0)</f>
        <v>0</v>
      </c>
      <c r="AE91" s="101">
        <f t="array" ref="AE91">IFERROR(
(AVERAGE((IF(DATOS_[[Sexo]:[Sexo]]=$B91,IF(DATOS_[[AGRUP. VALOR. PTO.]:[AGRUP. VALOR. PTO.]]=$B90,IF(DATOS_[[Check Periodo Ref.]:[Check Periodo Ref.]]="Dentro",IF(DATOS_[[Check Equiparado]:[Check Equiparado]]="Sí",IF(DATOS!AZ$5="Sí",(1/DATOS_[[% anualiz]:[% anualiz]]),1)*IF(DATOS!AZ$4="Sí",1/DATOS_[[% normaliz]:[% normaliz]],1)*(DATOS_[Conc.Sal.22])))))))),
0)</f>
        <v>0</v>
      </c>
      <c r="AF91" s="101">
        <f t="array" ref="AF91">IFERROR(
(AVERAGE((IF(DATOS_[[Sexo]:[Sexo]]=$B91,IF(DATOS_[[AGRUP. VALOR. PTO.]:[AGRUP. VALOR. PTO.]]=$B90,IF(DATOS_[[Check Periodo Ref.]:[Check Periodo Ref.]]="Dentro",IF(DATOS_[[Check Equiparado]:[Check Equiparado]]="Sí",IF(DATOS!BA$5="Sí",(1/DATOS_[[% anualiz]:[% anualiz]]),1)*IF(DATOS!BA$4="Sí",1/DATOS_[[% normaliz]:[% normaliz]],1)*(DATOS_[Conc.Sal.23])))))))),
0)</f>
        <v>0</v>
      </c>
      <c r="AG91" s="101">
        <f t="array" ref="AG91">IFERROR(
(AVERAGE((IF(DATOS_[[Sexo]:[Sexo]]=$B91,IF(DATOS_[[AGRUP. VALOR. PTO.]:[AGRUP. VALOR. PTO.]]=$B90,IF(DATOS_[[Check Periodo Ref.]:[Check Periodo Ref.]]="Dentro",IF(DATOS_[[Check Equiparado]:[Check Equiparado]]="Sí",IF(DATOS!BB$5="Sí",(1/DATOS_[[% anualiz]:[% anualiz]]),1)*IF(DATOS!BB$4="Sí",1/DATOS_[[% normaliz]:[% normaliz]],1)*(DATOS_[Conc.Sal.24])))))))),
0)</f>
        <v>0</v>
      </c>
      <c r="AH91" s="101">
        <f t="array" ref="AH91">IFERROR(
(AVERAGE((IF(DATOS_[[Sexo]:[Sexo]]=$B91,IF(DATOS_[[AGRUP. VALOR. PTO.]:[AGRUP. VALOR. PTO.]]=$B90,IF(DATOS_[[Check Periodo Ref.]:[Check Periodo Ref.]]="Dentro",IF(DATOS_[[Check Equiparado]:[Check Equiparado]]="Sí",IF(DATOS!BC$5="Sí",(1/DATOS_[[% anualiz]:[% anualiz]]),1)*IF(DATOS!BC$4="Sí",1/DATOS_[[% normaliz]:[% normaliz]],1)*(DATOS_[Conc.Sal.25])))))))),
0)</f>
        <v>0</v>
      </c>
      <c r="AI91" s="101">
        <f t="array" ref="AI91">IFERROR(
(AVERAGE((IF(DATOS_[[Sexo]:[Sexo]]=$B91,IF(DATOS_[[AGRUP. VALOR. PTO.]:[AGRUP. VALOR. PTO.]]=$B90,IF(DATOS_[[Check Periodo Ref.]:[Check Periodo Ref.]]="Dentro",IF(DATOS_[[Check Equiparado]:[Check Equiparado]]="Sí",IF(DATOS!BD$5="Sí",(1/DATOS_[[% anualiz]:[% anualiz]]),1)*IF(DATOS!BD$4="Sí",1/DATOS_[[% normaliz]:[% normaliz]],1)*(DATOS_[Conc.Sal.26])))))))),
0)</f>
        <v>0</v>
      </c>
      <c r="AJ91" s="101">
        <f t="array" ref="AJ91">IFERROR(
(AVERAGE((IF(DATOS_[[Sexo]:[Sexo]]=$B91,IF(DATOS_[[AGRUP. VALOR. PTO.]:[AGRUP. VALOR. PTO.]]=$B90,IF(DATOS_[[Check Periodo Ref.]:[Check Periodo Ref.]]="Dentro",IF(DATOS_[[Check Equiparado]:[Check Equiparado]]="Sí",IF(DATOS!BE$5="Sí",(1/DATOS_[[% anualiz]:[% anualiz]]),1)*IF(DATOS!BE$4="Sí",1/DATOS_[[% normaliz]:[% normaliz]],1)*(DATOS_[Conc.Sal.27])))))))),
0)</f>
        <v>0</v>
      </c>
      <c r="AK91" s="101">
        <f t="array" ref="AK91">IFERROR(
(AVERAGE((IF(DATOS_[[Sexo]:[Sexo]]=$B91,IF(DATOS_[[AGRUP. VALOR. PTO.]:[AGRUP. VALOR. PTO.]]=$B90,IF(DATOS_[[Check Periodo Ref.]:[Check Periodo Ref.]]="Dentro",IF(DATOS_[[Check Equiparado]:[Check Equiparado]]="Sí",IF(DATOS!BF$5="Sí",(1/DATOS_[[% anualiz]:[% anualiz]]),1)*IF(DATOS!BF$4="Sí",1/DATOS_[[% normaliz]:[% normaliz]],1)*(DATOS_[Conc.Sal.28])))))))),
0)</f>
        <v>0</v>
      </c>
      <c r="AL91" s="101">
        <f t="array" ref="AL91">IFERROR(
(AVERAGE((IF(DATOS_[[Sexo]:[Sexo]]=$B91,IF(DATOS_[[AGRUP. VALOR. PTO.]:[AGRUP. VALOR. PTO.]]=$B90,IF(DATOS_[[Check Periodo Ref.]:[Check Periodo Ref.]]="Dentro",IF(DATOS_[[Check Equiparado]:[Check Equiparado]]="Sí",IF(DATOS!BG$5="Sí",(1/DATOS_[[% anualiz]:[% anualiz]]),1)*IF(DATOS!BG$4="Sí",1/DATOS_[[% normaliz]:[% normaliz]],1)*(DATOS_[Conc.Sal.29])))))))),
0)</f>
        <v>0</v>
      </c>
      <c r="AM91" s="101">
        <f t="array" ref="AM91">IFERROR(
(AVERAGE((IF(DATOS_[[Sexo]:[Sexo]]=$B91,IF(DATOS_[[AGRUP. VALOR. PTO.]:[AGRUP. VALOR. PTO.]]=$B90,IF(DATOS_[[Check Periodo Ref.]:[Check Periodo Ref.]]="Dentro",IF(DATOS_[[Check Equiparado]:[Check Equiparado]]="Sí",IF(DATOS!BH$5="Sí",(1/DATOS_[[% anualiz]:[% anualiz]]),1)*IF(DATOS!BH$4="Sí",1/DATOS_[[% normaliz]:[% normaliz]],1)*(DATOS_[Conc.Sal.30])))))))),
0)</f>
        <v>0</v>
      </c>
      <c r="AN91" s="102">
        <f t="array" ref="AN91">IFERROR(
AVERAGE(IF(DATOS_[Sexo]=$B91,IF(DATOS_[[AGRUP. VALOR. PTO.]:[AGRUP. VALOR. PTO.]]=$B90,IF(DATOS_[Check Equiparado]="Sí",IF(DATOS_[Check Periodo Ref.]="Dentro",DATOS_[Tot COMPL.SAL Eq],FALSE))))),
0)</f>
        <v>0</v>
      </c>
      <c r="AO91" s="103">
        <f t="array" ref="AO91">IFERROR(
AVERAGE(IF(DATOS_[Sexo]=$B91,IF(DATOS_[[AGRUP. VALOR. PTO.]:[AGRUP. VALOR. PTO.]]=$B90,IF(DATOS_[Check Equiparado]="Sí",IF(DATOS_[Check Periodo Ref.]="Dentro",DATOS_[TOTAL SALARIO Eq],FALSE))))),
0)</f>
        <v>0</v>
      </c>
      <c r="AP91" s="104">
        <f t="array" ref="AP91">IFERROR(
(AVERAGE((IF(DATOS_[[Sexo]:[Sexo]]=$B91,IF(DATOS_[[AGRUP. VALOR. PTO.]:[AGRUP. VALOR. PTO.]]=$B90,IF(DATOS_[[Check Periodo Ref.]:[Check Periodo Ref.]]="Dentro",IF(DATOS_[[Check Equiparado]:[Check Equiparado]]="Sí",IF(DATOS!BI$5="Sí",(1/DATOS_[[% anualiz]:[% anualiz]]),1)*IF(DATOS!BI$4="Sí",1/DATOS_[[% normaliz]:[% normaliz]],1)*(DATOS_[C.Extra.01])))))))),
0)</f>
        <v>0</v>
      </c>
      <c r="AQ91" s="104">
        <f t="array" ref="AQ91">IFERROR(
(AVERAGE((IF(DATOS_[[Sexo]:[Sexo]]=$B91,IF(DATOS_[[AGRUP. VALOR. PTO.]:[AGRUP. VALOR. PTO.]]=$B90,IF(DATOS_[[Check Periodo Ref.]:[Check Periodo Ref.]]="Dentro",IF(DATOS_[[Check Equiparado]:[Check Equiparado]]="Sí",IF(DATOS!BJ$5="Sí",(1/DATOS_[[% anualiz]:[% anualiz]]),1)*IF(DATOS!BJ$4="Sí",1/DATOS_[[% normaliz]:[% normaliz]],1)*(DATOS_[C.Extra.02])))))))),
0)</f>
        <v>0</v>
      </c>
      <c r="AR91" s="104">
        <f t="array" ref="AR91">IFERROR(
(AVERAGE((IF(DATOS_[[Sexo]:[Sexo]]=$B91,IF(DATOS_[[AGRUP. VALOR. PTO.]:[AGRUP. VALOR. PTO.]]=$B90,IF(DATOS_[[Check Periodo Ref.]:[Check Periodo Ref.]]="Dentro",IF(DATOS_[[Check Equiparado]:[Check Equiparado]]="Sí",IF(DATOS!BK$5="Sí",(1/DATOS_[[% anualiz]:[% anualiz]]),1)*IF(DATOS!BK$4="Sí",1/DATOS_[[% normaliz]:[% normaliz]],1)*(DATOS_[C.Extra.03])))))))),
0)</f>
        <v>0</v>
      </c>
      <c r="AS91" s="104">
        <f t="array" ref="AS91">IFERROR(
(AVERAGE((IF(DATOS_[[Sexo]:[Sexo]]=$B91,IF(DATOS_[[AGRUP. VALOR. PTO.]:[AGRUP. VALOR. PTO.]]=$B90,IF(DATOS_[[Check Periodo Ref.]:[Check Periodo Ref.]]="Dentro",IF(DATOS_[[Check Equiparado]:[Check Equiparado]]="Sí",IF(DATOS!BL$5="Sí",(1/DATOS_[[% anualiz]:[% anualiz]]),1)*IF(DATOS!BL$4="Sí",1/DATOS_[[% normaliz]:[% normaliz]],1)*(DATOS_[C.Extra.04])))))))),
0)</f>
        <v>0</v>
      </c>
      <c r="AT91" s="104">
        <f t="array" ref="AT91">IFERROR(
(AVERAGE((IF(DATOS_[[Sexo]:[Sexo]]=$B91,IF(DATOS_[[AGRUP. VALOR. PTO.]:[AGRUP. VALOR. PTO.]]=$B90,IF(DATOS_[[Check Periodo Ref.]:[Check Periodo Ref.]]="Dentro",IF(DATOS_[[Check Equiparado]:[Check Equiparado]]="Sí",IF(DATOS!BM$5="Sí",(1/DATOS_[[% anualiz]:[% anualiz]]),1)*IF(DATOS!BM$4="Sí",1/DATOS_[[% normaliz]:[% normaliz]],1)*(DATOS_[C.Extra.05])))))))),
0)</f>
        <v>0</v>
      </c>
      <c r="AU91" s="105">
        <f t="array" ref="AU91">IFERROR(
AVERAGE(IF(DATOS_[Sexo]=$B91,IF(DATOS_[[AGRUP. VALOR. PTO.]:[AGRUP. VALOR. PTO.]]=$B90,IF(DATOS_[Check Equiparado]="Sí",IF(DATOS_[Check Periodo Ref.]="Dentro",DATOS_[Tot Extrasalarial Eq],FALSE))))),
0)</f>
        <v>0</v>
      </c>
      <c r="AV91" s="106">
        <f t="array" ref="AV91">IFERROR(
AVERAGE(IF(DATOS_[Sexo]=$B91,IF(DATOS_[[AGRUP. VALOR. PTO.]:[AGRUP. VALOR. PTO.]]=$B90,IF(DATOS_[Check Equiparado]="Sí",IF(DATOS_[Check Periodo Ref.]="Dentro",DATOS_[TOTAL Retrib Eq],FALSE))))),
0)</f>
        <v>0</v>
      </c>
    </row>
    <row r="92" spans="1:48" hidden="1" x14ac:dyDescent="0.3">
      <c r="A92" s="53" t="str">
        <f t="shared" ref="A92" si="106">+A91</f>
        <v>[ocultar]</v>
      </c>
      <c r="B92" s="57" t="s">
        <v>163</v>
      </c>
      <c r="C92" s="56">
        <f t="array" ref="C92">SUM(IF($B92=DATOS_[Sexo],
IF($B90=DATOS_[AGRUP. VALOR. PTO.],
IF("Dentro"=DATOS_[Check Periodo Ref.],
1/(COUNTIFS(DATOS_[Sexo],$B92,DATOS_[AGRUP. VALOR. PTO.],$B90,DATOS_[Check Periodo Ref.],"Dentro",DATOS_[id],DATOS_[id]))))))</f>
        <v>0</v>
      </c>
      <c r="D92" s="58">
        <f>COUNTIFS(DATOS_[AGRUP. VALOR. PTO.],$B90,DATOS_[Sexo],$B92,DATOS_[Check Periodo Ref.],"Dentro")</f>
        <v>0</v>
      </c>
      <c r="E92" s="58">
        <f>COUNTIFS(DATOS_[AGRUP. VALOR. PTO.],$B90,DATOS_[Sexo],$B92,DATOS_[Check Periodo Ref.],"Dentro",DATOS_[Check Nº SC Norm],"Sí")</f>
        <v>0</v>
      </c>
      <c r="F92" s="58">
        <f>COUNTIFS(DATOS_[AGRUP. VALOR. PTO.],$B90,DATOS_[Sexo],$B92,DATOS_[Check Periodo Ref.],"Dentro",DATOS_[Check Nº SC Anualiz],"Sí")</f>
        <v>0</v>
      </c>
      <c r="G92" s="58">
        <f>COUNTIFS(DATOS_[AGRUP. VALOR. PTO.],$B90,DATOS_[Sexo],$B92,DATOS_[Check Periodo Ref.],"Dentro",DATOS_[Check Nº SC Norm y Anualiz],"Sí")</f>
        <v>0</v>
      </c>
      <c r="H92" s="58">
        <f>COUNTIFS(DATOS_[AGRUP. VALOR. PTO.],$B90,DATOS_[Sexo],$B92,DATOS_[Check Periodo Ref.],"Dentro",DATOS_[Check Equiparación],"Sí")</f>
        <v>0</v>
      </c>
      <c r="I92" s="100" cm="1">
        <f t="array" ref="I92">IFERROR(
AVERAGE(IF(DATOS_[Sexo]=$B92,IF(DATOS_[[AGRUP. VALOR. PTO.]:[AGRUP. VALOR. PTO.]]=$B90,IF(DATOS_[Check Equiparado]="Sí",IF(DATOS_[Check Periodo Ref.]="Dentro",DATOS_[SALARIO BASE Eq],FALSE))))),
0)</f>
        <v>0</v>
      </c>
      <c r="J92" s="101">
        <f t="array" ref="J92">IFERROR(
(AVERAGE((IF(DATOS_[[Sexo]:[Sexo]]=$B92,IF(DATOS_[[AGRUP. VALOR. PTO.]:[AGRUP. VALOR. PTO.]]=$B90,IF(DATOS_[[Check Periodo Ref.]:[Check Periodo Ref.]]="Dentro",IF(DATOS_[[Check Equiparado]:[Check Equiparado]]="Sí",IF(DATOS!AE$5="Sí",(1/DATOS_[[% anualiz]:[% anualiz]]),1)*IF(DATOS!AE$4="Sí",1/DATOS_[[% normaliz]:[% normaliz]],1)*(DATOS_[Conc.Sal.01])))))))),
0)</f>
        <v>0</v>
      </c>
      <c r="K92" s="101">
        <f t="array" ref="K92">IFERROR(
(AVERAGE((IF(DATOS_[[Sexo]:[Sexo]]=$B92,IF(DATOS_[[AGRUP. VALOR. PTO.]:[AGRUP. VALOR. PTO.]]=$B90,IF(DATOS_[[Check Periodo Ref.]:[Check Periodo Ref.]]="Dentro",IF(DATOS_[[Check Equiparado]:[Check Equiparado]]="Sí",IF(DATOS!AF$5="Sí",(1/DATOS_[[% anualiz]:[% anualiz]]),1)*IF(DATOS!AF$4="Sí",1/DATOS_[[% normaliz]:[% normaliz]],1)*(DATOS_[Conc.Sal.02])))))))),
0)</f>
        <v>0</v>
      </c>
      <c r="L92" s="101">
        <f t="array" ref="L92">IFERROR(
(AVERAGE((IF(DATOS_[[Sexo]:[Sexo]]=$B92,IF(DATOS_[[AGRUP. VALOR. PTO.]:[AGRUP. VALOR. PTO.]]=$B90,IF(DATOS_[[Check Periodo Ref.]:[Check Periodo Ref.]]="Dentro",IF(DATOS_[[Check Equiparado]:[Check Equiparado]]="Sí",IF(DATOS!AG$5="Sí",(1/DATOS_[[% anualiz]:[% anualiz]]),1)*IF(DATOS!AG$4="Sí",1/DATOS_[[% normaliz]:[% normaliz]],1)*(DATOS_[Conc.Sal.03])))))))),
0)</f>
        <v>0</v>
      </c>
      <c r="M92" s="101">
        <f t="array" ref="M92">IFERROR(
(AVERAGE((IF(DATOS_[[Sexo]:[Sexo]]=$B92,IF(DATOS_[[AGRUP. VALOR. PTO.]:[AGRUP. VALOR. PTO.]]=$B90,IF(DATOS_[[Check Periodo Ref.]:[Check Periodo Ref.]]="Dentro",IF(DATOS_[[Check Equiparado]:[Check Equiparado]]="Sí",IF(DATOS!AH$5="Sí",(1/DATOS_[[% anualiz]:[% anualiz]]),1)*IF(DATOS!AH$4="Sí",1/DATOS_[[% normaliz]:[% normaliz]],1)*(DATOS_[Conc.Sal.04])))))))),
0)</f>
        <v>0</v>
      </c>
      <c r="N92" s="101">
        <f t="array" ref="N92">IFERROR(
(AVERAGE((IF(DATOS_[[Sexo]:[Sexo]]=$B92,IF(DATOS_[[AGRUP. VALOR. PTO.]:[AGRUP. VALOR. PTO.]]=$B90,IF(DATOS_[[Check Periodo Ref.]:[Check Periodo Ref.]]="Dentro",IF(DATOS_[[Check Equiparado]:[Check Equiparado]]="Sí",IF(DATOS!AI$5="Sí",(1/DATOS_[[% anualiz]:[% anualiz]]),1)*IF(DATOS!AI$4="Sí",1/DATOS_[[% normaliz]:[% normaliz]],1)*(DATOS_[Conc.Sal.05])))))))),
0)</f>
        <v>0</v>
      </c>
      <c r="O92" s="101">
        <f t="array" ref="O92">IFERROR(
(AVERAGE((IF(DATOS_[[Sexo]:[Sexo]]=$B92,IF(DATOS_[[AGRUP. VALOR. PTO.]:[AGRUP. VALOR. PTO.]]=$B90,IF(DATOS_[[Check Periodo Ref.]:[Check Periodo Ref.]]="Dentro",IF(DATOS_[[Check Equiparado]:[Check Equiparado]]="Sí",IF(DATOS!AJ$5="Sí",(1/DATOS_[[% anualiz]:[% anualiz]]),1)*IF(DATOS!AJ$4="Sí",1/DATOS_[[% normaliz]:[% normaliz]],1)*(DATOS_[Conc.Sal.06])))))))),
0)</f>
        <v>0</v>
      </c>
      <c r="P92" s="101">
        <f t="array" ref="P92">IFERROR(
(AVERAGE((IF(DATOS_[[Sexo]:[Sexo]]=$B92,IF(DATOS_[[AGRUP. VALOR. PTO.]:[AGRUP. VALOR. PTO.]]=$B90,IF(DATOS_[[Check Periodo Ref.]:[Check Periodo Ref.]]="Dentro",IF(DATOS_[[Check Equiparado]:[Check Equiparado]]="Sí",IF(DATOS!AK$5="Sí",(1/DATOS_[[% anualiz]:[% anualiz]]),1)*IF(DATOS!AK$4="Sí",1/DATOS_[[% normaliz]:[% normaliz]],1)*(DATOS_[Conc.Sal.07])))))))),
0)</f>
        <v>0</v>
      </c>
      <c r="Q92" s="101">
        <f t="array" ref="Q92">IFERROR(
(AVERAGE((IF(DATOS_[[Sexo]:[Sexo]]=$B92,IF(DATOS_[[AGRUP. VALOR. PTO.]:[AGRUP. VALOR. PTO.]]=$B90,IF(DATOS_[[Check Periodo Ref.]:[Check Periodo Ref.]]="Dentro",IF(DATOS_[[Check Equiparado]:[Check Equiparado]]="Sí",IF(DATOS!AL$5="Sí",(1/DATOS_[[% anualiz]:[% anualiz]]),1)*IF(DATOS!AL$4="Sí",1/DATOS_[[% normaliz]:[% normaliz]],1)*(DATOS_[Conc.Sal.08])))))))),
0)</f>
        <v>0</v>
      </c>
      <c r="R92" s="101">
        <f t="array" ref="R92">IFERROR(
(AVERAGE((IF(DATOS_[[Sexo]:[Sexo]]=$B92,IF(DATOS_[[AGRUP. VALOR. PTO.]:[AGRUP. VALOR. PTO.]]=$B90,IF(DATOS_[[Check Periodo Ref.]:[Check Periodo Ref.]]="Dentro",IF(DATOS_[[Check Equiparado]:[Check Equiparado]]="Sí",IF(DATOS!AM$5="Sí",(1/DATOS_[[% anualiz]:[% anualiz]]),1)*IF(DATOS!AM$4="Sí",1/DATOS_[[% normaliz]:[% normaliz]],1)*(DATOS_[Conc.Sal.09])))))))),
0)</f>
        <v>0</v>
      </c>
      <c r="S92" s="101">
        <f t="array" ref="S92">IFERROR(
(AVERAGE((IF(DATOS_[[Sexo]:[Sexo]]=$B92,IF(DATOS_[[AGRUP. VALOR. PTO.]:[AGRUP. VALOR. PTO.]]=$B90,IF(DATOS_[[Check Periodo Ref.]:[Check Periodo Ref.]]="Dentro",IF(DATOS_[[Check Equiparado]:[Check Equiparado]]="Sí",IF(DATOS!AN$5="Sí",(1/DATOS_[[% anualiz]:[% anualiz]]),1)*IF(DATOS!AN$4="Sí",1/DATOS_[[% normaliz]:[% normaliz]],1)*(DATOS_[Conc.Sal.10])))))))),
0)</f>
        <v>0</v>
      </c>
      <c r="T92" s="101">
        <f t="array" ref="T92">IFERROR(
(AVERAGE((IF(DATOS_[[Sexo]:[Sexo]]=$B92,IF(DATOS_[[AGRUP. VALOR. PTO.]:[AGRUP. VALOR. PTO.]]=$B90,IF(DATOS_[[Check Periodo Ref.]:[Check Periodo Ref.]]="Dentro",IF(DATOS_[[Check Equiparado]:[Check Equiparado]]="Sí",IF(DATOS!AO$5="Sí",(1/DATOS_[[% anualiz]:[% anualiz]]),1)*IF(DATOS!AO$4="Sí",1/DATOS_[[% normaliz]:[% normaliz]],1)*(DATOS_[Conc.Sal.11])))))))),
0)</f>
        <v>0</v>
      </c>
      <c r="U92" s="101">
        <f t="array" ref="U92">IFERROR(
(AVERAGE((IF(DATOS_[[Sexo]:[Sexo]]=$B92,IF(DATOS_[[AGRUP. VALOR. PTO.]:[AGRUP. VALOR. PTO.]]=$B90,IF(DATOS_[[Check Periodo Ref.]:[Check Periodo Ref.]]="Dentro",IF(DATOS_[[Check Equiparado]:[Check Equiparado]]="Sí",IF(DATOS!AP$5="Sí",(1/DATOS_[[% anualiz]:[% anualiz]]),1)*IF(DATOS!AP$4="Sí",1/DATOS_[[% normaliz]:[% normaliz]],1)*(DATOS_[Conc.Sal.12])))))))),
0)</f>
        <v>0</v>
      </c>
      <c r="V92" s="101">
        <f t="array" ref="V92">IFERROR(
(AVERAGE((IF(DATOS_[[Sexo]:[Sexo]]=$B92,IF(DATOS_[[AGRUP. VALOR. PTO.]:[AGRUP. VALOR. PTO.]]=$B90,IF(DATOS_[[Check Periodo Ref.]:[Check Periodo Ref.]]="Dentro",IF(DATOS_[[Check Equiparado]:[Check Equiparado]]="Sí",IF(DATOS!AQ$5="Sí",(1/DATOS_[[% anualiz]:[% anualiz]]),1)*IF(DATOS!AQ$4="Sí",1/DATOS_[[% normaliz]:[% normaliz]],1)*(DATOS_[Conc.Sal.13])))))))),
0)</f>
        <v>0</v>
      </c>
      <c r="W92" s="101">
        <f t="array" ref="W92">IFERROR(
(AVERAGE((IF(DATOS_[[Sexo]:[Sexo]]=$B92,IF(DATOS_[[AGRUP. VALOR. PTO.]:[AGRUP. VALOR. PTO.]]=$B90,IF(DATOS_[[Check Periodo Ref.]:[Check Periodo Ref.]]="Dentro",IF(DATOS_[[Check Equiparado]:[Check Equiparado]]="Sí",IF(DATOS!AR$5="Sí",(1/DATOS_[[% anualiz]:[% anualiz]]),1)*IF(DATOS!AR$4="Sí",1/DATOS_[[% normaliz]:[% normaliz]],1)*(DATOS_[Conc.Sal.14])))))))),
0)</f>
        <v>0</v>
      </c>
      <c r="X92" s="101">
        <f t="array" ref="X92">IFERROR(
(AVERAGE((IF(DATOS_[[Sexo]:[Sexo]]=$B92,IF(DATOS_[[AGRUP. VALOR. PTO.]:[AGRUP. VALOR. PTO.]]=$B90,IF(DATOS_[[Check Periodo Ref.]:[Check Periodo Ref.]]="Dentro",IF(DATOS_[[Check Equiparado]:[Check Equiparado]]="Sí",IF(DATOS!AS$5="Sí",(1/DATOS_[[% anualiz]:[% anualiz]]),1)*IF(DATOS!AS$4="Sí",1/DATOS_[[% normaliz]:[% normaliz]],1)*(DATOS_[Conc.Sal.15])))))))),
0)</f>
        <v>0</v>
      </c>
      <c r="Y92" s="101">
        <f t="array" ref="Y92">IFERROR(
(AVERAGE((IF(DATOS_[[Sexo]:[Sexo]]=$B92,IF(DATOS_[[AGRUP. VALOR. PTO.]:[AGRUP. VALOR. PTO.]]=$B90,IF(DATOS_[[Check Periodo Ref.]:[Check Periodo Ref.]]="Dentro",IF(DATOS_[[Check Equiparado]:[Check Equiparado]]="Sí",IF(DATOS!AT$5="Sí",(1/DATOS_[[% anualiz]:[% anualiz]]),1)*IF(DATOS!AT$4="Sí",1/DATOS_[[% normaliz]:[% normaliz]],1)*(DATOS_[Conc.Sal.16])))))))),
0)</f>
        <v>0</v>
      </c>
      <c r="Z92" s="101">
        <f t="array" ref="Z92">IFERROR(
(AVERAGE((IF(DATOS_[[Sexo]:[Sexo]]=$B92,IF(DATOS_[[AGRUP. VALOR. PTO.]:[AGRUP. VALOR. PTO.]]=$B90,IF(DATOS_[[Check Periodo Ref.]:[Check Periodo Ref.]]="Dentro",IF(DATOS_[[Check Equiparado]:[Check Equiparado]]="Sí",IF(DATOS!AU$5="Sí",(1/DATOS_[[% anualiz]:[% anualiz]]),1)*IF(DATOS!AU$4="Sí",1/DATOS_[[% normaliz]:[% normaliz]],1)*(DATOS_[Conc.Sal.17])))))))),
0)</f>
        <v>0</v>
      </c>
      <c r="AA92" s="101">
        <f t="array" ref="AA92">IFERROR(
(AVERAGE((IF(DATOS_[[Sexo]:[Sexo]]=$B92,IF(DATOS_[[AGRUP. VALOR. PTO.]:[AGRUP. VALOR. PTO.]]=$B90,IF(DATOS_[[Check Periodo Ref.]:[Check Periodo Ref.]]="Dentro",IF(DATOS_[[Check Equiparado]:[Check Equiparado]]="Sí",IF(DATOS!AV$5="Sí",(1/DATOS_[[% anualiz]:[% anualiz]]),1)*IF(DATOS!AV$4="Sí",1/DATOS_[[% normaliz]:[% normaliz]],1)*(DATOS_[Conc.Sal.18])))))))),
0)</f>
        <v>0</v>
      </c>
      <c r="AB92" s="101">
        <f t="array" ref="AB92">IFERROR(
(AVERAGE((IF(DATOS_[[Sexo]:[Sexo]]=$B92,IF(DATOS_[[AGRUP. VALOR. PTO.]:[AGRUP. VALOR. PTO.]]=$B90,IF(DATOS_[[Check Periodo Ref.]:[Check Periodo Ref.]]="Dentro",IF(DATOS_[[Check Equiparado]:[Check Equiparado]]="Sí",IF(DATOS!AW$5="Sí",(1/DATOS_[[% anualiz]:[% anualiz]]),1)*IF(DATOS!AW$4="Sí",1/DATOS_[[% normaliz]:[% normaliz]],1)*(DATOS_[Conc.Sal.19])))))))),
0)</f>
        <v>0</v>
      </c>
      <c r="AC92" s="101">
        <f t="array" ref="AC92">IFERROR(
(AVERAGE((IF(DATOS_[[Sexo]:[Sexo]]=$B92,IF(DATOS_[[AGRUP. VALOR. PTO.]:[AGRUP. VALOR. PTO.]]=$B90,IF(DATOS_[[Check Periodo Ref.]:[Check Periodo Ref.]]="Dentro",IF(DATOS_[[Check Equiparado]:[Check Equiparado]]="Sí",IF(DATOS!AX$5="Sí",(1/DATOS_[[% anualiz]:[% anualiz]]),1)*IF(DATOS!AX$4="Sí",1/DATOS_[[% normaliz]:[% normaliz]],1)*(DATOS_[Conc.Sal.20])))))))),
0)</f>
        <v>0</v>
      </c>
      <c r="AD92" s="101">
        <f t="array" ref="AD92">IFERROR(
(AVERAGE((IF(DATOS_[[Sexo]:[Sexo]]=$B92,IF(DATOS_[[AGRUP. VALOR. PTO.]:[AGRUP. VALOR. PTO.]]=$B90,IF(DATOS_[[Check Periodo Ref.]:[Check Periodo Ref.]]="Dentro",IF(DATOS_[[Check Equiparado]:[Check Equiparado]]="Sí",IF(DATOS!AY$5="Sí",(1/DATOS_[[% anualiz]:[% anualiz]]),1)*IF(DATOS!AY$4="Sí",1/DATOS_[[% normaliz]:[% normaliz]],1)*(DATOS_[Conc.Sal.21])))))))),
0)</f>
        <v>0</v>
      </c>
      <c r="AE92" s="101">
        <f t="array" ref="AE92">IFERROR(
(AVERAGE((IF(DATOS_[[Sexo]:[Sexo]]=$B92,IF(DATOS_[[AGRUP. VALOR. PTO.]:[AGRUP. VALOR. PTO.]]=$B90,IF(DATOS_[[Check Periodo Ref.]:[Check Periodo Ref.]]="Dentro",IF(DATOS_[[Check Equiparado]:[Check Equiparado]]="Sí",IF(DATOS!AZ$5="Sí",(1/DATOS_[[% anualiz]:[% anualiz]]),1)*IF(DATOS!AZ$4="Sí",1/DATOS_[[% normaliz]:[% normaliz]],1)*(DATOS_[Conc.Sal.22])))))))),
0)</f>
        <v>0</v>
      </c>
      <c r="AF92" s="101">
        <f t="array" ref="AF92">IFERROR(
(AVERAGE((IF(DATOS_[[Sexo]:[Sexo]]=$B92,IF(DATOS_[[AGRUP. VALOR. PTO.]:[AGRUP. VALOR. PTO.]]=$B90,IF(DATOS_[[Check Periodo Ref.]:[Check Periodo Ref.]]="Dentro",IF(DATOS_[[Check Equiparado]:[Check Equiparado]]="Sí",IF(DATOS!BA$5="Sí",(1/DATOS_[[% anualiz]:[% anualiz]]),1)*IF(DATOS!BA$4="Sí",1/DATOS_[[% normaliz]:[% normaliz]],1)*(DATOS_[Conc.Sal.23])))))))),
0)</f>
        <v>0</v>
      </c>
      <c r="AG92" s="101">
        <f t="array" ref="AG92">IFERROR(
(AVERAGE((IF(DATOS_[[Sexo]:[Sexo]]=$B92,IF(DATOS_[[AGRUP. VALOR. PTO.]:[AGRUP. VALOR. PTO.]]=$B90,IF(DATOS_[[Check Periodo Ref.]:[Check Periodo Ref.]]="Dentro",IF(DATOS_[[Check Equiparado]:[Check Equiparado]]="Sí",IF(DATOS!BB$5="Sí",(1/DATOS_[[% anualiz]:[% anualiz]]),1)*IF(DATOS!BB$4="Sí",1/DATOS_[[% normaliz]:[% normaliz]],1)*(DATOS_[Conc.Sal.24])))))))),
0)</f>
        <v>0</v>
      </c>
      <c r="AH92" s="101">
        <f t="array" ref="AH92">IFERROR(
(AVERAGE((IF(DATOS_[[Sexo]:[Sexo]]=$B92,IF(DATOS_[[AGRUP. VALOR. PTO.]:[AGRUP. VALOR. PTO.]]=$B90,IF(DATOS_[[Check Periodo Ref.]:[Check Periodo Ref.]]="Dentro",IF(DATOS_[[Check Equiparado]:[Check Equiparado]]="Sí",IF(DATOS!BC$5="Sí",(1/DATOS_[[% anualiz]:[% anualiz]]),1)*IF(DATOS!BC$4="Sí",1/DATOS_[[% normaliz]:[% normaliz]],1)*(DATOS_[Conc.Sal.25])))))))),
0)</f>
        <v>0</v>
      </c>
      <c r="AI92" s="101">
        <f t="array" ref="AI92">IFERROR(
(AVERAGE((IF(DATOS_[[Sexo]:[Sexo]]=$B92,IF(DATOS_[[AGRUP. VALOR. PTO.]:[AGRUP. VALOR. PTO.]]=$B90,IF(DATOS_[[Check Periodo Ref.]:[Check Periodo Ref.]]="Dentro",IF(DATOS_[[Check Equiparado]:[Check Equiparado]]="Sí",IF(DATOS!BD$5="Sí",(1/DATOS_[[% anualiz]:[% anualiz]]),1)*IF(DATOS!BD$4="Sí",1/DATOS_[[% normaliz]:[% normaliz]],1)*(DATOS_[Conc.Sal.26])))))))),
0)</f>
        <v>0</v>
      </c>
      <c r="AJ92" s="101">
        <f t="array" ref="AJ92">IFERROR(
(AVERAGE((IF(DATOS_[[Sexo]:[Sexo]]=$B92,IF(DATOS_[[AGRUP. VALOR. PTO.]:[AGRUP. VALOR. PTO.]]=$B90,IF(DATOS_[[Check Periodo Ref.]:[Check Periodo Ref.]]="Dentro",IF(DATOS_[[Check Equiparado]:[Check Equiparado]]="Sí",IF(DATOS!BE$5="Sí",(1/DATOS_[[% anualiz]:[% anualiz]]),1)*IF(DATOS!BE$4="Sí",1/DATOS_[[% normaliz]:[% normaliz]],1)*(DATOS_[Conc.Sal.27])))))))),
0)</f>
        <v>0</v>
      </c>
      <c r="AK92" s="101">
        <f t="array" ref="AK92">IFERROR(
(AVERAGE((IF(DATOS_[[Sexo]:[Sexo]]=$B92,IF(DATOS_[[AGRUP. VALOR. PTO.]:[AGRUP. VALOR. PTO.]]=$B90,IF(DATOS_[[Check Periodo Ref.]:[Check Periodo Ref.]]="Dentro",IF(DATOS_[[Check Equiparado]:[Check Equiparado]]="Sí",IF(DATOS!BF$5="Sí",(1/DATOS_[[% anualiz]:[% anualiz]]),1)*IF(DATOS!BF$4="Sí",1/DATOS_[[% normaliz]:[% normaliz]],1)*(DATOS_[Conc.Sal.28])))))))),
0)</f>
        <v>0</v>
      </c>
      <c r="AL92" s="101">
        <f t="array" ref="AL92">IFERROR(
(AVERAGE((IF(DATOS_[[Sexo]:[Sexo]]=$B92,IF(DATOS_[[AGRUP. VALOR. PTO.]:[AGRUP. VALOR. PTO.]]=$B90,IF(DATOS_[[Check Periodo Ref.]:[Check Periodo Ref.]]="Dentro",IF(DATOS_[[Check Equiparado]:[Check Equiparado]]="Sí",IF(DATOS!BG$5="Sí",(1/DATOS_[[% anualiz]:[% anualiz]]),1)*IF(DATOS!BG$4="Sí",1/DATOS_[[% normaliz]:[% normaliz]],1)*(DATOS_[Conc.Sal.29])))))))),
0)</f>
        <v>0</v>
      </c>
      <c r="AM92" s="101">
        <f t="array" ref="AM92">IFERROR(
(AVERAGE((IF(DATOS_[[Sexo]:[Sexo]]=$B92,IF(DATOS_[[AGRUP. VALOR. PTO.]:[AGRUP. VALOR. PTO.]]=$B90,IF(DATOS_[[Check Periodo Ref.]:[Check Periodo Ref.]]="Dentro",IF(DATOS_[[Check Equiparado]:[Check Equiparado]]="Sí",IF(DATOS!BH$5="Sí",(1/DATOS_[[% anualiz]:[% anualiz]]),1)*IF(DATOS!BH$4="Sí",1/DATOS_[[% normaliz]:[% normaliz]],1)*(DATOS_[Conc.Sal.30])))))))),
0)</f>
        <v>0</v>
      </c>
      <c r="AN92" s="102">
        <f t="array" ref="AN92">IFERROR(
AVERAGE(IF(DATOS_[Sexo]=$B92,IF(DATOS_[[AGRUP. VALOR. PTO.]:[AGRUP. VALOR. PTO.]]=$B90,IF(DATOS_[Check Equiparado]="Sí",IF(DATOS_[Check Periodo Ref.]="Dentro",DATOS_[Tot COMPL.SAL Eq],FALSE))))),
0)</f>
        <v>0</v>
      </c>
      <c r="AO92" s="103">
        <f t="array" ref="AO92">IFERROR(
AVERAGE(IF(DATOS_[Sexo]=$B92,IF(DATOS_[[AGRUP. VALOR. PTO.]:[AGRUP. VALOR. PTO.]]=$B90,IF(DATOS_[Check Equiparado]="Sí",IF(DATOS_[Check Periodo Ref.]="Dentro",DATOS_[TOTAL SALARIO Eq],FALSE))))),
0)</f>
        <v>0</v>
      </c>
      <c r="AP92" s="104">
        <f t="array" ref="AP92">IFERROR(
(AVERAGE((IF(DATOS_[[Sexo]:[Sexo]]=$B92,IF(DATOS_[[AGRUP. VALOR. PTO.]:[AGRUP. VALOR. PTO.]]=$B90,IF(DATOS_[[Check Periodo Ref.]:[Check Periodo Ref.]]="Dentro",IF(DATOS_[[Check Equiparado]:[Check Equiparado]]="Sí",IF(DATOS!BI$5="Sí",(1/DATOS_[[% anualiz]:[% anualiz]]),1)*IF(DATOS!BI$4="Sí",1/DATOS_[[% normaliz]:[% normaliz]],1)*(DATOS_[C.Extra.01])))))))),
0)</f>
        <v>0</v>
      </c>
      <c r="AQ92" s="104">
        <f t="array" ref="AQ92">IFERROR(
(AVERAGE((IF(DATOS_[[Sexo]:[Sexo]]=$B92,IF(DATOS_[[AGRUP. VALOR. PTO.]:[AGRUP. VALOR. PTO.]]=$B90,IF(DATOS_[[Check Periodo Ref.]:[Check Periodo Ref.]]="Dentro",IF(DATOS_[[Check Equiparado]:[Check Equiparado]]="Sí",IF(DATOS!BJ$5="Sí",(1/DATOS_[[% anualiz]:[% anualiz]]),1)*IF(DATOS!BJ$4="Sí",1/DATOS_[[% normaliz]:[% normaliz]],1)*(DATOS_[C.Extra.02])))))))),
0)</f>
        <v>0</v>
      </c>
      <c r="AR92" s="104">
        <f t="array" ref="AR92">IFERROR(
(AVERAGE((IF(DATOS_[[Sexo]:[Sexo]]=$B92,IF(DATOS_[[AGRUP. VALOR. PTO.]:[AGRUP. VALOR. PTO.]]=$B90,IF(DATOS_[[Check Periodo Ref.]:[Check Periodo Ref.]]="Dentro",IF(DATOS_[[Check Equiparado]:[Check Equiparado]]="Sí",IF(DATOS!BK$5="Sí",(1/DATOS_[[% anualiz]:[% anualiz]]),1)*IF(DATOS!BK$4="Sí",1/DATOS_[[% normaliz]:[% normaliz]],1)*(DATOS_[C.Extra.03])))))))),
0)</f>
        <v>0</v>
      </c>
      <c r="AS92" s="104">
        <f t="array" ref="AS92">IFERROR(
(AVERAGE((IF(DATOS_[[Sexo]:[Sexo]]=$B92,IF(DATOS_[[AGRUP. VALOR. PTO.]:[AGRUP. VALOR. PTO.]]=$B90,IF(DATOS_[[Check Periodo Ref.]:[Check Periodo Ref.]]="Dentro",IF(DATOS_[[Check Equiparado]:[Check Equiparado]]="Sí",IF(DATOS!BL$5="Sí",(1/DATOS_[[% anualiz]:[% anualiz]]),1)*IF(DATOS!BL$4="Sí",1/DATOS_[[% normaliz]:[% normaliz]],1)*(DATOS_[C.Extra.04])))))))),
0)</f>
        <v>0</v>
      </c>
      <c r="AT92" s="104">
        <f t="array" ref="AT92">IFERROR(
(AVERAGE((IF(DATOS_[[Sexo]:[Sexo]]=$B92,IF(DATOS_[[AGRUP. VALOR. PTO.]:[AGRUP. VALOR. PTO.]]=$B90,IF(DATOS_[[Check Periodo Ref.]:[Check Periodo Ref.]]="Dentro",IF(DATOS_[[Check Equiparado]:[Check Equiparado]]="Sí",IF(DATOS!BM$5="Sí",(1/DATOS_[[% anualiz]:[% anualiz]]),1)*IF(DATOS!BM$4="Sí",1/DATOS_[[% normaliz]:[% normaliz]],1)*(DATOS_[C.Extra.05])))))))),
0)</f>
        <v>0</v>
      </c>
      <c r="AU92" s="105">
        <f t="array" ref="AU92">IFERROR(
AVERAGE(IF(DATOS_[Sexo]=$B92,IF(DATOS_[[AGRUP. VALOR. PTO.]:[AGRUP. VALOR. PTO.]]=$B90,IF(DATOS_[Check Equiparado]="Sí",IF(DATOS_[Check Periodo Ref.]="Dentro",DATOS_[Tot Extrasalarial Eq],FALSE))))),
0)</f>
        <v>0</v>
      </c>
      <c r="AV92" s="106">
        <f t="array" ref="AV92">IFERROR(
AVERAGE(IF(DATOS_[Sexo]=$B92,IF(DATOS_[[AGRUP. VALOR. PTO.]:[AGRUP. VALOR. PTO.]]=$B90,IF(DATOS_[Check Equiparado]="Sí",IF(DATOS_[Check Periodo Ref.]="Dentro",DATOS_[TOTAL Retrib Eq],FALSE))))),
0)</f>
        <v>0</v>
      </c>
    </row>
    <row r="93" spans="1:48" ht="17.25" hidden="1" thickBot="1" x14ac:dyDescent="0.35">
      <c r="A93" s="53" t="str">
        <f t="shared" ref="A93" si="107">+A94</f>
        <v>[ocultar]</v>
      </c>
      <c r="B93" s="62" t="s">
        <v>286</v>
      </c>
      <c r="C93" s="99"/>
      <c r="D93" s="63"/>
      <c r="E93" s="63"/>
      <c r="F93" s="63"/>
      <c r="G93" s="63"/>
      <c r="H93" s="63"/>
      <c r="I93" s="129" t="str">
        <f t="shared" ref="I93:AV93" si="108">IFERROR((I94-I95)/I94,"")</f>
        <v/>
      </c>
      <c r="J93" s="130" t="str">
        <f t="shared" si="108"/>
        <v/>
      </c>
      <c r="K93" s="131" t="str">
        <f t="shared" si="108"/>
        <v/>
      </c>
      <c r="L93" s="131" t="str">
        <f t="shared" si="108"/>
        <v/>
      </c>
      <c r="M93" s="131" t="str">
        <f t="shared" si="108"/>
        <v/>
      </c>
      <c r="N93" s="132" t="str">
        <f t="shared" si="108"/>
        <v/>
      </c>
      <c r="O93" s="133" t="str">
        <f t="shared" si="108"/>
        <v/>
      </c>
      <c r="P93" s="133" t="str">
        <f t="shared" si="108"/>
        <v/>
      </c>
      <c r="Q93" s="133" t="str">
        <f t="shared" si="108"/>
        <v/>
      </c>
      <c r="R93" s="133" t="str">
        <f t="shared" si="108"/>
        <v/>
      </c>
      <c r="S93" s="133" t="str">
        <f t="shared" si="108"/>
        <v/>
      </c>
      <c r="T93" s="133" t="str">
        <f t="shared" si="108"/>
        <v/>
      </c>
      <c r="U93" s="133" t="str">
        <f t="shared" si="108"/>
        <v/>
      </c>
      <c r="V93" s="133" t="str">
        <f t="shared" si="108"/>
        <v/>
      </c>
      <c r="W93" s="133" t="str">
        <f t="shared" si="108"/>
        <v/>
      </c>
      <c r="X93" s="133" t="str">
        <f t="shared" si="108"/>
        <v/>
      </c>
      <c r="Y93" s="133" t="str">
        <f t="shared" si="108"/>
        <v/>
      </c>
      <c r="Z93" s="132" t="str">
        <f t="shared" si="108"/>
        <v/>
      </c>
      <c r="AA93" s="132" t="str">
        <f t="shared" si="108"/>
        <v/>
      </c>
      <c r="AB93" s="132" t="str">
        <f t="shared" si="108"/>
        <v/>
      </c>
      <c r="AC93" s="132" t="str">
        <f t="shared" si="108"/>
        <v/>
      </c>
      <c r="AD93" s="132" t="str">
        <f t="shared" si="108"/>
        <v/>
      </c>
      <c r="AE93" s="132" t="str">
        <f t="shared" si="108"/>
        <v/>
      </c>
      <c r="AF93" s="132" t="str">
        <f t="shared" si="108"/>
        <v/>
      </c>
      <c r="AG93" s="132" t="str">
        <f t="shared" si="108"/>
        <v/>
      </c>
      <c r="AH93" s="132" t="str">
        <f t="shared" si="108"/>
        <v/>
      </c>
      <c r="AI93" s="132" t="str">
        <f t="shared" si="108"/>
        <v/>
      </c>
      <c r="AJ93" s="132" t="str">
        <f t="shared" si="108"/>
        <v/>
      </c>
      <c r="AK93" s="132" t="str">
        <f t="shared" si="108"/>
        <v/>
      </c>
      <c r="AL93" s="132" t="str">
        <f t="shared" si="108"/>
        <v/>
      </c>
      <c r="AM93" s="132" t="str">
        <f t="shared" si="108"/>
        <v/>
      </c>
      <c r="AN93" s="134" t="str">
        <f t="shared" si="108"/>
        <v/>
      </c>
      <c r="AO93" s="138" t="str">
        <f t="shared" si="108"/>
        <v/>
      </c>
      <c r="AP93" s="135" t="str">
        <f t="shared" si="108"/>
        <v/>
      </c>
      <c r="AQ93" s="135" t="str">
        <f t="shared" si="108"/>
        <v/>
      </c>
      <c r="AR93" s="135" t="str">
        <f t="shared" si="108"/>
        <v/>
      </c>
      <c r="AS93" s="135" t="str">
        <f t="shared" si="108"/>
        <v/>
      </c>
      <c r="AT93" s="135" t="str">
        <f t="shared" si="108"/>
        <v/>
      </c>
      <c r="AU93" s="136" t="str">
        <f t="shared" si="108"/>
        <v/>
      </c>
      <c r="AV93" s="137" t="str">
        <f t="shared" si="108"/>
        <v/>
      </c>
    </row>
    <row r="94" spans="1:48" hidden="1" x14ac:dyDescent="0.3">
      <c r="A94" s="53" t="str">
        <f t="shared" ref="A94" si="109">+IF(C94+C95=0,"[ocultar]","")</f>
        <v>[ocultar]</v>
      </c>
      <c r="B94" s="57" t="s">
        <v>162</v>
      </c>
      <c r="C94" s="56">
        <f t="array" ref="C94">SUM(IF($B94=DATOS_[Sexo],
IF($B93=DATOS_[AGRUP. VALOR. PTO.],
IF("Dentro"=DATOS_[Check Periodo Ref.],
1/(COUNTIFS(DATOS_[Sexo],$B94,DATOS_[AGRUP. VALOR. PTO.],$B93,DATOS_[Check Periodo Ref.],"Dentro",DATOS_[id],DATOS_[id]))))))</f>
        <v>0</v>
      </c>
      <c r="D94" s="58">
        <f>COUNTIFS(DATOS_[AGRUP. VALOR. PTO.],$B93,DATOS_[Sexo],$B94,DATOS_[Check Periodo Ref.],"Dentro")</f>
        <v>0</v>
      </c>
      <c r="E94" s="58">
        <f>COUNTIFS(DATOS_[AGRUP. VALOR. PTO.],$B93,DATOS_[Sexo],$B94,DATOS_[Check Periodo Ref.],"Dentro",DATOS_[Check Nº SC Norm],"Sí")</f>
        <v>0</v>
      </c>
      <c r="F94" s="58">
        <f>COUNTIFS(DATOS_[AGRUP. VALOR. PTO.],$B93,DATOS_[Sexo],$B94,DATOS_[Check Periodo Ref.],"Dentro",DATOS_[Check Nº SC Anualiz],"Sí")</f>
        <v>0</v>
      </c>
      <c r="G94" s="58">
        <f>COUNTIFS(DATOS_[AGRUP. VALOR. PTO.],$B93,DATOS_[Sexo],$B94,DATOS_[Check Periodo Ref.],"Dentro",DATOS_[Check Nº SC Norm y Anualiz],"Sí")</f>
        <v>0</v>
      </c>
      <c r="H94" s="58">
        <f>COUNTIFS(DATOS_[AGRUP. VALOR. PTO.],$B93,DATOS_[Sexo],$B94,DATOS_[Check Periodo Ref.],"Dentro",DATOS_[Check Equiparación],"Sí")</f>
        <v>0</v>
      </c>
      <c r="I94" s="100">
        <f t="array" ref="I94">IFERROR(
AVERAGE(IF(DATOS_[Sexo]=$B94,IF(DATOS_[[AGRUP. VALOR. PTO.]:[AGRUP. VALOR. PTO.]]=$B93,IF(DATOS_[Check Equiparado]="Sí",IF(DATOS_[Check Periodo Ref.]="Dentro",DATOS_[SALARIO BASE Eq],FALSE))))),
0)</f>
        <v>0</v>
      </c>
      <c r="J94" s="101">
        <f t="array" ref="J94">IFERROR(
(AVERAGE((IF(DATOS_[[Sexo]:[Sexo]]=$B94,IF(DATOS_[[AGRUP. VALOR. PTO.]:[AGRUP. VALOR. PTO.]]=$B93,IF(DATOS_[[Check Periodo Ref.]:[Check Periodo Ref.]]="Dentro",IF(DATOS_[[Check Equiparado]:[Check Equiparado]]="Sí",IF(DATOS!AE$5="Sí",(1/DATOS_[[% anualiz]:[% anualiz]]),1)*IF(DATOS!AE$4="Sí",1/DATOS_[[% normaliz]:[% normaliz]],1)*(DATOS_[Conc.Sal.01])))))))),
0)</f>
        <v>0</v>
      </c>
      <c r="K94" s="101">
        <f t="array" ref="K94">IFERROR(
(AVERAGE((IF(DATOS_[[Sexo]:[Sexo]]=$B94,IF(DATOS_[[AGRUP. VALOR. PTO.]:[AGRUP. VALOR. PTO.]]=$B93,IF(DATOS_[[Check Periodo Ref.]:[Check Periodo Ref.]]="Dentro",IF(DATOS_[[Check Equiparado]:[Check Equiparado]]="Sí",IF(DATOS!AF$5="Sí",(1/DATOS_[[% anualiz]:[% anualiz]]),1)*IF(DATOS!AF$4="Sí",1/DATOS_[[% normaliz]:[% normaliz]],1)*(DATOS_[Conc.Sal.02])))))))),
0)</f>
        <v>0</v>
      </c>
      <c r="L94" s="101">
        <f t="array" ref="L94">IFERROR(
(AVERAGE((IF(DATOS_[[Sexo]:[Sexo]]=$B94,IF(DATOS_[[AGRUP. VALOR. PTO.]:[AGRUP. VALOR. PTO.]]=$B93,IF(DATOS_[[Check Periodo Ref.]:[Check Periodo Ref.]]="Dentro",IF(DATOS_[[Check Equiparado]:[Check Equiparado]]="Sí",IF(DATOS!AG$5="Sí",(1/DATOS_[[% anualiz]:[% anualiz]]),1)*IF(DATOS!AG$4="Sí",1/DATOS_[[% normaliz]:[% normaliz]],1)*(DATOS_[Conc.Sal.03])))))))),
0)</f>
        <v>0</v>
      </c>
      <c r="M94" s="101">
        <f t="array" ref="M94">IFERROR(
(AVERAGE((IF(DATOS_[[Sexo]:[Sexo]]=$B94,IF(DATOS_[[AGRUP. VALOR. PTO.]:[AGRUP. VALOR. PTO.]]=$B93,IF(DATOS_[[Check Periodo Ref.]:[Check Periodo Ref.]]="Dentro",IF(DATOS_[[Check Equiparado]:[Check Equiparado]]="Sí",IF(DATOS!AH$5="Sí",(1/DATOS_[[% anualiz]:[% anualiz]]),1)*IF(DATOS!AH$4="Sí",1/DATOS_[[% normaliz]:[% normaliz]],1)*(DATOS_[Conc.Sal.04])))))))),
0)</f>
        <v>0</v>
      </c>
      <c r="N94" s="101">
        <f t="array" ref="N94">IFERROR(
(AVERAGE((IF(DATOS_[[Sexo]:[Sexo]]=$B94,IF(DATOS_[[AGRUP. VALOR. PTO.]:[AGRUP. VALOR. PTO.]]=$B93,IF(DATOS_[[Check Periodo Ref.]:[Check Periodo Ref.]]="Dentro",IF(DATOS_[[Check Equiparado]:[Check Equiparado]]="Sí",IF(DATOS!AI$5="Sí",(1/DATOS_[[% anualiz]:[% anualiz]]),1)*IF(DATOS!AI$4="Sí",1/DATOS_[[% normaliz]:[% normaliz]],1)*(DATOS_[Conc.Sal.05])))))))),
0)</f>
        <v>0</v>
      </c>
      <c r="O94" s="101">
        <f t="array" ref="O94">IFERROR(
(AVERAGE((IF(DATOS_[[Sexo]:[Sexo]]=$B94,IF(DATOS_[[AGRUP. VALOR. PTO.]:[AGRUP. VALOR. PTO.]]=$B93,IF(DATOS_[[Check Periodo Ref.]:[Check Periodo Ref.]]="Dentro",IF(DATOS_[[Check Equiparado]:[Check Equiparado]]="Sí",IF(DATOS!AJ$5="Sí",(1/DATOS_[[% anualiz]:[% anualiz]]),1)*IF(DATOS!AJ$4="Sí",1/DATOS_[[% normaliz]:[% normaliz]],1)*(DATOS_[Conc.Sal.06])))))))),
0)</f>
        <v>0</v>
      </c>
      <c r="P94" s="101">
        <f t="array" ref="P94">IFERROR(
(AVERAGE((IF(DATOS_[[Sexo]:[Sexo]]=$B94,IF(DATOS_[[AGRUP. VALOR. PTO.]:[AGRUP. VALOR. PTO.]]=$B93,IF(DATOS_[[Check Periodo Ref.]:[Check Periodo Ref.]]="Dentro",IF(DATOS_[[Check Equiparado]:[Check Equiparado]]="Sí",IF(DATOS!AK$5="Sí",(1/DATOS_[[% anualiz]:[% anualiz]]),1)*IF(DATOS!AK$4="Sí",1/DATOS_[[% normaliz]:[% normaliz]],1)*(DATOS_[Conc.Sal.07])))))))),
0)</f>
        <v>0</v>
      </c>
      <c r="Q94" s="101">
        <f t="array" ref="Q94">IFERROR(
(AVERAGE((IF(DATOS_[[Sexo]:[Sexo]]=$B94,IF(DATOS_[[AGRUP. VALOR. PTO.]:[AGRUP. VALOR. PTO.]]=$B93,IF(DATOS_[[Check Periodo Ref.]:[Check Periodo Ref.]]="Dentro",IF(DATOS_[[Check Equiparado]:[Check Equiparado]]="Sí",IF(DATOS!AL$5="Sí",(1/DATOS_[[% anualiz]:[% anualiz]]),1)*IF(DATOS!AL$4="Sí",1/DATOS_[[% normaliz]:[% normaliz]],1)*(DATOS_[Conc.Sal.08])))))))),
0)</f>
        <v>0</v>
      </c>
      <c r="R94" s="101">
        <f t="array" ref="R94">IFERROR(
(AVERAGE((IF(DATOS_[[Sexo]:[Sexo]]=$B94,IF(DATOS_[[AGRUP. VALOR. PTO.]:[AGRUP. VALOR. PTO.]]=$B93,IF(DATOS_[[Check Periodo Ref.]:[Check Periodo Ref.]]="Dentro",IF(DATOS_[[Check Equiparado]:[Check Equiparado]]="Sí",IF(DATOS!AM$5="Sí",(1/DATOS_[[% anualiz]:[% anualiz]]),1)*IF(DATOS!AM$4="Sí",1/DATOS_[[% normaliz]:[% normaliz]],1)*(DATOS_[Conc.Sal.09])))))))),
0)</f>
        <v>0</v>
      </c>
      <c r="S94" s="101">
        <f t="array" ref="S94">IFERROR(
(AVERAGE((IF(DATOS_[[Sexo]:[Sexo]]=$B94,IF(DATOS_[[AGRUP. VALOR. PTO.]:[AGRUP. VALOR. PTO.]]=$B93,IF(DATOS_[[Check Periodo Ref.]:[Check Periodo Ref.]]="Dentro",IF(DATOS_[[Check Equiparado]:[Check Equiparado]]="Sí",IF(DATOS!AN$5="Sí",(1/DATOS_[[% anualiz]:[% anualiz]]),1)*IF(DATOS!AN$4="Sí",1/DATOS_[[% normaliz]:[% normaliz]],1)*(DATOS_[Conc.Sal.10])))))))),
0)</f>
        <v>0</v>
      </c>
      <c r="T94" s="101">
        <f t="array" ref="T94">IFERROR(
(AVERAGE((IF(DATOS_[[Sexo]:[Sexo]]=$B94,IF(DATOS_[[AGRUP. VALOR. PTO.]:[AGRUP. VALOR. PTO.]]=$B93,IF(DATOS_[[Check Periodo Ref.]:[Check Periodo Ref.]]="Dentro",IF(DATOS_[[Check Equiparado]:[Check Equiparado]]="Sí",IF(DATOS!AO$5="Sí",(1/DATOS_[[% anualiz]:[% anualiz]]),1)*IF(DATOS!AO$4="Sí",1/DATOS_[[% normaliz]:[% normaliz]],1)*(DATOS_[Conc.Sal.11])))))))),
0)</f>
        <v>0</v>
      </c>
      <c r="U94" s="101">
        <f t="array" ref="U94">IFERROR(
(AVERAGE((IF(DATOS_[[Sexo]:[Sexo]]=$B94,IF(DATOS_[[AGRUP. VALOR. PTO.]:[AGRUP. VALOR. PTO.]]=$B93,IF(DATOS_[[Check Periodo Ref.]:[Check Periodo Ref.]]="Dentro",IF(DATOS_[[Check Equiparado]:[Check Equiparado]]="Sí",IF(DATOS!AP$5="Sí",(1/DATOS_[[% anualiz]:[% anualiz]]),1)*IF(DATOS!AP$4="Sí",1/DATOS_[[% normaliz]:[% normaliz]],1)*(DATOS_[Conc.Sal.12])))))))),
0)</f>
        <v>0</v>
      </c>
      <c r="V94" s="101">
        <f t="array" ref="V94">IFERROR(
(AVERAGE((IF(DATOS_[[Sexo]:[Sexo]]=$B94,IF(DATOS_[[AGRUP. VALOR. PTO.]:[AGRUP. VALOR. PTO.]]=$B93,IF(DATOS_[[Check Periodo Ref.]:[Check Periodo Ref.]]="Dentro",IF(DATOS_[[Check Equiparado]:[Check Equiparado]]="Sí",IF(DATOS!AQ$5="Sí",(1/DATOS_[[% anualiz]:[% anualiz]]),1)*IF(DATOS!AQ$4="Sí",1/DATOS_[[% normaliz]:[% normaliz]],1)*(DATOS_[Conc.Sal.13])))))))),
0)</f>
        <v>0</v>
      </c>
      <c r="W94" s="101">
        <f t="array" ref="W94">IFERROR(
(AVERAGE((IF(DATOS_[[Sexo]:[Sexo]]=$B94,IF(DATOS_[[AGRUP. VALOR. PTO.]:[AGRUP. VALOR. PTO.]]=$B93,IF(DATOS_[[Check Periodo Ref.]:[Check Periodo Ref.]]="Dentro",IF(DATOS_[[Check Equiparado]:[Check Equiparado]]="Sí",IF(DATOS!AR$5="Sí",(1/DATOS_[[% anualiz]:[% anualiz]]),1)*IF(DATOS!AR$4="Sí",1/DATOS_[[% normaliz]:[% normaliz]],1)*(DATOS_[Conc.Sal.14])))))))),
0)</f>
        <v>0</v>
      </c>
      <c r="X94" s="101">
        <f t="array" ref="X94">IFERROR(
(AVERAGE((IF(DATOS_[[Sexo]:[Sexo]]=$B94,IF(DATOS_[[AGRUP. VALOR. PTO.]:[AGRUP. VALOR. PTO.]]=$B93,IF(DATOS_[[Check Periodo Ref.]:[Check Periodo Ref.]]="Dentro",IF(DATOS_[[Check Equiparado]:[Check Equiparado]]="Sí",IF(DATOS!AS$5="Sí",(1/DATOS_[[% anualiz]:[% anualiz]]),1)*IF(DATOS!AS$4="Sí",1/DATOS_[[% normaliz]:[% normaliz]],1)*(DATOS_[Conc.Sal.15])))))))),
0)</f>
        <v>0</v>
      </c>
      <c r="Y94" s="101">
        <f t="array" ref="Y94">IFERROR(
(AVERAGE((IF(DATOS_[[Sexo]:[Sexo]]=$B94,IF(DATOS_[[AGRUP. VALOR. PTO.]:[AGRUP. VALOR. PTO.]]=$B93,IF(DATOS_[[Check Periodo Ref.]:[Check Periodo Ref.]]="Dentro",IF(DATOS_[[Check Equiparado]:[Check Equiparado]]="Sí",IF(DATOS!AT$5="Sí",(1/DATOS_[[% anualiz]:[% anualiz]]),1)*IF(DATOS!AT$4="Sí",1/DATOS_[[% normaliz]:[% normaliz]],1)*(DATOS_[Conc.Sal.16])))))))),
0)</f>
        <v>0</v>
      </c>
      <c r="Z94" s="101">
        <f t="array" ref="Z94">IFERROR(
(AVERAGE((IF(DATOS_[[Sexo]:[Sexo]]=$B94,IF(DATOS_[[AGRUP. VALOR. PTO.]:[AGRUP. VALOR. PTO.]]=$B93,IF(DATOS_[[Check Periodo Ref.]:[Check Periodo Ref.]]="Dentro",IF(DATOS_[[Check Equiparado]:[Check Equiparado]]="Sí",IF(DATOS!AU$5="Sí",(1/DATOS_[[% anualiz]:[% anualiz]]),1)*IF(DATOS!AU$4="Sí",1/DATOS_[[% normaliz]:[% normaliz]],1)*(DATOS_[Conc.Sal.17])))))))),
0)</f>
        <v>0</v>
      </c>
      <c r="AA94" s="101">
        <f t="array" ref="AA94">IFERROR(
(AVERAGE((IF(DATOS_[[Sexo]:[Sexo]]=$B94,IF(DATOS_[[AGRUP. VALOR. PTO.]:[AGRUP. VALOR. PTO.]]=$B93,IF(DATOS_[[Check Periodo Ref.]:[Check Periodo Ref.]]="Dentro",IF(DATOS_[[Check Equiparado]:[Check Equiparado]]="Sí",IF(DATOS!AV$5="Sí",(1/DATOS_[[% anualiz]:[% anualiz]]),1)*IF(DATOS!AV$4="Sí",1/DATOS_[[% normaliz]:[% normaliz]],1)*(DATOS_[Conc.Sal.18])))))))),
0)</f>
        <v>0</v>
      </c>
      <c r="AB94" s="101">
        <f t="array" ref="AB94">IFERROR(
(AVERAGE((IF(DATOS_[[Sexo]:[Sexo]]=$B94,IF(DATOS_[[AGRUP. VALOR. PTO.]:[AGRUP. VALOR. PTO.]]=$B93,IF(DATOS_[[Check Periodo Ref.]:[Check Periodo Ref.]]="Dentro",IF(DATOS_[[Check Equiparado]:[Check Equiparado]]="Sí",IF(DATOS!AW$5="Sí",(1/DATOS_[[% anualiz]:[% anualiz]]),1)*IF(DATOS!AW$4="Sí",1/DATOS_[[% normaliz]:[% normaliz]],1)*(DATOS_[Conc.Sal.19])))))))),
0)</f>
        <v>0</v>
      </c>
      <c r="AC94" s="101">
        <f t="array" ref="AC94">IFERROR(
(AVERAGE((IF(DATOS_[[Sexo]:[Sexo]]=$B94,IF(DATOS_[[AGRUP. VALOR. PTO.]:[AGRUP. VALOR. PTO.]]=$B93,IF(DATOS_[[Check Periodo Ref.]:[Check Periodo Ref.]]="Dentro",IF(DATOS_[[Check Equiparado]:[Check Equiparado]]="Sí",IF(DATOS!AX$5="Sí",(1/DATOS_[[% anualiz]:[% anualiz]]),1)*IF(DATOS!AX$4="Sí",1/DATOS_[[% normaliz]:[% normaliz]],1)*(DATOS_[Conc.Sal.20])))))))),
0)</f>
        <v>0</v>
      </c>
      <c r="AD94" s="101">
        <f t="array" ref="AD94">IFERROR(
(AVERAGE((IF(DATOS_[[Sexo]:[Sexo]]=$B94,IF(DATOS_[[AGRUP. VALOR. PTO.]:[AGRUP. VALOR. PTO.]]=$B93,IF(DATOS_[[Check Periodo Ref.]:[Check Periodo Ref.]]="Dentro",IF(DATOS_[[Check Equiparado]:[Check Equiparado]]="Sí",IF(DATOS!AY$5="Sí",(1/DATOS_[[% anualiz]:[% anualiz]]),1)*IF(DATOS!AY$4="Sí",1/DATOS_[[% normaliz]:[% normaliz]],1)*(DATOS_[Conc.Sal.21])))))))),
0)</f>
        <v>0</v>
      </c>
      <c r="AE94" s="101">
        <f t="array" ref="AE94">IFERROR(
(AVERAGE((IF(DATOS_[[Sexo]:[Sexo]]=$B94,IF(DATOS_[[AGRUP. VALOR. PTO.]:[AGRUP. VALOR. PTO.]]=$B93,IF(DATOS_[[Check Periodo Ref.]:[Check Periodo Ref.]]="Dentro",IF(DATOS_[[Check Equiparado]:[Check Equiparado]]="Sí",IF(DATOS!AZ$5="Sí",(1/DATOS_[[% anualiz]:[% anualiz]]),1)*IF(DATOS!AZ$4="Sí",1/DATOS_[[% normaliz]:[% normaliz]],1)*(DATOS_[Conc.Sal.22])))))))),
0)</f>
        <v>0</v>
      </c>
      <c r="AF94" s="101">
        <f t="array" ref="AF94">IFERROR(
(AVERAGE((IF(DATOS_[[Sexo]:[Sexo]]=$B94,IF(DATOS_[[AGRUP. VALOR. PTO.]:[AGRUP. VALOR. PTO.]]=$B93,IF(DATOS_[[Check Periodo Ref.]:[Check Periodo Ref.]]="Dentro",IF(DATOS_[[Check Equiparado]:[Check Equiparado]]="Sí",IF(DATOS!BA$5="Sí",(1/DATOS_[[% anualiz]:[% anualiz]]),1)*IF(DATOS!BA$4="Sí",1/DATOS_[[% normaliz]:[% normaliz]],1)*(DATOS_[Conc.Sal.23])))))))),
0)</f>
        <v>0</v>
      </c>
      <c r="AG94" s="101">
        <f t="array" ref="AG94">IFERROR(
(AVERAGE((IF(DATOS_[[Sexo]:[Sexo]]=$B94,IF(DATOS_[[AGRUP. VALOR. PTO.]:[AGRUP. VALOR. PTO.]]=$B93,IF(DATOS_[[Check Periodo Ref.]:[Check Periodo Ref.]]="Dentro",IF(DATOS_[[Check Equiparado]:[Check Equiparado]]="Sí",IF(DATOS!BB$5="Sí",(1/DATOS_[[% anualiz]:[% anualiz]]),1)*IF(DATOS!BB$4="Sí",1/DATOS_[[% normaliz]:[% normaliz]],1)*(DATOS_[Conc.Sal.24])))))))),
0)</f>
        <v>0</v>
      </c>
      <c r="AH94" s="101">
        <f t="array" ref="AH94">IFERROR(
(AVERAGE((IF(DATOS_[[Sexo]:[Sexo]]=$B94,IF(DATOS_[[AGRUP. VALOR. PTO.]:[AGRUP. VALOR. PTO.]]=$B93,IF(DATOS_[[Check Periodo Ref.]:[Check Periodo Ref.]]="Dentro",IF(DATOS_[[Check Equiparado]:[Check Equiparado]]="Sí",IF(DATOS!BC$5="Sí",(1/DATOS_[[% anualiz]:[% anualiz]]),1)*IF(DATOS!BC$4="Sí",1/DATOS_[[% normaliz]:[% normaliz]],1)*(DATOS_[Conc.Sal.25])))))))),
0)</f>
        <v>0</v>
      </c>
      <c r="AI94" s="101">
        <f t="array" ref="AI94">IFERROR(
(AVERAGE((IF(DATOS_[[Sexo]:[Sexo]]=$B94,IF(DATOS_[[AGRUP. VALOR. PTO.]:[AGRUP. VALOR. PTO.]]=$B93,IF(DATOS_[[Check Periodo Ref.]:[Check Periodo Ref.]]="Dentro",IF(DATOS_[[Check Equiparado]:[Check Equiparado]]="Sí",IF(DATOS!BD$5="Sí",(1/DATOS_[[% anualiz]:[% anualiz]]),1)*IF(DATOS!BD$4="Sí",1/DATOS_[[% normaliz]:[% normaliz]],1)*(DATOS_[Conc.Sal.26])))))))),
0)</f>
        <v>0</v>
      </c>
      <c r="AJ94" s="101">
        <f t="array" ref="AJ94">IFERROR(
(AVERAGE((IF(DATOS_[[Sexo]:[Sexo]]=$B94,IF(DATOS_[[AGRUP. VALOR. PTO.]:[AGRUP. VALOR. PTO.]]=$B93,IF(DATOS_[[Check Periodo Ref.]:[Check Periodo Ref.]]="Dentro",IF(DATOS_[[Check Equiparado]:[Check Equiparado]]="Sí",IF(DATOS!BE$5="Sí",(1/DATOS_[[% anualiz]:[% anualiz]]),1)*IF(DATOS!BE$4="Sí",1/DATOS_[[% normaliz]:[% normaliz]],1)*(DATOS_[Conc.Sal.27])))))))),
0)</f>
        <v>0</v>
      </c>
      <c r="AK94" s="101">
        <f t="array" ref="AK94">IFERROR(
(AVERAGE((IF(DATOS_[[Sexo]:[Sexo]]=$B94,IF(DATOS_[[AGRUP. VALOR. PTO.]:[AGRUP. VALOR. PTO.]]=$B93,IF(DATOS_[[Check Periodo Ref.]:[Check Periodo Ref.]]="Dentro",IF(DATOS_[[Check Equiparado]:[Check Equiparado]]="Sí",IF(DATOS!BF$5="Sí",(1/DATOS_[[% anualiz]:[% anualiz]]),1)*IF(DATOS!BF$4="Sí",1/DATOS_[[% normaliz]:[% normaliz]],1)*(DATOS_[Conc.Sal.28])))))))),
0)</f>
        <v>0</v>
      </c>
      <c r="AL94" s="101">
        <f t="array" ref="AL94">IFERROR(
(AVERAGE((IF(DATOS_[[Sexo]:[Sexo]]=$B94,IF(DATOS_[[AGRUP. VALOR. PTO.]:[AGRUP. VALOR. PTO.]]=$B93,IF(DATOS_[[Check Periodo Ref.]:[Check Periodo Ref.]]="Dentro",IF(DATOS_[[Check Equiparado]:[Check Equiparado]]="Sí",IF(DATOS!BG$5="Sí",(1/DATOS_[[% anualiz]:[% anualiz]]),1)*IF(DATOS!BG$4="Sí",1/DATOS_[[% normaliz]:[% normaliz]],1)*(DATOS_[Conc.Sal.29])))))))),
0)</f>
        <v>0</v>
      </c>
      <c r="AM94" s="101">
        <f t="array" ref="AM94">IFERROR(
(AVERAGE((IF(DATOS_[[Sexo]:[Sexo]]=$B94,IF(DATOS_[[AGRUP. VALOR. PTO.]:[AGRUP. VALOR. PTO.]]=$B93,IF(DATOS_[[Check Periodo Ref.]:[Check Periodo Ref.]]="Dentro",IF(DATOS_[[Check Equiparado]:[Check Equiparado]]="Sí",IF(DATOS!BH$5="Sí",(1/DATOS_[[% anualiz]:[% anualiz]]),1)*IF(DATOS!BH$4="Sí",1/DATOS_[[% normaliz]:[% normaliz]],1)*(DATOS_[Conc.Sal.30])))))))),
0)</f>
        <v>0</v>
      </c>
      <c r="AN94" s="102">
        <f t="array" ref="AN94">IFERROR(
AVERAGE(IF(DATOS_[Sexo]=$B94,IF(DATOS_[[AGRUP. VALOR. PTO.]:[AGRUP. VALOR. PTO.]]=$B93,IF(DATOS_[Check Equiparado]="Sí",IF(DATOS_[Check Periodo Ref.]="Dentro",DATOS_[Tot COMPL.SAL Eq],FALSE))))),
0)</f>
        <v>0</v>
      </c>
      <c r="AO94" s="103">
        <f t="array" ref="AO94">IFERROR(
AVERAGE(IF(DATOS_[Sexo]=$B94,IF(DATOS_[[AGRUP. VALOR. PTO.]:[AGRUP. VALOR. PTO.]]=$B93,IF(DATOS_[Check Equiparado]="Sí",IF(DATOS_[Check Periodo Ref.]="Dentro",DATOS_[TOTAL SALARIO Eq],FALSE))))),
0)</f>
        <v>0</v>
      </c>
      <c r="AP94" s="104">
        <f t="array" ref="AP94">IFERROR(
(AVERAGE((IF(DATOS_[[Sexo]:[Sexo]]=$B94,IF(DATOS_[[AGRUP. VALOR. PTO.]:[AGRUP. VALOR. PTO.]]=$B93,IF(DATOS_[[Check Periodo Ref.]:[Check Periodo Ref.]]="Dentro",IF(DATOS_[[Check Equiparado]:[Check Equiparado]]="Sí",IF(DATOS!BI$5="Sí",(1/DATOS_[[% anualiz]:[% anualiz]]),1)*IF(DATOS!BI$4="Sí",1/DATOS_[[% normaliz]:[% normaliz]],1)*(DATOS_[C.Extra.01])))))))),
0)</f>
        <v>0</v>
      </c>
      <c r="AQ94" s="104">
        <f t="array" ref="AQ94">IFERROR(
(AVERAGE((IF(DATOS_[[Sexo]:[Sexo]]=$B94,IF(DATOS_[[AGRUP. VALOR. PTO.]:[AGRUP. VALOR. PTO.]]=$B93,IF(DATOS_[[Check Periodo Ref.]:[Check Periodo Ref.]]="Dentro",IF(DATOS_[[Check Equiparado]:[Check Equiparado]]="Sí",IF(DATOS!BJ$5="Sí",(1/DATOS_[[% anualiz]:[% anualiz]]),1)*IF(DATOS!BJ$4="Sí",1/DATOS_[[% normaliz]:[% normaliz]],1)*(DATOS_[C.Extra.02])))))))),
0)</f>
        <v>0</v>
      </c>
      <c r="AR94" s="104">
        <f t="array" ref="AR94">IFERROR(
(AVERAGE((IF(DATOS_[[Sexo]:[Sexo]]=$B94,IF(DATOS_[[AGRUP. VALOR. PTO.]:[AGRUP. VALOR. PTO.]]=$B93,IF(DATOS_[[Check Periodo Ref.]:[Check Periodo Ref.]]="Dentro",IF(DATOS_[[Check Equiparado]:[Check Equiparado]]="Sí",IF(DATOS!BK$5="Sí",(1/DATOS_[[% anualiz]:[% anualiz]]),1)*IF(DATOS!BK$4="Sí",1/DATOS_[[% normaliz]:[% normaliz]],1)*(DATOS_[C.Extra.03])))))))),
0)</f>
        <v>0</v>
      </c>
      <c r="AS94" s="104">
        <f t="array" ref="AS94">IFERROR(
(AVERAGE((IF(DATOS_[[Sexo]:[Sexo]]=$B94,IF(DATOS_[[AGRUP. VALOR. PTO.]:[AGRUP. VALOR. PTO.]]=$B93,IF(DATOS_[[Check Periodo Ref.]:[Check Periodo Ref.]]="Dentro",IF(DATOS_[[Check Equiparado]:[Check Equiparado]]="Sí",IF(DATOS!BL$5="Sí",(1/DATOS_[[% anualiz]:[% anualiz]]),1)*IF(DATOS!BL$4="Sí",1/DATOS_[[% normaliz]:[% normaliz]],1)*(DATOS_[C.Extra.04])))))))),
0)</f>
        <v>0</v>
      </c>
      <c r="AT94" s="104">
        <f t="array" ref="AT94">IFERROR(
(AVERAGE((IF(DATOS_[[Sexo]:[Sexo]]=$B94,IF(DATOS_[[AGRUP. VALOR. PTO.]:[AGRUP. VALOR. PTO.]]=$B93,IF(DATOS_[[Check Periodo Ref.]:[Check Periodo Ref.]]="Dentro",IF(DATOS_[[Check Equiparado]:[Check Equiparado]]="Sí",IF(DATOS!BM$5="Sí",(1/DATOS_[[% anualiz]:[% anualiz]]),1)*IF(DATOS!BM$4="Sí",1/DATOS_[[% normaliz]:[% normaliz]],1)*(DATOS_[C.Extra.05])))))))),
0)</f>
        <v>0</v>
      </c>
      <c r="AU94" s="105">
        <f t="array" ref="AU94">IFERROR(
AVERAGE(IF(DATOS_[Sexo]=$B94,IF(DATOS_[[AGRUP. VALOR. PTO.]:[AGRUP. VALOR. PTO.]]=$B93,IF(DATOS_[Check Equiparado]="Sí",IF(DATOS_[Check Periodo Ref.]="Dentro",DATOS_[Tot Extrasalarial Eq],FALSE))))),
0)</f>
        <v>0</v>
      </c>
      <c r="AV94" s="106">
        <f t="array" ref="AV94">IFERROR(
AVERAGE(IF(DATOS_[Sexo]=$B94,IF(DATOS_[[AGRUP. VALOR. PTO.]:[AGRUP. VALOR. PTO.]]=$B93,IF(DATOS_[Check Equiparado]="Sí",IF(DATOS_[Check Periodo Ref.]="Dentro",DATOS_[TOTAL Retrib Eq],FALSE))))),
0)</f>
        <v>0</v>
      </c>
    </row>
    <row r="95" spans="1:48" hidden="1" x14ac:dyDescent="0.3">
      <c r="A95" s="53" t="str">
        <f t="shared" ref="A95" si="110">+A94</f>
        <v>[ocultar]</v>
      </c>
      <c r="B95" s="57" t="s">
        <v>163</v>
      </c>
      <c r="C95" s="56">
        <f t="array" ref="C95">SUM(IF($B95=DATOS_[Sexo],
IF($B93=DATOS_[AGRUP. VALOR. PTO.],
IF("Dentro"=DATOS_[Check Periodo Ref.],
1/(COUNTIFS(DATOS_[Sexo],$B95,DATOS_[AGRUP. VALOR. PTO.],$B93,DATOS_[Check Periodo Ref.],"Dentro",DATOS_[id],DATOS_[id]))))))</f>
        <v>0</v>
      </c>
      <c r="D95" s="58">
        <f>COUNTIFS(DATOS_[AGRUP. VALOR. PTO.],$B93,DATOS_[Sexo],$B95,DATOS_[Check Periodo Ref.],"Dentro")</f>
        <v>0</v>
      </c>
      <c r="E95" s="58">
        <f>COUNTIFS(DATOS_[AGRUP. VALOR. PTO.],$B93,DATOS_[Sexo],$B95,DATOS_[Check Periodo Ref.],"Dentro",DATOS_[Check Nº SC Norm],"Sí")</f>
        <v>0</v>
      </c>
      <c r="F95" s="58">
        <f>COUNTIFS(DATOS_[AGRUP. VALOR. PTO.],$B93,DATOS_[Sexo],$B95,DATOS_[Check Periodo Ref.],"Dentro",DATOS_[Check Nº SC Anualiz],"Sí")</f>
        <v>0</v>
      </c>
      <c r="G95" s="58">
        <f>COUNTIFS(DATOS_[AGRUP. VALOR. PTO.],$B93,DATOS_[Sexo],$B95,DATOS_[Check Periodo Ref.],"Dentro",DATOS_[Check Nº SC Norm y Anualiz],"Sí")</f>
        <v>0</v>
      </c>
      <c r="H95" s="58">
        <f>COUNTIFS(DATOS_[AGRUP. VALOR. PTO.],$B93,DATOS_[Sexo],$B95,DATOS_[Check Periodo Ref.],"Dentro",DATOS_[Check Equiparación],"Sí")</f>
        <v>0</v>
      </c>
      <c r="I95" s="100" cm="1">
        <f t="array" ref="I95">IFERROR(
AVERAGE(IF(DATOS_[Sexo]=$B95,IF(DATOS_[[AGRUP. VALOR. PTO.]:[AGRUP. VALOR. PTO.]]=$B93,IF(DATOS_[Check Equiparado]="Sí",IF(DATOS_[Check Periodo Ref.]="Dentro",DATOS_[SALARIO BASE Eq],FALSE))))),
0)</f>
        <v>0</v>
      </c>
      <c r="J95" s="101">
        <f t="array" ref="J95">IFERROR(
(AVERAGE((IF(DATOS_[[Sexo]:[Sexo]]=$B95,IF(DATOS_[[AGRUP. VALOR. PTO.]:[AGRUP. VALOR. PTO.]]=$B93,IF(DATOS_[[Check Periodo Ref.]:[Check Periodo Ref.]]="Dentro",IF(DATOS_[[Check Equiparado]:[Check Equiparado]]="Sí",IF(DATOS!AE$5="Sí",(1/DATOS_[[% anualiz]:[% anualiz]]),1)*IF(DATOS!AE$4="Sí",1/DATOS_[[% normaliz]:[% normaliz]],1)*(DATOS_[Conc.Sal.01])))))))),
0)</f>
        <v>0</v>
      </c>
      <c r="K95" s="101">
        <f t="array" ref="K95">IFERROR(
(AVERAGE((IF(DATOS_[[Sexo]:[Sexo]]=$B95,IF(DATOS_[[AGRUP. VALOR. PTO.]:[AGRUP. VALOR. PTO.]]=$B93,IF(DATOS_[[Check Periodo Ref.]:[Check Periodo Ref.]]="Dentro",IF(DATOS_[[Check Equiparado]:[Check Equiparado]]="Sí",IF(DATOS!AF$5="Sí",(1/DATOS_[[% anualiz]:[% anualiz]]),1)*IF(DATOS!AF$4="Sí",1/DATOS_[[% normaliz]:[% normaliz]],1)*(DATOS_[Conc.Sal.02])))))))),
0)</f>
        <v>0</v>
      </c>
      <c r="L95" s="101">
        <f t="array" ref="L95">IFERROR(
(AVERAGE((IF(DATOS_[[Sexo]:[Sexo]]=$B95,IF(DATOS_[[AGRUP. VALOR. PTO.]:[AGRUP. VALOR. PTO.]]=$B93,IF(DATOS_[[Check Periodo Ref.]:[Check Periodo Ref.]]="Dentro",IF(DATOS_[[Check Equiparado]:[Check Equiparado]]="Sí",IF(DATOS!AG$5="Sí",(1/DATOS_[[% anualiz]:[% anualiz]]),1)*IF(DATOS!AG$4="Sí",1/DATOS_[[% normaliz]:[% normaliz]],1)*(DATOS_[Conc.Sal.03])))))))),
0)</f>
        <v>0</v>
      </c>
      <c r="M95" s="101">
        <f t="array" ref="M95">IFERROR(
(AVERAGE((IF(DATOS_[[Sexo]:[Sexo]]=$B95,IF(DATOS_[[AGRUP. VALOR. PTO.]:[AGRUP. VALOR. PTO.]]=$B93,IF(DATOS_[[Check Periodo Ref.]:[Check Periodo Ref.]]="Dentro",IF(DATOS_[[Check Equiparado]:[Check Equiparado]]="Sí",IF(DATOS!AH$5="Sí",(1/DATOS_[[% anualiz]:[% anualiz]]),1)*IF(DATOS!AH$4="Sí",1/DATOS_[[% normaliz]:[% normaliz]],1)*(DATOS_[Conc.Sal.04])))))))),
0)</f>
        <v>0</v>
      </c>
      <c r="N95" s="101">
        <f t="array" ref="N95">IFERROR(
(AVERAGE((IF(DATOS_[[Sexo]:[Sexo]]=$B95,IF(DATOS_[[AGRUP. VALOR. PTO.]:[AGRUP. VALOR. PTO.]]=$B93,IF(DATOS_[[Check Periodo Ref.]:[Check Periodo Ref.]]="Dentro",IF(DATOS_[[Check Equiparado]:[Check Equiparado]]="Sí",IF(DATOS!AI$5="Sí",(1/DATOS_[[% anualiz]:[% anualiz]]),1)*IF(DATOS!AI$4="Sí",1/DATOS_[[% normaliz]:[% normaliz]],1)*(DATOS_[Conc.Sal.05])))))))),
0)</f>
        <v>0</v>
      </c>
      <c r="O95" s="101">
        <f t="array" ref="O95">IFERROR(
(AVERAGE((IF(DATOS_[[Sexo]:[Sexo]]=$B95,IF(DATOS_[[AGRUP. VALOR. PTO.]:[AGRUP. VALOR. PTO.]]=$B93,IF(DATOS_[[Check Periodo Ref.]:[Check Periodo Ref.]]="Dentro",IF(DATOS_[[Check Equiparado]:[Check Equiparado]]="Sí",IF(DATOS!AJ$5="Sí",(1/DATOS_[[% anualiz]:[% anualiz]]),1)*IF(DATOS!AJ$4="Sí",1/DATOS_[[% normaliz]:[% normaliz]],1)*(DATOS_[Conc.Sal.06])))))))),
0)</f>
        <v>0</v>
      </c>
      <c r="P95" s="101">
        <f t="array" ref="P95">IFERROR(
(AVERAGE((IF(DATOS_[[Sexo]:[Sexo]]=$B95,IF(DATOS_[[AGRUP. VALOR. PTO.]:[AGRUP. VALOR. PTO.]]=$B93,IF(DATOS_[[Check Periodo Ref.]:[Check Periodo Ref.]]="Dentro",IF(DATOS_[[Check Equiparado]:[Check Equiparado]]="Sí",IF(DATOS!AK$5="Sí",(1/DATOS_[[% anualiz]:[% anualiz]]),1)*IF(DATOS!AK$4="Sí",1/DATOS_[[% normaliz]:[% normaliz]],1)*(DATOS_[Conc.Sal.07])))))))),
0)</f>
        <v>0</v>
      </c>
      <c r="Q95" s="101">
        <f t="array" ref="Q95">IFERROR(
(AVERAGE((IF(DATOS_[[Sexo]:[Sexo]]=$B95,IF(DATOS_[[AGRUP. VALOR. PTO.]:[AGRUP. VALOR. PTO.]]=$B93,IF(DATOS_[[Check Periodo Ref.]:[Check Periodo Ref.]]="Dentro",IF(DATOS_[[Check Equiparado]:[Check Equiparado]]="Sí",IF(DATOS!AL$5="Sí",(1/DATOS_[[% anualiz]:[% anualiz]]),1)*IF(DATOS!AL$4="Sí",1/DATOS_[[% normaliz]:[% normaliz]],1)*(DATOS_[Conc.Sal.08])))))))),
0)</f>
        <v>0</v>
      </c>
      <c r="R95" s="101">
        <f t="array" ref="R95">IFERROR(
(AVERAGE((IF(DATOS_[[Sexo]:[Sexo]]=$B95,IF(DATOS_[[AGRUP. VALOR. PTO.]:[AGRUP. VALOR. PTO.]]=$B93,IF(DATOS_[[Check Periodo Ref.]:[Check Periodo Ref.]]="Dentro",IF(DATOS_[[Check Equiparado]:[Check Equiparado]]="Sí",IF(DATOS!AM$5="Sí",(1/DATOS_[[% anualiz]:[% anualiz]]),1)*IF(DATOS!AM$4="Sí",1/DATOS_[[% normaliz]:[% normaliz]],1)*(DATOS_[Conc.Sal.09])))))))),
0)</f>
        <v>0</v>
      </c>
      <c r="S95" s="101">
        <f t="array" ref="S95">IFERROR(
(AVERAGE((IF(DATOS_[[Sexo]:[Sexo]]=$B95,IF(DATOS_[[AGRUP. VALOR. PTO.]:[AGRUP. VALOR. PTO.]]=$B93,IF(DATOS_[[Check Periodo Ref.]:[Check Periodo Ref.]]="Dentro",IF(DATOS_[[Check Equiparado]:[Check Equiparado]]="Sí",IF(DATOS!AN$5="Sí",(1/DATOS_[[% anualiz]:[% anualiz]]),1)*IF(DATOS!AN$4="Sí",1/DATOS_[[% normaliz]:[% normaliz]],1)*(DATOS_[Conc.Sal.10])))))))),
0)</f>
        <v>0</v>
      </c>
      <c r="T95" s="101">
        <f t="array" ref="T95">IFERROR(
(AVERAGE((IF(DATOS_[[Sexo]:[Sexo]]=$B95,IF(DATOS_[[AGRUP. VALOR. PTO.]:[AGRUP. VALOR. PTO.]]=$B93,IF(DATOS_[[Check Periodo Ref.]:[Check Periodo Ref.]]="Dentro",IF(DATOS_[[Check Equiparado]:[Check Equiparado]]="Sí",IF(DATOS!AO$5="Sí",(1/DATOS_[[% anualiz]:[% anualiz]]),1)*IF(DATOS!AO$4="Sí",1/DATOS_[[% normaliz]:[% normaliz]],1)*(DATOS_[Conc.Sal.11])))))))),
0)</f>
        <v>0</v>
      </c>
      <c r="U95" s="101">
        <f t="array" ref="U95">IFERROR(
(AVERAGE((IF(DATOS_[[Sexo]:[Sexo]]=$B95,IF(DATOS_[[AGRUP. VALOR. PTO.]:[AGRUP. VALOR. PTO.]]=$B93,IF(DATOS_[[Check Periodo Ref.]:[Check Periodo Ref.]]="Dentro",IF(DATOS_[[Check Equiparado]:[Check Equiparado]]="Sí",IF(DATOS!AP$5="Sí",(1/DATOS_[[% anualiz]:[% anualiz]]),1)*IF(DATOS!AP$4="Sí",1/DATOS_[[% normaliz]:[% normaliz]],1)*(DATOS_[Conc.Sal.12])))))))),
0)</f>
        <v>0</v>
      </c>
      <c r="V95" s="101">
        <f t="array" ref="V95">IFERROR(
(AVERAGE((IF(DATOS_[[Sexo]:[Sexo]]=$B95,IF(DATOS_[[AGRUP. VALOR. PTO.]:[AGRUP. VALOR. PTO.]]=$B93,IF(DATOS_[[Check Periodo Ref.]:[Check Periodo Ref.]]="Dentro",IF(DATOS_[[Check Equiparado]:[Check Equiparado]]="Sí",IF(DATOS!AQ$5="Sí",(1/DATOS_[[% anualiz]:[% anualiz]]),1)*IF(DATOS!AQ$4="Sí",1/DATOS_[[% normaliz]:[% normaliz]],1)*(DATOS_[Conc.Sal.13])))))))),
0)</f>
        <v>0</v>
      </c>
      <c r="W95" s="101">
        <f t="array" ref="W95">IFERROR(
(AVERAGE((IF(DATOS_[[Sexo]:[Sexo]]=$B95,IF(DATOS_[[AGRUP. VALOR. PTO.]:[AGRUP. VALOR. PTO.]]=$B93,IF(DATOS_[[Check Periodo Ref.]:[Check Periodo Ref.]]="Dentro",IF(DATOS_[[Check Equiparado]:[Check Equiparado]]="Sí",IF(DATOS!AR$5="Sí",(1/DATOS_[[% anualiz]:[% anualiz]]),1)*IF(DATOS!AR$4="Sí",1/DATOS_[[% normaliz]:[% normaliz]],1)*(DATOS_[Conc.Sal.14])))))))),
0)</f>
        <v>0</v>
      </c>
      <c r="X95" s="101">
        <f t="array" ref="X95">IFERROR(
(AVERAGE((IF(DATOS_[[Sexo]:[Sexo]]=$B95,IF(DATOS_[[AGRUP. VALOR. PTO.]:[AGRUP. VALOR. PTO.]]=$B93,IF(DATOS_[[Check Periodo Ref.]:[Check Periodo Ref.]]="Dentro",IF(DATOS_[[Check Equiparado]:[Check Equiparado]]="Sí",IF(DATOS!AS$5="Sí",(1/DATOS_[[% anualiz]:[% anualiz]]),1)*IF(DATOS!AS$4="Sí",1/DATOS_[[% normaliz]:[% normaliz]],1)*(DATOS_[Conc.Sal.15])))))))),
0)</f>
        <v>0</v>
      </c>
      <c r="Y95" s="101">
        <f t="array" ref="Y95">IFERROR(
(AVERAGE((IF(DATOS_[[Sexo]:[Sexo]]=$B95,IF(DATOS_[[AGRUP. VALOR. PTO.]:[AGRUP. VALOR. PTO.]]=$B93,IF(DATOS_[[Check Periodo Ref.]:[Check Periodo Ref.]]="Dentro",IF(DATOS_[[Check Equiparado]:[Check Equiparado]]="Sí",IF(DATOS!AT$5="Sí",(1/DATOS_[[% anualiz]:[% anualiz]]),1)*IF(DATOS!AT$4="Sí",1/DATOS_[[% normaliz]:[% normaliz]],1)*(DATOS_[Conc.Sal.16])))))))),
0)</f>
        <v>0</v>
      </c>
      <c r="Z95" s="101">
        <f t="array" ref="Z95">IFERROR(
(AVERAGE((IF(DATOS_[[Sexo]:[Sexo]]=$B95,IF(DATOS_[[AGRUP. VALOR. PTO.]:[AGRUP. VALOR. PTO.]]=$B93,IF(DATOS_[[Check Periodo Ref.]:[Check Periodo Ref.]]="Dentro",IF(DATOS_[[Check Equiparado]:[Check Equiparado]]="Sí",IF(DATOS!AU$5="Sí",(1/DATOS_[[% anualiz]:[% anualiz]]),1)*IF(DATOS!AU$4="Sí",1/DATOS_[[% normaliz]:[% normaliz]],1)*(DATOS_[Conc.Sal.17])))))))),
0)</f>
        <v>0</v>
      </c>
      <c r="AA95" s="101">
        <f t="array" ref="AA95">IFERROR(
(AVERAGE((IF(DATOS_[[Sexo]:[Sexo]]=$B95,IF(DATOS_[[AGRUP. VALOR. PTO.]:[AGRUP. VALOR. PTO.]]=$B93,IF(DATOS_[[Check Periodo Ref.]:[Check Periodo Ref.]]="Dentro",IF(DATOS_[[Check Equiparado]:[Check Equiparado]]="Sí",IF(DATOS!AV$5="Sí",(1/DATOS_[[% anualiz]:[% anualiz]]),1)*IF(DATOS!AV$4="Sí",1/DATOS_[[% normaliz]:[% normaliz]],1)*(DATOS_[Conc.Sal.18])))))))),
0)</f>
        <v>0</v>
      </c>
      <c r="AB95" s="101">
        <f t="array" ref="AB95">IFERROR(
(AVERAGE((IF(DATOS_[[Sexo]:[Sexo]]=$B95,IF(DATOS_[[AGRUP. VALOR. PTO.]:[AGRUP. VALOR. PTO.]]=$B93,IF(DATOS_[[Check Periodo Ref.]:[Check Periodo Ref.]]="Dentro",IF(DATOS_[[Check Equiparado]:[Check Equiparado]]="Sí",IF(DATOS!AW$5="Sí",(1/DATOS_[[% anualiz]:[% anualiz]]),1)*IF(DATOS!AW$4="Sí",1/DATOS_[[% normaliz]:[% normaliz]],1)*(DATOS_[Conc.Sal.19])))))))),
0)</f>
        <v>0</v>
      </c>
      <c r="AC95" s="101">
        <f t="array" ref="AC95">IFERROR(
(AVERAGE((IF(DATOS_[[Sexo]:[Sexo]]=$B95,IF(DATOS_[[AGRUP. VALOR. PTO.]:[AGRUP. VALOR. PTO.]]=$B93,IF(DATOS_[[Check Periodo Ref.]:[Check Periodo Ref.]]="Dentro",IF(DATOS_[[Check Equiparado]:[Check Equiparado]]="Sí",IF(DATOS!AX$5="Sí",(1/DATOS_[[% anualiz]:[% anualiz]]),1)*IF(DATOS!AX$4="Sí",1/DATOS_[[% normaliz]:[% normaliz]],1)*(DATOS_[Conc.Sal.20])))))))),
0)</f>
        <v>0</v>
      </c>
      <c r="AD95" s="101">
        <f t="array" ref="AD95">IFERROR(
(AVERAGE((IF(DATOS_[[Sexo]:[Sexo]]=$B95,IF(DATOS_[[AGRUP. VALOR. PTO.]:[AGRUP. VALOR. PTO.]]=$B93,IF(DATOS_[[Check Periodo Ref.]:[Check Periodo Ref.]]="Dentro",IF(DATOS_[[Check Equiparado]:[Check Equiparado]]="Sí",IF(DATOS!AY$5="Sí",(1/DATOS_[[% anualiz]:[% anualiz]]),1)*IF(DATOS!AY$4="Sí",1/DATOS_[[% normaliz]:[% normaliz]],1)*(DATOS_[Conc.Sal.21])))))))),
0)</f>
        <v>0</v>
      </c>
      <c r="AE95" s="101">
        <f t="array" ref="AE95">IFERROR(
(AVERAGE((IF(DATOS_[[Sexo]:[Sexo]]=$B95,IF(DATOS_[[AGRUP. VALOR. PTO.]:[AGRUP. VALOR. PTO.]]=$B93,IF(DATOS_[[Check Periodo Ref.]:[Check Periodo Ref.]]="Dentro",IF(DATOS_[[Check Equiparado]:[Check Equiparado]]="Sí",IF(DATOS!AZ$5="Sí",(1/DATOS_[[% anualiz]:[% anualiz]]),1)*IF(DATOS!AZ$4="Sí",1/DATOS_[[% normaliz]:[% normaliz]],1)*(DATOS_[Conc.Sal.22])))))))),
0)</f>
        <v>0</v>
      </c>
      <c r="AF95" s="101">
        <f t="array" ref="AF95">IFERROR(
(AVERAGE((IF(DATOS_[[Sexo]:[Sexo]]=$B95,IF(DATOS_[[AGRUP. VALOR. PTO.]:[AGRUP. VALOR. PTO.]]=$B93,IF(DATOS_[[Check Periodo Ref.]:[Check Periodo Ref.]]="Dentro",IF(DATOS_[[Check Equiparado]:[Check Equiparado]]="Sí",IF(DATOS!BA$5="Sí",(1/DATOS_[[% anualiz]:[% anualiz]]),1)*IF(DATOS!BA$4="Sí",1/DATOS_[[% normaliz]:[% normaliz]],1)*(DATOS_[Conc.Sal.23])))))))),
0)</f>
        <v>0</v>
      </c>
      <c r="AG95" s="101">
        <f t="array" ref="AG95">IFERROR(
(AVERAGE((IF(DATOS_[[Sexo]:[Sexo]]=$B95,IF(DATOS_[[AGRUP. VALOR. PTO.]:[AGRUP. VALOR. PTO.]]=$B93,IF(DATOS_[[Check Periodo Ref.]:[Check Periodo Ref.]]="Dentro",IF(DATOS_[[Check Equiparado]:[Check Equiparado]]="Sí",IF(DATOS!BB$5="Sí",(1/DATOS_[[% anualiz]:[% anualiz]]),1)*IF(DATOS!BB$4="Sí",1/DATOS_[[% normaliz]:[% normaliz]],1)*(DATOS_[Conc.Sal.24])))))))),
0)</f>
        <v>0</v>
      </c>
      <c r="AH95" s="101">
        <f t="array" ref="AH95">IFERROR(
(AVERAGE((IF(DATOS_[[Sexo]:[Sexo]]=$B95,IF(DATOS_[[AGRUP. VALOR. PTO.]:[AGRUP. VALOR. PTO.]]=$B93,IF(DATOS_[[Check Periodo Ref.]:[Check Periodo Ref.]]="Dentro",IF(DATOS_[[Check Equiparado]:[Check Equiparado]]="Sí",IF(DATOS!BC$5="Sí",(1/DATOS_[[% anualiz]:[% anualiz]]),1)*IF(DATOS!BC$4="Sí",1/DATOS_[[% normaliz]:[% normaliz]],1)*(DATOS_[Conc.Sal.25])))))))),
0)</f>
        <v>0</v>
      </c>
      <c r="AI95" s="101">
        <f t="array" ref="AI95">IFERROR(
(AVERAGE((IF(DATOS_[[Sexo]:[Sexo]]=$B95,IF(DATOS_[[AGRUP. VALOR. PTO.]:[AGRUP. VALOR. PTO.]]=$B93,IF(DATOS_[[Check Periodo Ref.]:[Check Periodo Ref.]]="Dentro",IF(DATOS_[[Check Equiparado]:[Check Equiparado]]="Sí",IF(DATOS!BD$5="Sí",(1/DATOS_[[% anualiz]:[% anualiz]]),1)*IF(DATOS!BD$4="Sí",1/DATOS_[[% normaliz]:[% normaliz]],1)*(DATOS_[Conc.Sal.26])))))))),
0)</f>
        <v>0</v>
      </c>
      <c r="AJ95" s="101">
        <f t="array" ref="AJ95">IFERROR(
(AVERAGE((IF(DATOS_[[Sexo]:[Sexo]]=$B95,IF(DATOS_[[AGRUP. VALOR. PTO.]:[AGRUP. VALOR. PTO.]]=$B93,IF(DATOS_[[Check Periodo Ref.]:[Check Periodo Ref.]]="Dentro",IF(DATOS_[[Check Equiparado]:[Check Equiparado]]="Sí",IF(DATOS!BE$5="Sí",(1/DATOS_[[% anualiz]:[% anualiz]]),1)*IF(DATOS!BE$4="Sí",1/DATOS_[[% normaliz]:[% normaliz]],1)*(DATOS_[Conc.Sal.27])))))))),
0)</f>
        <v>0</v>
      </c>
      <c r="AK95" s="101">
        <f t="array" ref="AK95">IFERROR(
(AVERAGE((IF(DATOS_[[Sexo]:[Sexo]]=$B95,IF(DATOS_[[AGRUP. VALOR. PTO.]:[AGRUP. VALOR. PTO.]]=$B93,IF(DATOS_[[Check Periodo Ref.]:[Check Periodo Ref.]]="Dentro",IF(DATOS_[[Check Equiparado]:[Check Equiparado]]="Sí",IF(DATOS!BF$5="Sí",(1/DATOS_[[% anualiz]:[% anualiz]]),1)*IF(DATOS!BF$4="Sí",1/DATOS_[[% normaliz]:[% normaliz]],1)*(DATOS_[Conc.Sal.28])))))))),
0)</f>
        <v>0</v>
      </c>
      <c r="AL95" s="101">
        <f t="array" ref="AL95">IFERROR(
(AVERAGE((IF(DATOS_[[Sexo]:[Sexo]]=$B95,IF(DATOS_[[AGRUP. VALOR. PTO.]:[AGRUP. VALOR. PTO.]]=$B93,IF(DATOS_[[Check Periodo Ref.]:[Check Periodo Ref.]]="Dentro",IF(DATOS_[[Check Equiparado]:[Check Equiparado]]="Sí",IF(DATOS!BG$5="Sí",(1/DATOS_[[% anualiz]:[% anualiz]]),1)*IF(DATOS!BG$4="Sí",1/DATOS_[[% normaliz]:[% normaliz]],1)*(DATOS_[Conc.Sal.29])))))))),
0)</f>
        <v>0</v>
      </c>
      <c r="AM95" s="101">
        <f t="array" ref="AM95">IFERROR(
(AVERAGE((IF(DATOS_[[Sexo]:[Sexo]]=$B95,IF(DATOS_[[AGRUP. VALOR. PTO.]:[AGRUP. VALOR. PTO.]]=$B93,IF(DATOS_[[Check Periodo Ref.]:[Check Periodo Ref.]]="Dentro",IF(DATOS_[[Check Equiparado]:[Check Equiparado]]="Sí",IF(DATOS!BH$5="Sí",(1/DATOS_[[% anualiz]:[% anualiz]]),1)*IF(DATOS!BH$4="Sí",1/DATOS_[[% normaliz]:[% normaliz]],1)*(DATOS_[Conc.Sal.30])))))))),
0)</f>
        <v>0</v>
      </c>
      <c r="AN95" s="102">
        <f t="array" ref="AN95">IFERROR(
AVERAGE(IF(DATOS_[Sexo]=$B95,IF(DATOS_[[AGRUP. VALOR. PTO.]:[AGRUP. VALOR. PTO.]]=$B93,IF(DATOS_[Check Equiparado]="Sí",IF(DATOS_[Check Periodo Ref.]="Dentro",DATOS_[Tot COMPL.SAL Eq],FALSE))))),
0)</f>
        <v>0</v>
      </c>
      <c r="AO95" s="103">
        <f t="array" ref="AO95">IFERROR(
AVERAGE(IF(DATOS_[Sexo]=$B95,IF(DATOS_[[AGRUP. VALOR. PTO.]:[AGRUP. VALOR. PTO.]]=$B93,IF(DATOS_[Check Equiparado]="Sí",IF(DATOS_[Check Periodo Ref.]="Dentro",DATOS_[TOTAL SALARIO Eq],FALSE))))),
0)</f>
        <v>0</v>
      </c>
      <c r="AP95" s="104">
        <f t="array" ref="AP95">IFERROR(
(AVERAGE((IF(DATOS_[[Sexo]:[Sexo]]=$B95,IF(DATOS_[[AGRUP. VALOR. PTO.]:[AGRUP. VALOR. PTO.]]=$B93,IF(DATOS_[[Check Periodo Ref.]:[Check Periodo Ref.]]="Dentro",IF(DATOS_[[Check Equiparado]:[Check Equiparado]]="Sí",IF(DATOS!BI$5="Sí",(1/DATOS_[[% anualiz]:[% anualiz]]),1)*IF(DATOS!BI$4="Sí",1/DATOS_[[% normaliz]:[% normaliz]],1)*(DATOS_[C.Extra.01])))))))),
0)</f>
        <v>0</v>
      </c>
      <c r="AQ95" s="104">
        <f t="array" ref="AQ95">IFERROR(
(AVERAGE((IF(DATOS_[[Sexo]:[Sexo]]=$B95,IF(DATOS_[[AGRUP. VALOR. PTO.]:[AGRUP. VALOR. PTO.]]=$B93,IF(DATOS_[[Check Periodo Ref.]:[Check Periodo Ref.]]="Dentro",IF(DATOS_[[Check Equiparado]:[Check Equiparado]]="Sí",IF(DATOS!BJ$5="Sí",(1/DATOS_[[% anualiz]:[% anualiz]]),1)*IF(DATOS!BJ$4="Sí",1/DATOS_[[% normaliz]:[% normaliz]],1)*(DATOS_[C.Extra.02])))))))),
0)</f>
        <v>0</v>
      </c>
      <c r="AR95" s="104">
        <f t="array" ref="AR95">IFERROR(
(AVERAGE((IF(DATOS_[[Sexo]:[Sexo]]=$B95,IF(DATOS_[[AGRUP. VALOR. PTO.]:[AGRUP. VALOR. PTO.]]=$B93,IF(DATOS_[[Check Periodo Ref.]:[Check Periodo Ref.]]="Dentro",IF(DATOS_[[Check Equiparado]:[Check Equiparado]]="Sí",IF(DATOS!BK$5="Sí",(1/DATOS_[[% anualiz]:[% anualiz]]),1)*IF(DATOS!BK$4="Sí",1/DATOS_[[% normaliz]:[% normaliz]],1)*(DATOS_[C.Extra.03])))))))),
0)</f>
        <v>0</v>
      </c>
      <c r="AS95" s="104">
        <f t="array" ref="AS95">IFERROR(
(AVERAGE((IF(DATOS_[[Sexo]:[Sexo]]=$B95,IF(DATOS_[[AGRUP. VALOR. PTO.]:[AGRUP. VALOR. PTO.]]=$B93,IF(DATOS_[[Check Periodo Ref.]:[Check Periodo Ref.]]="Dentro",IF(DATOS_[[Check Equiparado]:[Check Equiparado]]="Sí",IF(DATOS!BL$5="Sí",(1/DATOS_[[% anualiz]:[% anualiz]]),1)*IF(DATOS!BL$4="Sí",1/DATOS_[[% normaliz]:[% normaliz]],1)*(DATOS_[C.Extra.04])))))))),
0)</f>
        <v>0</v>
      </c>
      <c r="AT95" s="104">
        <f t="array" ref="AT95">IFERROR(
(AVERAGE((IF(DATOS_[[Sexo]:[Sexo]]=$B95,IF(DATOS_[[AGRUP. VALOR. PTO.]:[AGRUP. VALOR. PTO.]]=$B93,IF(DATOS_[[Check Periodo Ref.]:[Check Periodo Ref.]]="Dentro",IF(DATOS_[[Check Equiparado]:[Check Equiparado]]="Sí",IF(DATOS!BM$5="Sí",(1/DATOS_[[% anualiz]:[% anualiz]]),1)*IF(DATOS!BM$4="Sí",1/DATOS_[[% normaliz]:[% normaliz]],1)*(DATOS_[C.Extra.05])))))))),
0)</f>
        <v>0</v>
      </c>
      <c r="AU95" s="105">
        <f t="array" ref="AU95">IFERROR(
AVERAGE(IF(DATOS_[Sexo]=$B95,IF(DATOS_[[AGRUP. VALOR. PTO.]:[AGRUP. VALOR. PTO.]]=$B93,IF(DATOS_[Check Equiparado]="Sí",IF(DATOS_[Check Periodo Ref.]="Dentro",DATOS_[Tot Extrasalarial Eq],FALSE))))),
0)</f>
        <v>0</v>
      </c>
      <c r="AV95" s="106">
        <f t="array" ref="AV95">IFERROR(
AVERAGE(IF(DATOS_[Sexo]=$B95,IF(DATOS_[[AGRUP. VALOR. PTO.]:[AGRUP. VALOR. PTO.]]=$B93,IF(DATOS_[Check Equiparado]="Sí",IF(DATOS_[Check Periodo Ref.]="Dentro",DATOS_[TOTAL Retrib Eq],FALSE))))),
0)</f>
        <v>0</v>
      </c>
    </row>
    <row r="96" spans="1:48" ht="17.25" hidden="1" thickBot="1" x14ac:dyDescent="0.35">
      <c r="A96" s="53" t="str">
        <f t="shared" ref="A96" si="111">+A97</f>
        <v>[ocultar]</v>
      </c>
      <c r="B96" s="62" t="s">
        <v>287</v>
      </c>
      <c r="C96" s="99"/>
      <c r="D96" s="63"/>
      <c r="E96" s="63"/>
      <c r="F96" s="63"/>
      <c r="G96" s="63"/>
      <c r="H96" s="63"/>
      <c r="I96" s="129" t="str">
        <f t="shared" ref="I96:AV96" si="112">IFERROR((I97-I98)/I97,"")</f>
        <v/>
      </c>
      <c r="J96" s="130" t="str">
        <f t="shared" si="112"/>
        <v/>
      </c>
      <c r="K96" s="131" t="str">
        <f t="shared" si="112"/>
        <v/>
      </c>
      <c r="L96" s="131" t="str">
        <f t="shared" si="112"/>
        <v/>
      </c>
      <c r="M96" s="131" t="str">
        <f t="shared" si="112"/>
        <v/>
      </c>
      <c r="N96" s="132" t="str">
        <f t="shared" si="112"/>
        <v/>
      </c>
      <c r="O96" s="133" t="str">
        <f t="shared" si="112"/>
        <v/>
      </c>
      <c r="P96" s="133" t="str">
        <f t="shared" si="112"/>
        <v/>
      </c>
      <c r="Q96" s="133" t="str">
        <f t="shared" si="112"/>
        <v/>
      </c>
      <c r="R96" s="133" t="str">
        <f t="shared" si="112"/>
        <v/>
      </c>
      <c r="S96" s="133" t="str">
        <f t="shared" si="112"/>
        <v/>
      </c>
      <c r="T96" s="133" t="str">
        <f t="shared" si="112"/>
        <v/>
      </c>
      <c r="U96" s="133" t="str">
        <f t="shared" si="112"/>
        <v/>
      </c>
      <c r="V96" s="133" t="str">
        <f t="shared" si="112"/>
        <v/>
      </c>
      <c r="W96" s="133" t="str">
        <f t="shared" si="112"/>
        <v/>
      </c>
      <c r="X96" s="133" t="str">
        <f t="shared" si="112"/>
        <v/>
      </c>
      <c r="Y96" s="133" t="str">
        <f t="shared" si="112"/>
        <v/>
      </c>
      <c r="Z96" s="132" t="str">
        <f t="shared" si="112"/>
        <v/>
      </c>
      <c r="AA96" s="132" t="str">
        <f t="shared" si="112"/>
        <v/>
      </c>
      <c r="AB96" s="132" t="str">
        <f t="shared" si="112"/>
        <v/>
      </c>
      <c r="AC96" s="132" t="str">
        <f t="shared" si="112"/>
        <v/>
      </c>
      <c r="AD96" s="132" t="str">
        <f t="shared" si="112"/>
        <v/>
      </c>
      <c r="AE96" s="132" t="str">
        <f t="shared" si="112"/>
        <v/>
      </c>
      <c r="AF96" s="132" t="str">
        <f t="shared" si="112"/>
        <v/>
      </c>
      <c r="AG96" s="132" t="str">
        <f t="shared" si="112"/>
        <v/>
      </c>
      <c r="AH96" s="132" t="str">
        <f t="shared" si="112"/>
        <v/>
      </c>
      <c r="AI96" s="132" t="str">
        <f t="shared" si="112"/>
        <v/>
      </c>
      <c r="AJ96" s="132" t="str">
        <f t="shared" si="112"/>
        <v/>
      </c>
      <c r="AK96" s="132" t="str">
        <f t="shared" si="112"/>
        <v/>
      </c>
      <c r="AL96" s="132" t="str">
        <f t="shared" si="112"/>
        <v/>
      </c>
      <c r="AM96" s="132" t="str">
        <f t="shared" si="112"/>
        <v/>
      </c>
      <c r="AN96" s="134" t="str">
        <f t="shared" si="112"/>
        <v/>
      </c>
      <c r="AO96" s="138" t="str">
        <f t="shared" si="112"/>
        <v/>
      </c>
      <c r="AP96" s="135" t="str">
        <f t="shared" si="112"/>
        <v/>
      </c>
      <c r="AQ96" s="135" t="str">
        <f t="shared" si="112"/>
        <v/>
      </c>
      <c r="AR96" s="135" t="str">
        <f t="shared" si="112"/>
        <v/>
      </c>
      <c r="AS96" s="135" t="str">
        <f t="shared" si="112"/>
        <v/>
      </c>
      <c r="AT96" s="135" t="str">
        <f t="shared" si="112"/>
        <v/>
      </c>
      <c r="AU96" s="136" t="str">
        <f t="shared" si="112"/>
        <v/>
      </c>
      <c r="AV96" s="137" t="str">
        <f t="shared" si="112"/>
        <v/>
      </c>
    </row>
    <row r="97" spans="1:48" hidden="1" x14ac:dyDescent="0.3">
      <c r="A97" s="53" t="str">
        <f t="shared" ref="A97" si="113">+IF(C97+C98=0,"[ocultar]","")</f>
        <v>[ocultar]</v>
      </c>
      <c r="B97" s="57" t="s">
        <v>162</v>
      </c>
      <c r="C97" s="56">
        <f t="array" ref="C97">SUM(IF($B97=DATOS_[Sexo],
IF($B96=DATOS_[AGRUP. VALOR. PTO.],
IF("Dentro"=DATOS_[Check Periodo Ref.],
1/(COUNTIFS(DATOS_[Sexo],$B97,DATOS_[AGRUP. VALOR. PTO.],$B96,DATOS_[Check Periodo Ref.],"Dentro",DATOS_[id],DATOS_[id]))))))</f>
        <v>0</v>
      </c>
      <c r="D97" s="58">
        <f>COUNTIFS(DATOS_[AGRUP. VALOR. PTO.],$B96,DATOS_[Sexo],$B97,DATOS_[Check Periodo Ref.],"Dentro")</f>
        <v>0</v>
      </c>
      <c r="E97" s="58">
        <f>COUNTIFS(DATOS_[AGRUP. VALOR. PTO.],$B96,DATOS_[Sexo],$B97,DATOS_[Check Periodo Ref.],"Dentro",DATOS_[Check Nº SC Norm],"Sí")</f>
        <v>0</v>
      </c>
      <c r="F97" s="58">
        <f>COUNTIFS(DATOS_[AGRUP. VALOR. PTO.],$B96,DATOS_[Sexo],$B97,DATOS_[Check Periodo Ref.],"Dentro",DATOS_[Check Nº SC Anualiz],"Sí")</f>
        <v>0</v>
      </c>
      <c r="G97" s="58">
        <f>COUNTIFS(DATOS_[AGRUP. VALOR. PTO.],$B96,DATOS_[Sexo],$B97,DATOS_[Check Periodo Ref.],"Dentro",DATOS_[Check Nº SC Norm y Anualiz],"Sí")</f>
        <v>0</v>
      </c>
      <c r="H97" s="58">
        <f>COUNTIFS(DATOS_[AGRUP. VALOR. PTO.],$B96,DATOS_[Sexo],$B97,DATOS_[Check Periodo Ref.],"Dentro",DATOS_[Check Equiparación],"Sí")</f>
        <v>0</v>
      </c>
      <c r="I97" s="100">
        <f t="array" ref="I97">IFERROR(
AVERAGE(IF(DATOS_[Sexo]=$B97,IF(DATOS_[[AGRUP. VALOR. PTO.]:[AGRUP. VALOR. PTO.]]=$B96,IF(DATOS_[Check Equiparado]="Sí",IF(DATOS_[Check Periodo Ref.]="Dentro",DATOS_[SALARIO BASE Eq],FALSE))))),
0)</f>
        <v>0</v>
      </c>
      <c r="J97" s="101">
        <f t="array" ref="J97">IFERROR(
(AVERAGE((IF(DATOS_[[Sexo]:[Sexo]]=$B97,IF(DATOS_[[AGRUP. VALOR. PTO.]:[AGRUP. VALOR. PTO.]]=$B96,IF(DATOS_[[Check Periodo Ref.]:[Check Periodo Ref.]]="Dentro",IF(DATOS_[[Check Equiparado]:[Check Equiparado]]="Sí",IF(DATOS!AE$5="Sí",(1/DATOS_[[% anualiz]:[% anualiz]]),1)*IF(DATOS!AE$4="Sí",1/DATOS_[[% normaliz]:[% normaliz]],1)*(DATOS_[Conc.Sal.01])))))))),
0)</f>
        <v>0</v>
      </c>
      <c r="K97" s="101">
        <f t="array" ref="K97">IFERROR(
(AVERAGE((IF(DATOS_[[Sexo]:[Sexo]]=$B97,IF(DATOS_[[AGRUP. VALOR. PTO.]:[AGRUP. VALOR. PTO.]]=$B96,IF(DATOS_[[Check Periodo Ref.]:[Check Periodo Ref.]]="Dentro",IF(DATOS_[[Check Equiparado]:[Check Equiparado]]="Sí",IF(DATOS!AF$5="Sí",(1/DATOS_[[% anualiz]:[% anualiz]]),1)*IF(DATOS!AF$4="Sí",1/DATOS_[[% normaliz]:[% normaliz]],1)*(DATOS_[Conc.Sal.02])))))))),
0)</f>
        <v>0</v>
      </c>
      <c r="L97" s="101">
        <f t="array" ref="L97">IFERROR(
(AVERAGE((IF(DATOS_[[Sexo]:[Sexo]]=$B97,IF(DATOS_[[AGRUP. VALOR. PTO.]:[AGRUP. VALOR. PTO.]]=$B96,IF(DATOS_[[Check Periodo Ref.]:[Check Periodo Ref.]]="Dentro",IF(DATOS_[[Check Equiparado]:[Check Equiparado]]="Sí",IF(DATOS!AG$5="Sí",(1/DATOS_[[% anualiz]:[% anualiz]]),1)*IF(DATOS!AG$4="Sí",1/DATOS_[[% normaliz]:[% normaliz]],1)*(DATOS_[Conc.Sal.03])))))))),
0)</f>
        <v>0</v>
      </c>
      <c r="M97" s="101">
        <f t="array" ref="M97">IFERROR(
(AVERAGE((IF(DATOS_[[Sexo]:[Sexo]]=$B97,IF(DATOS_[[AGRUP. VALOR. PTO.]:[AGRUP. VALOR. PTO.]]=$B96,IF(DATOS_[[Check Periodo Ref.]:[Check Periodo Ref.]]="Dentro",IF(DATOS_[[Check Equiparado]:[Check Equiparado]]="Sí",IF(DATOS!AH$5="Sí",(1/DATOS_[[% anualiz]:[% anualiz]]),1)*IF(DATOS!AH$4="Sí",1/DATOS_[[% normaliz]:[% normaliz]],1)*(DATOS_[Conc.Sal.04])))))))),
0)</f>
        <v>0</v>
      </c>
      <c r="N97" s="101">
        <f t="array" ref="N97">IFERROR(
(AVERAGE((IF(DATOS_[[Sexo]:[Sexo]]=$B97,IF(DATOS_[[AGRUP. VALOR. PTO.]:[AGRUP. VALOR. PTO.]]=$B96,IF(DATOS_[[Check Periodo Ref.]:[Check Periodo Ref.]]="Dentro",IF(DATOS_[[Check Equiparado]:[Check Equiparado]]="Sí",IF(DATOS!AI$5="Sí",(1/DATOS_[[% anualiz]:[% anualiz]]),1)*IF(DATOS!AI$4="Sí",1/DATOS_[[% normaliz]:[% normaliz]],1)*(DATOS_[Conc.Sal.05])))))))),
0)</f>
        <v>0</v>
      </c>
      <c r="O97" s="101">
        <f t="array" ref="O97">IFERROR(
(AVERAGE((IF(DATOS_[[Sexo]:[Sexo]]=$B97,IF(DATOS_[[AGRUP. VALOR. PTO.]:[AGRUP. VALOR. PTO.]]=$B96,IF(DATOS_[[Check Periodo Ref.]:[Check Periodo Ref.]]="Dentro",IF(DATOS_[[Check Equiparado]:[Check Equiparado]]="Sí",IF(DATOS!AJ$5="Sí",(1/DATOS_[[% anualiz]:[% anualiz]]),1)*IF(DATOS!AJ$4="Sí",1/DATOS_[[% normaliz]:[% normaliz]],1)*(DATOS_[Conc.Sal.06])))))))),
0)</f>
        <v>0</v>
      </c>
      <c r="P97" s="101">
        <f t="array" ref="P97">IFERROR(
(AVERAGE((IF(DATOS_[[Sexo]:[Sexo]]=$B97,IF(DATOS_[[AGRUP. VALOR. PTO.]:[AGRUP. VALOR. PTO.]]=$B96,IF(DATOS_[[Check Periodo Ref.]:[Check Periodo Ref.]]="Dentro",IF(DATOS_[[Check Equiparado]:[Check Equiparado]]="Sí",IF(DATOS!AK$5="Sí",(1/DATOS_[[% anualiz]:[% anualiz]]),1)*IF(DATOS!AK$4="Sí",1/DATOS_[[% normaliz]:[% normaliz]],1)*(DATOS_[Conc.Sal.07])))))))),
0)</f>
        <v>0</v>
      </c>
      <c r="Q97" s="101">
        <f t="array" ref="Q97">IFERROR(
(AVERAGE((IF(DATOS_[[Sexo]:[Sexo]]=$B97,IF(DATOS_[[AGRUP. VALOR. PTO.]:[AGRUP. VALOR. PTO.]]=$B96,IF(DATOS_[[Check Periodo Ref.]:[Check Periodo Ref.]]="Dentro",IF(DATOS_[[Check Equiparado]:[Check Equiparado]]="Sí",IF(DATOS!AL$5="Sí",(1/DATOS_[[% anualiz]:[% anualiz]]),1)*IF(DATOS!AL$4="Sí",1/DATOS_[[% normaliz]:[% normaliz]],1)*(DATOS_[Conc.Sal.08])))))))),
0)</f>
        <v>0</v>
      </c>
      <c r="R97" s="101">
        <f t="array" ref="R97">IFERROR(
(AVERAGE((IF(DATOS_[[Sexo]:[Sexo]]=$B97,IF(DATOS_[[AGRUP. VALOR. PTO.]:[AGRUP. VALOR. PTO.]]=$B96,IF(DATOS_[[Check Periodo Ref.]:[Check Periodo Ref.]]="Dentro",IF(DATOS_[[Check Equiparado]:[Check Equiparado]]="Sí",IF(DATOS!AM$5="Sí",(1/DATOS_[[% anualiz]:[% anualiz]]),1)*IF(DATOS!AM$4="Sí",1/DATOS_[[% normaliz]:[% normaliz]],1)*(DATOS_[Conc.Sal.09])))))))),
0)</f>
        <v>0</v>
      </c>
      <c r="S97" s="101">
        <f t="array" ref="S97">IFERROR(
(AVERAGE((IF(DATOS_[[Sexo]:[Sexo]]=$B97,IF(DATOS_[[AGRUP. VALOR. PTO.]:[AGRUP. VALOR. PTO.]]=$B96,IF(DATOS_[[Check Periodo Ref.]:[Check Periodo Ref.]]="Dentro",IF(DATOS_[[Check Equiparado]:[Check Equiparado]]="Sí",IF(DATOS!AN$5="Sí",(1/DATOS_[[% anualiz]:[% anualiz]]),1)*IF(DATOS!AN$4="Sí",1/DATOS_[[% normaliz]:[% normaliz]],1)*(DATOS_[Conc.Sal.10])))))))),
0)</f>
        <v>0</v>
      </c>
      <c r="T97" s="101">
        <f t="array" ref="T97">IFERROR(
(AVERAGE((IF(DATOS_[[Sexo]:[Sexo]]=$B97,IF(DATOS_[[AGRUP. VALOR. PTO.]:[AGRUP. VALOR. PTO.]]=$B96,IF(DATOS_[[Check Periodo Ref.]:[Check Periodo Ref.]]="Dentro",IF(DATOS_[[Check Equiparado]:[Check Equiparado]]="Sí",IF(DATOS!AO$5="Sí",(1/DATOS_[[% anualiz]:[% anualiz]]),1)*IF(DATOS!AO$4="Sí",1/DATOS_[[% normaliz]:[% normaliz]],1)*(DATOS_[Conc.Sal.11])))))))),
0)</f>
        <v>0</v>
      </c>
      <c r="U97" s="101">
        <f t="array" ref="U97">IFERROR(
(AVERAGE((IF(DATOS_[[Sexo]:[Sexo]]=$B97,IF(DATOS_[[AGRUP. VALOR. PTO.]:[AGRUP. VALOR. PTO.]]=$B96,IF(DATOS_[[Check Periodo Ref.]:[Check Periodo Ref.]]="Dentro",IF(DATOS_[[Check Equiparado]:[Check Equiparado]]="Sí",IF(DATOS!AP$5="Sí",(1/DATOS_[[% anualiz]:[% anualiz]]),1)*IF(DATOS!AP$4="Sí",1/DATOS_[[% normaliz]:[% normaliz]],1)*(DATOS_[Conc.Sal.12])))))))),
0)</f>
        <v>0</v>
      </c>
      <c r="V97" s="101">
        <f t="array" ref="V97">IFERROR(
(AVERAGE((IF(DATOS_[[Sexo]:[Sexo]]=$B97,IF(DATOS_[[AGRUP. VALOR. PTO.]:[AGRUP. VALOR. PTO.]]=$B96,IF(DATOS_[[Check Periodo Ref.]:[Check Periodo Ref.]]="Dentro",IF(DATOS_[[Check Equiparado]:[Check Equiparado]]="Sí",IF(DATOS!AQ$5="Sí",(1/DATOS_[[% anualiz]:[% anualiz]]),1)*IF(DATOS!AQ$4="Sí",1/DATOS_[[% normaliz]:[% normaliz]],1)*(DATOS_[Conc.Sal.13])))))))),
0)</f>
        <v>0</v>
      </c>
      <c r="W97" s="101">
        <f t="array" ref="W97">IFERROR(
(AVERAGE((IF(DATOS_[[Sexo]:[Sexo]]=$B97,IF(DATOS_[[AGRUP. VALOR. PTO.]:[AGRUP. VALOR. PTO.]]=$B96,IF(DATOS_[[Check Periodo Ref.]:[Check Periodo Ref.]]="Dentro",IF(DATOS_[[Check Equiparado]:[Check Equiparado]]="Sí",IF(DATOS!AR$5="Sí",(1/DATOS_[[% anualiz]:[% anualiz]]),1)*IF(DATOS!AR$4="Sí",1/DATOS_[[% normaliz]:[% normaliz]],1)*(DATOS_[Conc.Sal.14])))))))),
0)</f>
        <v>0</v>
      </c>
      <c r="X97" s="101">
        <f t="array" ref="X97">IFERROR(
(AVERAGE((IF(DATOS_[[Sexo]:[Sexo]]=$B97,IF(DATOS_[[AGRUP. VALOR. PTO.]:[AGRUP. VALOR. PTO.]]=$B96,IF(DATOS_[[Check Periodo Ref.]:[Check Periodo Ref.]]="Dentro",IF(DATOS_[[Check Equiparado]:[Check Equiparado]]="Sí",IF(DATOS!AS$5="Sí",(1/DATOS_[[% anualiz]:[% anualiz]]),1)*IF(DATOS!AS$4="Sí",1/DATOS_[[% normaliz]:[% normaliz]],1)*(DATOS_[Conc.Sal.15])))))))),
0)</f>
        <v>0</v>
      </c>
      <c r="Y97" s="101">
        <f t="array" ref="Y97">IFERROR(
(AVERAGE((IF(DATOS_[[Sexo]:[Sexo]]=$B97,IF(DATOS_[[AGRUP. VALOR. PTO.]:[AGRUP. VALOR. PTO.]]=$B96,IF(DATOS_[[Check Periodo Ref.]:[Check Periodo Ref.]]="Dentro",IF(DATOS_[[Check Equiparado]:[Check Equiparado]]="Sí",IF(DATOS!AT$5="Sí",(1/DATOS_[[% anualiz]:[% anualiz]]),1)*IF(DATOS!AT$4="Sí",1/DATOS_[[% normaliz]:[% normaliz]],1)*(DATOS_[Conc.Sal.16])))))))),
0)</f>
        <v>0</v>
      </c>
      <c r="Z97" s="101">
        <f t="array" ref="Z97">IFERROR(
(AVERAGE((IF(DATOS_[[Sexo]:[Sexo]]=$B97,IF(DATOS_[[AGRUP. VALOR. PTO.]:[AGRUP. VALOR. PTO.]]=$B96,IF(DATOS_[[Check Periodo Ref.]:[Check Periodo Ref.]]="Dentro",IF(DATOS_[[Check Equiparado]:[Check Equiparado]]="Sí",IF(DATOS!AU$5="Sí",(1/DATOS_[[% anualiz]:[% anualiz]]),1)*IF(DATOS!AU$4="Sí",1/DATOS_[[% normaliz]:[% normaliz]],1)*(DATOS_[Conc.Sal.17])))))))),
0)</f>
        <v>0</v>
      </c>
      <c r="AA97" s="101">
        <f t="array" ref="AA97">IFERROR(
(AVERAGE((IF(DATOS_[[Sexo]:[Sexo]]=$B97,IF(DATOS_[[AGRUP. VALOR. PTO.]:[AGRUP. VALOR. PTO.]]=$B96,IF(DATOS_[[Check Periodo Ref.]:[Check Periodo Ref.]]="Dentro",IF(DATOS_[[Check Equiparado]:[Check Equiparado]]="Sí",IF(DATOS!AV$5="Sí",(1/DATOS_[[% anualiz]:[% anualiz]]),1)*IF(DATOS!AV$4="Sí",1/DATOS_[[% normaliz]:[% normaliz]],1)*(DATOS_[Conc.Sal.18])))))))),
0)</f>
        <v>0</v>
      </c>
      <c r="AB97" s="101">
        <f t="array" ref="AB97">IFERROR(
(AVERAGE((IF(DATOS_[[Sexo]:[Sexo]]=$B97,IF(DATOS_[[AGRUP. VALOR. PTO.]:[AGRUP. VALOR. PTO.]]=$B96,IF(DATOS_[[Check Periodo Ref.]:[Check Periodo Ref.]]="Dentro",IF(DATOS_[[Check Equiparado]:[Check Equiparado]]="Sí",IF(DATOS!AW$5="Sí",(1/DATOS_[[% anualiz]:[% anualiz]]),1)*IF(DATOS!AW$4="Sí",1/DATOS_[[% normaliz]:[% normaliz]],1)*(DATOS_[Conc.Sal.19])))))))),
0)</f>
        <v>0</v>
      </c>
      <c r="AC97" s="101">
        <f t="array" ref="AC97">IFERROR(
(AVERAGE((IF(DATOS_[[Sexo]:[Sexo]]=$B97,IF(DATOS_[[AGRUP. VALOR. PTO.]:[AGRUP. VALOR. PTO.]]=$B96,IF(DATOS_[[Check Periodo Ref.]:[Check Periodo Ref.]]="Dentro",IF(DATOS_[[Check Equiparado]:[Check Equiparado]]="Sí",IF(DATOS!AX$5="Sí",(1/DATOS_[[% anualiz]:[% anualiz]]),1)*IF(DATOS!AX$4="Sí",1/DATOS_[[% normaliz]:[% normaliz]],1)*(DATOS_[Conc.Sal.20])))))))),
0)</f>
        <v>0</v>
      </c>
      <c r="AD97" s="101">
        <f t="array" ref="AD97">IFERROR(
(AVERAGE((IF(DATOS_[[Sexo]:[Sexo]]=$B97,IF(DATOS_[[AGRUP. VALOR. PTO.]:[AGRUP. VALOR. PTO.]]=$B96,IF(DATOS_[[Check Periodo Ref.]:[Check Periodo Ref.]]="Dentro",IF(DATOS_[[Check Equiparado]:[Check Equiparado]]="Sí",IF(DATOS!AY$5="Sí",(1/DATOS_[[% anualiz]:[% anualiz]]),1)*IF(DATOS!AY$4="Sí",1/DATOS_[[% normaliz]:[% normaliz]],1)*(DATOS_[Conc.Sal.21])))))))),
0)</f>
        <v>0</v>
      </c>
      <c r="AE97" s="101">
        <f t="array" ref="AE97">IFERROR(
(AVERAGE((IF(DATOS_[[Sexo]:[Sexo]]=$B97,IF(DATOS_[[AGRUP. VALOR. PTO.]:[AGRUP. VALOR. PTO.]]=$B96,IF(DATOS_[[Check Periodo Ref.]:[Check Periodo Ref.]]="Dentro",IF(DATOS_[[Check Equiparado]:[Check Equiparado]]="Sí",IF(DATOS!AZ$5="Sí",(1/DATOS_[[% anualiz]:[% anualiz]]),1)*IF(DATOS!AZ$4="Sí",1/DATOS_[[% normaliz]:[% normaliz]],1)*(DATOS_[Conc.Sal.22])))))))),
0)</f>
        <v>0</v>
      </c>
      <c r="AF97" s="101">
        <f t="array" ref="AF97">IFERROR(
(AVERAGE((IF(DATOS_[[Sexo]:[Sexo]]=$B97,IF(DATOS_[[AGRUP. VALOR. PTO.]:[AGRUP. VALOR. PTO.]]=$B96,IF(DATOS_[[Check Periodo Ref.]:[Check Periodo Ref.]]="Dentro",IF(DATOS_[[Check Equiparado]:[Check Equiparado]]="Sí",IF(DATOS!BA$5="Sí",(1/DATOS_[[% anualiz]:[% anualiz]]),1)*IF(DATOS!BA$4="Sí",1/DATOS_[[% normaliz]:[% normaliz]],1)*(DATOS_[Conc.Sal.23])))))))),
0)</f>
        <v>0</v>
      </c>
      <c r="AG97" s="101">
        <f t="array" ref="AG97">IFERROR(
(AVERAGE((IF(DATOS_[[Sexo]:[Sexo]]=$B97,IF(DATOS_[[AGRUP. VALOR. PTO.]:[AGRUP. VALOR. PTO.]]=$B96,IF(DATOS_[[Check Periodo Ref.]:[Check Periodo Ref.]]="Dentro",IF(DATOS_[[Check Equiparado]:[Check Equiparado]]="Sí",IF(DATOS!BB$5="Sí",(1/DATOS_[[% anualiz]:[% anualiz]]),1)*IF(DATOS!BB$4="Sí",1/DATOS_[[% normaliz]:[% normaliz]],1)*(DATOS_[Conc.Sal.24])))))))),
0)</f>
        <v>0</v>
      </c>
      <c r="AH97" s="101">
        <f t="array" ref="AH97">IFERROR(
(AVERAGE((IF(DATOS_[[Sexo]:[Sexo]]=$B97,IF(DATOS_[[AGRUP. VALOR. PTO.]:[AGRUP. VALOR. PTO.]]=$B96,IF(DATOS_[[Check Periodo Ref.]:[Check Periodo Ref.]]="Dentro",IF(DATOS_[[Check Equiparado]:[Check Equiparado]]="Sí",IF(DATOS!BC$5="Sí",(1/DATOS_[[% anualiz]:[% anualiz]]),1)*IF(DATOS!BC$4="Sí",1/DATOS_[[% normaliz]:[% normaliz]],1)*(DATOS_[Conc.Sal.25])))))))),
0)</f>
        <v>0</v>
      </c>
      <c r="AI97" s="101">
        <f t="array" ref="AI97">IFERROR(
(AVERAGE((IF(DATOS_[[Sexo]:[Sexo]]=$B97,IF(DATOS_[[AGRUP. VALOR. PTO.]:[AGRUP. VALOR. PTO.]]=$B96,IF(DATOS_[[Check Periodo Ref.]:[Check Periodo Ref.]]="Dentro",IF(DATOS_[[Check Equiparado]:[Check Equiparado]]="Sí",IF(DATOS!BD$5="Sí",(1/DATOS_[[% anualiz]:[% anualiz]]),1)*IF(DATOS!BD$4="Sí",1/DATOS_[[% normaliz]:[% normaliz]],1)*(DATOS_[Conc.Sal.26])))))))),
0)</f>
        <v>0</v>
      </c>
      <c r="AJ97" s="101">
        <f t="array" ref="AJ97">IFERROR(
(AVERAGE((IF(DATOS_[[Sexo]:[Sexo]]=$B97,IF(DATOS_[[AGRUP. VALOR. PTO.]:[AGRUP. VALOR. PTO.]]=$B96,IF(DATOS_[[Check Periodo Ref.]:[Check Periodo Ref.]]="Dentro",IF(DATOS_[[Check Equiparado]:[Check Equiparado]]="Sí",IF(DATOS!BE$5="Sí",(1/DATOS_[[% anualiz]:[% anualiz]]),1)*IF(DATOS!BE$4="Sí",1/DATOS_[[% normaliz]:[% normaliz]],1)*(DATOS_[Conc.Sal.27])))))))),
0)</f>
        <v>0</v>
      </c>
      <c r="AK97" s="101">
        <f t="array" ref="AK97">IFERROR(
(AVERAGE((IF(DATOS_[[Sexo]:[Sexo]]=$B97,IF(DATOS_[[AGRUP. VALOR. PTO.]:[AGRUP. VALOR. PTO.]]=$B96,IF(DATOS_[[Check Periodo Ref.]:[Check Periodo Ref.]]="Dentro",IF(DATOS_[[Check Equiparado]:[Check Equiparado]]="Sí",IF(DATOS!BF$5="Sí",(1/DATOS_[[% anualiz]:[% anualiz]]),1)*IF(DATOS!BF$4="Sí",1/DATOS_[[% normaliz]:[% normaliz]],1)*(DATOS_[Conc.Sal.28])))))))),
0)</f>
        <v>0</v>
      </c>
      <c r="AL97" s="101">
        <f t="array" ref="AL97">IFERROR(
(AVERAGE((IF(DATOS_[[Sexo]:[Sexo]]=$B97,IF(DATOS_[[AGRUP. VALOR. PTO.]:[AGRUP. VALOR. PTO.]]=$B96,IF(DATOS_[[Check Periodo Ref.]:[Check Periodo Ref.]]="Dentro",IF(DATOS_[[Check Equiparado]:[Check Equiparado]]="Sí",IF(DATOS!BG$5="Sí",(1/DATOS_[[% anualiz]:[% anualiz]]),1)*IF(DATOS!BG$4="Sí",1/DATOS_[[% normaliz]:[% normaliz]],1)*(DATOS_[Conc.Sal.29])))))))),
0)</f>
        <v>0</v>
      </c>
      <c r="AM97" s="101">
        <f t="array" ref="AM97">IFERROR(
(AVERAGE((IF(DATOS_[[Sexo]:[Sexo]]=$B97,IF(DATOS_[[AGRUP. VALOR. PTO.]:[AGRUP. VALOR. PTO.]]=$B96,IF(DATOS_[[Check Periodo Ref.]:[Check Periodo Ref.]]="Dentro",IF(DATOS_[[Check Equiparado]:[Check Equiparado]]="Sí",IF(DATOS!BH$5="Sí",(1/DATOS_[[% anualiz]:[% anualiz]]),1)*IF(DATOS!BH$4="Sí",1/DATOS_[[% normaliz]:[% normaliz]],1)*(DATOS_[Conc.Sal.30])))))))),
0)</f>
        <v>0</v>
      </c>
      <c r="AN97" s="102">
        <f t="array" ref="AN97">IFERROR(
AVERAGE(IF(DATOS_[Sexo]=$B97,IF(DATOS_[[AGRUP. VALOR. PTO.]:[AGRUP. VALOR. PTO.]]=$B96,IF(DATOS_[Check Equiparado]="Sí",IF(DATOS_[Check Periodo Ref.]="Dentro",DATOS_[Tot COMPL.SAL Eq],FALSE))))),
0)</f>
        <v>0</v>
      </c>
      <c r="AO97" s="103">
        <f t="array" ref="AO97">IFERROR(
AVERAGE(IF(DATOS_[Sexo]=$B97,IF(DATOS_[[AGRUP. VALOR. PTO.]:[AGRUP. VALOR. PTO.]]=$B96,IF(DATOS_[Check Equiparado]="Sí",IF(DATOS_[Check Periodo Ref.]="Dentro",DATOS_[TOTAL SALARIO Eq],FALSE))))),
0)</f>
        <v>0</v>
      </c>
      <c r="AP97" s="104">
        <f t="array" ref="AP97">IFERROR(
(AVERAGE((IF(DATOS_[[Sexo]:[Sexo]]=$B97,IF(DATOS_[[AGRUP. VALOR. PTO.]:[AGRUP. VALOR. PTO.]]=$B96,IF(DATOS_[[Check Periodo Ref.]:[Check Periodo Ref.]]="Dentro",IF(DATOS_[[Check Equiparado]:[Check Equiparado]]="Sí",IF(DATOS!BI$5="Sí",(1/DATOS_[[% anualiz]:[% anualiz]]),1)*IF(DATOS!BI$4="Sí",1/DATOS_[[% normaliz]:[% normaliz]],1)*(DATOS_[C.Extra.01])))))))),
0)</f>
        <v>0</v>
      </c>
      <c r="AQ97" s="104">
        <f t="array" ref="AQ97">IFERROR(
(AVERAGE((IF(DATOS_[[Sexo]:[Sexo]]=$B97,IF(DATOS_[[AGRUP. VALOR. PTO.]:[AGRUP. VALOR. PTO.]]=$B96,IF(DATOS_[[Check Periodo Ref.]:[Check Periodo Ref.]]="Dentro",IF(DATOS_[[Check Equiparado]:[Check Equiparado]]="Sí",IF(DATOS!BJ$5="Sí",(1/DATOS_[[% anualiz]:[% anualiz]]),1)*IF(DATOS!BJ$4="Sí",1/DATOS_[[% normaliz]:[% normaliz]],1)*(DATOS_[C.Extra.02])))))))),
0)</f>
        <v>0</v>
      </c>
      <c r="AR97" s="104">
        <f t="array" ref="AR97">IFERROR(
(AVERAGE((IF(DATOS_[[Sexo]:[Sexo]]=$B97,IF(DATOS_[[AGRUP. VALOR. PTO.]:[AGRUP. VALOR. PTO.]]=$B96,IF(DATOS_[[Check Periodo Ref.]:[Check Periodo Ref.]]="Dentro",IF(DATOS_[[Check Equiparado]:[Check Equiparado]]="Sí",IF(DATOS!BK$5="Sí",(1/DATOS_[[% anualiz]:[% anualiz]]),1)*IF(DATOS!BK$4="Sí",1/DATOS_[[% normaliz]:[% normaliz]],1)*(DATOS_[C.Extra.03])))))))),
0)</f>
        <v>0</v>
      </c>
      <c r="AS97" s="104">
        <f t="array" ref="AS97">IFERROR(
(AVERAGE((IF(DATOS_[[Sexo]:[Sexo]]=$B97,IF(DATOS_[[AGRUP. VALOR. PTO.]:[AGRUP. VALOR. PTO.]]=$B96,IF(DATOS_[[Check Periodo Ref.]:[Check Periodo Ref.]]="Dentro",IF(DATOS_[[Check Equiparado]:[Check Equiparado]]="Sí",IF(DATOS!BL$5="Sí",(1/DATOS_[[% anualiz]:[% anualiz]]),1)*IF(DATOS!BL$4="Sí",1/DATOS_[[% normaliz]:[% normaliz]],1)*(DATOS_[C.Extra.04])))))))),
0)</f>
        <v>0</v>
      </c>
      <c r="AT97" s="104">
        <f t="array" ref="AT97">IFERROR(
(AVERAGE((IF(DATOS_[[Sexo]:[Sexo]]=$B97,IF(DATOS_[[AGRUP. VALOR. PTO.]:[AGRUP. VALOR. PTO.]]=$B96,IF(DATOS_[[Check Periodo Ref.]:[Check Periodo Ref.]]="Dentro",IF(DATOS_[[Check Equiparado]:[Check Equiparado]]="Sí",IF(DATOS!BM$5="Sí",(1/DATOS_[[% anualiz]:[% anualiz]]),1)*IF(DATOS!BM$4="Sí",1/DATOS_[[% normaliz]:[% normaliz]],1)*(DATOS_[C.Extra.05])))))))),
0)</f>
        <v>0</v>
      </c>
      <c r="AU97" s="105">
        <f t="array" ref="AU97">IFERROR(
AVERAGE(IF(DATOS_[Sexo]=$B97,IF(DATOS_[[AGRUP. VALOR. PTO.]:[AGRUP. VALOR. PTO.]]=$B96,IF(DATOS_[Check Equiparado]="Sí",IF(DATOS_[Check Periodo Ref.]="Dentro",DATOS_[Tot Extrasalarial Eq],FALSE))))),
0)</f>
        <v>0</v>
      </c>
      <c r="AV97" s="106">
        <f t="array" ref="AV97">IFERROR(
AVERAGE(IF(DATOS_[Sexo]=$B97,IF(DATOS_[[AGRUP. VALOR. PTO.]:[AGRUP. VALOR. PTO.]]=$B96,IF(DATOS_[Check Equiparado]="Sí",IF(DATOS_[Check Periodo Ref.]="Dentro",DATOS_[TOTAL Retrib Eq],FALSE))))),
0)</f>
        <v>0</v>
      </c>
    </row>
    <row r="98" spans="1:48" hidden="1" x14ac:dyDescent="0.3">
      <c r="A98" s="53" t="str">
        <f t="shared" ref="A98" si="114">+A97</f>
        <v>[ocultar]</v>
      </c>
      <c r="B98" s="57" t="s">
        <v>163</v>
      </c>
      <c r="C98" s="56">
        <f t="array" ref="C98">SUM(IF($B98=DATOS_[Sexo],
IF($B96=DATOS_[AGRUP. VALOR. PTO.],
IF("Dentro"=DATOS_[Check Periodo Ref.],
1/(COUNTIFS(DATOS_[Sexo],$B98,DATOS_[AGRUP. VALOR. PTO.],$B96,DATOS_[Check Periodo Ref.],"Dentro",DATOS_[id],DATOS_[id]))))))</f>
        <v>0</v>
      </c>
      <c r="D98" s="58">
        <f>COUNTIFS(DATOS_[AGRUP. VALOR. PTO.],$B96,DATOS_[Sexo],$B98,DATOS_[Check Periodo Ref.],"Dentro")</f>
        <v>0</v>
      </c>
      <c r="E98" s="58">
        <f>COUNTIFS(DATOS_[AGRUP. VALOR. PTO.],$B96,DATOS_[Sexo],$B98,DATOS_[Check Periodo Ref.],"Dentro",DATOS_[Check Nº SC Norm],"Sí")</f>
        <v>0</v>
      </c>
      <c r="F98" s="58">
        <f>COUNTIFS(DATOS_[AGRUP. VALOR. PTO.],$B96,DATOS_[Sexo],$B98,DATOS_[Check Periodo Ref.],"Dentro",DATOS_[Check Nº SC Anualiz],"Sí")</f>
        <v>0</v>
      </c>
      <c r="G98" s="58">
        <f>COUNTIFS(DATOS_[AGRUP. VALOR. PTO.],$B96,DATOS_[Sexo],$B98,DATOS_[Check Periodo Ref.],"Dentro",DATOS_[Check Nº SC Norm y Anualiz],"Sí")</f>
        <v>0</v>
      </c>
      <c r="H98" s="58">
        <f>COUNTIFS(DATOS_[AGRUP. VALOR. PTO.],$B96,DATOS_[Sexo],$B98,DATOS_[Check Periodo Ref.],"Dentro",DATOS_[Check Equiparación],"Sí")</f>
        <v>0</v>
      </c>
      <c r="I98" s="100" cm="1">
        <f t="array" ref="I98">IFERROR(
AVERAGE(IF(DATOS_[Sexo]=$B98,IF(DATOS_[[AGRUP. VALOR. PTO.]:[AGRUP. VALOR. PTO.]]=$B96,IF(DATOS_[Check Equiparado]="Sí",IF(DATOS_[Check Periodo Ref.]="Dentro",DATOS_[SALARIO BASE Eq],FALSE))))),
0)</f>
        <v>0</v>
      </c>
      <c r="J98" s="101">
        <f t="array" ref="J98">IFERROR(
(AVERAGE((IF(DATOS_[[Sexo]:[Sexo]]=$B98,IF(DATOS_[[AGRUP. VALOR. PTO.]:[AGRUP. VALOR. PTO.]]=$B96,IF(DATOS_[[Check Periodo Ref.]:[Check Periodo Ref.]]="Dentro",IF(DATOS_[[Check Equiparado]:[Check Equiparado]]="Sí",IF(DATOS!AE$5="Sí",(1/DATOS_[[% anualiz]:[% anualiz]]),1)*IF(DATOS!AE$4="Sí",1/DATOS_[[% normaliz]:[% normaliz]],1)*(DATOS_[Conc.Sal.01])))))))),
0)</f>
        <v>0</v>
      </c>
      <c r="K98" s="101">
        <f t="array" ref="K98">IFERROR(
(AVERAGE((IF(DATOS_[[Sexo]:[Sexo]]=$B98,IF(DATOS_[[AGRUP. VALOR. PTO.]:[AGRUP. VALOR. PTO.]]=$B96,IF(DATOS_[[Check Periodo Ref.]:[Check Periodo Ref.]]="Dentro",IF(DATOS_[[Check Equiparado]:[Check Equiparado]]="Sí",IF(DATOS!AF$5="Sí",(1/DATOS_[[% anualiz]:[% anualiz]]),1)*IF(DATOS!AF$4="Sí",1/DATOS_[[% normaliz]:[% normaliz]],1)*(DATOS_[Conc.Sal.02])))))))),
0)</f>
        <v>0</v>
      </c>
      <c r="L98" s="101">
        <f t="array" ref="L98">IFERROR(
(AVERAGE((IF(DATOS_[[Sexo]:[Sexo]]=$B98,IF(DATOS_[[AGRUP. VALOR. PTO.]:[AGRUP. VALOR. PTO.]]=$B96,IF(DATOS_[[Check Periodo Ref.]:[Check Periodo Ref.]]="Dentro",IF(DATOS_[[Check Equiparado]:[Check Equiparado]]="Sí",IF(DATOS!AG$5="Sí",(1/DATOS_[[% anualiz]:[% anualiz]]),1)*IF(DATOS!AG$4="Sí",1/DATOS_[[% normaliz]:[% normaliz]],1)*(DATOS_[Conc.Sal.03])))))))),
0)</f>
        <v>0</v>
      </c>
      <c r="M98" s="101">
        <f t="array" ref="M98">IFERROR(
(AVERAGE((IF(DATOS_[[Sexo]:[Sexo]]=$B98,IF(DATOS_[[AGRUP. VALOR. PTO.]:[AGRUP. VALOR. PTO.]]=$B96,IF(DATOS_[[Check Periodo Ref.]:[Check Periodo Ref.]]="Dentro",IF(DATOS_[[Check Equiparado]:[Check Equiparado]]="Sí",IF(DATOS!AH$5="Sí",(1/DATOS_[[% anualiz]:[% anualiz]]),1)*IF(DATOS!AH$4="Sí",1/DATOS_[[% normaliz]:[% normaliz]],1)*(DATOS_[Conc.Sal.04])))))))),
0)</f>
        <v>0</v>
      </c>
      <c r="N98" s="101">
        <f t="array" ref="N98">IFERROR(
(AVERAGE((IF(DATOS_[[Sexo]:[Sexo]]=$B98,IF(DATOS_[[AGRUP. VALOR. PTO.]:[AGRUP. VALOR. PTO.]]=$B96,IF(DATOS_[[Check Periodo Ref.]:[Check Periodo Ref.]]="Dentro",IF(DATOS_[[Check Equiparado]:[Check Equiparado]]="Sí",IF(DATOS!AI$5="Sí",(1/DATOS_[[% anualiz]:[% anualiz]]),1)*IF(DATOS!AI$4="Sí",1/DATOS_[[% normaliz]:[% normaliz]],1)*(DATOS_[Conc.Sal.05])))))))),
0)</f>
        <v>0</v>
      </c>
      <c r="O98" s="101">
        <f t="array" ref="O98">IFERROR(
(AVERAGE((IF(DATOS_[[Sexo]:[Sexo]]=$B98,IF(DATOS_[[AGRUP. VALOR. PTO.]:[AGRUP. VALOR. PTO.]]=$B96,IF(DATOS_[[Check Periodo Ref.]:[Check Periodo Ref.]]="Dentro",IF(DATOS_[[Check Equiparado]:[Check Equiparado]]="Sí",IF(DATOS!AJ$5="Sí",(1/DATOS_[[% anualiz]:[% anualiz]]),1)*IF(DATOS!AJ$4="Sí",1/DATOS_[[% normaliz]:[% normaliz]],1)*(DATOS_[Conc.Sal.06])))))))),
0)</f>
        <v>0</v>
      </c>
      <c r="P98" s="101">
        <f t="array" ref="P98">IFERROR(
(AVERAGE((IF(DATOS_[[Sexo]:[Sexo]]=$B98,IF(DATOS_[[AGRUP. VALOR. PTO.]:[AGRUP. VALOR. PTO.]]=$B96,IF(DATOS_[[Check Periodo Ref.]:[Check Periodo Ref.]]="Dentro",IF(DATOS_[[Check Equiparado]:[Check Equiparado]]="Sí",IF(DATOS!AK$5="Sí",(1/DATOS_[[% anualiz]:[% anualiz]]),1)*IF(DATOS!AK$4="Sí",1/DATOS_[[% normaliz]:[% normaliz]],1)*(DATOS_[Conc.Sal.07])))))))),
0)</f>
        <v>0</v>
      </c>
      <c r="Q98" s="101">
        <f t="array" ref="Q98">IFERROR(
(AVERAGE((IF(DATOS_[[Sexo]:[Sexo]]=$B98,IF(DATOS_[[AGRUP. VALOR. PTO.]:[AGRUP. VALOR. PTO.]]=$B96,IF(DATOS_[[Check Periodo Ref.]:[Check Periodo Ref.]]="Dentro",IF(DATOS_[[Check Equiparado]:[Check Equiparado]]="Sí",IF(DATOS!AL$5="Sí",(1/DATOS_[[% anualiz]:[% anualiz]]),1)*IF(DATOS!AL$4="Sí",1/DATOS_[[% normaliz]:[% normaliz]],1)*(DATOS_[Conc.Sal.08])))))))),
0)</f>
        <v>0</v>
      </c>
      <c r="R98" s="101">
        <f t="array" ref="R98">IFERROR(
(AVERAGE((IF(DATOS_[[Sexo]:[Sexo]]=$B98,IF(DATOS_[[AGRUP. VALOR. PTO.]:[AGRUP. VALOR. PTO.]]=$B96,IF(DATOS_[[Check Periodo Ref.]:[Check Periodo Ref.]]="Dentro",IF(DATOS_[[Check Equiparado]:[Check Equiparado]]="Sí",IF(DATOS!AM$5="Sí",(1/DATOS_[[% anualiz]:[% anualiz]]),1)*IF(DATOS!AM$4="Sí",1/DATOS_[[% normaliz]:[% normaliz]],1)*(DATOS_[Conc.Sal.09])))))))),
0)</f>
        <v>0</v>
      </c>
      <c r="S98" s="101">
        <f t="array" ref="S98">IFERROR(
(AVERAGE((IF(DATOS_[[Sexo]:[Sexo]]=$B98,IF(DATOS_[[AGRUP. VALOR. PTO.]:[AGRUP. VALOR. PTO.]]=$B96,IF(DATOS_[[Check Periodo Ref.]:[Check Periodo Ref.]]="Dentro",IF(DATOS_[[Check Equiparado]:[Check Equiparado]]="Sí",IF(DATOS!AN$5="Sí",(1/DATOS_[[% anualiz]:[% anualiz]]),1)*IF(DATOS!AN$4="Sí",1/DATOS_[[% normaliz]:[% normaliz]],1)*(DATOS_[Conc.Sal.10])))))))),
0)</f>
        <v>0</v>
      </c>
      <c r="T98" s="101">
        <f t="array" ref="T98">IFERROR(
(AVERAGE((IF(DATOS_[[Sexo]:[Sexo]]=$B98,IF(DATOS_[[AGRUP. VALOR. PTO.]:[AGRUP. VALOR. PTO.]]=$B96,IF(DATOS_[[Check Periodo Ref.]:[Check Periodo Ref.]]="Dentro",IF(DATOS_[[Check Equiparado]:[Check Equiparado]]="Sí",IF(DATOS!AO$5="Sí",(1/DATOS_[[% anualiz]:[% anualiz]]),1)*IF(DATOS!AO$4="Sí",1/DATOS_[[% normaliz]:[% normaliz]],1)*(DATOS_[Conc.Sal.11])))))))),
0)</f>
        <v>0</v>
      </c>
      <c r="U98" s="101">
        <f t="array" ref="U98">IFERROR(
(AVERAGE((IF(DATOS_[[Sexo]:[Sexo]]=$B98,IF(DATOS_[[AGRUP. VALOR. PTO.]:[AGRUP. VALOR. PTO.]]=$B96,IF(DATOS_[[Check Periodo Ref.]:[Check Periodo Ref.]]="Dentro",IF(DATOS_[[Check Equiparado]:[Check Equiparado]]="Sí",IF(DATOS!AP$5="Sí",(1/DATOS_[[% anualiz]:[% anualiz]]),1)*IF(DATOS!AP$4="Sí",1/DATOS_[[% normaliz]:[% normaliz]],1)*(DATOS_[Conc.Sal.12])))))))),
0)</f>
        <v>0</v>
      </c>
      <c r="V98" s="101">
        <f t="array" ref="V98">IFERROR(
(AVERAGE((IF(DATOS_[[Sexo]:[Sexo]]=$B98,IF(DATOS_[[AGRUP. VALOR. PTO.]:[AGRUP. VALOR. PTO.]]=$B96,IF(DATOS_[[Check Periodo Ref.]:[Check Periodo Ref.]]="Dentro",IF(DATOS_[[Check Equiparado]:[Check Equiparado]]="Sí",IF(DATOS!AQ$5="Sí",(1/DATOS_[[% anualiz]:[% anualiz]]),1)*IF(DATOS!AQ$4="Sí",1/DATOS_[[% normaliz]:[% normaliz]],1)*(DATOS_[Conc.Sal.13])))))))),
0)</f>
        <v>0</v>
      </c>
      <c r="W98" s="101">
        <f t="array" ref="W98">IFERROR(
(AVERAGE((IF(DATOS_[[Sexo]:[Sexo]]=$B98,IF(DATOS_[[AGRUP. VALOR. PTO.]:[AGRUP. VALOR. PTO.]]=$B96,IF(DATOS_[[Check Periodo Ref.]:[Check Periodo Ref.]]="Dentro",IF(DATOS_[[Check Equiparado]:[Check Equiparado]]="Sí",IF(DATOS!AR$5="Sí",(1/DATOS_[[% anualiz]:[% anualiz]]),1)*IF(DATOS!AR$4="Sí",1/DATOS_[[% normaliz]:[% normaliz]],1)*(DATOS_[Conc.Sal.14])))))))),
0)</f>
        <v>0</v>
      </c>
      <c r="X98" s="101">
        <f t="array" ref="X98">IFERROR(
(AVERAGE((IF(DATOS_[[Sexo]:[Sexo]]=$B98,IF(DATOS_[[AGRUP. VALOR. PTO.]:[AGRUP. VALOR. PTO.]]=$B96,IF(DATOS_[[Check Periodo Ref.]:[Check Periodo Ref.]]="Dentro",IF(DATOS_[[Check Equiparado]:[Check Equiparado]]="Sí",IF(DATOS!AS$5="Sí",(1/DATOS_[[% anualiz]:[% anualiz]]),1)*IF(DATOS!AS$4="Sí",1/DATOS_[[% normaliz]:[% normaliz]],1)*(DATOS_[Conc.Sal.15])))))))),
0)</f>
        <v>0</v>
      </c>
      <c r="Y98" s="101">
        <f t="array" ref="Y98">IFERROR(
(AVERAGE((IF(DATOS_[[Sexo]:[Sexo]]=$B98,IF(DATOS_[[AGRUP. VALOR. PTO.]:[AGRUP. VALOR. PTO.]]=$B96,IF(DATOS_[[Check Periodo Ref.]:[Check Periodo Ref.]]="Dentro",IF(DATOS_[[Check Equiparado]:[Check Equiparado]]="Sí",IF(DATOS!AT$5="Sí",(1/DATOS_[[% anualiz]:[% anualiz]]),1)*IF(DATOS!AT$4="Sí",1/DATOS_[[% normaliz]:[% normaliz]],1)*(DATOS_[Conc.Sal.16])))))))),
0)</f>
        <v>0</v>
      </c>
      <c r="Z98" s="101">
        <f t="array" ref="Z98">IFERROR(
(AVERAGE((IF(DATOS_[[Sexo]:[Sexo]]=$B98,IF(DATOS_[[AGRUP. VALOR. PTO.]:[AGRUP. VALOR. PTO.]]=$B96,IF(DATOS_[[Check Periodo Ref.]:[Check Periodo Ref.]]="Dentro",IF(DATOS_[[Check Equiparado]:[Check Equiparado]]="Sí",IF(DATOS!AU$5="Sí",(1/DATOS_[[% anualiz]:[% anualiz]]),1)*IF(DATOS!AU$4="Sí",1/DATOS_[[% normaliz]:[% normaliz]],1)*(DATOS_[Conc.Sal.17])))))))),
0)</f>
        <v>0</v>
      </c>
      <c r="AA98" s="101">
        <f t="array" ref="AA98">IFERROR(
(AVERAGE((IF(DATOS_[[Sexo]:[Sexo]]=$B98,IF(DATOS_[[AGRUP. VALOR. PTO.]:[AGRUP. VALOR. PTO.]]=$B96,IF(DATOS_[[Check Periodo Ref.]:[Check Periodo Ref.]]="Dentro",IF(DATOS_[[Check Equiparado]:[Check Equiparado]]="Sí",IF(DATOS!AV$5="Sí",(1/DATOS_[[% anualiz]:[% anualiz]]),1)*IF(DATOS!AV$4="Sí",1/DATOS_[[% normaliz]:[% normaliz]],1)*(DATOS_[Conc.Sal.18])))))))),
0)</f>
        <v>0</v>
      </c>
      <c r="AB98" s="101">
        <f t="array" ref="AB98">IFERROR(
(AVERAGE((IF(DATOS_[[Sexo]:[Sexo]]=$B98,IF(DATOS_[[AGRUP. VALOR. PTO.]:[AGRUP. VALOR. PTO.]]=$B96,IF(DATOS_[[Check Periodo Ref.]:[Check Periodo Ref.]]="Dentro",IF(DATOS_[[Check Equiparado]:[Check Equiparado]]="Sí",IF(DATOS!AW$5="Sí",(1/DATOS_[[% anualiz]:[% anualiz]]),1)*IF(DATOS!AW$4="Sí",1/DATOS_[[% normaliz]:[% normaliz]],1)*(DATOS_[Conc.Sal.19])))))))),
0)</f>
        <v>0</v>
      </c>
      <c r="AC98" s="101">
        <f t="array" ref="AC98">IFERROR(
(AVERAGE((IF(DATOS_[[Sexo]:[Sexo]]=$B98,IF(DATOS_[[AGRUP. VALOR. PTO.]:[AGRUP. VALOR. PTO.]]=$B96,IF(DATOS_[[Check Periodo Ref.]:[Check Periodo Ref.]]="Dentro",IF(DATOS_[[Check Equiparado]:[Check Equiparado]]="Sí",IF(DATOS!AX$5="Sí",(1/DATOS_[[% anualiz]:[% anualiz]]),1)*IF(DATOS!AX$4="Sí",1/DATOS_[[% normaliz]:[% normaliz]],1)*(DATOS_[Conc.Sal.20])))))))),
0)</f>
        <v>0</v>
      </c>
      <c r="AD98" s="101">
        <f t="array" ref="AD98">IFERROR(
(AVERAGE((IF(DATOS_[[Sexo]:[Sexo]]=$B98,IF(DATOS_[[AGRUP. VALOR. PTO.]:[AGRUP. VALOR. PTO.]]=$B96,IF(DATOS_[[Check Periodo Ref.]:[Check Periodo Ref.]]="Dentro",IF(DATOS_[[Check Equiparado]:[Check Equiparado]]="Sí",IF(DATOS!AY$5="Sí",(1/DATOS_[[% anualiz]:[% anualiz]]),1)*IF(DATOS!AY$4="Sí",1/DATOS_[[% normaliz]:[% normaliz]],1)*(DATOS_[Conc.Sal.21])))))))),
0)</f>
        <v>0</v>
      </c>
      <c r="AE98" s="101">
        <f t="array" ref="AE98">IFERROR(
(AVERAGE((IF(DATOS_[[Sexo]:[Sexo]]=$B98,IF(DATOS_[[AGRUP. VALOR. PTO.]:[AGRUP. VALOR. PTO.]]=$B96,IF(DATOS_[[Check Periodo Ref.]:[Check Periodo Ref.]]="Dentro",IF(DATOS_[[Check Equiparado]:[Check Equiparado]]="Sí",IF(DATOS!AZ$5="Sí",(1/DATOS_[[% anualiz]:[% anualiz]]),1)*IF(DATOS!AZ$4="Sí",1/DATOS_[[% normaliz]:[% normaliz]],1)*(DATOS_[Conc.Sal.22])))))))),
0)</f>
        <v>0</v>
      </c>
      <c r="AF98" s="101">
        <f t="array" ref="AF98">IFERROR(
(AVERAGE((IF(DATOS_[[Sexo]:[Sexo]]=$B98,IF(DATOS_[[AGRUP. VALOR. PTO.]:[AGRUP. VALOR. PTO.]]=$B96,IF(DATOS_[[Check Periodo Ref.]:[Check Periodo Ref.]]="Dentro",IF(DATOS_[[Check Equiparado]:[Check Equiparado]]="Sí",IF(DATOS!BA$5="Sí",(1/DATOS_[[% anualiz]:[% anualiz]]),1)*IF(DATOS!BA$4="Sí",1/DATOS_[[% normaliz]:[% normaliz]],1)*(DATOS_[Conc.Sal.23])))))))),
0)</f>
        <v>0</v>
      </c>
      <c r="AG98" s="101">
        <f t="array" ref="AG98">IFERROR(
(AVERAGE((IF(DATOS_[[Sexo]:[Sexo]]=$B98,IF(DATOS_[[AGRUP. VALOR. PTO.]:[AGRUP. VALOR. PTO.]]=$B96,IF(DATOS_[[Check Periodo Ref.]:[Check Periodo Ref.]]="Dentro",IF(DATOS_[[Check Equiparado]:[Check Equiparado]]="Sí",IF(DATOS!BB$5="Sí",(1/DATOS_[[% anualiz]:[% anualiz]]),1)*IF(DATOS!BB$4="Sí",1/DATOS_[[% normaliz]:[% normaliz]],1)*(DATOS_[Conc.Sal.24])))))))),
0)</f>
        <v>0</v>
      </c>
      <c r="AH98" s="101">
        <f t="array" ref="AH98">IFERROR(
(AVERAGE((IF(DATOS_[[Sexo]:[Sexo]]=$B98,IF(DATOS_[[AGRUP. VALOR. PTO.]:[AGRUP. VALOR. PTO.]]=$B96,IF(DATOS_[[Check Periodo Ref.]:[Check Periodo Ref.]]="Dentro",IF(DATOS_[[Check Equiparado]:[Check Equiparado]]="Sí",IF(DATOS!BC$5="Sí",(1/DATOS_[[% anualiz]:[% anualiz]]),1)*IF(DATOS!BC$4="Sí",1/DATOS_[[% normaliz]:[% normaliz]],1)*(DATOS_[Conc.Sal.25])))))))),
0)</f>
        <v>0</v>
      </c>
      <c r="AI98" s="101">
        <f t="array" ref="AI98">IFERROR(
(AVERAGE((IF(DATOS_[[Sexo]:[Sexo]]=$B98,IF(DATOS_[[AGRUP. VALOR. PTO.]:[AGRUP. VALOR. PTO.]]=$B96,IF(DATOS_[[Check Periodo Ref.]:[Check Periodo Ref.]]="Dentro",IF(DATOS_[[Check Equiparado]:[Check Equiparado]]="Sí",IF(DATOS!BD$5="Sí",(1/DATOS_[[% anualiz]:[% anualiz]]),1)*IF(DATOS!BD$4="Sí",1/DATOS_[[% normaliz]:[% normaliz]],1)*(DATOS_[Conc.Sal.26])))))))),
0)</f>
        <v>0</v>
      </c>
      <c r="AJ98" s="101">
        <f t="array" ref="AJ98">IFERROR(
(AVERAGE((IF(DATOS_[[Sexo]:[Sexo]]=$B98,IF(DATOS_[[AGRUP. VALOR. PTO.]:[AGRUP. VALOR. PTO.]]=$B96,IF(DATOS_[[Check Periodo Ref.]:[Check Periodo Ref.]]="Dentro",IF(DATOS_[[Check Equiparado]:[Check Equiparado]]="Sí",IF(DATOS!BE$5="Sí",(1/DATOS_[[% anualiz]:[% anualiz]]),1)*IF(DATOS!BE$4="Sí",1/DATOS_[[% normaliz]:[% normaliz]],1)*(DATOS_[Conc.Sal.27])))))))),
0)</f>
        <v>0</v>
      </c>
      <c r="AK98" s="101">
        <f t="array" ref="AK98">IFERROR(
(AVERAGE((IF(DATOS_[[Sexo]:[Sexo]]=$B98,IF(DATOS_[[AGRUP. VALOR. PTO.]:[AGRUP. VALOR. PTO.]]=$B96,IF(DATOS_[[Check Periodo Ref.]:[Check Periodo Ref.]]="Dentro",IF(DATOS_[[Check Equiparado]:[Check Equiparado]]="Sí",IF(DATOS!BF$5="Sí",(1/DATOS_[[% anualiz]:[% anualiz]]),1)*IF(DATOS!BF$4="Sí",1/DATOS_[[% normaliz]:[% normaliz]],1)*(DATOS_[Conc.Sal.28])))))))),
0)</f>
        <v>0</v>
      </c>
      <c r="AL98" s="101">
        <f t="array" ref="AL98">IFERROR(
(AVERAGE((IF(DATOS_[[Sexo]:[Sexo]]=$B98,IF(DATOS_[[AGRUP. VALOR. PTO.]:[AGRUP. VALOR. PTO.]]=$B96,IF(DATOS_[[Check Periodo Ref.]:[Check Periodo Ref.]]="Dentro",IF(DATOS_[[Check Equiparado]:[Check Equiparado]]="Sí",IF(DATOS!BG$5="Sí",(1/DATOS_[[% anualiz]:[% anualiz]]),1)*IF(DATOS!BG$4="Sí",1/DATOS_[[% normaliz]:[% normaliz]],1)*(DATOS_[Conc.Sal.29])))))))),
0)</f>
        <v>0</v>
      </c>
      <c r="AM98" s="101">
        <f t="array" ref="AM98">IFERROR(
(AVERAGE((IF(DATOS_[[Sexo]:[Sexo]]=$B98,IF(DATOS_[[AGRUP. VALOR. PTO.]:[AGRUP. VALOR. PTO.]]=$B96,IF(DATOS_[[Check Periodo Ref.]:[Check Periodo Ref.]]="Dentro",IF(DATOS_[[Check Equiparado]:[Check Equiparado]]="Sí",IF(DATOS!BH$5="Sí",(1/DATOS_[[% anualiz]:[% anualiz]]),1)*IF(DATOS!BH$4="Sí",1/DATOS_[[% normaliz]:[% normaliz]],1)*(DATOS_[Conc.Sal.30])))))))),
0)</f>
        <v>0</v>
      </c>
      <c r="AN98" s="102">
        <f t="array" ref="AN98">IFERROR(
AVERAGE(IF(DATOS_[Sexo]=$B98,IF(DATOS_[[AGRUP. VALOR. PTO.]:[AGRUP. VALOR. PTO.]]=$B96,IF(DATOS_[Check Equiparado]="Sí",IF(DATOS_[Check Periodo Ref.]="Dentro",DATOS_[Tot COMPL.SAL Eq],FALSE))))),
0)</f>
        <v>0</v>
      </c>
      <c r="AO98" s="103">
        <f t="array" ref="AO98">IFERROR(
AVERAGE(IF(DATOS_[Sexo]=$B98,IF(DATOS_[[AGRUP. VALOR. PTO.]:[AGRUP. VALOR. PTO.]]=$B96,IF(DATOS_[Check Equiparado]="Sí",IF(DATOS_[Check Periodo Ref.]="Dentro",DATOS_[TOTAL SALARIO Eq],FALSE))))),
0)</f>
        <v>0</v>
      </c>
      <c r="AP98" s="104">
        <f t="array" ref="AP98">IFERROR(
(AVERAGE((IF(DATOS_[[Sexo]:[Sexo]]=$B98,IF(DATOS_[[AGRUP. VALOR. PTO.]:[AGRUP. VALOR. PTO.]]=$B96,IF(DATOS_[[Check Periodo Ref.]:[Check Periodo Ref.]]="Dentro",IF(DATOS_[[Check Equiparado]:[Check Equiparado]]="Sí",IF(DATOS!BI$5="Sí",(1/DATOS_[[% anualiz]:[% anualiz]]),1)*IF(DATOS!BI$4="Sí",1/DATOS_[[% normaliz]:[% normaliz]],1)*(DATOS_[C.Extra.01])))))))),
0)</f>
        <v>0</v>
      </c>
      <c r="AQ98" s="104">
        <f t="array" ref="AQ98">IFERROR(
(AVERAGE((IF(DATOS_[[Sexo]:[Sexo]]=$B98,IF(DATOS_[[AGRUP. VALOR. PTO.]:[AGRUP. VALOR. PTO.]]=$B96,IF(DATOS_[[Check Periodo Ref.]:[Check Periodo Ref.]]="Dentro",IF(DATOS_[[Check Equiparado]:[Check Equiparado]]="Sí",IF(DATOS!BJ$5="Sí",(1/DATOS_[[% anualiz]:[% anualiz]]),1)*IF(DATOS!BJ$4="Sí",1/DATOS_[[% normaliz]:[% normaliz]],1)*(DATOS_[C.Extra.02])))))))),
0)</f>
        <v>0</v>
      </c>
      <c r="AR98" s="104">
        <f t="array" ref="AR98">IFERROR(
(AVERAGE((IF(DATOS_[[Sexo]:[Sexo]]=$B98,IF(DATOS_[[AGRUP. VALOR. PTO.]:[AGRUP. VALOR. PTO.]]=$B96,IF(DATOS_[[Check Periodo Ref.]:[Check Periodo Ref.]]="Dentro",IF(DATOS_[[Check Equiparado]:[Check Equiparado]]="Sí",IF(DATOS!BK$5="Sí",(1/DATOS_[[% anualiz]:[% anualiz]]),1)*IF(DATOS!BK$4="Sí",1/DATOS_[[% normaliz]:[% normaliz]],1)*(DATOS_[C.Extra.03])))))))),
0)</f>
        <v>0</v>
      </c>
      <c r="AS98" s="104">
        <f t="array" ref="AS98">IFERROR(
(AVERAGE((IF(DATOS_[[Sexo]:[Sexo]]=$B98,IF(DATOS_[[AGRUP. VALOR. PTO.]:[AGRUP. VALOR. PTO.]]=$B96,IF(DATOS_[[Check Periodo Ref.]:[Check Periodo Ref.]]="Dentro",IF(DATOS_[[Check Equiparado]:[Check Equiparado]]="Sí",IF(DATOS!BL$5="Sí",(1/DATOS_[[% anualiz]:[% anualiz]]),1)*IF(DATOS!BL$4="Sí",1/DATOS_[[% normaliz]:[% normaliz]],1)*(DATOS_[C.Extra.04])))))))),
0)</f>
        <v>0</v>
      </c>
      <c r="AT98" s="104">
        <f t="array" ref="AT98">IFERROR(
(AVERAGE((IF(DATOS_[[Sexo]:[Sexo]]=$B98,IF(DATOS_[[AGRUP. VALOR. PTO.]:[AGRUP. VALOR. PTO.]]=$B96,IF(DATOS_[[Check Periodo Ref.]:[Check Periodo Ref.]]="Dentro",IF(DATOS_[[Check Equiparado]:[Check Equiparado]]="Sí",IF(DATOS!BM$5="Sí",(1/DATOS_[[% anualiz]:[% anualiz]]),1)*IF(DATOS!BM$4="Sí",1/DATOS_[[% normaliz]:[% normaliz]],1)*(DATOS_[C.Extra.05])))))))),
0)</f>
        <v>0</v>
      </c>
      <c r="AU98" s="105">
        <f t="array" ref="AU98">IFERROR(
AVERAGE(IF(DATOS_[Sexo]=$B98,IF(DATOS_[[AGRUP. VALOR. PTO.]:[AGRUP. VALOR. PTO.]]=$B96,IF(DATOS_[Check Equiparado]="Sí",IF(DATOS_[Check Periodo Ref.]="Dentro",DATOS_[Tot Extrasalarial Eq],FALSE))))),
0)</f>
        <v>0</v>
      </c>
      <c r="AV98" s="106">
        <f t="array" ref="AV98">IFERROR(
AVERAGE(IF(DATOS_[Sexo]=$B98,IF(DATOS_[[AGRUP. VALOR. PTO.]:[AGRUP. VALOR. PTO.]]=$B96,IF(DATOS_[Check Equiparado]="Sí",IF(DATOS_[Check Periodo Ref.]="Dentro",DATOS_[TOTAL Retrib Eq],FALSE))))),
0)</f>
        <v>0</v>
      </c>
    </row>
    <row r="99" spans="1:48" ht="17.25" hidden="1" thickBot="1" x14ac:dyDescent="0.35">
      <c r="A99" s="53" t="str">
        <f t="shared" ref="A99" si="115">+A100</f>
        <v>[ocultar]</v>
      </c>
      <c r="B99" s="62" t="s">
        <v>288</v>
      </c>
      <c r="C99" s="99"/>
      <c r="D99" s="63"/>
      <c r="E99" s="63"/>
      <c r="F99" s="63"/>
      <c r="G99" s="63"/>
      <c r="H99" s="63"/>
      <c r="I99" s="129" t="str">
        <f t="shared" ref="I99:AV99" si="116">IFERROR((I100-I101)/I100,"")</f>
        <v/>
      </c>
      <c r="J99" s="130" t="str">
        <f t="shared" si="116"/>
        <v/>
      </c>
      <c r="K99" s="131" t="str">
        <f t="shared" si="116"/>
        <v/>
      </c>
      <c r="L99" s="131" t="str">
        <f t="shared" si="116"/>
        <v/>
      </c>
      <c r="M99" s="131" t="str">
        <f t="shared" si="116"/>
        <v/>
      </c>
      <c r="N99" s="132" t="str">
        <f t="shared" si="116"/>
        <v/>
      </c>
      <c r="O99" s="133" t="str">
        <f t="shared" si="116"/>
        <v/>
      </c>
      <c r="P99" s="133" t="str">
        <f t="shared" si="116"/>
        <v/>
      </c>
      <c r="Q99" s="133" t="str">
        <f t="shared" si="116"/>
        <v/>
      </c>
      <c r="R99" s="133" t="str">
        <f t="shared" si="116"/>
        <v/>
      </c>
      <c r="S99" s="133" t="str">
        <f t="shared" si="116"/>
        <v/>
      </c>
      <c r="T99" s="133" t="str">
        <f t="shared" si="116"/>
        <v/>
      </c>
      <c r="U99" s="133" t="str">
        <f t="shared" si="116"/>
        <v/>
      </c>
      <c r="V99" s="133" t="str">
        <f t="shared" si="116"/>
        <v/>
      </c>
      <c r="W99" s="133" t="str">
        <f t="shared" si="116"/>
        <v/>
      </c>
      <c r="X99" s="133" t="str">
        <f t="shared" si="116"/>
        <v/>
      </c>
      <c r="Y99" s="133" t="str">
        <f t="shared" si="116"/>
        <v/>
      </c>
      <c r="Z99" s="132" t="str">
        <f t="shared" si="116"/>
        <v/>
      </c>
      <c r="AA99" s="132" t="str">
        <f t="shared" si="116"/>
        <v/>
      </c>
      <c r="AB99" s="132" t="str">
        <f t="shared" si="116"/>
        <v/>
      </c>
      <c r="AC99" s="132" t="str">
        <f t="shared" si="116"/>
        <v/>
      </c>
      <c r="AD99" s="132" t="str">
        <f t="shared" si="116"/>
        <v/>
      </c>
      <c r="AE99" s="132" t="str">
        <f t="shared" si="116"/>
        <v/>
      </c>
      <c r="AF99" s="132" t="str">
        <f t="shared" si="116"/>
        <v/>
      </c>
      <c r="AG99" s="132" t="str">
        <f t="shared" si="116"/>
        <v/>
      </c>
      <c r="AH99" s="132" t="str">
        <f t="shared" si="116"/>
        <v/>
      </c>
      <c r="AI99" s="132" t="str">
        <f t="shared" si="116"/>
        <v/>
      </c>
      <c r="AJ99" s="132" t="str">
        <f t="shared" si="116"/>
        <v/>
      </c>
      <c r="AK99" s="132" t="str">
        <f t="shared" si="116"/>
        <v/>
      </c>
      <c r="AL99" s="132" t="str">
        <f t="shared" si="116"/>
        <v/>
      </c>
      <c r="AM99" s="132" t="str">
        <f t="shared" si="116"/>
        <v/>
      </c>
      <c r="AN99" s="134" t="str">
        <f t="shared" si="116"/>
        <v/>
      </c>
      <c r="AO99" s="138" t="str">
        <f t="shared" si="116"/>
        <v/>
      </c>
      <c r="AP99" s="135" t="str">
        <f t="shared" si="116"/>
        <v/>
      </c>
      <c r="AQ99" s="135" t="str">
        <f t="shared" si="116"/>
        <v/>
      </c>
      <c r="AR99" s="135" t="str">
        <f t="shared" si="116"/>
        <v/>
      </c>
      <c r="AS99" s="135" t="str">
        <f t="shared" si="116"/>
        <v/>
      </c>
      <c r="AT99" s="135" t="str">
        <f t="shared" si="116"/>
        <v/>
      </c>
      <c r="AU99" s="136" t="str">
        <f t="shared" si="116"/>
        <v/>
      </c>
      <c r="AV99" s="137" t="str">
        <f t="shared" si="116"/>
        <v/>
      </c>
    </row>
    <row r="100" spans="1:48" hidden="1" x14ac:dyDescent="0.3">
      <c r="A100" s="53" t="str">
        <f t="shared" ref="A100" si="117">+IF(C100+C101=0,"[ocultar]","")</f>
        <v>[ocultar]</v>
      </c>
      <c r="B100" s="57" t="s">
        <v>162</v>
      </c>
      <c r="C100" s="56">
        <f t="array" ref="C100">SUM(IF($B100=DATOS_[Sexo],
IF($B99=DATOS_[AGRUP. VALOR. PTO.],
IF("Dentro"=DATOS_[Check Periodo Ref.],
1/(COUNTIFS(DATOS_[Sexo],$B100,DATOS_[AGRUP. VALOR. PTO.],$B99,DATOS_[Check Periodo Ref.],"Dentro",DATOS_[id],DATOS_[id]))))))</f>
        <v>0</v>
      </c>
      <c r="D100" s="58">
        <f>COUNTIFS(DATOS_[AGRUP. VALOR. PTO.],$B99,DATOS_[Sexo],$B100,DATOS_[Check Periodo Ref.],"Dentro")</f>
        <v>0</v>
      </c>
      <c r="E100" s="58">
        <f>COUNTIFS(DATOS_[AGRUP. VALOR. PTO.],$B99,DATOS_[Sexo],$B100,DATOS_[Check Periodo Ref.],"Dentro",DATOS_[Check Nº SC Norm],"Sí")</f>
        <v>0</v>
      </c>
      <c r="F100" s="58">
        <f>COUNTIFS(DATOS_[AGRUP. VALOR. PTO.],$B99,DATOS_[Sexo],$B100,DATOS_[Check Periodo Ref.],"Dentro",DATOS_[Check Nº SC Anualiz],"Sí")</f>
        <v>0</v>
      </c>
      <c r="G100" s="58">
        <f>COUNTIFS(DATOS_[AGRUP. VALOR. PTO.],$B99,DATOS_[Sexo],$B100,DATOS_[Check Periodo Ref.],"Dentro",DATOS_[Check Nº SC Norm y Anualiz],"Sí")</f>
        <v>0</v>
      </c>
      <c r="H100" s="58">
        <f>COUNTIFS(DATOS_[AGRUP. VALOR. PTO.],$B99,DATOS_[Sexo],$B100,DATOS_[Check Periodo Ref.],"Dentro",DATOS_[Check Equiparación],"Sí")</f>
        <v>0</v>
      </c>
      <c r="I100" s="100">
        <f t="array" ref="I100">IFERROR(
AVERAGE(IF(DATOS_[Sexo]=$B100,IF(DATOS_[[AGRUP. VALOR. PTO.]:[AGRUP. VALOR. PTO.]]=$B99,IF(DATOS_[Check Equiparado]="Sí",IF(DATOS_[Check Periodo Ref.]="Dentro",DATOS_[SALARIO BASE Eq],FALSE))))),
0)</f>
        <v>0</v>
      </c>
      <c r="J100" s="101">
        <f t="array" ref="J100">IFERROR(
(AVERAGE((IF(DATOS_[[Sexo]:[Sexo]]=$B100,IF(DATOS_[[AGRUP. VALOR. PTO.]:[AGRUP. VALOR. PTO.]]=$B99,IF(DATOS_[[Check Periodo Ref.]:[Check Periodo Ref.]]="Dentro",IF(DATOS_[[Check Equiparado]:[Check Equiparado]]="Sí",IF(DATOS!AE$5="Sí",(1/DATOS_[[% anualiz]:[% anualiz]]),1)*IF(DATOS!AE$4="Sí",1/DATOS_[[% normaliz]:[% normaliz]],1)*(DATOS_[Conc.Sal.01])))))))),
0)</f>
        <v>0</v>
      </c>
      <c r="K100" s="101">
        <f t="array" ref="K100">IFERROR(
(AVERAGE((IF(DATOS_[[Sexo]:[Sexo]]=$B100,IF(DATOS_[[AGRUP. VALOR. PTO.]:[AGRUP. VALOR. PTO.]]=$B99,IF(DATOS_[[Check Periodo Ref.]:[Check Periodo Ref.]]="Dentro",IF(DATOS_[[Check Equiparado]:[Check Equiparado]]="Sí",IF(DATOS!AF$5="Sí",(1/DATOS_[[% anualiz]:[% anualiz]]),1)*IF(DATOS!AF$4="Sí",1/DATOS_[[% normaliz]:[% normaliz]],1)*(DATOS_[Conc.Sal.02])))))))),
0)</f>
        <v>0</v>
      </c>
      <c r="L100" s="101">
        <f t="array" ref="L100">IFERROR(
(AVERAGE((IF(DATOS_[[Sexo]:[Sexo]]=$B100,IF(DATOS_[[AGRUP. VALOR. PTO.]:[AGRUP. VALOR. PTO.]]=$B99,IF(DATOS_[[Check Periodo Ref.]:[Check Periodo Ref.]]="Dentro",IF(DATOS_[[Check Equiparado]:[Check Equiparado]]="Sí",IF(DATOS!AG$5="Sí",(1/DATOS_[[% anualiz]:[% anualiz]]),1)*IF(DATOS!AG$4="Sí",1/DATOS_[[% normaliz]:[% normaliz]],1)*(DATOS_[Conc.Sal.03])))))))),
0)</f>
        <v>0</v>
      </c>
      <c r="M100" s="101">
        <f t="array" ref="M100">IFERROR(
(AVERAGE((IF(DATOS_[[Sexo]:[Sexo]]=$B100,IF(DATOS_[[AGRUP. VALOR. PTO.]:[AGRUP. VALOR. PTO.]]=$B99,IF(DATOS_[[Check Periodo Ref.]:[Check Periodo Ref.]]="Dentro",IF(DATOS_[[Check Equiparado]:[Check Equiparado]]="Sí",IF(DATOS!AH$5="Sí",(1/DATOS_[[% anualiz]:[% anualiz]]),1)*IF(DATOS!AH$4="Sí",1/DATOS_[[% normaliz]:[% normaliz]],1)*(DATOS_[Conc.Sal.04])))))))),
0)</f>
        <v>0</v>
      </c>
      <c r="N100" s="101">
        <f t="array" ref="N100">IFERROR(
(AVERAGE((IF(DATOS_[[Sexo]:[Sexo]]=$B100,IF(DATOS_[[AGRUP. VALOR. PTO.]:[AGRUP. VALOR. PTO.]]=$B99,IF(DATOS_[[Check Periodo Ref.]:[Check Periodo Ref.]]="Dentro",IF(DATOS_[[Check Equiparado]:[Check Equiparado]]="Sí",IF(DATOS!AI$5="Sí",(1/DATOS_[[% anualiz]:[% anualiz]]),1)*IF(DATOS!AI$4="Sí",1/DATOS_[[% normaliz]:[% normaliz]],1)*(DATOS_[Conc.Sal.05])))))))),
0)</f>
        <v>0</v>
      </c>
      <c r="O100" s="101">
        <f t="array" ref="O100">IFERROR(
(AVERAGE((IF(DATOS_[[Sexo]:[Sexo]]=$B100,IF(DATOS_[[AGRUP. VALOR. PTO.]:[AGRUP. VALOR. PTO.]]=$B99,IF(DATOS_[[Check Periodo Ref.]:[Check Periodo Ref.]]="Dentro",IF(DATOS_[[Check Equiparado]:[Check Equiparado]]="Sí",IF(DATOS!AJ$5="Sí",(1/DATOS_[[% anualiz]:[% anualiz]]),1)*IF(DATOS!AJ$4="Sí",1/DATOS_[[% normaliz]:[% normaliz]],1)*(DATOS_[Conc.Sal.06])))))))),
0)</f>
        <v>0</v>
      </c>
      <c r="P100" s="101">
        <f t="array" ref="P100">IFERROR(
(AVERAGE((IF(DATOS_[[Sexo]:[Sexo]]=$B100,IF(DATOS_[[AGRUP. VALOR. PTO.]:[AGRUP. VALOR. PTO.]]=$B99,IF(DATOS_[[Check Periodo Ref.]:[Check Periodo Ref.]]="Dentro",IF(DATOS_[[Check Equiparado]:[Check Equiparado]]="Sí",IF(DATOS!AK$5="Sí",(1/DATOS_[[% anualiz]:[% anualiz]]),1)*IF(DATOS!AK$4="Sí",1/DATOS_[[% normaliz]:[% normaliz]],1)*(DATOS_[Conc.Sal.07])))))))),
0)</f>
        <v>0</v>
      </c>
      <c r="Q100" s="101">
        <f t="array" ref="Q100">IFERROR(
(AVERAGE((IF(DATOS_[[Sexo]:[Sexo]]=$B100,IF(DATOS_[[AGRUP. VALOR. PTO.]:[AGRUP. VALOR. PTO.]]=$B99,IF(DATOS_[[Check Periodo Ref.]:[Check Periodo Ref.]]="Dentro",IF(DATOS_[[Check Equiparado]:[Check Equiparado]]="Sí",IF(DATOS!AL$5="Sí",(1/DATOS_[[% anualiz]:[% anualiz]]),1)*IF(DATOS!AL$4="Sí",1/DATOS_[[% normaliz]:[% normaliz]],1)*(DATOS_[Conc.Sal.08])))))))),
0)</f>
        <v>0</v>
      </c>
      <c r="R100" s="101">
        <f t="array" ref="R100">IFERROR(
(AVERAGE((IF(DATOS_[[Sexo]:[Sexo]]=$B100,IF(DATOS_[[AGRUP. VALOR. PTO.]:[AGRUP. VALOR. PTO.]]=$B99,IF(DATOS_[[Check Periodo Ref.]:[Check Periodo Ref.]]="Dentro",IF(DATOS_[[Check Equiparado]:[Check Equiparado]]="Sí",IF(DATOS!AM$5="Sí",(1/DATOS_[[% anualiz]:[% anualiz]]),1)*IF(DATOS!AM$4="Sí",1/DATOS_[[% normaliz]:[% normaliz]],1)*(DATOS_[Conc.Sal.09])))))))),
0)</f>
        <v>0</v>
      </c>
      <c r="S100" s="101">
        <f t="array" ref="S100">IFERROR(
(AVERAGE((IF(DATOS_[[Sexo]:[Sexo]]=$B100,IF(DATOS_[[AGRUP. VALOR. PTO.]:[AGRUP. VALOR. PTO.]]=$B99,IF(DATOS_[[Check Periodo Ref.]:[Check Periodo Ref.]]="Dentro",IF(DATOS_[[Check Equiparado]:[Check Equiparado]]="Sí",IF(DATOS!AN$5="Sí",(1/DATOS_[[% anualiz]:[% anualiz]]),1)*IF(DATOS!AN$4="Sí",1/DATOS_[[% normaliz]:[% normaliz]],1)*(DATOS_[Conc.Sal.10])))))))),
0)</f>
        <v>0</v>
      </c>
      <c r="T100" s="101">
        <f t="array" ref="T100">IFERROR(
(AVERAGE((IF(DATOS_[[Sexo]:[Sexo]]=$B100,IF(DATOS_[[AGRUP. VALOR. PTO.]:[AGRUP. VALOR. PTO.]]=$B99,IF(DATOS_[[Check Periodo Ref.]:[Check Periodo Ref.]]="Dentro",IF(DATOS_[[Check Equiparado]:[Check Equiparado]]="Sí",IF(DATOS!AO$5="Sí",(1/DATOS_[[% anualiz]:[% anualiz]]),1)*IF(DATOS!AO$4="Sí",1/DATOS_[[% normaliz]:[% normaliz]],1)*(DATOS_[Conc.Sal.11])))))))),
0)</f>
        <v>0</v>
      </c>
      <c r="U100" s="101">
        <f t="array" ref="U100">IFERROR(
(AVERAGE((IF(DATOS_[[Sexo]:[Sexo]]=$B100,IF(DATOS_[[AGRUP. VALOR. PTO.]:[AGRUP. VALOR. PTO.]]=$B99,IF(DATOS_[[Check Periodo Ref.]:[Check Periodo Ref.]]="Dentro",IF(DATOS_[[Check Equiparado]:[Check Equiparado]]="Sí",IF(DATOS!AP$5="Sí",(1/DATOS_[[% anualiz]:[% anualiz]]),1)*IF(DATOS!AP$4="Sí",1/DATOS_[[% normaliz]:[% normaliz]],1)*(DATOS_[Conc.Sal.12])))))))),
0)</f>
        <v>0</v>
      </c>
      <c r="V100" s="101">
        <f t="array" ref="V100">IFERROR(
(AVERAGE((IF(DATOS_[[Sexo]:[Sexo]]=$B100,IF(DATOS_[[AGRUP. VALOR. PTO.]:[AGRUP. VALOR. PTO.]]=$B99,IF(DATOS_[[Check Periodo Ref.]:[Check Periodo Ref.]]="Dentro",IF(DATOS_[[Check Equiparado]:[Check Equiparado]]="Sí",IF(DATOS!AQ$5="Sí",(1/DATOS_[[% anualiz]:[% anualiz]]),1)*IF(DATOS!AQ$4="Sí",1/DATOS_[[% normaliz]:[% normaliz]],1)*(DATOS_[Conc.Sal.13])))))))),
0)</f>
        <v>0</v>
      </c>
      <c r="W100" s="101">
        <f t="array" ref="W100">IFERROR(
(AVERAGE((IF(DATOS_[[Sexo]:[Sexo]]=$B100,IF(DATOS_[[AGRUP. VALOR. PTO.]:[AGRUP. VALOR. PTO.]]=$B99,IF(DATOS_[[Check Periodo Ref.]:[Check Periodo Ref.]]="Dentro",IF(DATOS_[[Check Equiparado]:[Check Equiparado]]="Sí",IF(DATOS!AR$5="Sí",(1/DATOS_[[% anualiz]:[% anualiz]]),1)*IF(DATOS!AR$4="Sí",1/DATOS_[[% normaliz]:[% normaliz]],1)*(DATOS_[Conc.Sal.14])))))))),
0)</f>
        <v>0</v>
      </c>
      <c r="X100" s="101">
        <f t="array" ref="X100">IFERROR(
(AVERAGE((IF(DATOS_[[Sexo]:[Sexo]]=$B100,IF(DATOS_[[AGRUP. VALOR. PTO.]:[AGRUP. VALOR. PTO.]]=$B99,IF(DATOS_[[Check Periodo Ref.]:[Check Periodo Ref.]]="Dentro",IF(DATOS_[[Check Equiparado]:[Check Equiparado]]="Sí",IF(DATOS!AS$5="Sí",(1/DATOS_[[% anualiz]:[% anualiz]]),1)*IF(DATOS!AS$4="Sí",1/DATOS_[[% normaliz]:[% normaliz]],1)*(DATOS_[Conc.Sal.15])))))))),
0)</f>
        <v>0</v>
      </c>
      <c r="Y100" s="101">
        <f t="array" ref="Y100">IFERROR(
(AVERAGE((IF(DATOS_[[Sexo]:[Sexo]]=$B100,IF(DATOS_[[AGRUP. VALOR. PTO.]:[AGRUP. VALOR. PTO.]]=$B99,IF(DATOS_[[Check Periodo Ref.]:[Check Periodo Ref.]]="Dentro",IF(DATOS_[[Check Equiparado]:[Check Equiparado]]="Sí",IF(DATOS!AT$5="Sí",(1/DATOS_[[% anualiz]:[% anualiz]]),1)*IF(DATOS!AT$4="Sí",1/DATOS_[[% normaliz]:[% normaliz]],1)*(DATOS_[Conc.Sal.16])))))))),
0)</f>
        <v>0</v>
      </c>
      <c r="Z100" s="101">
        <f t="array" ref="Z100">IFERROR(
(AVERAGE((IF(DATOS_[[Sexo]:[Sexo]]=$B100,IF(DATOS_[[AGRUP. VALOR. PTO.]:[AGRUP. VALOR. PTO.]]=$B99,IF(DATOS_[[Check Periodo Ref.]:[Check Periodo Ref.]]="Dentro",IF(DATOS_[[Check Equiparado]:[Check Equiparado]]="Sí",IF(DATOS!AU$5="Sí",(1/DATOS_[[% anualiz]:[% anualiz]]),1)*IF(DATOS!AU$4="Sí",1/DATOS_[[% normaliz]:[% normaliz]],1)*(DATOS_[Conc.Sal.17])))))))),
0)</f>
        <v>0</v>
      </c>
      <c r="AA100" s="101">
        <f t="array" ref="AA100">IFERROR(
(AVERAGE((IF(DATOS_[[Sexo]:[Sexo]]=$B100,IF(DATOS_[[AGRUP. VALOR. PTO.]:[AGRUP. VALOR. PTO.]]=$B99,IF(DATOS_[[Check Periodo Ref.]:[Check Periodo Ref.]]="Dentro",IF(DATOS_[[Check Equiparado]:[Check Equiparado]]="Sí",IF(DATOS!AV$5="Sí",(1/DATOS_[[% anualiz]:[% anualiz]]),1)*IF(DATOS!AV$4="Sí",1/DATOS_[[% normaliz]:[% normaliz]],1)*(DATOS_[Conc.Sal.18])))))))),
0)</f>
        <v>0</v>
      </c>
      <c r="AB100" s="101">
        <f t="array" ref="AB100">IFERROR(
(AVERAGE((IF(DATOS_[[Sexo]:[Sexo]]=$B100,IF(DATOS_[[AGRUP. VALOR. PTO.]:[AGRUP. VALOR. PTO.]]=$B99,IF(DATOS_[[Check Periodo Ref.]:[Check Periodo Ref.]]="Dentro",IF(DATOS_[[Check Equiparado]:[Check Equiparado]]="Sí",IF(DATOS!AW$5="Sí",(1/DATOS_[[% anualiz]:[% anualiz]]),1)*IF(DATOS!AW$4="Sí",1/DATOS_[[% normaliz]:[% normaliz]],1)*(DATOS_[Conc.Sal.19])))))))),
0)</f>
        <v>0</v>
      </c>
      <c r="AC100" s="101">
        <f t="array" ref="AC100">IFERROR(
(AVERAGE((IF(DATOS_[[Sexo]:[Sexo]]=$B100,IF(DATOS_[[AGRUP. VALOR. PTO.]:[AGRUP. VALOR. PTO.]]=$B99,IF(DATOS_[[Check Periodo Ref.]:[Check Periodo Ref.]]="Dentro",IF(DATOS_[[Check Equiparado]:[Check Equiparado]]="Sí",IF(DATOS!AX$5="Sí",(1/DATOS_[[% anualiz]:[% anualiz]]),1)*IF(DATOS!AX$4="Sí",1/DATOS_[[% normaliz]:[% normaliz]],1)*(DATOS_[Conc.Sal.20])))))))),
0)</f>
        <v>0</v>
      </c>
      <c r="AD100" s="101">
        <f t="array" ref="AD100">IFERROR(
(AVERAGE((IF(DATOS_[[Sexo]:[Sexo]]=$B100,IF(DATOS_[[AGRUP. VALOR. PTO.]:[AGRUP. VALOR. PTO.]]=$B99,IF(DATOS_[[Check Periodo Ref.]:[Check Periodo Ref.]]="Dentro",IF(DATOS_[[Check Equiparado]:[Check Equiparado]]="Sí",IF(DATOS!AY$5="Sí",(1/DATOS_[[% anualiz]:[% anualiz]]),1)*IF(DATOS!AY$4="Sí",1/DATOS_[[% normaliz]:[% normaliz]],1)*(DATOS_[Conc.Sal.21])))))))),
0)</f>
        <v>0</v>
      </c>
      <c r="AE100" s="101">
        <f t="array" ref="AE100">IFERROR(
(AVERAGE((IF(DATOS_[[Sexo]:[Sexo]]=$B100,IF(DATOS_[[AGRUP. VALOR. PTO.]:[AGRUP. VALOR. PTO.]]=$B99,IF(DATOS_[[Check Periodo Ref.]:[Check Periodo Ref.]]="Dentro",IF(DATOS_[[Check Equiparado]:[Check Equiparado]]="Sí",IF(DATOS!AZ$5="Sí",(1/DATOS_[[% anualiz]:[% anualiz]]),1)*IF(DATOS!AZ$4="Sí",1/DATOS_[[% normaliz]:[% normaliz]],1)*(DATOS_[Conc.Sal.22])))))))),
0)</f>
        <v>0</v>
      </c>
      <c r="AF100" s="101">
        <f t="array" ref="AF100">IFERROR(
(AVERAGE((IF(DATOS_[[Sexo]:[Sexo]]=$B100,IF(DATOS_[[AGRUP. VALOR. PTO.]:[AGRUP. VALOR. PTO.]]=$B99,IF(DATOS_[[Check Periodo Ref.]:[Check Periodo Ref.]]="Dentro",IF(DATOS_[[Check Equiparado]:[Check Equiparado]]="Sí",IF(DATOS!BA$5="Sí",(1/DATOS_[[% anualiz]:[% anualiz]]),1)*IF(DATOS!BA$4="Sí",1/DATOS_[[% normaliz]:[% normaliz]],1)*(DATOS_[Conc.Sal.23])))))))),
0)</f>
        <v>0</v>
      </c>
      <c r="AG100" s="101">
        <f t="array" ref="AG100">IFERROR(
(AVERAGE((IF(DATOS_[[Sexo]:[Sexo]]=$B100,IF(DATOS_[[AGRUP. VALOR. PTO.]:[AGRUP. VALOR. PTO.]]=$B99,IF(DATOS_[[Check Periodo Ref.]:[Check Periodo Ref.]]="Dentro",IF(DATOS_[[Check Equiparado]:[Check Equiparado]]="Sí",IF(DATOS!BB$5="Sí",(1/DATOS_[[% anualiz]:[% anualiz]]),1)*IF(DATOS!BB$4="Sí",1/DATOS_[[% normaliz]:[% normaliz]],1)*(DATOS_[Conc.Sal.24])))))))),
0)</f>
        <v>0</v>
      </c>
      <c r="AH100" s="101">
        <f t="array" ref="AH100">IFERROR(
(AVERAGE((IF(DATOS_[[Sexo]:[Sexo]]=$B100,IF(DATOS_[[AGRUP. VALOR. PTO.]:[AGRUP. VALOR. PTO.]]=$B99,IF(DATOS_[[Check Periodo Ref.]:[Check Periodo Ref.]]="Dentro",IF(DATOS_[[Check Equiparado]:[Check Equiparado]]="Sí",IF(DATOS!BC$5="Sí",(1/DATOS_[[% anualiz]:[% anualiz]]),1)*IF(DATOS!BC$4="Sí",1/DATOS_[[% normaliz]:[% normaliz]],1)*(DATOS_[Conc.Sal.25])))))))),
0)</f>
        <v>0</v>
      </c>
      <c r="AI100" s="101">
        <f t="array" ref="AI100">IFERROR(
(AVERAGE((IF(DATOS_[[Sexo]:[Sexo]]=$B100,IF(DATOS_[[AGRUP. VALOR. PTO.]:[AGRUP. VALOR. PTO.]]=$B99,IF(DATOS_[[Check Periodo Ref.]:[Check Periodo Ref.]]="Dentro",IF(DATOS_[[Check Equiparado]:[Check Equiparado]]="Sí",IF(DATOS!BD$5="Sí",(1/DATOS_[[% anualiz]:[% anualiz]]),1)*IF(DATOS!BD$4="Sí",1/DATOS_[[% normaliz]:[% normaliz]],1)*(DATOS_[Conc.Sal.26])))))))),
0)</f>
        <v>0</v>
      </c>
      <c r="AJ100" s="101">
        <f t="array" ref="AJ100">IFERROR(
(AVERAGE((IF(DATOS_[[Sexo]:[Sexo]]=$B100,IF(DATOS_[[AGRUP. VALOR. PTO.]:[AGRUP. VALOR. PTO.]]=$B99,IF(DATOS_[[Check Periodo Ref.]:[Check Periodo Ref.]]="Dentro",IF(DATOS_[[Check Equiparado]:[Check Equiparado]]="Sí",IF(DATOS!BE$5="Sí",(1/DATOS_[[% anualiz]:[% anualiz]]),1)*IF(DATOS!BE$4="Sí",1/DATOS_[[% normaliz]:[% normaliz]],1)*(DATOS_[Conc.Sal.27])))))))),
0)</f>
        <v>0</v>
      </c>
      <c r="AK100" s="101">
        <f t="array" ref="AK100">IFERROR(
(AVERAGE((IF(DATOS_[[Sexo]:[Sexo]]=$B100,IF(DATOS_[[AGRUP. VALOR. PTO.]:[AGRUP. VALOR. PTO.]]=$B99,IF(DATOS_[[Check Periodo Ref.]:[Check Periodo Ref.]]="Dentro",IF(DATOS_[[Check Equiparado]:[Check Equiparado]]="Sí",IF(DATOS!BF$5="Sí",(1/DATOS_[[% anualiz]:[% anualiz]]),1)*IF(DATOS!BF$4="Sí",1/DATOS_[[% normaliz]:[% normaliz]],1)*(DATOS_[Conc.Sal.28])))))))),
0)</f>
        <v>0</v>
      </c>
      <c r="AL100" s="101">
        <f t="array" ref="AL100">IFERROR(
(AVERAGE((IF(DATOS_[[Sexo]:[Sexo]]=$B100,IF(DATOS_[[AGRUP. VALOR. PTO.]:[AGRUP. VALOR. PTO.]]=$B99,IF(DATOS_[[Check Periodo Ref.]:[Check Periodo Ref.]]="Dentro",IF(DATOS_[[Check Equiparado]:[Check Equiparado]]="Sí",IF(DATOS!BG$5="Sí",(1/DATOS_[[% anualiz]:[% anualiz]]),1)*IF(DATOS!BG$4="Sí",1/DATOS_[[% normaliz]:[% normaliz]],1)*(DATOS_[Conc.Sal.29])))))))),
0)</f>
        <v>0</v>
      </c>
      <c r="AM100" s="101">
        <f t="array" ref="AM100">IFERROR(
(AVERAGE((IF(DATOS_[[Sexo]:[Sexo]]=$B100,IF(DATOS_[[AGRUP. VALOR. PTO.]:[AGRUP. VALOR. PTO.]]=$B99,IF(DATOS_[[Check Periodo Ref.]:[Check Periodo Ref.]]="Dentro",IF(DATOS_[[Check Equiparado]:[Check Equiparado]]="Sí",IF(DATOS!BH$5="Sí",(1/DATOS_[[% anualiz]:[% anualiz]]),1)*IF(DATOS!BH$4="Sí",1/DATOS_[[% normaliz]:[% normaliz]],1)*(DATOS_[Conc.Sal.30])))))))),
0)</f>
        <v>0</v>
      </c>
      <c r="AN100" s="102">
        <f t="array" ref="AN100">IFERROR(
AVERAGE(IF(DATOS_[Sexo]=$B100,IF(DATOS_[[AGRUP. VALOR. PTO.]:[AGRUP. VALOR. PTO.]]=$B99,IF(DATOS_[Check Equiparado]="Sí",IF(DATOS_[Check Periodo Ref.]="Dentro",DATOS_[Tot COMPL.SAL Eq],FALSE))))),
0)</f>
        <v>0</v>
      </c>
      <c r="AO100" s="103">
        <f t="array" ref="AO100">IFERROR(
AVERAGE(IF(DATOS_[Sexo]=$B100,IF(DATOS_[[AGRUP. VALOR. PTO.]:[AGRUP. VALOR. PTO.]]=$B99,IF(DATOS_[Check Equiparado]="Sí",IF(DATOS_[Check Periodo Ref.]="Dentro",DATOS_[TOTAL SALARIO Eq],FALSE))))),
0)</f>
        <v>0</v>
      </c>
      <c r="AP100" s="104">
        <f t="array" ref="AP100">IFERROR(
(AVERAGE((IF(DATOS_[[Sexo]:[Sexo]]=$B100,IF(DATOS_[[AGRUP. VALOR. PTO.]:[AGRUP. VALOR. PTO.]]=$B99,IF(DATOS_[[Check Periodo Ref.]:[Check Periodo Ref.]]="Dentro",IF(DATOS_[[Check Equiparado]:[Check Equiparado]]="Sí",IF(DATOS!BI$5="Sí",(1/DATOS_[[% anualiz]:[% anualiz]]),1)*IF(DATOS!BI$4="Sí",1/DATOS_[[% normaliz]:[% normaliz]],1)*(DATOS_[C.Extra.01])))))))),
0)</f>
        <v>0</v>
      </c>
      <c r="AQ100" s="104">
        <f t="array" ref="AQ100">IFERROR(
(AVERAGE((IF(DATOS_[[Sexo]:[Sexo]]=$B100,IF(DATOS_[[AGRUP. VALOR. PTO.]:[AGRUP. VALOR. PTO.]]=$B99,IF(DATOS_[[Check Periodo Ref.]:[Check Periodo Ref.]]="Dentro",IF(DATOS_[[Check Equiparado]:[Check Equiparado]]="Sí",IF(DATOS!BJ$5="Sí",(1/DATOS_[[% anualiz]:[% anualiz]]),1)*IF(DATOS!BJ$4="Sí",1/DATOS_[[% normaliz]:[% normaliz]],1)*(DATOS_[C.Extra.02])))))))),
0)</f>
        <v>0</v>
      </c>
      <c r="AR100" s="104">
        <f t="array" ref="AR100">IFERROR(
(AVERAGE((IF(DATOS_[[Sexo]:[Sexo]]=$B100,IF(DATOS_[[AGRUP. VALOR. PTO.]:[AGRUP. VALOR. PTO.]]=$B99,IF(DATOS_[[Check Periodo Ref.]:[Check Periodo Ref.]]="Dentro",IF(DATOS_[[Check Equiparado]:[Check Equiparado]]="Sí",IF(DATOS!BK$5="Sí",(1/DATOS_[[% anualiz]:[% anualiz]]),1)*IF(DATOS!BK$4="Sí",1/DATOS_[[% normaliz]:[% normaliz]],1)*(DATOS_[C.Extra.03])))))))),
0)</f>
        <v>0</v>
      </c>
      <c r="AS100" s="104">
        <f t="array" ref="AS100">IFERROR(
(AVERAGE((IF(DATOS_[[Sexo]:[Sexo]]=$B100,IF(DATOS_[[AGRUP. VALOR. PTO.]:[AGRUP. VALOR. PTO.]]=$B99,IF(DATOS_[[Check Periodo Ref.]:[Check Periodo Ref.]]="Dentro",IF(DATOS_[[Check Equiparado]:[Check Equiparado]]="Sí",IF(DATOS!BL$5="Sí",(1/DATOS_[[% anualiz]:[% anualiz]]),1)*IF(DATOS!BL$4="Sí",1/DATOS_[[% normaliz]:[% normaliz]],1)*(DATOS_[C.Extra.04])))))))),
0)</f>
        <v>0</v>
      </c>
      <c r="AT100" s="104">
        <f t="array" ref="AT100">IFERROR(
(AVERAGE((IF(DATOS_[[Sexo]:[Sexo]]=$B100,IF(DATOS_[[AGRUP. VALOR. PTO.]:[AGRUP. VALOR. PTO.]]=$B99,IF(DATOS_[[Check Periodo Ref.]:[Check Periodo Ref.]]="Dentro",IF(DATOS_[[Check Equiparado]:[Check Equiparado]]="Sí",IF(DATOS!BM$5="Sí",(1/DATOS_[[% anualiz]:[% anualiz]]),1)*IF(DATOS!BM$4="Sí",1/DATOS_[[% normaliz]:[% normaliz]],1)*(DATOS_[C.Extra.05])))))))),
0)</f>
        <v>0</v>
      </c>
      <c r="AU100" s="105">
        <f t="array" ref="AU100">IFERROR(
AVERAGE(IF(DATOS_[Sexo]=$B100,IF(DATOS_[[AGRUP. VALOR. PTO.]:[AGRUP. VALOR. PTO.]]=$B99,IF(DATOS_[Check Equiparado]="Sí",IF(DATOS_[Check Periodo Ref.]="Dentro",DATOS_[Tot Extrasalarial Eq],FALSE))))),
0)</f>
        <v>0</v>
      </c>
      <c r="AV100" s="106">
        <f t="array" ref="AV100">IFERROR(
AVERAGE(IF(DATOS_[Sexo]=$B100,IF(DATOS_[[AGRUP. VALOR. PTO.]:[AGRUP. VALOR. PTO.]]=$B99,IF(DATOS_[Check Equiparado]="Sí",IF(DATOS_[Check Periodo Ref.]="Dentro",DATOS_[TOTAL Retrib Eq],FALSE))))),
0)</f>
        <v>0</v>
      </c>
    </row>
    <row r="101" spans="1:48" hidden="1" x14ac:dyDescent="0.3">
      <c r="A101" s="53" t="str">
        <f t="shared" ref="A101" si="118">+A100</f>
        <v>[ocultar]</v>
      </c>
      <c r="B101" s="57" t="s">
        <v>163</v>
      </c>
      <c r="C101" s="56">
        <f t="array" ref="C101">SUM(IF($B101=DATOS_[Sexo],
IF($B99=DATOS_[AGRUP. VALOR. PTO.],
IF("Dentro"=DATOS_[Check Periodo Ref.],
1/(COUNTIFS(DATOS_[Sexo],$B101,DATOS_[AGRUP. VALOR. PTO.],$B99,DATOS_[Check Periodo Ref.],"Dentro",DATOS_[id],DATOS_[id]))))))</f>
        <v>0</v>
      </c>
      <c r="D101" s="58">
        <f>COUNTIFS(DATOS_[AGRUP. VALOR. PTO.],$B99,DATOS_[Sexo],$B101,DATOS_[Check Periodo Ref.],"Dentro")</f>
        <v>0</v>
      </c>
      <c r="E101" s="58">
        <f>COUNTIFS(DATOS_[AGRUP. VALOR. PTO.],$B99,DATOS_[Sexo],$B101,DATOS_[Check Periodo Ref.],"Dentro",DATOS_[Check Nº SC Norm],"Sí")</f>
        <v>0</v>
      </c>
      <c r="F101" s="58">
        <f>COUNTIFS(DATOS_[AGRUP. VALOR. PTO.],$B99,DATOS_[Sexo],$B101,DATOS_[Check Periodo Ref.],"Dentro",DATOS_[Check Nº SC Anualiz],"Sí")</f>
        <v>0</v>
      </c>
      <c r="G101" s="58">
        <f>COUNTIFS(DATOS_[AGRUP. VALOR. PTO.],$B99,DATOS_[Sexo],$B101,DATOS_[Check Periodo Ref.],"Dentro",DATOS_[Check Nº SC Norm y Anualiz],"Sí")</f>
        <v>0</v>
      </c>
      <c r="H101" s="58">
        <f>COUNTIFS(DATOS_[AGRUP. VALOR. PTO.],$B99,DATOS_[Sexo],$B101,DATOS_[Check Periodo Ref.],"Dentro",DATOS_[Check Equiparación],"Sí")</f>
        <v>0</v>
      </c>
      <c r="I101" s="100" cm="1">
        <f t="array" ref="I101">IFERROR(
AVERAGE(IF(DATOS_[Sexo]=$B101,IF(DATOS_[[AGRUP. VALOR. PTO.]:[AGRUP. VALOR. PTO.]]=$B99,IF(DATOS_[Check Equiparado]="Sí",IF(DATOS_[Check Periodo Ref.]="Dentro",DATOS_[SALARIO BASE Eq],FALSE))))),
0)</f>
        <v>0</v>
      </c>
      <c r="J101" s="101">
        <f t="array" ref="J101">IFERROR(
(AVERAGE((IF(DATOS_[[Sexo]:[Sexo]]=$B101,IF(DATOS_[[AGRUP. VALOR. PTO.]:[AGRUP. VALOR. PTO.]]=$B99,IF(DATOS_[[Check Periodo Ref.]:[Check Periodo Ref.]]="Dentro",IF(DATOS_[[Check Equiparado]:[Check Equiparado]]="Sí",IF(DATOS!AE$5="Sí",(1/DATOS_[[% anualiz]:[% anualiz]]),1)*IF(DATOS!AE$4="Sí",1/DATOS_[[% normaliz]:[% normaliz]],1)*(DATOS_[Conc.Sal.01])))))))),
0)</f>
        <v>0</v>
      </c>
      <c r="K101" s="101">
        <f t="array" ref="K101">IFERROR(
(AVERAGE((IF(DATOS_[[Sexo]:[Sexo]]=$B101,IF(DATOS_[[AGRUP. VALOR. PTO.]:[AGRUP. VALOR. PTO.]]=$B99,IF(DATOS_[[Check Periodo Ref.]:[Check Periodo Ref.]]="Dentro",IF(DATOS_[[Check Equiparado]:[Check Equiparado]]="Sí",IF(DATOS!AF$5="Sí",(1/DATOS_[[% anualiz]:[% anualiz]]),1)*IF(DATOS!AF$4="Sí",1/DATOS_[[% normaliz]:[% normaliz]],1)*(DATOS_[Conc.Sal.02])))))))),
0)</f>
        <v>0</v>
      </c>
      <c r="L101" s="101">
        <f t="array" ref="L101">IFERROR(
(AVERAGE((IF(DATOS_[[Sexo]:[Sexo]]=$B101,IF(DATOS_[[AGRUP. VALOR. PTO.]:[AGRUP. VALOR. PTO.]]=$B99,IF(DATOS_[[Check Periodo Ref.]:[Check Periodo Ref.]]="Dentro",IF(DATOS_[[Check Equiparado]:[Check Equiparado]]="Sí",IF(DATOS!AG$5="Sí",(1/DATOS_[[% anualiz]:[% anualiz]]),1)*IF(DATOS!AG$4="Sí",1/DATOS_[[% normaliz]:[% normaliz]],1)*(DATOS_[Conc.Sal.03])))))))),
0)</f>
        <v>0</v>
      </c>
      <c r="M101" s="101">
        <f t="array" ref="M101">IFERROR(
(AVERAGE((IF(DATOS_[[Sexo]:[Sexo]]=$B101,IF(DATOS_[[AGRUP. VALOR. PTO.]:[AGRUP. VALOR. PTO.]]=$B99,IF(DATOS_[[Check Periodo Ref.]:[Check Periodo Ref.]]="Dentro",IF(DATOS_[[Check Equiparado]:[Check Equiparado]]="Sí",IF(DATOS!AH$5="Sí",(1/DATOS_[[% anualiz]:[% anualiz]]),1)*IF(DATOS!AH$4="Sí",1/DATOS_[[% normaliz]:[% normaliz]],1)*(DATOS_[Conc.Sal.04])))))))),
0)</f>
        <v>0</v>
      </c>
      <c r="N101" s="101">
        <f t="array" ref="N101">IFERROR(
(AVERAGE((IF(DATOS_[[Sexo]:[Sexo]]=$B101,IF(DATOS_[[AGRUP. VALOR. PTO.]:[AGRUP. VALOR. PTO.]]=$B99,IF(DATOS_[[Check Periodo Ref.]:[Check Periodo Ref.]]="Dentro",IF(DATOS_[[Check Equiparado]:[Check Equiparado]]="Sí",IF(DATOS!AI$5="Sí",(1/DATOS_[[% anualiz]:[% anualiz]]),1)*IF(DATOS!AI$4="Sí",1/DATOS_[[% normaliz]:[% normaliz]],1)*(DATOS_[Conc.Sal.05])))))))),
0)</f>
        <v>0</v>
      </c>
      <c r="O101" s="101">
        <f t="array" ref="O101">IFERROR(
(AVERAGE((IF(DATOS_[[Sexo]:[Sexo]]=$B101,IF(DATOS_[[AGRUP. VALOR. PTO.]:[AGRUP. VALOR. PTO.]]=$B99,IF(DATOS_[[Check Periodo Ref.]:[Check Periodo Ref.]]="Dentro",IF(DATOS_[[Check Equiparado]:[Check Equiparado]]="Sí",IF(DATOS!AJ$5="Sí",(1/DATOS_[[% anualiz]:[% anualiz]]),1)*IF(DATOS!AJ$4="Sí",1/DATOS_[[% normaliz]:[% normaliz]],1)*(DATOS_[Conc.Sal.06])))))))),
0)</f>
        <v>0</v>
      </c>
      <c r="P101" s="101">
        <f t="array" ref="P101">IFERROR(
(AVERAGE((IF(DATOS_[[Sexo]:[Sexo]]=$B101,IF(DATOS_[[AGRUP. VALOR. PTO.]:[AGRUP. VALOR. PTO.]]=$B99,IF(DATOS_[[Check Periodo Ref.]:[Check Periodo Ref.]]="Dentro",IF(DATOS_[[Check Equiparado]:[Check Equiparado]]="Sí",IF(DATOS!AK$5="Sí",(1/DATOS_[[% anualiz]:[% anualiz]]),1)*IF(DATOS!AK$4="Sí",1/DATOS_[[% normaliz]:[% normaliz]],1)*(DATOS_[Conc.Sal.07])))))))),
0)</f>
        <v>0</v>
      </c>
      <c r="Q101" s="101">
        <f t="array" ref="Q101">IFERROR(
(AVERAGE((IF(DATOS_[[Sexo]:[Sexo]]=$B101,IF(DATOS_[[AGRUP. VALOR. PTO.]:[AGRUP. VALOR. PTO.]]=$B99,IF(DATOS_[[Check Periodo Ref.]:[Check Periodo Ref.]]="Dentro",IF(DATOS_[[Check Equiparado]:[Check Equiparado]]="Sí",IF(DATOS!AL$5="Sí",(1/DATOS_[[% anualiz]:[% anualiz]]),1)*IF(DATOS!AL$4="Sí",1/DATOS_[[% normaliz]:[% normaliz]],1)*(DATOS_[Conc.Sal.08])))))))),
0)</f>
        <v>0</v>
      </c>
      <c r="R101" s="101">
        <f t="array" ref="R101">IFERROR(
(AVERAGE((IF(DATOS_[[Sexo]:[Sexo]]=$B101,IF(DATOS_[[AGRUP. VALOR. PTO.]:[AGRUP. VALOR. PTO.]]=$B99,IF(DATOS_[[Check Periodo Ref.]:[Check Periodo Ref.]]="Dentro",IF(DATOS_[[Check Equiparado]:[Check Equiparado]]="Sí",IF(DATOS!AM$5="Sí",(1/DATOS_[[% anualiz]:[% anualiz]]),1)*IF(DATOS!AM$4="Sí",1/DATOS_[[% normaliz]:[% normaliz]],1)*(DATOS_[Conc.Sal.09])))))))),
0)</f>
        <v>0</v>
      </c>
      <c r="S101" s="101">
        <f t="array" ref="S101">IFERROR(
(AVERAGE((IF(DATOS_[[Sexo]:[Sexo]]=$B101,IF(DATOS_[[AGRUP. VALOR. PTO.]:[AGRUP. VALOR. PTO.]]=$B99,IF(DATOS_[[Check Periodo Ref.]:[Check Periodo Ref.]]="Dentro",IF(DATOS_[[Check Equiparado]:[Check Equiparado]]="Sí",IF(DATOS!AN$5="Sí",(1/DATOS_[[% anualiz]:[% anualiz]]),1)*IF(DATOS!AN$4="Sí",1/DATOS_[[% normaliz]:[% normaliz]],1)*(DATOS_[Conc.Sal.10])))))))),
0)</f>
        <v>0</v>
      </c>
      <c r="T101" s="101">
        <f t="array" ref="T101">IFERROR(
(AVERAGE((IF(DATOS_[[Sexo]:[Sexo]]=$B101,IF(DATOS_[[AGRUP. VALOR. PTO.]:[AGRUP. VALOR. PTO.]]=$B99,IF(DATOS_[[Check Periodo Ref.]:[Check Periodo Ref.]]="Dentro",IF(DATOS_[[Check Equiparado]:[Check Equiparado]]="Sí",IF(DATOS!AO$5="Sí",(1/DATOS_[[% anualiz]:[% anualiz]]),1)*IF(DATOS!AO$4="Sí",1/DATOS_[[% normaliz]:[% normaliz]],1)*(DATOS_[Conc.Sal.11])))))))),
0)</f>
        <v>0</v>
      </c>
      <c r="U101" s="101">
        <f t="array" ref="U101">IFERROR(
(AVERAGE((IF(DATOS_[[Sexo]:[Sexo]]=$B101,IF(DATOS_[[AGRUP. VALOR. PTO.]:[AGRUP. VALOR. PTO.]]=$B99,IF(DATOS_[[Check Periodo Ref.]:[Check Periodo Ref.]]="Dentro",IF(DATOS_[[Check Equiparado]:[Check Equiparado]]="Sí",IF(DATOS!AP$5="Sí",(1/DATOS_[[% anualiz]:[% anualiz]]),1)*IF(DATOS!AP$4="Sí",1/DATOS_[[% normaliz]:[% normaliz]],1)*(DATOS_[Conc.Sal.12])))))))),
0)</f>
        <v>0</v>
      </c>
      <c r="V101" s="101">
        <f t="array" ref="V101">IFERROR(
(AVERAGE((IF(DATOS_[[Sexo]:[Sexo]]=$B101,IF(DATOS_[[AGRUP. VALOR. PTO.]:[AGRUP. VALOR. PTO.]]=$B99,IF(DATOS_[[Check Periodo Ref.]:[Check Periodo Ref.]]="Dentro",IF(DATOS_[[Check Equiparado]:[Check Equiparado]]="Sí",IF(DATOS!AQ$5="Sí",(1/DATOS_[[% anualiz]:[% anualiz]]),1)*IF(DATOS!AQ$4="Sí",1/DATOS_[[% normaliz]:[% normaliz]],1)*(DATOS_[Conc.Sal.13])))))))),
0)</f>
        <v>0</v>
      </c>
      <c r="W101" s="101">
        <f t="array" ref="W101">IFERROR(
(AVERAGE((IF(DATOS_[[Sexo]:[Sexo]]=$B101,IF(DATOS_[[AGRUP. VALOR. PTO.]:[AGRUP. VALOR. PTO.]]=$B99,IF(DATOS_[[Check Periodo Ref.]:[Check Periodo Ref.]]="Dentro",IF(DATOS_[[Check Equiparado]:[Check Equiparado]]="Sí",IF(DATOS!AR$5="Sí",(1/DATOS_[[% anualiz]:[% anualiz]]),1)*IF(DATOS!AR$4="Sí",1/DATOS_[[% normaliz]:[% normaliz]],1)*(DATOS_[Conc.Sal.14])))))))),
0)</f>
        <v>0</v>
      </c>
      <c r="X101" s="101">
        <f t="array" ref="X101">IFERROR(
(AVERAGE((IF(DATOS_[[Sexo]:[Sexo]]=$B101,IF(DATOS_[[AGRUP. VALOR. PTO.]:[AGRUP. VALOR. PTO.]]=$B99,IF(DATOS_[[Check Periodo Ref.]:[Check Periodo Ref.]]="Dentro",IF(DATOS_[[Check Equiparado]:[Check Equiparado]]="Sí",IF(DATOS!AS$5="Sí",(1/DATOS_[[% anualiz]:[% anualiz]]),1)*IF(DATOS!AS$4="Sí",1/DATOS_[[% normaliz]:[% normaliz]],1)*(DATOS_[Conc.Sal.15])))))))),
0)</f>
        <v>0</v>
      </c>
      <c r="Y101" s="101">
        <f t="array" ref="Y101">IFERROR(
(AVERAGE((IF(DATOS_[[Sexo]:[Sexo]]=$B101,IF(DATOS_[[AGRUP. VALOR. PTO.]:[AGRUP. VALOR. PTO.]]=$B99,IF(DATOS_[[Check Periodo Ref.]:[Check Periodo Ref.]]="Dentro",IF(DATOS_[[Check Equiparado]:[Check Equiparado]]="Sí",IF(DATOS!AT$5="Sí",(1/DATOS_[[% anualiz]:[% anualiz]]),1)*IF(DATOS!AT$4="Sí",1/DATOS_[[% normaliz]:[% normaliz]],1)*(DATOS_[Conc.Sal.16])))))))),
0)</f>
        <v>0</v>
      </c>
      <c r="Z101" s="101">
        <f t="array" ref="Z101">IFERROR(
(AVERAGE((IF(DATOS_[[Sexo]:[Sexo]]=$B101,IF(DATOS_[[AGRUP. VALOR. PTO.]:[AGRUP. VALOR. PTO.]]=$B99,IF(DATOS_[[Check Periodo Ref.]:[Check Periodo Ref.]]="Dentro",IF(DATOS_[[Check Equiparado]:[Check Equiparado]]="Sí",IF(DATOS!AU$5="Sí",(1/DATOS_[[% anualiz]:[% anualiz]]),1)*IF(DATOS!AU$4="Sí",1/DATOS_[[% normaliz]:[% normaliz]],1)*(DATOS_[Conc.Sal.17])))))))),
0)</f>
        <v>0</v>
      </c>
      <c r="AA101" s="101">
        <f t="array" ref="AA101">IFERROR(
(AVERAGE((IF(DATOS_[[Sexo]:[Sexo]]=$B101,IF(DATOS_[[AGRUP. VALOR. PTO.]:[AGRUP. VALOR. PTO.]]=$B99,IF(DATOS_[[Check Periodo Ref.]:[Check Periodo Ref.]]="Dentro",IF(DATOS_[[Check Equiparado]:[Check Equiparado]]="Sí",IF(DATOS!AV$5="Sí",(1/DATOS_[[% anualiz]:[% anualiz]]),1)*IF(DATOS!AV$4="Sí",1/DATOS_[[% normaliz]:[% normaliz]],1)*(DATOS_[Conc.Sal.18])))))))),
0)</f>
        <v>0</v>
      </c>
      <c r="AB101" s="101">
        <f t="array" ref="AB101">IFERROR(
(AVERAGE((IF(DATOS_[[Sexo]:[Sexo]]=$B101,IF(DATOS_[[AGRUP. VALOR. PTO.]:[AGRUP. VALOR. PTO.]]=$B99,IF(DATOS_[[Check Periodo Ref.]:[Check Periodo Ref.]]="Dentro",IF(DATOS_[[Check Equiparado]:[Check Equiparado]]="Sí",IF(DATOS!AW$5="Sí",(1/DATOS_[[% anualiz]:[% anualiz]]),1)*IF(DATOS!AW$4="Sí",1/DATOS_[[% normaliz]:[% normaliz]],1)*(DATOS_[Conc.Sal.19])))))))),
0)</f>
        <v>0</v>
      </c>
      <c r="AC101" s="101">
        <f t="array" ref="AC101">IFERROR(
(AVERAGE((IF(DATOS_[[Sexo]:[Sexo]]=$B101,IF(DATOS_[[AGRUP. VALOR. PTO.]:[AGRUP. VALOR. PTO.]]=$B99,IF(DATOS_[[Check Periodo Ref.]:[Check Periodo Ref.]]="Dentro",IF(DATOS_[[Check Equiparado]:[Check Equiparado]]="Sí",IF(DATOS!AX$5="Sí",(1/DATOS_[[% anualiz]:[% anualiz]]),1)*IF(DATOS!AX$4="Sí",1/DATOS_[[% normaliz]:[% normaliz]],1)*(DATOS_[Conc.Sal.20])))))))),
0)</f>
        <v>0</v>
      </c>
      <c r="AD101" s="101">
        <f t="array" ref="AD101">IFERROR(
(AVERAGE((IF(DATOS_[[Sexo]:[Sexo]]=$B101,IF(DATOS_[[AGRUP. VALOR. PTO.]:[AGRUP. VALOR. PTO.]]=$B99,IF(DATOS_[[Check Periodo Ref.]:[Check Periodo Ref.]]="Dentro",IF(DATOS_[[Check Equiparado]:[Check Equiparado]]="Sí",IF(DATOS!AY$5="Sí",(1/DATOS_[[% anualiz]:[% anualiz]]),1)*IF(DATOS!AY$4="Sí",1/DATOS_[[% normaliz]:[% normaliz]],1)*(DATOS_[Conc.Sal.21])))))))),
0)</f>
        <v>0</v>
      </c>
      <c r="AE101" s="101">
        <f t="array" ref="AE101">IFERROR(
(AVERAGE((IF(DATOS_[[Sexo]:[Sexo]]=$B101,IF(DATOS_[[AGRUP. VALOR. PTO.]:[AGRUP. VALOR. PTO.]]=$B99,IF(DATOS_[[Check Periodo Ref.]:[Check Periodo Ref.]]="Dentro",IF(DATOS_[[Check Equiparado]:[Check Equiparado]]="Sí",IF(DATOS!AZ$5="Sí",(1/DATOS_[[% anualiz]:[% anualiz]]),1)*IF(DATOS!AZ$4="Sí",1/DATOS_[[% normaliz]:[% normaliz]],1)*(DATOS_[Conc.Sal.22])))))))),
0)</f>
        <v>0</v>
      </c>
      <c r="AF101" s="101">
        <f t="array" ref="AF101">IFERROR(
(AVERAGE((IF(DATOS_[[Sexo]:[Sexo]]=$B101,IF(DATOS_[[AGRUP. VALOR. PTO.]:[AGRUP. VALOR. PTO.]]=$B99,IF(DATOS_[[Check Periodo Ref.]:[Check Periodo Ref.]]="Dentro",IF(DATOS_[[Check Equiparado]:[Check Equiparado]]="Sí",IF(DATOS!BA$5="Sí",(1/DATOS_[[% anualiz]:[% anualiz]]),1)*IF(DATOS!BA$4="Sí",1/DATOS_[[% normaliz]:[% normaliz]],1)*(DATOS_[Conc.Sal.23])))))))),
0)</f>
        <v>0</v>
      </c>
      <c r="AG101" s="101">
        <f t="array" ref="AG101">IFERROR(
(AVERAGE((IF(DATOS_[[Sexo]:[Sexo]]=$B101,IF(DATOS_[[AGRUP. VALOR. PTO.]:[AGRUP. VALOR. PTO.]]=$B99,IF(DATOS_[[Check Periodo Ref.]:[Check Periodo Ref.]]="Dentro",IF(DATOS_[[Check Equiparado]:[Check Equiparado]]="Sí",IF(DATOS!BB$5="Sí",(1/DATOS_[[% anualiz]:[% anualiz]]),1)*IF(DATOS!BB$4="Sí",1/DATOS_[[% normaliz]:[% normaliz]],1)*(DATOS_[Conc.Sal.24])))))))),
0)</f>
        <v>0</v>
      </c>
      <c r="AH101" s="101">
        <f t="array" ref="AH101">IFERROR(
(AVERAGE((IF(DATOS_[[Sexo]:[Sexo]]=$B101,IF(DATOS_[[AGRUP. VALOR. PTO.]:[AGRUP. VALOR. PTO.]]=$B99,IF(DATOS_[[Check Periodo Ref.]:[Check Periodo Ref.]]="Dentro",IF(DATOS_[[Check Equiparado]:[Check Equiparado]]="Sí",IF(DATOS!BC$5="Sí",(1/DATOS_[[% anualiz]:[% anualiz]]),1)*IF(DATOS!BC$4="Sí",1/DATOS_[[% normaliz]:[% normaliz]],1)*(DATOS_[Conc.Sal.25])))))))),
0)</f>
        <v>0</v>
      </c>
      <c r="AI101" s="101">
        <f t="array" ref="AI101">IFERROR(
(AVERAGE((IF(DATOS_[[Sexo]:[Sexo]]=$B101,IF(DATOS_[[AGRUP. VALOR. PTO.]:[AGRUP. VALOR. PTO.]]=$B99,IF(DATOS_[[Check Periodo Ref.]:[Check Periodo Ref.]]="Dentro",IF(DATOS_[[Check Equiparado]:[Check Equiparado]]="Sí",IF(DATOS!BD$5="Sí",(1/DATOS_[[% anualiz]:[% anualiz]]),1)*IF(DATOS!BD$4="Sí",1/DATOS_[[% normaliz]:[% normaliz]],1)*(DATOS_[Conc.Sal.26])))))))),
0)</f>
        <v>0</v>
      </c>
      <c r="AJ101" s="101">
        <f t="array" ref="AJ101">IFERROR(
(AVERAGE((IF(DATOS_[[Sexo]:[Sexo]]=$B101,IF(DATOS_[[AGRUP. VALOR. PTO.]:[AGRUP. VALOR. PTO.]]=$B99,IF(DATOS_[[Check Periodo Ref.]:[Check Periodo Ref.]]="Dentro",IF(DATOS_[[Check Equiparado]:[Check Equiparado]]="Sí",IF(DATOS!BE$5="Sí",(1/DATOS_[[% anualiz]:[% anualiz]]),1)*IF(DATOS!BE$4="Sí",1/DATOS_[[% normaliz]:[% normaliz]],1)*(DATOS_[Conc.Sal.27])))))))),
0)</f>
        <v>0</v>
      </c>
      <c r="AK101" s="101">
        <f t="array" ref="AK101">IFERROR(
(AVERAGE((IF(DATOS_[[Sexo]:[Sexo]]=$B101,IF(DATOS_[[AGRUP. VALOR. PTO.]:[AGRUP. VALOR. PTO.]]=$B99,IF(DATOS_[[Check Periodo Ref.]:[Check Periodo Ref.]]="Dentro",IF(DATOS_[[Check Equiparado]:[Check Equiparado]]="Sí",IF(DATOS!BF$5="Sí",(1/DATOS_[[% anualiz]:[% anualiz]]),1)*IF(DATOS!BF$4="Sí",1/DATOS_[[% normaliz]:[% normaliz]],1)*(DATOS_[Conc.Sal.28])))))))),
0)</f>
        <v>0</v>
      </c>
      <c r="AL101" s="101">
        <f t="array" ref="AL101">IFERROR(
(AVERAGE((IF(DATOS_[[Sexo]:[Sexo]]=$B101,IF(DATOS_[[AGRUP. VALOR. PTO.]:[AGRUP. VALOR. PTO.]]=$B99,IF(DATOS_[[Check Periodo Ref.]:[Check Periodo Ref.]]="Dentro",IF(DATOS_[[Check Equiparado]:[Check Equiparado]]="Sí",IF(DATOS!BG$5="Sí",(1/DATOS_[[% anualiz]:[% anualiz]]),1)*IF(DATOS!BG$4="Sí",1/DATOS_[[% normaliz]:[% normaliz]],1)*(DATOS_[Conc.Sal.29])))))))),
0)</f>
        <v>0</v>
      </c>
      <c r="AM101" s="101">
        <f t="array" ref="AM101">IFERROR(
(AVERAGE((IF(DATOS_[[Sexo]:[Sexo]]=$B101,IF(DATOS_[[AGRUP. VALOR. PTO.]:[AGRUP. VALOR. PTO.]]=$B99,IF(DATOS_[[Check Periodo Ref.]:[Check Periodo Ref.]]="Dentro",IF(DATOS_[[Check Equiparado]:[Check Equiparado]]="Sí",IF(DATOS!BH$5="Sí",(1/DATOS_[[% anualiz]:[% anualiz]]),1)*IF(DATOS!BH$4="Sí",1/DATOS_[[% normaliz]:[% normaliz]],1)*(DATOS_[Conc.Sal.30])))))))),
0)</f>
        <v>0</v>
      </c>
      <c r="AN101" s="102">
        <f t="array" ref="AN101">IFERROR(
AVERAGE(IF(DATOS_[Sexo]=$B101,IF(DATOS_[[AGRUP. VALOR. PTO.]:[AGRUP. VALOR. PTO.]]=$B99,IF(DATOS_[Check Equiparado]="Sí",IF(DATOS_[Check Periodo Ref.]="Dentro",DATOS_[Tot COMPL.SAL Eq],FALSE))))),
0)</f>
        <v>0</v>
      </c>
      <c r="AO101" s="103">
        <f t="array" ref="AO101">IFERROR(
AVERAGE(IF(DATOS_[Sexo]=$B101,IF(DATOS_[[AGRUP. VALOR. PTO.]:[AGRUP. VALOR. PTO.]]=$B99,IF(DATOS_[Check Equiparado]="Sí",IF(DATOS_[Check Periodo Ref.]="Dentro",DATOS_[TOTAL SALARIO Eq],FALSE))))),
0)</f>
        <v>0</v>
      </c>
      <c r="AP101" s="104">
        <f t="array" ref="AP101">IFERROR(
(AVERAGE((IF(DATOS_[[Sexo]:[Sexo]]=$B101,IF(DATOS_[[AGRUP. VALOR. PTO.]:[AGRUP. VALOR. PTO.]]=$B99,IF(DATOS_[[Check Periodo Ref.]:[Check Periodo Ref.]]="Dentro",IF(DATOS_[[Check Equiparado]:[Check Equiparado]]="Sí",IF(DATOS!BI$5="Sí",(1/DATOS_[[% anualiz]:[% anualiz]]),1)*IF(DATOS!BI$4="Sí",1/DATOS_[[% normaliz]:[% normaliz]],1)*(DATOS_[C.Extra.01])))))))),
0)</f>
        <v>0</v>
      </c>
      <c r="AQ101" s="104">
        <f t="array" ref="AQ101">IFERROR(
(AVERAGE((IF(DATOS_[[Sexo]:[Sexo]]=$B101,IF(DATOS_[[AGRUP. VALOR. PTO.]:[AGRUP. VALOR. PTO.]]=$B99,IF(DATOS_[[Check Periodo Ref.]:[Check Periodo Ref.]]="Dentro",IF(DATOS_[[Check Equiparado]:[Check Equiparado]]="Sí",IF(DATOS!BJ$5="Sí",(1/DATOS_[[% anualiz]:[% anualiz]]),1)*IF(DATOS!BJ$4="Sí",1/DATOS_[[% normaliz]:[% normaliz]],1)*(DATOS_[C.Extra.02])))))))),
0)</f>
        <v>0</v>
      </c>
      <c r="AR101" s="104">
        <f t="array" ref="AR101">IFERROR(
(AVERAGE((IF(DATOS_[[Sexo]:[Sexo]]=$B101,IF(DATOS_[[AGRUP. VALOR. PTO.]:[AGRUP. VALOR. PTO.]]=$B99,IF(DATOS_[[Check Periodo Ref.]:[Check Periodo Ref.]]="Dentro",IF(DATOS_[[Check Equiparado]:[Check Equiparado]]="Sí",IF(DATOS!BK$5="Sí",(1/DATOS_[[% anualiz]:[% anualiz]]),1)*IF(DATOS!BK$4="Sí",1/DATOS_[[% normaliz]:[% normaliz]],1)*(DATOS_[C.Extra.03])))))))),
0)</f>
        <v>0</v>
      </c>
      <c r="AS101" s="104">
        <f t="array" ref="AS101">IFERROR(
(AVERAGE((IF(DATOS_[[Sexo]:[Sexo]]=$B101,IF(DATOS_[[AGRUP. VALOR. PTO.]:[AGRUP. VALOR. PTO.]]=$B99,IF(DATOS_[[Check Periodo Ref.]:[Check Periodo Ref.]]="Dentro",IF(DATOS_[[Check Equiparado]:[Check Equiparado]]="Sí",IF(DATOS!BL$5="Sí",(1/DATOS_[[% anualiz]:[% anualiz]]),1)*IF(DATOS!BL$4="Sí",1/DATOS_[[% normaliz]:[% normaliz]],1)*(DATOS_[C.Extra.04])))))))),
0)</f>
        <v>0</v>
      </c>
      <c r="AT101" s="104">
        <f t="array" ref="AT101">IFERROR(
(AVERAGE((IF(DATOS_[[Sexo]:[Sexo]]=$B101,IF(DATOS_[[AGRUP. VALOR. PTO.]:[AGRUP. VALOR. PTO.]]=$B99,IF(DATOS_[[Check Periodo Ref.]:[Check Periodo Ref.]]="Dentro",IF(DATOS_[[Check Equiparado]:[Check Equiparado]]="Sí",IF(DATOS!BM$5="Sí",(1/DATOS_[[% anualiz]:[% anualiz]]),1)*IF(DATOS!BM$4="Sí",1/DATOS_[[% normaliz]:[% normaliz]],1)*(DATOS_[C.Extra.05])))))))),
0)</f>
        <v>0</v>
      </c>
      <c r="AU101" s="105">
        <f t="array" ref="AU101">IFERROR(
AVERAGE(IF(DATOS_[Sexo]=$B101,IF(DATOS_[[AGRUP. VALOR. PTO.]:[AGRUP. VALOR. PTO.]]=$B99,IF(DATOS_[Check Equiparado]="Sí",IF(DATOS_[Check Periodo Ref.]="Dentro",DATOS_[Tot Extrasalarial Eq],FALSE))))),
0)</f>
        <v>0</v>
      </c>
      <c r="AV101" s="106">
        <f t="array" ref="AV101">IFERROR(
AVERAGE(IF(DATOS_[Sexo]=$B101,IF(DATOS_[[AGRUP. VALOR. PTO.]:[AGRUP. VALOR. PTO.]]=$B99,IF(DATOS_[Check Equiparado]="Sí",IF(DATOS_[Check Periodo Ref.]="Dentro",DATOS_[TOTAL Retrib Eq],FALSE))))),
0)</f>
        <v>0</v>
      </c>
    </row>
    <row r="102" spans="1:48" ht="17.25" hidden="1" thickBot="1" x14ac:dyDescent="0.35">
      <c r="A102" s="53" t="str">
        <f t="shared" ref="A102" si="119">+A103</f>
        <v>[ocultar]</v>
      </c>
      <c r="B102" s="62" t="s">
        <v>289</v>
      </c>
      <c r="C102" s="99"/>
      <c r="D102" s="63"/>
      <c r="E102" s="63"/>
      <c r="F102" s="63"/>
      <c r="G102" s="63"/>
      <c r="H102" s="63"/>
      <c r="I102" s="129" t="str">
        <f t="shared" ref="I102:AV102" si="120">IFERROR((I103-I104)/I103,"")</f>
        <v/>
      </c>
      <c r="J102" s="130" t="str">
        <f t="shared" si="120"/>
        <v/>
      </c>
      <c r="K102" s="131" t="str">
        <f t="shared" si="120"/>
        <v/>
      </c>
      <c r="L102" s="131" t="str">
        <f t="shared" si="120"/>
        <v/>
      </c>
      <c r="M102" s="131" t="str">
        <f t="shared" si="120"/>
        <v/>
      </c>
      <c r="N102" s="132" t="str">
        <f t="shared" si="120"/>
        <v/>
      </c>
      <c r="O102" s="133" t="str">
        <f t="shared" si="120"/>
        <v/>
      </c>
      <c r="P102" s="133" t="str">
        <f t="shared" si="120"/>
        <v/>
      </c>
      <c r="Q102" s="133" t="str">
        <f t="shared" si="120"/>
        <v/>
      </c>
      <c r="R102" s="133" t="str">
        <f t="shared" si="120"/>
        <v/>
      </c>
      <c r="S102" s="133" t="str">
        <f t="shared" si="120"/>
        <v/>
      </c>
      <c r="T102" s="133" t="str">
        <f t="shared" si="120"/>
        <v/>
      </c>
      <c r="U102" s="133" t="str">
        <f t="shared" si="120"/>
        <v/>
      </c>
      <c r="V102" s="133" t="str">
        <f t="shared" si="120"/>
        <v/>
      </c>
      <c r="W102" s="133" t="str">
        <f t="shared" si="120"/>
        <v/>
      </c>
      <c r="X102" s="133" t="str">
        <f t="shared" si="120"/>
        <v/>
      </c>
      <c r="Y102" s="133" t="str">
        <f t="shared" si="120"/>
        <v/>
      </c>
      <c r="Z102" s="132" t="str">
        <f t="shared" si="120"/>
        <v/>
      </c>
      <c r="AA102" s="132" t="str">
        <f t="shared" si="120"/>
        <v/>
      </c>
      <c r="AB102" s="132" t="str">
        <f t="shared" si="120"/>
        <v/>
      </c>
      <c r="AC102" s="132" t="str">
        <f t="shared" si="120"/>
        <v/>
      </c>
      <c r="AD102" s="132" t="str">
        <f t="shared" si="120"/>
        <v/>
      </c>
      <c r="AE102" s="132" t="str">
        <f t="shared" si="120"/>
        <v/>
      </c>
      <c r="AF102" s="132" t="str">
        <f t="shared" si="120"/>
        <v/>
      </c>
      <c r="AG102" s="132" t="str">
        <f t="shared" si="120"/>
        <v/>
      </c>
      <c r="AH102" s="132" t="str">
        <f t="shared" si="120"/>
        <v/>
      </c>
      <c r="AI102" s="132" t="str">
        <f t="shared" si="120"/>
        <v/>
      </c>
      <c r="AJ102" s="132" t="str">
        <f t="shared" si="120"/>
        <v/>
      </c>
      <c r="AK102" s="132" t="str">
        <f t="shared" si="120"/>
        <v/>
      </c>
      <c r="AL102" s="132" t="str">
        <f t="shared" si="120"/>
        <v/>
      </c>
      <c r="AM102" s="132" t="str">
        <f t="shared" si="120"/>
        <v/>
      </c>
      <c r="AN102" s="134" t="str">
        <f t="shared" si="120"/>
        <v/>
      </c>
      <c r="AO102" s="138" t="str">
        <f t="shared" si="120"/>
        <v/>
      </c>
      <c r="AP102" s="135" t="str">
        <f t="shared" si="120"/>
        <v/>
      </c>
      <c r="AQ102" s="135" t="str">
        <f t="shared" si="120"/>
        <v/>
      </c>
      <c r="AR102" s="135" t="str">
        <f t="shared" si="120"/>
        <v/>
      </c>
      <c r="AS102" s="135" t="str">
        <f t="shared" si="120"/>
        <v/>
      </c>
      <c r="AT102" s="135" t="str">
        <f t="shared" si="120"/>
        <v/>
      </c>
      <c r="AU102" s="136" t="str">
        <f t="shared" si="120"/>
        <v/>
      </c>
      <c r="AV102" s="137" t="str">
        <f t="shared" si="120"/>
        <v/>
      </c>
    </row>
    <row r="103" spans="1:48" hidden="1" x14ac:dyDescent="0.3">
      <c r="A103" s="53" t="str">
        <f t="shared" ref="A103" si="121">+IF(C103+C104=0,"[ocultar]","")</f>
        <v>[ocultar]</v>
      </c>
      <c r="B103" s="57" t="s">
        <v>162</v>
      </c>
      <c r="C103" s="56">
        <f t="array" ref="C103">SUM(IF($B103=DATOS_[Sexo],
IF($B102=DATOS_[AGRUP. VALOR. PTO.],
IF("Dentro"=DATOS_[Check Periodo Ref.],
1/(COUNTIFS(DATOS_[Sexo],$B103,DATOS_[AGRUP. VALOR. PTO.],$B102,DATOS_[Check Periodo Ref.],"Dentro",DATOS_[id],DATOS_[id]))))))</f>
        <v>0</v>
      </c>
      <c r="D103" s="58">
        <f>COUNTIFS(DATOS_[AGRUP. VALOR. PTO.],$B102,DATOS_[Sexo],$B103,DATOS_[Check Periodo Ref.],"Dentro")</f>
        <v>0</v>
      </c>
      <c r="E103" s="58">
        <f>COUNTIFS(DATOS_[AGRUP. VALOR. PTO.],$B102,DATOS_[Sexo],$B103,DATOS_[Check Periodo Ref.],"Dentro",DATOS_[Check Nº SC Norm],"Sí")</f>
        <v>0</v>
      </c>
      <c r="F103" s="58">
        <f>COUNTIFS(DATOS_[AGRUP. VALOR. PTO.],$B102,DATOS_[Sexo],$B103,DATOS_[Check Periodo Ref.],"Dentro",DATOS_[Check Nº SC Anualiz],"Sí")</f>
        <v>0</v>
      </c>
      <c r="G103" s="58">
        <f>COUNTIFS(DATOS_[AGRUP. VALOR. PTO.],$B102,DATOS_[Sexo],$B103,DATOS_[Check Periodo Ref.],"Dentro",DATOS_[Check Nº SC Norm y Anualiz],"Sí")</f>
        <v>0</v>
      </c>
      <c r="H103" s="58">
        <f>COUNTIFS(DATOS_[AGRUP. VALOR. PTO.],$B102,DATOS_[Sexo],$B103,DATOS_[Check Periodo Ref.],"Dentro",DATOS_[Check Equiparación],"Sí")</f>
        <v>0</v>
      </c>
      <c r="I103" s="100">
        <f t="array" ref="I103">IFERROR(
AVERAGE(IF(DATOS_[Sexo]=$B103,IF(DATOS_[[AGRUP. VALOR. PTO.]:[AGRUP. VALOR. PTO.]]=$B102,IF(DATOS_[Check Equiparado]="Sí",IF(DATOS_[Check Periodo Ref.]="Dentro",DATOS_[SALARIO BASE Eq],FALSE))))),
0)</f>
        <v>0</v>
      </c>
      <c r="J103" s="101">
        <f t="array" ref="J103">IFERROR(
(AVERAGE((IF(DATOS_[[Sexo]:[Sexo]]=$B103,IF(DATOS_[[AGRUP. VALOR. PTO.]:[AGRUP. VALOR. PTO.]]=$B102,IF(DATOS_[[Check Periodo Ref.]:[Check Periodo Ref.]]="Dentro",IF(DATOS_[[Check Equiparado]:[Check Equiparado]]="Sí",IF(DATOS!AE$5="Sí",(1/DATOS_[[% anualiz]:[% anualiz]]),1)*IF(DATOS!AE$4="Sí",1/DATOS_[[% normaliz]:[% normaliz]],1)*(DATOS_[Conc.Sal.01])))))))),
0)</f>
        <v>0</v>
      </c>
      <c r="K103" s="101">
        <f t="array" ref="K103">IFERROR(
(AVERAGE((IF(DATOS_[[Sexo]:[Sexo]]=$B103,IF(DATOS_[[AGRUP. VALOR. PTO.]:[AGRUP. VALOR. PTO.]]=$B102,IF(DATOS_[[Check Periodo Ref.]:[Check Periodo Ref.]]="Dentro",IF(DATOS_[[Check Equiparado]:[Check Equiparado]]="Sí",IF(DATOS!AF$5="Sí",(1/DATOS_[[% anualiz]:[% anualiz]]),1)*IF(DATOS!AF$4="Sí",1/DATOS_[[% normaliz]:[% normaliz]],1)*(DATOS_[Conc.Sal.02])))))))),
0)</f>
        <v>0</v>
      </c>
      <c r="L103" s="101">
        <f t="array" ref="L103">IFERROR(
(AVERAGE((IF(DATOS_[[Sexo]:[Sexo]]=$B103,IF(DATOS_[[AGRUP. VALOR. PTO.]:[AGRUP. VALOR. PTO.]]=$B102,IF(DATOS_[[Check Periodo Ref.]:[Check Periodo Ref.]]="Dentro",IF(DATOS_[[Check Equiparado]:[Check Equiparado]]="Sí",IF(DATOS!AG$5="Sí",(1/DATOS_[[% anualiz]:[% anualiz]]),1)*IF(DATOS!AG$4="Sí",1/DATOS_[[% normaliz]:[% normaliz]],1)*(DATOS_[Conc.Sal.03])))))))),
0)</f>
        <v>0</v>
      </c>
      <c r="M103" s="101">
        <f t="array" ref="M103">IFERROR(
(AVERAGE((IF(DATOS_[[Sexo]:[Sexo]]=$B103,IF(DATOS_[[AGRUP. VALOR. PTO.]:[AGRUP. VALOR. PTO.]]=$B102,IF(DATOS_[[Check Periodo Ref.]:[Check Periodo Ref.]]="Dentro",IF(DATOS_[[Check Equiparado]:[Check Equiparado]]="Sí",IF(DATOS!AH$5="Sí",(1/DATOS_[[% anualiz]:[% anualiz]]),1)*IF(DATOS!AH$4="Sí",1/DATOS_[[% normaliz]:[% normaliz]],1)*(DATOS_[Conc.Sal.04])))))))),
0)</f>
        <v>0</v>
      </c>
      <c r="N103" s="101">
        <f t="array" ref="N103">IFERROR(
(AVERAGE((IF(DATOS_[[Sexo]:[Sexo]]=$B103,IF(DATOS_[[AGRUP. VALOR. PTO.]:[AGRUP. VALOR. PTO.]]=$B102,IF(DATOS_[[Check Periodo Ref.]:[Check Periodo Ref.]]="Dentro",IF(DATOS_[[Check Equiparado]:[Check Equiparado]]="Sí",IF(DATOS!AI$5="Sí",(1/DATOS_[[% anualiz]:[% anualiz]]),1)*IF(DATOS!AI$4="Sí",1/DATOS_[[% normaliz]:[% normaliz]],1)*(DATOS_[Conc.Sal.05])))))))),
0)</f>
        <v>0</v>
      </c>
      <c r="O103" s="101">
        <f t="array" ref="O103">IFERROR(
(AVERAGE((IF(DATOS_[[Sexo]:[Sexo]]=$B103,IF(DATOS_[[AGRUP. VALOR. PTO.]:[AGRUP. VALOR. PTO.]]=$B102,IF(DATOS_[[Check Periodo Ref.]:[Check Periodo Ref.]]="Dentro",IF(DATOS_[[Check Equiparado]:[Check Equiparado]]="Sí",IF(DATOS!AJ$5="Sí",(1/DATOS_[[% anualiz]:[% anualiz]]),1)*IF(DATOS!AJ$4="Sí",1/DATOS_[[% normaliz]:[% normaliz]],1)*(DATOS_[Conc.Sal.06])))))))),
0)</f>
        <v>0</v>
      </c>
      <c r="P103" s="101">
        <f t="array" ref="P103">IFERROR(
(AVERAGE((IF(DATOS_[[Sexo]:[Sexo]]=$B103,IF(DATOS_[[AGRUP. VALOR. PTO.]:[AGRUP. VALOR. PTO.]]=$B102,IF(DATOS_[[Check Periodo Ref.]:[Check Periodo Ref.]]="Dentro",IF(DATOS_[[Check Equiparado]:[Check Equiparado]]="Sí",IF(DATOS!AK$5="Sí",(1/DATOS_[[% anualiz]:[% anualiz]]),1)*IF(DATOS!AK$4="Sí",1/DATOS_[[% normaliz]:[% normaliz]],1)*(DATOS_[Conc.Sal.07])))))))),
0)</f>
        <v>0</v>
      </c>
      <c r="Q103" s="101">
        <f t="array" ref="Q103">IFERROR(
(AVERAGE((IF(DATOS_[[Sexo]:[Sexo]]=$B103,IF(DATOS_[[AGRUP. VALOR. PTO.]:[AGRUP. VALOR. PTO.]]=$B102,IF(DATOS_[[Check Periodo Ref.]:[Check Periodo Ref.]]="Dentro",IF(DATOS_[[Check Equiparado]:[Check Equiparado]]="Sí",IF(DATOS!AL$5="Sí",(1/DATOS_[[% anualiz]:[% anualiz]]),1)*IF(DATOS!AL$4="Sí",1/DATOS_[[% normaliz]:[% normaliz]],1)*(DATOS_[Conc.Sal.08])))))))),
0)</f>
        <v>0</v>
      </c>
      <c r="R103" s="101">
        <f t="array" ref="R103">IFERROR(
(AVERAGE((IF(DATOS_[[Sexo]:[Sexo]]=$B103,IF(DATOS_[[AGRUP. VALOR. PTO.]:[AGRUP. VALOR. PTO.]]=$B102,IF(DATOS_[[Check Periodo Ref.]:[Check Periodo Ref.]]="Dentro",IF(DATOS_[[Check Equiparado]:[Check Equiparado]]="Sí",IF(DATOS!AM$5="Sí",(1/DATOS_[[% anualiz]:[% anualiz]]),1)*IF(DATOS!AM$4="Sí",1/DATOS_[[% normaliz]:[% normaliz]],1)*(DATOS_[Conc.Sal.09])))))))),
0)</f>
        <v>0</v>
      </c>
      <c r="S103" s="101">
        <f t="array" ref="S103">IFERROR(
(AVERAGE((IF(DATOS_[[Sexo]:[Sexo]]=$B103,IF(DATOS_[[AGRUP. VALOR. PTO.]:[AGRUP. VALOR. PTO.]]=$B102,IF(DATOS_[[Check Periodo Ref.]:[Check Periodo Ref.]]="Dentro",IF(DATOS_[[Check Equiparado]:[Check Equiparado]]="Sí",IF(DATOS!AN$5="Sí",(1/DATOS_[[% anualiz]:[% anualiz]]),1)*IF(DATOS!AN$4="Sí",1/DATOS_[[% normaliz]:[% normaliz]],1)*(DATOS_[Conc.Sal.10])))))))),
0)</f>
        <v>0</v>
      </c>
      <c r="T103" s="101">
        <f t="array" ref="T103">IFERROR(
(AVERAGE((IF(DATOS_[[Sexo]:[Sexo]]=$B103,IF(DATOS_[[AGRUP. VALOR. PTO.]:[AGRUP. VALOR. PTO.]]=$B102,IF(DATOS_[[Check Periodo Ref.]:[Check Periodo Ref.]]="Dentro",IF(DATOS_[[Check Equiparado]:[Check Equiparado]]="Sí",IF(DATOS!AO$5="Sí",(1/DATOS_[[% anualiz]:[% anualiz]]),1)*IF(DATOS!AO$4="Sí",1/DATOS_[[% normaliz]:[% normaliz]],1)*(DATOS_[Conc.Sal.11])))))))),
0)</f>
        <v>0</v>
      </c>
      <c r="U103" s="101">
        <f t="array" ref="U103">IFERROR(
(AVERAGE((IF(DATOS_[[Sexo]:[Sexo]]=$B103,IF(DATOS_[[AGRUP. VALOR. PTO.]:[AGRUP. VALOR. PTO.]]=$B102,IF(DATOS_[[Check Periodo Ref.]:[Check Periodo Ref.]]="Dentro",IF(DATOS_[[Check Equiparado]:[Check Equiparado]]="Sí",IF(DATOS!AP$5="Sí",(1/DATOS_[[% anualiz]:[% anualiz]]),1)*IF(DATOS!AP$4="Sí",1/DATOS_[[% normaliz]:[% normaliz]],1)*(DATOS_[Conc.Sal.12])))))))),
0)</f>
        <v>0</v>
      </c>
      <c r="V103" s="101">
        <f t="array" ref="V103">IFERROR(
(AVERAGE((IF(DATOS_[[Sexo]:[Sexo]]=$B103,IF(DATOS_[[AGRUP. VALOR. PTO.]:[AGRUP. VALOR. PTO.]]=$B102,IF(DATOS_[[Check Periodo Ref.]:[Check Periodo Ref.]]="Dentro",IF(DATOS_[[Check Equiparado]:[Check Equiparado]]="Sí",IF(DATOS!AQ$5="Sí",(1/DATOS_[[% anualiz]:[% anualiz]]),1)*IF(DATOS!AQ$4="Sí",1/DATOS_[[% normaliz]:[% normaliz]],1)*(DATOS_[Conc.Sal.13])))))))),
0)</f>
        <v>0</v>
      </c>
      <c r="W103" s="101">
        <f t="array" ref="W103">IFERROR(
(AVERAGE((IF(DATOS_[[Sexo]:[Sexo]]=$B103,IF(DATOS_[[AGRUP. VALOR. PTO.]:[AGRUP. VALOR. PTO.]]=$B102,IF(DATOS_[[Check Periodo Ref.]:[Check Periodo Ref.]]="Dentro",IF(DATOS_[[Check Equiparado]:[Check Equiparado]]="Sí",IF(DATOS!AR$5="Sí",(1/DATOS_[[% anualiz]:[% anualiz]]),1)*IF(DATOS!AR$4="Sí",1/DATOS_[[% normaliz]:[% normaliz]],1)*(DATOS_[Conc.Sal.14])))))))),
0)</f>
        <v>0</v>
      </c>
      <c r="X103" s="101">
        <f t="array" ref="X103">IFERROR(
(AVERAGE((IF(DATOS_[[Sexo]:[Sexo]]=$B103,IF(DATOS_[[AGRUP. VALOR. PTO.]:[AGRUP. VALOR. PTO.]]=$B102,IF(DATOS_[[Check Periodo Ref.]:[Check Periodo Ref.]]="Dentro",IF(DATOS_[[Check Equiparado]:[Check Equiparado]]="Sí",IF(DATOS!AS$5="Sí",(1/DATOS_[[% anualiz]:[% anualiz]]),1)*IF(DATOS!AS$4="Sí",1/DATOS_[[% normaliz]:[% normaliz]],1)*(DATOS_[Conc.Sal.15])))))))),
0)</f>
        <v>0</v>
      </c>
      <c r="Y103" s="101">
        <f t="array" ref="Y103">IFERROR(
(AVERAGE((IF(DATOS_[[Sexo]:[Sexo]]=$B103,IF(DATOS_[[AGRUP. VALOR. PTO.]:[AGRUP. VALOR. PTO.]]=$B102,IF(DATOS_[[Check Periodo Ref.]:[Check Periodo Ref.]]="Dentro",IF(DATOS_[[Check Equiparado]:[Check Equiparado]]="Sí",IF(DATOS!AT$5="Sí",(1/DATOS_[[% anualiz]:[% anualiz]]),1)*IF(DATOS!AT$4="Sí",1/DATOS_[[% normaliz]:[% normaliz]],1)*(DATOS_[Conc.Sal.16])))))))),
0)</f>
        <v>0</v>
      </c>
      <c r="Z103" s="101">
        <f t="array" ref="Z103">IFERROR(
(AVERAGE((IF(DATOS_[[Sexo]:[Sexo]]=$B103,IF(DATOS_[[AGRUP. VALOR. PTO.]:[AGRUP. VALOR. PTO.]]=$B102,IF(DATOS_[[Check Periodo Ref.]:[Check Periodo Ref.]]="Dentro",IF(DATOS_[[Check Equiparado]:[Check Equiparado]]="Sí",IF(DATOS!AU$5="Sí",(1/DATOS_[[% anualiz]:[% anualiz]]),1)*IF(DATOS!AU$4="Sí",1/DATOS_[[% normaliz]:[% normaliz]],1)*(DATOS_[Conc.Sal.17])))))))),
0)</f>
        <v>0</v>
      </c>
      <c r="AA103" s="101">
        <f t="array" ref="AA103">IFERROR(
(AVERAGE((IF(DATOS_[[Sexo]:[Sexo]]=$B103,IF(DATOS_[[AGRUP. VALOR. PTO.]:[AGRUP. VALOR. PTO.]]=$B102,IF(DATOS_[[Check Periodo Ref.]:[Check Periodo Ref.]]="Dentro",IF(DATOS_[[Check Equiparado]:[Check Equiparado]]="Sí",IF(DATOS!AV$5="Sí",(1/DATOS_[[% anualiz]:[% anualiz]]),1)*IF(DATOS!AV$4="Sí",1/DATOS_[[% normaliz]:[% normaliz]],1)*(DATOS_[Conc.Sal.18])))))))),
0)</f>
        <v>0</v>
      </c>
      <c r="AB103" s="101">
        <f t="array" ref="AB103">IFERROR(
(AVERAGE((IF(DATOS_[[Sexo]:[Sexo]]=$B103,IF(DATOS_[[AGRUP. VALOR. PTO.]:[AGRUP. VALOR. PTO.]]=$B102,IF(DATOS_[[Check Periodo Ref.]:[Check Periodo Ref.]]="Dentro",IF(DATOS_[[Check Equiparado]:[Check Equiparado]]="Sí",IF(DATOS!AW$5="Sí",(1/DATOS_[[% anualiz]:[% anualiz]]),1)*IF(DATOS!AW$4="Sí",1/DATOS_[[% normaliz]:[% normaliz]],1)*(DATOS_[Conc.Sal.19])))))))),
0)</f>
        <v>0</v>
      </c>
      <c r="AC103" s="101">
        <f t="array" ref="AC103">IFERROR(
(AVERAGE((IF(DATOS_[[Sexo]:[Sexo]]=$B103,IF(DATOS_[[AGRUP. VALOR. PTO.]:[AGRUP. VALOR. PTO.]]=$B102,IF(DATOS_[[Check Periodo Ref.]:[Check Periodo Ref.]]="Dentro",IF(DATOS_[[Check Equiparado]:[Check Equiparado]]="Sí",IF(DATOS!AX$5="Sí",(1/DATOS_[[% anualiz]:[% anualiz]]),1)*IF(DATOS!AX$4="Sí",1/DATOS_[[% normaliz]:[% normaliz]],1)*(DATOS_[Conc.Sal.20])))))))),
0)</f>
        <v>0</v>
      </c>
      <c r="AD103" s="101">
        <f t="array" ref="AD103">IFERROR(
(AVERAGE((IF(DATOS_[[Sexo]:[Sexo]]=$B103,IF(DATOS_[[AGRUP. VALOR. PTO.]:[AGRUP. VALOR. PTO.]]=$B102,IF(DATOS_[[Check Periodo Ref.]:[Check Periodo Ref.]]="Dentro",IF(DATOS_[[Check Equiparado]:[Check Equiparado]]="Sí",IF(DATOS!AY$5="Sí",(1/DATOS_[[% anualiz]:[% anualiz]]),1)*IF(DATOS!AY$4="Sí",1/DATOS_[[% normaliz]:[% normaliz]],1)*(DATOS_[Conc.Sal.21])))))))),
0)</f>
        <v>0</v>
      </c>
      <c r="AE103" s="101">
        <f t="array" ref="AE103">IFERROR(
(AVERAGE((IF(DATOS_[[Sexo]:[Sexo]]=$B103,IF(DATOS_[[AGRUP. VALOR. PTO.]:[AGRUP. VALOR. PTO.]]=$B102,IF(DATOS_[[Check Periodo Ref.]:[Check Periodo Ref.]]="Dentro",IF(DATOS_[[Check Equiparado]:[Check Equiparado]]="Sí",IF(DATOS!AZ$5="Sí",(1/DATOS_[[% anualiz]:[% anualiz]]),1)*IF(DATOS!AZ$4="Sí",1/DATOS_[[% normaliz]:[% normaliz]],1)*(DATOS_[Conc.Sal.22])))))))),
0)</f>
        <v>0</v>
      </c>
      <c r="AF103" s="101">
        <f t="array" ref="AF103">IFERROR(
(AVERAGE((IF(DATOS_[[Sexo]:[Sexo]]=$B103,IF(DATOS_[[AGRUP. VALOR. PTO.]:[AGRUP. VALOR. PTO.]]=$B102,IF(DATOS_[[Check Periodo Ref.]:[Check Periodo Ref.]]="Dentro",IF(DATOS_[[Check Equiparado]:[Check Equiparado]]="Sí",IF(DATOS!BA$5="Sí",(1/DATOS_[[% anualiz]:[% anualiz]]),1)*IF(DATOS!BA$4="Sí",1/DATOS_[[% normaliz]:[% normaliz]],1)*(DATOS_[Conc.Sal.23])))))))),
0)</f>
        <v>0</v>
      </c>
      <c r="AG103" s="101">
        <f t="array" ref="AG103">IFERROR(
(AVERAGE((IF(DATOS_[[Sexo]:[Sexo]]=$B103,IF(DATOS_[[AGRUP. VALOR. PTO.]:[AGRUP. VALOR. PTO.]]=$B102,IF(DATOS_[[Check Periodo Ref.]:[Check Periodo Ref.]]="Dentro",IF(DATOS_[[Check Equiparado]:[Check Equiparado]]="Sí",IF(DATOS!BB$5="Sí",(1/DATOS_[[% anualiz]:[% anualiz]]),1)*IF(DATOS!BB$4="Sí",1/DATOS_[[% normaliz]:[% normaliz]],1)*(DATOS_[Conc.Sal.24])))))))),
0)</f>
        <v>0</v>
      </c>
      <c r="AH103" s="101">
        <f t="array" ref="AH103">IFERROR(
(AVERAGE((IF(DATOS_[[Sexo]:[Sexo]]=$B103,IF(DATOS_[[AGRUP. VALOR. PTO.]:[AGRUP. VALOR. PTO.]]=$B102,IF(DATOS_[[Check Periodo Ref.]:[Check Periodo Ref.]]="Dentro",IF(DATOS_[[Check Equiparado]:[Check Equiparado]]="Sí",IF(DATOS!BC$5="Sí",(1/DATOS_[[% anualiz]:[% anualiz]]),1)*IF(DATOS!BC$4="Sí",1/DATOS_[[% normaliz]:[% normaliz]],1)*(DATOS_[Conc.Sal.25])))))))),
0)</f>
        <v>0</v>
      </c>
      <c r="AI103" s="101">
        <f t="array" ref="AI103">IFERROR(
(AVERAGE((IF(DATOS_[[Sexo]:[Sexo]]=$B103,IF(DATOS_[[AGRUP. VALOR. PTO.]:[AGRUP. VALOR. PTO.]]=$B102,IF(DATOS_[[Check Periodo Ref.]:[Check Periodo Ref.]]="Dentro",IF(DATOS_[[Check Equiparado]:[Check Equiparado]]="Sí",IF(DATOS!BD$5="Sí",(1/DATOS_[[% anualiz]:[% anualiz]]),1)*IF(DATOS!BD$4="Sí",1/DATOS_[[% normaliz]:[% normaliz]],1)*(DATOS_[Conc.Sal.26])))))))),
0)</f>
        <v>0</v>
      </c>
      <c r="AJ103" s="101">
        <f t="array" ref="AJ103">IFERROR(
(AVERAGE((IF(DATOS_[[Sexo]:[Sexo]]=$B103,IF(DATOS_[[AGRUP. VALOR. PTO.]:[AGRUP. VALOR. PTO.]]=$B102,IF(DATOS_[[Check Periodo Ref.]:[Check Periodo Ref.]]="Dentro",IF(DATOS_[[Check Equiparado]:[Check Equiparado]]="Sí",IF(DATOS!BE$5="Sí",(1/DATOS_[[% anualiz]:[% anualiz]]),1)*IF(DATOS!BE$4="Sí",1/DATOS_[[% normaliz]:[% normaliz]],1)*(DATOS_[Conc.Sal.27])))))))),
0)</f>
        <v>0</v>
      </c>
      <c r="AK103" s="101">
        <f t="array" ref="AK103">IFERROR(
(AVERAGE((IF(DATOS_[[Sexo]:[Sexo]]=$B103,IF(DATOS_[[AGRUP. VALOR. PTO.]:[AGRUP. VALOR. PTO.]]=$B102,IF(DATOS_[[Check Periodo Ref.]:[Check Periodo Ref.]]="Dentro",IF(DATOS_[[Check Equiparado]:[Check Equiparado]]="Sí",IF(DATOS!BF$5="Sí",(1/DATOS_[[% anualiz]:[% anualiz]]),1)*IF(DATOS!BF$4="Sí",1/DATOS_[[% normaliz]:[% normaliz]],1)*(DATOS_[Conc.Sal.28])))))))),
0)</f>
        <v>0</v>
      </c>
      <c r="AL103" s="101">
        <f t="array" ref="AL103">IFERROR(
(AVERAGE((IF(DATOS_[[Sexo]:[Sexo]]=$B103,IF(DATOS_[[AGRUP. VALOR. PTO.]:[AGRUP. VALOR. PTO.]]=$B102,IF(DATOS_[[Check Periodo Ref.]:[Check Periodo Ref.]]="Dentro",IF(DATOS_[[Check Equiparado]:[Check Equiparado]]="Sí",IF(DATOS!BG$5="Sí",(1/DATOS_[[% anualiz]:[% anualiz]]),1)*IF(DATOS!BG$4="Sí",1/DATOS_[[% normaliz]:[% normaliz]],1)*(DATOS_[Conc.Sal.29])))))))),
0)</f>
        <v>0</v>
      </c>
      <c r="AM103" s="101">
        <f t="array" ref="AM103">IFERROR(
(AVERAGE((IF(DATOS_[[Sexo]:[Sexo]]=$B103,IF(DATOS_[[AGRUP. VALOR. PTO.]:[AGRUP. VALOR. PTO.]]=$B102,IF(DATOS_[[Check Periodo Ref.]:[Check Periodo Ref.]]="Dentro",IF(DATOS_[[Check Equiparado]:[Check Equiparado]]="Sí",IF(DATOS!BH$5="Sí",(1/DATOS_[[% anualiz]:[% anualiz]]),1)*IF(DATOS!BH$4="Sí",1/DATOS_[[% normaliz]:[% normaliz]],1)*(DATOS_[Conc.Sal.30])))))))),
0)</f>
        <v>0</v>
      </c>
      <c r="AN103" s="102">
        <f t="array" ref="AN103">IFERROR(
AVERAGE(IF(DATOS_[Sexo]=$B103,IF(DATOS_[[AGRUP. VALOR. PTO.]:[AGRUP. VALOR. PTO.]]=$B102,IF(DATOS_[Check Equiparado]="Sí",IF(DATOS_[Check Periodo Ref.]="Dentro",DATOS_[Tot COMPL.SAL Eq],FALSE))))),
0)</f>
        <v>0</v>
      </c>
      <c r="AO103" s="103">
        <f t="array" ref="AO103">IFERROR(
AVERAGE(IF(DATOS_[Sexo]=$B103,IF(DATOS_[[AGRUP. VALOR. PTO.]:[AGRUP. VALOR. PTO.]]=$B102,IF(DATOS_[Check Equiparado]="Sí",IF(DATOS_[Check Periodo Ref.]="Dentro",DATOS_[TOTAL SALARIO Eq],FALSE))))),
0)</f>
        <v>0</v>
      </c>
      <c r="AP103" s="104">
        <f t="array" ref="AP103">IFERROR(
(AVERAGE((IF(DATOS_[[Sexo]:[Sexo]]=$B103,IF(DATOS_[[AGRUP. VALOR. PTO.]:[AGRUP. VALOR. PTO.]]=$B102,IF(DATOS_[[Check Periodo Ref.]:[Check Periodo Ref.]]="Dentro",IF(DATOS_[[Check Equiparado]:[Check Equiparado]]="Sí",IF(DATOS!BI$5="Sí",(1/DATOS_[[% anualiz]:[% anualiz]]),1)*IF(DATOS!BI$4="Sí",1/DATOS_[[% normaliz]:[% normaliz]],1)*(DATOS_[C.Extra.01])))))))),
0)</f>
        <v>0</v>
      </c>
      <c r="AQ103" s="104">
        <f t="array" ref="AQ103">IFERROR(
(AVERAGE((IF(DATOS_[[Sexo]:[Sexo]]=$B103,IF(DATOS_[[AGRUP. VALOR. PTO.]:[AGRUP. VALOR. PTO.]]=$B102,IF(DATOS_[[Check Periodo Ref.]:[Check Periodo Ref.]]="Dentro",IF(DATOS_[[Check Equiparado]:[Check Equiparado]]="Sí",IF(DATOS!BJ$5="Sí",(1/DATOS_[[% anualiz]:[% anualiz]]),1)*IF(DATOS!BJ$4="Sí",1/DATOS_[[% normaliz]:[% normaliz]],1)*(DATOS_[C.Extra.02])))))))),
0)</f>
        <v>0</v>
      </c>
      <c r="AR103" s="104">
        <f t="array" ref="AR103">IFERROR(
(AVERAGE((IF(DATOS_[[Sexo]:[Sexo]]=$B103,IF(DATOS_[[AGRUP. VALOR. PTO.]:[AGRUP. VALOR. PTO.]]=$B102,IF(DATOS_[[Check Periodo Ref.]:[Check Periodo Ref.]]="Dentro",IF(DATOS_[[Check Equiparado]:[Check Equiparado]]="Sí",IF(DATOS!BK$5="Sí",(1/DATOS_[[% anualiz]:[% anualiz]]),1)*IF(DATOS!BK$4="Sí",1/DATOS_[[% normaliz]:[% normaliz]],1)*(DATOS_[C.Extra.03])))))))),
0)</f>
        <v>0</v>
      </c>
      <c r="AS103" s="104">
        <f t="array" ref="AS103">IFERROR(
(AVERAGE((IF(DATOS_[[Sexo]:[Sexo]]=$B103,IF(DATOS_[[AGRUP. VALOR. PTO.]:[AGRUP. VALOR. PTO.]]=$B102,IF(DATOS_[[Check Periodo Ref.]:[Check Periodo Ref.]]="Dentro",IF(DATOS_[[Check Equiparado]:[Check Equiparado]]="Sí",IF(DATOS!BL$5="Sí",(1/DATOS_[[% anualiz]:[% anualiz]]),1)*IF(DATOS!BL$4="Sí",1/DATOS_[[% normaliz]:[% normaliz]],1)*(DATOS_[C.Extra.04])))))))),
0)</f>
        <v>0</v>
      </c>
      <c r="AT103" s="104">
        <f t="array" ref="AT103">IFERROR(
(AVERAGE((IF(DATOS_[[Sexo]:[Sexo]]=$B103,IF(DATOS_[[AGRUP. VALOR. PTO.]:[AGRUP. VALOR. PTO.]]=$B102,IF(DATOS_[[Check Periodo Ref.]:[Check Periodo Ref.]]="Dentro",IF(DATOS_[[Check Equiparado]:[Check Equiparado]]="Sí",IF(DATOS!BM$5="Sí",(1/DATOS_[[% anualiz]:[% anualiz]]),1)*IF(DATOS!BM$4="Sí",1/DATOS_[[% normaliz]:[% normaliz]],1)*(DATOS_[C.Extra.05])))))))),
0)</f>
        <v>0</v>
      </c>
      <c r="AU103" s="105">
        <f t="array" ref="AU103">IFERROR(
AVERAGE(IF(DATOS_[Sexo]=$B103,IF(DATOS_[[AGRUP. VALOR. PTO.]:[AGRUP. VALOR. PTO.]]=$B102,IF(DATOS_[Check Equiparado]="Sí",IF(DATOS_[Check Periodo Ref.]="Dentro",DATOS_[Tot Extrasalarial Eq],FALSE))))),
0)</f>
        <v>0</v>
      </c>
      <c r="AV103" s="106">
        <f t="array" ref="AV103">IFERROR(
AVERAGE(IF(DATOS_[Sexo]=$B103,IF(DATOS_[[AGRUP. VALOR. PTO.]:[AGRUP. VALOR. PTO.]]=$B102,IF(DATOS_[Check Equiparado]="Sí",IF(DATOS_[Check Periodo Ref.]="Dentro",DATOS_[TOTAL Retrib Eq],FALSE))))),
0)</f>
        <v>0</v>
      </c>
    </row>
    <row r="104" spans="1:48" hidden="1" x14ac:dyDescent="0.3">
      <c r="A104" s="53" t="str">
        <f t="shared" ref="A104" si="122">+A103</f>
        <v>[ocultar]</v>
      </c>
      <c r="B104" s="57" t="s">
        <v>163</v>
      </c>
      <c r="C104" s="56">
        <f t="array" ref="C104">SUM(IF($B104=DATOS_[Sexo],
IF($B102=DATOS_[AGRUP. VALOR. PTO.],
IF("Dentro"=DATOS_[Check Periodo Ref.],
1/(COUNTIFS(DATOS_[Sexo],$B104,DATOS_[AGRUP. VALOR. PTO.],$B102,DATOS_[Check Periodo Ref.],"Dentro",DATOS_[id],DATOS_[id]))))))</f>
        <v>0</v>
      </c>
      <c r="D104" s="58">
        <f>COUNTIFS(DATOS_[AGRUP. VALOR. PTO.],$B102,DATOS_[Sexo],$B104,DATOS_[Check Periodo Ref.],"Dentro")</f>
        <v>0</v>
      </c>
      <c r="E104" s="58">
        <f>COUNTIFS(DATOS_[AGRUP. VALOR. PTO.],$B102,DATOS_[Sexo],$B104,DATOS_[Check Periodo Ref.],"Dentro",DATOS_[Check Nº SC Norm],"Sí")</f>
        <v>0</v>
      </c>
      <c r="F104" s="58">
        <f>COUNTIFS(DATOS_[AGRUP. VALOR. PTO.],$B102,DATOS_[Sexo],$B104,DATOS_[Check Periodo Ref.],"Dentro",DATOS_[Check Nº SC Anualiz],"Sí")</f>
        <v>0</v>
      </c>
      <c r="G104" s="58">
        <f>COUNTIFS(DATOS_[AGRUP. VALOR. PTO.],$B102,DATOS_[Sexo],$B104,DATOS_[Check Periodo Ref.],"Dentro",DATOS_[Check Nº SC Norm y Anualiz],"Sí")</f>
        <v>0</v>
      </c>
      <c r="H104" s="58">
        <f>COUNTIFS(DATOS_[AGRUP. VALOR. PTO.],$B102,DATOS_[Sexo],$B104,DATOS_[Check Periodo Ref.],"Dentro",DATOS_[Check Equiparación],"Sí")</f>
        <v>0</v>
      </c>
      <c r="I104" s="100" cm="1">
        <f t="array" ref="I104">IFERROR(
AVERAGE(IF(DATOS_[Sexo]=$B104,IF(DATOS_[[AGRUP. VALOR. PTO.]:[AGRUP. VALOR. PTO.]]=$B102,IF(DATOS_[Check Equiparado]="Sí",IF(DATOS_[Check Periodo Ref.]="Dentro",DATOS_[SALARIO BASE Eq],FALSE))))),
0)</f>
        <v>0</v>
      </c>
      <c r="J104" s="101">
        <f t="array" ref="J104">IFERROR(
(AVERAGE((IF(DATOS_[[Sexo]:[Sexo]]=$B104,IF(DATOS_[[AGRUP. VALOR. PTO.]:[AGRUP. VALOR. PTO.]]=$B102,IF(DATOS_[[Check Periodo Ref.]:[Check Periodo Ref.]]="Dentro",IF(DATOS_[[Check Equiparado]:[Check Equiparado]]="Sí",IF(DATOS!AE$5="Sí",(1/DATOS_[[% anualiz]:[% anualiz]]),1)*IF(DATOS!AE$4="Sí",1/DATOS_[[% normaliz]:[% normaliz]],1)*(DATOS_[Conc.Sal.01])))))))),
0)</f>
        <v>0</v>
      </c>
      <c r="K104" s="101">
        <f t="array" ref="K104">IFERROR(
(AVERAGE((IF(DATOS_[[Sexo]:[Sexo]]=$B104,IF(DATOS_[[AGRUP. VALOR. PTO.]:[AGRUP. VALOR. PTO.]]=$B102,IF(DATOS_[[Check Periodo Ref.]:[Check Periodo Ref.]]="Dentro",IF(DATOS_[[Check Equiparado]:[Check Equiparado]]="Sí",IF(DATOS!AF$5="Sí",(1/DATOS_[[% anualiz]:[% anualiz]]),1)*IF(DATOS!AF$4="Sí",1/DATOS_[[% normaliz]:[% normaliz]],1)*(DATOS_[Conc.Sal.02])))))))),
0)</f>
        <v>0</v>
      </c>
      <c r="L104" s="101">
        <f t="array" ref="L104">IFERROR(
(AVERAGE((IF(DATOS_[[Sexo]:[Sexo]]=$B104,IF(DATOS_[[AGRUP. VALOR. PTO.]:[AGRUP. VALOR. PTO.]]=$B102,IF(DATOS_[[Check Periodo Ref.]:[Check Periodo Ref.]]="Dentro",IF(DATOS_[[Check Equiparado]:[Check Equiparado]]="Sí",IF(DATOS!AG$5="Sí",(1/DATOS_[[% anualiz]:[% anualiz]]),1)*IF(DATOS!AG$4="Sí",1/DATOS_[[% normaliz]:[% normaliz]],1)*(DATOS_[Conc.Sal.03])))))))),
0)</f>
        <v>0</v>
      </c>
      <c r="M104" s="101">
        <f t="array" ref="M104">IFERROR(
(AVERAGE((IF(DATOS_[[Sexo]:[Sexo]]=$B104,IF(DATOS_[[AGRUP. VALOR. PTO.]:[AGRUP. VALOR. PTO.]]=$B102,IF(DATOS_[[Check Periodo Ref.]:[Check Periodo Ref.]]="Dentro",IF(DATOS_[[Check Equiparado]:[Check Equiparado]]="Sí",IF(DATOS!AH$5="Sí",(1/DATOS_[[% anualiz]:[% anualiz]]),1)*IF(DATOS!AH$4="Sí",1/DATOS_[[% normaliz]:[% normaliz]],1)*(DATOS_[Conc.Sal.04])))))))),
0)</f>
        <v>0</v>
      </c>
      <c r="N104" s="101">
        <f t="array" ref="N104">IFERROR(
(AVERAGE((IF(DATOS_[[Sexo]:[Sexo]]=$B104,IF(DATOS_[[AGRUP. VALOR. PTO.]:[AGRUP. VALOR. PTO.]]=$B102,IF(DATOS_[[Check Periodo Ref.]:[Check Periodo Ref.]]="Dentro",IF(DATOS_[[Check Equiparado]:[Check Equiparado]]="Sí",IF(DATOS!AI$5="Sí",(1/DATOS_[[% anualiz]:[% anualiz]]),1)*IF(DATOS!AI$4="Sí",1/DATOS_[[% normaliz]:[% normaliz]],1)*(DATOS_[Conc.Sal.05])))))))),
0)</f>
        <v>0</v>
      </c>
      <c r="O104" s="101">
        <f t="array" ref="O104">IFERROR(
(AVERAGE((IF(DATOS_[[Sexo]:[Sexo]]=$B104,IF(DATOS_[[AGRUP. VALOR. PTO.]:[AGRUP. VALOR. PTO.]]=$B102,IF(DATOS_[[Check Periodo Ref.]:[Check Periodo Ref.]]="Dentro",IF(DATOS_[[Check Equiparado]:[Check Equiparado]]="Sí",IF(DATOS!AJ$5="Sí",(1/DATOS_[[% anualiz]:[% anualiz]]),1)*IF(DATOS!AJ$4="Sí",1/DATOS_[[% normaliz]:[% normaliz]],1)*(DATOS_[Conc.Sal.06])))))))),
0)</f>
        <v>0</v>
      </c>
      <c r="P104" s="101">
        <f t="array" ref="P104">IFERROR(
(AVERAGE((IF(DATOS_[[Sexo]:[Sexo]]=$B104,IF(DATOS_[[AGRUP. VALOR. PTO.]:[AGRUP. VALOR. PTO.]]=$B102,IF(DATOS_[[Check Periodo Ref.]:[Check Periodo Ref.]]="Dentro",IF(DATOS_[[Check Equiparado]:[Check Equiparado]]="Sí",IF(DATOS!AK$5="Sí",(1/DATOS_[[% anualiz]:[% anualiz]]),1)*IF(DATOS!AK$4="Sí",1/DATOS_[[% normaliz]:[% normaliz]],1)*(DATOS_[Conc.Sal.07])))))))),
0)</f>
        <v>0</v>
      </c>
      <c r="Q104" s="101">
        <f t="array" ref="Q104">IFERROR(
(AVERAGE((IF(DATOS_[[Sexo]:[Sexo]]=$B104,IF(DATOS_[[AGRUP. VALOR. PTO.]:[AGRUP. VALOR. PTO.]]=$B102,IF(DATOS_[[Check Periodo Ref.]:[Check Periodo Ref.]]="Dentro",IF(DATOS_[[Check Equiparado]:[Check Equiparado]]="Sí",IF(DATOS!AL$5="Sí",(1/DATOS_[[% anualiz]:[% anualiz]]),1)*IF(DATOS!AL$4="Sí",1/DATOS_[[% normaliz]:[% normaliz]],1)*(DATOS_[Conc.Sal.08])))))))),
0)</f>
        <v>0</v>
      </c>
      <c r="R104" s="101">
        <f t="array" ref="R104">IFERROR(
(AVERAGE((IF(DATOS_[[Sexo]:[Sexo]]=$B104,IF(DATOS_[[AGRUP. VALOR. PTO.]:[AGRUP. VALOR. PTO.]]=$B102,IF(DATOS_[[Check Periodo Ref.]:[Check Periodo Ref.]]="Dentro",IF(DATOS_[[Check Equiparado]:[Check Equiparado]]="Sí",IF(DATOS!AM$5="Sí",(1/DATOS_[[% anualiz]:[% anualiz]]),1)*IF(DATOS!AM$4="Sí",1/DATOS_[[% normaliz]:[% normaliz]],1)*(DATOS_[Conc.Sal.09])))))))),
0)</f>
        <v>0</v>
      </c>
      <c r="S104" s="101">
        <f t="array" ref="S104">IFERROR(
(AVERAGE((IF(DATOS_[[Sexo]:[Sexo]]=$B104,IF(DATOS_[[AGRUP. VALOR. PTO.]:[AGRUP. VALOR. PTO.]]=$B102,IF(DATOS_[[Check Periodo Ref.]:[Check Periodo Ref.]]="Dentro",IF(DATOS_[[Check Equiparado]:[Check Equiparado]]="Sí",IF(DATOS!AN$5="Sí",(1/DATOS_[[% anualiz]:[% anualiz]]),1)*IF(DATOS!AN$4="Sí",1/DATOS_[[% normaliz]:[% normaliz]],1)*(DATOS_[Conc.Sal.10])))))))),
0)</f>
        <v>0</v>
      </c>
      <c r="T104" s="101">
        <f t="array" ref="T104">IFERROR(
(AVERAGE((IF(DATOS_[[Sexo]:[Sexo]]=$B104,IF(DATOS_[[AGRUP. VALOR. PTO.]:[AGRUP. VALOR. PTO.]]=$B102,IF(DATOS_[[Check Periodo Ref.]:[Check Periodo Ref.]]="Dentro",IF(DATOS_[[Check Equiparado]:[Check Equiparado]]="Sí",IF(DATOS!AO$5="Sí",(1/DATOS_[[% anualiz]:[% anualiz]]),1)*IF(DATOS!AO$4="Sí",1/DATOS_[[% normaliz]:[% normaliz]],1)*(DATOS_[Conc.Sal.11])))))))),
0)</f>
        <v>0</v>
      </c>
      <c r="U104" s="101">
        <f t="array" ref="U104">IFERROR(
(AVERAGE((IF(DATOS_[[Sexo]:[Sexo]]=$B104,IF(DATOS_[[AGRUP. VALOR. PTO.]:[AGRUP. VALOR. PTO.]]=$B102,IF(DATOS_[[Check Periodo Ref.]:[Check Periodo Ref.]]="Dentro",IF(DATOS_[[Check Equiparado]:[Check Equiparado]]="Sí",IF(DATOS!AP$5="Sí",(1/DATOS_[[% anualiz]:[% anualiz]]),1)*IF(DATOS!AP$4="Sí",1/DATOS_[[% normaliz]:[% normaliz]],1)*(DATOS_[Conc.Sal.12])))))))),
0)</f>
        <v>0</v>
      </c>
      <c r="V104" s="101">
        <f t="array" ref="V104">IFERROR(
(AVERAGE((IF(DATOS_[[Sexo]:[Sexo]]=$B104,IF(DATOS_[[AGRUP. VALOR. PTO.]:[AGRUP. VALOR. PTO.]]=$B102,IF(DATOS_[[Check Periodo Ref.]:[Check Periodo Ref.]]="Dentro",IF(DATOS_[[Check Equiparado]:[Check Equiparado]]="Sí",IF(DATOS!AQ$5="Sí",(1/DATOS_[[% anualiz]:[% anualiz]]),1)*IF(DATOS!AQ$4="Sí",1/DATOS_[[% normaliz]:[% normaliz]],1)*(DATOS_[Conc.Sal.13])))))))),
0)</f>
        <v>0</v>
      </c>
      <c r="W104" s="101">
        <f t="array" ref="W104">IFERROR(
(AVERAGE((IF(DATOS_[[Sexo]:[Sexo]]=$B104,IF(DATOS_[[AGRUP. VALOR. PTO.]:[AGRUP. VALOR. PTO.]]=$B102,IF(DATOS_[[Check Periodo Ref.]:[Check Periodo Ref.]]="Dentro",IF(DATOS_[[Check Equiparado]:[Check Equiparado]]="Sí",IF(DATOS!AR$5="Sí",(1/DATOS_[[% anualiz]:[% anualiz]]),1)*IF(DATOS!AR$4="Sí",1/DATOS_[[% normaliz]:[% normaliz]],1)*(DATOS_[Conc.Sal.14])))))))),
0)</f>
        <v>0</v>
      </c>
      <c r="X104" s="101">
        <f t="array" ref="X104">IFERROR(
(AVERAGE((IF(DATOS_[[Sexo]:[Sexo]]=$B104,IF(DATOS_[[AGRUP. VALOR. PTO.]:[AGRUP. VALOR. PTO.]]=$B102,IF(DATOS_[[Check Periodo Ref.]:[Check Periodo Ref.]]="Dentro",IF(DATOS_[[Check Equiparado]:[Check Equiparado]]="Sí",IF(DATOS!AS$5="Sí",(1/DATOS_[[% anualiz]:[% anualiz]]),1)*IF(DATOS!AS$4="Sí",1/DATOS_[[% normaliz]:[% normaliz]],1)*(DATOS_[Conc.Sal.15])))))))),
0)</f>
        <v>0</v>
      </c>
      <c r="Y104" s="101">
        <f t="array" ref="Y104">IFERROR(
(AVERAGE((IF(DATOS_[[Sexo]:[Sexo]]=$B104,IF(DATOS_[[AGRUP. VALOR. PTO.]:[AGRUP. VALOR. PTO.]]=$B102,IF(DATOS_[[Check Periodo Ref.]:[Check Periodo Ref.]]="Dentro",IF(DATOS_[[Check Equiparado]:[Check Equiparado]]="Sí",IF(DATOS!AT$5="Sí",(1/DATOS_[[% anualiz]:[% anualiz]]),1)*IF(DATOS!AT$4="Sí",1/DATOS_[[% normaliz]:[% normaliz]],1)*(DATOS_[Conc.Sal.16])))))))),
0)</f>
        <v>0</v>
      </c>
      <c r="Z104" s="101">
        <f t="array" ref="Z104">IFERROR(
(AVERAGE((IF(DATOS_[[Sexo]:[Sexo]]=$B104,IF(DATOS_[[AGRUP. VALOR. PTO.]:[AGRUP. VALOR. PTO.]]=$B102,IF(DATOS_[[Check Periodo Ref.]:[Check Periodo Ref.]]="Dentro",IF(DATOS_[[Check Equiparado]:[Check Equiparado]]="Sí",IF(DATOS!AU$5="Sí",(1/DATOS_[[% anualiz]:[% anualiz]]),1)*IF(DATOS!AU$4="Sí",1/DATOS_[[% normaliz]:[% normaliz]],1)*(DATOS_[Conc.Sal.17])))))))),
0)</f>
        <v>0</v>
      </c>
      <c r="AA104" s="101">
        <f t="array" ref="AA104">IFERROR(
(AVERAGE((IF(DATOS_[[Sexo]:[Sexo]]=$B104,IF(DATOS_[[AGRUP. VALOR. PTO.]:[AGRUP. VALOR. PTO.]]=$B102,IF(DATOS_[[Check Periodo Ref.]:[Check Periodo Ref.]]="Dentro",IF(DATOS_[[Check Equiparado]:[Check Equiparado]]="Sí",IF(DATOS!AV$5="Sí",(1/DATOS_[[% anualiz]:[% anualiz]]),1)*IF(DATOS!AV$4="Sí",1/DATOS_[[% normaliz]:[% normaliz]],1)*(DATOS_[Conc.Sal.18])))))))),
0)</f>
        <v>0</v>
      </c>
      <c r="AB104" s="101">
        <f t="array" ref="AB104">IFERROR(
(AVERAGE((IF(DATOS_[[Sexo]:[Sexo]]=$B104,IF(DATOS_[[AGRUP. VALOR. PTO.]:[AGRUP. VALOR. PTO.]]=$B102,IF(DATOS_[[Check Periodo Ref.]:[Check Periodo Ref.]]="Dentro",IF(DATOS_[[Check Equiparado]:[Check Equiparado]]="Sí",IF(DATOS!AW$5="Sí",(1/DATOS_[[% anualiz]:[% anualiz]]),1)*IF(DATOS!AW$4="Sí",1/DATOS_[[% normaliz]:[% normaliz]],1)*(DATOS_[Conc.Sal.19])))))))),
0)</f>
        <v>0</v>
      </c>
      <c r="AC104" s="101">
        <f t="array" ref="AC104">IFERROR(
(AVERAGE((IF(DATOS_[[Sexo]:[Sexo]]=$B104,IF(DATOS_[[AGRUP. VALOR. PTO.]:[AGRUP. VALOR. PTO.]]=$B102,IF(DATOS_[[Check Periodo Ref.]:[Check Periodo Ref.]]="Dentro",IF(DATOS_[[Check Equiparado]:[Check Equiparado]]="Sí",IF(DATOS!AX$5="Sí",(1/DATOS_[[% anualiz]:[% anualiz]]),1)*IF(DATOS!AX$4="Sí",1/DATOS_[[% normaliz]:[% normaliz]],1)*(DATOS_[Conc.Sal.20])))))))),
0)</f>
        <v>0</v>
      </c>
      <c r="AD104" s="101">
        <f t="array" ref="AD104">IFERROR(
(AVERAGE((IF(DATOS_[[Sexo]:[Sexo]]=$B104,IF(DATOS_[[AGRUP. VALOR. PTO.]:[AGRUP. VALOR. PTO.]]=$B102,IF(DATOS_[[Check Periodo Ref.]:[Check Periodo Ref.]]="Dentro",IF(DATOS_[[Check Equiparado]:[Check Equiparado]]="Sí",IF(DATOS!AY$5="Sí",(1/DATOS_[[% anualiz]:[% anualiz]]),1)*IF(DATOS!AY$4="Sí",1/DATOS_[[% normaliz]:[% normaliz]],1)*(DATOS_[Conc.Sal.21])))))))),
0)</f>
        <v>0</v>
      </c>
      <c r="AE104" s="101">
        <f t="array" ref="AE104">IFERROR(
(AVERAGE((IF(DATOS_[[Sexo]:[Sexo]]=$B104,IF(DATOS_[[AGRUP. VALOR. PTO.]:[AGRUP. VALOR. PTO.]]=$B102,IF(DATOS_[[Check Periodo Ref.]:[Check Periodo Ref.]]="Dentro",IF(DATOS_[[Check Equiparado]:[Check Equiparado]]="Sí",IF(DATOS!AZ$5="Sí",(1/DATOS_[[% anualiz]:[% anualiz]]),1)*IF(DATOS!AZ$4="Sí",1/DATOS_[[% normaliz]:[% normaliz]],1)*(DATOS_[Conc.Sal.22])))))))),
0)</f>
        <v>0</v>
      </c>
      <c r="AF104" s="101">
        <f t="array" ref="AF104">IFERROR(
(AVERAGE((IF(DATOS_[[Sexo]:[Sexo]]=$B104,IF(DATOS_[[AGRUP. VALOR. PTO.]:[AGRUP. VALOR. PTO.]]=$B102,IF(DATOS_[[Check Periodo Ref.]:[Check Periodo Ref.]]="Dentro",IF(DATOS_[[Check Equiparado]:[Check Equiparado]]="Sí",IF(DATOS!BA$5="Sí",(1/DATOS_[[% anualiz]:[% anualiz]]),1)*IF(DATOS!BA$4="Sí",1/DATOS_[[% normaliz]:[% normaliz]],1)*(DATOS_[Conc.Sal.23])))))))),
0)</f>
        <v>0</v>
      </c>
      <c r="AG104" s="101">
        <f t="array" ref="AG104">IFERROR(
(AVERAGE((IF(DATOS_[[Sexo]:[Sexo]]=$B104,IF(DATOS_[[AGRUP. VALOR. PTO.]:[AGRUP. VALOR. PTO.]]=$B102,IF(DATOS_[[Check Periodo Ref.]:[Check Periodo Ref.]]="Dentro",IF(DATOS_[[Check Equiparado]:[Check Equiparado]]="Sí",IF(DATOS!BB$5="Sí",(1/DATOS_[[% anualiz]:[% anualiz]]),1)*IF(DATOS!BB$4="Sí",1/DATOS_[[% normaliz]:[% normaliz]],1)*(DATOS_[Conc.Sal.24])))))))),
0)</f>
        <v>0</v>
      </c>
      <c r="AH104" s="101">
        <f t="array" ref="AH104">IFERROR(
(AVERAGE((IF(DATOS_[[Sexo]:[Sexo]]=$B104,IF(DATOS_[[AGRUP. VALOR. PTO.]:[AGRUP. VALOR. PTO.]]=$B102,IF(DATOS_[[Check Periodo Ref.]:[Check Periodo Ref.]]="Dentro",IF(DATOS_[[Check Equiparado]:[Check Equiparado]]="Sí",IF(DATOS!BC$5="Sí",(1/DATOS_[[% anualiz]:[% anualiz]]),1)*IF(DATOS!BC$4="Sí",1/DATOS_[[% normaliz]:[% normaliz]],1)*(DATOS_[Conc.Sal.25])))))))),
0)</f>
        <v>0</v>
      </c>
      <c r="AI104" s="101">
        <f t="array" ref="AI104">IFERROR(
(AVERAGE((IF(DATOS_[[Sexo]:[Sexo]]=$B104,IF(DATOS_[[AGRUP. VALOR. PTO.]:[AGRUP. VALOR. PTO.]]=$B102,IF(DATOS_[[Check Periodo Ref.]:[Check Periodo Ref.]]="Dentro",IF(DATOS_[[Check Equiparado]:[Check Equiparado]]="Sí",IF(DATOS!BD$5="Sí",(1/DATOS_[[% anualiz]:[% anualiz]]),1)*IF(DATOS!BD$4="Sí",1/DATOS_[[% normaliz]:[% normaliz]],1)*(DATOS_[Conc.Sal.26])))))))),
0)</f>
        <v>0</v>
      </c>
      <c r="AJ104" s="101">
        <f t="array" ref="AJ104">IFERROR(
(AVERAGE((IF(DATOS_[[Sexo]:[Sexo]]=$B104,IF(DATOS_[[AGRUP. VALOR. PTO.]:[AGRUP. VALOR. PTO.]]=$B102,IF(DATOS_[[Check Periodo Ref.]:[Check Periodo Ref.]]="Dentro",IF(DATOS_[[Check Equiparado]:[Check Equiparado]]="Sí",IF(DATOS!BE$5="Sí",(1/DATOS_[[% anualiz]:[% anualiz]]),1)*IF(DATOS!BE$4="Sí",1/DATOS_[[% normaliz]:[% normaliz]],1)*(DATOS_[Conc.Sal.27])))))))),
0)</f>
        <v>0</v>
      </c>
      <c r="AK104" s="101">
        <f t="array" ref="AK104">IFERROR(
(AVERAGE((IF(DATOS_[[Sexo]:[Sexo]]=$B104,IF(DATOS_[[AGRUP. VALOR. PTO.]:[AGRUP. VALOR. PTO.]]=$B102,IF(DATOS_[[Check Periodo Ref.]:[Check Periodo Ref.]]="Dentro",IF(DATOS_[[Check Equiparado]:[Check Equiparado]]="Sí",IF(DATOS!BF$5="Sí",(1/DATOS_[[% anualiz]:[% anualiz]]),1)*IF(DATOS!BF$4="Sí",1/DATOS_[[% normaliz]:[% normaliz]],1)*(DATOS_[Conc.Sal.28])))))))),
0)</f>
        <v>0</v>
      </c>
      <c r="AL104" s="101">
        <f t="array" ref="AL104">IFERROR(
(AVERAGE((IF(DATOS_[[Sexo]:[Sexo]]=$B104,IF(DATOS_[[AGRUP. VALOR. PTO.]:[AGRUP. VALOR. PTO.]]=$B102,IF(DATOS_[[Check Periodo Ref.]:[Check Periodo Ref.]]="Dentro",IF(DATOS_[[Check Equiparado]:[Check Equiparado]]="Sí",IF(DATOS!BG$5="Sí",(1/DATOS_[[% anualiz]:[% anualiz]]),1)*IF(DATOS!BG$4="Sí",1/DATOS_[[% normaliz]:[% normaliz]],1)*(DATOS_[Conc.Sal.29])))))))),
0)</f>
        <v>0</v>
      </c>
      <c r="AM104" s="101">
        <f t="array" ref="AM104">IFERROR(
(AVERAGE((IF(DATOS_[[Sexo]:[Sexo]]=$B104,IF(DATOS_[[AGRUP. VALOR. PTO.]:[AGRUP. VALOR. PTO.]]=$B102,IF(DATOS_[[Check Periodo Ref.]:[Check Periodo Ref.]]="Dentro",IF(DATOS_[[Check Equiparado]:[Check Equiparado]]="Sí",IF(DATOS!BH$5="Sí",(1/DATOS_[[% anualiz]:[% anualiz]]),1)*IF(DATOS!BH$4="Sí",1/DATOS_[[% normaliz]:[% normaliz]],1)*(DATOS_[Conc.Sal.30])))))))),
0)</f>
        <v>0</v>
      </c>
      <c r="AN104" s="102">
        <f t="array" ref="AN104">IFERROR(
AVERAGE(IF(DATOS_[Sexo]=$B104,IF(DATOS_[[AGRUP. VALOR. PTO.]:[AGRUP. VALOR. PTO.]]=$B102,IF(DATOS_[Check Equiparado]="Sí",IF(DATOS_[Check Periodo Ref.]="Dentro",DATOS_[Tot COMPL.SAL Eq],FALSE))))),
0)</f>
        <v>0</v>
      </c>
      <c r="AO104" s="103">
        <f t="array" ref="AO104">IFERROR(
AVERAGE(IF(DATOS_[Sexo]=$B104,IF(DATOS_[[AGRUP. VALOR. PTO.]:[AGRUP. VALOR. PTO.]]=$B102,IF(DATOS_[Check Equiparado]="Sí",IF(DATOS_[Check Periodo Ref.]="Dentro",DATOS_[TOTAL SALARIO Eq],FALSE))))),
0)</f>
        <v>0</v>
      </c>
      <c r="AP104" s="104">
        <f t="array" ref="AP104">IFERROR(
(AVERAGE((IF(DATOS_[[Sexo]:[Sexo]]=$B104,IF(DATOS_[[AGRUP. VALOR. PTO.]:[AGRUP. VALOR. PTO.]]=$B102,IF(DATOS_[[Check Periodo Ref.]:[Check Periodo Ref.]]="Dentro",IF(DATOS_[[Check Equiparado]:[Check Equiparado]]="Sí",IF(DATOS!BI$5="Sí",(1/DATOS_[[% anualiz]:[% anualiz]]),1)*IF(DATOS!BI$4="Sí",1/DATOS_[[% normaliz]:[% normaliz]],1)*(DATOS_[C.Extra.01])))))))),
0)</f>
        <v>0</v>
      </c>
      <c r="AQ104" s="104">
        <f t="array" ref="AQ104">IFERROR(
(AVERAGE((IF(DATOS_[[Sexo]:[Sexo]]=$B104,IF(DATOS_[[AGRUP. VALOR. PTO.]:[AGRUP. VALOR. PTO.]]=$B102,IF(DATOS_[[Check Periodo Ref.]:[Check Periodo Ref.]]="Dentro",IF(DATOS_[[Check Equiparado]:[Check Equiparado]]="Sí",IF(DATOS!BJ$5="Sí",(1/DATOS_[[% anualiz]:[% anualiz]]),1)*IF(DATOS!BJ$4="Sí",1/DATOS_[[% normaliz]:[% normaliz]],1)*(DATOS_[C.Extra.02])))))))),
0)</f>
        <v>0</v>
      </c>
      <c r="AR104" s="104">
        <f t="array" ref="AR104">IFERROR(
(AVERAGE((IF(DATOS_[[Sexo]:[Sexo]]=$B104,IF(DATOS_[[AGRUP. VALOR. PTO.]:[AGRUP. VALOR. PTO.]]=$B102,IF(DATOS_[[Check Periodo Ref.]:[Check Periodo Ref.]]="Dentro",IF(DATOS_[[Check Equiparado]:[Check Equiparado]]="Sí",IF(DATOS!BK$5="Sí",(1/DATOS_[[% anualiz]:[% anualiz]]),1)*IF(DATOS!BK$4="Sí",1/DATOS_[[% normaliz]:[% normaliz]],1)*(DATOS_[C.Extra.03])))))))),
0)</f>
        <v>0</v>
      </c>
      <c r="AS104" s="104">
        <f t="array" ref="AS104">IFERROR(
(AVERAGE((IF(DATOS_[[Sexo]:[Sexo]]=$B104,IF(DATOS_[[AGRUP. VALOR. PTO.]:[AGRUP. VALOR. PTO.]]=$B102,IF(DATOS_[[Check Periodo Ref.]:[Check Periodo Ref.]]="Dentro",IF(DATOS_[[Check Equiparado]:[Check Equiparado]]="Sí",IF(DATOS!BL$5="Sí",(1/DATOS_[[% anualiz]:[% anualiz]]),1)*IF(DATOS!BL$4="Sí",1/DATOS_[[% normaliz]:[% normaliz]],1)*(DATOS_[C.Extra.04])))))))),
0)</f>
        <v>0</v>
      </c>
      <c r="AT104" s="104">
        <f t="array" ref="AT104">IFERROR(
(AVERAGE((IF(DATOS_[[Sexo]:[Sexo]]=$B104,IF(DATOS_[[AGRUP. VALOR. PTO.]:[AGRUP. VALOR. PTO.]]=$B102,IF(DATOS_[[Check Periodo Ref.]:[Check Periodo Ref.]]="Dentro",IF(DATOS_[[Check Equiparado]:[Check Equiparado]]="Sí",IF(DATOS!BM$5="Sí",(1/DATOS_[[% anualiz]:[% anualiz]]),1)*IF(DATOS!BM$4="Sí",1/DATOS_[[% normaliz]:[% normaliz]],1)*(DATOS_[C.Extra.05])))))))),
0)</f>
        <v>0</v>
      </c>
      <c r="AU104" s="105">
        <f t="array" ref="AU104">IFERROR(
AVERAGE(IF(DATOS_[Sexo]=$B104,IF(DATOS_[[AGRUP. VALOR. PTO.]:[AGRUP. VALOR. PTO.]]=$B102,IF(DATOS_[Check Equiparado]="Sí",IF(DATOS_[Check Periodo Ref.]="Dentro",DATOS_[Tot Extrasalarial Eq],FALSE))))),
0)</f>
        <v>0</v>
      </c>
      <c r="AV104" s="106">
        <f t="array" ref="AV104">IFERROR(
AVERAGE(IF(DATOS_[Sexo]=$B104,IF(DATOS_[[AGRUP. VALOR. PTO.]:[AGRUP. VALOR. PTO.]]=$B102,IF(DATOS_[Check Equiparado]="Sí",IF(DATOS_[Check Periodo Ref.]="Dentro",DATOS_[TOTAL Retrib Eq],FALSE))))),
0)</f>
        <v>0</v>
      </c>
    </row>
  </sheetData>
  <sheetProtection algorithmName="SHA-512" hashValue="UgEhX2bS+bCoD8KpzLeuOPtETGSJT5rnO89BbxBmCAz/lGYhhCmpxPYDQDVKmkX9wDsKb//7LvebOJxav2YVYw==" saltValue="46hYq2XJQw/sYgAfiD/FeQ==" spinCount="100000" sheet="1" objects="1" scenarios="1"/>
  <dataConsolidate/>
  <mergeCells count="1">
    <mergeCell ref="AW1:AW11"/>
  </mergeCells>
  <pageMargins left="0.25" right="0.25" top="0.75" bottom="0.75" header="0.3" footer="0.3"/>
  <pageSetup paperSize="9" scale="71"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104"/>
  <sheetViews>
    <sheetView showGridLines="0" topLeftCell="N1" zoomScaleNormal="100" workbookViewId="0">
      <selection activeCell="AW1" sqref="AW1:AW11"/>
    </sheetView>
  </sheetViews>
  <sheetFormatPr baseColWidth="10" defaultColWidth="7.28515625" defaultRowHeight="16.5" outlineLevelCol="1" x14ac:dyDescent="0.3"/>
  <cols>
    <col min="1" max="1" width="8.85546875" style="42" customWidth="1"/>
    <col min="2" max="2" width="10.7109375" style="42" customWidth="1"/>
    <col min="3" max="7" width="7.28515625" style="42" customWidth="1"/>
    <col min="8" max="8" width="7.28515625" style="42"/>
    <col min="9" max="9" width="10.42578125" style="42" customWidth="1"/>
    <col min="10" max="12" width="7.42578125" style="42" bestFit="1" customWidth="1"/>
    <col min="13" max="13" width="7.5703125" style="42" bestFit="1" customWidth="1"/>
    <col min="14" max="16" width="7.28515625" style="42"/>
    <col min="17" max="17" width="7.28515625" style="42" customWidth="1"/>
    <col min="18" max="19" width="7.28515625" style="42" hidden="1" customWidth="1"/>
    <col min="20" max="39" width="7.28515625" style="42" hidden="1" customWidth="1" outlineLevel="1"/>
    <col min="40" max="40" width="8.85546875" style="42" customWidth="1" collapsed="1"/>
    <col min="41" max="41" width="8.85546875" style="42" customWidth="1"/>
    <col min="42" max="42" width="9" style="42" bestFit="1" customWidth="1"/>
    <col min="43" max="45" width="7.28515625" style="42" customWidth="1"/>
    <col min="46" max="46" width="7.28515625" style="42" hidden="1" customWidth="1"/>
    <col min="47" max="48" width="8.85546875" style="42" customWidth="1"/>
    <col min="49" max="49" width="16.7109375" style="42" customWidth="1"/>
    <col min="50" max="16384" width="7.28515625" style="42"/>
  </cols>
  <sheetData>
    <row r="1" spans="1:51" s="53" customFormat="1" ht="42.6" customHeight="1" x14ac:dyDescent="0.3">
      <c r="E1" s="237" t="s">
        <v>372</v>
      </c>
      <c r="AW1" s="344" t="str">
        <f>+IFERROR(IF(OR(((AV10-AV11)/AV11)&gt;=25%,((AV11-AV10)/AV10)&gt;=25%),AY1,""),"")</f>
        <v>Recuerde: Cuando la media aritmética o la mediana de las retribuciones totales en la empresa de las personas trabajadoras de un sexo sea superior a las del otro en, al menos un 25%, se deberá incluir la justificación a la que se refiere el art. 28.3 del ET.</v>
      </c>
      <c r="AX1" s="305"/>
      <c r="AY1" s="332" t="s">
        <v>445</v>
      </c>
    </row>
    <row r="2" spans="1:51" ht="13.9" customHeight="1" x14ac:dyDescent="0.3">
      <c r="K2" s="42" t="str">
        <f>+IF(K8="[ocultar]",K8,"")</f>
        <v/>
      </c>
      <c r="L2" s="42" t="str">
        <f t="shared" ref="L2:AT2" si="0">+IF(L8="[ocultar]",L8,"")</f>
        <v/>
      </c>
      <c r="M2" s="42" t="str">
        <f t="shared" si="0"/>
        <v/>
      </c>
      <c r="N2" s="42" t="str">
        <f t="shared" si="0"/>
        <v/>
      </c>
      <c r="O2" s="42" t="str">
        <f t="shared" si="0"/>
        <v/>
      </c>
      <c r="P2" s="42" t="str">
        <f t="shared" si="0"/>
        <v/>
      </c>
      <c r="Q2" s="42" t="str">
        <f t="shared" si="0"/>
        <v/>
      </c>
      <c r="R2" s="42" t="str">
        <f t="shared" si="0"/>
        <v>[ocultar]</v>
      </c>
      <c r="S2" s="42" t="str">
        <f t="shared" si="0"/>
        <v>[ocultar]</v>
      </c>
      <c r="T2" s="42" t="str">
        <f t="shared" si="0"/>
        <v>[ocultar]</v>
      </c>
      <c r="U2" s="42" t="str">
        <f t="shared" si="0"/>
        <v>[ocultar]</v>
      </c>
      <c r="V2" s="42" t="str">
        <f t="shared" si="0"/>
        <v>[ocultar]</v>
      </c>
      <c r="W2" s="42" t="str">
        <f t="shared" si="0"/>
        <v>[ocultar]</v>
      </c>
      <c r="X2" s="42" t="str">
        <f t="shared" si="0"/>
        <v>[ocultar]</v>
      </c>
      <c r="Y2" s="42" t="str">
        <f t="shared" si="0"/>
        <v>[ocultar]</v>
      </c>
      <c r="Z2" s="42" t="str">
        <f t="shared" si="0"/>
        <v>[ocultar]</v>
      </c>
      <c r="AA2" s="42" t="str">
        <f t="shared" si="0"/>
        <v>[ocultar]</v>
      </c>
      <c r="AB2" s="42" t="str">
        <f t="shared" si="0"/>
        <v>[ocultar]</v>
      </c>
      <c r="AC2" s="42" t="str">
        <f t="shared" si="0"/>
        <v>[ocultar]</v>
      </c>
      <c r="AD2" s="42" t="str">
        <f t="shared" si="0"/>
        <v>[ocultar]</v>
      </c>
      <c r="AE2" s="42" t="str">
        <f t="shared" si="0"/>
        <v>[ocultar]</v>
      </c>
      <c r="AF2" s="42" t="str">
        <f t="shared" si="0"/>
        <v>[ocultar]</v>
      </c>
      <c r="AG2" s="42" t="str">
        <f t="shared" si="0"/>
        <v>[ocultar]</v>
      </c>
      <c r="AH2" s="42" t="str">
        <f t="shared" si="0"/>
        <v>[ocultar]</v>
      </c>
      <c r="AI2" s="42" t="str">
        <f t="shared" si="0"/>
        <v>[ocultar]</v>
      </c>
      <c r="AJ2" s="42" t="str">
        <f t="shared" si="0"/>
        <v>[ocultar]</v>
      </c>
      <c r="AK2" s="42" t="str">
        <f t="shared" si="0"/>
        <v>[ocultar]</v>
      </c>
      <c r="AL2" s="42" t="str">
        <f t="shared" si="0"/>
        <v>[ocultar]</v>
      </c>
      <c r="AM2" s="42" t="str">
        <f t="shared" si="0"/>
        <v>[ocultar]</v>
      </c>
      <c r="AN2" s="42" t="str">
        <f t="shared" si="0"/>
        <v/>
      </c>
      <c r="AO2" s="42" t="str">
        <f t="shared" si="0"/>
        <v/>
      </c>
      <c r="AP2" s="42" t="str">
        <f t="shared" si="0"/>
        <v/>
      </c>
      <c r="AQ2" s="42" t="str">
        <f t="shared" si="0"/>
        <v/>
      </c>
      <c r="AR2" s="42" t="str">
        <f t="shared" si="0"/>
        <v/>
      </c>
      <c r="AS2" s="42" t="str">
        <f t="shared" si="0"/>
        <v/>
      </c>
      <c r="AT2" s="42" t="str">
        <f t="shared" si="0"/>
        <v>[ocultar]</v>
      </c>
      <c r="AW2" s="344"/>
      <c r="AX2" s="305"/>
      <c r="AY2" s="305"/>
    </row>
    <row r="3" spans="1:51" ht="13.9" customHeight="1" x14ac:dyDescent="0.3">
      <c r="I3" s="171" t="str">
        <f>+"Razón Social: "&amp;Inicio!C6&amp;"  -  NIF: "&amp;Inicio!C8</f>
        <v>Razón Social: Empresa Ejemplo Ficticio 3  -  NIF: B55512345</v>
      </c>
      <c r="J3" s="172"/>
      <c r="AW3" s="344"/>
      <c r="AX3" s="305"/>
      <c r="AY3" s="305"/>
    </row>
    <row r="4" spans="1:51" ht="13.9" customHeight="1" x14ac:dyDescent="0.3">
      <c r="I4" s="173" t="s">
        <v>97</v>
      </c>
      <c r="J4" s="174"/>
      <c r="AW4" s="344"/>
      <c r="AX4" s="305"/>
      <c r="AY4" s="305"/>
    </row>
    <row r="5" spans="1:51" ht="13.9" customHeight="1" x14ac:dyDescent="0.3">
      <c r="I5" s="175">
        <f>+Inicio!E10</f>
        <v>45292</v>
      </c>
      <c r="J5" s="176" t="str">
        <f>+Inicio!D10</f>
        <v>fecha inicio</v>
      </c>
      <c r="AW5" s="344"/>
      <c r="AX5" s="305"/>
      <c r="AY5" s="305"/>
    </row>
    <row r="6" spans="1:51" ht="13.9" customHeight="1" x14ac:dyDescent="0.3">
      <c r="I6" s="175">
        <f>+Inicio!G10</f>
        <v>45657</v>
      </c>
      <c r="J6" s="176" t="s">
        <v>94</v>
      </c>
      <c r="AW6" s="344"/>
      <c r="AX6" s="305"/>
      <c r="AY6" s="305"/>
    </row>
    <row r="7" spans="1:51" s="118" customFormat="1" ht="13.9" customHeight="1" x14ac:dyDescent="0.25">
      <c r="AW7" s="344"/>
      <c r="AX7" s="307"/>
      <c r="AY7" s="307"/>
    </row>
    <row r="8" spans="1:51" s="85" customFormat="1" ht="46.15" customHeight="1" x14ac:dyDescent="0.25">
      <c r="B8" s="78"/>
      <c r="C8" s="54" t="s">
        <v>225</v>
      </c>
      <c r="D8" s="54" t="s">
        <v>220</v>
      </c>
      <c r="E8" s="54" t="s">
        <v>293</v>
      </c>
      <c r="F8" s="54" t="s">
        <v>291</v>
      </c>
      <c r="G8" s="54" t="s">
        <v>292</v>
      </c>
      <c r="H8" s="54" t="s">
        <v>224</v>
      </c>
      <c r="I8" s="145" t="s">
        <v>217</v>
      </c>
      <c r="J8" s="79" t="str">
        <f>+IF(DATOS!AE6="","[ocultar]",DATOS!AE6)</f>
        <v>MejVol</v>
      </c>
      <c r="K8" s="79" t="str">
        <f>+IF(DATOS!AF6="","[ocultar]",DATOS!AF6)</f>
        <v>Antig.</v>
      </c>
      <c r="L8" s="79" t="str">
        <f>+IF(DATOS!AG6="","[ocultar]",DATOS!AG6)</f>
        <v>Transporte</v>
      </c>
      <c r="M8" s="79" t="str">
        <f>+IF(DATOS!AH6="","[ocultar]",DATOS!AH6)</f>
        <v>Ventas</v>
      </c>
      <c r="N8" s="79" t="str">
        <f>+IF(DATOS!AI6="","[ocultar]",DATOS!AI6)</f>
        <v>Bonus</v>
      </c>
      <c r="O8" s="79" t="str">
        <f>+IF(DATOS!AJ6="","[ocultar]",DATOS!AJ6)</f>
        <v>Coche</v>
      </c>
      <c r="P8" s="79" t="str">
        <f>+IF(DATOS!AK6="","[ocultar]",DATOS!AK6)</f>
        <v>Cesta</v>
      </c>
      <c r="Q8" s="79" t="str">
        <f>+IF(DATOS!AL6="","[ocultar]",DATOS!AL6)</f>
        <v>Nocturnidad</v>
      </c>
      <c r="R8" s="79" t="str">
        <f>+IF(DATOS!AM6="","[ocultar]",DATOS!AM6)</f>
        <v>[ocultar]</v>
      </c>
      <c r="S8" s="79" t="str">
        <f>+IF(DATOS!AN6="","[ocultar]",DATOS!AN6)</f>
        <v>[ocultar]</v>
      </c>
      <c r="T8" s="79" t="str">
        <f>+IF(DATOS!AO6="","[ocultar]",DATOS!AO6)</f>
        <v>[ocultar]</v>
      </c>
      <c r="U8" s="79" t="str">
        <f>+IF(DATOS!AP6="","[ocultar]",DATOS!AP6)</f>
        <v>[ocultar]</v>
      </c>
      <c r="V8" s="79" t="str">
        <f>+IF(DATOS!AQ6="","[ocultar]",DATOS!AQ6)</f>
        <v>[ocultar]</v>
      </c>
      <c r="W8" s="79" t="str">
        <f>+IF(DATOS!AR6="","[ocultar]",DATOS!AR6)</f>
        <v>[ocultar]</v>
      </c>
      <c r="X8" s="79" t="str">
        <f>+IF(DATOS!AS6="","[ocultar]",DATOS!AS6)</f>
        <v>[ocultar]</v>
      </c>
      <c r="Y8" s="79" t="str">
        <f>+IF(DATOS!AT6="","[ocultar]",DATOS!AT6)</f>
        <v>[ocultar]</v>
      </c>
      <c r="Z8" s="79" t="str">
        <f>+IF(DATOS!AU6="","[ocultar]",DATOS!AU6)</f>
        <v>[ocultar]</v>
      </c>
      <c r="AA8" s="79" t="str">
        <f>+IF(DATOS!AV6="","[ocultar]",DATOS!AV6)</f>
        <v>[ocultar]</v>
      </c>
      <c r="AB8" s="79" t="str">
        <f>+IF(DATOS!AW6="","[ocultar]",DATOS!AW6)</f>
        <v>[ocultar]</v>
      </c>
      <c r="AC8" s="79" t="str">
        <f>+IF(DATOS!AX6="","[ocultar]",DATOS!AX6)</f>
        <v>[ocultar]</v>
      </c>
      <c r="AD8" s="79" t="str">
        <f>+IF(DATOS!AY6="","[ocultar]",DATOS!AY6)</f>
        <v>[ocultar]</v>
      </c>
      <c r="AE8" s="79" t="str">
        <f>+IF(DATOS!AZ6="","[ocultar]",DATOS!AZ6)</f>
        <v>[ocultar]</v>
      </c>
      <c r="AF8" s="79" t="str">
        <f>+IF(DATOS!BA6="","[ocultar]",DATOS!BA6)</f>
        <v>[ocultar]</v>
      </c>
      <c r="AG8" s="79" t="str">
        <f>+IF(DATOS!BB6="","[ocultar]",DATOS!BB6)</f>
        <v>[ocultar]</v>
      </c>
      <c r="AH8" s="79" t="str">
        <f>+IF(DATOS!BC6="","[ocultar]",DATOS!BC6)</f>
        <v>[ocultar]</v>
      </c>
      <c r="AI8" s="79" t="str">
        <f>+IF(DATOS!BD6="","[ocultar]",DATOS!BD6)</f>
        <v>[ocultar]</v>
      </c>
      <c r="AJ8" s="79" t="str">
        <f>+IF(DATOS!BE6="","[ocultar]",DATOS!BE6)</f>
        <v>[ocultar]</v>
      </c>
      <c r="AK8" s="79" t="str">
        <f>+IF(DATOS!BF6="","[ocultar]",DATOS!BF6)</f>
        <v>[ocultar]</v>
      </c>
      <c r="AL8" s="79" t="str">
        <f>+IF(DATOS!BG6="","[ocultar]",DATOS!BG6)</f>
        <v>[ocultar]</v>
      </c>
      <c r="AM8" s="79" t="str">
        <f>+IF(DATOS!BH6="","[ocultar]",DATOS!BH6)</f>
        <v>[ocultar]</v>
      </c>
      <c r="AN8" s="80" t="s">
        <v>218</v>
      </c>
      <c r="AO8" s="81" t="s">
        <v>211</v>
      </c>
      <c r="AP8" s="82" t="str">
        <f>+IF(DATOS!BI6="","[ocultar]",DATOS!BI6)</f>
        <v>Dietas</v>
      </c>
      <c r="AQ8" s="82" t="str">
        <f>+IF(DATOS!BJ6="","[ocultar]",DATOS!BJ6)</f>
        <v>Indem</v>
      </c>
      <c r="AR8" s="82" t="str">
        <f>+IF(DATOS!BK6="","[ocultar]",DATOS!BK6)</f>
        <v>ERTE</v>
      </c>
      <c r="AS8" s="82" t="str">
        <f>+IF(DATOS!BL6="","[ocultar]",DATOS!BL6)</f>
        <v>IT</v>
      </c>
      <c r="AT8" s="82" t="str">
        <f>+IF(DATOS!BM6="","[ocultar]",DATOS!BM6)</f>
        <v>[ocultar]</v>
      </c>
      <c r="AU8" s="83" t="s">
        <v>219</v>
      </c>
      <c r="AV8" s="84" t="s">
        <v>212</v>
      </c>
      <c r="AW8" s="344"/>
      <c r="AX8" s="308"/>
      <c r="AY8" s="308"/>
    </row>
    <row r="9" spans="1:51" ht="17.25" thickBot="1" x14ac:dyDescent="0.35">
      <c r="B9" s="90" t="s">
        <v>247</v>
      </c>
      <c r="C9" s="109"/>
      <c r="D9" s="41"/>
      <c r="E9" s="41"/>
      <c r="F9" s="41"/>
      <c r="G9" s="41"/>
      <c r="H9" s="41"/>
      <c r="I9" s="119">
        <f t="shared" ref="I9" si="1">IFERROR((I10-I11)/I10,"")</f>
        <v>0.15985446663570213</v>
      </c>
      <c r="J9" s="120">
        <f>IFERROR((J10-J11)/J10,"")</f>
        <v>0.89944580297128263</v>
      </c>
      <c r="K9" s="121">
        <f t="shared" ref="K9:AV9" si="2">IFERROR((K10-K11)/K10,"")</f>
        <v>0.1598544666357021</v>
      </c>
      <c r="L9" s="121" t="str">
        <f t="shared" si="2"/>
        <v/>
      </c>
      <c r="M9" s="121" t="str">
        <f t="shared" si="2"/>
        <v/>
      </c>
      <c r="N9" s="122" t="str">
        <f t="shared" si="2"/>
        <v/>
      </c>
      <c r="O9" s="123" t="str">
        <f t="shared" si="2"/>
        <v/>
      </c>
      <c r="P9" s="123">
        <f t="shared" si="2"/>
        <v>0</v>
      </c>
      <c r="Q9" s="123" t="str">
        <f t="shared" si="2"/>
        <v/>
      </c>
      <c r="R9" s="123" t="str">
        <f t="shared" si="2"/>
        <v/>
      </c>
      <c r="S9" s="123" t="str">
        <f t="shared" si="2"/>
        <v/>
      </c>
      <c r="T9" s="123" t="str">
        <f t="shared" si="2"/>
        <v/>
      </c>
      <c r="U9" s="123" t="str">
        <f t="shared" si="2"/>
        <v/>
      </c>
      <c r="V9" s="123" t="str">
        <f t="shared" si="2"/>
        <v/>
      </c>
      <c r="W9" s="123" t="str">
        <f t="shared" si="2"/>
        <v/>
      </c>
      <c r="X9" s="123" t="str">
        <f t="shared" si="2"/>
        <v/>
      </c>
      <c r="Y9" s="123" t="str">
        <f t="shared" si="2"/>
        <v/>
      </c>
      <c r="Z9" s="122" t="str">
        <f t="shared" si="2"/>
        <v/>
      </c>
      <c r="AA9" s="122" t="str">
        <f t="shared" si="2"/>
        <v/>
      </c>
      <c r="AB9" s="122" t="str">
        <f t="shared" si="2"/>
        <v/>
      </c>
      <c r="AC9" s="122" t="str">
        <f t="shared" si="2"/>
        <v/>
      </c>
      <c r="AD9" s="122" t="str">
        <f t="shared" si="2"/>
        <v/>
      </c>
      <c r="AE9" s="122" t="str">
        <f t="shared" si="2"/>
        <v/>
      </c>
      <c r="AF9" s="122" t="str">
        <f t="shared" si="2"/>
        <v/>
      </c>
      <c r="AG9" s="122" t="str">
        <f t="shared" si="2"/>
        <v/>
      </c>
      <c r="AH9" s="122" t="str">
        <f t="shared" si="2"/>
        <v/>
      </c>
      <c r="AI9" s="122" t="str">
        <f t="shared" si="2"/>
        <v/>
      </c>
      <c r="AJ9" s="122" t="str">
        <f t="shared" si="2"/>
        <v/>
      </c>
      <c r="AK9" s="122" t="str">
        <f t="shared" si="2"/>
        <v/>
      </c>
      <c r="AL9" s="122" t="str">
        <f t="shared" si="2"/>
        <v/>
      </c>
      <c r="AM9" s="122" t="str">
        <f t="shared" si="2"/>
        <v/>
      </c>
      <c r="AN9" s="124">
        <f t="shared" si="2"/>
        <v>0.59073491221981556</v>
      </c>
      <c r="AO9" s="128">
        <f t="shared" si="2"/>
        <v>0.25593564058701967</v>
      </c>
      <c r="AP9" s="125" t="str">
        <f t="shared" si="2"/>
        <v/>
      </c>
      <c r="AQ9" s="125" t="str">
        <f t="shared" si="2"/>
        <v/>
      </c>
      <c r="AR9" s="125" t="str">
        <f t="shared" si="2"/>
        <v/>
      </c>
      <c r="AS9" s="125" t="str">
        <f t="shared" si="2"/>
        <v/>
      </c>
      <c r="AT9" s="125" t="str">
        <f t="shared" si="2"/>
        <v/>
      </c>
      <c r="AU9" s="126" t="str">
        <f t="shared" si="2"/>
        <v/>
      </c>
      <c r="AV9" s="127">
        <f t="shared" si="2"/>
        <v>0.26047178076975003</v>
      </c>
      <c r="AW9" s="344"/>
      <c r="AX9" s="309"/>
      <c r="AY9" s="309"/>
    </row>
    <row r="10" spans="1:51" x14ac:dyDescent="0.3">
      <c r="B10" s="86" t="s">
        <v>162</v>
      </c>
      <c r="C10" s="33">
        <f t="array" ref="C10">SUM(IF($B10=DATOS_[Sexo],
IF("Dentro"=DATOS_[Check Periodo Ref.],
1/(COUNTIFS(DATOS_[Sexo],$B10,DATOS_[Check Periodo Ref.],"Dentro",DATOS_[id],DATOS_[id])))))</f>
        <v>102</v>
      </c>
      <c r="D10" s="35">
        <f>COUNTIFS(DATOS_[AGRUP. VALOR. PTO.],"&lt;&gt;",DATOS_[Sexo],$B10,DATOS_[Check Periodo Ref.],"Dentro")</f>
        <v>110</v>
      </c>
      <c r="E10" s="35">
        <f>COUNTIFS(DATOS_[AGRUP. VALOR. PTO.],"&lt;&gt;",DATOS_[Sexo],$B10,DATOS_[Check Periodo Ref.],"Dentro",DATOS_[Check Nº SC Norm],"Sí")</f>
        <v>9</v>
      </c>
      <c r="F10" s="35">
        <f>COUNTIFS(DATOS_[AGRUP. VALOR. PTO.],"&lt;&gt;",DATOS_[Sexo],$B10,DATOS_[Check Periodo Ref.],"Dentro",DATOS_[Check Nº SC Anualiz],"Sí")</f>
        <v>12</v>
      </c>
      <c r="G10" s="35">
        <f>COUNTIFS(DATOS_[AGRUP. VALOR. PTO.],"&lt;&gt;",DATOS_[Sexo],$B10,DATOS_[Check Periodo Ref.],"Dentro",DATOS_[Check Nº SC Norm y Anualiz],"Sí")</f>
        <v>1</v>
      </c>
      <c r="H10" s="35">
        <f>COUNTIFS(DATOS_[AGRUP. VALOR. PTO.],"&lt;&gt;",DATOS_[Sexo],$B10,DATOS_[Check Periodo Ref.],"Dentro",DATOS_[Check Equiparación],"Sí")</f>
        <v>22</v>
      </c>
      <c r="I10" s="110">
        <f t="array" ref="I10">IFERROR(
MEDIAN(IF(DATOS_[Sexo]=$B10,IF(DATOS_[Check Equiparado]="Sí",IF(DATOS_[Check Periodo Ref.]="Dentro",DATOS_[SALARIO BASE Eq],FALSE)))),
0)</f>
        <v>15372.42</v>
      </c>
      <c r="J10" s="111">
        <f t="array" ref="J10">IFERROR(
(MEDIAN((IF(DATOS_[[Sexo]:[Sexo]]=$B10,IF(DATOS_[[Check Periodo Ref.]:[Check Periodo Ref.]]="Dentro",IF(DATOS_[[Check Equiparado]:[Check Equiparado]]="Sí",IF(DATOS!AE$5="Sí",(1/DATOS_[[% anualiz]:[% anualiz]]),1)*IF(DATOS!AE$4="Sí",1/DATOS_[[% normaliz]:[% normaliz]],1)*(DATOS_[Conc.Sal.01]))))))),
0)</f>
        <v>1627.58</v>
      </c>
      <c r="K10" s="111">
        <f t="array" ref="K10">IFERROR(
(MEDIAN((IF(DATOS_[[Sexo]:[Sexo]]=$B10,IF(DATOS_[[Check Periodo Ref.]:[Check Periodo Ref.]]="Dentro",IF(DATOS_[[Check Equiparado]:[Check Equiparado]]="Sí",IF(DATOS!AF$5="Sí",(1/DATOS_[[% anualiz]:[% anualiz]]),1)*IF(DATOS!AF$4="Sí",1/DATOS_[[% normaliz]:[% normaliz]],1)*(DATOS_[Conc.Sal.02]))))))),
0)</f>
        <v>614.89679999999998</v>
      </c>
      <c r="L10" s="111">
        <f t="array" ref="L10">IFERROR(
(MEDIAN((IF(DATOS_[[Sexo]:[Sexo]]=$B10,IF(DATOS_[[Check Periodo Ref.]:[Check Periodo Ref.]]="Dentro",IF(DATOS_[[Check Equiparado]:[Check Equiparado]]="Sí",IF(DATOS!AG$5="Sí",(1/DATOS_[[% anualiz]:[% anualiz]]),1)*IF(DATOS!AG$4="Sí",1/DATOS_[[% normaliz]:[% normaliz]],1)*(DATOS_[Conc.Sal.03]))))))),
0)</f>
        <v>0</v>
      </c>
      <c r="M10" s="111">
        <f t="array" ref="M10">IFERROR(
(MEDIAN((IF(DATOS_[[Sexo]:[Sexo]]=$B10,IF(DATOS_[[Check Periodo Ref.]:[Check Periodo Ref.]]="Dentro",IF(DATOS_[[Check Equiparado]:[Check Equiparado]]="Sí",IF(DATOS!AH$5="Sí",(1/DATOS_[[% anualiz]:[% anualiz]]),1)*IF(DATOS!AH$4="Sí",1/DATOS_[[% normaliz]:[% normaliz]],1)*(DATOS_[Conc.Sal.04]))))))),
0)</f>
        <v>0</v>
      </c>
      <c r="N10" s="111">
        <f t="array" ref="N10">IFERROR(
(MEDIAN((IF(DATOS_[[Sexo]:[Sexo]]=$B10,IF(DATOS_[[Check Periodo Ref.]:[Check Periodo Ref.]]="Dentro",IF(DATOS_[[Check Equiparado]:[Check Equiparado]]="Sí",IF(DATOS!AI$5="Sí",(1/DATOS_[[% anualiz]:[% anualiz]]),1)*IF(DATOS!AI$4="Sí",1/DATOS_[[% normaliz]:[% normaliz]],1)*(DATOS_[Conc.Sal.05]))))))),
0)</f>
        <v>0</v>
      </c>
      <c r="O10" s="111">
        <f t="array" ref="O10">IFERROR(
(MEDIAN((IF(DATOS_[[Sexo]:[Sexo]]=$B10,IF(DATOS_[[Check Periodo Ref.]:[Check Periodo Ref.]]="Dentro",IF(DATOS_[[Check Equiparado]:[Check Equiparado]]="Sí",IF(DATOS!AJ$5="Sí",(1/DATOS_[[% anualiz]:[% anualiz]]),1)*IF(DATOS!AJ$4="Sí",1/DATOS_[[% normaliz]:[% normaliz]],1)*(DATOS_[Conc.Sal.06]))))))),
0)</f>
        <v>0</v>
      </c>
      <c r="P10" s="111">
        <f t="array" ref="P10">IFERROR(
(MEDIAN((IF(DATOS_[[Sexo]:[Sexo]]=$B10,IF(DATOS_[[Check Periodo Ref.]:[Check Periodo Ref.]]="Dentro",IF(DATOS_[[Check Equiparado]:[Check Equiparado]]="Sí",IF(DATOS!AK$5="Sí",(1/DATOS_[[% anualiz]:[% anualiz]]),1)*IF(DATOS!AK$4="Sí",1/DATOS_[[% normaliz]:[% normaliz]],1)*(DATOS_[Conc.Sal.07]))))))),
0)</f>
        <v>80</v>
      </c>
      <c r="Q10" s="111">
        <f t="array" ref="Q10">IFERROR(
(MEDIAN((IF(DATOS_[[Sexo]:[Sexo]]=$B10,IF(DATOS_[[Check Periodo Ref.]:[Check Periodo Ref.]]="Dentro",IF(DATOS_[[Check Equiparado]:[Check Equiparado]]="Sí",IF(DATOS!AL$5="Sí",(1/DATOS_[[% anualiz]:[% anualiz]]),1)*IF(DATOS!AL$4="Sí",1/DATOS_[[% normaliz]:[% normaliz]],1)*(DATOS_[Conc.Sal.08]))))))),
0)</f>
        <v>0</v>
      </c>
      <c r="R10" s="111">
        <f t="array" ref="R10">IFERROR(
(MEDIAN((IF(DATOS_[[Sexo]:[Sexo]]=$B10,IF(DATOS_[[Check Periodo Ref.]:[Check Periodo Ref.]]="Dentro",IF(DATOS_[[Check Equiparado]:[Check Equiparado]]="Sí",IF(DATOS!AM$5="Sí",(1/DATOS_[[% anualiz]:[% anualiz]]),1)*IF(DATOS!AM$4="Sí",1/DATOS_[[% normaliz]:[% normaliz]],1)*(DATOS_[Conc.Sal.09]))))))),
0)</f>
        <v>0</v>
      </c>
      <c r="S10" s="111">
        <f t="array" ref="S10">IFERROR(
(MEDIAN((IF(DATOS_[[Sexo]:[Sexo]]=$B10,IF(DATOS_[[Check Periodo Ref.]:[Check Periodo Ref.]]="Dentro",IF(DATOS_[[Check Equiparado]:[Check Equiparado]]="Sí",IF(DATOS!AN$5="Sí",(1/DATOS_[[% anualiz]:[% anualiz]]),1)*IF(DATOS!AN$4="Sí",1/DATOS_[[% normaliz]:[% normaliz]],1)*(DATOS_[Conc.Sal.10]))))))),
0)</f>
        <v>0</v>
      </c>
      <c r="T10" s="111">
        <f t="array" ref="T10">IFERROR(
(MEDIAN((IF(DATOS_[[Sexo]:[Sexo]]=$B10,IF(DATOS_[[Check Periodo Ref.]:[Check Periodo Ref.]]="Dentro",IF(DATOS_[[Check Equiparado]:[Check Equiparado]]="Sí",IF(DATOS!AO$5="Sí",(1/DATOS_[[% anualiz]:[% anualiz]]),1)*IF(DATOS!AO$4="Sí",1/DATOS_[[% normaliz]:[% normaliz]],1)*(DATOS_[Conc.Sal.11]))))))),
0)</f>
        <v>0</v>
      </c>
      <c r="U10" s="111">
        <f t="array" ref="U10">IFERROR(
(MEDIAN((IF(DATOS_[[Sexo]:[Sexo]]=$B10,IF(DATOS_[[Check Periodo Ref.]:[Check Periodo Ref.]]="Dentro",IF(DATOS_[[Check Equiparado]:[Check Equiparado]]="Sí",IF(DATOS!AP$5="Sí",(1/DATOS_[[% anualiz]:[% anualiz]]),1)*IF(DATOS!AP$4="Sí",1/DATOS_[[% normaliz]:[% normaliz]],1)*(DATOS_[Conc.Sal.12]))))))),
0)</f>
        <v>0</v>
      </c>
      <c r="V10" s="111">
        <f t="array" ref="V10">IFERROR(
(MEDIAN((IF(DATOS_[[Sexo]:[Sexo]]=$B10,IF(DATOS_[[Check Periodo Ref.]:[Check Periodo Ref.]]="Dentro",IF(DATOS_[[Check Equiparado]:[Check Equiparado]]="Sí",IF(DATOS!AQ$5="Sí",(1/DATOS_[[% anualiz]:[% anualiz]]),1)*IF(DATOS!AQ$4="Sí",1/DATOS_[[% normaliz]:[% normaliz]],1)*(DATOS_[Conc.Sal.13]))))))),
0)</f>
        <v>0</v>
      </c>
      <c r="W10" s="111">
        <f t="array" ref="W10">IFERROR(
(MEDIAN((IF(DATOS_[[Sexo]:[Sexo]]=$B10,IF(DATOS_[[Check Periodo Ref.]:[Check Periodo Ref.]]="Dentro",IF(DATOS_[[Check Equiparado]:[Check Equiparado]]="Sí",IF(DATOS!AR$5="Sí",(1/DATOS_[[% anualiz]:[% anualiz]]),1)*IF(DATOS!AR$4="Sí",1/DATOS_[[% normaliz]:[% normaliz]],1)*(DATOS_[Conc.Sal.14]))))))),
0)</f>
        <v>0</v>
      </c>
      <c r="X10" s="111">
        <f t="array" ref="X10">IFERROR(
(MEDIAN((IF(DATOS_[[Sexo]:[Sexo]]=$B10,IF(DATOS_[[Check Periodo Ref.]:[Check Periodo Ref.]]="Dentro",IF(DATOS_[[Check Equiparado]:[Check Equiparado]]="Sí",IF(DATOS!AS$5="Sí",(1/DATOS_[[% anualiz]:[% anualiz]]),1)*IF(DATOS!AS$4="Sí",1/DATOS_[[% normaliz]:[% normaliz]],1)*(DATOS_[Conc.Sal.15]))))))),
0)</f>
        <v>0</v>
      </c>
      <c r="Y10" s="111">
        <f t="array" ref="Y10">IFERROR(
(MEDIAN((IF(DATOS_[[Sexo]:[Sexo]]=$B10,IF(DATOS_[[Check Periodo Ref.]:[Check Periodo Ref.]]="Dentro",IF(DATOS_[[Check Equiparado]:[Check Equiparado]]="Sí",IF(DATOS!AT$5="Sí",(1/DATOS_[[% anualiz]:[% anualiz]]),1)*IF(DATOS!AT$4="Sí",1/DATOS_[[% normaliz]:[% normaliz]],1)*(DATOS_[Conc.Sal.16]))))))),
0)</f>
        <v>0</v>
      </c>
      <c r="Z10" s="111">
        <f t="array" ref="Z10">IFERROR(
(MEDIAN((IF(DATOS_[[Sexo]:[Sexo]]=$B10,IF(DATOS_[[Check Periodo Ref.]:[Check Periodo Ref.]]="Dentro",IF(DATOS_[[Check Equiparado]:[Check Equiparado]]="Sí",IF(DATOS!AU$5="Sí",(1/DATOS_[[% anualiz]:[% anualiz]]),1)*IF(DATOS!AU$4="Sí",1/DATOS_[[% normaliz]:[% normaliz]],1)*(DATOS_[Conc.Sal.17]))))))),
0)</f>
        <v>0</v>
      </c>
      <c r="AA10" s="111">
        <f t="array" ref="AA10">IFERROR(
(MEDIAN((IF(DATOS_[[Sexo]:[Sexo]]=$B10,IF(DATOS_[[Check Periodo Ref.]:[Check Periodo Ref.]]="Dentro",IF(DATOS_[[Check Equiparado]:[Check Equiparado]]="Sí",IF(DATOS!AV$5="Sí",(1/DATOS_[[% anualiz]:[% anualiz]]),1)*IF(DATOS!AV$4="Sí",1/DATOS_[[% normaliz]:[% normaliz]],1)*(DATOS_[Conc.Sal.18]))))))),
0)</f>
        <v>0</v>
      </c>
      <c r="AB10" s="111">
        <f t="array" ref="AB10">IFERROR(
(MEDIAN((IF(DATOS_[[Sexo]:[Sexo]]=$B10,IF(DATOS_[[Check Periodo Ref.]:[Check Periodo Ref.]]="Dentro",IF(DATOS_[[Check Equiparado]:[Check Equiparado]]="Sí",IF(DATOS!AW$5="Sí",(1/DATOS_[[% anualiz]:[% anualiz]]),1)*IF(DATOS!AW$4="Sí",1/DATOS_[[% normaliz]:[% normaliz]],1)*(DATOS_[Conc.Sal.19]))))))),
0)</f>
        <v>0</v>
      </c>
      <c r="AC10" s="111">
        <f t="array" ref="AC10">IFERROR(
(MEDIAN((IF(DATOS_[[Sexo]:[Sexo]]=$B10,IF(DATOS_[[Check Periodo Ref.]:[Check Periodo Ref.]]="Dentro",IF(DATOS_[[Check Equiparado]:[Check Equiparado]]="Sí",IF(DATOS!AX$5="Sí",(1/DATOS_[[% anualiz]:[% anualiz]]),1)*IF(DATOS!AX$4="Sí",1/DATOS_[[% normaliz]:[% normaliz]],1)*(DATOS_[Conc.Sal.20]))))))),
0)</f>
        <v>0</v>
      </c>
      <c r="AD10" s="111">
        <f t="array" ref="AD10">IFERROR(
(MEDIAN((IF(DATOS_[[Sexo]:[Sexo]]=$B10,IF(DATOS_[[Check Periodo Ref.]:[Check Periodo Ref.]]="Dentro",IF(DATOS_[[Check Equiparado]:[Check Equiparado]]="Sí",IF(DATOS!AY$5="Sí",(1/DATOS_[[% anualiz]:[% anualiz]]),1)*IF(DATOS!AY$4="Sí",1/DATOS_[[% normaliz]:[% normaliz]],1)*(DATOS_[Conc.Sal.21]))))))),
0)</f>
        <v>0</v>
      </c>
      <c r="AE10" s="111">
        <f t="array" ref="AE10">IFERROR(
(MEDIAN((IF(DATOS_[[Sexo]:[Sexo]]=$B10,IF(DATOS_[[Check Periodo Ref.]:[Check Periodo Ref.]]="Dentro",IF(DATOS_[[Check Equiparado]:[Check Equiparado]]="Sí",IF(DATOS!AZ$5="Sí",(1/DATOS_[[% anualiz]:[% anualiz]]),1)*IF(DATOS!AZ$4="Sí",1/DATOS_[[% normaliz]:[% normaliz]],1)*(DATOS_[Conc.Sal.22]))))))),
0)</f>
        <v>0</v>
      </c>
      <c r="AF10" s="111">
        <f t="array" ref="AF10">IFERROR(
(MEDIAN((IF(DATOS_[[Sexo]:[Sexo]]=$B10,IF(DATOS_[[Check Periodo Ref.]:[Check Periodo Ref.]]="Dentro",IF(DATOS_[[Check Equiparado]:[Check Equiparado]]="Sí",IF(DATOS!BA$5="Sí",(1/DATOS_[[% anualiz]:[% anualiz]]),1)*IF(DATOS!BA$4="Sí",1/DATOS_[[% normaliz]:[% normaliz]],1)*(DATOS_[Conc.Sal.23]))))))),
0)</f>
        <v>0</v>
      </c>
      <c r="AG10" s="111">
        <f t="array" ref="AG10">IFERROR(
(MEDIAN((IF(DATOS_[[Sexo]:[Sexo]]=$B10,IF(DATOS_[[Check Periodo Ref.]:[Check Periodo Ref.]]="Dentro",IF(DATOS_[[Check Equiparado]:[Check Equiparado]]="Sí",IF(DATOS!BB$5="Sí",(1/DATOS_[[% anualiz]:[% anualiz]]),1)*IF(DATOS!BB$4="Sí",1/DATOS_[[% normaliz]:[% normaliz]],1)*(DATOS_[Conc.Sal.24]))))))),
0)</f>
        <v>0</v>
      </c>
      <c r="AH10" s="111">
        <f t="array" ref="AH10">IFERROR(
(MEDIAN((IF(DATOS_[[Sexo]:[Sexo]]=$B10,IF(DATOS_[[Check Periodo Ref.]:[Check Periodo Ref.]]="Dentro",IF(DATOS_[[Check Equiparado]:[Check Equiparado]]="Sí",IF(DATOS!BC$5="Sí",(1/DATOS_[[% anualiz]:[% anualiz]]),1)*IF(DATOS!BC$4="Sí",1/DATOS_[[% normaliz]:[% normaliz]],1)*(DATOS_[Conc.Sal.25]))))))),
0)</f>
        <v>0</v>
      </c>
      <c r="AI10" s="111">
        <f t="array" ref="AI10">IFERROR(
(MEDIAN((IF(DATOS_[[Sexo]:[Sexo]]=$B10,IF(DATOS_[[Check Periodo Ref.]:[Check Periodo Ref.]]="Dentro",IF(DATOS_[[Check Equiparado]:[Check Equiparado]]="Sí",IF(DATOS!BD$5="Sí",(1/DATOS_[[% anualiz]:[% anualiz]]),1)*IF(DATOS!BD$4="Sí",1/DATOS_[[% normaliz]:[% normaliz]],1)*(DATOS_[Conc.Sal.26]))))))),
0)</f>
        <v>0</v>
      </c>
      <c r="AJ10" s="111">
        <f t="array" ref="AJ10">IFERROR(
(MEDIAN((IF(DATOS_[[Sexo]:[Sexo]]=$B10,IF(DATOS_[[Check Periodo Ref.]:[Check Periodo Ref.]]="Dentro",IF(DATOS_[[Check Equiparado]:[Check Equiparado]]="Sí",IF(DATOS!BE$5="Sí",(1/DATOS_[[% anualiz]:[% anualiz]]),1)*IF(DATOS!BE$4="Sí",1/DATOS_[[% normaliz]:[% normaliz]],1)*(DATOS_[Conc.Sal.27]))))))),
0)</f>
        <v>0</v>
      </c>
      <c r="AK10" s="111">
        <f t="array" ref="AK10">IFERROR(
(MEDIAN((IF(DATOS_[[Sexo]:[Sexo]]=$B10,IF(DATOS_[[Check Periodo Ref.]:[Check Periodo Ref.]]="Dentro",IF(DATOS_[[Check Equiparado]:[Check Equiparado]]="Sí",IF(DATOS!BF$5="Sí",(1/DATOS_[[% anualiz]:[% anualiz]]),1)*IF(DATOS!BF$4="Sí",1/DATOS_[[% normaliz]:[% normaliz]],1)*(DATOS_[Conc.Sal.28]))))))),
0)</f>
        <v>0</v>
      </c>
      <c r="AL10" s="111">
        <f t="array" ref="AL10">IFERROR(
(MEDIAN((IF(DATOS_[[Sexo]:[Sexo]]=$B10,IF(DATOS_[[Check Periodo Ref.]:[Check Periodo Ref.]]="Dentro",IF(DATOS_[[Check Equiparado]:[Check Equiparado]]="Sí",IF(DATOS!BG$5="Sí",(1/DATOS_[[% anualiz]:[% anualiz]]),1)*IF(DATOS!BG$4="Sí",1/DATOS_[[% normaliz]:[% normaliz]],1)*(DATOS_[Conc.Sal.29]))))))),
0)</f>
        <v>0</v>
      </c>
      <c r="AM10" s="111">
        <f t="array" ref="AM10">IFERROR(
(MEDIAN((IF(DATOS_[[Sexo]:[Sexo]]=$B10,IF(DATOS_[[Check Periodo Ref.]:[Check Periodo Ref.]]="Dentro",IF(DATOS_[[Check Equiparado]:[Check Equiparado]]="Sí",IF(DATOS!BH$5="Sí",(1/DATOS_[[% anualiz]:[% anualiz]]),1)*IF(DATOS!BH$4="Sí",1/DATOS_[[% normaliz]:[% normaliz]],1)*(DATOS_[Conc.Sal.30]))))))),
0)</f>
        <v>0</v>
      </c>
      <c r="AN10" s="112">
        <f t="array" ref="AN10">IFERROR(
MEDIAN(IF(DATOS_[Sexo]=$B10,IF(DATOS_[Check Equiparado]="Sí",IF(DATOS_[Check Periodo Ref.]="Dentro",DATOS_[Tot COMPL.SAL Eq],FALSE)))),
0)</f>
        <v>4010.9279999999999</v>
      </c>
      <c r="AO10" s="113">
        <f t="array" ref="AO10">IFERROR(
MEDIAN(IF(DATOS_[Sexo]=$B10,IF(DATOS_[Check Equiparado]="Sí",IF(DATOS_[Check Periodo Ref.]="Dentro",DATOS_[TOTAL SALARIO Eq],FALSE)))),
0)</f>
        <v>19563.633999999998</v>
      </c>
      <c r="AP10" s="117">
        <f t="array" ref="AP10">IFERROR(
(MEDIAN((IF(DATOS_[[Sexo]:[Sexo]]=$B10,IF(DATOS_[[Check Periodo Ref.]:[Check Periodo Ref.]]="Dentro",IF(DATOS_[[Check Equiparado]:[Check Equiparado]]="Sí",IF(DATOS!BI$5="Sí",(1/DATOS_[[% anualiz]:[% anualiz]]),1)*IF(DATOS!BI$4="Sí",1/DATOS_[[% normaliz]:[% normaliz]],1)*(DATOS_[C.Extra.01]))))))),
0)</f>
        <v>0</v>
      </c>
      <c r="AQ10" s="117">
        <f t="array" ref="AQ10">IFERROR(
(MEDIAN((IF(DATOS_[[Sexo]:[Sexo]]=$B10,IF(DATOS_[[Check Periodo Ref.]:[Check Periodo Ref.]]="Dentro",IF(DATOS_[[Check Equiparado]:[Check Equiparado]]="Sí",IF(DATOS!BJ$5="Sí",(1/DATOS_[[% anualiz]:[% anualiz]]),1)*IF(DATOS!BJ$4="Sí",1/DATOS_[[% normaliz]:[% normaliz]],1)*(DATOS_[C.Extra.02]))))))),
0)</f>
        <v>0</v>
      </c>
      <c r="AR10" s="117">
        <f t="array" ref="AR10">IFERROR(
(MEDIAN((IF(DATOS_[[Sexo]:[Sexo]]=$B10,IF(DATOS_[[Check Periodo Ref.]:[Check Periodo Ref.]]="Dentro",IF(DATOS_[[Check Equiparado]:[Check Equiparado]]="Sí",IF(DATOS!BK$5="Sí",(1/DATOS_[[% anualiz]:[% anualiz]]),1)*IF(DATOS!BK$4="Sí",1/DATOS_[[% normaliz]:[% normaliz]],1)*(DATOS_[C.Extra.03]))))))),
0)</f>
        <v>0</v>
      </c>
      <c r="AS10" s="117">
        <f t="array" ref="AS10">IFERROR(
(MEDIAN((IF(DATOS_[[Sexo]:[Sexo]]=$B10,IF(DATOS_[[Check Periodo Ref.]:[Check Periodo Ref.]]="Dentro",IF(DATOS_[[Check Equiparado]:[Check Equiparado]]="Sí",IF(DATOS!BL$5="Sí",(1/DATOS_[[% anualiz]:[% anualiz]]),1)*IF(DATOS!BL$4="Sí",1/DATOS_[[% normaliz]:[% normaliz]],1)*(DATOS_[C.Extra.04]))))))),
0)</f>
        <v>0</v>
      </c>
      <c r="AT10" s="117">
        <f t="array" ref="AT10">IFERROR(
(MEDIAN((IF(DATOS_[[Sexo]:[Sexo]]=$B10,IF(DATOS_[[Check Periodo Ref.]:[Check Periodo Ref.]]="Dentro",IF(DATOS_[[Check Equiparado]:[Check Equiparado]]="Sí",IF(DATOS!BM$5="Sí",(1/DATOS_[[% anualiz]:[% anualiz]]),1)*IF(DATOS!BM$4="Sí",1/DATOS_[[% normaliz]:[% normaliz]],1)*(DATOS_[C.Extra.05]))))))),
0)</f>
        <v>0</v>
      </c>
      <c r="AU10" s="115">
        <f t="array" ref="AU10">IFERROR(
MEDIAN(IF(DATOS_[Sexo]=$B10,IF(DATOS_[Check Equiparado]="Sí",IF(DATOS_[Check Periodo Ref.]="Dentro",DATOS_[Tot Extrasalarial Eq],FALSE)))),
0)</f>
        <v>0</v>
      </c>
      <c r="AV10" s="116">
        <f t="array" ref="AV10">IFERROR(
MEDIAN(IF(DATOS_[Sexo]=$B10,IF(DATOS_[Check Equiparado]="Sí",IF(DATOS_[Check Periodo Ref.]="Dentro",DATOS_[TOTAL Retrib Eq],FALSE)))),
0)</f>
        <v>19683.633999999998</v>
      </c>
      <c r="AW10" s="344"/>
      <c r="AX10" s="309"/>
      <c r="AY10" s="309"/>
    </row>
    <row r="11" spans="1:51" x14ac:dyDescent="0.3">
      <c r="B11" s="86" t="s">
        <v>163</v>
      </c>
      <c r="C11" s="33">
        <f t="array" ref="C11">SUM(IF($B11=DATOS_[Sexo],
IF("Dentro"=DATOS_[Check Periodo Ref.],
1/(COUNTIFS(DATOS_[Sexo],$B11,DATOS_[Check Periodo Ref.],"Dentro",DATOS_[id],DATOS_[id])))))</f>
        <v>106</v>
      </c>
      <c r="D11" s="35">
        <f>COUNTIFS(DATOS_[AGRUP. VALOR. PTO.],"&lt;&gt;",DATOS_[Sexo],$B11,DATOS_[Check Periodo Ref.],"Dentro")</f>
        <v>115</v>
      </c>
      <c r="E11" s="35">
        <f>COUNTIFS(DATOS_[AGRUP. VALOR. PTO.],"&lt;&gt;",DATOS_[Sexo],$B11,DATOS_[Check Periodo Ref.],"Dentro",DATOS_[Check Nº SC Norm],"Sí")</f>
        <v>26</v>
      </c>
      <c r="F11" s="35">
        <f>COUNTIFS(DATOS_[AGRUP. VALOR. PTO.],"&lt;&gt;",DATOS_[Sexo],$B11,DATOS_[Check Periodo Ref.],"Dentro",DATOS_[Check Nº SC Anualiz],"Sí")</f>
        <v>11</v>
      </c>
      <c r="G11" s="35">
        <f>COUNTIFS(DATOS_[AGRUP. VALOR. PTO.],"&lt;&gt;",DATOS_[Sexo],$B11,DATOS_[Check Periodo Ref.],"Dentro",DATOS_[Check Nº SC Norm y Anualiz],"Sí")</f>
        <v>1</v>
      </c>
      <c r="H11" s="35">
        <f>COUNTIFS(DATOS_[AGRUP. VALOR. PTO.],"&lt;&gt;",DATOS_[Sexo],$B11,DATOS_[Check Periodo Ref.],"Dentro",DATOS_[Check Equiparación],"Sí")</f>
        <v>38</v>
      </c>
      <c r="I11" s="110">
        <f t="array" ref="I11">IFERROR(
MEDIAN(IF(DATOS_[Sexo]=$B11,IF(DATOS_[Check Equiparado]="Sí",IF(DATOS_[Check Periodo Ref.]="Dentro",DATOS_[SALARIO BASE Eq],FALSE)))),
0)</f>
        <v>12915.07</v>
      </c>
      <c r="J11" s="111">
        <f t="array" ref="J11">IFERROR(
(MEDIAN((IF(DATOS_[[Sexo]:[Sexo]]=$B11,IF(DATOS_[[Check Periodo Ref.]:[Check Periodo Ref.]]="Dentro",IF(DATOS_[[Check Equiparado]:[Check Equiparado]]="Sí",IF(DATOS!AE$5="Sí",(1/DATOS_[[% anualiz]:[% anualiz]]),1)*IF(DATOS!AE$4="Sí",1/DATOS_[[% normaliz]:[% normaliz]],1)*(DATOS_[Conc.Sal.01]))))))),
0)</f>
        <v>163.65999999999985</v>
      </c>
      <c r="K11" s="111">
        <f t="array" ref="K11">IFERROR(
(MEDIAN((IF(DATOS_[[Sexo]:[Sexo]]=$B11,IF(DATOS_[[Check Periodo Ref.]:[Check Periodo Ref.]]="Dentro",IF(DATOS_[[Check Equiparado]:[Check Equiparado]]="Sí",IF(DATOS!AF$5="Sí",(1/DATOS_[[% anualiz]:[% anualiz]]),1)*IF(DATOS!AF$4="Sí",1/DATOS_[[% normaliz]:[% normaliz]],1)*(DATOS_[Conc.Sal.02]))))))),
0)</f>
        <v>516.6028</v>
      </c>
      <c r="L11" s="111">
        <f t="array" ref="L11">IFERROR(
(MEDIAN((IF(DATOS_[[Sexo]:[Sexo]]=$B11,IF(DATOS_[[Check Periodo Ref.]:[Check Periodo Ref.]]="Dentro",IF(DATOS_[[Check Equiparado]:[Check Equiparado]]="Sí",IF(DATOS!AG$5="Sí",(1/DATOS_[[% anualiz]:[% anualiz]]),1)*IF(DATOS!AG$4="Sí",1/DATOS_[[% normaliz]:[% normaliz]],1)*(DATOS_[Conc.Sal.03]))))))),
0)</f>
        <v>960</v>
      </c>
      <c r="M11" s="111">
        <f t="array" ref="M11">IFERROR(
(MEDIAN((IF(DATOS_[[Sexo]:[Sexo]]=$B11,IF(DATOS_[[Check Periodo Ref.]:[Check Periodo Ref.]]="Dentro",IF(DATOS_[[Check Equiparado]:[Check Equiparado]]="Sí",IF(DATOS!AH$5="Sí",(1/DATOS_[[% anualiz]:[% anualiz]]),1)*IF(DATOS!AH$4="Sí",1/DATOS_[[% normaliz]:[% normaliz]],1)*(DATOS_[Conc.Sal.04]))))))),
0)</f>
        <v>0</v>
      </c>
      <c r="N11" s="111">
        <f t="array" ref="N11">IFERROR(
(MEDIAN((IF(DATOS_[[Sexo]:[Sexo]]=$B11,IF(DATOS_[[Check Periodo Ref.]:[Check Periodo Ref.]]="Dentro",IF(DATOS_[[Check Equiparado]:[Check Equiparado]]="Sí",IF(DATOS!AI$5="Sí",(1/DATOS_[[% anualiz]:[% anualiz]]),1)*IF(DATOS!AI$4="Sí",1/DATOS_[[% normaliz]:[% normaliz]],1)*(DATOS_[Conc.Sal.05]))))))),
0)</f>
        <v>0</v>
      </c>
      <c r="O11" s="111">
        <f t="array" ref="O11">IFERROR(
(MEDIAN((IF(DATOS_[[Sexo]:[Sexo]]=$B11,IF(DATOS_[[Check Periodo Ref.]:[Check Periodo Ref.]]="Dentro",IF(DATOS_[[Check Equiparado]:[Check Equiparado]]="Sí",IF(DATOS!AJ$5="Sí",(1/DATOS_[[% anualiz]:[% anualiz]]),1)*IF(DATOS!AJ$4="Sí",1/DATOS_[[% normaliz]:[% normaliz]],1)*(DATOS_[Conc.Sal.06]))))))),
0)</f>
        <v>0</v>
      </c>
      <c r="P11" s="111">
        <f t="array" ref="P11">IFERROR(
(MEDIAN((IF(DATOS_[[Sexo]:[Sexo]]=$B11,IF(DATOS_[[Check Periodo Ref.]:[Check Periodo Ref.]]="Dentro",IF(DATOS_[[Check Equiparado]:[Check Equiparado]]="Sí",IF(DATOS!AK$5="Sí",(1/DATOS_[[% anualiz]:[% anualiz]]),1)*IF(DATOS!AK$4="Sí",1/DATOS_[[% normaliz]:[% normaliz]],1)*(DATOS_[Conc.Sal.07]))))))),
0)</f>
        <v>80</v>
      </c>
      <c r="Q11" s="111">
        <f t="array" ref="Q11">IFERROR(
(MEDIAN((IF(DATOS_[[Sexo]:[Sexo]]=$B11,IF(DATOS_[[Check Periodo Ref.]:[Check Periodo Ref.]]="Dentro",IF(DATOS_[[Check Equiparado]:[Check Equiparado]]="Sí",IF(DATOS!AL$5="Sí",(1/DATOS_[[% anualiz]:[% anualiz]]),1)*IF(DATOS!AL$4="Sí",1/DATOS_[[% normaliz]:[% normaliz]],1)*(DATOS_[Conc.Sal.08]))))))),
0)</f>
        <v>0</v>
      </c>
      <c r="R11" s="111">
        <f t="array" ref="R11">IFERROR(
(MEDIAN((IF(DATOS_[[Sexo]:[Sexo]]=$B11,IF(DATOS_[[Check Periodo Ref.]:[Check Periodo Ref.]]="Dentro",IF(DATOS_[[Check Equiparado]:[Check Equiparado]]="Sí",IF(DATOS!AM$5="Sí",(1/DATOS_[[% anualiz]:[% anualiz]]),1)*IF(DATOS!AM$4="Sí",1/DATOS_[[% normaliz]:[% normaliz]],1)*(DATOS_[Conc.Sal.09]))))))),
0)</f>
        <v>0</v>
      </c>
      <c r="S11" s="111">
        <f t="array" ref="S11">IFERROR(
(MEDIAN((IF(DATOS_[[Sexo]:[Sexo]]=$B11,IF(DATOS_[[Check Periodo Ref.]:[Check Periodo Ref.]]="Dentro",IF(DATOS_[[Check Equiparado]:[Check Equiparado]]="Sí",IF(DATOS!AN$5="Sí",(1/DATOS_[[% anualiz]:[% anualiz]]),1)*IF(DATOS!AN$4="Sí",1/DATOS_[[% normaliz]:[% normaliz]],1)*(DATOS_[Conc.Sal.10]))))))),
0)</f>
        <v>0</v>
      </c>
      <c r="T11" s="111">
        <f t="array" ref="T11">IFERROR(
(MEDIAN((IF(DATOS_[[Sexo]:[Sexo]]=$B11,IF(DATOS_[[Check Periodo Ref.]:[Check Periodo Ref.]]="Dentro",IF(DATOS_[[Check Equiparado]:[Check Equiparado]]="Sí",IF(DATOS!AO$5="Sí",(1/DATOS_[[% anualiz]:[% anualiz]]),1)*IF(DATOS!AO$4="Sí",1/DATOS_[[% normaliz]:[% normaliz]],1)*(DATOS_[Conc.Sal.11]))))))),
0)</f>
        <v>0</v>
      </c>
      <c r="U11" s="111">
        <f t="array" ref="U11">IFERROR(
(MEDIAN((IF(DATOS_[[Sexo]:[Sexo]]=$B11,IF(DATOS_[[Check Periodo Ref.]:[Check Periodo Ref.]]="Dentro",IF(DATOS_[[Check Equiparado]:[Check Equiparado]]="Sí",IF(DATOS!AP$5="Sí",(1/DATOS_[[% anualiz]:[% anualiz]]),1)*IF(DATOS!AP$4="Sí",1/DATOS_[[% normaliz]:[% normaliz]],1)*(DATOS_[Conc.Sal.12]))))))),
0)</f>
        <v>0</v>
      </c>
      <c r="V11" s="111">
        <f t="array" ref="V11">IFERROR(
(MEDIAN((IF(DATOS_[[Sexo]:[Sexo]]=$B11,IF(DATOS_[[Check Periodo Ref.]:[Check Periodo Ref.]]="Dentro",IF(DATOS_[[Check Equiparado]:[Check Equiparado]]="Sí",IF(DATOS!AQ$5="Sí",(1/DATOS_[[% anualiz]:[% anualiz]]),1)*IF(DATOS!AQ$4="Sí",1/DATOS_[[% normaliz]:[% normaliz]],1)*(DATOS_[Conc.Sal.13]))))))),
0)</f>
        <v>0</v>
      </c>
      <c r="W11" s="111">
        <f t="array" ref="W11">IFERROR(
(MEDIAN((IF(DATOS_[[Sexo]:[Sexo]]=$B11,IF(DATOS_[[Check Periodo Ref.]:[Check Periodo Ref.]]="Dentro",IF(DATOS_[[Check Equiparado]:[Check Equiparado]]="Sí",IF(DATOS!AR$5="Sí",(1/DATOS_[[% anualiz]:[% anualiz]]),1)*IF(DATOS!AR$4="Sí",1/DATOS_[[% normaliz]:[% normaliz]],1)*(DATOS_[Conc.Sal.14]))))))),
0)</f>
        <v>0</v>
      </c>
      <c r="X11" s="111">
        <f t="array" ref="X11">IFERROR(
(MEDIAN((IF(DATOS_[[Sexo]:[Sexo]]=$B11,IF(DATOS_[[Check Periodo Ref.]:[Check Periodo Ref.]]="Dentro",IF(DATOS_[[Check Equiparado]:[Check Equiparado]]="Sí",IF(DATOS!AS$5="Sí",(1/DATOS_[[% anualiz]:[% anualiz]]),1)*IF(DATOS!AS$4="Sí",1/DATOS_[[% normaliz]:[% normaliz]],1)*(DATOS_[Conc.Sal.15]))))))),
0)</f>
        <v>0</v>
      </c>
      <c r="Y11" s="111">
        <f t="array" ref="Y11">IFERROR(
(MEDIAN((IF(DATOS_[[Sexo]:[Sexo]]=$B11,IF(DATOS_[[Check Periodo Ref.]:[Check Periodo Ref.]]="Dentro",IF(DATOS_[[Check Equiparado]:[Check Equiparado]]="Sí",IF(DATOS!AT$5="Sí",(1/DATOS_[[% anualiz]:[% anualiz]]),1)*IF(DATOS!AT$4="Sí",1/DATOS_[[% normaliz]:[% normaliz]],1)*(DATOS_[Conc.Sal.16]))))))),
0)</f>
        <v>0</v>
      </c>
      <c r="Z11" s="111">
        <f t="array" ref="Z11">IFERROR(
(MEDIAN((IF(DATOS_[[Sexo]:[Sexo]]=$B11,IF(DATOS_[[Check Periodo Ref.]:[Check Periodo Ref.]]="Dentro",IF(DATOS_[[Check Equiparado]:[Check Equiparado]]="Sí",IF(DATOS!AU$5="Sí",(1/DATOS_[[% anualiz]:[% anualiz]]),1)*IF(DATOS!AU$4="Sí",1/DATOS_[[% normaliz]:[% normaliz]],1)*(DATOS_[Conc.Sal.17]))))))),
0)</f>
        <v>0</v>
      </c>
      <c r="AA11" s="111">
        <f t="array" ref="AA11">IFERROR(
(MEDIAN((IF(DATOS_[[Sexo]:[Sexo]]=$B11,IF(DATOS_[[Check Periodo Ref.]:[Check Periodo Ref.]]="Dentro",IF(DATOS_[[Check Equiparado]:[Check Equiparado]]="Sí",IF(DATOS!AV$5="Sí",(1/DATOS_[[% anualiz]:[% anualiz]]),1)*IF(DATOS!AV$4="Sí",1/DATOS_[[% normaliz]:[% normaliz]],1)*(DATOS_[Conc.Sal.18]))))))),
0)</f>
        <v>0</v>
      </c>
      <c r="AB11" s="111">
        <f t="array" ref="AB11">IFERROR(
(MEDIAN((IF(DATOS_[[Sexo]:[Sexo]]=$B11,IF(DATOS_[[Check Periodo Ref.]:[Check Periodo Ref.]]="Dentro",IF(DATOS_[[Check Equiparado]:[Check Equiparado]]="Sí",IF(DATOS!AW$5="Sí",(1/DATOS_[[% anualiz]:[% anualiz]]),1)*IF(DATOS!AW$4="Sí",1/DATOS_[[% normaliz]:[% normaliz]],1)*(DATOS_[Conc.Sal.19]))))))),
0)</f>
        <v>0</v>
      </c>
      <c r="AC11" s="111">
        <f t="array" ref="AC11">IFERROR(
(MEDIAN((IF(DATOS_[[Sexo]:[Sexo]]=$B11,IF(DATOS_[[Check Periodo Ref.]:[Check Periodo Ref.]]="Dentro",IF(DATOS_[[Check Equiparado]:[Check Equiparado]]="Sí",IF(DATOS!AX$5="Sí",(1/DATOS_[[% anualiz]:[% anualiz]]),1)*IF(DATOS!AX$4="Sí",1/DATOS_[[% normaliz]:[% normaliz]],1)*(DATOS_[Conc.Sal.20]))))))),
0)</f>
        <v>0</v>
      </c>
      <c r="AD11" s="111">
        <f t="array" ref="AD11">IFERROR(
(MEDIAN((IF(DATOS_[[Sexo]:[Sexo]]=$B11,IF(DATOS_[[Check Periodo Ref.]:[Check Periodo Ref.]]="Dentro",IF(DATOS_[[Check Equiparado]:[Check Equiparado]]="Sí",IF(DATOS!AY$5="Sí",(1/DATOS_[[% anualiz]:[% anualiz]]),1)*IF(DATOS!AY$4="Sí",1/DATOS_[[% normaliz]:[% normaliz]],1)*(DATOS_[Conc.Sal.21]))))))),
0)</f>
        <v>0</v>
      </c>
      <c r="AE11" s="111">
        <f t="array" ref="AE11">IFERROR(
(MEDIAN((IF(DATOS_[[Sexo]:[Sexo]]=$B11,IF(DATOS_[[Check Periodo Ref.]:[Check Periodo Ref.]]="Dentro",IF(DATOS_[[Check Equiparado]:[Check Equiparado]]="Sí",IF(DATOS!AZ$5="Sí",(1/DATOS_[[% anualiz]:[% anualiz]]),1)*IF(DATOS!AZ$4="Sí",1/DATOS_[[% normaliz]:[% normaliz]],1)*(DATOS_[Conc.Sal.22]))))))),
0)</f>
        <v>0</v>
      </c>
      <c r="AF11" s="111">
        <f t="array" ref="AF11">IFERROR(
(MEDIAN((IF(DATOS_[[Sexo]:[Sexo]]=$B11,IF(DATOS_[[Check Periodo Ref.]:[Check Periodo Ref.]]="Dentro",IF(DATOS_[[Check Equiparado]:[Check Equiparado]]="Sí",IF(DATOS!BA$5="Sí",(1/DATOS_[[% anualiz]:[% anualiz]]),1)*IF(DATOS!BA$4="Sí",1/DATOS_[[% normaliz]:[% normaliz]],1)*(DATOS_[Conc.Sal.23]))))))),
0)</f>
        <v>0</v>
      </c>
      <c r="AG11" s="111">
        <f t="array" ref="AG11">IFERROR(
(MEDIAN((IF(DATOS_[[Sexo]:[Sexo]]=$B11,IF(DATOS_[[Check Periodo Ref.]:[Check Periodo Ref.]]="Dentro",IF(DATOS_[[Check Equiparado]:[Check Equiparado]]="Sí",IF(DATOS!BB$5="Sí",(1/DATOS_[[% anualiz]:[% anualiz]]),1)*IF(DATOS!BB$4="Sí",1/DATOS_[[% normaliz]:[% normaliz]],1)*(DATOS_[Conc.Sal.24]))))))),
0)</f>
        <v>0</v>
      </c>
      <c r="AH11" s="111">
        <f t="array" ref="AH11">IFERROR(
(MEDIAN((IF(DATOS_[[Sexo]:[Sexo]]=$B11,IF(DATOS_[[Check Periodo Ref.]:[Check Periodo Ref.]]="Dentro",IF(DATOS_[[Check Equiparado]:[Check Equiparado]]="Sí",IF(DATOS!BC$5="Sí",(1/DATOS_[[% anualiz]:[% anualiz]]),1)*IF(DATOS!BC$4="Sí",1/DATOS_[[% normaliz]:[% normaliz]],1)*(DATOS_[Conc.Sal.25]))))))),
0)</f>
        <v>0</v>
      </c>
      <c r="AI11" s="111">
        <f t="array" ref="AI11">IFERROR(
(MEDIAN((IF(DATOS_[[Sexo]:[Sexo]]=$B11,IF(DATOS_[[Check Periodo Ref.]:[Check Periodo Ref.]]="Dentro",IF(DATOS_[[Check Equiparado]:[Check Equiparado]]="Sí",IF(DATOS!BD$5="Sí",(1/DATOS_[[% anualiz]:[% anualiz]]),1)*IF(DATOS!BD$4="Sí",1/DATOS_[[% normaliz]:[% normaliz]],1)*(DATOS_[Conc.Sal.26]))))))),
0)</f>
        <v>0</v>
      </c>
      <c r="AJ11" s="111">
        <f t="array" ref="AJ11">IFERROR(
(MEDIAN((IF(DATOS_[[Sexo]:[Sexo]]=$B11,IF(DATOS_[[Check Periodo Ref.]:[Check Periodo Ref.]]="Dentro",IF(DATOS_[[Check Equiparado]:[Check Equiparado]]="Sí",IF(DATOS!BE$5="Sí",(1/DATOS_[[% anualiz]:[% anualiz]]),1)*IF(DATOS!BE$4="Sí",1/DATOS_[[% normaliz]:[% normaliz]],1)*(DATOS_[Conc.Sal.27]))))))),
0)</f>
        <v>0</v>
      </c>
      <c r="AK11" s="111">
        <f t="array" ref="AK11">IFERROR(
(MEDIAN((IF(DATOS_[[Sexo]:[Sexo]]=$B11,IF(DATOS_[[Check Periodo Ref.]:[Check Periodo Ref.]]="Dentro",IF(DATOS_[[Check Equiparado]:[Check Equiparado]]="Sí",IF(DATOS!BF$5="Sí",(1/DATOS_[[% anualiz]:[% anualiz]]),1)*IF(DATOS!BF$4="Sí",1/DATOS_[[% normaliz]:[% normaliz]],1)*(DATOS_[Conc.Sal.28]))))))),
0)</f>
        <v>0</v>
      </c>
      <c r="AL11" s="111">
        <f t="array" ref="AL11">IFERROR(
(MEDIAN((IF(DATOS_[[Sexo]:[Sexo]]=$B11,IF(DATOS_[[Check Periodo Ref.]:[Check Periodo Ref.]]="Dentro",IF(DATOS_[[Check Equiparado]:[Check Equiparado]]="Sí",IF(DATOS!BG$5="Sí",(1/DATOS_[[% anualiz]:[% anualiz]]),1)*IF(DATOS!BG$4="Sí",1/DATOS_[[% normaliz]:[% normaliz]],1)*(DATOS_[Conc.Sal.29]))))))),
0)</f>
        <v>0</v>
      </c>
      <c r="AM11" s="111">
        <f t="array" ref="AM11">IFERROR(
(MEDIAN((IF(DATOS_[[Sexo]:[Sexo]]=$B11,IF(DATOS_[[Check Periodo Ref.]:[Check Periodo Ref.]]="Dentro",IF(DATOS_[[Check Equiparado]:[Check Equiparado]]="Sí",IF(DATOS!BH$5="Sí",(1/DATOS_[[% anualiz]:[% anualiz]]),1)*IF(DATOS!BH$4="Sí",1/DATOS_[[% normaliz]:[% normaliz]],1)*(DATOS_[Conc.Sal.30]))))))),
0)</f>
        <v>0</v>
      </c>
      <c r="AN11" s="112">
        <f t="array" ref="AN11">IFERROR(
MEDIAN(IF(DATOS_[Sexo]=$B11,IF(DATOS_[Check Equiparado]="Sí",IF(DATOS_[Check Periodo Ref.]="Dentro",DATOS_[Tot COMPL.SAL Eq],FALSE)))),
0)</f>
        <v>1641.5327999999995</v>
      </c>
      <c r="AO11" s="113">
        <f t="array" ref="AO11">IFERROR(
MEDIAN(IF(DATOS_[Sexo]=$B11,IF(DATOS_[Check Equiparado]="Sí",IF(DATOS_[Check Periodo Ref.]="Dentro",DATOS_[TOTAL SALARIO Eq],FALSE)))),
0)</f>
        <v>14556.602800000001</v>
      </c>
      <c r="AP11" s="117">
        <f t="array" ref="AP11">IFERROR(
(MEDIAN((IF(DATOS_[[Sexo]:[Sexo]]=$B11,IF(DATOS_[[Check Periodo Ref.]:[Check Periodo Ref.]]="Dentro",IF(DATOS_[[Check Equiparado]:[Check Equiparado]]="Sí",IF(DATOS!BI$5="Sí",(1/DATOS_[[% anualiz]:[% anualiz]]),1)*IF(DATOS!BI$4="Sí",1/DATOS_[[% normaliz]:[% normaliz]],1)*(DATOS_[C.Extra.01]))))))),
0)</f>
        <v>0</v>
      </c>
      <c r="AQ11" s="117">
        <f t="array" ref="AQ11">IFERROR(
(MEDIAN((IF(DATOS_[[Sexo]:[Sexo]]=$B11,IF(DATOS_[[Check Periodo Ref.]:[Check Periodo Ref.]]="Dentro",IF(DATOS_[[Check Equiparado]:[Check Equiparado]]="Sí",IF(DATOS!BJ$5="Sí",(1/DATOS_[[% anualiz]:[% anualiz]]),1)*IF(DATOS!BJ$4="Sí",1/DATOS_[[% normaliz]:[% normaliz]],1)*(DATOS_[C.Extra.02]))))))),
0)</f>
        <v>0</v>
      </c>
      <c r="AR11" s="117">
        <f t="array" ref="AR11">IFERROR(
(MEDIAN((IF(DATOS_[[Sexo]:[Sexo]]=$B11,IF(DATOS_[[Check Periodo Ref.]:[Check Periodo Ref.]]="Dentro",IF(DATOS_[[Check Equiparado]:[Check Equiparado]]="Sí",IF(DATOS!BK$5="Sí",(1/DATOS_[[% anualiz]:[% anualiz]]),1)*IF(DATOS!BK$4="Sí",1/DATOS_[[% normaliz]:[% normaliz]],1)*(DATOS_[C.Extra.03]))))))),
0)</f>
        <v>0</v>
      </c>
      <c r="AS11" s="117">
        <f t="array" ref="AS11">IFERROR(
(MEDIAN((IF(DATOS_[[Sexo]:[Sexo]]=$B11,IF(DATOS_[[Check Periodo Ref.]:[Check Periodo Ref.]]="Dentro",IF(DATOS_[[Check Equiparado]:[Check Equiparado]]="Sí",IF(DATOS!BL$5="Sí",(1/DATOS_[[% anualiz]:[% anualiz]]),1)*IF(DATOS!BL$4="Sí",1/DATOS_[[% normaliz]:[% normaliz]],1)*(DATOS_[C.Extra.04]))))))),
0)</f>
        <v>0</v>
      </c>
      <c r="AT11" s="117">
        <f t="array" ref="AT11">IFERROR(
(MEDIAN((IF(DATOS_[[Sexo]:[Sexo]]=$B11,IF(DATOS_[[Check Periodo Ref.]:[Check Periodo Ref.]]="Dentro",IF(DATOS_[[Check Equiparado]:[Check Equiparado]]="Sí",IF(DATOS!BM$5="Sí",(1/DATOS_[[% anualiz]:[% anualiz]]),1)*IF(DATOS!BM$4="Sí",1/DATOS_[[% normaliz]:[% normaliz]],1)*(DATOS_[C.Extra.05]))))))),
0)</f>
        <v>0</v>
      </c>
      <c r="AU11" s="115">
        <f t="array" ref="AU11">IFERROR(
MEDIAN(IF(DATOS_[Sexo]=$B11,IF(DATOS_[Check Equiparado]="Sí",IF(DATOS_[Check Periodo Ref.]="Dentro",DATOS_[Tot Extrasalarial Eq],FALSE)))),
0)</f>
        <v>0</v>
      </c>
      <c r="AV11" s="116">
        <f t="array" ref="AV11">IFERROR(
MEDIAN(IF(DATOS_[Sexo]=$B11,IF(DATOS_[Check Equiparado]="Sí",IF(DATOS_[Check Periodo Ref.]="Dentro",DATOS_[TOTAL Retrib Eq],FALSE)))),
0)</f>
        <v>14556.602800000001</v>
      </c>
      <c r="AW11" s="344"/>
      <c r="AX11" s="309"/>
      <c r="AY11" s="309"/>
    </row>
    <row r="12" spans="1:51" x14ac:dyDescent="0.3">
      <c r="D12" s="87"/>
      <c r="E12" s="87"/>
      <c r="F12" s="87"/>
      <c r="G12" s="87"/>
      <c r="H12" s="87"/>
      <c r="N12" s="88"/>
      <c r="O12" s="89"/>
      <c r="P12" s="89"/>
      <c r="Q12" s="89"/>
      <c r="R12" s="89"/>
      <c r="S12" s="89"/>
      <c r="T12" s="89"/>
      <c r="U12" s="89"/>
      <c r="V12" s="89"/>
      <c r="W12" s="89"/>
      <c r="X12" s="89"/>
      <c r="Y12" s="89"/>
      <c r="Z12" s="88"/>
      <c r="AA12" s="88"/>
      <c r="AB12" s="88"/>
      <c r="AC12" s="88"/>
      <c r="AD12" s="88"/>
      <c r="AE12" s="88"/>
      <c r="AF12" s="88"/>
      <c r="AG12" s="88"/>
      <c r="AH12" s="88"/>
      <c r="AI12" s="88"/>
      <c r="AJ12" s="88"/>
      <c r="AK12" s="88"/>
      <c r="AL12" s="88"/>
      <c r="AM12" s="88"/>
      <c r="AP12" s="89"/>
      <c r="AQ12" s="89"/>
      <c r="AR12" s="89"/>
      <c r="AS12" s="89"/>
      <c r="AT12" s="89"/>
    </row>
    <row r="13" spans="1:51" x14ac:dyDescent="0.3">
      <c r="D13" s="87"/>
      <c r="E13" s="87"/>
      <c r="F13" s="87"/>
      <c r="G13" s="87"/>
      <c r="H13" s="87"/>
      <c r="N13" s="88"/>
      <c r="O13" s="89"/>
      <c r="P13" s="89"/>
      <c r="Q13" s="89"/>
      <c r="R13" s="89"/>
      <c r="S13" s="89"/>
      <c r="T13" s="89"/>
      <c r="U13" s="89"/>
      <c r="V13" s="89"/>
      <c r="W13" s="89"/>
      <c r="X13" s="89"/>
      <c r="Y13" s="89"/>
      <c r="Z13" s="88"/>
      <c r="AA13" s="88"/>
      <c r="AB13" s="88"/>
      <c r="AC13" s="88"/>
      <c r="AD13" s="88"/>
      <c r="AE13" s="88"/>
      <c r="AF13" s="88"/>
      <c r="AG13" s="88"/>
      <c r="AH13" s="88"/>
      <c r="AI13" s="88"/>
      <c r="AJ13" s="88"/>
      <c r="AK13" s="88"/>
      <c r="AL13" s="88"/>
      <c r="AM13" s="88"/>
      <c r="AP13" s="89"/>
      <c r="AQ13" s="89"/>
      <c r="AR13" s="89"/>
      <c r="AS13" s="89"/>
      <c r="AT13" s="89"/>
    </row>
    <row r="14" spans="1:51" s="85" customFormat="1" ht="46.15" customHeight="1" x14ac:dyDescent="0.25">
      <c r="B14" s="78"/>
      <c r="C14" s="78" t="s">
        <v>225</v>
      </c>
      <c r="D14" s="78" t="s">
        <v>220</v>
      </c>
      <c r="E14" s="78" t="s">
        <v>293</v>
      </c>
      <c r="F14" s="78" t="s">
        <v>291</v>
      </c>
      <c r="G14" s="78" t="s">
        <v>292</v>
      </c>
      <c r="H14" s="78" t="s">
        <v>224</v>
      </c>
      <c r="I14" s="145" t="s">
        <v>217</v>
      </c>
      <c r="J14" s="79" t="str">
        <f>+J8</f>
        <v>MejVol</v>
      </c>
      <c r="K14" s="79" t="str">
        <f t="shared" ref="K14:AM14" si="3">+K8</f>
        <v>Antig.</v>
      </c>
      <c r="L14" s="79" t="str">
        <f t="shared" si="3"/>
        <v>Transporte</v>
      </c>
      <c r="M14" s="79" t="str">
        <f t="shared" si="3"/>
        <v>Ventas</v>
      </c>
      <c r="N14" s="79" t="str">
        <f t="shared" si="3"/>
        <v>Bonus</v>
      </c>
      <c r="O14" s="79" t="str">
        <f t="shared" si="3"/>
        <v>Coche</v>
      </c>
      <c r="P14" s="79" t="str">
        <f t="shared" si="3"/>
        <v>Cesta</v>
      </c>
      <c r="Q14" s="79" t="str">
        <f t="shared" si="3"/>
        <v>Nocturnidad</v>
      </c>
      <c r="R14" s="79" t="str">
        <f t="shared" si="3"/>
        <v>[ocultar]</v>
      </c>
      <c r="S14" s="79" t="str">
        <f t="shared" si="3"/>
        <v>[ocultar]</v>
      </c>
      <c r="T14" s="79" t="str">
        <f t="shared" si="3"/>
        <v>[ocultar]</v>
      </c>
      <c r="U14" s="79" t="str">
        <f t="shared" si="3"/>
        <v>[ocultar]</v>
      </c>
      <c r="V14" s="79" t="str">
        <f t="shared" si="3"/>
        <v>[ocultar]</v>
      </c>
      <c r="W14" s="79" t="str">
        <f t="shared" si="3"/>
        <v>[ocultar]</v>
      </c>
      <c r="X14" s="79" t="str">
        <f t="shared" si="3"/>
        <v>[ocultar]</v>
      </c>
      <c r="Y14" s="79" t="str">
        <f t="shared" si="3"/>
        <v>[ocultar]</v>
      </c>
      <c r="Z14" s="79" t="str">
        <f t="shared" si="3"/>
        <v>[ocultar]</v>
      </c>
      <c r="AA14" s="79" t="str">
        <f t="shared" si="3"/>
        <v>[ocultar]</v>
      </c>
      <c r="AB14" s="79" t="str">
        <f t="shared" si="3"/>
        <v>[ocultar]</v>
      </c>
      <c r="AC14" s="79" t="str">
        <f t="shared" si="3"/>
        <v>[ocultar]</v>
      </c>
      <c r="AD14" s="79" t="str">
        <f t="shared" si="3"/>
        <v>[ocultar]</v>
      </c>
      <c r="AE14" s="79" t="str">
        <f t="shared" si="3"/>
        <v>[ocultar]</v>
      </c>
      <c r="AF14" s="79" t="str">
        <f t="shared" si="3"/>
        <v>[ocultar]</v>
      </c>
      <c r="AG14" s="79" t="str">
        <f t="shared" si="3"/>
        <v>[ocultar]</v>
      </c>
      <c r="AH14" s="79" t="str">
        <f t="shared" si="3"/>
        <v>[ocultar]</v>
      </c>
      <c r="AI14" s="79" t="str">
        <f t="shared" si="3"/>
        <v>[ocultar]</v>
      </c>
      <c r="AJ14" s="79" t="str">
        <f t="shared" si="3"/>
        <v>[ocultar]</v>
      </c>
      <c r="AK14" s="79" t="str">
        <f t="shared" si="3"/>
        <v>[ocultar]</v>
      </c>
      <c r="AL14" s="79" t="str">
        <f t="shared" si="3"/>
        <v>[ocultar]</v>
      </c>
      <c r="AM14" s="79" t="str">
        <f t="shared" si="3"/>
        <v>[ocultar]</v>
      </c>
      <c r="AN14" s="80" t="s">
        <v>218</v>
      </c>
      <c r="AO14" s="81" t="s">
        <v>211</v>
      </c>
      <c r="AP14" s="82" t="str">
        <f>+AP8</f>
        <v>Dietas</v>
      </c>
      <c r="AQ14" s="82" t="str">
        <f t="shared" ref="AQ14:AT14" si="4">+AQ8</f>
        <v>Indem</v>
      </c>
      <c r="AR14" s="82" t="str">
        <f t="shared" si="4"/>
        <v>ERTE</v>
      </c>
      <c r="AS14" s="82" t="str">
        <f t="shared" si="4"/>
        <v>IT</v>
      </c>
      <c r="AT14" s="82" t="str">
        <f t="shared" si="4"/>
        <v>[ocultar]</v>
      </c>
      <c r="AU14" s="83" t="s">
        <v>219</v>
      </c>
      <c r="AV14" s="84" t="s">
        <v>212</v>
      </c>
    </row>
    <row r="15" spans="1:51" ht="17.25" thickBot="1" x14ac:dyDescent="0.35">
      <c r="A15" s="42" t="str">
        <f>+A16</f>
        <v/>
      </c>
      <c r="B15" s="90" t="s">
        <v>308</v>
      </c>
      <c r="C15" s="109"/>
      <c r="D15" s="41"/>
      <c r="E15" s="41"/>
      <c r="F15" s="41"/>
      <c r="G15" s="41"/>
      <c r="H15" s="41"/>
      <c r="I15" s="119">
        <f t="shared" ref="I15" si="5">IFERROR((I16-I17)/I16,"")</f>
        <v>0</v>
      </c>
      <c r="J15" s="123">
        <f>IFERROR((J16-J17)/J16,"")</f>
        <v>0.52745719423739723</v>
      </c>
      <c r="K15" s="123">
        <f t="shared" ref="K15:AV15" si="6">IFERROR((K16-K17)/K16,"")</f>
        <v>-1.375</v>
      </c>
      <c r="L15" s="123" t="str">
        <f t="shared" si="6"/>
        <v/>
      </c>
      <c r="M15" s="123" t="str">
        <f t="shared" si="6"/>
        <v/>
      </c>
      <c r="N15" s="123">
        <f t="shared" si="6"/>
        <v>0.5</v>
      </c>
      <c r="O15" s="123">
        <f t="shared" si="6"/>
        <v>0</v>
      </c>
      <c r="P15" s="123">
        <f t="shared" si="6"/>
        <v>0</v>
      </c>
      <c r="Q15" s="123" t="str">
        <f t="shared" si="6"/>
        <v/>
      </c>
      <c r="R15" s="123" t="str">
        <f t="shared" si="6"/>
        <v/>
      </c>
      <c r="S15" s="123" t="str">
        <f t="shared" si="6"/>
        <v/>
      </c>
      <c r="T15" s="123" t="str">
        <f t="shared" si="6"/>
        <v/>
      </c>
      <c r="U15" s="123" t="str">
        <f t="shared" si="6"/>
        <v/>
      </c>
      <c r="V15" s="123" t="str">
        <f t="shared" si="6"/>
        <v/>
      </c>
      <c r="W15" s="123" t="str">
        <f t="shared" si="6"/>
        <v/>
      </c>
      <c r="X15" s="123" t="str">
        <f t="shared" si="6"/>
        <v/>
      </c>
      <c r="Y15" s="123" t="str">
        <f t="shared" si="6"/>
        <v/>
      </c>
      <c r="Z15" s="122" t="str">
        <f t="shared" si="6"/>
        <v/>
      </c>
      <c r="AA15" s="122" t="str">
        <f t="shared" si="6"/>
        <v/>
      </c>
      <c r="AB15" s="122" t="str">
        <f t="shared" si="6"/>
        <v/>
      </c>
      <c r="AC15" s="122" t="str">
        <f t="shared" si="6"/>
        <v/>
      </c>
      <c r="AD15" s="122" t="str">
        <f t="shared" si="6"/>
        <v/>
      </c>
      <c r="AE15" s="122" t="str">
        <f t="shared" si="6"/>
        <v/>
      </c>
      <c r="AF15" s="122" t="str">
        <f t="shared" si="6"/>
        <v/>
      </c>
      <c r="AG15" s="122" t="str">
        <f t="shared" si="6"/>
        <v/>
      </c>
      <c r="AH15" s="122" t="str">
        <f t="shared" si="6"/>
        <v/>
      </c>
      <c r="AI15" s="122" t="str">
        <f t="shared" si="6"/>
        <v/>
      </c>
      <c r="AJ15" s="122" t="str">
        <f t="shared" si="6"/>
        <v/>
      </c>
      <c r="AK15" s="122" t="str">
        <f t="shared" si="6"/>
        <v/>
      </c>
      <c r="AL15" s="122" t="str">
        <f t="shared" si="6"/>
        <v/>
      </c>
      <c r="AM15" s="122" t="str">
        <f t="shared" si="6"/>
        <v/>
      </c>
      <c r="AN15" s="124">
        <f t="shared" si="6"/>
        <v>0.44222917219162133</v>
      </c>
      <c r="AO15" s="128">
        <f t="shared" si="6"/>
        <v>0.29355148503597916</v>
      </c>
      <c r="AP15" s="125" t="str">
        <f t="shared" si="6"/>
        <v/>
      </c>
      <c r="AQ15" s="125" t="str">
        <f t="shared" si="6"/>
        <v/>
      </c>
      <c r="AR15" s="125" t="str">
        <f t="shared" si="6"/>
        <v/>
      </c>
      <c r="AS15" s="125" t="str">
        <f t="shared" si="6"/>
        <v/>
      </c>
      <c r="AT15" s="125" t="str">
        <f t="shared" si="6"/>
        <v/>
      </c>
      <c r="AU15" s="126" t="str">
        <f t="shared" si="6"/>
        <v/>
      </c>
      <c r="AV15" s="127">
        <f t="shared" si="6"/>
        <v>0.29355148503597916</v>
      </c>
    </row>
    <row r="16" spans="1:51" x14ac:dyDescent="0.3">
      <c r="A16" s="42" t="str">
        <f>+IF(C16+C17=0,"[ocultar]","")</f>
        <v/>
      </c>
      <c r="B16" s="86" t="s">
        <v>162</v>
      </c>
      <c r="C16" s="33">
        <f t="array" ref="C16">SUM(IF($B16=DATOS_[Sexo],
IF($B15=DATOS_[AGRUP. VALOR. PTO.],
IF("Dentro"=DATOS_[Check Periodo Ref.],
1/(COUNTIFS(DATOS_[Sexo],$B16,DATOS_[AGRUP. VALOR. PTO.],$B15,DATOS_[Check Periodo Ref.],"Dentro",DATOS_[id],DATOS_[id]))))))</f>
        <v>5</v>
      </c>
      <c r="D16" s="35">
        <f>COUNTIFS(DATOS_[AGRUP. VALOR. PTO.],$B15,DATOS_[Sexo],$B16,DATOS_[Check Periodo Ref.],"Dentro")</f>
        <v>5</v>
      </c>
      <c r="E16" s="35">
        <f>COUNTIFS(DATOS_[AGRUP. VALOR. PTO.],$B15,DATOS_[Sexo],$B16,DATOS_[Check Periodo Ref.],"Dentro",DATOS_[Check Nº SC Norm],"Sí")</f>
        <v>1</v>
      </c>
      <c r="F16" s="35">
        <f>COUNTIFS(DATOS_[AGRUP. VALOR. PTO.],$B15,DATOS_[Sexo],$B16,DATOS_[Check Periodo Ref.],"Dentro",DATOS_[Check Nº SC Anualiz],"Sí")</f>
        <v>0</v>
      </c>
      <c r="G16" s="35">
        <f>COUNTIFS(DATOS_[AGRUP. VALOR. PTO.],$B15,DATOS_[Sexo],$B16,DATOS_[Check Periodo Ref.],"Dentro",DATOS_[Check Nº SC Norm y Anualiz],"Sí")</f>
        <v>0</v>
      </c>
      <c r="H16" s="35">
        <f>COUNTIFS(DATOS_[AGRUP. VALOR. PTO.],$B15,DATOS_[Sexo],$B16,DATOS_[Check Periodo Ref.],"Dentro",DATOS_[Check Equiparación],"Sí")</f>
        <v>1</v>
      </c>
      <c r="I16" s="110">
        <f t="array" ref="I16">IFERROR(
MEDIAN(IF(DATOS_[Sexo]=$B16,IF(DATOS_[[AGRUP. VALOR. PTO.]:[AGRUP. VALOR. PTO.]]=$B15,IF(DATOS_[Check Equiparado]="Sí",IF(DATOS_[Check Periodo Ref.]="Dentro",DATOS_[SALARIO BASE Eq],FALSE))))),
0)</f>
        <v>18547.37</v>
      </c>
      <c r="J16" s="111">
        <f t="array" ref="J16">IFERROR(
(MEDIAN((IF(DATOS_[[Sexo]:[Sexo]]=$B16,IF(DATOS_[[AGRUP. VALOR. PTO.]:[AGRUP. VALOR. PTO.]]=$B15,IF(DATOS_[[Check Periodo Ref.]:[Check Periodo Ref.]]="Dentro",IF(DATOS_[[Check Equiparado]:[Check Equiparado]]="Sí",IF(DATOS!AE$5="Sí",(1/DATOS_[[% anualiz]:[% anualiz]]),1)*IF(DATOS!AE$4="Sí",1/DATOS_[[% normaliz]:[% normaliz]],1)*(DATOS_[Conc.Sal.01])))))))),
0)</f>
        <v>26452.63</v>
      </c>
      <c r="K16" s="111">
        <f t="array" ref="K16">IFERROR(
(MEDIAN((IF(DATOS_[[Sexo]:[Sexo]]=$B16,IF(DATOS_[[AGRUP. VALOR. PTO.]:[AGRUP. VALOR. PTO.]]=$B15,IF(DATOS_[[Check Periodo Ref.]:[Check Periodo Ref.]]="Dentro",IF(DATOS_[[Check Equiparado]:[Check Equiparado]]="Sí",IF(DATOS!AF$5="Sí",(1/DATOS_[[% anualiz]:[% anualiz]]),1)*IF(DATOS!AF$4="Sí",1/DATOS_[[% normaliz]:[% normaliz]],1)*(DATOS_[Conc.Sal.02])))))))),
0)</f>
        <v>741.89479999999992</v>
      </c>
      <c r="L16" s="111">
        <f t="array" ref="L16">IFERROR(
(MEDIAN((IF(DATOS_[[Sexo]:[Sexo]]=$B16,IF(DATOS_[[AGRUP. VALOR. PTO.]:[AGRUP. VALOR. PTO.]]=$B15,IF(DATOS_[[Check Periodo Ref.]:[Check Periodo Ref.]]="Dentro",IF(DATOS_[[Check Equiparado]:[Check Equiparado]]="Sí",IF(DATOS!AG$5="Sí",(1/DATOS_[[% anualiz]:[% anualiz]]),1)*IF(DATOS!AG$4="Sí",1/DATOS_[[% normaliz]:[% normaliz]],1)*(DATOS_[Conc.Sal.03])))))))),
0)</f>
        <v>0</v>
      </c>
      <c r="M16" s="111">
        <f t="array" ref="M16">IFERROR(
(MEDIAN((IF(DATOS_[[Sexo]:[Sexo]]=$B16,IF(DATOS_[[AGRUP. VALOR. PTO.]:[AGRUP. VALOR. PTO.]]=$B15,IF(DATOS_[[Check Periodo Ref.]:[Check Periodo Ref.]]="Dentro",IF(DATOS_[[Check Equiparado]:[Check Equiparado]]="Sí",IF(DATOS!AH$5="Sí",(1/DATOS_[[% anualiz]:[% anualiz]]),1)*IF(DATOS!AH$4="Sí",1/DATOS_[[% normaliz]:[% normaliz]],1)*(DATOS_[Conc.Sal.04])))))))),
0)</f>
        <v>0</v>
      </c>
      <c r="N16" s="111">
        <f t="array" ref="N16">IFERROR(
(MEDIAN((IF(DATOS_[[Sexo]:[Sexo]]=$B16,IF(DATOS_[[AGRUP. VALOR. PTO.]:[AGRUP. VALOR. PTO.]]=$B15,IF(DATOS_[[Check Periodo Ref.]:[Check Periodo Ref.]]="Dentro",IF(DATOS_[[Check Equiparado]:[Check Equiparado]]="Sí",IF(DATOS!AI$5="Sí",(1/DATOS_[[% anualiz]:[% anualiz]]),1)*IF(DATOS!AI$4="Sí",1/DATOS_[[% normaliz]:[% normaliz]],1)*(DATOS_[Conc.Sal.05])))))))),
0)</f>
        <v>5000</v>
      </c>
      <c r="O16" s="111">
        <f t="array" ref="O16">IFERROR(
(MEDIAN((IF(DATOS_[[Sexo]:[Sexo]]=$B16,IF(DATOS_[[AGRUP. VALOR. PTO.]:[AGRUP. VALOR. PTO.]]=$B15,IF(DATOS_[[Check Periodo Ref.]:[Check Periodo Ref.]]="Dentro",IF(DATOS_[[Check Equiparado]:[Check Equiparado]]="Sí",IF(DATOS!AJ$5="Sí",(1/DATOS_[[% anualiz]:[% anualiz]]),1)*IF(DATOS!AJ$4="Sí",1/DATOS_[[% normaliz]:[% normaliz]],1)*(DATOS_[Conc.Sal.06])))))))),
0)</f>
        <v>3000</v>
      </c>
      <c r="P16" s="111">
        <f t="array" ref="P16">IFERROR(
(MEDIAN((IF(DATOS_[[Sexo]:[Sexo]]=$B16,IF(DATOS_[[AGRUP. VALOR. PTO.]:[AGRUP. VALOR. PTO.]]=$B15,IF(DATOS_[[Check Periodo Ref.]:[Check Periodo Ref.]]="Dentro",IF(DATOS_[[Check Equiparado]:[Check Equiparado]]="Sí",IF(DATOS!AK$5="Sí",(1/DATOS_[[% anualiz]:[% anualiz]]),1)*IF(DATOS!AK$4="Sí",1/DATOS_[[% normaliz]:[% normaliz]],1)*(DATOS_[Conc.Sal.07])))))))),
0)</f>
        <v>200</v>
      </c>
      <c r="Q16" s="111">
        <f t="array" ref="Q16">IFERROR(
(MEDIAN((IF(DATOS_[[Sexo]:[Sexo]]=$B16,IF(DATOS_[[AGRUP. VALOR. PTO.]:[AGRUP. VALOR. PTO.]]=$B15,IF(DATOS_[[Check Periodo Ref.]:[Check Periodo Ref.]]="Dentro",IF(DATOS_[[Check Equiparado]:[Check Equiparado]]="Sí",IF(DATOS!AL$5="Sí",(1/DATOS_[[% anualiz]:[% anualiz]]),1)*IF(DATOS!AL$4="Sí",1/DATOS_[[% normaliz]:[% normaliz]],1)*(DATOS_[Conc.Sal.08])))))))),
0)</f>
        <v>0</v>
      </c>
      <c r="R16" s="111">
        <f t="array" ref="R16">IFERROR(
(MEDIAN((IF(DATOS_[[Sexo]:[Sexo]]=$B16,IF(DATOS_[[AGRUP. VALOR. PTO.]:[AGRUP. VALOR. PTO.]]=$B15,IF(DATOS_[[Check Periodo Ref.]:[Check Periodo Ref.]]="Dentro",IF(DATOS_[[Check Equiparado]:[Check Equiparado]]="Sí",IF(DATOS!AM$5="Sí",(1/DATOS_[[% anualiz]:[% anualiz]]),1)*IF(DATOS!AM$4="Sí",1/DATOS_[[% normaliz]:[% normaliz]],1)*(DATOS_[Conc.Sal.09])))))))),
0)</f>
        <v>0</v>
      </c>
      <c r="S16" s="111">
        <f t="array" ref="S16">IFERROR(
(MEDIAN((IF(DATOS_[[Sexo]:[Sexo]]=$B16,IF(DATOS_[[AGRUP. VALOR. PTO.]:[AGRUP. VALOR. PTO.]]=$B15,IF(DATOS_[[Check Periodo Ref.]:[Check Periodo Ref.]]="Dentro",IF(DATOS_[[Check Equiparado]:[Check Equiparado]]="Sí",IF(DATOS!AN$5="Sí",(1/DATOS_[[% anualiz]:[% anualiz]]),1)*IF(DATOS!AN$4="Sí",1/DATOS_[[% normaliz]:[% normaliz]],1)*(DATOS_[Conc.Sal.10])))))))),
0)</f>
        <v>0</v>
      </c>
      <c r="T16" s="111">
        <f t="array" ref="T16">IFERROR(
(MEDIAN((IF(DATOS_[[Sexo]:[Sexo]]=$B16,IF(DATOS_[[AGRUP. VALOR. PTO.]:[AGRUP. VALOR. PTO.]]=$B15,IF(DATOS_[[Check Periodo Ref.]:[Check Periodo Ref.]]="Dentro",IF(DATOS_[[Check Equiparado]:[Check Equiparado]]="Sí",IF(DATOS!AO$5="Sí",(1/DATOS_[[% anualiz]:[% anualiz]]),1)*IF(DATOS!AO$4="Sí",1/DATOS_[[% normaliz]:[% normaliz]],1)*(DATOS_[Conc.Sal.11])))))))),
0)</f>
        <v>0</v>
      </c>
      <c r="U16" s="111">
        <f t="array" ref="U16">IFERROR(
(MEDIAN((IF(DATOS_[[Sexo]:[Sexo]]=$B16,IF(DATOS_[[AGRUP. VALOR. PTO.]:[AGRUP. VALOR. PTO.]]=$B15,IF(DATOS_[[Check Periodo Ref.]:[Check Periodo Ref.]]="Dentro",IF(DATOS_[[Check Equiparado]:[Check Equiparado]]="Sí",IF(DATOS!AP$5="Sí",(1/DATOS_[[% anualiz]:[% anualiz]]),1)*IF(DATOS!AP$4="Sí",1/DATOS_[[% normaliz]:[% normaliz]],1)*(DATOS_[Conc.Sal.12])))))))),
0)</f>
        <v>0</v>
      </c>
      <c r="V16" s="111">
        <f t="array" ref="V16">IFERROR(
(MEDIAN((IF(DATOS_[[Sexo]:[Sexo]]=$B16,IF(DATOS_[[AGRUP. VALOR. PTO.]:[AGRUP. VALOR. PTO.]]=$B15,IF(DATOS_[[Check Periodo Ref.]:[Check Periodo Ref.]]="Dentro",IF(DATOS_[[Check Equiparado]:[Check Equiparado]]="Sí",IF(DATOS!AQ$5="Sí",(1/DATOS_[[% anualiz]:[% anualiz]]),1)*IF(DATOS!AQ$4="Sí",1/DATOS_[[% normaliz]:[% normaliz]],1)*(DATOS_[Conc.Sal.13])))))))),
0)</f>
        <v>0</v>
      </c>
      <c r="W16" s="111">
        <f t="array" ref="W16">IFERROR(
(MEDIAN((IF(DATOS_[[Sexo]:[Sexo]]=$B16,IF(DATOS_[[AGRUP. VALOR. PTO.]:[AGRUP. VALOR. PTO.]]=$B15,IF(DATOS_[[Check Periodo Ref.]:[Check Periodo Ref.]]="Dentro",IF(DATOS_[[Check Equiparado]:[Check Equiparado]]="Sí",IF(DATOS!AR$5="Sí",(1/DATOS_[[% anualiz]:[% anualiz]]),1)*IF(DATOS!AR$4="Sí",1/DATOS_[[% normaliz]:[% normaliz]],1)*(DATOS_[Conc.Sal.14])))))))),
0)</f>
        <v>0</v>
      </c>
      <c r="X16" s="111">
        <f t="array" ref="X16">IFERROR(
(MEDIAN((IF(DATOS_[[Sexo]:[Sexo]]=$B16,IF(DATOS_[[AGRUP. VALOR. PTO.]:[AGRUP. VALOR. PTO.]]=$B15,IF(DATOS_[[Check Periodo Ref.]:[Check Periodo Ref.]]="Dentro",IF(DATOS_[[Check Equiparado]:[Check Equiparado]]="Sí",IF(DATOS!AS$5="Sí",(1/DATOS_[[% anualiz]:[% anualiz]]),1)*IF(DATOS!AS$4="Sí",1/DATOS_[[% normaliz]:[% normaliz]],1)*(DATOS_[Conc.Sal.15])))))))),
0)</f>
        <v>0</v>
      </c>
      <c r="Y16" s="111">
        <f t="array" ref="Y16">IFERROR(
(MEDIAN((IF(DATOS_[[Sexo]:[Sexo]]=$B16,IF(DATOS_[[AGRUP. VALOR. PTO.]:[AGRUP. VALOR. PTO.]]=$B15,IF(DATOS_[[Check Periodo Ref.]:[Check Periodo Ref.]]="Dentro",IF(DATOS_[[Check Equiparado]:[Check Equiparado]]="Sí",IF(DATOS!AT$5="Sí",(1/DATOS_[[% anualiz]:[% anualiz]]),1)*IF(DATOS!AT$4="Sí",1/DATOS_[[% normaliz]:[% normaliz]],1)*(DATOS_[Conc.Sal.16])))))))),
0)</f>
        <v>0</v>
      </c>
      <c r="Z16" s="111">
        <f t="array" ref="Z16">IFERROR(
(MEDIAN((IF(DATOS_[[Sexo]:[Sexo]]=$B16,IF(DATOS_[[AGRUP. VALOR. PTO.]:[AGRUP. VALOR. PTO.]]=$B15,IF(DATOS_[[Check Periodo Ref.]:[Check Periodo Ref.]]="Dentro",IF(DATOS_[[Check Equiparado]:[Check Equiparado]]="Sí",IF(DATOS!AU$5="Sí",(1/DATOS_[[% anualiz]:[% anualiz]]),1)*IF(DATOS!AU$4="Sí",1/DATOS_[[% normaliz]:[% normaliz]],1)*(DATOS_[Conc.Sal.17])))))))),
0)</f>
        <v>0</v>
      </c>
      <c r="AA16" s="111">
        <f t="array" ref="AA16">IFERROR(
(MEDIAN((IF(DATOS_[[Sexo]:[Sexo]]=$B16,IF(DATOS_[[AGRUP. VALOR. PTO.]:[AGRUP. VALOR. PTO.]]=$B15,IF(DATOS_[[Check Periodo Ref.]:[Check Periodo Ref.]]="Dentro",IF(DATOS_[[Check Equiparado]:[Check Equiparado]]="Sí",IF(DATOS!AV$5="Sí",(1/DATOS_[[% anualiz]:[% anualiz]]),1)*IF(DATOS!AV$4="Sí",1/DATOS_[[% normaliz]:[% normaliz]],1)*(DATOS_[Conc.Sal.18])))))))),
0)</f>
        <v>0</v>
      </c>
      <c r="AB16" s="111">
        <f t="array" ref="AB16">IFERROR(
(MEDIAN((IF(DATOS_[[Sexo]:[Sexo]]=$B16,IF(DATOS_[[AGRUP. VALOR. PTO.]:[AGRUP. VALOR. PTO.]]=$B15,IF(DATOS_[[Check Periodo Ref.]:[Check Periodo Ref.]]="Dentro",IF(DATOS_[[Check Equiparado]:[Check Equiparado]]="Sí",IF(DATOS!AW$5="Sí",(1/DATOS_[[% anualiz]:[% anualiz]]),1)*IF(DATOS!AW$4="Sí",1/DATOS_[[% normaliz]:[% normaliz]],1)*(DATOS_[Conc.Sal.19])))))))),
0)</f>
        <v>0</v>
      </c>
      <c r="AC16" s="111">
        <f t="array" ref="AC16">IFERROR(
(MEDIAN((IF(DATOS_[[Sexo]:[Sexo]]=$B16,IF(DATOS_[[AGRUP. VALOR. PTO.]:[AGRUP. VALOR. PTO.]]=$B15,IF(DATOS_[[Check Periodo Ref.]:[Check Periodo Ref.]]="Dentro",IF(DATOS_[[Check Equiparado]:[Check Equiparado]]="Sí",IF(DATOS!AX$5="Sí",(1/DATOS_[[% anualiz]:[% anualiz]]),1)*IF(DATOS!AX$4="Sí",1/DATOS_[[% normaliz]:[% normaliz]],1)*(DATOS_[Conc.Sal.20])))))))),
0)</f>
        <v>0</v>
      </c>
      <c r="AD16" s="111">
        <f t="array" ref="AD16">IFERROR(
(MEDIAN((IF(DATOS_[[Sexo]:[Sexo]]=$B16,IF(DATOS_[[AGRUP. VALOR. PTO.]:[AGRUP. VALOR. PTO.]]=$B15,IF(DATOS_[[Check Periodo Ref.]:[Check Periodo Ref.]]="Dentro",IF(DATOS_[[Check Equiparado]:[Check Equiparado]]="Sí",IF(DATOS!AY$5="Sí",(1/DATOS_[[% anualiz]:[% anualiz]]),1)*IF(DATOS!AY$4="Sí",1/DATOS_[[% normaliz]:[% normaliz]],1)*(DATOS_[Conc.Sal.21])))))))),
0)</f>
        <v>0</v>
      </c>
      <c r="AE16" s="111">
        <f t="array" ref="AE16">IFERROR(
(MEDIAN((IF(DATOS_[[Sexo]:[Sexo]]=$B16,IF(DATOS_[[AGRUP. VALOR. PTO.]:[AGRUP. VALOR. PTO.]]=$B15,IF(DATOS_[[Check Periodo Ref.]:[Check Periodo Ref.]]="Dentro",IF(DATOS_[[Check Equiparado]:[Check Equiparado]]="Sí",IF(DATOS!AZ$5="Sí",(1/DATOS_[[% anualiz]:[% anualiz]]),1)*IF(DATOS!AZ$4="Sí",1/DATOS_[[% normaliz]:[% normaliz]],1)*(DATOS_[Conc.Sal.22])))))))),
0)</f>
        <v>0</v>
      </c>
      <c r="AF16" s="111">
        <f t="array" ref="AF16">IFERROR(
(MEDIAN((IF(DATOS_[[Sexo]:[Sexo]]=$B16,IF(DATOS_[[AGRUP. VALOR. PTO.]:[AGRUP. VALOR. PTO.]]=$B15,IF(DATOS_[[Check Periodo Ref.]:[Check Periodo Ref.]]="Dentro",IF(DATOS_[[Check Equiparado]:[Check Equiparado]]="Sí",IF(DATOS!BA$5="Sí",(1/DATOS_[[% anualiz]:[% anualiz]]),1)*IF(DATOS!BA$4="Sí",1/DATOS_[[% normaliz]:[% normaliz]],1)*(DATOS_[Conc.Sal.23])))))))),
0)</f>
        <v>0</v>
      </c>
      <c r="AG16" s="111">
        <f t="array" ref="AG16">IFERROR(
(MEDIAN((IF(DATOS_[[Sexo]:[Sexo]]=$B16,IF(DATOS_[[AGRUP. VALOR. PTO.]:[AGRUP. VALOR. PTO.]]=$B15,IF(DATOS_[[Check Periodo Ref.]:[Check Periodo Ref.]]="Dentro",IF(DATOS_[[Check Equiparado]:[Check Equiparado]]="Sí",IF(DATOS!BB$5="Sí",(1/DATOS_[[% anualiz]:[% anualiz]]),1)*IF(DATOS!BB$4="Sí",1/DATOS_[[% normaliz]:[% normaliz]],1)*(DATOS_[Conc.Sal.24])))))))),
0)</f>
        <v>0</v>
      </c>
      <c r="AH16" s="111">
        <f t="array" ref="AH16">IFERROR(
(MEDIAN((IF(DATOS_[[Sexo]:[Sexo]]=$B16,IF(DATOS_[[AGRUP. VALOR. PTO.]:[AGRUP. VALOR. PTO.]]=$B15,IF(DATOS_[[Check Periodo Ref.]:[Check Periodo Ref.]]="Dentro",IF(DATOS_[[Check Equiparado]:[Check Equiparado]]="Sí",IF(DATOS!BC$5="Sí",(1/DATOS_[[% anualiz]:[% anualiz]]),1)*IF(DATOS!BC$4="Sí",1/DATOS_[[% normaliz]:[% normaliz]],1)*(DATOS_[Conc.Sal.25])))))))),
0)</f>
        <v>0</v>
      </c>
      <c r="AI16" s="111">
        <f t="array" ref="AI16">IFERROR(
(MEDIAN((IF(DATOS_[[Sexo]:[Sexo]]=$B16,IF(DATOS_[[AGRUP. VALOR. PTO.]:[AGRUP. VALOR. PTO.]]=$B15,IF(DATOS_[[Check Periodo Ref.]:[Check Periodo Ref.]]="Dentro",IF(DATOS_[[Check Equiparado]:[Check Equiparado]]="Sí",IF(DATOS!BD$5="Sí",(1/DATOS_[[% anualiz]:[% anualiz]]),1)*IF(DATOS!BD$4="Sí",1/DATOS_[[% normaliz]:[% normaliz]],1)*(DATOS_[Conc.Sal.26])))))))),
0)</f>
        <v>0</v>
      </c>
      <c r="AJ16" s="111">
        <f t="array" ref="AJ16">IFERROR(
(MEDIAN((IF(DATOS_[[Sexo]:[Sexo]]=$B16,IF(DATOS_[[AGRUP. VALOR. PTO.]:[AGRUP. VALOR. PTO.]]=$B15,IF(DATOS_[[Check Periodo Ref.]:[Check Periodo Ref.]]="Dentro",IF(DATOS_[[Check Equiparado]:[Check Equiparado]]="Sí",IF(DATOS!BE$5="Sí",(1/DATOS_[[% anualiz]:[% anualiz]]),1)*IF(DATOS!BE$4="Sí",1/DATOS_[[% normaliz]:[% normaliz]],1)*(DATOS_[Conc.Sal.27])))))))),
0)</f>
        <v>0</v>
      </c>
      <c r="AK16" s="111">
        <f t="array" ref="AK16">IFERROR(
(MEDIAN((IF(DATOS_[[Sexo]:[Sexo]]=$B16,IF(DATOS_[[AGRUP. VALOR. PTO.]:[AGRUP. VALOR. PTO.]]=$B15,IF(DATOS_[[Check Periodo Ref.]:[Check Periodo Ref.]]="Dentro",IF(DATOS_[[Check Equiparado]:[Check Equiparado]]="Sí",IF(DATOS!BF$5="Sí",(1/DATOS_[[% anualiz]:[% anualiz]]),1)*IF(DATOS!BF$4="Sí",1/DATOS_[[% normaliz]:[% normaliz]],1)*(DATOS_[Conc.Sal.28])))))))),
0)</f>
        <v>0</v>
      </c>
      <c r="AL16" s="111">
        <f t="array" ref="AL16">IFERROR(
(MEDIAN((IF(DATOS_[[Sexo]:[Sexo]]=$B16,IF(DATOS_[[AGRUP. VALOR. PTO.]:[AGRUP. VALOR. PTO.]]=$B15,IF(DATOS_[[Check Periodo Ref.]:[Check Periodo Ref.]]="Dentro",IF(DATOS_[[Check Equiparado]:[Check Equiparado]]="Sí",IF(DATOS!BG$5="Sí",(1/DATOS_[[% anualiz]:[% anualiz]]),1)*IF(DATOS!BG$4="Sí",1/DATOS_[[% normaliz]:[% normaliz]],1)*(DATOS_[Conc.Sal.29])))))))),
0)</f>
        <v>0</v>
      </c>
      <c r="AM16" s="111">
        <f t="array" ref="AM16">IFERROR(
(MEDIAN((IF(DATOS_[[Sexo]:[Sexo]]=$B16,IF(DATOS_[[AGRUP. VALOR. PTO.]:[AGRUP. VALOR. PTO.]]=$B15,IF(DATOS_[[Check Periodo Ref.]:[Check Periodo Ref.]]="Dentro",IF(DATOS_[[Check Equiparado]:[Check Equiparado]]="Sí",IF(DATOS!BH$5="Sí",(1/DATOS_[[% anualiz]:[% anualiz]]),1)*IF(DATOS!BH$4="Sí",1/DATOS_[[% normaliz]:[% normaliz]],1)*(DATOS_[Conc.Sal.30])))))))),
0)</f>
        <v>0</v>
      </c>
      <c r="AN16" s="112">
        <f t="array" ref="AN16">IFERROR(
MEDIAN(IF(DATOS_[Sexo]=$B16,IF(DATOS_[[AGRUP. VALOR. PTO.]:[AGRUP. VALOR. PTO.]]=$B15,IF(DATOS_[Check Equiparado]="Sí",IF(DATOS_[Check Periodo Ref.]="Dentro",DATOS_[Tot COMPL.SAL Eq],FALSE))))),
0)</f>
        <v>36620.209199999998</v>
      </c>
      <c r="AO16" s="113">
        <f t="array" ref="AO16">IFERROR(
MEDIAN(IF(DATOS_[Sexo]=$B16,IF(DATOS_[[AGRUP. VALOR. PTO.]:[AGRUP. VALOR. PTO.]]=$B15,IF(DATOS_[Check Equiparado]="Sí",IF(DATOS_[Check Periodo Ref.]="Dentro",DATOS_[TOTAL SALARIO Eq],FALSE))))),
0)</f>
        <v>55167.579199999993</v>
      </c>
      <c r="AP16" s="114">
        <f t="array" ref="AP16">IFERROR(
(MEDIAN((IF(DATOS_[[Sexo]:[Sexo]]=$B16,IF(DATOS_[[AGRUP. VALOR. PTO.]:[AGRUP. VALOR. PTO.]]=$B15,IF(DATOS_[[Check Periodo Ref.]:[Check Periodo Ref.]]="Dentro",IF(DATOS_[[Check Equiparado]:[Check Equiparado]]="Sí",IF(DATOS!BI$5="Sí",(1/DATOS_[[% anualiz]:[% anualiz]]),1)*IF(DATOS!BI$4="Sí",1/DATOS_[[% normaliz]:[% normaliz]],1)*(DATOS_[C.Extra.01])))))))),
0)</f>
        <v>0</v>
      </c>
      <c r="AQ16" s="114">
        <f t="array" ref="AQ16">IFERROR(
(MEDIAN((IF(DATOS_[[Sexo]:[Sexo]]=$B16,IF(DATOS_[[AGRUP. VALOR. PTO.]:[AGRUP. VALOR. PTO.]]=$B15,IF(DATOS_[[Check Periodo Ref.]:[Check Periodo Ref.]]="Dentro",IF(DATOS_[[Check Equiparado]:[Check Equiparado]]="Sí",IF(DATOS!BJ$5="Sí",(1/DATOS_[[% anualiz]:[% anualiz]]),1)*IF(DATOS!BJ$4="Sí",1/DATOS_[[% normaliz]:[% normaliz]],1)*(DATOS_[C.Extra.02])))))))),
0)</f>
        <v>0</v>
      </c>
      <c r="AR16" s="114">
        <f t="array" ref="AR16">IFERROR(
(MEDIAN((IF(DATOS_[[Sexo]:[Sexo]]=$B16,IF(DATOS_[[AGRUP. VALOR. PTO.]:[AGRUP. VALOR. PTO.]]=$B15,IF(DATOS_[[Check Periodo Ref.]:[Check Periodo Ref.]]="Dentro",IF(DATOS_[[Check Equiparado]:[Check Equiparado]]="Sí",IF(DATOS!BK$5="Sí",(1/DATOS_[[% anualiz]:[% anualiz]]),1)*IF(DATOS!BK$4="Sí",1/DATOS_[[% normaliz]:[% normaliz]],1)*(DATOS_[C.Extra.03])))))))),
0)</f>
        <v>0</v>
      </c>
      <c r="AS16" s="114">
        <f t="array" ref="AS16">IFERROR(
(MEDIAN((IF(DATOS_[[Sexo]:[Sexo]]=$B16,IF(DATOS_[[AGRUP. VALOR. PTO.]:[AGRUP. VALOR. PTO.]]=$B15,IF(DATOS_[[Check Periodo Ref.]:[Check Periodo Ref.]]="Dentro",IF(DATOS_[[Check Equiparado]:[Check Equiparado]]="Sí",IF(DATOS!BL$5="Sí",(1/DATOS_[[% anualiz]:[% anualiz]]),1)*IF(DATOS!BL$4="Sí",1/DATOS_[[% normaliz]:[% normaliz]],1)*(DATOS_[C.Extra.04])))))))),
0)</f>
        <v>0</v>
      </c>
      <c r="AT16" s="114">
        <f t="array" ref="AT16">IFERROR(
(MEDIAN((IF(DATOS_[[Sexo]:[Sexo]]=$B16,IF(DATOS_[[AGRUP. VALOR. PTO.]:[AGRUP. VALOR. PTO.]]=$B15,IF(DATOS_[[Check Periodo Ref.]:[Check Periodo Ref.]]="Dentro",IF(DATOS_[[Check Equiparado]:[Check Equiparado]]="Sí",IF(DATOS!BM$5="Sí",(1/DATOS_[[% anualiz]:[% anualiz]]),1)*IF(DATOS!BM$4="Sí",1/DATOS_[[% normaliz]:[% normaliz]],1)*(DATOS_[C.Extra.05])))))))),
0)</f>
        <v>0</v>
      </c>
      <c r="AU16" s="115">
        <f t="array" ref="AU16">IFERROR(
MEDIAN(IF(DATOS_[Sexo]=$B16,IF(DATOS_[[AGRUP. VALOR. PTO.]:[AGRUP. VALOR. PTO.]]=$B15,IF(DATOS_[Check Equiparado]="Sí",IF(DATOS_[Check Periodo Ref.]="Dentro",DATOS_[Tot Extrasalarial Eq],FALSE))))),
0)</f>
        <v>0</v>
      </c>
      <c r="AV16" s="116">
        <f t="array" ref="AV16">IFERROR(
MEDIAN(IF(DATOS_[Sexo]=$B16,IF(DATOS_[[AGRUP. VALOR. PTO.]:[AGRUP. VALOR. PTO.]]=$B15,IF(DATOS_[Check Equiparado]="Sí",IF(DATOS_[Check Periodo Ref.]="Dentro",DATOS_[TOTAL Retrib Eq],FALSE))))),
0)</f>
        <v>55167.579199999993</v>
      </c>
    </row>
    <row r="17" spans="1:48" x14ac:dyDescent="0.3">
      <c r="A17" s="42" t="str">
        <f>+A16</f>
        <v/>
      </c>
      <c r="B17" s="86" t="s">
        <v>163</v>
      </c>
      <c r="C17" s="33">
        <f t="array" ref="C17">SUM(IF($B17=DATOS_[Sexo],
IF($B15=DATOS_[AGRUP. VALOR. PTO.],
IF("Dentro"=DATOS_[Check Periodo Ref.],
1/(COUNTIFS(DATOS_[Sexo],$B17,DATOS_[AGRUP. VALOR. PTO.],$B15,DATOS_[Check Periodo Ref.],"Dentro",DATOS_[id],DATOS_[id]))))))</f>
        <v>4</v>
      </c>
      <c r="D17" s="35">
        <f>COUNTIFS(DATOS_[AGRUP. VALOR. PTO.],$B15,DATOS_[Sexo],$B17,DATOS_[Check Periodo Ref.],"Dentro")</f>
        <v>4</v>
      </c>
      <c r="E17" s="35">
        <f>COUNTIFS(DATOS_[AGRUP. VALOR. PTO.],$B15,DATOS_[Sexo],$B17,DATOS_[Check Periodo Ref.],"Dentro",DATOS_[Check Nº SC Norm],"Sí")</f>
        <v>2</v>
      </c>
      <c r="F17" s="35">
        <f>COUNTIFS(DATOS_[AGRUP. VALOR. PTO.],$B15,DATOS_[Sexo],$B17,DATOS_[Check Periodo Ref.],"Dentro",DATOS_[Check Nº SC Anualiz],"Sí")</f>
        <v>0</v>
      </c>
      <c r="G17" s="35">
        <f>COUNTIFS(DATOS_[AGRUP. VALOR. PTO.],$B15,DATOS_[Sexo],$B17,DATOS_[Check Periodo Ref.],"Dentro",DATOS_[Check Nº SC Norm y Anualiz],"Sí")</f>
        <v>0</v>
      </c>
      <c r="H17" s="35">
        <f>COUNTIFS(DATOS_[AGRUP. VALOR. PTO.],$B15,DATOS_[Sexo],$B17,DATOS_[Check Periodo Ref.],"Dentro",DATOS_[Check Equiparación],"Sí")</f>
        <v>2</v>
      </c>
      <c r="I17" s="110" cm="1">
        <f t="array" ref="I17">IFERROR(
MEDIAN(IF(DATOS_[Sexo]=$B17,IF(DATOS_[[AGRUP. VALOR. PTO.]:[AGRUP. VALOR. PTO.]]=$B15,IF(DATOS_[Check Equiparado]="Sí",IF(DATOS_[Check Periodo Ref.]="Dentro",DATOS_[SALARIO BASE Eq],FALSE))))),
0)</f>
        <v>18547.37</v>
      </c>
      <c r="J17" s="111">
        <f t="array" ref="J17">IFERROR(
(MEDIAN((IF(DATOS_[[Sexo]:[Sexo]]=$B17,IF(DATOS_[[AGRUP. VALOR. PTO.]:[AGRUP. VALOR. PTO.]]=$B15,IF(DATOS_[[Check Periodo Ref.]:[Check Periodo Ref.]]="Dentro",IF(DATOS_[[Check Equiparado]:[Check Equiparado]]="Sí",IF(DATOS!AE$5="Sí",(1/DATOS_[[% anualiz]:[% anualiz]]),1)*IF(DATOS!AE$4="Sí",1/DATOS_[[% normaliz]:[% normaliz]],1)*(DATOS_[Conc.Sal.01])))))))),
0)</f>
        <v>12500</v>
      </c>
      <c r="K17" s="111">
        <f t="array" ref="K17">IFERROR(
(MEDIAN((IF(DATOS_[[Sexo]:[Sexo]]=$B17,IF(DATOS_[[AGRUP. VALOR. PTO.]:[AGRUP. VALOR. PTO.]]=$B15,IF(DATOS_[[Check Periodo Ref.]:[Check Periodo Ref.]]="Dentro",IF(DATOS_[[Check Equiparado]:[Check Equiparado]]="Sí",IF(DATOS!AF$5="Sí",(1/DATOS_[[% anualiz]:[% anualiz]]),1)*IF(DATOS!AF$4="Sí",1/DATOS_[[% normaliz]:[% normaliz]],1)*(DATOS_[Conc.Sal.02])))))))),
0)</f>
        <v>1762.0001499999998</v>
      </c>
      <c r="L17" s="111">
        <f t="array" ref="L17">IFERROR(
(MEDIAN((IF(DATOS_[[Sexo]:[Sexo]]=$B17,IF(DATOS_[[AGRUP. VALOR. PTO.]:[AGRUP. VALOR. PTO.]]=$B15,IF(DATOS_[[Check Periodo Ref.]:[Check Periodo Ref.]]="Dentro",IF(DATOS_[[Check Equiparado]:[Check Equiparado]]="Sí",IF(DATOS!AG$5="Sí",(1/DATOS_[[% anualiz]:[% anualiz]]),1)*IF(DATOS!AG$4="Sí",1/DATOS_[[% normaliz]:[% normaliz]],1)*(DATOS_[Conc.Sal.03])))))))),
0)</f>
        <v>0</v>
      </c>
      <c r="M17" s="111">
        <f t="array" ref="M17">IFERROR(
(MEDIAN((IF(DATOS_[[Sexo]:[Sexo]]=$B17,IF(DATOS_[[AGRUP. VALOR. PTO.]:[AGRUP. VALOR. PTO.]]=$B15,IF(DATOS_[[Check Periodo Ref.]:[Check Periodo Ref.]]="Dentro",IF(DATOS_[[Check Equiparado]:[Check Equiparado]]="Sí",IF(DATOS!AH$5="Sí",(1/DATOS_[[% anualiz]:[% anualiz]]),1)*IF(DATOS!AH$4="Sí",1/DATOS_[[% normaliz]:[% normaliz]],1)*(DATOS_[Conc.Sal.04])))))))),
0)</f>
        <v>0</v>
      </c>
      <c r="N17" s="111">
        <f t="array" ref="N17">IFERROR(
(MEDIAN((IF(DATOS_[[Sexo]:[Sexo]]=$B17,IF(DATOS_[[AGRUP. VALOR. PTO.]:[AGRUP. VALOR. PTO.]]=$B15,IF(DATOS_[[Check Periodo Ref.]:[Check Periodo Ref.]]="Dentro",IF(DATOS_[[Check Equiparado]:[Check Equiparado]]="Sí",IF(DATOS!AI$5="Sí",(1/DATOS_[[% anualiz]:[% anualiz]]),1)*IF(DATOS!AI$4="Sí",1/DATOS_[[% normaliz]:[% normaliz]],1)*(DATOS_[Conc.Sal.05])))))))),
0)</f>
        <v>2500</v>
      </c>
      <c r="O17" s="111">
        <f t="array" ref="O17">IFERROR(
(MEDIAN((IF(DATOS_[[Sexo]:[Sexo]]=$B17,IF(DATOS_[[AGRUP. VALOR. PTO.]:[AGRUP. VALOR. PTO.]]=$B15,IF(DATOS_[[Check Periodo Ref.]:[Check Periodo Ref.]]="Dentro",IF(DATOS_[[Check Equiparado]:[Check Equiparado]]="Sí",IF(DATOS!AJ$5="Sí",(1/DATOS_[[% anualiz]:[% anualiz]]),1)*IF(DATOS!AJ$4="Sí",1/DATOS_[[% normaliz]:[% normaliz]],1)*(DATOS_[Conc.Sal.06])))))))),
0)</f>
        <v>3000</v>
      </c>
      <c r="P17" s="111">
        <f t="array" ref="P17">IFERROR(
(MEDIAN((IF(DATOS_[[Sexo]:[Sexo]]=$B17,IF(DATOS_[[AGRUP. VALOR. PTO.]:[AGRUP. VALOR. PTO.]]=$B15,IF(DATOS_[[Check Periodo Ref.]:[Check Periodo Ref.]]="Dentro",IF(DATOS_[[Check Equiparado]:[Check Equiparado]]="Sí",IF(DATOS!AK$5="Sí",(1/DATOS_[[% anualiz]:[% anualiz]]),1)*IF(DATOS!AK$4="Sí",1/DATOS_[[% normaliz]:[% normaliz]],1)*(DATOS_[Conc.Sal.07])))))))),
0)</f>
        <v>200</v>
      </c>
      <c r="Q17" s="111">
        <f t="array" ref="Q17">IFERROR(
(MEDIAN((IF(DATOS_[[Sexo]:[Sexo]]=$B17,IF(DATOS_[[AGRUP. VALOR. PTO.]:[AGRUP. VALOR. PTO.]]=$B15,IF(DATOS_[[Check Periodo Ref.]:[Check Periodo Ref.]]="Dentro",IF(DATOS_[[Check Equiparado]:[Check Equiparado]]="Sí",IF(DATOS!AL$5="Sí",(1/DATOS_[[% anualiz]:[% anualiz]]),1)*IF(DATOS!AL$4="Sí",1/DATOS_[[% normaliz]:[% normaliz]],1)*(DATOS_[Conc.Sal.08])))))))),
0)</f>
        <v>0</v>
      </c>
      <c r="R17" s="111">
        <f t="array" ref="R17">IFERROR(
(MEDIAN((IF(DATOS_[[Sexo]:[Sexo]]=$B17,IF(DATOS_[[AGRUP. VALOR. PTO.]:[AGRUP. VALOR. PTO.]]=$B15,IF(DATOS_[[Check Periodo Ref.]:[Check Periodo Ref.]]="Dentro",IF(DATOS_[[Check Equiparado]:[Check Equiparado]]="Sí",IF(DATOS!AM$5="Sí",(1/DATOS_[[% anualiz]:[% anualiz]]),1)*IF(DATOS!AM$4="Sí",1/DATOS_[[% normaliz]:[% normaliz]],1)*(DATOS_[Conc.Sal.09])))))))),
0)</f>
        <v>0</v>
      </c>
      <c r="S17" s="111">
        <f t="array" ref="S17">IFERROR(
(MEDIAN((IF(DATOS_[[Sexo]:[Sexo]]=$B17,IF(DATOS_[[AGRUP. VALOR. PTO.]:[AGRUP. VALOR. PTO.]]=$B15,IF(DATOS_[[Check Periodo Ref.]:[Check Periodo Ref.]]="Dentro",IF(DATOS_[[Check Equiparado]:[Check Equiparado]]="Sí",IF(DATOS!AN$5="Sí",(1/DATOS_[[% anualiz]:[% anualiz]]),1)*IF(DATOS!AN$4="Sí",1/DATOS_[[% normaliz]:[% normaliz]],1)*(DATOS_[Conc.Sal.10])))))))),
0)</f>
        <v>0</v>
      </c>
      <c r="T17" s="111">
        <f t="array" ref="T17">IFERROR(
(MEDIAN((IF(DATOS_[[Sexo]:[Sexo]]=$B17,IF(DATOS_[[AGRUP. VALOR. PTO.]:[AGRUP. VALOR. PTO.]]=$B15,IF(DATOS_[[Check Periodo Ref.]:[Check Periodo Ref.]]="Dentro",IF(DATOS_[[Check Equiparado]:[Check Equiparado]]="Sí",IF(DATOS!AO$5="Sí",(1/DATOS_[[% anualiz]:[% anualiz]]),1)*IF(DATOS!AO$4="Sí",1/DATOS_[[% normaliz]:[% normaliz]],1)*(DATOS_[Conc.Sal.11])))))))),
0)</f>
        <v>0</v>
      </c>
      <c r="U17" s="111">
        <f t="array" ref="U17">IFERROR(
(MEDIAN((IF(DATOS_[[Sexo]:[Sexo]]=$B17,IF(DATOS_[[AGRUP. VALOR. PTO.]:[AGRUP. VALOR. PTO.]]=$B15,IF(DATOS_[[Check Periodo Ref.]:[Check Periodo Ref.]]="Dentro",IF(DATOS_[[Check Equiparado]:[Check Equiparado]]="Sí",IF(DATOS!AP$5="Sí",(1/DATOS_[[% anualiz]:[% anualiz]]),1)*IF(DATOS!AP$4="Sí",1/DATOS_[[% normaliz]:[% normaliz]],1)*(DATOS_[Conc.Sal.12])))))))),
0)</f>
        <v>0</v>
      </c>
      <c r="V17" s="111">
        <f t="array" ref="V17">IFERROR(
(MEDIAN((IF(DATOS_[[Sexo]:[Sexo]]=$B17,IF(DATOS_[[AGRUP. VALOR. PTO.]:[AGRUP. VALOR. PTO.]]=$B15,IF(DATOS_[[Check Periodo Ref.]:[Check Periodo Ref.]]="Dentro",IF(DATOS_[[Check Equiparado]:[Check Equiparado]]="Sí",IF(DATOS!AQ$5="Sí",(1/DATOS_[[% anualiz]:[% anualiz]]),1)*IF(DATOS!AQ$4="Sí",1/DATOS_[[% normaliz]:[% normaliz]],1)*(DATOS_[Conc.Sal.13])))))))),
0)</f>
        <v>0</v>
      </c>
      <c r="W17" s="111">
        <f t="array" ref="W17">IFERROR(
(MEDIAN((IF(DATOS_[[Sexo]:[Sexo]]=$B17,IF(DATOS_[[AGRUP. VALOR. PTO.]:[AGRUP. VALOR. PTO.]]=$B15,IF(DATOS_[[Check Periodo Ref.]:[Check Periodo Ref.]]="Dentro",IF(DATOS_[[Check Equiparado]:[Check Equiparado]]="Sí",IF(DATOS!AR$5="Sí",(1/DATOS_[[% anualiz]:[% anualiz]]),1)*IF(DATOS!AR$4="Sí",1/DATOS_[[% normaliz]:[% normaliz]],1)*(DATOS_[Conc.Sal.14])))))))),
0)</f>
        <v>0</v>
      </c>
      <c r="X17" s="111">
        <f t="array" ref="X17">IFERROR(
(MEDIAN((IF(DATOS_[[Sexo]:[Sexo]]=$B17,IF(DATOS_[[AGRUP. VALOR. PTO.]:[AGRUP. VALOR. PTO.]]=$B15,IF(DATOS_[[Check Periodo Ref.]:[Check Periodo Ref.]]="Dentro",IF(DATOS_[[Check Equiparado]:[Check Equiparado]]="Sí",IF(DATOS!AS$5="Sí",(1/DATOS_[[% anualiz]:[% anualiz]]),1)*IF(DATOS!AS$4="Sí",1/DATOS_[[% normaliz]:[% normaliz]],1)*(DATOS_[Conc.Sal.15])))))))),
0)</f>
        <v>0</v>
      </c>
      <c r="Y17" s="111">
        <f t="array" ref="Y17">IFERROR(
(MEDIAN((IF(DATOS_[[Sexo]:[Sexo]]=$B17,IF(DATOS_[[AGRUP. VALOR. PTO.]:[AGRUP. VALOR. PTO.]]=$B15,IF(DATOS_[[Check Periodo Ref.]:[Check Periodo Ref.]]="Dentro",IF(DATOS_[[Check Equiparado]:[Check Equiparado]]="Sí",IF(DATOS!AT$5="Sí",(1/DATOS_[[% anualiz]:[% anualiz]]),1)*IF(DATOS!AT$4="Sí",1/DATOS_[[% normaliz]:[% normaliz]],1)*(DATOS_[Conc.Sal.16])))))))),
0)</f>
        <v>0</v>
      </c>
      <c r="Z17" s="111">
        <f t="array" ref="Z17">IFERROR(
(MEDIAN((IF(DATOS_[[Sexo]:[Sexo]]=$B17,IF(DATOS_[[AGRUP. VALOR. PTO.]:[AGRUP. VALOR. PTO.]]=$B15,IF(DATOS_[[Check Periodo Ref.]:[Check Periodo Ref.]]="Dentro",IF(DATOS_[[Check Equiparado]:[Check Equiparado]]="Sí",IF(DATOS!AU$5="Sí",(1/DATOS_[[% anualiz]:[% anualiz]]),1)*IF(DATOS!AU$4="Sí",1/DATOS_[[% normaliz]:[% normaliz]],1)*(DATOS_[Conc.Sal.17])))))))),
0)</f>
        <v>0</v>
      </c>
      <c r="AA17" s="111">
        <f t="array" ref="AA17">IFERROR(
(MEDIAN((IF(DATOS_[[Sexo]:[Sexo]]=$B17,IF(DATOS_[[AGRUP. VALOR. PTO.]:[AGRUP. VALOR. PTO.]]=$B15,IF(DATOS_[[Check Periodo Ref.]:[Check Periodo Ref.]]="Dentro",IF(DATOS_[[Check Equiparado]:[Check Equiparado]]="Sí",IF(DATOS!AV$5="Sí",(1/DATOS_[[% anualiz]:[% anualiz]]),1)*IF(DATOS!AV$4="Sí",1/DATOS_[[% normaliz]:[% normaliz]],1)*(DATOS_[Conc.Sal.18])))))))),
0)</f>
        <v>0</v>
      </c>
      <c r="AB17" s="111">
        <f t="array" ref="AB17">IFERROR(
(MEDIAN((IF(DATOS_[[Sexo]:[Sexo]]=$B17,IF(DATOS_[[AGRUP. VALOR. PTO.]:[AGRUP. VALOR. PTO.]]=$B15,IF(DATOS_[[Check Periodo Ref.]:[Check Periodo Ref.]]="Dentro",IF(DATOS_[[Check Equiparado]:[Check Equiparado]]="Sí",IF(DATOS!AW$5="Sí",(1/DATOS_[[% anualiz]:[% anualiz]]),1)*IF(DATOS!AW$4="Sí",1/DATOS_[[% normaliz]:[% normaliz]],1)*(DATOS_[Conc.Sal.19])))))))),
0)</f>
        <v>0</v>
      </c>
      <c r="AC17" s="111">
        <f t="array" ref="AC17">IFERROR(
(MEDIAN((IF(DATOS_[[Sexo]:[Sexo]]=$B17,IF(DATOS_[[AGRUP. VALOR. PTO.]:[AGRUP. VALOR. PTO.]]=$B15,IF(DATOS_[[Check Periodo Ref.]:[Check Periodo Ref.]]="Dentro",IF(DATOS_[[Check Equiparado]:[Check Equiparado]]="Sí",IF(DATOS!AX$5="Sí",(1/DATOS_[[% anualiz]:[% anualiz]]),1)*IF(DATOS!AX$4="Sí",1/DATOS_[[% normaliz]:[% normaliz]],1)*(DATOS_[Conc.Sal.20])))))))),
0)</f>
        <v>0</v>
      </c>
      <c r="AD17" s="111">
        <f t="array" ref="AD17">IFERROR(
(MEDIAN((IF(DATOS_[[Sexo]:[Sexo]]=$B17,IF(DATOS_[[AGRUP. VALOR. PTO.]:[AGRUP. VALOR. PTO.]]=$B15,IF(DATOS_[[Check Periodo Ref.]:[Check Periodo Ref.]]="Dentro",IF(DATOS_[[Check Equiparado]:[Check Equiparado]]="Sí",IF(DATOS!AY$5="Sí",(1/DATOS_[[% anualiz]:[% anualiz]]),1)*IF(DATOS!AY$4="Sí",1/DATOS_[[% normaliz]:[% normaliz]],1)*(DATOS_[Conc.Sal.21])))))))),
0)</f>
        <v>0</v>
      </c>
      <c r="AE17" s="111">
        <f t="array" ref="AE17">IFERROR(
(MEDIAN((IF(DATOS_[[Sexo]:[Sexo]]=$B17,IF(DATOS_[[AGRUP. VALOR. PTO.]:[AGRUP. VALOR. PTO.]]=$B15,IF(DATOS_[[Check Periodo Ref.]:[Check Periodo Ref.]]="Dentro",IF(DATOS_[[Check Equiparado]:[Check Equiparado]]="Sí",IF(DATOS!AZ$5="Sí",(1/DATOS_[[% anualiz]:[% anualiz]]),1)*IF(DATOS!AZ$4="Sí",1/DATOS_[[% normaliz]:[% normaliz]],1)*(DATOS_[Conc.Sal.22])))))))),
0)</f>
        <v>0</v>
      </c>
      <c r="AF17" s="111">
        <f t="array" ref="AF17">IFERROR(
(MEDIAN((IF(DATOS_[[Sexo]:[Sexo]]=$B17,IF(DATOS_[[AGRUP. VALOR. PTO.]:[AGRUP. VALOR. PTO.]]=$B15,IF(DATOS_[[Check Periodo Ref.]:[Check Periodo Ref.]]="Dentro",IF(DATOS_[[Check Equiparado]:[Check Equiparado]]="Sí",IF(DATOS!BA$5="Sí",(1/DATOS_[[% anualiz]:[% anualiz]]),1)*IF(DATOS!BA$4="Sí",1/DATOS_[[% normaliz]:[% normaliz]],1)*(DATOS_[Conc.Sal.23])))))))),
0)</f>
        <v>0</v>
      </c>
      <c r="AG17" s="111">
        <f t="array" ref="AG17">IFERROR(
(MEDIAN((IF(DATOS_[[Sexo]:[Sexo]]=$B17,IF(DATOS_[[AGRUP. VALOR. PTO.]:[AGRUP. VALOR. PTO.]]=$B15,IF(DATOS_[[Check Periodo Ref.]:[Check Periodo Ref.]]="Dentro",IF(DATOS_[[Check Equiparado]:[Check Equiparado]]="Sí",IF(DATOS!BB$5="Sí",(1/DATOS_[[% anualiz]:[% anualiz]]),1)*IF(DATOS!BB$4="Sí",1/DATOS_[[% normaliz]:[% normaliz]],1)*(DATOS_[Conc.Sal.24])))))))),
0)</f>
        <v>0</v>
      </c>
      <c r="AH17" s="111">
        <f t="array" ref="AH17">IFERROR(
(MEDIAN((IF(DATOS_[[Sexo]:[Sexo]]=$B17,IF(DATOS_[[AGRUP. VALOR. PTO.]:[AGRUP. VALOR. PTO.]]=$B15,IF(DATOS_[[Check Periodo Ref.]:[Check Periodo Ref.]]="Dentro",IF(DATOS_[[Check Equiparado]:[Check Equiparado]]="Sí",IF(DATOS!BC$5="Sí",(1/DATOS_[[% anualiz]:[% anualiz]]),1)*IF(DATOS!BC$4="Sí",1/DATOS_[[% normaliz]:[% normaliz]],1)*(DATOS_[Conc.Sal.25])))))))),
0)</f>
        <v>0</v>
      </c>
      <c r="AI17" s="111">
        <f t="array" ref="AI17">IFERROR(
(MEDIAN((IF(DATOS_[[Sexo]:[Sexo]]=$B17,IF(DATOS_[[AGRUP. VALOR. PTO.]:[AGRUP. VALOR. PTO.]]=$B15,IF(DATOS_[[Check Periodo Ref.]:[Check Periodo Ref.]]="Dentro",IF(DATOS_[[Check Equiparado]:[Check Equiparado]]="Sí",IF(DATOS!BD$5="Sí",(1/DATOS_[[% anualiz]:[% anualiz]]),1)*IF(DATOS!BD$4="Sí",1/DATOS_[[% normaliz]:[% normaliz]],1)*(DATOS_[Conc.Sal.26])))))))),
0)</f>
        <v>0</v>
      </c>
      <c r="AJ17" s="111">
        <f t="array" ref="AJ17">IFERROR(
(MEDIAN((IF(DATOS_[[Sexo]:[Sexo]]=$B17,IF(DATOS_[[AGRUP. VALOR. PTO.]:[AGRUP. VALOR. PTO.]]=$B15,IF(DATOS_[[Check Periodo Ref.]:[Check Periodo Ref.]]="Dentro",IF(DATOS_[[Check Equiparado]:[Check Equiparado]]="Sí",IF(DATOS!BE$5="Sí",(1/DATOS_[[% anualiz]:[% anualiz]]),1)*IF(DATOS!BE$4="Sí",1/DATOS_[[% normaliz]:[% normaliz]],1)*(DATOS_[Conc.Sal.27])))))))),
0)</f>
        <v>0</v>
      </c>
      <c r="AK17" s="111">
        <f t="array" ref="AK17">IFERROR(
(MEDIAN((IF(DATOS_[[Sexo]:[Sexo]]=$B17,IF(DATOS_[[AGRUP. VALOR. PTO.]:[AGRUP. VALOR. PTO.]]=$B15,IF(DATOS_[[Check Periodo Ref.]:[Check Periodo Ref.]]="Dentro",IF(DATOS_[[Check Equiparado]:[Check Equiparado]]="Sí",IF(DATOS!BF$5="Sí",(1/DATOS_[[% anualiz]:[% anualiz]]),1)*IF(DATOS!BF$4="Sí",1/DATOS_[[% normaliz]:[% normaliz]],1)*(DATOS_[Conc.Sal.28])))))))),
0)</f>
        <v>0</v>
      </c>
      <c r="AL17" s="111">
        <f t="array" ref="AL17">IFERROR(
(MEDIAN((IF(DATOS_[[Sexo]:[Sexo]]=$B17,IF(DATOS_[[AGRUP. VALOR. PTO.]:[AGRUP. VALOR. PTO.]]=$B15,IF(DATOS_[[Check Periodo Ref.]:[Check Periodo Ref.]]="Dentro",IF(DATOS_[[Check Equiparado]:[Check Equiparado]]="Sí",IF(DATOS!BG$5="Sí",(1/DATOS_[[% anualiz]:[% anualiz]]),1)*IF(DATOS!BG$4="Sí",1/DATOS_[[% normaliz]:[% normaliz]],1)*(DATOS_[Conc.Sal.29])))))))),
0)</f>
        <v>0</v>
      </c>
      <c r="AM17" s="111">
        <f t="array" ref="AM17">IFERROR(
(MEDIAN((IF(DATOS_[[Sexo]:[Sexo]]=$B17,IF(DATOS_[[AGRUP. VALOR. PTO.]:[AGRUP. VALOR. PTO.]]=$B15,IF(DATOS_[[Check Periodo Ref.]:[Check Periodo Ref.]]="Dentro",IF(DATOS_[[Check Equiparado]:[Check Equiparado]]="Sí",IF(DATOS!BH$5="Sí",(1/DATOS_[[% anualiz]:[% anualiz]]),1)*IF(DATOS!BH$4="Sí",1/DATOS_[[% normaliz]:[% normaliz]],1)*(DATOS_[Conc.Sal.30])))))))),
0)</f>
        <v>0</v>
      </c>
      <c r="AN17" s="112">
        <f t="array" ref="AN17">IFERROR(
MEDIAN(IF(DATOS_[Sexo]=$B17,IF(DATOS_[[AGRUP. VALOR. PTO.]:[AGRUP. VALOR. PTO.]]=$B15,IF(DATOS_[Check Equiparado]="Sí",IF(DATOS_[Check Periodo Ref.]="Dentro",DATOS_[Tot COMPL.SAL Eq],FALSE))))),
0)</f>
        <v>20425.684400000002</v>
      </c>
      <c r="AO17" s="113">
        <f t="array" ref="AO17">IFERROR(
MEDIAN(IF(DATOS_[Sexo]=$B17,IF(DATOS_[[AGRUP. VALOR. PTO.]:[AGRUP. VALOR. PTO.]]=$B15,IF(DATOS_[Check Equiparado]="Sí",IF(DATOS_[Check Periodo Ref.]="Dentro",DATOS_[TOTAL SALARIO Eq],FALSE))))),
0)</f>
        <v>38973.054400000001</v>
      </c>
      <c r="AP17" s="114">
        <f t="array" ref="AP17">IFERROR(
(MEDIAN((IF(DATOS_[[Sexo]:[Sexo]]=$B17,IF(DATOS_[[AGRUP. VALOR. PTO.]:[AGRUP. VALOR. PTO.]]=$B15,IF(DATOS_[[Check Periodo Ref.]:[Check Periodo Ref.]]="Dentro",IF(DATOS_[[Check Equiparado]:[Check Equiparado]]="Sí",IF(DATOS!BI$5="Sí",(1/DATOS_[[% anualiz]:[% anualiz]]),1)*IF(DATOS!BI$4="Sí",1/DATOS_[[% normaliz]:[% normaliz]],1)*(DATOS_[C.Extra.01])))))))),
0)</f>
        <v>0</v>
      </c>
      <c r="AQ17" s="114">
        <f t="array" ref="AQ17">IFERROR(
(MEDIAN((IF(DATOS_[[Sexo]:[Sexo]]=$B17,IF(DATOS_[[AGRUP. VALOR. PTO.]:[AGRUP. VALOR. PTO.]]=$B15,IF(DATOS_[[Check Periodo Ref.]:[Check Periodo Ref.]]="Dentro",IF(DATOS_[[Check Equiparado]:[Check Equiparado]]="Sí",IF(DATOS!BJ$5="Sí",(1/DATOS_[[% anualiz]:[% anualiz]]),1)*IF(DATOS!BJ$4="Sí",1/DATOS_[[% normaliz]:[% normaliz]],1)*(DATOS_[C.Extra.02])))))))),
0)</f>
        <v>0</v>
      </c>
      <c r="AR17" s="114">
        <f t="array" ref="AR17">IFERROR(
(MEDIAN((IF(DATOS_[[Sexo]:[Sexo]]=$B17,IF(DATOS_[[AGRUP. VALOR. PTO.]:[AGRUP. VALOR. PTO.]]=$B15,IF(DATOS_[[Check Periodo Ref.]:[Check Periodo Ref.]]="Dentro",IF(DATOS_[[Check Equiparado]:[Check Equiparado]]="Sí",IF(DATOS!BK$5="Sí",(1/DATOS_[[% anualiz]:[% anualiz]]),1)*IF(DATOS!BK$4="Sí",1/DATOS_[[% normaliz]:[% normaliz]],1)*(DATOS_[C.Extra.03])))))))),
0)</f>
        <v>0</v>
      </c>
      <c r="AS17" s="114">
        <f t="array" ref="AS17">IFERROR(
(MEDIAN((IF(DATOS_[[Sexo]:[Sexo]]=$B17,IF(DATOS_[[AGRUP. VALOR. PTO.]:[AGRUP. VALOR. PTO.]]=$B15,IF(DATOS_[[Check Periodo Ref.]:[Check Periodo Ref.]]="Dentro",IF(DATOS_[[Check Equiparado]:[Check Equiparado]]="Sí",IF(DATOS!BL$5="Sí",(1/DATOS_[[% anualiz]:[% anualiz]]),1)*IF(DATOS!BL$4="Sí",1/DATOS_[[% normaliz]:[% normaliz]],1)*(DATOS_[C.Extra.04])))))))),
0)</f>
        <v>0</v>
      </c>
      <c r="AT17" s="114">
        <f t="array" ref="AT17">IFERROR(
(MEDIAN((IF(DATOS_[[Sexo]:[Sexo]]=$B17,IF(DATOS_[[AGRUP. VALOR. PTO.]:[AGRUP. VALOR. PTO.]]=$B15,IF(DATOS_[[Check Periodo Ref.]:[Check Periodo Ref.]]="Dentro",IF(DATOS_[[Check Equiparado]:[Check Equiparado]]="Sí",IF(DATOS!BM$5="Sí",(1/DATOS_[[% anualiz]:[% anualiz]]),1)*IF(DATOS!BM$4="Sí",1/DATOS_[[% normaliz]:[% normaliz]],1)*(DATOS_[C.Extra.05])))))))),
0)</f>
        <v>0</v>
      </c>
      <c r="AU17" s="115">
        <f t="array" ref="AU17">IFERROR(
MEDIAN(IF(DATOS_[Sexo]=$B17,IF(DATOS_[[AGRUP. VALOR. PTO.]:[AGRUP. VALOR. PTO.]]=$B15,IF(DATOS_[Check Equiparado]="Sí",IF(DATOS_[Check Periodo Ref.]="Dentro",DATOS_[Tot Extrasalarial Eq],FALSE))))),
0)</f>
        <v>0</v>
      </c>
      <c r="AV17" s="116">
        <f t="array" ref="AV17">IFERROR(
MEDIAN(IF(DATOS_[Sexo]=$B17,IF(DATOS_[[AGRUP. VALOR. PTO.]:[AGRUP. VALOR. PTO.]]=$B15,IF(DATOS_[Check Equiparado]="Sí",IF(DATOS_[Check Periodo Ref.]="Dentro",DATOS_[TOTAL Retrib Eq],FALSE))))),
0)</f>
        <v>38973.054400000001</v>
      </c>
    </row>
    <row r="18" spans="1:48" ht="17.25" thickBot="1" x14ac:dyDescent="0.35">
      <c r="A18" s="42" t="str">
        <f t="shared" ref="A18" si="7">+A19</f>
        <v/>
      </c>
      <c r="B18" s="90" t="s">
        <v>304</v>
      </c>
      <c r="C18" s="109"/>
      <c r="D18" s="41"/>
      <c r="E18" s="41"/>
      <c r="F18" s="41"/>
      <c r="G18" s="41"/>
      <c r="H18" s="41"/>
      <c r="I18" s="119">
        <f t="shared" ref="I18:AV18" si="8">IFERROR((I19-I20)/I19,"")</f>
        <v>0</v>
      </c>
      <c r="J18" s="123">
        <f t="shared" si="8"/>
        <v>0.27063332731605833</v>
      </c>
      <c r="K18" s="123">
        <f t="shared" si="8"/>
        <v>0.33333333333333331</v>
      </c>
      <c r="L18" s="123" t="str">
        <f t="shared" si="8"/>
        <v/>
      </c>
      <c r="M18" s="123">
        <f t="shared" si="8"/>
        <v>-0.25</v>
      </c>
      <c r="N18" s="123" t="str">
        <f t="shared" si="8"/>
        <v/>
      </c>
      <c r="O18" s="123" t="str">
        <f t="shared" si="8"/>
        <v/>
      </c>
      <c r="P18" s="123">
        <f t="shared" si="8"/>
        <v>0</v>
      </c>
      <c r="Q18" s="123" t="str">
        <f t="shared" si="8"/>
        <v/>
      </c>
      <c r="R18" s="123" t="str">
        <f t="shared" si="8"/>
        <v/>
      </c>
      <c r="S18" s="123" t="str">
        <f t="shared" si="8"/>
        <v/>
      </c>
      <c r="T18" s="123" t="str">
        <f t="shared" si="8"/>
        <v/>
      </c>
      <c r="U18" s="123" t="str">
        <f t="shared" si="8"/>
        <v/>
      </c>
      <c r="V18" s="123" t="str">
        <f t="shared" si="8"/>
        <v/>
      </c>
      <c r="W18" s="123" t="str">
        <f t="shared" si="8"/>
        <v/>
      </c>
      <c r="X18" s="123" t="str">
        <f t="shared" si="8"/>
        <v/>
      </c>
      <c r="Y18" s="123" t="str">
        <f t="shared" si="8"/>
        <v/>
      </c>
      <c r="Z18" s="122" t="str">
        <f t="shared" si="8"/>
        <v/>
      </c>
      <c r="AA18" s="122" t="str">
        <f t="shared" si="8"/>
        <v/>
      </c>
      <c r="AB18" s="122" t="str">
        <f t="shared" si="8"/>
        <v/>
      </c>
      <c r="AC18" s="122" t="str">
        <f t="shared" si="8"/>
        <v/>
      </c>
      <c r="AD18" s="122" t="str">
        <f t="shared" si="8"/>
        <v/>
      </c>
      <c r="AE18" s="122" t="str">
        <f t="shared" si="8"/>
        <v/>
      </c>
      <c r="AF18" s="122" t="str">
        <f t="shared" si="8"/>
        <v/>
      </c>
      <c r="AG18" s="122" t="str">
        <f t="shared" si="8"/>
        <v/>
      </c>
      <c r="AH18" s="122" t="str">
        <f t="shared" si="8"/>
        <v/>
      </c>
      <c r="AI18" s="122" t="str">
        <f t="shared" si="8"/>
        <v/>
      </c>
      <c r="AJ18" s="122" t="str">
        <f t="shared" si="8"/>
        <v/>
      </c>
      <c r="AK18" s="122" t="str">
        <f t="shared" si="8"/>
        <v/>
      </c>
      <c r="AL18" s="122" t="str">
        <f t="shared" si="8"/>
        <v/>
      </c>
      <c r="AM18" s="122" t="str">
        <f t="shared" si="8"/>
        <v/>
      </c>
      <c r="AN18" s="124">
        <f t="shared" si="8"/>
        <v>0.15374927354055612</v>
      </c>
      <c r="AO18" s="128">
        <f t="shared" si="8"/>
        <v>8.3556125887690874E-2</v>
      </c>
      <c r="AP18" s="125" t="str">
        <f t="shared" si="8"/>
        <v/>
      </c>
      <c r="AQ18" s="125" t="str">
        <f t="shared" si="8"/>
        <v/>
      </c>
      <c r="AR18" s="125" t="str">
        <f t="shared" si="8"/>
        <v/>
      </c>
      <c r="AS18" s="125" t="str">
        <f t="shared" si="8"/>
        <v/>
      </c>
      <c r="AT18" s="125" t="str">
        <f t="shared" si="8"/>
        <v/>
      </c>
      <c r="AU18" s="126" t="str">
        <f t="shared" si="8"/>
        <v/>
      </c>
      <c r="AV18" s="127">
        <f t="shared" si="8"/>
        <v>8.3556125887690874E-2</v>
      </c>
    </row>
    <row r="19" spans="1:48" x14ac:dyDescent="0.3">
      <c r="A19" s="42" t="str">
        <f t="shared" ref="A19" si="9">+IF(C19+C20=0,"[ocultar]","")</f>
        <v/>
      </c>
      <c r="B19" s="86" t="s">
        <v>162</v>
      </c>
      <c r="C19" s="33">
        <f t="array" ref="C19">SUM(IF($B19=DATOS_[Sexo],
IF($B18=DATOS_[AGRUP. VALOR. PTO.],
IF("Dentro"=DATOS_[Check Periodo Ref.],
1/(COUNTIFS(DATOS_[Sexo],$B19,DATOS_[AGRUP. VALOR. PTO.],$B18,DATOS_[Check Periodo Ref.],"Dentro",DATOS_[id],DATOS_[id]))))))</f>
        <v>3</v>
      </c>
      <c r="D19" s="35">
        <f>COUNTIFS(DATOS_[AGRUP. VALOR. PTO.],$B18,DATOS_[Sexo],$B19,DATOS_[Check Periodo Ref.],"Dentro")</f>
        <v>3</v>
      </c>
      <c r="E19" s="35">
        <f>COUNTIFS(DATOS_[AGRUP. VALOR. PTO.],$B18,DATOS_[Sexo],$B19,DATOS_[Check Periodo Ref.],"Dentro",DATOS_[Check Nº SC Norm],"Sí")</f>
        <v>0</v>
      </c>
      <c r="F19" s="35">
        <f>COUNTIFS(DATOS_[AGRUP. VALOR. PTO.],$B18,DATOS_[Sexo],$B19,DATOS_[Check Periodo Ref.],"Dentro",DATOS_[Check Nº SC Anualiz],"Sí")</f>
        <v>0</v>
      </c>
      <c r="G19" s="35">
        <f>COUNTIFS(DATOS_[AGRUP. VALOR. PTO.],$B18,DATOS_[Sexo],$B19,DATOS_[Check Periodo Ref.],"Dentro",DATOS_[Check Nº SC Norm y Anualiz],"Sí")</f>
        <v>0</v>
      </c>
      <c r="H19" s="35">
        <f>COUNTIFS(DATOS_[AGRUP. VALOR. PTO.],$B18,DATOS_[Sexo],$B19,DATOS_[Check Periodo Ref.],"Dentro",DATOS_[Check Equiparación],"Sí")</f>
        <v>0</v>
      </c>
      <c r="I19" s="110">
        <f t="array" ref="I19">IFERROR(
MEDIAN(IF(DATOS_[Sexo]=$B19,IF(DATOS_[[AGRUP. VALOR. PTO.]:[AGRUP. VALOR. PTO.]]=$B18,IF(DATOS_[Check Equiparado]="Sí",IF(DATOS_[Check Periodo Ref.]="Dentro",DATOS_[SALARIO BASE Eq],FALSE))))),
0)</f>
        <v>18547.37</v>
      </c>
      <c r="J19" s="111">
        <f t="array" ref="J19">IFERROR(
(MEDIAN((IF(DATOS_[[Sexo]:[Sexo]]=$B19,IF(DATOS_[[AGRUP. VALOR. PTO.]:[AGRUP. VALOR. PTO.]]=$B18,IF(DATOS_[[Check Periodo Ref.]:[Check Periodo Ref.]]="Dentro",IF(DATOS_[[Check Equiparado]:[Check Equiparado]]="Sí",IF(DATOS!AE$5="Sí",(1/DATOS_[[% anualiz]:[% anualiz]]),1)*IF(DATOS!AE$4="Sí",1/DATOS_[[% normaliz]:[% normaliz]],1)*(DATOS_[Conc.Sal.01])))))))),
0)</f>
        <v>16452.63</v>
      </c>
      <c r="K19" s="111">
        <f t="array" ref="K19">IFERROR(
(MEDIAN((IF(DATOS_[[Sexo]:[Sexo]]=$B19,IF(DATOS_[[AGRUP. VALOR. PTO.]:[AGRUP. VALOR. PTO.]]=$B18,IF(DATOS_[[Check Periodo Ref.]:[Check Periodo Ref.]]="Dentro",IF(DATOS_[[Check Equiparado]:[Check Equiparado]]="Sí",IF(DATOS!AF$5="Sí",(1/DATOS_[[% anualiz]:[% anualiz]]),1)*IF(DATOS!AF$4="Sí",1/DATOS_[[% normaliz]:[% normaliz]],1)*(DATOS_[Conc.Sal.02])))))))),
0)</f>
        <v>2225.6843999999996</v>
      </c>
      <c r="L19" s="111">
        <f t="array" ref="L19">IFERROR(
(MEDIAN((IF(DATOS_[[Sexo]:[Sexo]]=$B19,IF(DATOS_[[AGRUP. VALOR. PTO.]:[AGRUP. VALOR. PTO.]]=$B18,IF(DATOS_[[Check Periodo Ref.]:[Check Periodo Ref.]]="Dentro",IF(DATOS_[[Check Equiparado]:[Check Equiparado]]="Sí",IF(DATOS!AG$5="Sí",(1/DATOS_[[% anualiz]:[% anualiz]]),1)*IF(DATOS!AG$4="Sí",1/DATOS_[[% normaliz]:[% normaliz]],1)*(DATOS_[Conc.Sal.03])))))))),
0)</f>
        <v>0</v>
      </c>
      <c r="M19" s="111">
        <f t="array" ref="M19">IFERROR(
(MEDIAN((IF(DATOS_[[Sexo]:[Sexo]]=$B19,IF(DATOS_[[AGRUP. VALOR. PTO.]:[AGRUP. VALOR. PTO.]]=$B18,IF(DATOS_[[Check Periodo Ref.]:[Check Periodo Ref.]]="Dentro",IF(DATOS_[[Check Equiparado]:[Check Equiparado]]="Sí",IF(DATOS!AH$5="Sí",(1/DATOS_[[% anualiz]:[% anualiz]]),1)*IF(DATOS!AH$4="Sí",1/DATOS_[[% normaliz]:[% normaliz]],1)*(DATOS_[Conc.Sal.04])))))))),
0)</f>
        <v>3200</v>
      </c>
      <c r="N19" s="111">
        <f t="array" ref="N19">IFERROR(
(MEDIAN((IF(DATOS_[[Sexo]:[Sexo]]=$B19,IF(DATOS_[[AGRUP. VALOR. PTO.]:[AGRUP. VALOR. PTO.]]=$B18,IF(DATOS_[[Check Periodo Ref.]:[Check Periodo Ref.]]="Dentro",IF(DATOS_[[Check Equiparado]:[Check Equiparado]]="Sí",IF(DATOS!AI$5="Sí",(1/DATOS_[[% anualiz]:[% anualiz]]),1)*IF(DATOS!AI$4="Sí",1/DATOS_[[% normaliz]:[% normaliz]],1)*(DATOS_[Conc.Sal.05])))))))),
0)</f>
        <v>0</v>
      </c>
      <c r="O19" s="111">
        <f t="array" ref="O19">IFERROR(
(MEDIAN((IF(DATOS_[[Sexo]:[Sexo]]=$B19,IF(DATOS_[[AGRUP. VALOR. PTO.]:[AGRUP. VALOR. PTO.]]=$B18,IF(DATOS_[[Check Periodo Ref.]:[Check Periodo Ref.]]="Dentro",IF(DATOS_[[Check Equiparado]:[Check Equiparado]]="Sí",IF(DATOS!AJ$5="Sí",(1/DATOS_[[% anualiz]:[% anualiz]]),1)*IF(DATOS!AJ$4="Sí",1/DATOS_[[% normaliz]:[% normaliz]],1)*(DATOS_[Conc.Sal.06])))))))),
0)</f>
        <v>0</v>
      </c>
      <c r="P19" s="111">
        <f t="array" ref="P19">IFERROR(
(MEDIAN((IF(DATOS_[[Sexo]:[Sexo]]=$B19,IF(DATOS_[[AGRUP. VALOR. PTO.]:[AGRUP. VALOR. PTO.]]=$B18,IF(DATOS_[[Check Periodo Ref.]:[Check Periodo Ref.]]="Dentro",IF(DATOS_[[Check Equiparado]:[Check Equiparado]]="Sí",IF(DATOS!AK$5="Sí",(1/DATOS_[[% anualiz]:[% anualiz]]),1)*IF(DATOS!AK$4="Sí",1/DATOS_[[% normaliz]:[% normaliz]],1)*(DATOS_[Conc.Sal.07])))))))),
0)</f>
        <v>200</v>
      </c>
      <c r="Q19" s="111">
        <f t="array" ref="Q19">IFERROR(
(MEDIAN((IF(DATOS_[[Sexo]:[Sexo]]=$B19,IF(DATOS_[[AGRUP. VALOR. PTO.]:[AGRUP. VALOR. PTO.]]=$B18,IF(DATOS_[[Check Periodo Ref.]:[Check Periodo Ref.]]="Dentro",IF(DATOS_[[Check Equiparado]:[Check Equiparado]]="Sí",IF(DATOS!AL$5="Sí",(1/DATOS_[[% anualiz]:[% anualiz]]),1)*IF(DATOS!AL$4="Sí",1/DATOS_[[% normaliz]:[% normaliz]],1)*(DATOS_[Conc.Sal.08])))))))),
0)</f>
        <v>0</v>
      </c>
      <c r="R19" s="111">
        <f t="array" ref="R19">IFERROR(
(MEDIAN((IF(DATOS_[[Sexo]:[Sexo]]=$B19,IF(DATOS_[[AGRUP. VALOR. PTO.]:[AGRUP. VALOR. PTO.]]=$B18,IF(DATOS_[[Check Periodo Ref.]:[Check Periodo Ref.]]="Dentro",IF(DATOS_[[Check Equiparado]:[Check Equiparado]]="Sí",IF(DATOS!AM$5="Sí",(1/DATOS_[[% anualiz]:[% anualiz]]),1)*IF(DATOS!AM$4="Sí",1/DATOS_[[% normaliz]:[% normaliz]],1)*(DATOS_[Conc.Sal.09])))))))),
0)</f>
        <v>0</v>
      </c>
      <c r="S19" s="111">
        <f t="array" ref="S19">IFERROR(
(MEDIAN((IF(DATOS_[[Sexo]:[Sexo]]=$B19,IF(DATOS_[[AGRUP. VALOR. PTO.]:[AGRUP. VALOR. PTO.]]=$B18,IF(DATOS_[[Check Periodo Ref.]:[Check Periodo Ref.]]="Dentro",IF(DATOS_[[Check Equiparado]:[Check Equiparado]]="Sí",IF(DATOS!AN$5="Sí",(1/DATOS_[[% anualiz]:[% anualiz]]),1)*IF(DATOS!AN$4="Sí",1/DATOS_[[% normaliz]:[% normaliz]],1)*(DATOS_[Conc.Sal.10])))))))),
0)</f>
        <v>0</v>
      </c>
      <c r="T19" s="111">
        <f t="array" ref="T19">IFERROR(
(MEDIAN((IF(DATOS_[[Sexo]:[Sexo]]=$B19,IF(DATOS_[[AGRUP. VALOR. PTO.]:[AGRUP. VALOR. PTO.]]=$B18,IF(DATOS_[[Check Periodo Ref.]:[Check Periodo Ref.]]="Dentro",IF(DATOS_[[Check Equiparado]:[Check Equiparado]]="Sí",IF(DATOS!AO$5="Sí",(1/DATOS_[[% anualiz]:[% anualiz]]),1)*IF(DATOS!AO$4="Sí",1/DATOS_[[% normaliz]:[% normaliz]],1)*(DATOS_[Conc.Sal.11])))))))),
0)</f>
        <v>0</v>
      </c>
      <c r="U19" s="111">
        <f t="array" ref="U19">IFERROR(
(MEDIAN((IF(DATOS_[[Sexo]:[Sexo]]=$B19,IF(DATOS_[[AGRUP. VALOR. PTO.]:[AGRUP. VALOR. PTO.]]=$B18,IF(DATOS_[[Check Periodo Ref.]:[Check Periodo Ref.]]="Dentro",IF(DATOS_[[Check Equiparado]:[Check Equiparado]]="Sí",IF(DATOS!AP$5="Sí",(1/DATOS_[[% anualiz]:[% anualiz]]),1)*IF(DATOS!AP$4="Sí",1/DATOS_[[% normaliz]:[% normaliz]],1)*(DATOS_[Conc.Sal.12])))))))),
0)</f>
        <v>0</v>
      </c>
      <c r="V19" s="111">
        <f t="array" ref="V19">IFERROR(
(MEDIAN((IF(DATOS_[[Sexo]:[Sexo]]=$B19,IF(DATOS_[[AGRUP. VALOR. PTO.]:[AGRUP. VALOR. PTO.]]=$B18,IF(DATOS_[[Check Periodo Ref.]:[Check Periodo Ref.]]="Dentro",IF(DATOS_[[Check Equiparado]:[Check Equiparado]]="Sí",IF(DATOS!AQ$5="Sí",(1/DATOS_[[% anualiz]:[% anualiz]]),1)*IF(DATOS!AQ$4="Sí",1/DATOS_[[% normaliz]:[% normaliz]],1)*(DATOS_[Conc.Sal.13])))))))),
0)</f>
        <v>0</v>
      </c>
      <c r="W19" s="111">
        <f t="array" ref="W19">IFERROR(
(MEDIAN((IF(DATOS_[[Sexo]:[Sexo]]=$B19,IF(DATOS_[[AGRUP. VALOR. PTO.]:[AGRUP. VALOR. PTO.]]=$B18,IF(DATOS_[[Check Periodo Ref.]:[Check Periodo Ref.]]="Dentro",IF(DATOS_[[Check Equiparado]:[Check Equiparado]]="Sí",IF(DATOS!AR$5="Sí",(1/DATOS_[[% anualiz]:[% anualiz]]),1)*IF(DATOS!AR$4="Sí",1/DATOS_[[% normaliz]:[% normaliz]],1)*(DATOS_[Conc.Sal.14])))))))),
0)</f>
        <v>0</v>
      </c>
      <c r="X19" s="111">
        <f t="array" ref="X19">IFERROR(
(MEDIAN((IF(DATOS_[[Sexo]:[Sexo]]=$B19,IF(DATOS_[[AGRUP. VALOR. PTO.]:[AGRUP. VALOR. PTO.]]=$B18,IF(DATOS_[[Check Periodo Ref.]:[Check Periodo Ref.]]="Dentro",IF(DATOS_[[Check Equiparado]:[Check Equiparado]]="Sí",IF(DATOS!AS$5="Sí",(1/DATOS_[[% anualiz]:[% anualiz]]),1)*IF(DATOS!AS$4="Sí",1/DATOS_[[% normaliz]:[% normaliz]],1)*(DATOS_[Conc.Sal.15])))))))),
0)</f>
        <v>0</v>
      </c>
      <c r="Y19" s="111">
        <f t="array" ref="Y19">IFERROR(
(MEDIAN((IF(DATOS_[[Sexo]:[Sexo]]=$B19,IF(DATOS_[[AGRUP. VALOR. PTO.]:[AGRUP. VALOR. PTO.]]=$B18,IF(DATOS_[[Check Periodo Ref.]:[Check Periodo Ref.]]="Dentro",IF(DATOS_[[Check Equiparado]:[Check Equiparado]]="Sí",IF(DATOS!AT$5="Sí",(1/DATOS_[[% anualiz]:[% anualiz]]),1)*IF(DATOS!AT$4="Sí",1/DATOS_[[% normaliz]:[% normaliz]],1)*(DATOS_[Conc.Sal.16])))))))),
0)</f>
        <v>0</v>
      </c>
      <c r="Z19" s="111">
        <f t="array" ref="Z19">IFERROR(
(MEDIAN((IF(DATOS_[[Sexo]:[Sexo]]=$B19,IF(DATOS_[[AGRUP. VALOR. PTO.]:[AGRUP. VALOR. PTO.]]=$B18,IF(DATOS_[[Check Periodo Ref.]:[Check Periodo Ref.]]="Dentro",IF(DATOS_[[Check Equiparado]:[Check Equiparado]]="Sí",IF(DATOS!AU$5="Sí",(1/DATOS_[[% anualiz]:[% anualiz]]),1)*IF(DATOS!AU$4="Sí",1/DATOS_[[% normaliz]:[% normaliz]],1)*(DATOS_[Conc.Sal.17])))))))),
0)</f>
        <v>0</v>
      </c>
      <c r="AA19" s="111">
        <f t="array" ref="AA19">IFERROR(
(MEDIAN((IF(DATOS_[[Sexo]:[Sexo]]=$B19,IF(DATOS_[[AGRUP. VALOR. PTO.]:[AGRUP. VALOR. PTO.]]=$B18,IF(DATOS_[[Check Periodo Ref.]:[Check Periodo Ref.]]="Dentro",IF(DATOS_[[Check Equiparado]:[Check Equiparado]]="Sí",IF(DATOS!AV$5="Sí",(1/DATOS_[[% anualiz]:[% anualiz]]),1)*IF(DATOS!AV$4="Sí",1/DATOS_[[% normaliz]:[% normaliz]],1)*(DATOS_[Conc.Sal.18])))))))),
0)</f>
        <v>0</v>
      </c>
      <c r="AB19" s="111">
        <f t="array" ref="AB19">IFERROR(
(MEDIAN((IF(DATOS_[[Sexo]:[Sexo]]=$B19,IF(DATOS_[[AGRUP. VALOR. PTO.]:[AGRUP. VALOR. PTO.]]=$B18,IF(DATOS_[[Check Periodo Ref.]:[Check Periodo Ref.]]="Dentro",IF(DATOS_[[Check Equiparado]:[Check Equiparado]]="Sí",IF(DATOS!AW$5="Sí",(1/DATOS_[[% anualiz]:[% anualiz]]),1)*IF(DATOS!AW$4="Sí",1/DATOS_[[% normaliz]:[% normaliz]],1)*(DATOS_[Conc.Sal.19])))))))),
0)</f>
        <v>0</v>
      </c>
      <c r="AC19" s="111">
        <f t="array" ref="AC19">IFERROR(
(MEDIAN((IF(DATOS_[[Sexo]:[Sexo]]=$B19,IF(DATOS_[[AGRUP. VALOR. PTO.]:[AGRUP. VALOR. PTO.]]=$B18,IF(DATOS_[[Check Periodo Ref.]:[Check Periodo Ref.]]="Dentro",IF(DATOS_[[Check Equiparado]:[Check Equiparado]]="Sí",IF(DATOS!AX$5="Sí",(1/DATOS_[[% anualiz]:[% anualiz]]),1)*IF(DATOS!AX$4="Sí",1/DATOS_[[% normaliz]:[% normaliz]],1)*(DATOS_[Conc.Sal.20])))))))),
0)</f>
        <v>0</v>
      </c>
      <c r="AD19" s="111">
        <f t="array" ref="AD19">IFERROR(
(MEDIAN((IF(DATOS_[[Sexo]:[Sexo]]=$B19,IF(DATOS_[[AGRUP. VALOR. PTO.]:[AGRUP. VALOR. PTO.]]=$B18,IF(DATOS_[[Check Periodo Ref.]:[Check Periodo Ref.]]="Dentro",IF(DATOS_[[Check Equiparado]:[Check Equiparado]]="Sí",IF(DATOS!AY$5="Sí",(1/DATOS_[[% anualiz]:[% anualiz]]),1)*IF(DATOS!AY$4="Sí",1/DATOS_[[% normaliz]:[% normaliz]],1)*(DATOS_[Conc.Sal.21])))))))),
0)</f>
        <v>0</v>
      </c>
      <c r="AE19" s="111">
        <f t="array" ref="AE19">IFERROR(
(MEDIAN((IF(DATOS_[[Sexo]:[Sexo]]=$B19,IF(DATOS_[[AGRUP. VALOR. PTO.]:[AGRUP. VALOR. PTO.]]=$B18,IF(DATOS_[[Check Periodo Ref.]:[Check Periodo Ref.]]="Dentro",IF(DATOS_[[Check Equiparado]:[Check Equiparado]]="Sí",IF(DATOS!AZ$5="Sí",(1/DATOS_[[% anualiz]:[% anualiz]]),1)*IF(DATOS!AZ$4="Sí",1/DATOS_[[% normaliz]:[% normaliz]],1)*(DATOS_[Conc.Sal.22])))))))),
0)</f>
        <v>0</v>
      </c>
      <c r="AF19" s="111">
        <f t="array" ref="AF19">IFERROR(
(MEDIAN((IF(DATOS_[[Sexo]:[Sexo]]=$B19,IF(DATOS_[[AGRUP. VALOR. PTO.]:[AGRUP. VALOR. PTO.]]=$B18,IF(DATOS_[[Check Periodo Ref.]:[Check Periodo Ref.]]="Dentro",IF(DATOS_[[Check Equiparado]:[Check Equiparado]]="Sí",IF(DATOS!BA$5="Sí",(1/DATOS_[[% anualiz]:[% anualiz]]),1)*IF(DATOS!BA$4="Sí",1/DATOS_[[% normaliz]:[% normaliz]],1)*(DATOS_[Conc.Sal.23])))))))),
0)</f>
        <v>0</v>
      </c>
      <c r="AG19" s="111">
        <f t="array" ref="AG19">IFERROR(
(MEDIAN((IF(DATOS_[[Sexo]:[Sexo]]=$B19,IF(DATOS_[[AGRUP. VALOR. PTO.]:[AGRUP. VALOR. PTO.]]=$B18,IF(DATOS_[[Check Periodo Ref.]:[Check Periodo Ref.]]="Dentro",IF(DATOS_[[Check Equiparado]:[Check Equiparado]]="Sí",IF(DATOS!BB$5="Sí",(1/DATOS_[[% anualiz]:[% anualiz]]),1)*IF(DATOS!BB$4="Sí",1/DATOS_[[% normaliz]:[% normaliz]],1)*(DATOS_[Conc.Sal.24])))))))),
0)</f>
        <v>0</v>
      </c>
      <c r="AH19" s="111">
        <f t="array" ref="AH19">IFERROR(
(MEDIAN((IF(DATOS_[[Sexo]:[Sexo]]=$B19,IF(DATOS_[[AGRUP. VALOR. PTO.]:[AGRUP. VALOR. PTO.]]=$B18,IF(DATOS_[[Check Periodo Ref.]:[Check Periodo Ref.]]="Dentro",IF(DATOS_[[Check Equiparado]:[Check Equiparado]]="Sí",IF(DATOS!BC$5="Sí",(1/DATOS_[[% anualiz]:[% anualiz]]),1)*IF(DATOS!BC$4="Sí",1/DATOS_[[% normaliz]:[% normaliz]],1)*(DATOS_[Conc.Sal.25])))))))),
0)</f>
        <v>0</v>
      </c>
      <c r="AI19" s="111">
        <f t="array" ref="AI19">IFERROR(
(MEDIAN((IF(DATOS_[[Sexo]:[Sexo]]=$B19,IF(DATOS_[[AGRUP. VALOR. PTO.]:[AGRUP. VALOR. PTO.]]=$B18,IF(DATOS_[[Check Periodo Ref.]:[Check Periodo Ref.]]="Dentro",IF(DATOS_[[Check Equiparado]:[Check Equiparado]]="Sí",IF(DATOS!BD$5="Sí",(1/DATOS_[[% anualiz]:[% anualiz]]),1)*IF(DATOS!BD$4="Sí",1/DATOS_[[% normaliz]:[% normaliz]],1)*(DATOS_[Conc.Sal.26])))))))),
0)</f>
        <v>0</v>
      </c>
      <c r="AJ19" s="111">
        <f t="array" ref="AJ19">IFERROR(
(MEDIAN((IF(DATOS_[[Sexo]:[Sexo]]=$B19,IF(DATOS_[[AGRUP. VALOR. PTO.]:[AGRUP. VALOR. PTO.]]=$B18,IF(DATOS_[[Check Periodo Ref.]:[Check Periodo Ref.]]="Dentro",IF(DATOS_[[Check Equiparado]:[Check Equiparado]]="Sí",IF(DATOS!BE$5="Sí",(1/DATOS_[[% anualiz]:[% anualiz]]),1)*IF(DATOS!BE$4="Sí",1/DATOS_[[% normaliz]:[% normaliz]],1)*(DATOS_[Conc.Sal.27])))))))),
0)</f>
        <v>0</v>
      </c>
      <c r="AK19" s="111">
        <f t="array" ref="AK19">IFERROR(
(MEDIAN((IF(DATOS_[[Sexo]:[Sexo]]=$B19,IF(DATOS_[[AGRUP. VALOR. PTO.]:[AGRUP. VALOR. PTO.]]=$B18,IF(DATOS_[[Check Periodo Ref.]:[Check Periodo Ref.]]="Dentro",IF(DATOS_[[Check Equiparado]:[Check Equiparado]]="Sí",IF(DATOS!BF$5="Sí",(1/DATOS_[[% anualiz]:[% anualiz]]),1)*IF(DATOS!BF$4="Sí",1/DATOS_[[% normaliz]:[% normaliz]],1)*(DATOS_[Conc.Sal.28])))))))),
0)</f>
        <v>0</v>
      </c>
      <c r="AL19" s="111">
        <f t="array" ref="AL19">IFERROR(
(MEDIAN((IF(DATOS_[[Sexo]:[Sexo]]=$B19,IF(DATOS_[[AGRUP. VALOR. PTO.]:[AGRUP. VALOR. PTO.]]=$B18,IF(DATOS_[[Check Periodo Ref.]:[Check Periodo Ref.]]="Dentro",IF(DATOS_[[Check Equiparado]:[Check Equiparado]]="Sí",IF(DATOS!BG$5="Sí",(1/DATOS_[[% anualiz]:[% anualiz]]),1)*IF(DATOS!BG$4="Sí",1/DATOS_[[% normaliz]:[% normaliz]],1)*(DATOS_[Conc.Sal.29])))))))),
0)</f>
        <v>0</v>
      </c>
      <c r="AM19" s="111">
        <f t="array" ref="AM19">IFERROR(
(MEDIAN((IF(DATOS_[[Sexo]:[Sexo]]=$B19,IF(DATOS_[[AGRUP. VALOR. PTO.]:[AGRUP. VALOR. PTO.]]=$B18,IF(DATOS_[[Check Periodo Ref.]:[Check Periodo Ref.]]="Dentro",IF(DATOS_[[Check Equiparado]:[Check Equiparado]]="Sí",IF(DATOS!BH$5="Sí",(1/DATOS_[[% anualiz]:[% anualiz]]),1)*IF(DATOS!BH$4="Sí",1/DATOS_[[% normaliz]:[% normaliz]],1)*(DATOS_[Conc.Sal.30])))))))),
0)</f>
        <v>0</v>
      </c>
      <c r="AN19" s="112">
        <f t="array" ref="AN19">IFERROR(
MEDIAN(IF(DATOS_[Sexo]=$B19,IF(DATOS_[[AGRUP. VALOR. PTO.]:[AGRUP. VALOR. PTO.]]=$B18,IF(DATOS_[Check Equiparado]="Sí",IF(DATOS_[Check Periodo Ref.]="Dentro",DATOS_[Tot COMPL.SAL Eq],FALSE))))),
0)</f>
        <v>22078.314399999999</v>
      </c>
      <c r="AO19" s="113">
        <f t="array" ref="AO19">IFERROR(
MEDIAN(IF(DATOS_[Sexo]=$B19,IF(DATOS_[[AGRUP. VALOR. PTO.]:[AGRUP. VALOR. PTO.]]=$B18,IF(DATOS_[Check Equiparado]="Sí",IF(DATOS_[Check Periodo Ref.]="Dentro",DATOS_[TOTAL SALARIO Eq],FALSE))))),
0)</f>
        <v>40625.684399999998</v>
      </c>
      <c r="AP19" s="114">
        <f t="array" ref="AP19">IFERROR(
(MEDIAN((IF(DATOS_[[Sexo]:[Sexo]]=$B19,IF(DATOS_[[AGRUP. VALOR. PTO.]:[AGRUP. VALOR. PTO.]]=$B18,IF(DATOS_[[Check Periodo Ref.]:[Check Periodo Ref.]]="Dentro",IF(DATOS_[[Check Equiparado]:[Check Equiparado]]="Sí",IF(DATOS!BI$5="Sí",(1/DATOS_[[% anualiz]:[% anualiz]]),1)*IF(DATOS!BI$4="Sí",1/DATOS_[[% normaliz]:[% normaliz]],1)*(DATOS_[C.Extra.01])))))))),
0)</f>
        <v>0</v>
      </c>
      <c r="AQ19" s="114">
        <f t="array" ref="AQ19">IFERROR(
(MEDIAN((IF(DATOS_[[Sexo]:[Sexo]]=$B19,IF(DATOS_[[AGRUP. VALOR. PTO.]:[AGRUP. VALOR. PTO.]]=$B18,IF(DATOS_[[Check Periodo Ref.]:[Check Periodo Ref.]]="Dentro",IF(DATOS_[[Check Equiparado]:[Check Equiparado]]="Sí",IF(DATOS!BJ$5="Sí",(1/DATOS_[[% anualiz]:[% anualiz]]),1)*IF(DATOS!BJ$4="Sí",1/DATOS_[[% normaliz]:[% normaliz]],1)*(DATOS_[C.Extra.02])))))))),
0)</f>
        <v>0</v>
      </c>
      <c r="AR19" s="114">
        <f t="array" ref="AR19">IFERROR(
(MEDIAN((IF(DATOS_[[Sexo]:[Sexo]]=$B19,IF(DATOS_[[AGRUP. VALOR. PTO.]:[AGRUP. VALOR. PTO.]]=$B18,IF(DATOS_[[Check Periodo Ref.]:[Check Periodo Ref.]]="Dentro",IF(DATOS_[[Check Equiparado]:[Check Equiparado]]="Sí",IF(DATOS!BK$5="Sí",(1/DATOS_[[% anualiz]:[% anualiz]]),1)*IF(DATOS!BK$4="Sí",1/DATOS_[[% normaliz]:[% normaliz]],1)*(DATOS_[C.Extra.03])))))))),
0)</f>
        <v>0</v>
      </c>
      <c r="AS19" s="114">
        <f t="array" ref="AS19">IFERROR(
(MEDIAN((IF(DATOS_[[Sexo]:[Sexo]]=$B19,IF(DATOS_[[AGRUP. VALOR. PTO.]:[AGRUP. VALOR. PTO.]]=$B18,IF(DATOS_[[Check Periodo Ref.]:[Check Periodo Ref.]]="Dentro",IF(DATOS_[[Check Equiparado]:[Check Equiparado]]="Sí",IF(DATOS!BL$5="Sí",(1/DATOS_[[% anualiz]:[% anualiz]]),1)*IF(DATOS!BL$4="Sí",1/DATOS_[[% normaliz]:[% normaliz]],1)*(DATOS_[C.Extra.04])))))))),
0)</f>
        <v>0</v>
      </c>
      <c r="AT19" s="114">
        <f t="array" ref="AT19">IFERROR(
(MEDIAN((IF(DATOS_[[Sexo]:[Sexo]]=$B19,IF(DATOS_[[AGRUP. VALOR. PTO.]:[AGRUP. VALOR. PTO.]]=$B18,IF(DATOS_[[Check Periodo Ref.]:[Check Periodo Ref.]]="Dentro",IF(DATOS_[[Check Equiparado]:[Check Equiparado]]="Sí",IF(DATOS!BM$5="Sí",(1/DATOS_[[% anualiz]:[% anualiz]]),1)*IF(DATOS!BM$4="Sí",1/DATOS_[[% normaliz]:[% normaliz]],1)*(DATOS_[C.Extra.05])))))))),
0)</f>
        <v>0</v>
      </c>
      <c r="AU19" s="115">
        <f t="array" ref="AU19">IFERROR(
MEDIAN(IF(DATOS_[Sexo]=$B19,IF(DATOS_[[AGRUP. VALOR. PTO.]:[AGRUP. VALOR. PTO.]]=$B18,IF(DATOS_[Check Equiparado]="Sí",IF(DATOS_[Check Periodo Ref.]="Dentro",DATOS_[Tot Extrasalarial Eq],FALSE))))),
0)</f>
        <v>0</v>
      </c>
      <c r="AV19" s="116">
        <f t="array" ref="AV19">IFERROR(
MEDIAN(IF(DATOS_[Sexo]=$B19,IF(DATOS_[[AGRUP. VALOR. PTO.]:[AGRUP. VALOR. PTO.]]=$B18,IF(DATOS_[Check Equiparado]="Sí",IF(DATOS_[Check Periodo Ref.]="Dentro",DATOS_[TOTAL Retrib Eq],FALSE))))),
0)</f>
        <v>40625.684399999998</v>
      </c>
    </row>
    <row r="20" spans="1:48" x14ac:dyDescent="0.3">
      <c r="A20" s="42" t="str">
        <f t="shared" ref="A20" si="10">+A19</f>
        <v/>
      </c>
      <c r="B20" s="86" t="s">
        <v>163</v>
      </c>
      <c r="C20" s="33">
        <f t="array" ref="C20">SUM(IF($B20=DATOS_[Sexo],
IF($B18=DATOS_[AGRUP. VALOR. PTO.],
IF("Dentro"=DATOS_[Check Periodo Ref.],
1/(COUNTIFS(DATOS_[Sexo],$B20,DATOS_[AGRUP. VALOR. PTO.],$B18,DATOS_[Check Periodo Ref.],"Dentro",DATOS_[id],DATOS_[id]))))))</f>
        <v>4</v>
      </c>
      <c r="D20" s="35">
        <f>COUNTIFS(DATOS_[AGRUP. VALOR. PTO.],$B18,DATOS_[Sexo],$B20,DATOS_[Check Periodo Ref.],"Dentro")</f>
        <v>4</v>
      </c>
      <c r="E20" s="35">
        <f>COUNTIFS(DATOS_[AGRUP. VALOR. PTO.],$B18,DATOS_[Sexo],$B20,DATOS_[Check Periodo Ref.],"Dentro",DATOS_[Check Nº SC Norm],"Sí")</f>
        <v>0</v>
      </c>
      <c r="F20" s="35">
        <f>COUNTIFS(DATOS_[AGRUP. VALOR. PTO.],$B18,DATOS_[Sexo],$B20,DATOS_[Check Periodo Ref.],"Dentro",DATOS_[Check Nº SC Anualiz],"Sí")</f>
        <v>1</v>
      </c>
      <c r="G20" s="35">
        <f>COUNTIFS(DATOS_[AGRUP. VALOR. PTO.],$B18,DATOS_[Sexo],$B20,DATOS_[Check Periodo Ref.],"Dentro",DATOS_[Check Nº SC Norm y Anualiz],"Sí")</f>
        <v>0</v>
      </c>
      <c r="H20" s="35">
        <f>COUNTIFS(DATOS_[AGRUP. VALOR. PTO.],$B18,DATOS_[Sexo],$B20,DATOS_[Check Periodo Ref.],"Dentro",DATOS_[Check Equiparación],"Sí")</f>
        <v>1</v>
      </c>
      <c r="I20" s="110" cm="1">
        <f t="array" ref="I20">IFERROR(
MEDIAN(IF(DATOS_[Sexo]=$B20,IF(DATOS_[[AGRUP. VALOR. PTO.]:[AGRUP. VALOR. PTO.]]=$B18,IF(DATOS_[Check Equiparado]="Sí",IF(DATOS_[Check Periodo Ref.]="Dentro",DATOS_[SALARIO BASE Eq],FALSE))))),
0)</f>
        <v>18547.37</v>
      </c>
      <c r="J20" s="111">
        <f t="array" ref="J20">IFERROR(
(MEDIAN((IF(DATOS_[[Sexo]:[Sexo]]=$B20,IF(DATOS_[[AGRUP. VALOR. PTO.]:[AGRUP. VALOR. PTO.]]=$B18,IF(DATOS_[[Check Periodo Ref.]:[Check Periodo Ref.]]="Dentro",IF(DATOS_[[Check Equiparado]:[Check Equiparado]]="Sí",IF(DATOS!AE$5="Sí",(1/DATOS_[[% anualiz]:[% anualiz]]),1)*IF(DATOS!AE$4="Sí",1/DATOS_[[% normaliz]:[% normaliz]],1)*(DATOS_[Conc.Sal.01])))))))),
0)</f>
        <v>12000</v>
      </c>
      <c r="K20" s="111">
        <f t="array" ref="K20">IFERROR(
(MEDIAN((IF(DATOS_[[Sexo]:[Sexo]]=$B20,IF(DATOS_[[AGRUP. VALOR. PTO.]:[AGRUP. VALOR. PTO.]]=$B18,IF(DATOS_[[Check Periodo Ref.]:[Check Periodo Ref.]]="Dentro",IF(DATOS_[[Check Equiparado]:[Check Equiparado]]="Sí",IF(DATOS!AF$5="Sí",(1/DATOS_[[% anualiz]:[% anualiz]]),1)*IF(DATOS!AF$4="Sí",1/DATOS_[[% normaliz]:[% normaliz]],1)*(DATOS_[Conc.Sal.02])))))))),
0)</f>
        <v>1483.7895999999998</v>
      </c>
      <c r="L20" s="111">
        <f t="array" ref="L20">IFERROR(
(MEDIAN((IF(DATOS_[[Sexo]:[Sexo]]=$B20,IF(DATOS_[[AGRUP. VALOR. PTO.]:[AGRUP. VALOR. PTO.]]=$B18,IF(DATOS_[[Check Periodo Ref.]:[Check Periodo Ref.]]="Dentro",IF(DATOS_[[Check Equiparado]:[Check Equiparado]]="Sí",IF(DATOS!AG$5="Sí",(1/DATOS_[[% anualiz]:[% anualiz]]),1)*IF(DATOS!AG$4="Sí",1/DATOS_[[% normaliz]:[% normaliz]],1)*(DATOS_[Conc.Sal.03])))))))),
0)</f>
        <v>0</v>
      </c>
      <c r="M20" s="111">
        <f t="array" ref="M20">IFERROR(
(MEDIAN((IF(DATOS_[[Sexo]:[Sexo]]=$B20,IF(DATOS_[[AGRUP. VALOR. PTO.]:[AGRUP. VALOR. PTO.]]=$B18,IF(DATOS_[[Check Periodo Ref.]:[Check Periodo Ref.]]="Dentro",IF(DATOS_[[Check Equiparado]:[Check Equiparado]]="Sí",IF(DATOS!AH$5="Sí",(1/DATOS_[[% anualiz]:[% anualiz]]),1)*IF(DATOS!AH$4="Sí",1/DATOS_[[% normaliz]:[% normaliz]],1)*(DATOS_[Conc.Sal.04])))))))),
0)</f>
        <v>4000</v>
      </c>
      <c r="N20" s="111">
        <f t="array" ref="N20">IFERROR(
(MEDIAN((IF(DATOS_[[Sexo]:[Sexo]]=$B20,IF(DATOS_[[AGRUP. VALOR. PTO.]:[AGRUP. VALOR. PTO.]]=$B18,IF(DATOS_[[Check Periodo Ref.]:[Check Periodo Ref.]]="Dentro",IF(DATOS_[[Check Equiparado]:[Check Equiparado]]="Sí",IF(DATOS!AI$5="Sí",(1/DATOS_[[% anualiz]:[% anualiz]]),1)*IF(DATOS!AI$4="Sí",1/DATOS_[[% normaliz]:[% normaliz]],1)*(DATOS_[Conc.Sal.05])))))))),
0)</f>
        <v>0</v>
      </c>
      <c r="O20" s="111">
        <f t="array" ref="O20">IFERROR(
(MEDIAN((IF(DATOS_[[Sexo]:[Sexo]]=$B20,IF(DATOS_[[AGRUP. VALOR. PTO.]:[AGRUP. VALOR. PTO.]]=$B18,IF(DATOS_[[Check Periodo Ref.]:[Check Periodo Ref.]]="Dentro",IF(DATOS_[[Check Equiparado]:[Check Equiparado]]="Sí",IF(DATOS!AJ$5="Sí",(1/DATOS_[[% anualiz]:[% anualiz]]),1)*IF(DATOS!AJ$4="Sí",1/DATOS_[[% normaliz]:[% normaliz]],1)*(DATOS_[Conc.Sal.06])))))))),
0)</f>
        <v>0</v>
      </c>
      <c r="P20" s="111">
        <f t="array" ref="P20">IFERROR(
(MEDIAN((IF(DATOS_[[Sexo]:[Sexo]]=$B20,IF(DATOS_[[AGRUP. VALOR. PTO.]:[AGRUP. VALOR. PTO.]]=$B18,IF(DATOS_[[Check Periodo Ref.]:[Check Periodo Ref.]]="Dentro",IF(DATOS_[[Check Equiparado]:[Check Equiparado]]="Sí",IF(DATOS!AK$5="Sí",(1/DATOS_[[% anualiz]:[% anualiz]]),1)*IF(DATOS!AK$4="Sí",1/DATOS_[[% normaliz]:[% normaliz]],1)*(DATOS_[Conc.Sal.07])))))))),
0)</f>
        <v>200</v>
      </c>
      <c r="Q20" s="111">
        <f t="array" ref="Q20">IFERROR(
(MEDIAN((IF(DATOS_[[Sexo]:[Sexo]]=$B20,IF(DATOS_[[AGRUP. VALOR. PTO.]:[AGRUP. VALOR. PTO.]]=$B18,IF(DATOS_[[Check Periodo Ref.]:[Check Periodo Ref.]]="Dentro",IF(DATOS_[[Check Equiparado]:[Check Equiparado]]="Sí",IF(DATOS!AL$5="Sí",(1/DATOS_[[% anualiz]:[% anualiz]]),1)*IF(DATOS!AL$4="Sí",1/DATOS_[[% normaliz]:[% normaliz]],1)*(DATOS_[Conc.Sal.08])))))))),
0)</f>
        <v>0</v>
      </c>
      <c r="R20" s="111">
        <f t="array" ref="R20">IFERROR(
(MEDIAN((IF(DATOS_[[Sexo]:[Sexo]]=$B20,IF(DATOS_[[AGRUP. VALOR. PTO.]:[AGRUP. VALOR. PTO.]]=$B18,IF(DATOS_[[Check Periodo Ref.]:[Check Periodo Ref.]]="Dentro",IF(DATOS_[[Check Equiparado]:[Check Equiparado]]="Sí",IF(DATOS!AM$5="Sí",(1/DATOS_[[% anualiz]:[% anualiz]]),1)*IF(DATOS!AM$4="Sí",1/DATOS_[[% normaliz]:[% normaliz]],1)*(DATOS_[Conc.Sal.09])))))))),
0)</f>
        <v>0</v>
      </c>
      <c r="S20" s="111">
        <f t="array" ref="S20">IFERROR(
(MEDIAN((IF(DATOS_[[Sexo]:[Sexo]]=$B20,IF(DATOS_[[AGRUP. VALOR. PTO.]:[AGRUP. VALOR. PTO.]]=$B18,IF(DATOS_[[Check Periodo Ref.]:[Check Periodo Ref.]]="Dentro",IF(DATOS_[[Check Equiparado]:[Check Equiparado]]="Sí",IF(DATOS!AN$5="Sí",(1/DATOS_[[% anualiz]:[% anualiz]]),1)*IF(DATOS!AN$4="Sí",1/DATOS_[[% normaliz]:[% normaliz]],1)*(DATOS_[Conc.Sal.10])))))))),
0)</f>
        <v>0</v>
      </c>
      <c r="T20" s="111">
        <f t="array" ref="T20">IFERROR(
(MEDIAN((IF(DATOS_[[Sexo]:[Sexo]]=$B20,IF(DATOS_[[AGRUP. VALOR. PTO.]:[AGRUP. VALOR. PTO.]]=$B18,IF(DATOS_[[Check Periodo Ref.]:[Check Periodo Ref.]]="Dentro",IF(DATOS_[[Check Equiparado]:[Check Equiparado]]="Sí",IF(DATOS!AO$5="Sí",(1/DATOS_[[% anualiz]:[% anualiz]]),1)*IF(DATOS!AO$4="Sí",1/DATOS_[[% normaliz]:[% normaliz]],1)*(DATOS_[Conc.Sal.11])))))))),
0)</f>
        <v>0</v>
      </c>
      <c r="U20" s="111">
        <f t="array" ref="U20">IFERROR(
(MEDIAN((IF(DATOS_[[Sexo]:[Sexo]]=$B20,IF(DATOS_[[AGRUP. VALOR. PTO.]:[AGRUP. VALOR. PTO.]]=$B18,IF(DATOS_[[Check Periodo Ref.]:[Check Periodo Ref.]]="Dentro",IF(DATOS_[[Check Equiparado]:[Check Equiparado]]="Sí",IF(DATOS!AP$5="Sí",(1/DATOS_[[% anualiz]:[% anualiz]]),1)*IF(DATOS!AP$4="Sí",1/DATOS_[[% normaliz]:[% normaliz]],1)*(DATOS_[Conc.Sal.12])))))))),
0)</f>
        <v>0</v>
      </c>
      <c r="V20" s="111">
        <f t="array" ref="V20">IFERROR(
(MEDIAN((IF(DATOS_[[Sexo]:[Sexo]]=$B20,IF(DATOS_[[AGRUP. VALOR. PTO.]:[AGRUP. VALOR. PTO.]]=$B18,IF(DATOS_[[Check Periodo Ref.]:[Check Periodo Ref.]]="Dentro",IF(DATOS_[[Check Equiparado]:[Check Equiparado]]="Sí",IF(DATOS!AQ$5="Sí",(1/DATOS_[[% anualiz]:[% anualiz]]),1)*IF(DATOS!AQ$4="Sí",1/DATOS_[[% normaliz]:[% normaliz]],1)*(DATOS_[Conc.Sal.13])))))))),
0)</f>
        <v>0</v>
      </c>
      <c r="W20" s="111">
        <f t="array" ref="W20">IFERROR(
(MEDIAN((IF(DATOS_[[Sexo]:[Sexo]]=$B20,IF(DATOS_[[AGRUP. VALOR. PTO.]:[AGRUP. VALOR. PTO.]]=$B18,IF(DATOS_[[Check Periodo Ref.]:[Check Periodo Ref.]]="Dentro",IF(DATOS_[[Check Equiparado]:[Check Equiparado]]="Sí",IF(DATOS!AR$5="Sí",(1/DATOS_[[% anualiz]:[% anualiz]]),1)*IF(DATOS!AR$4="Sí",1/DATOS_[[% normaliz]:[% normaliz]],1)*(DATOS_[Conc.Sal.14])))))))),
0)</f>
        <v>0</v>
      </c>
      <c r="X20" s="111">
        <f t="array" ref="X20">IFERROR(
(MEDIAN((IF(DATOS_[[Sexo]:[Sexo]]=$B20,IF(DATOS_[[AGRUP. VALOR. PTO.]:[AGRUP. VALOR. PTO.]]=$B18,IF(DATOS_[[Check Periodo Ref.]:[Check Periodo Ref.]]="Dentro",IF(DATOS_[[Check Equiparado]:[Check Equiparado]]="Sí",IF(DATOS!AS$5="Sí",(1/DATOS_[[% anualiz]:[% anualiz]]),1)*IF(DATOS!AS$4="Sí",1/DATOS_[[% normaliz]:[% normaliz]],1)*(DATOS_[Conc.Sal.15])))))))),
0)</f>
        <v>0</v>
      </c>
      <c r="Y20" s="111">
        <f t="array" ref="Y20">IFERROR(
(MEDIAN((IF(DATOS_[[Sexo]:[Sexo]]=$B20,IF(DATOS_[[AGRUP. VALOR. PTO.]:[AGRUP. VALOR. PTO.]]=$B18,IF(DATOS_[[Check Periodo Ref.]:[Check Periodo Ref.]]="Dentro",IF(DATOS_[[Check Equiparado]:[Check Equiparado]]="Sí",IF(DATOS!AT$5="Sí",(1/DATOS_[[% anualiz]:[% anualiz]]),1)*IF(DATOS!AT$4="Sí",1/DATOS_[[% normaliz]:[% normaliz]],1)*(DATOS_[Conc.Sal.16])))))))),
0)</f>
        <v>0</v>
      </c>
      <c r="Z20" s="111">
        <f t="array" ref="Z20">IFERROR(
(MEDIAN((IF(DATOS_[[Sexo]:[Sexo]]=$B20,IF(DATOS_[[AGRUP. VALOR. PTO.]:[AGRUP. VALOR. PTO.]]=$B18,IF(DATOS_[[Check Periodo Ref.]:[Check Periodo Ref.]]="Dentro",IF(DATOS_[[Check Equiparado]:[Check Equiparado]]="Sí",IF(DATOS!AU$5="Sí",(1/DATOS_[[% anualiz]:[% anualiz]]),1)*IF(DATOS!AU$4="Sí",1/DATOS_[[% normaliz]:[% normaliz]],1)*(DATOS_[Conc.Sal.17])))))))),
0)</f>
        <v>0</v>
      </c>
      <c r="AA20" s="111">
        <f t="array" ref="AA20">IFERROR(
(MEDIAN((IF(DATOS_[[Sexo]:[Sexo]]=$B20,IF(DATOS_[[AGRUP. VALOR. PTO.]:[AGRUP. VALOR. PTO.]]=$B18,IF(DATOS_[[Check Periodo Ref.]:[Check Periodo Ref.]]="Dentro",IF(DATOS_[[Check Equiparado]:[Check Equiparado]]="Sí",IF(DATOS!AV$5="Sí",(1/DATOS_[[% anualiz]:[% anualiz]]),1)*IF(DATOS!AV$4="Sí",1/DATOS_[[% normaliz]:[% normaliz]],1)*(DATOS_[Conc.Sal.18])))))))),
0)</f>
        <v>0</v>
      </c>
      <c r="AB20" s="111">
        <f t="array" ref="AB20">IFERROR(
(MEDIAN((IF(DATOS_[[Sexo]:[Sexo]]=$B20,IF(DATOS_[[AGRUP. VALOR. PTO.]:[AGRUP. VALOR. PTO.]]=$B18,IF(DATOS_[[Check Periodo Ref.]:[Check Periodo Ref.]]="Dentro",IF(DATOS_[[Check Equiparado]:[Check Equiparado]]="Sí",IF(DATOS!AW$5="Sí",(1/DATOS_[[% anualiz]:[% anualiz]]),1)*IF(DATOS!AW$4="Sí",1/DATOS_[[% normaliz]:[% normaliz]],1)*(DATOS_[Conc.Sal.19])))))))),
0)</f>
        <v>0</v>
      </c>
      <c r="AC20" s="111">
        <f t="array" ref="AC20">IFERROR(
(MEDIAN((IF(DATOS_[[Sexo]:[Sexo]]=$B20,IF(DATOS_[[AGRUP. VALOR. PTO.]:[AGRUP. VALOR. PTO.]]=$B18,IF(DATOS_[[Check Periodo Ref.]:[Check Periodo Ref.]]="Dentro",IF(DATOS_[[Check Equiparado]:[Check Equiparado]]="Sí",IF(DATOS!AX$5="Sí",(1/DATOS_[[% anualiz]:[% anualiz]]),1)*IF(DATOS!AX$4="Sí",1/DATOS_[[% normaliz]:[% normaliz]],1)*(DATOS_[Conc.Sal.20])))))))),
0)</f>
        <v>0</v>
      </c>
      <c r="AD20" s="111">
        <f t="array" ref="AD20">IFERROR(
(MEDIAN((IF(DATOS_[[Sexo]:[Sexo]]=$B20,IF(DATOS_[[AGRUP. VALOR. PTO.]:[AGRUP. VALOR. PTO.]]=$B18,IF(DATOS_[[Check Periodo Ref.]:[Check Periodo Ref.]]="Dentro",IF(DATOS_[[Check Equiparado]:[Check Equiparado]]="Sí",IF(DATOS!AY$5="Sí",(1/DATOS_[[% anualiz]:[% anualiz]]),1)*IF(DATOS!AY$4="Sí",1/DATOS_[[% normaliz]:[% normaliz]],1)*(DATOS_[Conc.Sal.21])))))))),
0)</f>
        <v>0</v>
      </c>
      <c r="AE20" s="111">
        <f t="array" ref="AE20">IFERROR(
(MEDIAN((IF(DATOS_[[Sexo]:[Sexo]]=$B20,IF(DATOS_[[AGRUP. VALOR. PTO.]:[AGRUP. VALOR. PTO.]]=$B18,IF(DATOS_[[Check Periodo Ref.]:[Check Periodo Ref.]]="Dentro",IF(DATOS_[[Check Equiparado]:[Check Equiparado]]="Sí",IF(DATOS!AZ$5="Sí",(1/DATOS_[[% anualiz]:[% anualiz]]),1)*IF(DATOS!AZ$4="Sí",1/DATOS_[[% normaliz]:[% normaliz]],1)*(DATOS_[Conc.Sal.22])))))))),
0)</f>
        <v>0</v>
      </c>
      <c r="AF20" s="111">
        <f t="array" ref="AF20">IFERROR(
(MEDIAN((IF(DATOS_[[Sexo]:[Sexo]]=$B20,IF(DATOS_[[AGRUP. VALOR. PTO.]:[AGRUP. VALOR. PTO.]]=$B18,IF(DATOS_[[Check Periodo Ref.]:[Check Periodo Ref.]]="Dentro",IF(DATOS_[[Check Equiparado]:[Check Equiparado]]="Sí",IF(DATOS!BA$5="Sí",(1/DATOS_[[% anualiz]:[% anualiz]]),1)*IF(DATOS!BA$4="Sí",1/DATOS_[[% normaliz]:[% normaliz]],1)*(DATOS_[Conc.Sal.23])))))))),
0)</f>
        <v>0</v>
      </c>
      <c r="AG20" s="111">
        <f t="array" ref="AG20">IFERROR(
(MEDIAN((IF(DATOS_[[Sexo]:[Sexo]]=$B20,IF(DATOS_[[AGRUP. VALOR. PTO.]:[AGRUP. VALOR. PTO.]]=$B18,IF(DATOS_[[Check Periodo Ref.]:[Check Periodo Ref.]]="Dentro",IF(DATOS_[[Check Equiparado]:[Check Equiparado]]="Sí",IF(DATOS!BB$5="Sí",(1/DATOS_[[% anualiz]:[% anualiz]]),1)*IF(DATOS!BB$4="Sí",1/DATOS_[[% normaliz]:[% normaliz]],1)*(DATOS_[Conc.Sal.24])))))))),
0)</f>
        <v>0</v>
      </c>
      <c r="AH20" s="111">
        <f t="array" ref="AH20">IFERROR(
(MEDIAN((IF(DATOS_[[Sexo]:[Sexo]]=$B20,IF(DATOS_[[AGRUP. VALOR. PTO.]:[AGRUP. VALOR. PTO.]]=$B18,IF(DATOS_[[Check Periodo Ref.]:[Check Periodo Ref.]]="Dentro",IF(DATOS_[[Check Equiparado]:[Check Equiparado]]="Sí",IF(DATOS!BC$5="Sí",(1/DATOS_[[% anualiz]:[% anualiz]]),1)*IF(DATOS!BC$4="Sí",1/DATOS_[[% normaliz]:[% normaliz]],1)*(DATOS_[Conc.Sal.25])))))))),
0)</f>
        <v>0</v>
      </c>
      <c r="AI20" s="111">
        <f t="array" ref="AI20">IFERROR(
(MEDIAN((IF(DATOS_[[Sexo]:[Sexo]]=$B20,IF(DATOS_[[AGRUP. VALOR. PTO.]:[AGRUP. VALOR. PTO.]]=$B18,IF(DATOS_[[Check Periodo Ref.]:[Check Periodo Ref.]]="Dentro",IF(DATOS_[[Check Equiparado]:[Check Equiparado]]="Sí",IF(DATOS!BD$5="Sí",(1/DATOS_[[% anualiz]:[% anualiz]]),1)*IF(DATOS!BD$4="Sí",1/DATOS_[[% normaliz]:[% normaliz]],1)*(DATOS_[Conc.Sal.26])))))))),
0)</f>
        <v>0</v>
      </c>
      <c r="AJ20" s="111">
        <f t="array" ref="AJ20">IFERROR(
(MEDIAN((IF(DATOS_[[Sexo]:[Sexo]]=$B20,IF(DATOS_[[AGRUP. VALOR. PTO.]:[AGRUP. VALOR. PTO.]]=$B18,IF(DATOS_[[Check Periodo Ref.]:[Check Periodo Ref.]]="Dentro",IF(DATOS_[[Check Equiparado]:[Check Equiparado]]="Sí",IF(DATOS!BE$5="Sí",(1/DATOS_[[% anualiz]:[% anualiz]]),1)*IF(DATOS!BE$4="Sí",1/DATOS_[[% normaliz]:[% normaliz]],1)*(DATOS_[Conc.Sal.27])))))))),
0)</f>
        <v>0</v>
      </c>
      <c r="AK20" s="111">
        <f t="array" ref="AK20">IFERROR(
(MEDIAN((IF(DATOS_[[Sexo]:[Sexo]]=$B20,IF(DATOS_[[AGRUP. VALOR. PTO.]:[AGRUP. VALOR. PTO.]]=$B18,IF(DATOS_[[Check Periodo Ref.]:[Check Periodo Ref.]]="Dentro",IF(DATOS_[[Check Equiparado]:[Check Equiparado]]="Sí",IF(DATOS!BF$5="Sí",(1/DATOS_[[% anualiz]:[% anualiz]]),1)*IF(DATOS!BF$4="Sí",1/DATOS_[[% normaliz]:[% normaliz]],1)*(DATOS_[Conc.Sal.28])))))))),
0)</f>
        <v>0</v>
      </c>
      <c r="AL20" s="111">
        <f t="array" ref="AL20">IFERROR(
(MEDIAN((IF(DATOS_[[Sexo]:[Sexo]]=$B20,IF(DATOS_[[AGRUP. VALOR. PTO.]:[AGRUP. VALOR. PTO.]]=$B18,IF(DATOS_[[Check Periodo Ref.]:[Check Periodo Ref.]]="Dentro",IF(DATOS_[[Check Equiparado]:[Check Equiparado]]="Sí",IF(DATOS!BG$5="Sí",(1/DATOS_[[% anualiz]:[% anualiz]]),1)*IF(DATOS!BG$4="Sí",1/DATOS_[[% normaliz]:[% normaliz]],1)*(DATOS_[Conc.Sal.29])))))))),
0)</f>
        <v>0</v>
      </c>
      <c r="AM20" s="111">
        <f t="array" ref="AM20">IFERROR(
(MEDIAN((IF(DATOS_[[Sexo]:[Sexo]]=$B20,IF(DATOS_[[AGRUP. VALOR. PTO.]:[AGRUP. VALOR. PTO.]]=$B18,IF(DATOS_[[Check Periodo Ref.]:[Check Periodo Ref.]]="Dentro",IF(DATOS_[[Check Equiparado]:[Check Equiparado]]="Sí",IF(DATOS!BH$5="Sí",(1/DATOS_[[% anualiz]:[% anualiz]]),1)*IF(DATOS!BH$4="Sí",1/DATOS_[[% normaliz]:[% normaliz]],1)*(DATOS_[Conc.Sal.30])))))))),
0)</f>
        <v>0</v>
      </c>
      <c r="AN20" s="112">
        <f t="array" ref="AN20">IFERROR(
MEDIAN(IF(DATOS_[Sexo]=$B20,IF(DATOS_[[AGRUP. VALOR. PTO.]:[AGRUP. VALOR. PTO.]]=$B18,IF(DATOS_[Check Equiparado]="Sí",IF(DATOS_[Check Periodo Ref.]="Dentro",DATOS_[Tot COMPL.SAL Eq],FALSE))))),
0)</f>
        <v>18683.7896</v>
      </c>
      <c r="AO20" s="113">
        <f t="array" ref="AO20">IFERROR(
MEDIAN(IF(DATOS_[Sexo]=$B20,IF(DATOS_[[AGRUP. VALOR. PTO.]:[AGRUP. VALOR. PTO.]]=$B18,IF(DATOS_[Check Equiparado]="Sí",IF(DATOS_[Check Periodo Ref.]="Dentro",DATOS_[TOTAL SALARIO Eq],FALSE))))),
0)</f>
        <v>37231.159599999999</v>
      </c>
      <c r="AP20" s="114">
        <f t="array" ref="AP20">IFERROR(
(MEDIAN((IF(DATOS_[[Sexo]:[Sexo]]=$B20,IF(DATOS_[[AGRUP. VALOR. PTO.]:[AGRUP. VALOR. PTO.]]=$B18,IF(DATOS_[[Check Periodo Ref.]:[Check Periodo Ref.]]="Dentro",IF(DATOS_[[Check Equiparado]:[Check Equiparado]]="Sí",IF(DATOS!BI$5="Sí",(1/DATOS_[[% anualiz]:[% anualiz]]),1)*IF(DATOS!BI$4="Sí",1/DATOS_[[% normaliz]:[% normaliz]],1)*(DATOS_[C.Extra.01])))))))),
0)</f>
        <v>0</v>
      </c>
      <c r="AQ20" s="114">
        <f t="array" ref="AQ20">IFERROR(
(MEDIAN((IF(DATOS_[[Sexo]:[Sexo]]=$B20,IF(DATOS_[[AGRUP. VALOR. PTO.]:[AGRUP. VALOR. PTO.]]=$B18,IF(DATOS_[[Check Periodo Ref.]:[Check Periodo Ref.]]="Dentro",IF(DATOS_[[Check Equiparado]:[Check Equiparado]]="Sí",IF(DATOS!BJ$5="Sí",(1/DATOS_[[% anualiz]:[% anualiz]]),1)*IF(DATOS!BJ$4="Sí",1/DATOS_[[% normaliz]:[% normaliz]],1)*(DATOS_[C.Extra.02])))))))),
0)</f>
        <v>0</v>
      </c>
      <c r="AR20" s="114">
        <f t="array" ref="AR20">IFERROR(
(MEDIAN((IF(DATOS_[[Sexo]:[Sexo]]=$B20,IF(DATOS_[[AGRUP. VALOR. PTO.]:[AGRUP. VALOR. PTO.]]=$B18,IF(DATOS_[[Check Periodo Ref.]:[Check Periodo Ref.]]="Dentro",IF(DATOS_[[Check Equiparado]:[Check Equiparado]]="Sí",IF(DATOS!BK$5="Sí",(1/DATOS_[[% anualiz]:[% anualiz]]),1)*IF(DATOS!BK$4="Sí",1/DATOS_[[% normaliz]:[% normaliz]],1)*(DATOS_[C.Extra.03])))))))),
0)</f>
        <v>0</v>
      </c>
      <c r="AS20" s="114">
        <f t="array" ref="AS20">IFERROR(
(MEDIAN((IF(DATOS_[[Sexo]:[Sexo]]=$B20,IF(DATOS_[[AGRUP. VALOR. PTO.]:[AGRUP. VALOR. PTO.]]=$B18,IF(DATOS_[[Check Periodo Ref.]:[Check Periodo Ref.]]="Dentro",IF(DATOS_[[Check Equiparado]:[Check Equiparado]]="Sí",IF(DATOS!BL$5="Sí",(1/DATOS_[[% anualiz]:[% anualiz]]),1)*IF(DATOS!BL$4="Sí",1/DATOS_[[% normaliz]:[% normaliz]],1)*(DATOS_[C.Extra.04])))))))),
0)</f>
        <v>0</v>
      </c>
      <c r="AT20" s="114">
        <f t="array" ref="AT20">IFERROR(
(MEDIAN((IF(DATOS_[[Sexo]:[Sexo]]=$B20,IF(DATOS_[[AGRUP. VALOR. PTO.]:[AGRUP. VALOR. PTO.]]=$B18,IF(DATOS_[[Check Periodo Ref.]:[Check Periodo Ref.]]="Dentro",IF(DATOS_[[Check Equiparado]:[Check Equiparado]]="Sí",IF(DATOS!BM$5="Sí",(1/DATOS_[[% anualiz]:[% anualiz]]),1)*IF(DATOS!BM$4="Sí",1/DATOS_[[% normaliz]:[% normaliz]],1)*(DATOS_[C.Extra.05])))))))),
0)</f>
        <v>0</v>
      </c>
      <c r="AU20" s="115">
        <f t="array" ref="AU20">IFERROR(
MEDIAN(IF(DATOS_[Sexo]=$B20,IF(DATOS_[[AGRUP. VALOR. PTO.]:[AGRUP. VALOR. PTO.]]=$B18,IF(DATOS_[Check Equiparado]="Sí",IF(DATOS_[Check Periodo Ref.]="Dentro",DATOS_[Tot Extrasalarial Eq],FALSE))))),
0)</f>
        <v>0</v>
      </c>
      <c r="AV20" s="116">
        <f t="array" ref="AV20">IFERROR(
MEDIAN(IF(DATOS_[Sexo]=$B20,IF(DATOS_[[AGRUP. VALOR. PTO.]:[AGRUP. VALOR. PTO.]]=$B18,IF(DATOS_[Check Equiparado]="Sí",IF(DATOS_[Check Periodo Ref.]="Dentro",DATOS_[TOTAL Retrib Eq],FALSE))))),
0)</f>
        <v>37231.159599999999</v>
      </c>
    </row>
    <row r="21" spans="1:48" ht="17.25" thickBot="1" x14ac:dyDescent="0.35">
      <c r="A21" s="42" t="str">
        <f t="shared" ref="A21" si="11">+A22</f>
        <v/>
      </c>
      <c r="B21" s="90" t="s">
        <v>310</v>
      </c>
      <c r="C21" s="109"/>
      <c r="D21" s="41"/>
      <c r="E21" s="41"/>
      <c r="F21" s="41"/>
      <c r="G21" s="41"/>
      <c r="H21" s="41"/>
      <c r="I21" s="119">
        <f t="shared" ref="I21:AV21" si="12">IFERROR((I22-I23)/I22,"")</f>
        <v>0</v>
      </c>
      <c r="J21" s="123">
        <f t="shared" si="12"/>
        <v>0.11615113279963105</v>
      </c>
      <c r="K21" s="123">
        <f t="shared" si="12"/>
        <v>-0.25000000000000006</v>
      </c>
      <c r="L21" s="123" t="str">
        <f t="shared" si="12"/>
        <v/>
      </c>
      <c r="M21" s="123" t="str">
        <f t="shared" si="12"/>
        <v/>
      </c>
      <c r="N21" s="123" t="str">
        <f t="shared" si="12"/>
        <v/>
      </c>
      <c r="O21" s="123" t="str">
        <f t="shared" si="12"/>
        <v/>
      </c>
      <c r="P21" s="123">
        <f t="shared" si="12"/>
        <v>0</v>
      </c>
      <c r="Q21" s="123" t="str">
        <f t="shared" si="12"/>
        <v/>
      </c>
      <c r="R21" s="123" t="str">
        <f t="shared" si="12"/>
        <v/>
      </c>
      <c r="S21" s="123" t="str">
        <f t="shared" si="12"/>
        <v/>
      </c>
      <c r="T21" s="123" t="str">
        <f t="shared" si="12"/>
        <v/>
      </c>
      <c r="U21" s="123" t="str">
        <f t="shared" si="12"/>
        <v/>
      </c>
      <c r="V21" s="123" t="str">
        <f t="shared" si="12"/>
        <v/>
      </c>
      <c r="W21" s="123" t="str">
        <f t="shared" si="12"/>
        <v/>
      </c>
      <c r="X21" s="123" t="str">
        <f t="shared" si="12"/>
        <v/>
      </c>
      <c r="Y21" s="123" t="str">
        <f t="shared" si="12"/>
        <v/>
      </c>
      <c r="Z21" s="122" t="str">
        <f t="shared" si="12"/>
        <v/>
      </c>
      <c r="AA21" s="122" t="str">
        <f t="shared" si="12"/>
        <v/>
      </c>
      <c r="AB21" s="122" t="str">
        <f t="shared" si="12"/>
        <v/>
      </c>
      <c r="AC21" s="122" t="str">
        <f t="shared" si="12"/>
        <v/>
      </c>
      <c r="AD21" s="122" t="str">
        <f t="shared" si="12"/>
        <v/>
      </c>
      <c r="AE21" s="122" t="str">
        <f t="shared" si="12"/>
        <v/>
      </c>
      <c r="AF21" s="122" t="str">
        <f t="shared" si="12"/>
        <v/>
      </c>
      <c r="AG21" s="122" t="str">
        <f t="shared" si="12"/>
        <v/>
      </c>
      <c r="AH21" s="122" t="str">
        <f t="shared" si="12"/>
        <v/>
      </c>
      <c r="AI21" s="122" t="str">
        <f t="shared" si="12"/>
        <v/>
      </c>
      <c r="AJ21" s="122" t="str">
        <f t="shared" si="12"/>
        <v/>
      </c>
      <c r="AK21" s="122" t="str">
        <f t="shared" si="12"/>
        <v/>
      </c>
      <c r="AL21" s="122" t="str">
        <f t="shared" si="12"/>
        <v/>
      </c>
      <c r="AM21" s="122" t="str">
        <f t="shared" si="12"/>
        <v/>
      </c>
      <c r="AN21" s="124">
        <f t="shared" si="12"/>
        <v>0</v>
      </c>
      <c r="AO21" s="128">
        <f t="shared" si="12"/>
        <v>0</v>
      </c>
      <c r="AP21" s="125" t="str">
        <f t="shared" si="12"/>
        <v/>
      </c>
      <c r="AQ21" s="125" t="str">
        <f t="shared" si="12"/>
        <v/>
      </c>
      <c r="AR21" s="125" t="str">
        <f t="shared" si="12"/>
        <v/>
      </c>
      <c r="AS21" s="125" t="str">
        <f t="shared" si="12"/>
        <v/>
      </c>
      <c r="AT21" s="125" t="str">
        <f t="shared" si="12"/>
        <v/>
      </c>
      <c r="AU21" s="126" t="str">
        <f t="shared" si="12"/>
        <v/>
      </c>
      <c r="AV21" s="127">
        <f t="shared" si="12"/>
        <v>0</v>
      </c>
    </row>
    <row r="22" spans="1:48" x14ac:dyDescent="0.3">
      <c r="A22" s="42" t="str">
        <f t="shared" ref="A22" si="13">+IF(C22+C23=0,"[ocultar]","")</f>
        <v/>
      </c>
      <c r="B22" s="86" t="s">
        <v>162</v>
      </c>
      <c r="C22" s="33">
        <f t="array" ref="C22">SUM(IF($B22=DATOS_[Sexo],
IF($B21=DATOS_[AGRUP. VALOR. PTO.],
IF("Dentro"=DATOS_[Check Periodo Ref.],
1/(COUNTIFS(DATOS_[Sexo],$B22,DATOS_[AGRUP. VALOR. PTO.],$B21,DATOS_[Check Periodo Ref.],"Dentro",DATOS_[id],DATOS_[id]))))))</f>
        <v>23</v>
      </c>
      <c r="D22" s="35">
        <f>COUNTIFS(DATOS_[AGRUP. VALOR. PTO.],$B21,DATOS_[Sexo],$B22,DATOS_[Check Periodo Ref.],"Dentro")</f>
        <v>24</v>
      </c>
      <c r="E22" s="35">
        <f>COUNTIFS(DATOS_[AGRUP. VALOR. PTO.],$B21,DATOS_[Sexo],$B22,DATOS_[Check Periodo Ref.],"Dentro",DATOS_[Check Nº SC Norm],"Sí")</f>
        <v>3</v>
      </c>
      <c r="F22" s="35">
        <f>COUNTIFS(DATOS_[AGRUP. VALOR. PTO.],$B21,DATOS_[Sexo],$B22,DATOS_[Check Periodo Ref.],"Dentro",DATOS_[Check Nº SC Anualiz],"Sí")</f>
        <v>1</v>
      </c>
      <c r="G22" s="35">
        <f>COUNTIFS(DATOS_[AGRUP. VALOR. PTO.],$B21,DATOS_[Sexo],$B22,DATOS_[Check Periodo Ref.],"Dentro",DATOS_[Check Nº SC Norm y Anualiz],"Sí")</f>
        <v>0</v>
      </c>
      <c r="H22" s="35">
        <f>COUNTIFS(DATOS_[AGRUP. VALOR. PTO.],$B21,DATOS_[Sexo],$B22,DATOS_[Check Periodo Ref.],"Dentro",DATOS_[Check Equiparación],"Sí")</f>
        <v>4</v>
      </c>
      <c r="I22" s="110">
        <f t="array" ref="I22">IFERROR(
MEDIAN(IF(DATOS_[Sexo]=$B22,IF(DATOS_[[AGRUP. VALOR. PTO.]:[AGRUP. VALOR. PTO.]]=$B21,IF(DATOS_[Check Equiparado]="Sí",IF(DATOS_[Check Periodo Ref.]="Dentro",DATOS_[SALARIO BASE Eq],FALSE))))),
0)</f>
        <v>17266.330000000002</v>
      </c>
      <c r="J22" s="111">
        <f t="array" ref="J22">IFERROR(
(MEDIAN((IF(DATOS_[[Sexo]:[Sexo]]=$B22,IF(DATOS_[[AGRUP. VALOR. PTO.]:[AGRUP. VALOR. PTO.]]=$B21,IF(DATOS_[[Check Periodo Ref.]:[Check Periodo Ref.]]="Dentro",IF(DATOS_[[Check Equiparado]:[Check Equiparado]]="Sí",IF(DATOS!AE$5="Sí",(1/DATOS_[[% anualiz]:[% anualiz]]),1)*IF(DATOS!AE$4="Sí",1/DATOS_[[% normaliz]:[% normaliz]],1)*(DATOS_[Conc.Sal.01])))))))),
0)</f>
        <v>3733.6699999999983</v>
      </c>
      <c r="K22" s="111">
        <f t="array" ref="K22">IFERROR(
(MEDIAN((IF(DATOS_[[Sexo]:[Sexo]]=$B22,IF(DATOS_[[AGRUP. VALOR. PTO.]:[AGRUP. VALOR. PTO.]]=$B21,IF(DATOS_[[Check Periodo Ref.]:[Check Periodo Ref.]]="Dentro",IF(DATOS_[[Check Equiparado]:[Check Equiparado]]="Sí",IF(DATOS!AF$5="Sí",(1/DATOS_[[% anualiz]:[% anualiz]]),1)*IF(DATOS!AF$4="Sí",1/DATOS_[[% normaliz]:[% normaliz]],1)*(DATOS_[Conc.Sal.02])))))))),
0)</f>
        <v>1381.3064000000002</v>
      </c>
      <c r="L22" s="111">
        <f t="array" ref="L22">IFERROR(
(MEDIAN((IF(DATOS_[[Sexo]:[Sexo]]=$B22,IF(DATOS_[[AGRUP. VALOR. PTO.]:[AGRUP. VALOR. PTO.]]=$B21,IF(DATOS_[[Check Periodo Ref.]:[Check Periodo Ref.]]="Dentro",IF(DATOS_[[Check Equiparado]:[Check Equiparado]]="Sí",IF(DATOS!AG$5="Sí",(1/DATOS_[[% anualiz]:[% anualiz]]),1)*IF(DATOS!AG$4="Sí",1/DATOS_[[% normaliz]:[% normaliz]],1)*(DATOS_[Conc.Sal.03])))))))),
0)</f>
        <v>0</v>
      </c>
      <c r="M22" s="111">
        <f t="array" ref="M22">IFERROR(
(MEDIAN((IF(DATOS_[[Sexo]:[Sexo]]=$B22,IF(DATOS_[[AGRUP. VALOR. PTO.]:[AGRUP. VALOR. PTO.]]=$B21,IF(DATOS_[[Check Periodo Ref.]:[Check Periodo Ref.]]="Dentro",IF(DATOS_[[Check Equiparado]:[Check Equiparado]]="Sí",IF(DATOS!AH$5="Sí",(1/DATOS_[[% anualiz]:[% anualiz]]),1)*IF(DATOS!AH$4="Sí",1/DATOS_[[% normaliz]:[% normaliz]],1)*(DATOS_[Conc.Sal.04])))))))),
0)</f>
        <v>0</v>
      </c>
      <c r="N22" s="111">
        <f t="array" ref="N22">IFERROR(
(MEDIAN((IF(DATOS_[[Sexo]:[Sexo]]=$B22,IF(DATOS_[[AGRUP. VALOR. PTO.]:[AGRUP. VALOR. PTO.]]=$B21,IF(DATOS_[[Check Periodo Ref.]:[Check Periodo Ref.]]="Dentro",IF(DATOS_[[Check Equiparado]:[Check Equiparado]]="Sí",IF(DATOS!AI$5="Sí",(1/DATOS_[[% anualiz]:[% anualiz]]),1)*IF(DATOS!AI$4="Sí",1/DATOS_[[% normaliz]:[% normaliz]],1)*(DATOS_[Conc.Sal.05])))))))),
0)</f>
        <v>0</v>
      </c>
      <c r="O22" s="111">
        <f t="array" ref="O22">IFERROR(
(MEDIAN((IF(DATOS_[[Sexo]:[Sexo]]=$B22,IF(DATOS_[[AGRUP. VALOR. PTO.]:[AGRUP. VALOR. PTO.]]=$B21,IF(DATOS_[[Check Periodo Ref.]:[Check Periodo Ref.]]="Dentro",IF(DATOS_[[Check Equiparado]:[Check Equiparado]]="Sí",IF(DATOS!AJ$5="Sí",(1/DATOS_[[% anualiz]:[% anualiz]]),1)*IF(DATOS!AJ$4="Sí",1/DATOS_[[% normaliz]:[% normaliz]],1)*(DATOS_[Conc.Sal.06])))))))),
0)</f>
        <v>0</v>
      </c>
      <c r="P22" s="111">
        <f t="array" ref="P22">IFERROR(
(MEDIAN((IF(DATOS_[[Sexo]:[Sexo]]=$B22,IF(DATOS_[[AGRUP. VALOR. PTO.]:[AGRUP. VALOR. PTO.]]=$B21,IF(DATOS_[[Check Periodo Ref.]:[Check Periodo Ref.]]="Dentro",IF(DATOS_[[Check Equiparado]:[Check Equiparado]]="Sí",IF(DATOS!AK$5="Sí",(1/DATOS_[[% anualiz]:[% anualiz]]),1)*IF(DATOS!AK$4="Sí",1/DATOS_[[% normaliz]:[% normaliz]],1)*(DATOS_[Conc.Sal.07])))))))),
0)</f>
        <v>80</v>
      </c>
      <c r="Q22" s="111">
        <f t="array" ref="Q22">IFERROR(
(MEDIAN((IF(DATOS_[[Sexo]:[Sexo]]=$B22,IF(DATOS_[[AGRUP. VALOR. PTO.]:[AGRUP. VALOR. PTO.]]=$B21,IF(DATOS_[[Check Periodo Ref.]:[Check Periodo Ref.]]="Dentro",IF(DATOS_[[Check Equiparado]:[Check Equiparado]]="Sí",IF(DATOS!AL$5="Sí",(1/DATOS_[[% anualiz]:[% anualiz]]),1)*IF(DATOS!AL$4="Sí",1/DATOS_[[% normaliz]:[% normaliz]],1)*(DATOS_[Conc.Sal.08])))))))),
0)</f>
        <v>0</v>
      </c>
      <c r="R22" s="111">
        <f t="array" ref="R22">IFERROR(
(MEDIAN((IF(DATOS_[[Sexo]:[Sexo]]=$B22,IF(DATOS_[[AGRUP. VALOR. PTO.]:[AGRUP. VALOR. PTO.]]=$B21,IF(DATOS_[[Check Periodo Ref.]:[Check Periodo Ref.]]="Dentro",IF(DATOS_[[Check Equiparado]:[Check Equiparado]]="Sí",IF(DATOS!AM$5="Sí",(1/DATOS_[[% anualiz]:[% anualiz]]),1)*IF(DATOS!AM$4="Sí",1/DATOS_[[% normaliz]:[% normaliz]],1)*(DATOS_[Conc.Sal.09])))))))),
0)</f>
        <v>0</v>
      </c>
      <c r="S22" s="111">
        <f t="array" ref="S22">IFERROR(
(MEDIAN((IF(DATOS_[[Sexo]:[Sexo]]=$B22,IF(DATOS_[[AGRUP. VALOR. PTO.]:[AGRUP. VALOR. PTO.]]=$B21,IF(DATOS_[[Check Periodo Ref.]:[Check Periodo Ref.]]="Dentro",IF(DATOS_[[Check Equiparado]:[Check Equiparado]]="Sí",IF(DATOS!AN$5="Sí",(1/DATOS_[[% anualiz]:[% anualiz]]),1)*IF(DATOS!AN$4="Sí",1/DATOS_[[% normaliz]:[% normaliz]],1)*(DATOS_[Conc.Sal.10])))))))),
0)</f>
        <v>0</v>
      </c>
      <c r="T22" s="111">
        <f t="array" ref="T22">IFERROR(
(MEDIAN((IF(DATOS_[[Sexo]:[Sexo]]=$B22,IF(DATOS_[[AGRUP. VALOR. PTO.]:[AGRUP. VALOR. PTO.]]=$B21,IF(DATOS_[[Check Periodo Ref.]:[Check Periodo Ref.]]="Dentro",IF(DATOS_[[Check Equiparado]:[Check Equiparado]]="Sí",IF(DATOS!AO$5="Sí",(1/DATOS_[[% anualiz]:[% anualiz]]),1)*IF(DATOS!AO$4="Sí",1/DATOS_[[% normaliz]:[% normaliz]],1)*(DATOS_[Conc.Sal.11])))))))),
0)</f>
        <v>0</v>
      </c>
      <c r="U22" s="111">
        <f t="array" ref="U22">IFERROR(
(MEDIAN((IF(DATOS_[[Sexo]:[Sexo]]=$B22,IF(DATOS_[[AGRUP. VALOR. PTO.]:[AGRUP. VALOR. PTO.]]=$B21,IF(DATOS_[[Check Periodo Ref.]:[Check Periodo Ref.]]="Dentro",IF(DATOS_[[Check Equiparado]:[Check Equiparado]]="Sí",IF(DATOS!AP$5="Sí",(1/DATOS_[[% anualiz]:[% anualiz]]),1)*IF(DATOS!AP$4="Sí",1/DATOS_[[% normaliz]:[% normaliz]],1)*(DATOS_[Conc.Sal.12])))))))),
0)</f>
        <v>0</v>
      </c>
      <c r="V22" s="111">
        <f t="array" ref="V22">IFERROR(
(MEDIAN((IF(DATOS_[[Sexo]:[Sexo]]=$B22,IF(DATOS_[[AGRUP. VALOR. PTO.]:[AGRUP. VALOR. PTO.]]=$B21,IF(DATOS_[[Check Periodo Ref.]:[Check Periodo Ref.]]="Dentro",IF(DATOS_[[Check Equiparado]:[Check Equiparado]]="Sí",IF(DATOS!AQ$5="Sí",(1/DATOS_[[% anualiz]:[% anualiz]]),1)*IF(DATOS!AQ$4="Sí",1/DATOS_[[% normaliz]:[% normaliz]],1)*(DATOS_[Conc.Sal.13])))))))),
0)</f>
        <v>0</v>
      </c>
      <c r="W22" s="111">
        <f t="array" ref="W22">IFERROR(
(MEDIAN((IF(DATOS_[[Sexo]:[Sexo]]=$B22,IF(DATOS_[[AGRUP. VALOR. PTO.]:[AGRUP. VALOR. PTO.]]=$B21,IF(DATOS_[[Check Periodo Ref.]:[Check Periodo Ref.]]="Dentro",IF(DATOS_[[Check Equiparado]:[Check Equiparado]]="Sí",IF(DATOS!AR$5="Sí",(1/DATOS_[[% anualiz]:[% anualiz]]),1)*IF(DATOS!AR$4="Sí",1/DATOS_[[% normaliz]:[% normaliz]],1)*(DATOS_[Conc.Sal.14])))))))),
0)</f>
        <v>0</v>
      </c>
      <c r="X22" s="111">
        <f t="array" ref="X22">IFERROR(
(MEDIAN((IF(DATOS_[[Sexo]:[Sexo]]=$B22,IF(DATOS_[[AGRUP. VALOR. PTO.]:[AGRUP. VALOR. PTO.]]=$B21,IF(DATOS_[[Check Periodo Ref.]:[Check Periodo Ref.]]="Dentro",IF(DATOS_[[Check Equiparado]:[Check Equiparado]]="Sí",IF(DATOS!AS$5="Sí",(1/DATOS_[[% anualiz]:[% anualiz]]),1)*IF(DATOS!AS$4="Sí",1/DATOS_[[% normaliz]:[% normaliz]],1)*(DATOS_[Conc.Sal.15])))))))),
0)</f>
        <v>0</v>
      </c>
      <c r="Y22" s="111">
        <f t="array" ref="Y22">IFERROR(
(MEDIAN((IF(DATOS_[[Sexo]:[Sexo]]=$B22,IF(DATOS_[[AGRUP. VALOR. PTO.]:[AGRUP. VALOR. PTO.]]=$B21,IF(DATOS_[[Check Periodo Ref.]:[Check Periodo Ref.]]="Dentro",IF(DATOS_[[Check Equiparado]:[Check Equiparado]]="Sí",IF(DATOS!AT$5="Sí",(1/DATOS_[[% anualiz]:[% anualiz]]),1)*IF(DATOS!AT$4="Sí",1/DATOS_[[% normaliz]:[% normaliz]],1)*(DATOS_[Conc.Sal.16])))))))),
0)</f>
        <v>0</v>
      </c>
      <c r="Z22" s="111">
        <f t="array" ref="Z22">IFERROR(
(MEDIAN((IF(DATOS_[[Sexo]:[Sexo]]=$B22,IF(DATOS_[[AGRUP. VALOR. PTO.]:[AGRUP. VALOR. PTO.]]=$B21,IF(DATOS_[[Check Periodo Ref.]:[Check Periodo Ref.]]="Dentro",IF(DATOS_[[Check Equiparado]:[Check Equiparado]]="Sí",IF(DATOS!AU$5="Sí",(1/DATOS_[[% anualiz]:[% anualiz]]),1)*IF(DATOS!AU$4="Sí",1/DATOS_[[% normaliz]:[% normaliz]],1)*(DATOS_[Conc.Sal.17])))))))),
0)</f>
        <v>0</v>
      </c>
      <c r="AA22" s="111">
        <f t="array" ref="AA22">IFERROR(
(MEDIAN((IF(DATOS_[[Sexo]:[Sexo]]=$B22,IF(DATOS_[[AGRUP. VALOR. PTO.]:[AGRUP. VALOR. PTO.]]=$B21,IF(DATOS_[[Check Periodo Ref.]:[Check Periodo Ref.]]="Dentro",IF(DATOS_[[Check Equiparado]:[Check Equiparado]]="Sí",IF(DATOS!AV$5="Sí",(1/DATOS_[[% anualiz]:[% anualiz]]),1)*IF(DATOS!AV$4="Sí",1/DATOS_[[% normaliz]:[% normaliz]],1)*(DATOS_[Conc.Sal.18])))))))),
0)</f>
        <v>0</v>
      </c>
      <c r="AB22" s="111">
        <f t="array" ref="AB22">IFERROR(
(MEDIAN((IF(DATOS_[[Sexo]:[Sexo]]=$B22,IF(DATOS_[[AGRUP. VALOR. PTO.]:[AGRUP. VALOR. PTO.]]=$B21,IF(DATOS_[[Check Periodo Ref.]:[Check Periodo Ref.]]="Dentro",IF(DATOS_[[Check Equiparado]:[Check Equiparado]]="Sí",IF(DATOS!AW$5="Sí",(1/DATOS_[[% anualiz]:[% anualiz]]),1)*IF(DATOS!AW$4="Sí",1/DATOS_[[% normaliz]:[% normaliz]],1)*(DATOS_[Conc.Sal.19])))))))),
0)</f>
        <v>0</v>
      </c>
      <c r="AC22" s="111">
        <f t="array" ref="AC22">IFERROR(
(MEDIAN((IF(DATOS_[[Sexo]:[Sexo]]=$B22,IF(DATOS_[[AGRUP. VALOR. PTO.]:[AGRUP. VALOR. PTO.]]=$B21,IF(DATOS_[[Check Periodo Ref.]:[Check Periodo Ref.]]="Dentro",IF(DATOS_[[Check Equiparado]:[Check Equiparado]]="Sí",IF(DATOS!AX$5="Sí",(1/DATOS_[[% anualiz]:[% anualiz]]),1)*IF(DATOS!AX$4="Sí",1/DATOS_[[% normaliz]:[% normaliz]],1)*(DATOS_[Conc.Sal.20])))))))),
0)</f>
        <v>0</v>
      </c>
      <c r="AD22" s="111">
        <f t="array" ref="AD22">IFERROR(
(MEDIAN((IF(DATOS_[[Sexo]:[Sexo]]=$B22,IF(DATOS_[[AGRUP. VALOR. PTO.]:[AGRUP. VALOR. PTO.]]=$B21,IF(DATOS_[[Check Periodo Ref.]:[Check Periodo Ref.]]="Dentro",IF(DATOS_[[Check Equiparado]:[Check Equiparado]]="Sí",IF(DATOS!AY$5="Sí",(1/DATOS_[[% anualiz]:[% anualiz]]),1)*IF(DATOS!AY$4="Sí",1/DATOS_[[% normaliz]:[% normaliz]],1)*(DATOS_[Conc.Sal.21])))))))),
0)</f>
        <v>0</v>
      </c>
      <c r="AE22" s="111">
        <f t="array" ref="AE22">IFERROR(
(MEDIAN((IF(DATOS_[[Sexo]:[Sexo]]=$B22,IF(DATOS_[[AGRUP. VALOR. PTO.]:[AGRUP. VALOR. PTO.]]=$B21,IF(DATOS_[[Check Periodo Ref.]:[Check Periodo Ref.]]="Dentro",IF(DATOS_[[Check Equiparado]:[Check Equiparado]]="Sí",IF(DATOS!AZ$5="Sí",(1/DATOS_[[% anualiz]:[% anualiz]]),1)*IF(DATOS!AZ$4="Sí",1/DATOS_[[% normaliz]:[% normaliz]],1)*(DATOS_[Conc.Sal.22])))))))),
0)</f>
        <v>0</v>
      </c>
      <c r="AF22" s="111">
        <f t="array" ref="AF22">IFERROR(
(MEDIAN((IF(DATOS_[[Sexo]:[Sexo]]=$B22,IF(DATOS_[[AGRUP. VALOR. PTO.]:[AGRUP. VALOR. PTO.]]=$B21,IF(DATOS_[[Check Periodo Ref.]:[Check Periodo Ref.]]="Dentro",IF(DATOS_[[Check Equiparado]:[Check Equiparado]]="Sí",IF(DATOS!BA$5="Sí",(1/DATOS_[[% anualiz]:[% anualiz]]),1)*IF(DATOS!BA$4="Sí",1/DATOS_[[% normaliz]:[% normaliz]],1)*(DATOS_[Conc.Sal.23])))))))),
0)</f>
        <v>0</v>
      </c>
      <c r="AG22" s="111">
        <f t="array" ref="AG22">IFERROR(
(MEDIAN((IF(DATOS_[[Sexo]:[Sexo]]=$B22,IF(DATOS_[[AGRUP. VALOR. PTO.]:[AGRUP. VALOR. PTO.]]=$B21,IF(DATOS_[[Check Periodo Ref.]:[Check Periodo Ref.]]="Dentro",IF(DATOS_[[Check Equiparado]:[Check Equiparado]]="Sí",IF(DATOS!BB$5="Sí",(1/DATOS_[[% anualiz]:[% anualiz]]),1)*IF(DATOS!BB$4="Sí",1/DATOS_[[% normaliz]:[% normaliz]],1)*(DATOS_[Conc.Sal.24])))))))),
0)</f>
        <v>0</v>
      </c>
      <c r="AH22" s="111">
        <f t="array" ref="AH22">IFERROR(
(MEDIAN((IF(DATOS_[[Sexo]:[Sexo]]=$B22,IF(DATOS_[[AGRUP. VALOR. PTO.]:[AGRUP. VALOR. PTO.]]=$B21,IF(DATOS_[[Check Periodo Ref.]:[Check Periodo Ref.]]="Dentro",IF(DATOS_[[Check Equiparado]:[Check Equiparado]]="Sí",IF(DATOS!BC$5="Sí",(1/DATOS_[[% anualiz]:[% anualiz]]),1)*IF(DATOS!BC$4="Sí",1/DATOS_[[% normaliz]:[% normaliz]],1)*(DATOS_[Conc.Sal.25])))))))),
0)</f>
        <v>0</v>
      </c>
      <c r="AI22" s="111">
        <f t="array" ref="AI22">IFERROR(
(MEDIAN((IF(DATOS_[[Sexo]:[Sexo]]=$B22,IF(DATOS_[[AGRUP. VALOR. PTO.]:[AGRUP. VALOR. PTO.]]=$B21,IF(DATOS_[[Check Periodo Ref.]:[Check Periodo Ref.]]="Dentro",IF(DATOS_[[Check Equiparado]:[Check Equiparado]]="Sí",IF(DATOS!BD$5="Sí",(1/DATOS_[[% anualiz]:[% anualiz]]),1)*IF(DATOS!BD$4="Sí",1/DATOS_[[% normaliz]:[% normaliz]],1)*(DATOS_[Conc.Sal.26])))))))),
0)</f>
        <v>0</v>
      </c>
      <c r="AJ22" s="111">
        <f t="array" ref="AJ22">IFERROR(
(MEDIAN((IF(DATOS_[[Sexo]:[Sexo]]=$B22,IF(DATOS_[[AGRUP. VALOR. PTO.]:[AGRUP. VALOR. PTO.]]=$B21,IF(DATOS_[[Check Periodo Ref.]:[Check Periodo Ref.]]="Dentro",IF(DATOS_[[Check Equiparado]:[Check Equiparado]]="Sí",IF(DATOS!BE$5="Sí",(1/DATOS_[[% anualiz]:[% anualiz]]),1)*IF(DATOS!BE$4="Sí",1/DATOS_[[% normaliz]:[% normaliz]],1)*(DATOS_[Conc.Sal.27])))))))),
0)</f>
        <v>0</v>
      </c>
      <c r="AK22" s="111">
        <f t="array" ref="AK22">IFERROR(
(MEDIAN((IF(DATOS_[[Sexo]:[Sexo]]=$B22,IF(DATOS_[[AGRUP. VALOR. PTO.]:[AGRUP. VALOR. PTO.]]=$B21,IF(DATOS_[[Check Periodo Ref.]:[Check Periodo Ref.]]="Dentro",IF(DATOS_[[Check Equiparado]:[Check Equiparado]]="Sí",IF(DATOS!BF$5="Sí",(1/DATOS_[[% anualiz]:[% anualiz]]),1)*IF(DATOS!BF$4="Sí",1/DATOS_[[% normaliz]:[% normaliz]],1)*(DATOS_[Conc.Sal.28])))))))),
0)</f>
        <v>0</v>
      </c>
      <c r="AL22" s="111">
        <f t="array" ref="AL22">IFERROR(
(MEDIAN((IF(DATOS_[[Sexo]:[Sexo]]=$B22,IF(DATOS_[[AGRUP. VALOR. PTO.]:[AGRUP. VALOR. PTO.]]=$B21,IF(DATOS_[[Check Periodo Ref.]:[Check Periodo Ref.]]="Dentro",IF(DATOS_[[Check Equiparado]:[Check Equiparado]]="Sí",IF(DATOS!BG$5="Sí",(1/DATOS_[[% anualiz]:[% anualiz]]),1)*IF(DATOS!BG$4="Sí",1/DATOS_[[% normaliz]:[% normaliz]],1)*(DATOS_[Conc.Sal.29])))))))),
0)</f>
        <v>0</v>
      </c>
      <c r="AM22" s="111">
        <f t="array" ref="AM22">IFERROR(
(MEDIAN((IF(DATOS_[[Sexo]:[Sexo]]=$B22,IF(DATOS_[[AGRUP. VALOR. PTO.]:[AGRUP. VALOR. PTO.]]=$B21,IF(DATOS_[[Check Periodo Ref.]:[Check Periodo Ref.]]="Dentro",IF(DATOS_[[Check Equiparado]:[Check Equiparado]]="Sí",IF(DATOS!BH$5="Sí",(1/DATOS_[[% anualiz]:[% anualiz]]),1)*IF(DATOS!BH$4="Sí",1/DATOS_[[% normaliz]:[% normaliz]],1)*(DATOS_[Conc.Sal.30])))))))),
0)</f>
        <v>0</v>
      </c>
      <c r="AN22" s="112">
        <f t="array" ref="AN22">IFERROR(
MEDIAN(IF(DATOS_[Sexo]=$B22,IF(DATOS_[[AGRUP. VALOR. PTO.]:[AGRUP. VALOR. PTO.]]=$B21,IF(DATOS_[Check Equiparado]="Sí",IF(DATOS_[Check Periodo Ref.]="Dentro",DATOS_[Tot COMPL.SAL Eq],FALSE))))),
0)</f>
        <v>5194.9763999999986</v>
      </c>
      <c r="AO22" s="113">
        <f t="array" ref="AO22">IFERROR(
MEDIAN(IF(DATOS_[Sexo]=$B22,IF(DATOS_[[AGRUP. VALOR. PTO.]:[AGRUP. VALOR. PTO.]]=$B21,IF(DATOS_[Check Equiparado]="Sí",IF(DATOS_[Check Periodo Ref.]="Dentro",DATOS_[TOTAL SALARIO Eq],FALSE))))),
0)</f>
        <v>22461.306400000001</v>
      </c>
      <c r="AP22" s="114">
        <f t="array" ref="AP22">IFERROR(
(MEDIAN((IF(DATOS_[[Sexo]:[Sexo]]=$B22,IF(DATOS_[[AGRUP. VALOR. PTO.]:[AGRUP. VALOR. PTO.]]=$B21,IF(DATOS_[[Check Periodo Ref.]:[Check Periodo Ref.]]="Dentro",IF(DATOS_[[Check Equiparado]:[Check Equiparado]]="Sí",IF(DATOS!BI$5="Sí",(1/DATOS_[[% anualiz]:[% anualiz]]),1)*IF(DATOS!BI$4="Sí",1/DATOS_[[% normaliz]:[% normaliz]],1)*(DATOS_[C.Extra.01])))))))),
0)</f>
        <v>0</v>
      </c>
      <c r="AQ22" s="114">
        <f t="array" ref="AQ22">IFERROR(
(MEDIAN((IF(DATOS_[[Sexo]:[Sexo]]=$B22,IF(DATOS_[[AGRUP. VALOR. PTO.]:[AGRUP. VALOR. PTO.]]=$B21,IF(DATOS_[[Check Periodo Ref.]:[Check Periodo Ref.]]="Dentro",IF(DATOS_[[Check Equiparado]:[Check Equiparado]]="Sí",IF(DATOS!BJ$5="Sí",(1/DATOS_[[% anualiz]:[% anualiz]]),1)*IF(DATOS!BJ$4="Sí",1/DATOS_[[% normaliz]:[% normaliz]],1)*(DATOS_[C.Extra.02])))))))),
0)</f>
        <v>0</v>
      </c>
      <c r="AR22" s="114">
        <f t="array" ref="AR22">IFERROR(
(MEDIAN((IF(DATOS_[[Sexo]:[Sexo]]=$B22,IF(DATOS_[[AGRUP. VALOR. PTO.]:[AGRUP. VALOR. PTO.]]=$B21,IF(DATOS_[[Check Periodo Ref.]:[Check Periodo Ref.]]="Dentro",IF(DATOS_[[Check Equiparado]:[Check Equiparado]]="Sí",IF(DATOS!BK$5="Sí",(1/DATOS_[[% anualiz]:[% anualiz]]),1)*IF(DATOS!BK$4="Sí",1/DATOS_[[% normaliz]:[% normaliz]],1)*(DATOS_[C.Extra.03])))))))),
0)</f>
        <v>0</v>
      </c>
      <c r="AS22" s="114">
        <f t="array" ref="AS22">IFERROR(
(MEDIAN((IF(DATOS_[[Sexo]:[Sexo]]=$B22,IF(DATOS_[[AGRUP. VALOR. PTO.]:[AGRUP. VALOR. PTO.]]=$B21,IF(DATOS_[[Check Periodo Ref.]:[Check Periodo Ref.]]="Dentro",IF(DATOS_[[Check Equiparado]:[Check Equiparado]]="Sí",IF(DATOS!BL$5="Sí",(1/DATOS_[[% anualiz]:[% anualiz]]),1)*IF(DATOS!BL$4="Sí",1/DATOS_[[% normaliz]:[% normaliz]],1)*(DATOS_[C.Extra.04])))))))),
0)</f>
        <v>0</v>
      </c>
      <c r="AT22" s="114">
        <f t="array" ref="AT22">IFERROR(
(MEDIAN((IF(DATOS_[[Sexo]:[Sexo]]=$B22,IF(DATOS_[[AGRUP. VALOR. PTO.]:[AGRUP. VALOR. PTO.]]=$B21,IF(DATOS_[[Check Periodo Ref.]:[Check Periodo Ref.]]="Dentro",IF(DATOS_[[Check Equiparado]:[Check Equiparado]]="Sí",IF(DATOS!BM$5="Sí",(1/DATOS_[[% anualiz]:[% anualiz]]),1)*IF(DATOS!BM$4="Sí",1/DATOS_[[% normaliz]:[% normaliz]],1)*(DATOS_[C.Extra.05])))))))),
0)</f>
        <v>0</v>
      </c>
      <c r="AU22" s="115">
        <f t="array" ref="AU22">IFERROR(
MEDIAN(IF(DATOS_[Sexo]=$B22,IF(DATOS_[[AGRUP. VALOR. PTO.]:[AGRUP. VALOR. PTO.]]=$B21,IF(DATOS_[Check Equiparado]="Sí",IF(DATOS_[Check Periodo Ref.]="Dentro",DATOS_[Tot Extrasalarial Eq],FALSE))))),
0)</f>
        <v>0</v>
      </c>
      <c r="AV22" s="116">
        <f t="array" ref="AV22">IFERROR(
MEDIAN(IF(DATOS_[Sexo]=$B22,IF(DATOS_[[AGRUP. VALOR. PTO.]:[AGRUP. VALOR. PTO.]]=$B21,IF(DATOS_[Check Equiparado]="Sí",IF(DATOS_[Check Periodo Ref.]="Dentro",DATOS_[TOTAL Retrib Eq],FALSE))))),
0)</f>
        <v>22461.306400000001</v>
      </c>
    </row>
    <row r="23" spans="1:48" x14ac:dyDescent="0.3">
      <c r="A23" s="42" t="str">
        <f t="shared" ref="A23" si="14">+A22</f>
        <v/>
      </c>
      <c r="B23" s="86" t="s">
        <v>163</v>
      </c>
      <c r="C23" s="33">
        <f t="array" ref="C23">SUM(IF($B23=DATOS_[Sexo],
IF($B21=DATOS_[AGRUP. VALOR. PTO.],
IF("Dentro"=DATOS_[Check Periodo Ref.],
1/(COUNTIFS(DATOS_[Sexo],$B23,DATOS_[AGRUP. VALOR. PTO.],$B21,DATOS_[Check Periodo Ref.],"Dentro",DATOS_[id],DATOS_[id]))))))</f>
        <v>13</v>
      </c>
      <c r="D23" s="35">
        <f>COUNTIFS(DATOS_[AGRUP. VALOR. PTO.],$B21,DATOS_[Sexo],$B23,DATOS_[Check Periodo Ref.],"Dentro")</f>
        <v>14</v>
      </c>
      <c r="E23" s="35">
        <f>COUNTIFS(DATOS_[AGRUP. VALOR. PTO.],$B21,DATOS_[Sexo],$B23,DATOS_[Check Periodo Ref.],"Dentro",DATOS_[Check Nº SC Norm],"Sí")</f>
        <v>7</v>
      </c>
      <c r="F23" s="35">
        <f>COUNTIFS(DATOS_[AGRUP. VALOR. PTO.],$B21,DATOS_[Sexo],$B23,DATOS_[Check Periodo Ref.],"Dentro",DATOS_[Check Nº SC Anualiz],"Sí")</f>
        <v>1</v>
      </c>
      <c r="G23" s="35">
        <f>COUNTIFS(DATOS_[AGRUP. VALOR. PTO.],$B21,DATOS_[Sexo],$B23,DATOS_[Check Periodo Ref.],"Dentro",DATOS_[Check Nº SC Norm y Anualiz],"Sí")</f>
        <v>1</v>
      </c>
      <c r="H23" s="35">
        <f>COUNTIFS(DATOS_[AGRUP. VALOR. PTO.],$B21,DATOS_[Sexo],$B23,DATOS_[Check Periodo Ref.],"Dentro",DATOS_[Check Equiparación],"Sí")</f>
        <v>9</v>
      </c>
      <c r="I23" s="110" cm="1">
        <f t="array" ref="I23">IFERROR(
MEDIAN(IF(DATOS_[Sexo]=$B23,IF(DATOS_[[AGRUP. VALOR. PTO.]:[AGRUP. VALOR. PTO.]]=$B21,IF(DATOS_[Check Equiparado]="Sí",IF(DATOS_[Check Periodo Ref.]="Dentro",DATOS_[SALARIO BASE Eq],FALSE))))),
0)</f>
        <v>17266.330000000002</v>
      </c>
      <c r="J23" s="111">
        <f t="array" ref="J23">IFERROR(
(MEDIAN((IF(DATOS_[[Sexo]:[Sexo]]=$B23,IF(DATOS_[[AGRUP. VALOR. PTO.]:[AGRUP. VALOR. PTO.]]=$B21,IF(DATOS_[[Check Periodo Ref.]:[Check Periodo Ref.]]="Dentro",IF(DATOS_[[Check Equiparado]:[Check Equiparado]]="Sí",IF(DATOS!AE$5="Sí",(1/DATOS_[[% anualiz]:[% anualiz]]),1)*IF(DATOS!AE$4="Sí",1/DATOS_[[% normaliz]:[% normaliz]],1)*(DATOS_[Conc.Sal.01])))))))),
0)</f>
        <v>3300</v>
      </c>
      <c r="K23" s="111">
        <f t="array" ref="K23">IFERROR(
(MEDIAN((IF(DATOS_[[Sexo]:[Sexo]]=$B23,IF(DATOS_[[AGRUP. VALOR. PTO.]:[AGRUP. VALOR. PTO.]]=$B21,IF(DATOS_[[Check Periodo Ref.]:[Check Periodo Ref.]]="Dentro",IF(DATOS_[[Check Equiparado]:[Check Equiparado]]="Sí",IF(DATOS!AF$5="Sí",(1/DATOS_[[% anualiz]:[% anualiz]]),1)*IF(DATOS!AF$4="Sí",1/DATOS_[[% normaliz]:[% normaliz]],1)*(DATOS_[Conc.Sal.02])))))))),
0)</f>
        <v>1726.6330000000003</v>
      </c>
      <c r="L23" s="111">
        <f t="array" ref="L23">IFERROR(
(MEDIAN((IF(DATOS_[[Sexo]:[Sexo]]=$B23,IF(DATOS_[[AGRUP. VALOR. PTO.]:[AGRUP. VALOR. PTO.]]=$B21,IF(DATOS_[[Check Periodo Ref.]:[Check Periodo Ref.]]="Dentro",IF(DATOS_[[Check Equiparado]:[Check Equiparado]]="Sí",IF(DATOS!AG$5="Sí",(1/DATOS_[[% anualiz]:[% anualiz]]),1)*IF(DATOS!AG$4="Sí",1/DATOS_[[% normaliz]:[% normaliz]],1)*(DATOS_[Conc.Sal.03])))))))),
0)</f>
        <v>0</v>
      </c>
      <c r="M23" s="111">
        <f t="array" ref="M23">IFERROR(
(MEDIAN((IF(DATOS_[[Sexo]:[Sexo]]=$B23,IF(DATOS_[[AGRUP. VALOR. PTO.]:[AGRUP. VALOR. PTO.]]=$B21,IF(DATOS_[[Check Periodo Ref.]:[Check Periodo Ref.]]="Dentro",IF(DATOS_[[Check Equiparado]:[Check Equiparado]]="Sí",IF(DATOS!AH$5="Sí",(1/DATOS_[[% anualiz]:[% anualiz]]),1)*IF(DATOS!AH$4="Sí",1/DATOS_[[% normaliz]:[% normaliz]],1)*(DATOS_[Conc.Sal.04])))))))),
0)</f>
        <v>0</v>
      </c>
      <c r="N23" s="111">
        <f t="array" ref="N23">IFERROR(
(MEDIAN((IF(DATOS_[[Sexo]:[Sexo]]=$B23,IF(DATOS_[[AGRUP. VALOR. PTO.]:[AGRUP. VALOR. PTO.]]=$B21,IF(DATOS_[[Check Periodo Ref.]:[Check Periodo Ref.]]="Dentro",IF(DATOS_[[Check Equiparado]:[Check Equiparado]]="Sí",IF(DATOS!AI$5="Sí",(1/DATOS_[[% anualiz]:[% anualiz]]),1)*IF(DATOS!AI$4="Sí",1/DATOS_[[% normaliz]:[% normaliz]],1)*(DATOS_[Conc.Sal.05])))))))),
0)</f>
        <v>0</v>
      </c>
      <c r="O23" s="111">
        <f t="array" ref="O23">IFERROR(
(MEDIAN((IF(DATOS_[[Sexo]:[Sexo]]=$B23,IF(DATOS_[[AGRUP. VALOR. PTO.]:[AGRUP. VALOR. PTO.]]=$B21,IF(DATOS_[[Check Periodo Ref.]:[Check Periodo Ref.]]="Dentro",IF(DATOS_[[Check Equiparado]:[Check Equiparado]]="Sí",IF(DATOS!AJ$5="Sí",(1/DATOS_[[% anualiz]:[% anualiz]]),1)*IF(DATOS!AJ$4="Sí",1/DATOS_[[% normaliz]:[% normaliz]],1)*(DATOS_[Conc.Sal.06])))))))),
0)</f>
        <v>0</v>
      </c>
      <c r="P23" s="111">
        <f t="array" ref="P23">IFERROR(
(MEDIAN((IF(DATOS_[[Sexo]:[Sexo]]=$B23,IF(DATOS_[[AGRUP. VALOR. PTO.]:[AGRUP. VALOR. PTO.]]=$B21,IF(DATOS_[[Check Periodo Ref.]:[Check Periodo Ref.]]="Dentro",IF(DATOS_[[Check Equiparado]:[Check Equiparado]]="Sí",IF(DATOS!AK$5="Sí",(1/DATOS_[[% anualiz]:[% anualiz]]),1)*IF(DATOS!AK$4="Sí",1/DATOS_[[% normaliz]:[% normaliz]],1)*(DATOS_[Conc.Sal.07])))))))),
0)</f>
        <v>80</v>
      </c>
      <c r="Q23" s="111">
        <f t="array" ref="Q23">IFERROR(
(MEDIAN((IF(DATOS_[[Sexo]:[Sexo]]=$B23,IF(DATOS_[[AGRUP. VALOR. PTO.]:[AGRUP. VALOR. PTO.]]=$B21,IF(DATOS_[[Check Periodo Ref.]:[Check Periodo Ref.]]="Dentro",IF(DATOS_[[Check Equiparado]:[Check Equiparado]]="Sí",IF(DATOS!AL$5="Sí",(1/DATOS_[[% anualiz]:[% anualiz]]),1)*IF(DATOS!AL$4="Sí",1/DATOS_[[% normaliz]:[% normaliz]],1)*(DATOS_[Conc.Sal.08])))))))),
0)</f>
        <v>0</v>
      </c>
      <c r="R23" s="111">
        <f t="array" ref="R23">IFERROR(
(MEDIAN((IF(DATOS_[[Sexo]:[Sexo]]=$B23,IF(DATOS_[[AGRUP. VALOR. PTO.]:[AGRUP. VALOR. PTO.]]=$B21,IF(DATOS_[[Check Periodo Ref.]:[Check Periodo Ref.]]="Dentro",IF(DATOS_[[Check Equiparado]:[Check Equiparado]]="Sí",IF(DATOS!AM$5="Sí",(1/DATOS_[[% anualiz]:[% anualiz]]),1)*IF(DATOS!AM$4="Sí",1/DATOS_[[% normaliz]:[% normaliz]],1)*(DATOS_[Conc.Sal.09])))))))),
0)</f>
        <v>0</v>
      </c>
      <c r="S23" s="111">
        <f t="array" ref="S23">IFERROR(
(MEDIAN((IF(DATOS_[[Sexo]:[Sexo]]=$B23,IF(DATOS_[[AGRUP. VALOR. PTO.]:[AGRUP. VALOR. PTO.]]=$B21,IF(DATOS_[[Check Periodo Ref.]:[Check Periodo Ref.]]="Dentro",IF(DATOS_[[Check Equiparado]:[Check Equiparado]]="Sí",IF(DATOS!AN$5="Sí",(1/DATOS_[[% anualiz]:[% anualiz]]),1)*IF(DATOS!AN$4="Sí",1/DATOS_[[% normaliz]:[% normaliz]],1)*(DATOS_[Conc.Sal.10])))))))),
0)</f>
        <v>0</v>
      </c>
      <c r="T23" s="111">
        <f t="array" ref="T23">IFERROR(
(MEDIAN((IF(DATOS_[[Sexo]:[Sexo]]=$B23,IF(DATOS_[[AGRUP. VALOR. PTO.]:[AGRUP. VALOR. PTO.]]=$B21,IF(DATOS_[[Check Periodo Ref.]:[Check Periodo Ref.]]="Dentro",IF(DATOS_[[Check Equiparado]:[Check Equiparado]]="Sí",IF(DATOS!AO$5="Sí",(1/DATOS_[[% anualiz]:[% anualiz]]),1)*IF(DATOS!AO$4="Sí",1/DATOS_[[% normaliz]:[% normaliz]],1)*(DATOS_[Conc.Sal.11])))))))),
0)</f>
        <v>0</v>
      </c>
      <c r="U23" s="111">
        <f t="array" ref="U23">IFERROR(
(MEDIAN((IF(DATOS_[[Sexo]:[Sexo]]=$B23,IF(DATOS_[[AGRUP. VALOR. PTO.]:[AGRUP. VALOR. PTO.]]=$B21,IF(DATOS_[[Check Periodo Ref.]:[Check Periodo Ref.]]="Dentro",IF(DATOS_[[Check Equiparado]:[Check Equiparado]]="Sí",IF(DATOS!AP$5="Sí",(1/DATOS_[[% anualiz]:[% anualiz]]),1)*IF(DATOS!AP$4="Sí",1/DATOS_[[% normaliz]:[% normaliz]],1)*(DATOS_[Conc.Sal.12])))))))),
0)</f>
        <v>0</v>
      </c>
      <c r="V23" s="111">
        <f t="array" ref="V23">IFERROR(
(MEDIAN((IF(DATOS_[[Sexo]:[Sexo]]=$B23,IF(DATOS_[[AGRUP. VALOR. PTO.]:[AGRUP. VALOR. PTO.]]=$B21,IF(DATOS_[[Check Periodo Ref.]:[Check Periodo Ref.]]="Dentro",IF(DATOS_[[Check Equiparado]:[Check Equiparado]]="Sí",IF(DATOS!AQ$5="Sí",(1/DATOS_[[% anualiz]:[% anualiz]]),1)*IF(DATOS!AQ$4="Sí",1/DATOS_[[% normaliz]:[% normaliz]],1)*(DATOS_[Conc.Sal.13])))))))),
0)</f>
        <v>0</v>
      </c>
      <c r="W23" s="111">
        <f t="array" ref="W23">IFERROR(
(MEDIAN((IF(DATOS_[[Sexo]:[Sexo]]=$B23,IF(DATOS_[[AGRUP. VALOR. PTO.]:[AGRUP. VALOR. PTO.]]=$B21,IF(DATOS_[[Check Periodo Ref.]:[Check Periodo Ref.]]="Dentro",IF(DATOS_[[Check Equiparado]:[Check Equiparado]]="Sí",IF(DATOS!AR$5="Sí",(1/DATOS_[[% anualiz]:[% anualiz]]),1)*IF(DATOS!AR$4="Sí",1/DATOS_[[% normaliz]:[% normaliz]],1)*(DATOS_[Conc.Sal.14])))))))),
0)</f>
        <v>0</v>
      </c>
      <c r="X23" s="111">
        <f t="array" ref="X23">IFERROR(
(MEDIAN((IF(DATOS_[[Sexo]:[Sexo]]=$B23,IF(DATOS_[[AGRUP. VALOR. PTO.]:[AGRUP. VALOR. PTO.]]=$B21,IF(DATOS_[[Check Periodo Ref.]:[Check Periodo Ref.]]="Dentro",IF(DATOS_[[Check Equiparado]:[Check Equiparado]]="Sí",IF(DATOS!AS$5="Sí",(1/DATOS_[[% anualiz]:[% anualiz]]),1)*IF(DATOS!AS$4="Sí",1/DATOS_[[% normaliz]:[% normaliz]],1)*(DATOS_[Conc.Sal.15])))))))),
0)</f>
        <v>0</v>
      </c>
      <c r="Y23" s="111">
        <f t="array" ref="Y23">IFERROR(
(MEDIAN((IF(DATOS_[[Sexo]:[Sexo]]=$B23,IF(DATOS_[[AGRUP. VALOR. PTO.]:[AGRUP. VALOR. PTO.]]=$B21,IF(DATOS_[[Check Periodo Ref.]:[Check Periodo Ref.]]="Dentro",IF(DATOS_[[Check Equiparado]:[Check Equiparado]]="Sí",IF(DATOS!AT$5="Sí",(1/DATOS_[[% anualiz]:[% anualiz]]),1)*IF(DATOS!AT$4="Sí",1/DATOS_[[% normaliz]:[% normaliz]],1)*(DATOS_[Conc.Sal.16])))))))),
0)</f>
        <v>0</v>
      </c>
      <c r="Z23" s="111">
        <f t="array" ref="Z23">IFERROR(
(MEDIAN((IF(DATOS_[[Sexo]:[Sexo]]=$B23,IF(DATOS_[[AGRUP. VALOR. PTO.]:[AGRUP. VALOR. PTO.]]=$B21,IF(DATOS_[[Check Periodo Ref.]:[Check Periodo Ref.]]="Dentro",IF(DATOS_[[Check Equiparado]:[Check Equiparado]]="Sí",IF(DATOS!AU$5="Sí",(1/DATOS_[[% anualiz]:[% anualiz]]),1)*IF(DATOS!AU$4="Sí",1/DATOS_[[% normaliz]:[% normaliz]],1)*(DATOS_[Conc.Sal.17])))))))),
0)</f>
        <v>0</v>
      </c>
      <c r="AA23" s="111">
        <f t="array" ref="AA23">IFERROR(
(MEDIAN((IF(DATOS_[[Sexo]:[Sexo]]=$B23,IF(DATOS_[[AGRUP. VALOR. PTO.]:[AGRUP. VALOR. PTO.]]=$B21,IF(DATOS_[[Check Periodo Ref.]:[Check Periodo Ref.]]="Dentro",IF(DATOS_[[Check Equiparado]:[Check Equiparado]]="Sí",IF(DATOS!AV$5="Sí",(1/DATOS_[[% anualiz]:[% anualiz]]),1)*IF(DATOS!AV$4="Sí",1/DATOS_[[% normaliz]:[% normaliz]],1)*(DATOS_[Conc.Sal.18])))))))),
0)</f>
        <v>0</v>
      </c>
      <c r="AB23" s="111">
        <f t="array" ref="AB23">IFERROR(
(MEDIAN((IF(DATOS_[[Sexo]:[Sexo]]=$B23,IF(DATOS_[[AGRUP. VALOR. PTO.]:[AGRUP. VALOR. PTO.]]=$B21,IF(DATOS_[[Check Periodo Ref.]:[Check Periodo Ref.]]="Dentro",IF(DATOS_[[Check Equiparado]:[Check Equiparado]]="Sí",IF(DATOS!AW$5="Sí",(1/DATOS_[[% anualiz]:[% anualiz]]),1)*IF(DATOS!AW$4="Sí",1/DATOS_[[% normaliz]:[% normaliz]],1)*(DATOS_[Conc.Sal.19])))))))),
0)</f>
        <v>0</v>
      </c>
      <c r="AC23" s="111">
        <f t="array" ref="AC23">IFERROR(
(MEDIAN((IF(DATOS_[[Sexo]:[Sexo]]=$B23,IF(DATOS_[[AGRUP. VALOR. PTO.]:[AGRUP. VALOR. PTO.]]=$B21,IF(DATOS_[[Check Periodo Ref.]:[Check Periodo Ref.]]="Dentro",IF(DATOS_[[Check Equiparado]:[Check Equiparado]]="Sí",IF(DATOS!AX$5="Sí",(1/DATOS_[[% anualiz]:[% anualiz]]),1)*IF(DATOS!AX$4="Sí",1/DATOS_[[% normaliz]:[% normaliz]],1)*(DATOS_[Conc.Sal.20])))))))),
0)</f>
        <v>0</v>
      </c>
      <c r="AD23" s="111">
        <f t="array" ref="AD23">IFERROR(
(MEDIAN((IF(DATOS_[[Sexo]:[Sexo]]=$B23,IF(DATOS_[[AGRUP. VALOR. PTO.]:[AGRUP. VALOR. PTO.]]=$B21,IF(DATOS_[[Check Periodo Ref.]:[Check Periodo Ref.]]="Dentro",IF(DATOS_[[Check Equiparado]:[Check Equiparado]]="Sí",IF(DATOS!AY$5="Sí",(1/DATOS_[[% anualiz]:[% anualiz]]),1)*IF(DATOS!AY$4="Sí",1/DATOS_[[% normaliz]:[% normaliz]],1)*(DATOS_[Conc.Sal.21])))))))),
0)</f>
        <v>0</v>
      </c>
      <c r="AE23" s="111">
        <f t="array" ref="AE23">IFERROR(
(MEDIAN((IF(DATOS_[[Sexo]:[Sexo]]=$B23,IF(DATOS_[[AGRUP. VALOR. PTO.]:[AGRUP. VALOR. PTO.]]=$B21,IF(DATOS_[[Check Periodo Ref.]:[Check Periodo Ref.]]="Dentro",IF(DATOS_[[Check Equiparado]:[Check Equiparado]]="Sí",IF(DATOS!AZ$5="Sí",(1/DATOS_[[% anualiz]:[% anualiz]]),1)*IF(DATOS!AZ$4="Sí",1/DATOS_[[% normaliz]:[% normaliz]],1)*(DATOS_[Conc.Sal.22])))))))),
0)</f>
        <v>0</v>
      </c>
      <c r="AF23" s="111">
        <f t="array" ref="AF23">IFERROR(
(MEDIAN((IF(DATOS_[[Sexo]:[Sexo]]=$B23,IF(DATOS_[[AGRUP. VALOR. PTO.]:[AGRUP. VALOR. PTO.]]=$B21,IF(DATOS_[[Check Periodo Ref.]:[Check Periodo Ref.]]="Dentro",IF(DATOS_[[Check Equiparado]:[Check Equiparado]]="Sí",IF(DATOS!BA$5="Sí",(1/DATOS_[[% anualiz]:[% anualiz]]),1)*IF(DATOS!BA$4="Sí",1/DATOS_[[% normaliz]:[% normaliz]],1)*(DATOS_[Conc.Sal.23])))))))),
0)</f>
        <v>0</v>
      </c>
      <c r="AG23" s="111">
        <f t="array" ref="AG23">IFERROR(
(MEDIAN((IF(DATOS_[[Sexo]:[Sexo]]=$B23,IF(DATOS_[[AGRUP. VALOR. PTO.]:[AGRUP. VALOR. PTO.]]=$B21,IF(DATOS_[[Check Periodo Ref.]:[Check Periodo Ref.]]="Dentro",IF(DATOS_[[Check Equiparado]:[Check Equiparado]]="Sí",IF(DATOS!BB$5="Sí",(1/DATOS_[[% anualiz]:[% anualiz]]),1)*IF(DATOS!BB$4="Sí",1/DATOS_[[% normaliz]:[% normaliz]],1)*(DATOS_[Conc.Sal.24])))))))),
0)</f>
        <v>0</v>
      </c>
      <c r="AH23" s="111">
        <f t="array" ref="AH23">IFERROR(
(MEDIAN((IF(DATOS_[[Sexo]:[Sexo]]=$B23,IF(DATOS_[[AGRUP. VALOR. PTO.]:[AGRUP. VALOR. PTO.]]=$B21,IF(DATOS_[[Check Periodo Ref.]:[Check Periodo Ref.]]="Dentro",IF(DATOS_[[Check Equiparado]:[Check Equiparado]]="Sí",IF(DATOS!BC$5="Sí",(1/DATOS_[[% anualiz]:[% anualiz]]),1)*IF(DATOS!BC$4="Sí",1/DATOS_[[% normaliz]:[% normaliz]],1)*(DATOS_[Conc.Sal.25])))))))),
0)</f>
        <v>0</v>
      </c>
      <c r="AI23" s="111">
        <f t="array" ref="AI23">IFERROR(
(MEDIAN((IF(DATOS_[[Sexo]:[Sexo]]=$B23,IF(DATOS_[[AGRUP. VALOR. PTO.]:[AGRUP. VALOR. PTO.]]=$B21,IF(DATOS_[[Check Periodo Ref.]:[Check Periodo Ref.]]="Dentro",IF(DATOS_[[Check Equiparado]:[Check Equiparado]]="Sí",IF(DATOS!BD$5="Sí",(1/DATOS_[[% anualiz]:[% anualiz]]),1)*IF(DATOS!BD$4="Sí",1/DATOS_[[% normaliz]:[% normaliz]],1)*(DATOS_[Conc.Sal.26])))))))),
0)</f>
        <v>0</v>
      </c>
      <c r="AJ23" s="111">
        <f t="array" ref="AJ23">IFERROR(
(MEDIAN((IF(DATOS_[[Sexo]:[Sexo]]=$B23,IF(DATOS_[[AGRUP. VALOR. PTO.]:[AGRUP. VALOR. PTO.]]=$B21,IF(DATOS_[[Check Periodo Ref.]:[Check Periodo Ref.]]="Dentro",IF(DATOS_[[Check Equiparado]:[Check Equiparado]]="Sí",IF(DATOS!BE$5="Sí",(1/DATOS_[[% anualiz]:[% anualiz]]),1)*IF(DATOS!BE$4="Sí",1/DATOS_[[% normaliz]:[% normaliz]],1)*(DATOS_[Conc.Sal.27])))))))),
0)</f>
        <v>0</v>
      </c>
      <c r="AK23" s="111">
        <f t="array" ref="AK23">IFERROR(
(MEDIAN((IF(DATOS_[[Sexo]:[Sexo]]=$B23,IF(DATOS_[[AGRUP. VALOR. PTO.]:[AGRUP. VALOR. PTO.]]=$B21,IF(DATOS_[[Check Periodo Ref.]:[Check Periodo Ref.]]="Dentro",IF(DATOS_[[Check Equiparado]:[Check Equiparado]]="Sí",IF(DATOS!BF$5="Sí",(1/DATOS_[[% anualiz]:[% anualiz]]),1)*IF(DATOS!BF$4="Sí",1/DATOS_[[% normaliz]:[% normaliz]],1)*(DATOS_[Conc.Sal.28])))))))),
0)</f>
        <v>0</v>
      </c>
      <c r="AL23" s="111">
        <f t="array" ref="AL23">IFERROR(
(MEDIAN((IF(DATOS_[[Sexo]:[Sexo]]=$B23,IF(DATOS_[[AGRUP. VALOR. PTO.]:[AGRUP. VALOR. PTO.]]=$B21,IF(DATOS_[[Check Periodo Ref.]:[Check Periodo Ref.]]="Dentro",IF(DATOS_[[Check Equiparado]:[Check Equiparado]]="Sí",IF(DATOS!BG$5="Sí",(1/DATOS_[[% anualiz]:[% anualiz]]),1)*IF(DATOS!BG$4="Sí",1/DATOS_[[% normaliz]:[% normaliz]],1)*(DATOS_[Conc.Sal.29])))))))),
0)</f>
        <v>0</v>
      </c>
      <c r="AM23" s="111">
        <f t="array" ref="AM23">IFERROR(
(MEDIAN((IF(DATOS_[[Sexo]:[Sexo]]=$B23,IF(DATOS_[[AGRUP. VALOR. PTO.]:[AGRUP. VALOR. PTO.]]=$B21,IF(DATOS_[[Check Periodo Ref.]:[Check Periodo Ref.]]="Dentro",IF(DATOS_[[Check Equiparado]:[Check Equiparado]]="Sí",IF(DATOS!BH$5="Sí",(1/DATOS_[[% anualiz]:[% anualiz]]),1)*IF(DATOS!BH$4="Sí",1/DATOS_[[% normaliz]:[% normaliz]],1)*(DATOS_[Conc.Sal.30])))))))),
0)</f>
        <v>0</v>
      </c>
      <c r="AN23" s="112">
        <f t="array" ref="AN23">IFERROR(
MEDIAN(IF(DATOS_[Sexo]=$B23,IF(DATOS_[[AGRUP. VALOR. PTO.]:[AGRUP. VALOR. PTO.]]=$B21,IF(DATOS_[Check Equiparado]="Sí",IF(DATOS_[Check Periodo Ref.]="Dentro",DATOS_[Tot COMPL.SAL Eq],FALSE))))),
0)</f>
        <v>5194.9763999999986</v>
      </c>
      <c r="AO23" s="113">
        <f t="array" ref="AO23">IFERROR(
MEDIAN(IF(DATOS_[Sexo]=$B23,IF(DATOS_[[AGRUP. VALOR. PTO.]:[AGRUP. VALOR. PTO.]]=$B21,IF(DATOS_[Check Equiparado]="Sí",IF(DATOS_[Check Periodo Ref.]="Dentro",DATOS_[TOTAL SALARIO Eq],FALSE))))),
0)</f>
        <v>22461.306400000001</v>
      </c>
      <c r="AP23" s="114">
        <f t="array" ref="AP23">IFERROR(
(MEDIAN((IF(DATOS_[[Sexo]:[Sexo]]=$B23,IF(DATOS_[[AGRUP. VALOR. PTO.]:[AGRUP. VALOR. PTO.]]=$B21,IF(DATOS_[[Check Periodo Ref.]:[Check Periodo Ref.]]="Dentro",IF(DATOS_[[Check Equiparado]:[Check Equiparado]]="Sí",IF(DATOS!BI$5="Sí",(1/DATOS_[[% anualiz]:[% anualiz]]),1)*IF(DATOS!BI$4="Sí",1/DATOS_[[% normaliz]:[% normaliz]],1)*(DATOS_[C.Extra.01])))))))),
0)</f>
        <v>0</v>
      </c>
      <c r="AQ23" s="114">
        <f t="array" ref="AQ23">IFERROR(
(MEDIAN((IF(DATOS_[[Sexo]:[Sexo]]=$B23,IF(DATOS_[[AGRUP. VALOR. PTO.]:[AGRUP. VALOR. PTO.]]=$B21,IF(DATOS_[[Check Periodo Ref.]:[Check Periodo Ref.]]="Dentro",IF(DATOS_[[Check Equiparado]:[Check Equiparado]]="Sí",IF(DATOS!BJ$5="Sí",(1/DATOS_[[% anualiz]:[% anualiz]]),1)*IF(DATOS!BJ$4="Sí",1/DATOS_[[% normaliz]:[% normaliz]],1)*(DATOS_[C.Extra.02])))))))),
0)</f>
        <v>0</v>
      </c>
      <c r="AR23" s="114">
        <f t="array" ref="AR23">IFERROR(
(MEDIAN((IF(DATOS_[[Sexo]:[Sexo]]=$B23,IF(DATOS_[[AGRUP. VALOR. PTO.]:[AGRUP. VALOR. PTO.]]=$B21,IF(DATOS_[[Check Periodo Ref.]:[Check Periodo Ref.]]="Dentro",IF(DATOS_[[Check Equiparado]:[Check Equiparado]]="Sí",IF(DATOS!BK$5="Sí",(1/DATOS_[[% anualiz]:[% anualiz]]),1)*IF(DATOS!BK$4="Sí",1/DATOS_[[% normaliz]:[% normaliz]],1)*(DATOS_[C.Extra.03])))))))),
0)</f>
        <v>0</v>
      </c>
      <c r="AS23" s="114">
        <f t="array" ref="AS23">IFERROR(
(MEDIAN((IF(DATOS_[[Sexo]:[Sexo]]=$B23,IF(DATOS_[[AGRUP. VALOR. PTO.]:[AGRUP. VALOR. PTO.]]=$B21,IF(DATOS_[[Check Periodo Ref.]:[Check Periodo Ref.]]="Dentro",IF(DATOS_[[Check Equiparado]:[Check Equiparado]]="Sí",IF(DATOS!BL$5="Sí",(1/DATOS_[[% anualiz]:[% anualiz]]),1)*IF(DATOS!BL$4="Sí",1/DATOS_[[% normaliz]:[% normaliz]],1)*(DATOS_[C.Extra.04])))))))),
0)</f>
        <v>0</v>
      </c>
      <c r="AT23" s="114">
        <f t="array" ref="AT23">IFERROR(
(MEDIAN((IF(DATOS_[[Sexo]:[Sexo]]=$B23,IF(DATOS_[[AGRUP. VALOR. PTO.]:[AGRUP. VALOR. PTO.]]=$B21,IF(DATOS_[[Check Periodo Ref.]:[Check Periodo Ref.]]="Dentro",IF(DATOS_[[Check Equiparado]:[Check Equiparado]]="Sí",IF(DATOS!BM$5="Sí",(1/DATOS_[[% anualiz]:[% anualiz]]),1)*IF(DATOS!BM$4="Sí",1/DATOS_[[% normaliz]:[% normaliz]],1)*(DATOS_[C.Extra.05])))))))),
0)</f>
        <v>0</v>
      </c>
      <c r="AU23" s="115">
        <f t="array" ref="AU23">IFERROR(
MEDIAN(IF(DATOS_[Sexo]=$B23,IF(DATOS_[[AGRUP. VALOR. PTO.]:[AGRUP. VALOR. PTO.]]=$B21,IF(DATOS_[Check Equiparado]="Sí",IF(DATOS_[Check Periodo Ref.]="Dentro",DATOS_[Tot Extrasalarial Eq],FALSE))))),
0)</f>
        <v>0</v>
      </c>
      <c r="AV23" s="116">
        <f t="array" ref="AV23">IFERROR(
MEDIAN(IF(DATOS_[Sexo]=$B23,IF(DATOS_[[AGRUP. VALOR. PTO.]:[AGRUP. VALOR. PTO.]]=$B21,IF(DATOS_[Check Equiparado]="Sí",IF(DATOS_[Check Periodo Ref.]="Dentro",DATOS_[TOTAL Retrib Eq],FALSE))))),
0)</f>
        <v>22461.306400000001</v>
      </c>
    </row>
    <row r="24" spans="1:48" ht="17.25" thickBot="1" x14ac:dyDescent="0.35">
      <c r="A24" s="42" t="str">
        <f t="shared" ref="A24" si="15">+A25</f>
        <v/>
      </c>
      <c r="B24" s="90" t="s">
        <v>309</v>
      </c>
      <c r="C24" s="109"/>
      <c r="D24" s="41"/>
      <c r="E24" s="41"/>
      <c r="F24" s="41"/>
      <c r="G24" s="41"/>
      <c r="H24" s="41"/>
      <c r="I24" s="119">
        <f t="shared" ref="I24:AV24" si="16">IFERROR((I25-I26)/I25,"")</f>
        <v>8.6914096804536947E-2</v>
      </c>
      <c r="J24" s="123">
        <f t="shared" si="16"/>
        <v>0.45420194399046437</v>
      </c>
      <c r="K24" s="123">
        <f t="shared" si="16"/>
        <v>4.3457048402268425E-2</v>
      </c>
      <c r="L24" s="123" t="str">
        <f t="shared" si="16"/>
        <v/>
      </c>
      <c r="M24" s="123" t="str">
        <f t="shared" si="16"/>
        <v/>
      </c>
      <c r="N24" s="123" t="str">
        <f t="shared" si="16"/>
        <v/>
      </c>
      <c r="O24" s="123" t="str">
        <f t="shared" si="16"/>
        <v/>
      </c>
      <c r="P24" s="123">
        <f t="shared" si="16"/>
        <v>0</v>
      </c>
      <c r="Q24" s="123">
        <f t="shared" si="16"/>
        <v>1</v>
      </c>
      <c r="R24" s="123" t="str">
        <f t="shared" si="16"/>
        <v/>
      </c>
      <c r="S24" s="123" t="str">
        <f t="shared" si="16"/>
        <v/>
      </c>
      <c r="T24" s="123" t="str">
        <f t="shared" si="16"/>
        <v/>
      </c>
      <c r="U24" s="123" t="str">
        <f t="shared" si="16"/>
        <v/>
      </c>
      <c r="V24" s="123" t="str">
        <f t="shared" si="16"/>
        <v/>
      </c>
      <c r="W24" s="123" t="str">
        <f t="shared" si="16"/>
        <v/>
      </c>
      <c r="X24" s="123" t="str">
        <f t="shared" si="16"/>
        <v/>
      </c>
      <c r="Y24" s="123" t="str">
        <f t="shared" si="16"/>
        <v/>
      </c>
      <c r="Z24" s="122" t="str">
        <f t="shared" si="16"/>
        <v/>
      </c>
      <c r="AA24" s="122" t="str">
        <f t="shared" si="16"/>
        <v/>
      </c>
      <c r="AB24" s="122" t="str">
        <f t="shared" si="16"/>
        <v/>
      </c>
      <c r="AC24" s="122" t="str">
        <f t="shared" si="16"/>
        <v/>
      </c>
      <c r="AD24" s="122" t="str">
        <f t="shared" si="16"/>
        <v/>
      </c>
      <c r="AE24" s="122" t="str">
        <f t="shared" si="16"/>
        <v/>
      </c>
      <c r="AF24" s="122" t="str">
        <f t="shared" si="16"/>
        <v/>
      </c>
      <c r="AG24" s="122" t="str">
        <f t="shared" si="16"/>
        <v/>
      </c>
      <c r="AH24" s="122" t="str">
        <f t="shared" si="16"/>
        <v/>
      </c>
      <c r="AI24" s="122" t="str">
        <f t="shared" si="16"/>
        <v/>
      </c>
      <c r="AJ24" s="122" t="str">
        <f t="shared" si="16"/>
        <v/>
      </c>
      <c r="AK24" s="122" t="str">
        <f t="shared" si="16"/>
        <v/>
      </c>
      <c r="AL24" s="122" t="str">
        <f t="shared" si="16"/>
        <v/>
      </c>
      <c r="AM24" s="122" t="str">
        <f t="shared" si="16"/>
        <v/>
      </c>
      <c r="AN24" s="124">
        <f t="shared" si="16"/>
        <v>0.66813745680672987</v>
      </c>
      <c r="AO24" s="128">
        <f t="shared" si="16"/>
        <v>0.27141142042987026</v>
      </c>
      <c r="AP24" s="125" t="str">
        <f t="shared" si="16"/>
        <v/>
      </c>
      <c r="AQ24" s="125" t="str">
        <f t="shared" si="16"/>
        <v/>
      </c>
      <c r="AR24" s="125" t="str">
        <f t="shared" si="16"/>
        <v/>
      </c>
      <c r="AS24" s="125" t="str">
        <f t="shared" si="16"/>
        <v/>
      </c>
      <c r="AT24" s="125" t="str">
        <f t="shared" si="16"/>
        <v/>
      </c>
      <c r="AU24" s="126" t="str">
        <f t="shared" si="16"/>
        <v/>
      </c>
      <c r="AV24" s="127">
        <f t="shared" si="16"/>
        <v>0.27141142042987026</v>
      </c>
    </row>
    <row r="25" spans="1:48" x14ac:dyDescent="0.3">
      <c r="A25" s="42" t="str">
        <f t="shared" ref="A25" si="17">+IF(C25+C26=0,"[ocultar]","")</f>
        <v/>
      </c>
      <c r="B25" s="86" t="s">
        <v>162</v>
      </c>
      <c r="C25" s="33">
        <f t="array" ref="C25">SUM(IF($B25=DATOS_[Sexo],
IF($B24=DATOS_[AGRUP. VALOR. PTO.],
IF("Dentro"=DATOS_[Check Periodo Ref.],
1/(COUNTIFS(DATOS_[Sexo],$B25,DATOS_[AGRUP. VALOR. PTO.],$B24,DATOS_[Check Periodo Ref.],"Dentro",DATOS_[id],DATOS_[id]))))))</f>
        <v>46</v>
      </c>
      <c r="D25" s="35">
        <f>COUNTIFS(DATOS_[AGRUP. VALOR. PTO.],$B24,DATOS_[Sexo],$B25,DATOS_[Check Periodo Ref.],"Dentro")</f>
        <v>47</v>
      </c>
      <c r="E25" s="35">
        <f>COUNTIFS(DATOS_[AGRUP. VALOR. PTO.],$B24,DATOS_[Sexo],$B25,DATOS_[Check Periodo Ref.],"Dentro",DATOS_[Check Nº SC Norm],"Sí")</f>
        <v>1</v>
      </c>
      <c r="F25" s="35">
        <f>COUNTIFS(DATOS_[AGRUP. VALOR. PTO.],$B24,DATOS_[Sexo],$B25,DATOS_[Check Periodo Ref.],"Dentro",DATOS_[Check Nº SC Anualiz],"Sí")</f>
        <v>6</v>
      </c>
      <c r="G25" s="35">
        <f>COUNTIFS(DATOS_[AGRUP. VALOR. PTO.],$B24,DATOS_[Sexo],$B25,DATOS_[Check Periodo Ref.],"Dentro",DATOS_[Check Nº SC Norm y Anualiz],"Sí")</f>
        <v>1</v>
      </c>
      <c r="H25" s="35">
        <f>COUNTIFS(DATOS_[AGRUP. VALOR. PTO.],$B24,DATOS_[Sexo],$B25,DATOS_[Check Periodo Ref.],"Dentro",DATOS_[Check Equiparación],"Sí")</f>
        <v>8</v>
      </c>
      <c r="I25" s="110">
        <f t="array" ref="I25">IFERROR(
MEDIAN(IF(DATOS_[Sexo]=$B25,IF(DATOS_[[AGRUP. VALOR. PTO.]:[AGRUP. VALOR. PTO.]]=$B24,IF(DATOS_[Check Equiparado]="Sí",IF(DATOS_[Check Periodo Ref.]="Dentro",DATOS_[SALARIO BASE Eq],FALSE))))),
0)</f>
        <v>15372.42</v>
      </c>
      <c r="J25" s="111">
        <f t="array" ref="J25">IFERROR(
(MEDIAN((IF(DATOS_[[Sexo]:[Sexo]]=$B25,IF(DATOS_[[AGRUP. VALOR. PTO.]:[AGRUP. VALOR. PTO.]]=$B24,IF(DATOS_[[Check Periodo Ref.]:[Check Periodo Ref.]]="Dentro",IF(DATOS_[[Check Equiparado]:[Check Equiparado]]="Sí",IF(DATOS!AE$5="Sí",(1/DATOS_[[% anualiz]:[% anualiz]]),1)*IF(DATOS!AE$4="Sí",1/DATOS_[[% normaliz]:[% normaliz]],1)*(DATOS_[Conc.Sal.01])))))))),
0)</f>
        <v>1627.58</v>
      </c>
      <c r="K25" s="111">
        <f t="array" ref="K25">IFERROR(
(MEDIAN((IF(DATOS_[[Sexo]:[Sexo]]=$B25,IF(DATOS_[[AGRUP. VALOR. PTO.]:[AGRUP. VALOR. PTO.]]=$B24,IF(DATOS_[[Check Periodo Ref.]:[Check Periodo Ref.]]="Dentro",IF(DATOS_[[Check Equiparado]:[Check Equiparado]]="Sí",IF(DATOS!AF$5="Sí",(1/DATOS_[[% anualiz]:[% anualiz]]),1)*IF(DATOS!AF$4="Sí",1/DATOS_[[% normaliz]:[% normaliz]],1)*(DATOS_[Conc.Sal.02])))))))),
0)</f>
        <v>1229.7936</v>
      </c>
      <c r="L25" s="111">
        <f t="array" ref="L25">IFERROR(
(MEDIAN((IF(DATOS_[[Sexo]:[Sexo]]=$B25,IF(DATOS_[[AGRUP. VALOR. PTO.]:[AGRUP. VALOR. PTO.]]=$B24,IF(DATOS_[[Check Periodo Ref.]:[Check Periodo Ref.]]="Dentro",IF(DATOS_[[Check Equiparado]:[Check Equiparado]]="Sí",IF(DATOS!AG$5="Sí",(1/DATOS_[[% anualiz]:[% anualiz]]),1)*IF(DATOS!AG$4="Sí",1/DATOS_[[% normaliz]:[% normaliz]],1)*(DATOS_[Conc.Sal.03])))))))),
0)</f>
        <v>0</v>
      </c>
      <c r="M25" s="111">
        <f t="array" ref="M25">IFERROR(
(MEDIAN((IF(DATOS_[[Sexo]:[Sexo]]=$B25,IF(DATOS_[[AGRUP. VALOR. PTO.]:[AGRUP. VALOR. PTO.]]=$B24,IF(DATOS_[[Check Periodo Ref.]:[Check Periodo Ref.]]="Dentro",IF(DATOS_[[Check Equiparado]:[Check Equiparado]]="Sí",IF(DATOS!AH$5="Sí",(1/DATOS_[[% anualiz]:[% anualiz]]),1)*IF(DATOS!AH$4="Sí",1/DATOS_[[% normaliz]:[% normaliz]],1)*(DATOS_[Conc.Sal.04])))))))),
0)</f>
        <v>0</v>
      </c>
      <c r="N25" s="111">
        <f t="array" ref="N25">IFERROR(
(MEDIAN((IF(DATOS_[[Sexo]:[Sexo]]=$B25,IF(DATOS_[[AGRUP. VALOR. PTO.]:[AGRUP. VALOR. PTO.]]=$B24,IF(DATOS_[[Check Periodo Ref.]:[Check Periodo Ref.]]="Dentro",IF(DATOS_[[Check Equiparado]:[Check Equiparado]]="Sí",IF(DATOS!AI$5="Sí",(1/DATOS_[[% anualiz]:[% anualiz]]),1)*IF(DATOS!AI$4="Sí",1/DATOS_[[% normaliz]:[% normaliz]],1)*(DATOS_[Conc.Sal.05])))))))),
0)</f>
        <v>0</v>
      </c>
      <c r="O25" s="111">
        <f t="array" ref="O25">IFERROR(
(MEDIAN((IF(DATOS_[[Sexo]:[Sexo]]=$B25,IF(DATOS_[[AGRUP. VALOR. PTO.]:[AGRUP. VALOR. PTO.]]=$B24,IF(DATOS_[[Check Periodo Ref.]:[Check Periodo Ref.]]="Dentro",IF(DATOS_[[Check Equiparado]:[Check Equiparado]]="Sí",IF(DATOS!AJ$5="Sí",(1/DATOS_[[% anualiz]:[% anualiz]]),1)*IF(DATOS!AJ$4="Sí",1/DATOS_[[% normaliz]:[% normaliz]],1)*(DATOS_[Conc.Sal.06])))))))),
0)</f>
        <v>0</v>
      </c>
      <c r="P25" s="111">
        <f t="array" ref="P25">IFERROR(
(MEDIAN((IF(DATOS_[[Sexo]:[Sexo]]=$B25,IF(DATOS_[[AGRUP. VALOR. PTO.]:[AGRUP. VALOR. PTO.]]=$B24,IF(DATOS_[[Check Periodo Ref.]:[Check Periodo Ref.]]="Dentro",IF(DATOS_[[Check Equiparado]:[Check Equiparado]]="Sí",IF(DATOS!AK$5="Sí",(1/DATOS_[[% anualiz]:[% anualiz]]),1)*IF(DATOS!AK$4="Sí",1/DATOS_[[% normaliz]:[% normaliz]],1)*(DATOS_[Conc.Sal.07])))))))),
0)</f>
        <v>80</v>
      </c>
      <c r="Q25" s="111">
        <f t="array" ref="Q25">IFERROR(
(MEDIAN((IF(DATOS_[[Sexo]:[Sexo]]=$B25,IF(DATOS_[[AGRUP. VALOR. PTO.]:[AGRUP. VALOR. PTO.]]=$B24,IF(DATOS_[[Check Periodo Ref.]:[Check Periodo Ref.]]="Dentro",IF(DATOS_[[Check Equiparado]:[Check Equiparado]]="Sí",IF(DATOS!AL$5="Sí",(1/DATOS_[[% anualiz]:[% anualiz]]),1)*IF(DATOS!AL$4="Sí",1/DATOS_[[% normaliz]:[% normaliz]],1)*(DATOS_[Conc.Sal.08])))))))),
0)</f>
        <v>6148.9680000000008</v>
      </c>
      <c r="R25" s="111">
        <f t="array" ref="R25">IFERROR(
(MEDIAN((IF(DATOS_[[Sexo]:[Sexo]]=$B25,IF(DATOS_[[AGRUP. VALOR. PTO.]:[AGRUP. VALOR. PTO.]]=$B24,IF(DATOS_[[Check Periodo Ref.]:[Check Periodo Ref.]]="Dentro",IF(DATOS_[[Check Equiparado]:[Check Equiparado]]="Sí",IF(DATOS!AM$5="Sí",(1/DATOS_[[% anualiz]:[% anualiz]]),1)*IF(DATOS!AM$4="Sí",1/DATOS_[[% normaliz]:[% normaliz]],1)*(DATOS_[Conc.Sal.09])))))))),
0)</f>
        <v>0</v>
      </c>
      <c r="S25" s="111">
        <f t="array" ref="S25">IFERROR(
(MEDIAN((IF(DATOS_[[Sexo]:[Sexo]]=$B25,IF(DATOS_[[AGRUP. VALOR. PTO.]:[AGRUP. VALOR. PTO.]]=$B24,IF(DATOS_[[Check Periodo Ref.]:[Check Periodo Ref.]]="Dentro",IF(DATOS_[[Check Equiparado]:[Check Equiparado]]="Sí",IF(DATOS!AN$5="Sí",(1/DATOS_[[% anualiz]:[% anualiz]]),1)*IF(DATOS!AN$4="Sí",1/DATOS_[[% normaliz]:[% normaliz]],1)*(DATOS_[Conc.Sal.10])))))))),
0)</f>
        <v>0</v>
      </c>
      <c r="T25" s="111">
        <f t="array" ref="T25">IFERROR(
(MEDIAN((IF(DATOS_[[Sexo]:[Sexo]]=$B25,IF(DATOS_[[AGRUP. VALOR. PTO.]:[AGRUP. VALOR. PTO.]]=$B24,IF(DATOS_[[Check Periodo Ref.]:[Check Periodo Ref.]]="Dentro",IF(DATOS_[[Check Equiparado]:[Check Equiparado]]="Sí",IF(DATOS!AO$5="Sí",(1/DATOS_[[% anualiz]:[% anualiz]]),1)*IF(DATOS!AO$4="Sí",1/DATOS_[[% normaliz]:[% normaliz]],1)*(DATOS_[Conc.Sal.11])))))))),
0)</f>
        <v>0</v>
      </c>
      <c r="U25" s="111">
        <f t="array" ref="U25">IFERROR(
(MEDIAN((IF(DATOS_[[Sexo]:[Sexo]]=$B25,IF(DATOS_[[AGRUP. VALOR. PTO.]:[AGRUP. VALOR. PTO.]]=$B24,IF(DATOS_[[Check Periodo Ref.]:[Check Periodo Ref.]]="Dentro",IF(DATOS_[[Check Equiparado]:[Check Equiparado]]="Sí",IF(DATOS!AP$5="Sí",(1/DATOS_[[% anualiz]:[% anualiz]]),1)*IF(DATOS!AP$4="Sí",1/DATOS_[[% normaliz]:[% normaliz]],1)*(DATOS_[Conc.Sal.12])))))))),
0)</f>
        <v>0</v>
      </c>
      <c r="V25" s="111">
        <f t="array" ref="V25">IFERROR(
(MEDIAN((IF(DATOS_[[Sexo]:[Sexo]]=$B25,IF(DATOS_[[AGRUP. VALOR. PTO.]:[AGRUP. VALOR. PTO.]]=$B24,IF(DATOS_[[Check Periodo Ref.]:[Check Periodo Ref.]]="Dentro",IF(DATOS_[[Check Equiparado]:[Check Equiparado]]="Sí",IF(DATOS!AQ$5="Sí",(1/DATOS_[[% anualiz]:[% anualiz]]),1)*IF(DATOS!AQ$4="Sí",1/DATOS_[[% normaliz]:[% normaliz]],1)*(DATOS_[Conc.Sal.13])))))))),
0)</f>
        <v>0</v>
      </c>
      <c r="W25" s="111">
        <f t="array" ref="W25">IFERROR(
(MEDIAN((IF(DATOS_[[Sexo]:[Sexo]]=$B25,IF(DATOS_[[AGRUP. VALOR. PTO.]:[AGRUP. VALOR. PTO.]]=$B24,IF(DATOS_[[Check Periodo Ref.]:[Check Periodo Ref.]]="Dentro",IF(DATOS_[[Check Equiparado]:[Check Equiparado]]="Sí",IF(DATOS!AR$5="Sí",(1/DATOS_[[% anualiz]:[% anualiz]]),1)*IF(DATOS!AR$4="Sí",1/DATOS_[[% normaliz]:[% normaliz]],1)*(DATOS_[Conc.Sal.14])))))))),
0)</f>
        <v>0</v>
      </c>
      <c r="X25" s="111">
        <f t="array" ref="X25">IFERROR(
(MEDIAN((IF(DATOS_[[Sexo]:[Sexo]]=$B25,IF(DATOS_[[AGRUP. VALOR. PTO.]:[AGRUP. VALOR. PTO.]]=$B24,IF(DATOS_[[Check Periodo Ref.]:[Check Periodo Ref.]]="Dentro",IF(DATOS_[[Check Equiparado]:[Check Equiparado]]="Sí",IF(DATOS!AS$5="Sí",(1/DATOS_[[% anualiz]:[% anualiz]]),1)*IF(DATOS!AS$4="Sí",1/DATOS_[[% normaliz]:[% normaliz]],1)*(DATOS_[Conc.Sal.15])))))))),
0)</f>
        <v>0</v>
      </c>
      <c r="Y25" s="111">
        <f t="array" ref="Y25">IFERROR(
(MEDIAN((IF(DATOS_[[Sexo]:[Sexo]]=$B25,IF(DATOS_[[AGRUP. VALOR. PTO.]:[AGRUP. VALOR. PTO.]]=$B24,IF(DATOS_[[Check Periodo Ref.]:[Check Periodo Ref.]]="Dentro",IF(DATOS_[[Check Equiparado]:[Check Equiparado]]="Sí",IF(DATOS!AT$5="Sí",(1/DATOS_[[% anualiz]:[% anualiz]]),1)*IF(DATOS!AT$4="Sí",1/DATOS_[[% normaliz]:[% normaliz]],1)*(DATOS_[Conc.Sal.16])))))))),
0)</f>
        <v>0</v>
      </c>
      <c r="Z25" s="111">
        <f t="array" ref="Z25">IFERROR(
(MEDIAN((IF(DATOS_[[Sexo]:[Sexo]]=$B25,IF(DATOS_[[AGRUP. VALOR. PTO.]:[AGRUP. VALOR. PTO.]]=$B24,IF(DATOS_[[Check Periodo Ref.]:[Check Periodo Ref.]]="Dentro",IF(DATOS_[[Check Equiparado]:[Check Equiparado]]="Sí",IF(DATOS!AU$5="Sí",(1/DATOS_[[% anualiz]:[% anualiz]]),1)*IF(DATOS!AU$4="Sí",1/DATOS_[[% normaliz]:[% normaliz]],1)*(DATOS_[Conc.Sal.17])))))))),
0)</f>
        <v>0</v>
      </c>
      <c r="AA25" s="111">
        <f t="array" ref="AA25">IFERROR(
(MEDIAN((IF(DATOS_[[Sexo]:[Sexo]]=$B25,IF(DATOS_[[AGRUP. VALOR. PTO.]:[AGRUP. VALOR. PTO.]]=$B24,IF(DATOS_[[Check Periodo Ref.]:[Check Periodo Ref.]]="Dentro",IF(DATOS_[[Check Equiparado]:[Check Equiparado]]="Sí",IF(DATOS!AV$5="Sí",(1/DATOS_[[% anualiz]:[% anualiz]]),1)*IF(DATOS!AV$4="Sí",1/DATOS_[[% normaliz]:[% normaliz]],1)*(DATOS_[Conc.Sal.18])))))))),
0)</f>
        <v>0</v>
      </c>
      <c r="AB25" s="111">
        <f t="array" ref="AB25">IFERROR(
(MEDIAN((IF(DATOS_[[Sexo]:[Sexo]]=$B25,IF(DATOS_[[AGRUP. VALOR. PTO.]:[AGRUP. VALOR. PTO.]]=$B24,IF(DATOS_[[Check Periodo Ref.]:[Check Periodo Ref.]]="Dentro",IF(DATOS_[[Check Equiparado]:[Check Equiparado]]="Sí",IF(DATOS!AW$5="Sí",(1/DATOS_[[% anualiz]:[% anualiz]]),1)*IF(DATOS!AW$4="Sí",1/DATOS_[[% normaliz]:[% normaliz]],1)*(DATOS_[Conc.Sal.19])))))))),
0)</f>
        <v>0</v>
      </c>
      <c r="AC25" s="111">
        <f t="array" ref="AC25">IFERROR(
(MEDIAN((IF(DATOS_[[Sexo]:[Sexo]]=$B25,IF(DATOS_[[AGRUP. VALOR. PTO.]:[AGRUP. VALOR. PTO.]]=$B24,IF(DATOS_[[Check Periodo Ref.]:[Check Periodo Ref.]]="Dentro",IF(DATOS_[[Check Equiparado]:[Check Equiparado]]="Sí",IF(DATOS!AX$5="Sí",(1/DATOS_[[% anualiz]:[% anualiz]]),1)*IF(DATOS!AX$4="Sí",1/DATOS_[[% normaliz]:[% normaliz]],1)*(DATOS_[Conc.Sal.20])))))))),
0)</f>
        <v>0</v>
      </c>
      <c r="AD25" s="111">
        <f t="array" ref="AD25">IFERROR(
(MEDIAN((IF(DATOS_[[Sexo]:[Sexo]]=$B25,IF(DATOS_[[AGRUP. VALOR. PTO.]:[AGRUP. VALOR. PTO.]]=$B24,IF(DATOS_[[Check Periodo Ref.]:[Check Periodo Ref.]]="Dentro",IF(DATOS_[[Check Equiparado]:[Check Equiparado]]="Sí",IF(DATOS!AY$5="Sí",(1/DATOS_[[% anualiz]:[% anualiz]]),1)*IF(DATOS!AY$4="Sí",1/DATOS_[[% normaliz]:[% normaliz]],1)*(DATOS_[Conc.Sal.21])))))))),
0)</f>
        <v>0</v>
      </c>
      <c r="AE25" s="111">
        <f t="array" ref="AE25">IFERROR(
(MEDIAN((IF(DATOS_[[Sexo]:[Sexo]]=$B25,IF(DATOS_[[AGRUP. VALOR. PTO.]:[AGRUP. VALOR. PTO.]]=$B24,IF(DATOS_[[Check Periodo Ref.]:[Check Periodo Ref.]]="Dentro",IF(DATOS_[[Check Equiparado]:[Check Equiparado]]="Sí",IF(DATOS!AZ$5="Sí",(1/DATOS_[[% anualiz]:[% anualiz]]),1)*IF(DATOS!AZ$4="Sí",1/DATOS_[[% normaliz]:[% normaliz]],1)*(DATOS_[Conc.Sal.22])))))))),
0)</f>
        <v>0</v>
      </c>
      <c r="AF25" s="111">
        <f t="array" ref="AF25">IFERROR(
(MEDIAN((IF(DATOS_[[Sexo]:[Sexo]]=$B25,IF(DATOS_[[AGRUP. VALOR. PTO.]:[AGRUP. VALOR. PTO.]]=$B24,IF(DATOS_[[Check Periodo Ref.]:[Check Periodo Ref.]]="Dentro",IF(DATOS_[[Check Equiparado]:[Check Equiparado]]="Sí",IF(DATOS!BA$5="Sí",(1/DATOS_[[% anualiz]:[% anualiz]]),1)*IF(DATOS!BA$4="Sí",1/DATOS_[[% normaliz]:[% normaliz]],1)*(DATOS_[Conc.Sal.23])))))))),
0)</f>
        <v>0</v>
      </c>
      <c r="AG25" s="111">
        <f t="array" ref="AG25">IFERROR(
(MEDIAN((IF(DATOS_[[Sexo]:[Sexo]]=$B25,IF(DATOS_[[AGRUP. VALOR. PTO.]:[AGRUP. VALOR. PTO.]]=$B24,IF(DATOS_[[Check Periodo Ref.]:[Check Periodo Ref.]]="Dentro",IF(DATOS_[[Check Equiparado]:[Check Equiparado]]="Sí",IF(DATOS!BB$5="Sí",(1/DATOS_[[% anualiz]:[% anualiz]]),1)*IF(DATOS!BB$4="Sí",1/DATOS_[[% normaliz]:[% normaliz]],1)*(DATOS_[Conc.Sal.24])))))))),
0)</f>
        <v>0</v>
      </c>
      <c r="AH25" s="111">
        <f t="array" ref="AH25">IFERROR(
(MEDIAN((IF(DATOS_[[Sexo]:[Sexo]]=$B25,IF(DATOS_[[AGRUP. VALOR. PTO.]:[AGRUP. VALOR. PTO.]]=$B24,IF(DATOS_[[Check Periodo Ref.]:[Check Periodo Ref.]]="Dentro",IF(DATOS_[[Check Equiparado]:[Check Equiparado]]="Sí",IF(DATOS!BC$5="Sí",(1/DATOS_[[% anualiz]:[% anualiz]]),1)*IF(DATOS!BC$4="Sí",1/DATOS_[[% normaliz]:[% normaliz]],1)*(DATOS_[Conc.Sal.25])))))))),
0)</f>
        <v>0</v>
      </c>
      <c r="AI25" s="111">
        <f t="array" ref="AI25">IFERROR(
(MEDIAN((IF(DATOS_[[Sexo]:[Sexo]]=$B25,IF(DATOS_[[AGRUP. VALOR. PTO.]:[AGRUP. VALOR. PTO.]]=$B24,IF(DATOS_[[Check Periodo Ref.]:[Check Periodo Ref.]]="Dentro",IF(DATOS_[[Check Equiparado]:[Check Equiparado]]="Sí",IF(DATOS!BD$5="Sí",(1/DATOS_[[% anualiz]:[% anualiz]]),1)*IF(DATOS!BD$4="Sí",1/DATOS_[[% normaliz]:[% normaliz]],1)*(DATOS_[Conc.Sal.26])))))))),
0)</f>
        <v>0</v>
      </c>
      <c r="AJ25" s="111">
        <f t="array" ref="AJ25">IFERROR(
(MEDIAN((IF(DATOS_[[Sexo]:[Sexo]]=$B25,IF(DATOS_[[AGRUP. VALOR. PTO.]:[AGRUP. VALOR. PTO.]]=$B24,IF(DATOS_[[Check Periodo Ref.]:[Check Periodo Ref.]]="Dentro",IF(DATOS_[[Check Equiparado]:[Check Equiparado]]="Sí",IF(DATOS!BE$5="Sí",(1/DATOS_[[% anualiz]:[% anualiz]]),1)*IF(DATOS!BE$4="Sí",1/DATOS_[[% normaliz]:[% normaliz]],1)*(DATOS_[Conc.Sal.27])))))))),
0)</f>
        <v>0</v>
      </c>
      <c r="AK25" s="111">
        <f t="array" ref="AK25">IFERROR(
(MEDIAN((IF(DATOS_[[Sexo]:[Sexo]]=$B25,IF(DATOS_[[AGRUP. VALOR. PTO.]:[AGRUP. VALOR. PTO.]]=$B24,IF(DATOS_[[Check Periodo Ref.]:[Check Periodo Ref.]]="Dentro",IF(DATOS_[[Check Equiparado]:[Check Equiparado]]="Sí",IF(DATOS!BF$5="Sí",(1/DATOS_[[% anualiz]:[% anualiz]]),1)*IF(DATOS!BF$4="Sí",1/DATOS_[[% normaliz]:[% normaliz]],1)*(DATOS_[Conc.Sal.28])))))))),
0)</f>
        <v>0</v>
      </c>
      <c r="AL25" s="111">
        <f t="array" ref="AL25">IFERROR(
(MEDIAN((IF(DATOS_[[Sexo]:[Sexo]]=$B25,IF(DATOS_[[AGRUP. VALOR. PTO.]:[AGRUP. VALOR. PTO.]]=$B24,IF(DATOS_[[Check Periodo Ref.]:[Check Periodo Ref.]]="Dentro",IF(DATOS_[[Check Equiparado]:[Check Equiparado]]="Sí",IF(DATOS!BG$5="Sí",(1/DATOS_[[% anualiz]:[% anualiz]]),1)*IF(DATOS!BG$4="Sí",1/DATOS_[[% normaliz]:[% normaliz]],1)*(DATOS_[Conc.Sal.29])))))))),
0)</f>
        <v>0</v>
      </c>
      <c r="AM25" s="111">
        <f t="array" ref="AM25">IFERROR(
(MEDIAN((IF(DATOS_[[Sexo]:[Sexo]]=$B25,IF(DATOS_[[AGRUP. VALOR. PTO.]:[AGRUP. VALOR. PTO.]]=$B24,IF(DATOS_[[Check Periodo Ref.]:[Check Periodo Ref.]]="Dentro",IF(DATOS_[[Check Equiparado]:[Check Equiparado]]="Sí",IF(DATOS!BH$5="Sí",(1/DATOS_[[% anualiz]:[% anualiz]]),1)*IF(DATOS!BH$4="Sí",1/DATOS_[[% normaliz]:[% normaliz]],1)*(DATOS_[Conc.Sal.30])))))))),
0)</f>
        <v>0</v>
      </c>
      <c r="AN25" s="112">
        <f t="array" ref="AN25">IFERROR(
MEDIAN(IF(DATOS_[Sexo]=$B25,IF(DATOS_[[AGRUP. VALOR. PTO.]:[AGRUP. VALOR. PTO.]]=$B24,IF(DATOS_[Check Equiparado]="Sí",IF(DATOS_[Check Periodo Ref.]="Dentro",DATOS_[Tot COMPL.SAL Eq],FALSE))))),
0)</f>
        <v>7856.5480000000007</v>
      </c>
      <c r="AO25" s="113">
        <f t="array" ref="AO25">IFERROR(
MEDIAN(IF(DATOS_[Sexo]=$B25,IF(DATOS_[[AGRUP. VALOR. PTO.]:[AGRUP. VALOR. PTO.]]=$B24,IF(DATOS_[Check Equiparado]="Sí",IF(DATOS_[Check Periodo Ref.]="Dentro",DATOS_[TOTAL SALARIO Eq],FALSE))))),
0)</f>
        <v>23228.968000000001</v>
      </c>
      <c r="AP25" s="114">
        <f t="array" ref="AP25">IFERROR(
(MEDIAN((IF(DATOS_[[Sexo]:[Sexo]]=$B25,IF(DATOS_[[AGRUP. VALOR. PTO.]:[AGRUP. VALOR. PTO.]]=$B24,IF(DATOS_[[Check Periodo Ref.]:[Check Periodo Ref.]]="Dentro",IF(DATOS_[[Check Equiparado]:[Check Equiparado]]="Sí",IF(DATOS!BI$5="Sí",(1/DATOS_[[% anualiz]:[% anualiz]]),1)*IF(DATOS!BI$4="Sí",1/DATOS_[[% normaliz]:[% normaliz]],1)*(DATOS_[C.Extra.01])))))))),
0)</f>
        <v>0</v>
      </c>
      <c r="AQ25" s="114">
        <f t="array" ref="AQ25">IFERROR(
(MEDIAN((IF(DATOS_[[Sexo]:[Sexo]]=$B25,IF(DATOS_[[AGRUP. VALOR. PTO.]:[AGRUP. VALOR. PTO.]]=$B24,IF(DATOS_[[Check Periodo Ref.]:[Check Periodo Ref.]]="Dentro",IF(DATOS_[[Check Equiparado]:[Check Equiparado]]="Sí",IF(DATOS!BJ$5="Sí",(1/DATOS_[[% anualiz]:[% anualiz]]),1)*IF(DATOS!BJ$4="Sí",1/DATOS_[[% normaliz]:[% normaliz]],1)*(DATOS_[C.Extra.02])))))))),
0)</f>
        <v>0</v>
      </c>
      <c r="AR25" s="114">
        <f t="array" ref="AR25">IFERROR(
(MEDIAN((IF(DATOS_[[Sexo]:[Sexo]]=$B25,IF(DATOS_[[AGRUP. VALOR. PTO.]:[AGRUP. VALOR. PTO.]]=$B24,IF(DATOS_[[Check Periodo Ref.]:[Check Periodo Ref.]]="Dentro",IF(DATOS_[[Check Equiparado]:[Check Equiparado]]="Sí",IF(DATOS!BK$5="Sí",(1/DATOS_[[% anualiz]:[% anualiz]]),1)*IF(DATOS!BK$4="Sí",1/DATOS_[[% normaliz]:[% normaliz]],1)*(DATOS_[C.Extra.03])))))))),
0)</f>
        <v>0</v>
      </c>
      <c r="AS25" s="114">
        <f t="array" ref="AS25">IFERROR(
(MEDIAN((IF(DATOS_[[Sexo]:[Sexo]]=$B25,IF(DATOS_[[AGRUP. VALOR. PTO.]:[AGRUP. VALOR. PTO.]]=$B24,IF(DATOS_[[Check Periodo Ref.]:[Check Periodo Ref.]]="Dentro",IF(DATOS_[[Check Equiparado]:[Check Equiparado]]="Sí",IF(DATOS!BL$5="Sí",(1/DATOS_[[% anualiz]:[% anualiz]]),1)*IF(DATOS!BL$4="Sí",1/DATOS_[[% normaliz]:[% normaliz]],1)*(DATOS_[C.Extra.04])))))))),
0)</f>
        <v>0</v>
      </c>
      <c r="AT25" s="114">
        <f t="array" ref="AT25">IFERROR(
(MEDIAN((IF(DATOS_[[Sexo]:[Sexo]]=$B25,IF(DATOS_[[AGRUP. VALOR. PTO.]:[AGRUP. VALOR. PTO.]]=$B24,IF(DATOS_[[Check Periodo Ref.]:[Check Periodo Ref.]]="Dentro",IF(DATOS_[[Check Equiparado]:[Check Equiparado]]="Sí",IF(DATOS!BM$5="Sí",(1/DATOS_[[% anualiz]:[% anualiz]]),1)*IF(DATOS!BM$4="Sí",1/DATOS_[[% normaliz]:[% normaliz]],1)*(DATOS_[C.Extra.05])))))))),
0)</f>
        <v>0</v>
      </c>
      <c r="AU25" s="115">
        <f t="array" ref="AU25">IFERROR(
MEDIAN(IF(DATOS_[Sexo]=$B25,IF(DATOS_[[AGRUP. VALOR. PTO.]:[AGRUP. VALOR. PTO.]]=$B24,IF(DATOS_[Check Equiparado]="Sí",IF(DATOS_[Check Periodo Ref.]="Dentro",DATOS_[Tot Extrasalarial Eq],FALSE))))),
0)</f>
        <v>0</v>
      </c>
      <c r="AV25" s="116">
        <f t="array" ref="AV25">IFERROR(
MEDIAN(IF(DATOS_[Sexo]=$B25,IF(DATOS_[[AGRUP. VALOR. PTO.]:[AGRUP. VALOR. PTO.]]=$B24,IF(DATOS_[Check Equiparado]="Sí",IF(DATOS_[Check Periodo Ref.]="Dentro",DATOS_[TOTAL Retrib Eq],FALSE))))),
0)</f>
        <v>23228.968000000001</v>
      </c>
    </row>
    <row r="26" spans="1:48" x14ac:dyDescent="0.3">
      <c r="A26" s="42" t="str">
        <f t="shared" ref="A26" si="18">+A25</f>
        <v/>
      </c>
      <c r="B26" s="86" t="s">
        <v>163</v>
      </c>
      <c r="C26" s="33">
        <f t="array" ref="C26">SUM(IF($B26=DATOS_[Sexo],
IF($B24=DATOS_[AGRUP. VALOR. PTO.],
IF("Dentro"=DATOS_[Check Periodo Ref.],
1/(COUNTIFS(DATOS_[Sexo],$B26,DATOS_[AGRUP. VALOR. PTO.],$B24,DATOS_[Check Periodo Ref.],"Dentro",DATOS_[id],DATOS_[id]))))))</f>
        <v>38</v>
      </c>
      <c r="D26" s="35">
        <f>COUNTIFS(DATOS_[AGRUP. VALOR. PTO.],$B24,DATOS_[Sexo],$B26,DATOS_[Check Periodo Ref.],"Dentro")</f>
        <v>38</v>
      </c>
      <c r="E26" s="35">
        <f>COUNTIFS(DATOS_[AGRUP. VALOR. PTO.],$B24,DATOS_[Sexo],$B26,DATOS_[Check Periodo Ref.],"Dentro",DATOS_[Check Nº SC Norm],"Sí")</f>
        <v>5</v>
      </c>
      <c r="F26" s="35">
        <f>COUNTIFS(DATOS_[AGRUP. VALOR. PTO.],$B24,DATOS_[Sexo],$B26,DATOS_[Check Periodo Ref.],"Dentro",DATOS_[Check Nº SC Anualiz],"Sí")</f>
        <v>3</v>
      </c>
      <c r="G26" s="35">
        <f>COUNTIFS(DATOS_[AGRUP. VALOR. PTO.],$B24,DATOS_[Sexo],$B26,DATOS_[Check Periodo Ref.],"Dentro",DATOS_[Check Nº SC Norm y Anualiz],"Sí")</f>
        <v>0</v>
      </c>
      <c r="H26" s="35">
        <f>COUNTIFS(DATOS_[AGRUP. VALOR. PTO.],$B24,DATOS_[Sexo],$B26,DATOS_[Check Periodo Ref.],"Dentro",DATOS_[Check Equiparación],"Sí")</f>
        <v>8</v>
      </c>
      <c r="I26" s="110" cm="1">
        <f t="array" ref="I26">IFERROR(
MEDIAN(IF(DATOS_[Sexo]=$B26,IF(DATOS_[[AGRUP. VALOR. PTO.]:[AGRUP. VALOR. PTO.]]=$B24,IF(DATOS_[Check Equiparado]="Sí",IF(DATOS_[Check Periodo Ref.]="Dentro",DATOS_[SALARIO BASE Eq],FALSE))))),
0)</f>
        <v>14036.34</v>
      </c>
      <c r="J26" s="111">
        <f t="array" ref="J26">IFERROR(
(MEDIAN((IF(DATOS_[[Sexo]:[Sexo]]=$B26,IF(DATOS_[[AGRUP. VALOR. PTO.]:[AGRUP. VALOR. PTO.]]=$B24,IF(DATOS_[[Check Periodo Ref.]:[Check Periodo Ref.]]="Dentro",IF(DATOS_[[Check Equiparado]:[Check Equiparado]]="Sí",IF(DATOS!AE$5="Sí",(1/DATOS_[[% anualiz]:[% anualiz]]),1)*IF(DATOS!AE$4="Sí",1/DATOS_[[% normaliz]:[% normaliz]],1)*(DATOS_[Conc.Sal.01])))))))),
0)</f>
        <v>888.32999999999993</v>
      </c>
      <c r="K26" s="111">
        <f t="array" ref="K26">IFERROR(
(MEDIAN((IF(DATOS_[[Sexo]:[Sexo]]=$B26,IF(DATOS_[[AGRUP. VALOR. PTO.]:[AGRUP. VALOR. PTO.]]=$B24,IF(DATOS_[[Check Periodo Ref.]:[Check Periodo Ref.]]="Dentro",IF(DATOS_[[Check Equiparado]:[Check Equiparado]]="Sí",IF(DATOS!AF$5="Sí",(1/DATOS_[[% anualiz]:[% anualiz]]),1)*IF(DATOS!AF$4="Sí",1/DATOS_[[% normaliz]:[% normaliz]],1)*(DATOS_[Conc.Sal.02])))))))),
0)</f>
        <v>1176.3504</v>
      </c>
      <c r="L26" s="111">
        <f t="array" ref="L26">IFERROR(
(MEDIAN((IF(DATOS_[[Sexo]:[Sexo]]=$B26,IF(DATOS_[[AGRUP. VALOR. PTO.]:[AGRUP. VALOR. PTO.]]=$B24,IF(DATOS_[[Check Periodo Ref.]:[Check Periodo Ref.]]="Dentro",IF(DATOS_[[Check Equiparado]:[Check Equiparado]]="Sí",IF(DATOS!AG$5="Sí",(1/DATOS_[[% anualiz]:[% anualiz]]),1)*IF(DATOS!AG$4="Sí",1/DATOS_[[% normaliz]:[% normaliz]],1)*(DATOS_[Conc.Sal.03])))))))),
0)</f>
        <v>0</v>
      </c>
      <c r="M26" s="111">
        <f t="array" ref="M26">IFERROR(
(MEDIAN((IF(DATOS_[[Sexo]:[Sexo]]=$B26,IF(DATOS_[[AGRUP. VALOR. PTO.]:[AGRUP. VALOR. PTO.]]=$B24,IF(DATOS_[[Check Periodo Ref.]:[Check Periodo Ref.]]="Dentro",IF(DATOS_[[Check Equiparado]:[Check Equiparado]]="Sí",IF(DATOS!AH$5="Sí",(1/DATOS_[[% anualiz]:[% anualiz]]),1)*IF(DATOS!AH$4="Sí",1/DATOS_[[% normaliz]:[% normaliz]],1)*(DATOS_[Conc.Sal.04])))))))),
0)</f>
        <v>0</v>
      </c>
      <c r="N26" s="111">
        <f t="array" ref="N26">IFERROR(
(MEDIAN((IF(DATOS_[[Sexo]:[Sexo]]=$B26,IF(DATOS_[[AGRUP. VALOR. PTO.]:[AGRUP. VALOR. PTO.]]=$B24,IF(DATOS_[[Check Periodo Ref.]:[Check Periodo Ref.]]="Dentro",IF(DATOS_[[Check Equiparado]:[Check Equiparado]]="Sí",IF(DATOS!AI$5="Sí",(1/DATOS_[[% anualiz]:[% anualiz]]),1)*IF(DATOS!AI$4="Sí",1/DATOS_[[% normaliz]:[% normaliz]],1)*(DATOS_[Conc.Sal.05])))))))),
0)</f>
        <v>0</v>
      </c>
      <c r="O26" s="111">
        <f t="array" ref="O26">IFERROR(
(MEDIAN((IF(DATOS_[[Sexo]:[Sexo]]=$B26,IF(DATOS_[[AGRUP. VALOR. PTO.]:[AGRUP. VALOR. PTO.]]=$B24,IF(DATOS_[[Check Periodo Ref.]:[Check Periodo Ref.]]="Dentro",IF(DATOS_[[Check Equiparado]:[Check Equiparado]]="Sí",IF(DATOS!AJ$5="Sí",(1/DATOS_[[% anualiz]:[% anualiz]]),1)*IF(DATOS!AJ$4="Sí",1/DATOS_[[% normaliz]:[% normaliz]],1)*(DATOS_[Conc.Sal.06])))))))),
0)</f>
        <v>0</v>
      </c>
      <c r="P26" s="111">
        <f t="array" ref="P26">IFERROR(
(MEDIAN((IF(DATOS_[[Sexo]:[Sexo]]=$B26,IF(DATOS_[[AGRUP. VALOR. PTO.]:[AGRUP. VALOR. PTO.]]=$B24,IF(DATOS_[[Check Periodo Ref.]:[Check Periodo Ref.]]="Dentro",IF(DATOS_[[Check Equiparado]:[Check Equiparado]]="Sí",IF(DATOS!AK$5="Sí",(1/DATOS_[[% anualiz]:[% anualiz]]),1)*IF(DATOS!AK$4="Sí",1/DATOS_[[% normaliz]:[% normaliz]],1)*(DATOS_[Conc.Sal.07])))))))),
0)</f>
        <v>80</v>
      </c>
      <c r="Q26" s="111">
        <f t="array" ref="Q26">IFERROR(
(MEDIAN((IF(DATOS_[[Sexo]:[Sexo]]=$B26,IF(DATOS_[[AGRUP. VALOR. PTO.]:[AGRUP. VALOR. PTO.]]=$B24,IF(DATOS_[[Check Periodo Ref.]:[Check Periodo Ref.]]="Dentro",IF(DATOS_[[Check Equiparado]:[Check Equiparado]]="Sí",IF(DATOS!AL$5="Sí",(1/DATOS_[[% anualiz]:[% anualiz]]),1)*IF(DATOS!AL$4="Sí",1/DATOS_[[% normaliz]:[% normaliz]],1)*(DATOS_[Conc.Sal.08])))))))),
0)</f>
        <v>0</v>
      </c>
      <c r="R26" s="111">
        <f t="array" ref="R26">IFERROR(
(MEDIAN((IF(DATOS_[[Sexo]:[Sexo]]=$B26,IF(DATOS_[[AGRUP. VALOR. PTO.]:[AGRUP. VALOR. PTO.]]=$B24,IF(DATOS_[[Check Periodo Ref.]:[Check Periodo Ref.]]="Dentro",IF(DATOS_[[Check Equiparado]:[Check Equiparado]]="Sí",IF(DATOS!AM$5="Sí",(1/DATOS_[[% anualiz]:[% anualiz]]),1)*IF(DATOS!AM$4="Sí",1/DATOS_[[% normaliz]:[% normaliz]],1)*(DATOS_[Conc.Sal.09])))))))),
0)</f>
        <v>0</v>
      </c>
      <c r="S26" s="111">
        <f t="array" ref="S26">IFERROR(
(MEDIAN((IF(DATOS_[[Sexo]:[Sexo]]=$B26,IF(DATOS_[[AGRUP. VALOR. PTO.]:[AGRUP. VALOR. PTO.]]=$B24,IF(DATOS_[[Check Periodo Ref.]:[Check Periodo Ref.]]="Dentro",IF(DATOS_[[Check Equiparado]:[Check Equiparado]]="Sí",IF(DATOS!AN$5="Sí",(1/DATOS_[[% anualiz]:[% anualiz]]),1)*IF(DATOS!AN$4="Sí",1/DATOS_[[% normaliz]:[% normaliz]],1)*(DATOS_[Conc.Sal.10])))))))),
0)</f>
        <v>0</v>
      </c>
      <c r="T26" s="111">
        <f t="array" ref="T26">IFERROR(
(MEDIAN((IF(DATOS_[[Sexo]:[Sexo]]=$B26,IF(DATOS_[[AGRUP. VALOR. PTO.]:[AGRUP. VALOR. PTO.]]=$B24,IF(DATOS_[[Check Periodo Ref.]:[Check Periodo Ref.]]="Dentro",IF(DATOS_[[Check Equiparado]:[Check Equiparado]]="Sí",IF(DATOS!AO$5="Sí",(1/DATOS_[[% anualiz]:[% anualiz]]),1)*IF(DATOS!AO$4="Sí",1/DATOS_[[% normaliz]:[% normaliz]],1)*(DATOS_[Conc.Sal.11])))))))),
0)</f>
        <v>0</v>
      </c>
      <c r="U26" s="111">
        <f t="array" ref="U26">IFERROR(
(MEDIAN((IF(DATOS_[[Sexo]:[Sexo]]=$B26,IF(DATOS_[[AGRUP. VALOR. PTO.]:[AGRUP. VALOR. PTO.]]=$B24,IF(DATOS_[[Check Periodo Ref.]:[Check Periodo Ref.]]="Dentro",IF(DATOS_[[Check Equiparado]:[Check Equiparado]]="Sí",IF(DATOS!AP$5="Sí",(1/DATOS_[[% anualiz]:[% anualiz]]),1)*IF(DATOS!AP$4="Sí",1/DATOS_[[% normaliz]:[% normaliz]],1)*(DATOS_[Conc.Sal.12])))))))),
0)</f>
        <v>0</v>
      </c>
      <c r="V26" s="111">
        <f t="array" ref="V26">IFERROR(
(MEDIAN((IF(DATOS_[[Sexo]:[Sexo]]=$B26,IF(DATOS_[[AGRUP. VALOR. PTO.]:[AGRUP. VALOR. PTO.]]=$B24,IF(DATOS_[[Check Periodo Ref.]:[Check Periodo Ref.]]="Dentro",IF(DATOS_[[Check Equiparado]:[Check Equiparado]]="Sí",IF(DATOS!AQ$5="Sí",(1/DATOS_[[% anualiz]:[% anualiz]]),1)*IF(DATOS!AQ$4="Sí",1/DATOS_[[% normaliz]:[% normaliz]],1)*(DATOS_[Conc.Sal.13])))))))),
0)</f>
        <v>0</v>
      </c>
      <c r="W26" s="111">
        <f t="array" ref="W26">IFERROR(
(MEDIAN((IF(DATOS_[[Sexo]:[Sexo]]=$B26,IF(DATOS_[[AGRUP. VALOR. PTO.]:[AGRUP. VALOR. PTO.]]=$B24,IF(DATOS_[[Check Periodo Ref.]:[Check Periodo Ref.]]="Dentro",IF(DATOS_[[Check Equiparado]:[Check Equiparado]]="Sí",IF(DATOS!AR$5="Sí",(1/DATOS_[[% anualiz]:[% anualiz]]),1)*IF(DATOS!AR$4="Sí",1/DATOS_[[% normaliz]:[% normaliz]],1)*(DATOS_[Conc.Sal.14])))))))),
0)</f>
        <v>0</v>
      </c>
      <c r="X26" s="111">
        <f t="array" ref="X26">IFERROR(
(MEDIAN((IF(DATOS_[[Sexo]:[Sexo]]=$B26,IF(DATOS_[[AGRUP. VALOR. PTO.]:[AGRUP. VALOR. PTO.]]=$B24,IF(DATOS_[[Check Periodo Ref.]:[Check Periodo Ref.]]="Dentro",IF(DATOS_[[Check Equiparado]:[Check Equiparado]]="Sí",IF(DATOS!AS$5="Sí",(1/DATOS_[[% anualiz]:[% anualiz]]),1)*IF(DATOS!AS$4="Sí",1/DATOS_[[% normaliz]:[% normaliz]],1)*(DATOS_[Conc.Sal.15])))))))),
0)</f>
        <v>0</v>
      </c>
      <c r="Y26" s="111">
        <f t="array" ref="Y26">IFERROR(
(MEDIAN((IF(DATOS_[[Sexo]:[Sexo]]=$B26,IF(DATOS_[[AGRUP. VALOR. PTO.]:[AGRUP. VALOR. PTO.]]=$B24,IF(DATOS_[[Check Periodo Ref.]:[Check Periodo Ref.]]="Dentro",IF(DATOS_[[Check Equiparado]:[Check Equiparado]]="Sí",IF(DATOS!AT$5="Sí",(1/DATOS_[[% anualiz]:[% anualiz]]),1)*IF(DATOS!AT$4="Sí",1/DATOS_[[% normaliz]:[% normaliz]],1)*(DATOS_[Conc.Sal.16])))))))),
0)</f>
        <v>0</v>
      </c>
      <c r="Z26" s="111">
        <f t="array" ref="Z26">IFERROR(
(MEDIAN((IF(DATOS_[[Sexo]:[Sexo]]=$B26,IF(DATOS_[[AGRUP. VALOR. PTO.]:[AGRUP. VALOR. PTO.]]=$B24,IF(DATOS_[[Check Periodo Ref.]:[Check Periodo Ref.]]="Dentro",IF(DATOS_[[Check Equiparado]:[Check Equiparado]]="Sí",IF(DATOS!AU$5="Sí",(1/DATOS_[[% anualiz]:[% anualiz]]),1)*IF(DATOS!AU$4="Sí",1/DATOS_[[% normaliz]:[% normaliz]],1)*(DATOS_[Conc.Sal.17])))))))),
0)</f>
        <v>0</v>
      </c>
      <c r="AA26" s="111">
        <f t="array" ref="AA26">IFERROR(
(MEDIAN((IF(DATOS_[[Sexo]:[Sexo]]=$B26,IF(DATOS_[[AGRUP. VALOR. PTO.]:[AGRUP. VALOR. PTO.]]=$B24,IF(DATOS_[[Check Periodo Ref.]:[Check Periodo Ref.]]="Dentro",IF(DATOS_[[Check Equiparado]:[Check Equiparado]]="Sí",IF(DATOS!AV$5="Sí",(1/DATOS_[[% anualiz]:[% anualiz]]),1)*IF(DATOS!AV$4="Sí",1/DATOS_[[% normaliz]:[% normaliz]],1)*(DATOS_[Conc.Sal.18])))))))),
0)</f>
        <v>0</v>
      </c>
      <c r="AB26" s="111">
        <f t="array" ref="AB26">IFERROR(
(MEDIAN((IF(DATOS_[[Sexo]:[Sexo]]=$B26,IF(DATOS_[[AGRUP. VALOR. PTO.]:[AGRUP. VALOR. PTO.]]=$B24,IF(DATOS_[[Check Periodo Ref.]:[Check Periodo Ref.]]="Dentro",IF(DATOS_[[Check Equiparado]:[Check Equiparado]]="Sí",IF(DATOS!AW$5="Sí",(1/DATOS_[[% anualiz]:[% anualiz]]),1)*IF(DATOS!AW$4="Sí",1/DATOS_[[% normaliz]:[% normaliz]],1)*(DATOS_[Conc.Sal.19])))))))),
0)</f>
        <v>0</v>
      </c>
      <c r="AC26" s="111">
        <f t="array" ref="AC26">IFERROR(
(MEDIAN((IF(DATOS_[[Sexo]:[Sexo]]=$B26,IF(DATOS_[[AGRUP. VALOR. PTO.]:[AGRUP. VALOR. PTO.]]=$B24,IF(DATOS_[[Check Periodo Ref.]:[Check Periodo Ref.]]="Dentro",IF(DATOS_[[Check Equiparado]:[Check Equiparado]]="Sí",IF(DATOS!AX$5="Sí",(1/DATOS_[[% anualiz]:[% anualiz]]),1)*IF(DATOS!AX$4="Sí",1/DATOS_[[% normaliz]:[% normaliz]],1)*(DATOS_[Conc.Sal.20])))))))),
0)</f>
        <v>0</v>
      </c>
      <c r="AD26" s="111">
        <f t="array" ref="AD26">IFERROR(
(MEDIAN((IF(DATOS_[[Sexo]:[Sexo]]=$B26,IF(DATOS_[[AGRUP. VALOR. PTO.]:[AGRUP. VALOR. PTO.]]=$B24,IF(DATOS_[[Check Periodo Ref.]:[Check Periodo Ref.]]="Dentro",IF(DATOS_[[Check Equiparado]:[Check Equiparado]]="Sí",IF(DATOS!AY$5="Sí",(1/DATOS_[[% anualiz]:[% anualiz]]),1)*IF(DATOS!AY$4="Sí",1/DATOS_[[% normaliz]:[% normaliz]],1)*(DATOS_[Conc.Sal.21])))))))),
0)</f>
        <v>0</v>
      </c>
      <c r="AE26" s="111">
        <f t="array" ref="AE26">IFERROR(
(MEDIAN((IF(DATOS_[[Sexo]:[Sexo]]=$B26,IF(DATOS_[[AGRUP. VALOR. PTO.]:[AGRUP. VALOR. PTO.]]=$B24,IF(DATOS_[[Check Periodo Ref.]:[Check Periodo Ref.]]="Dentro",IF(DATOS_[[Check Equiparado]:[Check Equiparado]]="Sí",IF(DATOS!AZ$5="Sí",(1/DATOS_[[% anualiz]:[% anualiz]]),1)*IF(DATOS!AZ$4="Sí",1/DATOS_[[% normaliz]:[% normaliz]],1)*(DATOS_[Conc.Sal.22])))))))),
0)</f>
        <v>0</v>
      </c>
      <c r="AF26" s="111">
        <f t="array" ref="AF26">IFERROR(
(MEDIAN((IF(DATOS_[[Sexo]:[Sexo]]=$B26,IF(DATOS_[[AGRUP. VALOR. PTO.]:[AGRUP. VALOR. PTO.]]=$B24,IF(DATOS_[[Check Periodo Ref.]:[Check Periodo Ref.]]="Dentro",IF(DATOS_[[Check Equiparado]:[Check Equiparado]]="Sí",IF(DATOS!BA$5="Sí",(1/DATOS_[[% anualiz]:[% anualiz]]),1)*IF(DATOS!BA$4="Sí",1/DATOS_[[% normaliz]:[% normaliz]],1)*(DATOS_[Conc.Sal.23])))))))),
0)</f>
        <v>0</v>
      </c>
      <c r="AG26" s="111">
        <f t="array" ref="AG26">IFERROR(
(MEDIAN((IF(DATOS_[[Sexo]:[Sexo]]=$B26,IF(DATOS_[[AGRUP. VALOR. PTO.]:[AGRUP. VALOR. PTO.]]=$B24,IF(DATOS_[[Check Periodo Ref.]:[Check Periodo Ref.]]="Dentro",IF(DATOS_[[Check Equiparado]:[Check Equiparado]]="Sí",IF(DATOS!BB$5="Sí",(1/DATOS_[[% anualiz]:[% anualiz]]),1)*IF(DATOS!BB$4="Sí",1/DATOS_[[% normaliz]:[% normaliz]],1)*(DATOS_[Conc.Sal.24])))))))),
0)</f>
        <v>0</v>
      </c>
      <c r="AH26" s="111">
        <f t="array" ref="AH26">IFERROR(
(MEDIAN((IF(DATOS_[[Sexo]:[Sexo]]=$B26,IF(DATOS_[[AGRUP. VALOR. PTO.]:[AGRUP. VALOR. PTO.]]=$B24,IF(DATOS_[[Check Periodo Ref.]:[Check Periodo Ref.]]="Dentro",IF(DATOS_[[Check Equiparado]:[Check Equiparado]]="Sí",IF(DATOS!BC$5="Sí",(1/DATOS_[[% anualiz]:[% anualiz]]),1)*IF(DATOS!BC$4="Sí",1/DATOS_[[% normaliz]:[% normaliz]],1)*(DATOS_[Conc.Sal.25])))))))),
0)</f>
        <v>0</v>
      </c>
      <c r="AI26" s="111">
        <f t="array" ref="AI26">IFERROR(
(MEDIAN((IF(DATOS_[[Sexo]:[Sexo]]=$B26,IF(DATOS_[[AGRUP. VALOR. PTO.]:[AGRUP. VALOR. PTO.]]=$B24,IF(DATOS_[[Check Periodo Ref.]:[Check Periodo Ref.]]="Dentro",IF(DATOS_[[Check Equiparado]:[Check Equiparado]]="Sí",IF(DATOS!BD$5="Sí",(1/DATOS_[[% anualiz]:[% anualiz]]),1)*IF(DATOS!BD$4="Sí",1/DATOS_[[% normaliz]:[% normaliz]],1)*(DATOS_[Conc.Sal.26])))))))),
0)</f>
        <v>0</v>
      </c>
      <c r="AJ26" s="111">
        <f t="array" ref="AJ26">IFERROR(
(MEDIAN((IF(DATOS_[[Sexo]:[Sexo]]=$B26,IF(DATOS_[[AGRUP. VALOR. PTO.]:[AGRUP. VALOR. PTO.]]=$B24,IF(DATOS_[[Check Periodo Ref.]:[Check Periodo Ref.]]="Dentro",IF(DATOS_[[Check Equiparado]:[Check Equiparado]]="Sí",IF(DATOS!BE$5="Sí",(1/DATOS_[[% anualiz]:[% anualiz]]),1)*IF(DATOS!BE$4="Sí",1/DATOS_[[% normaliz]:[% normaliz]],1)*(DATOS_[Conc.Sal.27])))))))),
0)</f>
        <v>0</v>
      </c>
      <c r="AK26" s="111">
        <f t="array" ref="AK26">IFERROR(
(MEDIAN((IF(DATOS_[[Sexo]:[Sexo]]=$B26,IF(DATOS_[[AGRUP. VALOR. PTO.]:[AGRUP. VALOR. PTO.]]=$B24,IF(DATOS_[[Check Periodo Ref.]:[Check Periodo Ref.]]="Dentro",IF(DATOS_[[Check Equiparado]:[Check Equiparado]]="Sí",IF(DATOS!BF$5="Sí",(1/DATOS_[[% anualiz]:[% anualiz]]),1)*IF(DATOS!BF$4="Sí",1/DATOS_[[% normaliz]:[% normaliz]],1)*(DATOS_[Conc.Sal.28])))))))),
0)</f>
        <v>0</v>
      </c>
      <c r="AL26" s="111">
        <f t="array" ref="AL26">IFERROR(
(MEDIAN((IF(DATOS_[[Sexo]:[Sexo]]=$B26,IF(DATOS_[[AGRUP. VALOR. PTO.]:[AGRUP. VALOR. PTO.]]=$B24,IF(DATOS_[[Check Periodo Ref.]:[Check Periodo Ref.]]="Dentro",IF(DATOS_[[Check Equiparado]:[Check Equiparado]]="Sí",IF(DATOS!BG$5="Sí",(1/DATOS_[[% anualiz]:[% anualiz]]),1)*IF(DATOS!BG$4="Sí",1/DATOS_[[% normaliz]:[% normaliz]],1)*(DATOS_[Conc.Sal.29])))))))),
0)</f>
        <v>0</v>
      </c>
      <c r="AM26" s="111">
        <f t="array" ref="AM26">IFERROR(
(MEDIAN((IF(DATOS_[[Sexo]:[Sexo]]=$B26,IF(DATOS_[[AGRUP. VALOR. PTO.]:[AGRUP. VALOR. PTO.]]=$B24,IF(DATOS_[[Check Periodo Ref.]:[Check Periodo Ref.]]="Dentro",IF(DATOS_[[Check Equiparado]:[Check Equiparado]]="Sí",IF(DATOS!BH$5="Sí",(1/DATOS_[[% anualiz]:[% anualiz]]),1)*IF(DATOS!BH$4="Sí",1/DATOS_[[% normaliz]:[% normaliz]],1)*(DATOS_[Conc.Sal.30])))))))),
0)</f>
        <v>0</v>
      </c>
      <c r="AN26" s="112">
        <f t="array" ref="AN26">IFERROR(
MEDIAN(IF(DATOS_[Sexo]=$B26,IF(DATOS_[[AGRUP. VALOR. PTO.]:[AGRUP. VALOR. PTO.]]=$B24,IF(DATOS_[Check Equiparado]="Sí",IF(DATOS_[Check Periodo Ref.]="Dentro",DATOS_[Tot COMPL.SAL Eq],FALSE))))),
0)</f>
        <v>2607.2939999999999</v>
      </c>
      <c r="AO26" s="113">
        <f t="array" ref="AO26">IFERROR(
MEDIAN(IF(DATOS_[Sexo]=$B26,IF(DATOS_[[AGRUP. VALOR. PTO.]:[AGRUP. VALOR. PTO.]]=$B24,IF(DATOS_[Check Equiparado]="Sí",IF(DATOS_[Check Periodo Ref.]="Dentro",DATOS_[TOTAL SALARIO Eq],FALSE))))),
0)</f>
        <v>16924.360799999999</v>
      </c>
      <c r="AP26" s="114">
        <f t="array" ref="AP26">IFERROR(
(MEDIAN((IF(DATOS_[[Sexo]:[Sexo]]=$B26,IF(DATOS_[[AGRUP. VALOR. PTO.]:[AGRUP. VALOR. PTO.]]=$B24,IF(DATOS_[[Check Periodo Ref.]:[Check Periodo Ref.]]="Dentro",IF(DATOS_[[Check Equiparado]:[Check Equiparado]]="Sí",IF(DATOS!BI$5="Sí",(1/DATOS_[[% anualiz]:[% anualiz]]),1)*IF(DATOS!BI$4="Sí",1/DATOS_[[% normaliz]:[% normaliz]],1)*(DATOS_[C.Extra.01])))))))),
0)</f>
        <v>0</v>
      </c>
      <c r="AQ26" s="114">
        <f t="array" ref="AQ26">IFERROR(
(MEDIAN((IF(DATOS_[[Sexo]:[Sexo]]=$B26,IF(DATOS_[[AGRUP. VALOR. PTO.]:[AGRUP. VALOR. PTO.]]=$B24,IF(DATOS_[[Check Periodo Ref.]:[Check Periodo Ref.]]="Dentro",IF(DATOS_[[Check Equiparado]:[Check Equiparado]]="Sí",IF(DATOS!BJ$5="Sí",(1/DATOS_[[% anualiz]:[% anualiz]]),1)*IF(DATOS!BJ$4="Sí",1/DATOS_[[% normaliz]:[% normaliz]],1)*(DATOS_[C.Extra.02])))))))),
0)</f>
        <v>0</v>
      </c>
      <c r="AR26" s="114">
        <f t="array" ref="AR26">IFERROR(
(MEDIAN((IF(DATOS_[[Sexo]:[Sexo]]=$B26,IF(DATOS_[[AGRUP. VALOR. PTO.]:[AGRUP. VALOR. PTO.]]=$B24,IF(DATOS_[[Check Periodo Ref.]:[Check Periodo Ref.]]="Dentro",IF(DATOS_[[Check Equiparado]:[Check Equiparado]]="Sí",IF(DATOS!BK$5="Sí",(1/DATOS_[[% anualiz]:[% anualiz]]),1)*IF(DATOS!BK$4="Sí",1/DATOS_[[% normaliz]:[% normaliz]],1)*(DATOS_[C.Extra.03])))))))),
0)</f>
        <v>0</v>
      </c>
      <c r="AS26" s="114">
        <f t="array" ref="AS26">IFERROR(
(MEDIAN((IF(DATOS_[[Sexo]:[Sexo]]=$B26,IF(DATOS_[[AGRUP. VALOR. PTO.]:[AGRUP. VALOR. PTO.]]=$B24,IF(DATOS_[[Check Periodo Ref.]:[Check Periodo Ref.]]="Dentro",IF(DATOS_[[Check Equiparado]:[Check Equiparado]]="Sí",IF(DATOS!BL$5="Sí",(1/DATOS_[[% anualiz]:[% anualiz]]),1)*IF(DATOS!BL$4="Sí",1/DATOS_[[% normaliz]:[% normaliz]],1)*(DATOS_[C.Extra.04])))))))),
0)</f>
        <v>0</v>
      </c>
      <c r="AT26" s="114">
        <f t="array" ref="AT26">IFERROR(
(MEDIAN((IF(DATOS_[[Sexo]:[Sexo]]=$B26,IF(DATOS_[[AGRUP. VALOR. PTO.]:[AGRUP. VALOR. PTO.]]=$B24,IF(DATOS_[[Check Periodo Ref.]:[Check Periodo Ref.]]="Dentro",IF(DATOS_[[Check Equiparado]:[Check Equiparado]]="Sí",IF(DATOS!BM$5="Sí",(1/DATOS_[[% anualiz]:[% anualiz]]),1)*IF(DATOS!BM$4="Sí",1/DATOS_[[% normaliz]:[% normaliz]],1)*(DATOS_[C.Extra.05])))))))),
0)</f>
        <v>0</v>
      </c>
      <c r="AU26" s="115">
        <f t="array" ref="AU26">IFERROR(
MEDIAN(IF(DATOS_[Sexo]=$B26,IF(DATOS_[[AGRUP. VALOR. PTO.]:[AGRUP. VALOR. PTO.]]=$B24,IF(DATOS_[Check Equiparado]="Sí",IF(DATOS_[Check Periodo Ref.]="Dentro",DATOS_[Tot Extrasalarial Eq],FALSE))))),
0)</f>
        <v>0</v>
      </c>
      <c r="AV26" s="116">
        <f t="array" ref="AV26">IFERROR(
MEDIAN(IF(DATOS_[Sexo]=$B26,IF(DATOS_[[AGRUP. VALOR. PTO.]:[AGRUP. VALOR. PTO.]]=$B24,IF(DATOS_[Check Equiparado]="Sí",IF(DATOS_[Check Periodo Ref.]="Dentro",DATOS_[TOTAL Retrib Eq],FALSE))))),
0)</f>
        <v>16924.360799999999</v>
      </c>
    </row>
    <row r="27" spans="1:48" ht="17.25" thickBot="1" x14ac:dyDescent="0.35">
      <c r="A27" s="42" t="str">
        <f t="shared" ref="A27" si="19">+A28</f>
        <v/>
      </c>
      <c r="B27" s="90" t="s">
        <v>307</v>
      </c>
      <c r="C27" s="109"/>
      <c r="D27" s="41"/>
      <c r="E27" s="41"/>
      <c r="F27" s="41"/>
      <c r="G27" s="41"/>
      <c r="H27" s="41"/>
      <c r="I27" s="119">
        <f t="shared" ref="I27:AV27" si="20">IFERROR((I28-I29)/I28,"")</f>
        <v>0</v>
      </c>
      <c r="J27" s="123">
        <f t="shared" si="20"/>
        <v>0</v>
      </c>
      <c r="K27" s="123" t="str">
        <f t="shared" si="20"/>
        <v/>
      </c>
      <c r="L27" s="123">
        <f t="shared" si="20"/>
        <v>0</v>
      </c>
      <c r="M27" s="123" t="str">
        <f t="shared" si="20"/>
        <v/>
      </c>
      <c r="N27" s="123" t="str">
        <f t="shared" si="20"/>
        <v/>
      </c>
      <c r="O27" s="123" t="str">
        <f t="shared" si="20"/>
        <v/>
      </c>
      <c r="P27" s="123" t="str">
        <f t="shared" si="20"/>
        <v/>
      </c>
      <c r="Q27" s="123" t="str">
        <f t="shared" si="20"/>
        <v/>
      </c>
      <c r="R27" s="123" t="str">
        <f t="shared" si="20"/>
        <v/>
      </c>
      <c r="S27" s="123" t="str">
        <f t="shared" si="20"/>
        <v/>
      </c>
      <c r="T27" s="123" t="str">
        <f t="shared" si="20"/>
        <v/>
      </c>
      <c r="U27" s="123" t="str">
        <f t="shared" si="20"/>
        <v/>
      </c>
      <c r="V27" s="123" t="str">
        <f t="shared" si="20"/>
        <v/>
      </c>
      <c r="W27" s="123" t="str">
        <f t="shared" si="20"/>
        <v/>
      </c>
      <c r="X27" s="123" t="str">
        <f t="shared" si="20"/>
        <v/>
      </c>
      <c r="Y27" s="123" t="str">
        <f t="shared" si="20"/>
        <v/>
      </c>
      <c r="Z27" s="122" t="str">
        <f t="shared" si="20"/>
        <v/>
      </c>
      <c r="AA27" s="122" t="str">
        <f t="shared" si="20"/>
        <v/>
      </c>
      <c r="AB27" s="122" t="str">
        <f t="shared" si="20"/>
        <v/>
      </c>
      <c r="AC27" s="122" t="str">
        <f t="shared" si="20"/>
        <v/>
      </c>
      <c r="AD27" s="122" t="str">
        <f t="shared" si="20"/>
        <v/>
      </c>
      <c r="AE27" s="122" t="str">
        <f t="shared" si="20"/>
        <v/>
      </c>
      <c r="AF27" s="122" t="str">
        <f t="shared" si="20"/>
        <v/>
      </c>
      <c r="AG27" s="122" t="str">
        <f t="shared" si="20"/>
        <v/>
      </c>
      <c r="AH27" s="122" t="str">
        <f t="shared" si="20"/>
        <v/>
      </c>
      <c r="AI27" s="122" t="str">
        <f t="shared" si="20"/>
        <v/>
      </c>
      <c r="AJ27" s="122" t="str">
        <f t="shared" si="20"/>
        <v/>
      </c>
      <c r="AK27" s="122" t="str">
        <f t="shared" si="20"/>
        <v/>
      </c>
      <c r="AL27" s="122" t="str">
        <f t="shared" si="20"/>
        <v/>
      </c>
      <c r="AM27" s="122" t="str">
        <f t="shared" si="20"/>
        <v/>
      </c>
      <c r="AN27" s="124">
        <f t="shared" si="20"/>
        <v>0</v>
      </c>
      <c r="AO27" s="128">
        <f t="shared" si="20"/>
        <v>0</v>
      </c>
      <c r="AP27" s="125" t="str">
        <f t="shared" si="20"/>
        <v/>
      </c>
      <c r="AQ27" s="125" t="str">
        <f t="shared" si="20"/>
        <v/>
      </c>
      <c r="AR27" s="125" t="str">
        <f t="shared" si="20"/>
        <v/>
      </c>
      <c r="AS27" s="125" t="str">
        <f t="shared" si="20"/>
        <v/>
      </c>
      <c r="AT27" s="125" t="str">
        <f t="shared" si="20"/>
        <v/>
      </c>
      <c r="AU27" s="126" t="str">
        <f t="shared" si="20"/>
        <v/>
      </c>
      <c r="AV27" s="127">
        <f t="shared" si="20"/>
        <v>0</v>
      </c>
    </row>
    <row r="28" spans="1:48" x14ac:dyDescent="0.3">
      <c r="A28" s="42" t="str">
        <f t="shared" ref="A28" si="21">+IF(C28+C29=0,"[ocultar]","")</f>
        <v/>
      </c>
      <c r="B28" s="86" t="s">
        <v>162</v>
      </c>
      <c r="C28" s="33">
        <f t="array" ref="C28">SUM(IF($B28=DATOS_[Sexo],
IF($B27=DATOS_[AGRUP. VALOR. PTO.],
IF("Dentro"=DATOS_[Check Periodo Ref.],
1/(COUNTIFS(DATOS_[Sexo],$B28,DATOS_[AGRUP. VALOR. PTO.],$B27,DATOS_[Check Periodo Ref.],"Dentro",DATOS_[id],DATOS_[id]))))))</f>
        <v>26</v>
      </c>
      <c r="D28" s="35">
        <f>COUNTIFS(DATOS_[AGRUP. VALOR. PTO.],$B27,DATOS_[Sexo],$B28,DATOS_[Check Periodo Ref.],"Dentro")</f>
        <v>31</v>
      </c>
      <c r="E28" s="35">
        <f>COUNTIFS(DATOS_[AGRUP. VALOR. PTO.],$B27,DATOS_[Sexo],$B28,DATOS_[Check Periodo Ref.],"Dentro",DATOS_[Check Nº SC Norm],"Sí")</f>
        <v>4</v>
      </c>
      <c r="F28" s="35">
        <f>COUNTIFS(DATOS_[AGRUP. VALOR. PTO.],$B27,DATOS_[Sexo],$B28,DATOS_[Check Periodo Ref.],"Dentro",DATOS_[Check Nº SC Anualiz],"Sí")</f>
        <v>5</v>
      </c>
      <c r="G28" s="35">
        <f>COUNTIFS(DATOS_[AGRUP. VALOR. PTO.],$B27,DATOS_[Sexo],$B28,DATOS_[Check Periodo Ref.],"Dentro",DATOS_[Check Nº SC Norm y Anualiz],"Sí")</f>
        <v>0</v>
      </c>
      <c r="H28" s="35">
        <f>COUNTIFS(DATOS_[AGRUP. VALOR. PTO.],$B27,DATOS_[Sexo],$B28,DATOS_[Check Periodo Ref.],"Dentro",DATOS_[Check Equiparación],"Sí")</f>
        <v>9</v>
      </c>
      <c r="I28" s="110">
        <f t="array" ref="I28">IFERROR(
MEDIAN(IF(DATOS_[Sexo]=$B28,IF(DATOS_[[AGRUP. VALOR. PTO.]:[AGRUP. VALOR. PTO.]]=$B27,IF(DATOS_[Check Equiparado]="Sí",IF(DATOS_[Check Periodo Ref.]="Dentro",DATOS_[SALARIO BASE Eq],FALSE))))),
0)</f>
        <v>12915.07</v>
      </c>
      <c r="J28" s="111">
        <f t="array" ref="J28">IFERROR(
(MEDIAN((IF(DATOS_[[Sexo]:[Sexo]]=$B28,IF(DATOS_[[AGRUP. VALOR. PTO.]:[AGRUP. VALOR. PTO.]]=$B27,IF(DATOS_[[Check Periodo Ref.]:[Check Periodo Ref.]]="Dentro",IF(DATOS_[[Check Equiparado]:[Check Equiparado]]="Sí",IF(DATOS!AE$5="Sí",(1/DATOS_[[% anualiz]:[% anualiz]]),1)*IF(DATOS!AE$4="Sí",1/DATOS_[[% normaliz]:[% normaliz]],1)*(DATOS_[Conc.Sal.01])))))))),
0)</f>
        <v>84.930000000000291</v>
      </c>
      <c r="K28" s="111">
        <f t="array" ref="K28">IFERROR(
(MEDIAN((IF(DATOS_[[Sexo]:[Sexo]]=$B28,IF(DATOS_[[AGRUP. VALOR. PTO.]:[AGRUP. VALOR. PTO.]]=$B27,IF(DATOS_[[Check Periodo Ref.]:[Check Periodo Ref.]]="Dentro",IF(DATOS_[[Check Equiparado]:[Check Equiparado]]="Sí",IF(DATOS!AF$5="Sí",(1/DATOS_[[% anualiz]:[% anualiz]]),1)*IF(DATOS!AF$4="Sí",1/DATOS_[[% normaliz]:[% normaliz]],1)*(DATOS_[Conc.Sal.02])))))))),
0)</f>
        <v>0</v>
      </c>
      <c r="L28" s="111">
        <f t="array" ref="L28">IFERROR(
(MEDIAN((IF(DATOS_[[Sexo]:[Sexo]]=$B28,IF(DATOS_[[AGRUP. VALOR. PTO.]:[AGRUP. VALOR. PTO.]]=$B27,IF(DATOS_[[Check Periodo Ref.]:[Check Periodo Ref.]]="Dentro",IF(DATOS_[[Check Equiparado]:[Check Equiparado]]="Sí",IF(DATOS!AG$5="Sí",(1/DATOS_[[% anualiz]:[% anualiz]]),1)*IF(DATOS!AG$4="Sí",1/DATOS_[[% normaliz]:[% normaliz]],1)*(DATOS_[Conc.Sal.03])))))))),
0)</f>
        <v>960</v>
      </c>
      <c r="M28" s="111">
        <f t="array" ref="M28">IFERROR(
(MEDIAN((IF(DATOS_[[Sexo]:[Sexo]]=$B28,IF(DATOS_[[AGRUP. VALOR. PTO.]:[AGRUP. VALOR. PTO.]]=$B27,IF(DATOS_[[Check Periodo Ref.]:[Check Periodo Ref.]]="Dentro",IF(DATOS_[[Check Equiparado]:[Check Equiparado]]="Sí",IF(DATOS!AH$5="Sí",(1/DATOS_[[% anualiz]:[% anualiz]]),1)*IF(DATOS!AH$4="Sí",1/DATOS_[[% normaliz]:[% normaliz]],1)*(DATOS_[Conc.Sal.04])))))))),
0)</f>
        <v>0</v>
      </c>
      <c r="N28" s="111">
        <f t="array" ref="N28">IFERROR(
(MEDIAN((IF(DATOS_[[Sexo]:[Sexo]]=$B28,IF(DATOS_[[AGRUP. VALOR. PTO.]:[AGRUP. VALOR. PTO.]]=$B27,IF(DATOS_[[Check Periodo Ref.]:[Check Periodo Ref.]]="Dentro",IF(DATOS_[[Check Equiparado]:[Check Equiparado]]="Sí",IF(DATOS!AI$5="Sí",(1/DATOS_[[% anualiz]:[% anualiz]]),1)*IF(DATOS!AI$4="Sí",1/DATOS_[[% normaliz]:[% normaliz]],1)*(DATOS_[Conc.Sal.05])))))))),
0)</f>
        <v>0</v>
      </c>
      <c r="O28" s="111">
        <f t="array" ref="O28">IFERROR(
(MEDIAN((IF(DATOS_[[Sexo]:[Sexo]]=$B28,IF(DATOS_[[AGRUP. VALOR. PTO.]:[AGRUP. VALOR. PTO.]]=$B27,IF(DATOS_[[Check Periodo Ref.]:[Check Periodo Ref.]]="Dentro",IF(DATOS_[[Check Equiparado]:[Check Equiparado]]="Sí",IF(DATOS!AJ$5="Sí",(1/DATOS_[[% anualiz]:[% anualiz]]),1)*IF(DATOS!AJ$4="Sí",1/DATOS_[[% normaliz]:[% normaliz]],1)*(DATOS_[Conc.Sal.06])))))))),
0)</f>
        <v>0</v>
      </c>
      <c r="P28" s="111"/>
      <c r="Q28" s="111">
        <f t="array" ref="Q28">IFERROR(
(MEDIAN((IF(DATOS_[[Sexo]:[Sexo]]=$B28,IF(DATOS_[[AGRUP. VALOR. PTO.]:[AGRUP. VALOR. PTO.]]=$B27,IF(DATOS_[[Check Periodo Ref.]:[Check Periodo Ref.]]="Dentro",IF(DATOS_[[Check Equiparado]:[Check Equiparado]]="Sí",IF(DATOS!AL$5="Sí",(1/DATOS_[[% anualiz]:[% anualiz]]),1)*IF(DATOS!AL$4="Sí",1/DATOS_[[% normaliz]:[% normaliz]],1)*(DATOS_[Conc.Sal.08])))))))),
0)</f>
        <v>0</v>
      </c>
      <c r="R28" s="111">
        <f t="array" ref="R28">IFERROR(
(MEDIAN((IF(DATOS_[[Sexo]:[Sexo]]=$B28,IF(DATOS_[[AGRUP. VALOR. PTO.]:[AGRUP. VALOR. PTO.]]=$B27,IF(DATOS_[[Check Periodo Ref.]:[Check Periodo Ref.]]="Dentro",IF(DATOS_[[Check Equiparado]:[Check Equiparado]]="Sí",IF(DATOS!AM$5="Sí",(1/DATOS_[[% anualiz]:[% anualiz]]),1)*IF(DATOS!AM$4="Sí",1/DATOS_[[% normaliz]:[% normaliz]],1)*(DATOS_[Conc.Sal.09])))))))),
0)</f>
        <v>0</v>
      </c>
      <c r="S28" s="111">
        <f t="array" ref="S28">IFERROR(
(MEDIAN((IF(DATOS_[[Sexo]:[Sexo]]=$B28,IF(DATOS_[[AGRUP. VALOR. PTO.]:[AGRUP. VALOR. PTO.]]=$B27,IF(DATOS_[[Check Periodo Ref.]:[Check Periodo Ref.]]="Dentro",IF(DATOS_[[Check Equiparado]:[Check Equiparado]]="Sí",IF(DATOS!AN$5="Sí",(1/DATOS_[[% anualiz]:[% anualiz]]),1)*IF(DATOS!AN$4="Sí",1/DATOS_[[% normaliz]:[% normaliz]],1)*(DATOS_[Conc.Sal.10])))))))),
0)</f>
        <v>0</v>
      </c>
      <c r="T28" s="111">
        <f t="array" ref="T28">IFERROR(
(MEDIAN((IF(DATOS_[[Sexo]:[Sexo]]=$B28,IF(DATOS_[[AGRUP. VALOR. PTO.]:[AGRUP. VALOR. PTO.]]=$B27,IF(DATOS_[[Check Periodo Ref.]:[Check Periodo Ref.]]="Dentro",IF(DATOS_[[Check Equiparado]:[Check Equiparado]]="Sí",IF(DATOS!AO$5="Sí",(1/DATOS_[[% anualiz]:[% anualiz]]),1)*IF(DATOS!AO$4="Sí",1/DATOS_[[% normaliz]:[% normaliz]],1)*(DATOS_[Conc.Sal.11])))))))),
0)</f>
        <v>0</v>
      </c>
      <c r="U28" s="111">
        <f t="array" ref="U28">IFERROR(
(MEDIAN((IF(DATOS_[[Sexo]:[Sexo]]=$B28,IF(DATOS_[[AGRUP. VALOR. PTO.]:[AGRUP. VALOR. PTO.]]=$B27,IF(DATOS_[[Check Periodo Ref.]:[Check Periodo Ref.]]="Dentro",IF(DATOS_[[Check Equiparado]:[Check Equiparado]]="Sí",IF(DATOS!AP$5="Sí",(1/DATOS_[[% anualiz]:[% anualiz]]),1)*IF(DATOS!AP$4="Sí",1/DATOS_[[% normaliz]:[% normaliz]],1)*(DATOS_[Conc.Sal.12])))))))),
0)</f>
        <v>0</v>
      </c>
      <c r="V28" s="111">
        <f t="array" ref="V28">IFERROR(
(MEDIAN((IF(DATOS_[[Sexo]:[Sexo]]=$B28,IF(DATOS_[[AGRUP. VALOR. PTO.]:[AGRUP. VALOR. PTO.]]=$B27,IF(DATOS_[[Check Periodo Ref.]:[Check Periodo Ref.]]="Dentro",IF(DATOS_[[Check Equiparado]:[Check Equiparado]]="Sí",IF(DATOS!AQ$5="Sí",(1/DATOS_[[% anualiz]:[% anualiz]]),1)*IF(DATOS!AQ$4="Sí",1/DATOS_[[% normaliz]:[% normaliz]],1)*(DATOS_[Conc.Sal.13])))))))),
0)</f>
        <v>0</v>
      </c>
      <c r="W28" s="111">
        <f t="array" ref="W28">IFERROR(
(MEDIAN((IF(DATOS_[[Sexo]:[Sexo]]=$B28,IF(DATOS_[[AGRUP. VALOR. PTO.]:[AGRUP. VALOR. PTO.]]=$B27,IF(DATOS_[[Check Periodo Ref.]:[Check Periodo Ref.]]="Dentro",IF(DATOS_[[Check Equiparado]:[Check Equiparado]]="Sí",IF(DATOS!AR$5="Sí",(1/DATOS_[[% anualiz]:[% anualiz]]),1)*IF(DATOS!AR$4="Sí",1/DATOS_[[% normaliz]:[% normaliz]],1)*(DATOS_[Conc.Sal.14])))))))),
0)</f>
        <v>0</v>
      </c>
      <c r="X28" s="111">
        <f t="array" ref="X28">IFERROR(
(MEDIAN((IF(DATOS_[[Sexo]:[Sexo]]=$B28,IF(DATOS_[[AGRUP. VALOR. PTO.]:[AGRUP. VALOR. PTO.]]=$B27,IF(DATOS_[[Check Periodo Ref.]:[Check Periodo Ref.]]="Dentro",IF(DATOS_[[Check Equiparado]:[Check Equiparado]]="Sí",IF(DATOS!AS$5="Sí",(1/DATOS_[[% anualiz]:[% anualiz]]),1)*IF(DATOS!AS$4="Sí",1/DATOS_[[% normaliz]:[% normaliz]],1)*(DATOS_[Conc.Sal.15])))))))),
0)</f>
        <v>0</v>
      </c>
      <c r="Y28" s="111">
        <f t="array" ref="Y28">IFERROR(
(MEDIAN((IF(DATOS_[[Sexo]:[Sexo]]=$B28,IF(DATOS_[[AGRUP. VALOR. PTO.]:[AGRUP. VALOR. PTO.]]=$B27,IF(DATOS_[[Check Periodo Ref.]:[Check Periodo Ref.]]="Dentro",IF(DATOS_[[Check Equiparado]:[Check Equiparado]]="Sí",IF(DATOS!AT$5="Sí",(1/DATOS_[[% anualiz]:[% anualiz]]),1)*IF(DATOS!AT$4="Sí",1/DATOS_[[% normaliz]:[% normaliz]],1)*(DATOS_[Conc.Sal.16])))))))),
0)</f>
        <v>0</v>
      </c>
      <c r="Z28" s="111">
        <f t="array" ref="Z28">IFERROR(
(MEDIAN((IF(DATOS_[[Sexo]:[Sexo]]=$B28,IF(DATOS_[[AGRUP. VALOR. PTO.]:[AGRUP. VALOR. PTO.]]=$B27,IF(DATOS_[[Check Periodo Ref.]:[Check Periodo Ref.]]="Dentro",IF(DATOS_[[Check Equiparado]:[Check Equiparado]]="Sí",IF(DATOS!AU$5="Sí",(1/DATOS_[[% anualiz]:[% anualiz]]),1)*IF(DATOS!AU$4="Sí",1/DATOS_[[% normaliz]:[% normaliz]],1)*(DATOS_[Conc.Sal.17])))))))),
0)</f>
        <v>0</v>
      </c>
      <c r="AA28" s="111">
        <f t="array" ref="AA28">IFERROR(
(MEDIAN((IF(DATOS_[[Sexo]:[Sexo]]=$B28,IF(DATOS_[[AGRUP. VALOR. PTO.]:[AGRUP. VALOR. PTO.]]=$B27,IF(DATOS_[[Check Periodo Ref.]:[Check Periodo Ref.]]="Dentro",IF(DATOS_[[Check Equiparado]:[Check Equiparado]]="Sí",IF(DATOS!AV$5="Sí",(1/DATOS_[[% anualiz]:[% anualiz]]),1)*IF(DATOS!AV$4="Sí",1/DATOS_[[% normaliz]:[% normaliz]],1)*(DATOS_[Conc.Sal.18])))))))),
0)</f>
        <v>0</v>
      </c>
      <c r="AB28" s="111">
        <f t="array" ref="AB28">IFERROR(
(MEDIAN((IF(DATOS_[[Sexo]:[Sexo]]=$B28,IF(DATOS_[[AGRUP. VALOR. PTO.]:[AGRUP. VALOR. PTO.]]=$B27,IF(DATOS_[[Check Periodo Ref.]:[Check Periodo Ref.]]="Dentro",IF(DATOS_[[Check Equiparado]:[Check Equiparado]]="Sí",IF(DATOS!AW$5="Sí",(1/DATOS_[[% anualiz]:[% anualiz]]),1)*IF(DATOS!AW$4="Sí",1/DATOS_[[% normaliz]:[% normaliz]],1)*(DATOS_[Conc.Sal.19])))))))),
0)</f>
        <v>0</v>
      </c>
      <c r="AC28" s="111">
        <f t="array" ref="AC28">IFERROR(
(MEDIAN((IF(DATOS_[[Sexo]:[Sexo]]=$B28,IF(DATOS_[[AGRUP. VALOR. PTO.]:[AGRUP. VALOR. PTO.]]=$B27,IF(DATOS_[[Check Periodo Ref.]:[Check Periodo Ref.]]="Dentro",IF(DATOS_[[Check Equiparado]:[Check Equiparado]]="Sí",IF(DATOS!AX$5="Sí",(1/DATOS_[[% anualiz]:[% anualiz]]),1)*IF(DATOS!AX$4="Sí",1/DATOS_[[% normaliz]:[% normaliz]],1)*(DATOS_[Conc.Sal.20])))))))),
0)</f>
        <v>0</v>
      </c>
      <c r="AD28" s="111">
        <f t="array" ref="AD28">IFERROR(
(MEDIAN((IF(DATOS_[[Sexo]:[Sexo]]=$B28,IF(DATOS_[[AGRUP. VALOR. PTO.]:[AGRUP. VALOR. PTO.]]=$B27,IF(DATOS_[[Check Periodo Ref.]:[Check Periodo Ref.]]="Dentro",IF(DATOS_[[Check Equiparado]:[Check Equiparado]]="Sí",IF(DATOS!AY$5="Sí",(1/DATOS_[[% anualiz]:[% anualiz]]),1)*IF(DATOS!AY$4="Sí",1/DATOS_[[% normaliz]:[% normaliz]],1)*(DATOS_[Conc.Sal.21])))))))),
0)</f>
        <v>0</v>
      </c>
      <c r="AE28" s="111">
        <f t="array" ref="AE28">IFERROR(
(MEDIAN((IF(DATOS_[[Sexo]:[Sexo]]=$B28,IF(DATOS_[[AGRUP. VALOR. PTO.]:[AGRUP. VALOR. PTO.]]=$B27,IF(DATOS_[[Check Periodo Ref.]:[Check Periodo Ref.]]="Dentro",IF(DATOS_[[Check Equiparado]:[Check Equiparado]]="Sí",IF(DATOS!AZ$5="Sí",(1/DATOS_[[% anualiz]:[% anualiz]]),1)*IF(DATOS!AZ$4="Sí",1/DATOS_[[% normaliz]:[% normaliz]],1)*(DATOS_[Conc.Sal.22])))))))),
0)</f>
        <v>0</v>
      </c>
      <c r="AF28" s="111">
        <f t="array" ref="AF28">IFERROR(
(MEDIAN((IF(DATOS_[[Sexo]:[Sexo]]=$B28,IF(DATOS_[[AGRUP. VALOR. PTO.]:[AGRUP. VALOR. PTO.]]=$B27,IF(DATOS_[[Check Periodo Ref.]:[Check Periodo Ref.]]="Dentro",IF(DATOS_[[Check Equiparado]:[Check Equiparado]]="Sí",IF(DATOS!BA$5="Sí",(1/DATOS_[[% anualiz]:[% anualiz]]),1)*IF(DATOS!BA$4="Sí",1/DATOS_[[% normaliz]:[% normaliz]],1)*(DATOS_[Conc.Sal.23])))))))),
0)</f>
        <v>0</v>
      </c>
      <c r="AG28" s="111">
        <f t="array" ref="AG28">IFERROR(
(MEDIAN((IF(DATOS_[[Sexo]:[Sexo]]=$B28,IF(DATOS_[[AGRUP. VALOR. PTO.]:[AGRUP. VALOR. PTO.]]=$B27,IF(DATOS_[[Check Periodo Ref.]:[Check Periodo Ref.]]="Dentro",IF(DATOS_[[Check Equiparado]:[Check Equiparado]]="Sí",IF(DATOS!BB$5="Sí",(1/DATOS_[[% anualiz]:[% anualiz]]),1)*IF(DATOS!BB$4="Sí",1/DATOS_[[% normaliz]:[% normaliz]],1)*(DATOS_[Conc.Sal.24])))))))),
0)</f>
        <v>0</v>
      </c>
      <c r="AH28" s="111">
        <f t="array" ref="AH28">IFERROR(
(MEDIAN((IF(DATOS_[[Sexo]:[Sexo]]=$B28,IF(DATOS_[[AGRUP. VALOR. PTO.]:[AGRUP. VALOR. PTO.]]=$B27,IF(DATOS_[[Check Periodo Ref.]:[Check Periodo Ref.]]="Dentro",IF(DATOS_[[Check Equiparado]:[Check Equiparado]]="Sí",IF(DATOS!BC$5="Sí",(1/DATOS_[[% anualiz]:[% anualiz]]),1)*IF(DATOS!BC$4="Sí",1/DATOS_[[% normaliz]:[% normaliz]],1)*(DATOS_[Conc.Sal.25])))))))),
0)</f>
        <v>0</v>
      </c>
      <c r="AI28" s="111">
        <f t="array" ref="AI28">IFERROR(
(MEDIAN((IF(DATOS_[[Sexo]:[Sexo]]=$B28,IF(DATOS_[[AGRUP. VALOR. PTO.]:[AGRUP. VALOR. PTO.]]=$B27,IF(DATOS_[[Check Periodo Ref.]:[Check Periodo Ref.]]="Dentro",IF(DATOS_[[Check Equiparado]:[Check Equiparado]]="Sí",IF(DATOS!BD$5="Sí",(1/DATOS_[[% anualiz]:[% anualiz]]),1)*IF(DATOS!BD$4="Sí",1/DATOS_[[% normaliz]:[% normaliz]],1)*(DATOS_[Conc.Sal.26])))))))),
0)</f>
        <v>0</v>
      </c>
      <c r="AJ28" s="111">
        <f t="array" ref="AJ28">IFERROR(
(MEDIAN((IF(DATOS_[[Sexo]:[Sexo]]=$B28,IF(DATOS_[[AGRUP. VALOR. PTO.]:[AGRUP. VALOR. PTO.]]=$B27,IF(DATOS_[[Check Periodo Ref.]:[Check Periodo Ref.]]="Dentro",IF(DATOS_[[Check Equiparado]:[Check Equiparado]]="Sí",IF(DATOS!BE$5="Sí",(1/DATOS_[[% anualiz]:[% anualiz]]),1)*IF(DATOS!BE$4="Sí",1/DATOS_[[% normaliz]:[% normaliz]],1)*(DATOS_[Conc.Sal.27])))))))),
0)</f>
        <v>0</v>
      </c>
      <c r="AK28" s="111">
        <f t="array" ref="AK28">IFERROR(
(MEDIAN((IF(DATOS_[[Sexo]:[Sexo]]=$B28,IF(DATOS_[[AGRUP. VALOR. PTO.]:[AGRUP. VALOR. PTO.]]=$B27,IF(DATOS_[[Check Periodo Ref.]:[Check Periodo Ref.]]="Dentro",IF(DATOS_[[Check Equiparado]:[Check Equiparado]]="Sí",IF(DATOS!BF$5="Sí",(1/DATOS_[[% anualiz]:[% anualiz]]),1)*IF(DATOS!BF$4="Sí",1/DATOS_[[% normaliz]:[% normaliz]],1)*(DATOS_[Conc.Sal.28])))))))),
0)</f>
        <v>0</v>
      </c>
      <c r="AL28" s="111">
        <f t="array" ref="AL28">IFERROR(
(MEDIAN((IF(DATOS_[[Sexo]:[Sexo]]=$B28,IF(DATOS_[[AGRUP. VALOR. PTO.]:[AGRUP. VALOR. PTO.]]=$B27,IF(DATOS_[[Check Periodo Ref.]:[Check Periodo Ref.]]="Dentro",IF(DATOS_[[Check Equiparado]:[Check Equiparado]]="Sí",IF(DATOS!BG$5="Sí",(1/DATOS_[[% anualiz]:[% anualiz]]),1)*IF(DATOS!BG$4="Sí",1/DATOS_[[% normaliz]:[% normaliz]],1)*(DATOS_[Conc.Sal.29])))))))),
0)</f>
        <v>0</v>
      </c>
      <c r="AM28" s="111">
        <f t="array" ref="AM28">IFERROR(
(MEDIAN((IF(DATOS_[[Sexo]:[Sexo]]=$B28,IF(DATOS_[[AGRUP. VALOR. PTO.]:[AGRUP. VALOR. PTO.]]=$B27,IF(DATOS_[[Check Periodo Ref.]:[Check Periodo Ref.]]="Dentro",IF(DATOS_[[Check Equiparado]:[Check Equiparado]]="Sí",IF(DATOS!BH$5="Sí",(1/DATOS_[[% anualiz]:[% anualiz]]),1)*IF(DATOS!BH$4="Sí",1/DATOS_[[% normaliz]:[% normaliz]],1)*(DATOS_[Conc.Sal.30])))))))),
0)</f>
        <v>0</v>
      </c>
      <c r="AN28" s="112">
        <f t="array" ref="AN28">IFERROR(
MEDIAN(IF(DATOS_[Sexo]=$B28,IF(DATOS_[[AGRUP. VALOR. PTO.]:[AGRUP. VALOR. PTO.]]=$B27,IF(DATOS_[Check Equiparado]="Sí",IF(DATOS_[Check Periodo Ref.]="Dentro",DATOS_[Tot COMPL.SAL Eq],FALSE))))),
0)</f>
        <v>1124.9300000000003</v>
      </c>
      <c r="AO28" s="113">
        <f t="array" ref="AO28">IFERROR(
MEDIAN(IF(DATOS_[Sexo]=$B28,IF(DATOS_[[AGRUP. VALOR. PTO.]:[AGRUP. VALOR. PTO.]]=$B27,IF(DATOS_[Check Equiparado]="Sí",IF(DATOS_[Check Periodo Ref.]="Dentro",DATOS_[TOTAL SALARIO Eq],FALSE))))),
0)</f>
        <v>14040</v>
      </c>
      <c r="AP28" s="114">
        <f t="array" ref="AP28">IFERROR(
(MEDIAN((IF(DATOS_[[Sexo]:[Sexo]]=$B28,IF(DATOS_[[AGRUP. VALOR. PTO.]:[AGRUP. VALOR. PTO.]]=$B27,IF(DATOS_[[Check Periodo Ref.]:[Check Periodo Ref.]]="Dentro",IF(DATOS_[[Check Equiparado]:[Check Equiparado]]="Sí",IF(DATOS!BI$5="Sí",(1/DATOS_[[% anualiz]:[% anualiz]]),1)*IF(DATOS!BI$4="Sí",1/DATOS_[[% normaliz]:[% normaliz]],1)*(DATOS_[C.Extra.01])))))))),
0)</f>
        <v>0</v>
      </c>
      <c r="AQ28" s="114">
        <f t="array" ref="AQ28">IFERROR(
(MEDIAN((IF(DATOS_[[Sexo]:[Sexo]]=$B28,IF(DATOS_[[AGRUP. VALOR. PTO.]:[AGRUP. VALOR. PTO.]]=$B27,IF(DATOS_[[Check Periodo Ref.]:[Check Periodo Ref.]]="Dentro",IF(DATOS_[[Check Equiparado]:[Check Equiparado]]="Sí",IF(DATOS!BJ$5="Sí",(1/DATOS_[[% anualiz]:[% anualiz]]),1)*IF(DATOS!BJ$4="Sí",1/DATOS_[[% normaliz]:[% normaliz]],1)*(DATOS_[C.Extra.02])))))))),
0)</f>
        <v>0</v>
      </c>
      <c r="AR28" s="114">
        <f t="array" ref="AR28">IFERROR(
(MEDIAN((IF(DATOS_[[Sexo]:[Sexo]]=$B28,IF(DATOS_[[AGRUP. VALOR. PTO.]:[AGRUP. VALOR. PTO.]]=$B27,IF(DATOS_[[Check Periodo Ref.]:[Check Periodo Ref.]]="Dentro",IF(DATOS_[[Check Equiparado]:[Check Equiparado]]="Sí",IF(DATOS!BK$5="Sí",(1/DATOS_[[% anualiz]:[% anualiz]]),1)*IF(DATOS!BK$4="Sí",1/DATOS_[[% normaliz]:[% normaliz]],1)*(DATOS_[C.Extra.03])))))))),
0)</f>
        <v>0</v>
      </c>
      <c r="AS28" s="114">
        <f t="array" ref="AS28">IFERROR(
(MEDIAN((IF(DATOS_[[Sexo]:[Sexo]]=$B28,IF(DATOS_[[AGRUP. VALOR. PTO.]:[AGRUP. VALOR. PTO.]]=$B27,IF(DATOS_[[Check Periodo Ref.]:[Check Periodo Ref.]]="Dentro",IF(DATOS_[[Check Equiparado]:[Check Equiparado]]="Sí",IF(DATOS!BL$5="Sí",(1/DATOS_[[% anualiz]:[% anualiz]]),1)*IF(DATOS!BL$4="Sí",1/DATOS_[[% normaliz]:[% normaliz]],1)*(DATOS_[C.Extra.04])))))))),
0)</f>
        <v>0</v>
      </c>
      <c r="AT28" s="114">
        <f t="array" ref="AT28">IFERROR(
(MEDIAN((IF(DATOS_[[Sexo]:[Sexo]]=$B28,IF(DATOS_[[AGRUP. VALOR. PTO.]:[AGRUP. VALOR. PTO.]]=$B27,IF(DATOS_[[Check Periodo Ref.]:[Check Periodo Ref.]]="Dentro",IF(DATOS_[[Check Equiparado]:[Check Equiparado]]="Sí",IF(DATOS!BM$5="Sí",(1/DATOS_[[% anualiz]:[% anualiz]]),1)*IF(DATOS!BM$4="Sí",1/DATOS_[[% normaliz]:[% normaliz]],1)*(DATOS_[C.Extra.05])))))))),
0)</f>
        <v>0</v>
      </c>
      <c r="AU28" s="115">
        <f t="array" ref="AU28">IFERROR(
MEDIAN(IF(DATOS_[Sexo]=$B28,IF(DATOS_[[AGRUP. VALOR. PTO.]:[AGRUP. VALOR. PTO.]]=$B27,IF(DATOS_[Check Equiparado]="Sí",IF(DATOS_[Check Periodo Ref.]="Dentro",DATOS_[Tot Extrasalarial Eq],FALSE))))),
0)</f>
        <v>0</v>
      </c>
      <c r="AV28" s="116">
        <f t="array" ref="AV28">IFERROR(
MEDIAN(IF(DATOS_[Sexo]=$B28,IF(DATOS_[[AGRUP. VALOR. PTO.]:[AGRUP. VALOR. PTO.]]=$B27,IF(DATOS_[Check Equiparado]="Sí",IF(DATOS_[Check Periodo Ref.]="Dentro",DATOS_[TOTAL Retrib Eq],FALSE))))),
0)</f>
        <v>14040</v>
      </c>
    </row>
    <row r="29" spans="1:48" x14ac:dyDescent="0.3">
      <c r="A29" s="42" t="str">
        <f t="shared" ref="A29" si="22">+A28</f>
        <v/>
      </c>
      <c r="B29" s="86" t="s">
        <v>163</v>
      </c>
      <c r="C29" s="33">
        <f t="array" ref="C29">SUM(IF($B29=DATOS_[Sexo],
IF($B27=DATOS_[AGRUP. VALOR. PTO.],
IF("Dentro"=DATOS_[Check Periodo Ref.],
1/(COUNTIFS(DATOS_[Sexo],$B29,DATOS_[AGRUP. VALOR. PTO.],$B27,DATOS_[Check Periodo Ref.],"Dentro",DATOS_[id],DATOS_[id]))))))</f>
        <v>49</v>
      </c>
      <c r="D29" s="35">
        <f>COUNTIFS(DATOS_[AGRUP. VALOR. PTO.],$B27,DATOS_[Sexo],$B29,DATOS_[Check Periodo Ref.],"Dentro")</f>
        <v>55</v>
      </c>
      <c r="E29" s="35">
        <f>COUNTIFS(DATOS_[AGRUP. VALOR. PTO.],$B27,DATOS_[Sexo],$B29,DATOS_[Check Periodo Ref.],"Dentro",DATOS_[Check Nº SC Norm],"Sí")</f>
        <v>12</v>
      </c>
      <c r="F29" s="35">
        <f>COUNTIFS(DATOS_[AGRUP. VALOR. PTO.],$B27,DATOS_[Sexo],$B29,DATOS_[Check Periodo Ref.],"Dentro",DATOS_[Check Nº SC Anualiz],"Sí")</f>
        <v>6</v>
      </c>
      <c r="G29" s="35">
        <f>COUNTIFS(DATOS_[AGRUP. VALOR. PTO.],$B27,DATOS_[Sexo],$B29,DATOS_[Check Periodo Ref.],"Dentro",DATOS_[Check Nº SC Norm y Anualiz],"Sí")</f>
        <v>0</v>
      </c>
      <c r="H29" s="35">
        <f>COUNTIFS(DATOS_[AGRUP. VALOR. PTO.],$B27,DATOS_[Sexo],$B29,DATOS_[Check Periodo Ref.],"Dentro",DATOS_[Check Equiparación],"Sí")</f>
        <v>18</v>
      </c>
      <c r="I29" s="110" cm="1">
        <f t="array" ref="I29">IFERROR(
MEDIAN(IF(DATOS_[Sexo]=$B29,IF(DATOS_[[AGRUP. VALOR. PTO.]:[AGRUP. VALOR. PTO.]]=$B27,IF(DATOS_[Check Equiparado]="Sí",IF(DATOS_[Check Periodo Ref.]="Dentro",DATOS_[SALARIO BASE Eq],FALSE))))),
0)</f>
        <v>12915.07</v>
      </c>
      <c r="J29" s="111">
        <f t="array" ref="J29">IFERROR(
(MEDIAN((IF(DATOS_[[Sexo]:[Sexo]]=$B29,IF(DATOS_[[AGRUP. VALOR. PTO.]:[AGRUP. VALOR. PTO.]]=$B27,IF(DATOS_[[Check Periodo Ref.]:[Check Periodo Ref.]]="Dentro",IF(DATOS_[[Check Equiparado]:[Check Equiparado]]="Sí",IF(DATOS!AE$5="Sí",(1/DATOS_[[% anualiz]:[% anualiz]]),1)*IF(DATOS!AE$4="Sí",1/DATOS_[[% normaliz]:[% normaliz]],1)*(DATOS_[Conc.Sal.01])))))))),
0)</f>
        <v>84.930000000000291</v>
      </c>
      <c r="K29" s="111">
        <f t="array" ref="K29">IFERROR(
(MEDIAN((IF(DATOS_[[Sexo]:[Sexo]]=$B29,IF(DATOS_[[AGRUP. VALOR. PTO.]:[AGRUP. VALOR. PTO.]]=$B27,IF(DATOS_[[Check Periodo Ref.]:[Check Periodo Ref.]]="Dentro",IF(DATOS_[[Check Equiparado]:[Check Equiparado]]="Sí",IF(DATOS!AF$5="Sí",(1/DATOS_[[% anualiz]:[% anualiz]]),1)*IF(DATOS!AF$4="Sí",1/DATOS_[[% normaliz]:[% normaliz]],1)*(DATOS_[Conc.Sal.02])))))))),
0)</f>
        <v>0</v>
      </c>
      <c r="L29" s="111">
        <f t="array" ref="L29">IFERROR(
(MEDIAN((IF(DATOS_[[Sexo]:[Sexo]]=$B29,IF(DATOS_[[AGRUP. VALOR. PTO.]:[AGRUP. VALOR. PTO.]]=$B27,IF(DATOS_[[Check Periodo Ref.]:[Check Periodo Ref.]]="Dentro",IF(DATOS_[[Check Equiparado]:[Check Equiparado]]="Sí",IF(DATOS!AG$5="Sí",(1/DATOS_[[% anualiz]:[% anualiz]]),1)*IF(DATOS!AG$4="Sí",1/DATOS_[[% normaliz]:[% normaliz]],1)*(DATOS_[Conc.Sal.03])))))))),
0)</f>
        <v>960</v>
      </c>
      <c r="M29" s="111">
        <f t="array" ref="M29">IFERROR(
(MEDIAN((IF(DATOS_[[Sexo]:[Sexo]]=$B29,IF(DATOS_[[AGRUP. VALOR. PTO.]:[AGRUP. VALOR. PTO.]]=$B27,IF(DATOS_[[Check Periodo Ref.]:[Check Periodo Ref.]]="Dentro",IF(DATOS_[[Check Equiparado]:[Check Equiparado]]="Sí",IF(DATOS!AH$5="Sí",(1/DATOS_[[% anualiz]:[% anualiz]]),1)*IF(DATOS!AH$4="Sí",1/DATOS_[[% normaliz]:[% normaliz]],1)*(DATOS_[Conc.Sal.04])))))))),
0)</f>
        <v>0</v>
      </c>
      <c r="N29" s="111">
        <f t="array" ref="N29">IFERROR(
(MEDIAN((IF(DATOS_[[Sexo]:[Sexo]]=$B29,IF(DATOS_[[AGRUP. VALOR. PTO.]:[AGRUP. VALOR. PTO.]]=$B27,IF(DATOS_[[Check Periodo Ref.]:[Check Periodo Ref.]]="Dentro",IF(DATOS_[[Check Equiparado]:[Check Equiparado]]="Sí",IF(DATOS!AI$5="Sí",(1/DATOS_[[% anualiz]:[% anualiz]]),1)*IF(DATOS!AI$4="Sí",1/DATOS_[[% normaliz]:[% normaliz]],1)*(DATOS_[Conc.Sal.05])))))))),
0)</f>
        <v>0</v>
      </c>
      <c r="O29" s="111">
        <f t="array" ref="O29">IFERROR(
(MEDIAN((IF(DATOS_[[Sexo]:[Sexo]]=$B29,IF(DATOS_[[AGRUP. VALOR. PTO.]:[AGRUP. VALOR. PTO.]]=$B27,IF(DATOS_[[Check Periodo Ref.]:[Check Periodo Ref.]]="Dentro",IF(DATOS_[[Check Equiparado]:[Check Equiparado]]="Sí",IF(DATOS!AJ$5="Sí",(1/DATOS_[[% anualiz]:[% anualiz]]),1)*IF(DATOS!AJ$4="Sí",1/DATOS_[[% normaliz]:[% normaliz]],1)*(DATOS_[Conc.Sal.06])))))))),
0)</f>
        <v>0</v>
      </c>
      <c r="P29" s="111">
        <f t="array" ref="P29">IFERROR(
(MEDIAN((IF(DATOS_[[Sexo]:[Sexo]]=$B29,IF(DATOS_[[AGRUP. VALOR. PTO.]:[AGRUP. VALOR. PTO.]]=$B27,IF(DATOS_[[Check Periodo Ref.]:[Check Periodo Ref.]]="Dentro",IF(DATOS_[[Check Equiparado]:[Check Equiparado]]="Sí",IF(DATOS!AK$5="Sí",(1/DATOS_[[% anualiz]:[% anualiz]]),1)*IF(DATOS!AK$4="Sí",1/DATOS_[[% normaliz]:[% normaliz]],1)*(DATOS_[Conc.Sal.07])))))))),
0)</f>
        <v>80</v>
      </c>
      <c r="Q29" s="111">
        <f t="array" ref="Q29">IFERROR(
(MEDIAN((IF(DATOS_[[Sexo]:[Sexo]]=$B29,IF(DATOS_[[AGRUP. VALOR. PTO.]:[AGRUP. VALOR. PTO.]]=$B27,IF(DATOS_[[Check Periodo Ref.]:[Check Periodo Ref.]]="Dentro",IF(DATOS_[[Check Equiparado]:[Check Equiparado]]="Sí",IF(DATOS!AL$5="Sí",(1/DATOS_[[% anualiz]:[% anualiz]]),1)*IF(DATOS!AL$4="Sí",1/DATOS_[[% normaliz]:[% normaliz]],1)*(DATOS_[Conc.Sal.08])))))))),
0)</f>
        <v>0</v>
      </c>
      <c r="R29" s="111">
        <f t="array" ref="R29">IFERROR(
(MEDIAN((IF(DATOS_[[Sexo]:[Sexo]]=$B29,IF(DATOS_[[AGRUP. VALOR. PTO.]:[AGRUP. VALOR. PTO.]]=$B27,IF(DATOS_[[Check Periodo Ref.]:[Check Periodo Ref.]]="Dentro",IF(DATOS_[[Check Equiparado]:[Check Equiparado]]="Sí",IF(DATOS!AM$5="Sí",(1/DATOS_[[% anualiz]:[% anualiz]]),1)*IF(DATOS!AM$4="Sí",1/DATOS_[[% normaliz]:[% normaliz]],1)*(DATOS_[Conc.Sal.09])))))))),
0)</f>
        <v>0</v>
      </c>
      <c r="S29" s="111">
        <f t="array" ref="S29">IFERROR(
(MEDIAN((IF(DATOS_[[Sexo]:[Sexo]]=$B29,IF(DATOS_[[AGRUP. VALOR. PTO.]:[AGRUP. VALOR. PTO.]]=$B27,IF(DATOS_[[Check Periodo Ref.]:[Check Periodo Ref.]]="Dentro",IF(DATOS_[[Check Equiparado]:[Check Equiparado]]="Sí",IF(DATOS!AN$5="Sí",(1/DATOS_[[% anualiz]:[% anualiz]]),1)*IF(DATOS!AN$4="Sí",1/DATOS_[[% normaliz]:[% normaliz]],1)*(DATOS_[Conc.Sal.10])))))))),
0)</f>
        <v>0</v>
      </c>
      <c r="T29" s="111">
        <f t="array" ref="T29">IFERROR(
(MEDIAN((IF(DATOS_[[Sexo]:[Sexo]]=$B29,IF(DATOS_[[AGRUP. VALOR. PTO.]:[AGRUP. VALOR. PTO.]]=$B27,IF(DATOS_[[Check Periodo Ref.]:[Check Periodo Ref.]]="Dentro",IF(DATOS_[[Check Equiparado]:[Check Equiparado]]="Sí",IF(DATOS!AO$5="Sí",(1/DATOS_[[% anualiz]:[% anualiz]]),1)*IF(DATOS!AO$4="Sí",1/DATOS_[[% normaliz]:[% normaliz]],1)*(DATOS_[Conc.Sal.11])))))))),
0)</f>
        <v>0</v>
      </c>
      <c r="U29" s="111">
        <f t="array" ref="U29">IFERROR(
(MEDIAN((IF(DATOS_[[Sexo]:[Sexo]]=$B29,IF(DATOS_[[AGRUP. VALOR. PTO.]:[AGRUP. VALOR. PTO.]]=$B27,IF(DATOS_[[Check Periodo Ref.]:[Check Periodo Ref.]]="Dentro",IF(DATOS_[[Check Equiparado]:[Check Equiparado]]="Sí",IF(DATOS!AP$5="Sí",(1/DATOS_[[% anualiz]:[% anualiz]]),1)*IF(DATOS!AP$4="Sí",1/DATOS_[[% normaliz]:[% normaliz]],1)*(DATOS_[Conc.Sal.12])))))))),
0)</f>
        <v>0</v>
      </c>
      <c r="V29" s="111">
        <f t="array" ref="V29">IFERROR(
(MEDIAN((IF(DATOS_[[Sexo]:[Sexo]]=$B29,IF(DATOS_[[AGRUP. VALOR. PTO.]:[AGRUP. VALOR. PTO.]]=$B27,IF(DATOS_[[Check Periodo Ref.]:[Check Periodo Ref.]]="Dentro",IF(DATOS_[[Check Equiparado]:[Check Equiparado]]="Sí",IF(DATOS!AQ$5="Sí",(1/DATOS_[[% anualiz]:[% anualiz]]),1)*IF(DATOS!AQ$4="Sí",1/DATOS_[[% normaliz]:[% normaliz]],1)*(DATOS_[Conc.Sal.13])))))))),
0)</f>
        <v>0</v>
      </c>
      <c r="W29" s="111">
        <f t="array" ref="W29">IFERROR(
(MEDIAN((IF(DATOS_[[Sexo]:[Sexo]]=$B29,IF(DATOS_[[AGRUP. VALOR. PTO.]:[AGRUP. VALOR. PTO.]]=$B27,IF(DATOS_[[Check Periodo Ref.]:[Check Periodo Ref.]]="Dentro",IF(DATOS_[[Check Equiparado]:[Check Equiparado]]="Sí",IF(DATOS!AR$5="Sí",(1/DATOS_[[% anualiz]:[% anualiz]]),1)*IF(DATOS!AR$4="Sí",1/DATOS_[[% normaliz]:[% normaliz]],1)*(DATOS_[Conc.Sal.14])))))))),
0)</f>
        <v>0</v>
      </c>
      <c r="X29" s="111">
        <f t="array" ref="X29">IFERROR(
(MEDIAN((IF(DATOS_[[Sexo]:[Sexo]]=$B29,IF(DATOS_[[AGRUP. VALOR. PTO.]:[AGRUP. VALOR. PTO.]]=$B27,IF(DATOS_[[Check Periodo Ref.]:[Check Periodo Ref.]]="Dentro",IF(DATOS_[[Check Equiparado]:[Check Equiparado]]="Sí",IF(DATOS!AS$5="Sí",(1/DATOS_[[% anualiz]:[% anualiz]]),1)*IF(DATOS!AS$4="Sí",1/DATOS_[[% normaliz]:[% normaliz]],1)*(DATOS_[Conc.Sal.15])))))))),
0)</f>
        <v>0</v>
      </c>
      <c r="Y29" s="111">
        <f t="array" ref="Y29">IFERROR(
(MEDIAN((IF(DATOS_[[Sexo]:[Sexo]]=$B29,IF(DATOS_[[AGRUP. VALOR. PTO.]:[AGRUP. VALOR. PTO.]]=$B27,IF(DATOS_[[Check Periodo Ref.]:[Check Periodo Ref.]]="Dentro",IF(DATOS_[[Check Equiparado]:[Check Equiparado]]="Sí",IF(DATOS!AT$5="Sí",(1/DATOS_[[% anualiz]:[% anualiz]]),1)*IF(DATOS!AT$4="Sí",1/DATOS_[[% normaliz]:[% normaliz]],1)*(DATOS_[Conc.Sal.16])))))))),
0)</f>
        <v>0</v>
      </c>
      <c r="Z29" s="111">
        <f t="array" ref="Z29">IFERROR(
(MEDIAN((IF(DATOS_[[Sexo]:[Sexo]]=$B29,IF(DATOS_[[AGRUP. VALOR. PTO.]:[AGRUP. VALOR. PTO.]]=$B27,IF(DATOS_[[Check Periodo Ref.]:[Check Periodo Ref.]]="Dentro",IF(DATOS_[[Check Equiparado]:[Check Equiparado]]="Sí",IF(DATOS!AU$5="Sí",(1/DATOS_[[% anualiz]:[% anualiz]]),1)*IF(DATOS!AU$4="Sí",1/DATOS_[[% normaliz]:[% normaliz]],1)*(DATOS_[Conc.Sal.17])))))))),
0)</f>
        <v>0</v>
      </c>
      <c r="AA29" s="111">
        <f t="array" ref="AA29">IFERROR(
(MEDIAN((IF(DATOS_[[Sexo]:[Sexo]]=$B29,IF(DATOS_[[AGRUP. VALOR. PTO.]:[AGRUP. VALOR. PTO.]]=$B27,IF(DATOS_[[Check Periodo Ref.]:[Check Periodo Ref.]]="Dentro",IF(DATOS_[[Check Equiparado]:[Check Equiparado]]="Sí",IF(DATOS!AV$5="Sí",(1/DATOS_[[% anualiz]:[% anualiz]]),1)*IF(DATOS!AV$4="Sí",1/DATOS_[[% normaliz]:[% normaliz]],1)*(DATOS_[Conc.Sal.18])))))))),
0)</f>
        <v>0</v>
      </c>
      <c r="AB29" s="111">
        <f t="array" ref="AB29">IFERROR(
(MEDIAN((IF(DATOS_[[Sexo]:[Sexo]]=$B29,IF(DATOS_[[AGRUP. VALOR. PTO.]:[AGRUP. VALOR. PTO.]]=$B27,IF(DATOS_[[Check Periodo Ref.]:[Check Periodo Ref.]]="Dentro",IF(DATOS_[[Check Equiparado]:[Check Equiparado]]="Sí",IF(DATOS!AW$5="Sí",(1/DATOS_[[% anualiz]:[% anualiz]]),1)*IF(DATOS!AW$4="Sí",1/DATOS_[[% normaliz]:[% normaliz]],1)*(DATOS_[Conc.Sal.19])))))))),
0)</f>
        <v>0</v>
      </c>
      <c r="AC29" s="111">
        <f t="array" ref="AC29">IFERROR(
(MEDIAN((IF(DATOS_[[Sexo]:[Sexo]]=$B29,IF(DATOS_[[AGRUP. VALOR. PTO.]:[AGRUP. VALOR. PTO.]]=$B27,IF(DATOS_[[Check Periodo Ref.]:[Check Periodo Ref.]]="Dentro",IF(DATOS_[[Check Equiparado]:[Check Equiparado]]="Sí",IF(DATOS!AX$5="Sí",(1/DATOS_[[% anualiz]:[% anualiz]]),1)*IF(DATOS!AX$4="Sí",1/DATOS_[[% normaliz]:[% normaliz]],1)*(DATOS_[Conc.Sal.20])))))))),
0)</f>
        <v>0</v>
      </c>
      <c r="AD29" s="111">
        <f t="array" ref="AD29">IFERROR(
(MEDIAN((IF(DATOS_[[Sexo]:[Sexo]]=$B29,IF(DATOS_[[AGRUP. VALOR. PTO.]:[AGRUP. VALOR. PTO.]]=$B27,IF(DATOS_[[Check Periodo Ref.]:[Check Periodo Ref.]]="Dentro",IF(DATOS_[[Check Equiparado]:[Check Equiparado]]="Sí",IF(DATOS!AY$5="Sí",(1/DATOS_[[% anualiz]:[% anualiz]]),1)*IF(DATOS!AY$4="Sí",1/DATOS_[[% normaliz]:[% normaliz]],1)*(DATOS_[Conc.Sal.21])))))))),
0)</f>
        <v>0</v>
      </c>
      <c r="AE29" s="111">
        <f t="array" ref="AE29">IFERROR(
(MEDIAN((IF(DATOS_[[Sexo]:[Sexo]]=$B29,IF(DATOS_[[AGRUP. VALOR. PTO.]:[AGRUP. VALOR. PTO.]]=$B27,IF(DATOS_[[Check Periodo Ref.]:[Check Periodo Ref.]]="Dentro",IF(DATOS_[[Check Equiparado]:[Check Equiparado]]="Sí",IF(DATOS!AZ$5="Sí",(1/DATOS_[[% anualiz]:[% anualiz]]),1)*IF(DATOS!AZ$4="Sí",1/DATOS_[[% normaliz]:[% normaliz]],1)*(DATOS_[Conc.Sal.22])))))))),
0)</f>
        <v>0</v>
      </c>
      <c r="AF29" s="111">
        <f t="array" ref="AF29">IFERROR(
(MEDIAN((IF(DATOS_[[Sexo]:[Sexo]]=$B29,IF(DATOS_[[AGRUP. VALOR. PTO.]:[AGRUP. VALOR. PTO.]]=$B27,IF(DATOS_[[Check Periodo Ref.]:[Check Periodo Ref.]]="Dentro",IF(DATOS_[[Check Equiparado]:[Check Equiparado]]="Sí",IF(DATOS!BA$5="Sí",(1/DATOS_[[% anualiz]:[% anualiz]]),1)*IF(DATOS!BA$4="Sí",1/DATOS_[[% normaliz]:[% normaliz]],1)*(DATOS_[Conc.Sal.23])))))))),
0)</f>
        <v>0</v>
      </c>
      <c r="AG29" s="111">
        <f t="array" ref="AG29">IFERROR(
(MEDIAN((IF(DATOS_[[Sexo]:[Sexo]]=$B29,IF(DATOS_[[AGRUP. VALOR. PTO.]:[AGRUP. VALOR. PTO.]]=$B27,IF(DATOS_[[Check Periodo Ref.]:[Check Periodo Ref.]]="Dentro",IF(DATOS_[[Check Equiparado]:[Check Equiparado]]="Sí",IF(DATOS!BB$5="Sí",(1/DATOS_[[% anualiz]:[% anualiz]]),1)*IF(DATOS!BB$4="Sí",1/DATOS_[[% normaliz]:[% normaliz]],1)*(DATOS_[Conc.Sal.24])))))))),
0)</f>
        <v>0</v>
      </c>
      <c r="AH29" s="111">
        <f t="array" ref="AH29">IFERROR(
(MEDIAN((IF(DATOS_[[Sexo]:[Sexo]]=$B29,IF(DATOS_[[AGRUP. VALOR. PTO.]:[AGRUP. VALOR. PTO.]]=$B27,IF(DATOS_[[Check Periodo Ref.]:[Check Periodo Ref.]]="Dentro",IF(DATOS_[[Check Equiparado]:[Check Equiparado]]="Sí",IF(DATOS!BC$5="Sí",(1/DATOS_[[% anualiz]:[% anualiz]]),1)*IF(DATOS!BC$4="Sí",1/DATOS_[[% normaliz]:[% normaliz]],1)*(DATOS_[Conc.Sal.25])))))))),
0)</f>
        <v>0</v>
      </c>
      <c r="AI29" s="111">
        <f t="array" ref="AI29">IFERROR(
(MEDIAN((IF(DATOS_[[Sexo]:[Sexo]]=$B29,IF(DATOS_[[AGRUP. VALOR. PTO.]:[AGRUP. VALOR. PTO.]]=$B27,IF(DATOS_[[Check Periodo Ref.]:[Check Periodo Ref.]]="Dentro",IF(DATOS_[[Check Equiparado]:[Check Equiparado]]="Sí",IF(DATOS!BD$5="Sí",(1/DATOS_[[% anualiz]:[% anualiz]]),1)*IF(DATOS!BD$4="Sí",1/DATOS_[[% normaliz]:[% normaliz]],1)*(DATOS_[Conc.Sal.26])))))))),
0)</f>
        <v>0</v>
      </c>
      <c r="AJ29" s="111">
        <f t="array" ref="AJ29">IFERROR(
(MEDIAN((IF(DATOS_[[Sexo]:[Sexo]]=$B29,IF(DATOS_[[AGRUP. VALOR. PTO.]:[AGRUP. VALOR. PTO.]]=$B27,IF(DATOS_[[Check Periodo Ref.]:[Check Periodo Ref.]]="Dentro",IF(DATOS_[[Check Equiparado]:[Check Equiparado]]="Sí",IF(DATOS!BE$5="Sí",(1/DATOS_[[% anualiz]:[% anualiz]]),1)*IF(DATOS!BE$4="Sí",1/DATOS_[[% normaliz]:[% normaliz]],1)*(DATOS_[Conc.Sal.27])))))))),
0)</f>
        <v>0</v>
      </c>
      <c r="AK29" s="111">
        <f t="array" ref="AK29">IFERROR(
(MEDIAN((IF(DATOS_[[Sexo]:[Sexo]]=$B29,IF(DATOS_[[AGRUP. VALOR. PTO.]:[AGRUP. VALOR. PTO.]]=$B27,IF(DATOS_[[Check Periodo Ref.]:[Check Periodo Ref.]]="Dentro",IF(DATOS_[[Check Equiparado]:[Check Equiparado]]="Sí",IF(DATOS!BF$5="Sí",(1/DATOS_[[% anualiz]:[% anualiz]]),1)*IF(DATOS!BF$4="Sí",1/DATOS_[[% normaliz]:[% normaliz]],1)*(DATOS_[Conc.Sal.28])))))))),
0)</f>
        <v>0</v>
      </c>
      <c r="AL29" s="111">
        <f t="array" ref="AL29">IFERROR(
(MEDIAN((IF(DATOS_[[Sexo]:[Sexo]]=$B29,IF(DATOS_[[AGRUP. VALOR. PTO.]:[AGRUP. VALOR. PTO.]]=$B27,IF(DATOS_[[Check Periodo Ref.]:[Check Periodo Ref.]]="Dentro",IF(DATOS_[[Check Equiparado]:[Check Equiparado]]="Sí",IF(DATOS!BG$5="Sí",(1/DATOS_[[% anualiz]:[% anualiz]]),1)*IF(DATOS!BG$4="Sí",1/DATOS_[[% normaliz]:[% normaliz]],1)*(DATOS_[Conc.Sal.29])))))))),
0)</f>
        <v>0</v>
      </c>
      <c r="AM29" s="111">
        <f t="array" ref="AM29">IFERROR(
(MEDIAN((IF(DATOS_[[Sexo]:[Sexo]]=$B29,IF(DATOS_[[AGRUP. VALOR. PTO.]:[AGRUP. VALOR. PTO.]]=$B27,IF(DATOS_[[Check Periodo Ref.]:[Check Periodo Ref.]]="Dentro",IF(DATOS_[[Check Equiparado]:[Check Equiparado]]="Sí",IF(DATOS!BH$5="Sí",(1/DATOS_[[% anualiz]:[% anualiz]]),1)*IF(DATOS!BH$4="Sí",1/DATOS_[[% normaliz]:[% normaliz]],1)*(DATOS_[Conc.Sal.30])))))))),
0)</f>
        <v>0</v>
      </c>
      <c r="AN29" s="112">
        <f t="array" ref="AN29">IFERROR(
MEDIAN(IF(DATOS_[Sexo]=$B29,IF(DATOS_[[AGRUP. VALOR. PTO.]:[AGRUP. VALOR. PTO.]]=$B27,IF(DATOS_[Check Equiparado]="Sí",IF(DATOS_[Check Periodo Ref.]="Dentro",DATOS_[Tot COMPL.SAL Eq],FALSE))))),
0)</f>
        <v>1124.9300000000003</v>
      </c>
      <c r="AO29" s="113">
        <f t="array" ref="AO29">IFERROR(
MEDIAN(IF(DATOS_[Sexo]=$B29,IF(DATOS_[[AGRUP. VALOR. PTO.]:[AGRUP. VALOR. PTO.]]=$B27,IF(DATOS_[Check Equiparado]="Sí",IF(DATOS_[Check Periodo Ref.]="Dentro",DATOS_[TOTAL SALARIO Eq],FALSE))))),
0)</f>
        <v>14040</v>
      </c>
      <c r="AP29" s="114">
        <f t="array" ref="AP29">IFERROR(
(MEDIAN((IF(DATOS_[[Sexo]:[Sexo]]=$B29,IF(DATOS_[[AGRUP. VALOR. PTO.]:[AGRUP. VALOR. PTO.]]=$B27,IF(DATOS_[[Check Periodo Ref.]:[Check Periodo Ref.]]="Dentro",IF(DATOS_[[Check Equiparado]:[Check Equiparado]]="Sí",IF(DATOS!BI$5="Sí",(1/DATOS_[[% anualiz]:[% anualiz]]),1)*IF(DATOS!BI$4="Sí",1/DATOS_[[% normaliz]:[% normaliz]],1)*(DATOS_[C.Extra.01])))))))),
0)</f>
        <v>0</v>
      </c>
      <c r="AQ29" s="114">
        <f t="array" ref="AQ29">IFERROR(
(MEDIAN((IF(DATOS_[[Sexo]:[Sexo]]=$B29,IF(DATOS_[[AGRUP. VALOR. PTO.]:[AGRUP. VALOR. PTO.]]=$B27,IF(DATOS_[[Check Periodo Ref.]:[Check Periodo Ref.]]="Dentro",IF(DATOS_[[Check Equiparado]:[Check Equiparado]]="Sí",IF(DATOS!BJ$5="Sí",(1/DATOS_[[% anualiz]:[% anualiz]]),1)*IF(DATOS!BJ$4="Sí",1/DATOS_[[% normaliz]:[% normaliz]],1)*(DATOS_[C.Extra.02])))))))),
0)</f>
        <v>0</v>
      </c>
      <c r="AR29" s="114">
        <f t="array" ref="AR29">IFERROR(
(MEDIAN((IF(DATOS_[[Sexo]:[Sexo]]=$B29,IF(DATOS_[[AGRUP. VALOR. PTO.]:[AGRUP. VALOR. PTO.]]=$B27,IF(DATOS_[[Check Periodo Ref.]:[Check Periodo Ref.]]="Dentro",IF(DATOS_[[Check Equiparado]:[Check Equiparado]]="Sí",IF(DATOS!BK$5="Sí",(1/DATOS_[[% anualiz]:[% anualiz]]),1)*IF(DATOS!BK$4="Sí",1/DATOS_[[% normaliz]:[% normaliz]],1)*(DATOS_[C.Extra.03])))))))),
0)</f>
        <v>0</v>
      </c>
      <c r="AS29" s="114">
        <f t="array" ref="AS29">IFERROR(
(MEDIAN((IF(DATOS_[[Sexo]:[Sexo]]=$B29,IF(DATOS_[[AGRUP. VALOR. PTO.]:[AGRUP. VALOR. PTO.]]=$B27,IF(DATOS_[[Check Periodo Ref.]:[Check Periodo Ref.]]="Dentro",IF(DATOS_[[Check Equiparado]:[Check Equiparado]]="Sí",IF(DATOS!BL$5="Sí",(1/DATOS_[[% anualiz]:[% anualiz]]),1)*IF(DATOS!BL$4="Sí",1/DATOS_[[% normaliz]:[% normaliz]],1)*(DATOS_[C.Extra.04])))))))),
0)</f>
        <v>0</v>
      </c>
      <c r="AT29" s="114">
        <f t="array" ref="AT29">IFERROR(
(MEDIAN((IF(DATOS_[[Sexo]:[Sexo]]=$B29,IF(DATOS_[[AGRUP. VALOR. PTO.]:[AGRUP. VALOR. PTO.]]=$B27,IF(DATOS_[[Check Periodo Ref.]:[Check Periodo Ref.]]="Dentro",IF(DATOS_[[Check Equiparado]:[Check Equiparado]]="Sí",IF(DATOS!BM$5="Sí",(1/DATOS_[[% anualiz]:[% anualiz]]),1)*IF(DATOS!BM$4="Sí",1/DATOS_[[% normaliz]:[% normaliz]],1)*(DATOS_[C.Extra.05])))))))),
0)</f>
        <v>0</v>
      </c>
      <c r="AU29" s="115">
        <f t="array" ref="AU29">IFERROR(
MEDIAN(IF(DATOS_[Sexo]=$B29,IF(DATOS_[[AGRUP. VALOR. PTO.]:[AGRUP. VALOR. PTO.]]=$B27,IF(DATOS_[Check Equiparado]="Sí",IF(DATOS_[Check Periodo Ref.]="Dentro",DATOS_[Tot Extrasalarial Eq],FALSE))))),
0)</f>
        <v>0</v>
      </c>
      <c r="AV29" s="116">
        <f t="array" ref="AV29">IFERROR(
MEDIAN(IF(DATOS_[Sexo]=$B29,IF(DATOS_[[AGRUP. VALOR. PTO.]:[AGRUP. VALOR. PTO.]]=$B27,IF(DATOS_[Check Equiparado]="Sí",IF(DATOS_[Check Periodo Ref.]="Dentro",DATOS_[TOTAL Retrib Eq],FALSE))))),
0)</f>
        <v>14040</v>
      </c>
    </row>
    <row r="30" spans="1:48" ht="17.25" hidden="1" thickBot="1" x14ac:dyDescent="0.35">
      <c r="A30" s="42" t="str">
        <f t="shared" ref="A30" si="23">+A31</f>
        <v>[ocultar]</v>
      </c>
      <c r="B30" s="90" t="s">
        <v>303</v>
      </c>
      <c r="C30" s="109"/>
      <c r="D30" s="41"/>
      <c r="E30" s="41"/>
      <c r="F30" s="41"/>
      <c r="G30" s="41"/>
      <c r="H30" s="41"/>
      <c r="I30" s="119" t="str">
        <f t="shared" ref="I30:AV30" si="24">IFERROR((I31-I32)/I31,"")</f>
        <v/>
      </c>
      <c r="J30" s="123" t="str">
        <f t="shared" si="24"/>
        <v/>
      </c>
      <c r="K30" s="123" t="str">
        <f t="shared" si="24"/>
        <v/>
      </c>
      <c r="L30" s="123" t="str">
        <f t="shared" si="24"/>
        <v/>
      </c>
      <c r="M30" s="123" t="str">
        <f t="shared" si="24"/>
        <v/>
      </c>
      <c r="N30" s="123" t="str">
        <f t="shared" si="24"/>
        <v/>
      </c>
      <c r="O30" s="123" t="str">
        <f t="shared" si="24"/>
        <v/>
      </c>
      <c r="P30" s="123" t="str">
        <f t="shared" si="24"/>
        <v/>
      </c>
      <c r="Q30" s="123" t="str">
        <f t="shared" si="24"/>
        <v/>
      </c>
      <c r="R30" s="123" t="str">
        <f t="shared" si="24"/>
        <v/>
      </c>
      <c r="S30" s="123" t="str">
        <f t="shared" si="24"/>
        <v/>
      </c>
      <c r="T30" s="123" t="str">
        <f t="shared" si="24"/>
        <v/>
      </c>
      <c r="U30" s="123" t="str">
        <f t="shared" si="24"/>
        <v/>
      </c>
      <c r="V30" s="123" t="str">
        <f t="shared" si="24"/>
        <v/>
      </c>
      <c r="W30" s="123" t="str">
        <f t="shared" si="24"/>
        <v/>
      </c>
      <c r="X30" s="123" t="str">
        <f t="shared" si="24"/>
        <v/>
      </c>
      <c r="Y30" s="123" t="str">
        <f t="shared" si="24"/>
        <v/>
      </c>
      <c r="Z30" s="122" t="str">
        <f t="shared" si="24"/>
        <v/>
      </c>
      <c r="AA30" s="122" t="str">
        <f t="shared" si="24"/>
        <v/>
      </c>
      <c r="AB30" s="122" t="str">
        <f t="shared" si="24"/>
        <v/>
      </c>
      <c r="AC30" s="122" t="str">
        <f t="shared" si="24"/>
        <v/>
      </c>
      <c r="AD30" s="122" t="str">
        <f t="shared" si="24"/>
        <v/>
      </c>
      <c r="AE30" s="122" t="str">
        <f t="shared" si="24"/>
        <v/>
      </c>
      <c r="AF30" s="122" t="str">
        <f t="shared" si="24"/>
        <v/>
      </c>
      <c r="AG30" s="122" t="str">
        <f t="shared" si="24"/>
        <v/>
      </c>
      <c r="AH30" s="122" t="str">
        <f t="shared" si="24"/>
        <v/>
      </c>
      <c r="AI30" s="122" t="str">
        <f t="shared" si="24"/>
        <v/>
      </c>
      <c r="AJ30" s="122" t="str">
        <f t="shared" si="24"/>
        <v/>
      </c>
      <c r="AK30" s="122" t="str">
        <f t="shared" si="24"/>
        <v/>
      </c>
      <c r="AL30" s="122" t="str">
        <f t="shared" si="24"/>
        <v/>
      </c>
      <c r="AM30" s="122" t="str">
        <f t="shared" si="24"/>
        <v/>
      </c>
      <c r="AN30" s="124" t="str">
        <f t="shared" si="24"/>
        <v/>
      </c>
      <c r="AO30" s="128" t="str">
        <f t="shared" si="24"/>
        <v/>
      </c>
      <c r="AP30" s="125" t="str">
        <f t="shared" si="24"/>
        <v/>
      </c>
      <c r="AQ30" s="125" t="str">
        <f t="shared" si="24"/>
        <v/>
      </c>
      <c r="AR30" s="125" t="str">
        <f t="shared" si="24"/>
        <v/>
      </c>
      <c r="AS30" s="125" t="str">
        <f t="shared" si="24"/>
        <v/>
      </c>
      <c r="AT30" s="125" t="str">
        <f t="shared" si="24"/>
        <v/>
      </c>
      <c r="AU30" s="126" t="str">
        <f t="shared" si="24"/>
        <v/>
      </c>
      <c r="AV30" s="127" t="str">
        <f t="shared" si="24"/>
        <v/>
      </c>
    </row>
    <row r="31" spans="1:48" hidden="1" x14ac:dyDescent="0.3">
      <c r="A31" s="42" t="str">
        <f t="shared" ref="A31" si="25">+IF(C31+C32=0,"[ocultar]","")</f>
        <v>[ocultar]</v>
      </c>
      <c r="B31" s="86" t="s">
        <v>162</v>
      </c>
      <c r="C31" s="33">
        <f t="array" ref="C31">SUM(IF($B31=DATOS_[Sexo],
IF($B30=DATOS_[AGRUP. VALOR. PTO.],
IF("Dentro"=DATOS_[Check Periodo Ref.],
1/(COUNTIFS(DATOS_[Sexo],$B31,DATOS_[AGRUP. VALOR. PTO.],$B30,DATOS_[Check Periodo Ref.],"Dentro",DATOS_[id],DATOS_[id]))))))</f>
        <v>0</v>
      </c>
      <c r="D31" s="35">
        <f>COUNTIFS(DATOS_[AGRUP. VALOR. PTO.],$B30,DATOS_[Sexo],$B31,DATOS_[Check Periodo Ref.],"Dentro")</f>
        <v>0</v>
      </c>
      <c r="E31" s="35">
        <f>COUNTIFS(DATOS_[AGRUP. VALOR. PTO.],$B30,DATOS_[Sexo],$B31,DATOS_[Check Periodo Ref.],"Dentro",DATOS_[Check Nº SC Norm],"Sí")</f>
        <v>0</v>
      </c>
      <c r="F31" s="35">
        <f>COUNTIFS(DATOS_[AGRUP. VALOR. PTO.],$B30,DATOS_[Sexo],$B31,DATOS_[Check Periodo Ref.],"Dentro",DATOS_[Check Nº SC Anualiz],"Sí")</f>
        <v>0</v>
      </c>
      <c r="G31" s="35">
        <f>COUNTIFS(DATOS_[AGRUP. VALOR. PTO.],$B30,DATOS_[Sexo],$B31,DATOS_[Check Periodo Ref.],"Dentro",DATOS_[Check Nº SC Norm y Anualiz],"Sí")</f>
        <v>0</v>
      </c>
      <c r="H31" s="35">
        <f>COUNTIFS(DATOS_[AGRUP. VALOR. PTO.],$B30,DATOS_[Sexo],$B31,DATOS_[Check Periodo Ref.],"Dentro",DATOS_[Check Equiparación],"Sí")</f>
        <v>0</v>
      </c>
      <c r="I31" s="110">
        <f t="array" ref="I31">IFERROR(
MEDIAN(IF(DATOS_[Sexo]=$B31,IF(DATOS_[[AGRUP. VALOR. PTO.]:[AGRUP. VALOR. PTO.]]=$B30,IF(DATOS_[Check Equiparado]="Sí",IF(DATOS_[Check Periodo Ref.]="Dentro",DATOS_[SALARIO BASE Eq],FALSE))))),
0)</f>
        <v>0</v>
      </c>
      <c r="J31" s="111">
        <f t="array" ref="J31">IFERROR(
(MEDIAN((IF(DATOS_[[Sexo]:[Sexo]]=$B31,IF(DATOS_[[AGRUP. VALOR. PTO.]:[AGRUP. VALOR. PTO.]]=$B30,IF(DATOS_[[Check Periodo Ref.]:[Check Periodo Ref.]]="Dentro",IF(DATOS_[[Check Equiparado]:[Check Equiparado]]="Sí",IF(DATOS!AE$5="Sí",(1/DATOS_[[% anualiz]:[% anualiz]]),1)*IF(DATOS!AE$4="Sí",1/DATOS_[[% normaliz]:[% normaliz]],1)*(DATOS_[Conc.Sal.01])))))))),
0)</f>
        <v>0</v>
      </c>
      <c r="K31" s="111">
        <f t="array" ref="K31">IFERROR(
(MEDIAN((IF(DATOS_[[Sexo]:[Sexo]]=$B31,IF(DATOS_[[AGRUP. VALOR. PTO.]:[AGRUP. VALOR. PTO.]]=$B30,IF(DATOS_[[Check Periodo Ref.]:[Check Periodo Ref.]]="Dentro",IF(DATOS_[[Check Equiparado]:[Check Equiparado]]="Sí",IF(DATOS!AF$5="Sí",(1/DATOS_[[% anualiz]:[% anualiz]]),1)*IF(DATOS!AF$4="Sí",1/DATOS_[[% normaliz]:[% normaliz]],1)*(DATOS_[Conc.Sal.02])))))))),
0)</f>
        <v>0</v>
      </c>
      <c r="L31" s="111">
        <f t="array" ref="L31">IFERROR(
(MEDIAN((IF(DATOS_[[Sexo]:[Sexo]]=$B31,IF(DATOS_[[AGRUP. VALOR. PTO.]:[AGRUP. VALOR. PTO.]]=$B30,IF(DATOS_[[Check Periodo Ref.]:[Check Periodo Ref.]]="Dentro",IF(DATOS_[[Check Equiparado]:[Check Equiparado]]="Sí",IF(DATOS!AG$5="Sí",(1/DATOS_[[% anualiz]:[% anualiz]]),1)*IF(DATOS!AG$4="Sí",1/DATOS_[[% normaliz]:[% normaliz]],1)*(DATOS_[Conc.Sal.03])))))))),
0)</f>
        <v>0</v>
      </c>
      <c r="M31" s="111">
        <f t="array" ref="M31">IFERROR(
(MEDIAN((IF(DATOS_[[Sexo]:[Sexo]]=$B31,IF(DATOS_[[AGRUP. VALOR. PTO.]:[AGRUP. VALOR. PTO.]]=$B30,IF(DATOS_[[Check Periodo Ref.]:[Check Periodo Ref.]]="Dentro",IF(DATOS_[[Check Equiparado]:[Check Equiparado]]="Sí",IF(DATOS!AH$5="Sí",(1/DATOS_[[% anualiz]:[% anualiz]]),1)*IF(DATOS!AH$4="Sí",1/DATOS_[[% normaliz]:[% normaliz]],1)*(DATOS_[Conc.Sal.04])))))))),
0)</f>
        <v>0</v>
      </c>
      <c r="N31" s="111">
        <f t="array" ref="N31">IFERROR(
(MEDIAN((IF(DATOS_[[Sexo]:[Sexo]]=$B31,IF(DATOS_[[AGRUP. VALOR. PTO.]:[AGRUP. VALOR. PTO.]]=$B30,IF(DATOS_[[Check Periodo Ref.]:[Check Periodo Ref.]]="Dentro",IF(DATOS_[[Check Equiparado]:[Check Equiparado]]="Sí",IF(DATOS!AI$5="Sí",(1/DATOS_[[% anualiz]:[% anualiz]]),1)*IF(DATOS!AI$4="Sí",1/DATOS_[[% normaliz]:[% normaliz]],1)*(DATOS_[Conc.Sal.05])))))))),
0)</f>
        <v>0</v>
      </c>
      <c r="O31" s="111">
        <f t="array" ref="O31">IFERROR(
(MEDIAN((IF(DATOS_[[Sexo]:[Sexo]]=$B31,IF(DATOS_[[AGRUP. VALOR. PTO.]:[AGRUP. VALOR. PTO.]]=$B30,IF(DATOS_[[Check Periodo Ref.]:[Check Periodo Ref.]]="Dentro",IF(DATOS_[[Check Equiparado]:[Check Equiparado]]="Sí",IF(DATOS!AJ$5="Sí",(1/DATOS_[[% anualiz]:[% anualiz]]),1)*IF(DATOS!AJ$4="Sí",1/DATOS_[[% normaliz]:[% normaliz]],1)*(DATOS_[Conc.Sal.06])))))))),
0)</f>
        <v>0</v>
      </c>
      <c r="P31" s="111">
        <f t="array" ref="P31">IFERROR(
(MEDIAN((IF(DATOS_[[Sexo]:[Sexo]]=$B31,IF(DATOS_[[AGRUP. VALOR. PTO.]:[AGRUP. VALOR. PTO.]]=$B30,IF(DATOS_[[Check Periodo Ref.]:[Check Periodo Ref.]]="Dentro",IF(DATOS_[[Check Equiparado]:[Check Equiparado]]="Sí",IF(DATOS!AK$5="Sí",(1/DATOS_[[% anualiz]:[% anualiz]]),1)*IF(DATOS!AK$4="Sí",1/DATOS_[[% normaliz]:[% normaliz]],1)*(DATOS_[Conc.Sal.07])))))))),
0)</f>
        <v>0</v>
      </c>
      <c r="Q31" s="111">
        <f t="array" ref="Q31">IFERROR(
(MEDIAN((IF(DATOS_[[Sexo]:[Sexo]]=$B31,IF(DATOS_[[AGRUP. VALOR. PTO.]:[AGRUP. VALOR. PTO.]]=$B30,IF(DATOS_[[Check Periodo Ref.]:[Check Periodo Ref.]]="Dentro",IF(DATOS_[[Check Equiparado]:[Check Equiparado]]="Sí",IF(DATOS!AL$5="Sí",(1/DATOS_[[% anualiz]:[% anualiz]]),1)*IF(DATOS!AL$4="Sí",1/DATOS_[[% normaliz]:[% normaliz]],1)*(DATOS_[Conc.Sal.08])))))))),
0)</f>
        <v>0</v>
      </c>
      <c r="R31" s="111">
        <f t="array" ref="R31">IFERROR(
(MEDIAN((IF(DATOS_[[Sexo]:[Sexo]]=$B31,IF(DATOS_[[AGRUP. VALOR. PTO.]:[AGRUP. VALOR. PTO.]]=$B30,IF(DATOS_[[Check Periodo Ref.]:[Check Periodo Ref.]]="Dentro",IF(DATOS_[[Check Equiparado]:[Check Equiparado]]="Sí",IF(DATOS!AM$5="Sí",(1/DATOS_[[% anualiz]:[% anualiz]]),1)*IF(DATOS!AM$4="Sí",1/DATOS_[[% normaliz]:[% normaliz]],1)*(DATOS_[Conc.Sal.09])))))))),
0)</f>
        <v>0</v>
      </c>
      <c r="S31" s="111">
        <f t="array" ref="S31">IFERROR(
(MEDIAN((IF(DATOS_[[Sexo]:[Sexo]]=$B31,IF(DATOS_[[AGRUP. VALOR. PTO.]:[AGRUP. VALOR. PTO.]]=$B30,IF(DATOS_[[Check Periodo Ref.]:[Check Periodo Ref.]]="Dentro",IF(DATOS_[[Check Equiparado]:[Check Equiparado]]="Sí",IF(DATOS!AN$5="Sí",(1/DATOS_[[% anualiz]:[% anualiz]]),1)*IF(DATOS!AN$4="Sí",1/DATOS_[[% normaliz]:[% normaliz]],1)*(DATOS_[Conc.Sal.10])))))))),
0)</f>
        <v>0</v>
      </c>
      <c r="T31" s="111">
        <f t="array" ref="T31">IFERROR(
(MEDIAN((IF(DATOS_[[Sexo]:[Sexo]]=$B31,IF(DATOS_[[AGRUP. VALOR. PTO.]:[AGRUP. VALOR. PTO.]]=$B30,IF(DATOS_[[Check Periodo Ref.]:[Check Periodo Ref.]]="Dentro",IF(DATOS_[[Check Equiparado]:[Check Equiparado]]="Sí",IF(DATOS!AO$5="Sí",(1/DATOS_[[% anualiz]:[% anualiz]]),1)*IF(DATOS!AO$4="Sí",1/DATOS_[[% normaliz]:[% normaliz]],1)*(DATOS_[Conc.Sal.11])))))))),
0)</f>
        <v>0</v>
      </c>
      <c r="U31" s="111">
        <f t="array" ref="U31">IFERROR(
(MEDIAN((IF(DATOS_[[Sexo]:[Sexo]]=$B31,IF(DATOS_[[AGRUP. VALOR. PTO.]:[AGRUP. VALOR. PTO.]]=$B30,IF(DATOS_[[Check Periodo Ref.]:[Check Periodo Ref.]]="Dentro",IF(DATOS_[[Check Equiparado]:[Check Equiparado]]="Sí",IF(DATOS!AP$5="Sí",(1/DATOS_[[% anualiz]:[% anualiz]]),1)*IF(DATOS!AP$4="Sí",1/DATOS_[[% normaliz]:[% normaliz]],1)*(DATOS_[Conc.Sal.12])))))))),
0)</f>
        <v>0</v>
      </c>
      <c r="V31" s="111">
        <f t="array" ref="V31">IFERROR(
(MEDIAN((IF(DATOS_[[Sexo]:[Sexo]]=$B31,IF(DATOS_[[AGRUP. VALOR. PTO.]:[AGRUP. VALOR. PTO.]]=$B30,IF(DATOS_[[Check Periodo Ref.]:[Check Periodo Ref.]]="Dentro",IF(DATOS_[[Check Equiparado]:[Check Equiparado]]="Sí",IF(DATOS!AQ$5="Sí",(1/DATOS_[[% anualiz]:[% anualiz]]),1)*IF(DATOS!AQ$4="Sí",1/DATOS_[[% normaliz]:[% normaliz]],1)*(DATOS_[Conc.Sal.13])))))))),
0)</f>
        <v>0</v>
      </c>
      <c r="W31" s="111">
        <f t="array" ref="W31">IFERROR(
(MEDIAN((IF(DATOS_[[Sexo]:[Sexo]]=$B31,IF(DATOS_[[AGRUP. VALOR. PTO.]:[AGRUP. VALOR. PTO.]]=$B30,IF(DATOS_[[Check Periodo Ref.]:[Check Periodo Ref.]]="Dentro",IF(DATOS_[[Check Equiparado]:[Check Equiparado]]="Sí",IF(DATOS!AR$5="Sí",(1/DATOS_[[% anualiz]:[% anualiz]]),1)*IF(DATOS!AR$4="Sí",1/DATOS_[[% normaliz]:[% normaliz]],1)*(DATOS_[Conc.Sal.14])))))))),
0)</f>
        <v>0</v>
      </c>
      <c r="X31" s="111">
        <f t="array" ref="X31">IFERROR(
(MEDIAN((IF(DATOS_[[Sexo]:[Sexo]]=$B31,IF(DATOS_[[AGRUP. VALOR. PTO.]:[AGRUP. VALOR. PTO.]]=$B30,IF(DATOS_[[Check Periodo Ref.]:[Check Periodo Ref.]]="Dentro",IF(DATOS_[[Check Equiparado]:[Check Equiparado]]="Sí",IF(DATOS!AS$5="Sí",(1/DATOS_[[% anualiz]:[% anualiz]]),1)*IF(DATOS!AS$4="Sí",1/DATOS_[[% normaliz]:[% normaliz]],1)*(DATOS_[Conc.Sal.15])))))))),
0)</f>
        <v>0</v>
      </c>
      <c r="Y31" s="111">
        <f t="array" ref="Y31">IFERROR(
(MEDIAN((IF(DATOS_[[Sexo]:[Sexo]]=$B31,IF(DATOS_[[AGRUP. VALOR. PTO.]:[AGRUP. VALOR. PTO.]]=$B30,IF(DATOS_[[Check Periodo Ref.]:[Check Periodo Ref.]]="Dentro",IF(DATOS_[[Check Equiparado]:[Check Equiparado]]="Sí",IF(DATOS!AT$5="Sí",(1/DATOS_[[% anualiz]:[% anualiz]]),1)*IF(DATOS!AT$4="Sí",1/DATOS_[[% normaliz]:[% normaliz]],1)*(DATOS_[Conc.Sal.16])))))))),
0)</f>
        <v>0</v>
      </c>
      <c r="Z31" s="111">
        <f t="array" ref="Z31">IFERROR(
(MEDIAN((IF(DATOS_[[Sexo]:[Sexo]]=$B31,IF(DATOS_[[AGRUP. VALOR. PTO.]:[AGRUP. VALOR. PTO.]]=$B30,IF(DATOS_[[Check Periodo Ref.]:[Check Periodo Ref.]]="Dentro",IF(DATOS_[[Check Equiparado]:[Check Equiparado]]="Sí",IF(DATOS!AU$5="Sí",(1/DATOS_[[% anualiz]:[% anualiz]]),1)*IF(DATOS!AU$4="Sí",1/DATOS_[[% normaliz]:[% normaliz]],1)*(DATOS_[Conc.Sal.17])))))))),
0)</f>
        <v>0</v>
      </c>
      <c r="AA31" s="111">
        <f t="array" ref="AA31">IFERROR(
(MEDIAN((IF(DATOS_[[Sexo]:[Sexo]]=$B31,IF(DATOS_[[AGRUP. VALOR. PTO.]:[AGRUP. VALOR. PTO.]]=$B30,IF(DATOS_[[Check Periodo Ref.]:[Check Periodo Ref.]]="Dentro",IF(DATOS_[[Check Equiparado]:[Check Equiparado]]="Sí",IF(DATOS!AV$5="Sí",(1/DATOS_[[% anualiz]:[% anualiz]]),1)*IF(DATOS!AV$4="Sí",1/DATOS_[[% normaliz]:[% normaliz]],1)*(DATOS_[Conc.Sal.18])))))))),
0)</f>
        <v>0</v>
      </c>
      <c r="AB31" s="111">
        <f t="array" ref="AB31">IFERROR(
(MEDIAN((IF(DATOS_[[Sexo]:[Sexo]]=$B31,IF(DATOS_[[AGRUP. VALOR. PTO.]:[AGRUP. VALOR. PTO.]]=$B30,IF(DATOS_[[Check Periodo Ref.]:[Check Periodo Ref.]]="Dentro",IF(DATOS_[[Check Equiparado]:[Check Equiparado]]="Sí",IF(DATOS!AW$5="Sí",(1/DATOS_[[% anualiz]:[% anualiz]]),1)*IF(DATOS!AW$4="Sí",1/DATOS_[[% normaliz]:[% normaliz]],1)*(DATOS_[Conc.Sal.19])))))))),
0)</f>
        <v>0</v>
      </c>
      <c r="AC31" s="111">
        <f t="array" ref="AC31">IFERROR(
(MEDIAN((IF(DATOS_[[Sexo]:[Sexo]]=$B31,IF(DATOS_[[AGRUP. VALOR. PTO.]:[AGRUP. VALOR. PTO.]]=$B30,IF(DATOS_[[Check Periodo Ref.]:[Check Periodo Ref.]]="Dentro",IF(DATOS_[[Check Equiparado]:[Check Equiparado]]="Sí",IF(DATOS!AX$5="Sí",(1/DATOS_[[% anualiz]:[% anualiz]]),1)*IF(DATOS!AX$4="Sí",1/DATOS_[[% normaliz]:[% normaliz]],1)*(DATOS_[Conc.Sal.20])))))))),
0)</f>
        <v>0</v>
      </c>
      <c r="AD31" s="111">
        <f t="array" ref="AD31">IFERROR(
(MEDIAN((IF(DATOS_[[Sexo]:[Sexo]]=$B31,IF(DATOS_[[AGRUP. VALOR. PTO.]:[AGRUP. VALOR. PTO.]]=$B30,IF(DATOS_[[Check Periodo Ref.]:[Check Periodo Ref.]]="Dentro",IF(DATOS_[[Check Equiparado]:[Check Equiparado]]="Sí",IF(DATOS!AY$5="Sí",(1/DATOS_[[% anualiz]:[% anualiz]]),1)*IF(DATOS!AY$4="Sí",1/DATOS_[[% normaliz]:[% normaliz]],1)*(DATOS_[Conc.Sal.21])))))))),
0)</f>
        <v>0</v>
      </c>
      <c r="AE31" s="111">
        <f t="array" ref="AE31">IFERROR(
(MEDIAN((IF(DATOS_[[Sexo]:[Sexo]]=$B31,IF(DATOS_[[AGRUP. VALOR. PTO.]:[AGRUP. VALOR. PTO.]]=$B30,IF(DATOS_[[Check Periodo Ref.]:[Check Periodo Ref.]]="Dentro",IF(DATOS_[[Check Equiparado]:[Check Equiparado]]="Sí",IF(DATOS!AZ$5="Sí",(1/DATOS_[[% anualiz]:[% anualiz]]),1)*IF(DATOS!AZ$4="Sí",1/DATOS_[[% normaliz]:[% normaliz]],1)*(DATOS_[Conc.Sal.22])))))))),
0)</f>
        <v>0</v>
      </c>
      <c r="AF31" s="111">
        <f t="array" ref="AF31">IFERROR(
(MEDIAN((IF(DATOS_[[Sexo]:[Sexo]]=$B31,IF(DATOS_[[AGRUP. VALOR. PTO.]:[AGRUP. VALOR. PTO.]]=$B30,IF(DATOS_[[Check Periodo Ref.]:[Check Periodo Ref.]]="Dentro",IF(DATOS_[[Check Equiparado]:[Check Equiparado]]="Sí",IF(DATOS!BA$5="Sí",(1/DATOS_[[% anualiz]:[% anualiz]]),1)*IF(DATOS!BA$4="Sí",1/DATOS_[[% normaliz]:[% normaliz]],1)*(DATOS_[Conc.Sal.23])))))))),
0)</f>
        <v>0</v>
      </c>
      <c r="AG31" s="111">
        <f t="array" ref="AG31">IFERROR(
(MEDIAN((IF(DATOS_[[Sexo]:[Sexo]]=$B31,IF(DATOS_[[AGRUP. VALOR. PTO.]:[AGRUP. VALOR. PTO.]]=$B30,IF(DATOS_[[Check Periodo Ref.]:[Check Periodo Ref.]]="Dentro",IF(DATOS_[[Check Equiparado]:[Check Equiparado]]="Sí",IF(DATOS!BB$5="Sí",(1/DATOS_[[% anualiz]:[% anualiz]]),1)*IF(DATOS!BB$4="Sí",1/DATOS_[[% normaliz]:[% normaliz]],1)*(DATOS_[Conc.Sal.24])))))))),
0)</f>
        <v>0</v>
      </c>
      <c r="AH31" s="111">
        <f t="array" ref="AH31">IFERROR(
(MEDIAN((IF(DATOS_[[Sexo]:[Sexo]]=$B31,IF(DATOS_[[AGRUP. VALOR. PTO.]:[AGRUP. VALOR. PTO.]]=$B30,IF(DATOS_[[Check Periodo Ref.]:[Check Periodo Ref.]]="Dentro",IF(DATOS_[[Check Equiparado]:[Check Equiparado]]="Sí",IF(DATOS!BC$5="Sí",(1/DATOS_[[% anualiz]:[% anualiz]]),1)*IF(DATOS!BC$4="Sí",1/DATOS_[[% normaliz]:[% normaliz]],1)*(DATOS_[Conc.Sal.25])))))))),
0)</f>
        <v>0</v>
      </c>
      <c r="AI31" s="111">
        <f t="array" ref="AI31">IFERROR(
(MEDIAN((IF(DATOS_[[Sexo]:[Sexo]]=$B31,IF(DATOS_[[AGRUP. VALOR. PTO.]:[AGRUP. VALOR. PTO.]]=$B30,IF(DATOS_[[Check Periodo Ref.]:[Check Periodo Ref.]]="Dentro",IF(DATOS_[[Check Equiparado]:[Check Equiparado]]="Sí",IF(DATOS!BD$5="Sí",(1/DATOS_[[% anualiz]:[% anualiz]]),1)*IF(DATOS!BD$4="Sí",1/DATOS_[[% normaliz]:[% normaliz]],1)*(DATOS_[Conc.Sal.26])))))))),
0)</f>
        <v>0</v>
      </c>
      <c r="AJ31" s="111">
        <f t="array" ref="AJ31">IFERROR(
(MEDIAN((IF(DATOS_[[Sexo]:[Sexo]]=$B31,IF(DATOS_[[AGRUP. VALOR. PTO.]:[AGRUP. VALOR. PTO.]]=$B30,IF(DATOS_[[Check Periodo Ref.]:[Check Periodo Ref.]]="Dentro",IF(DATOS_[[Check Equiparado]:[Check Equiparado]]="Sí",IF(DATOS!BE$5="Sí",(1/DATOS_[[% anualiz]:[% anualiz]]),1)*IF(DATOS!BE$4="Sí",1/DATOS_[[% normaliz]:[% normaliz]],1)*(DATOS_[Conc.Sal.27])))))))),
0)</f>
        <v>0</v>
      </c>
      <c r="AK31" s="111">
        <f t="array" ref="AK31">IFERROR(
(MEDIAN((IF(DATOS_[[Sexo]:[Sexo]]=$B31,IF(DATOS_[[AGRUP. VALOR. PTO.]:[AGRUP. VALOR. PTO.]]=$B30,IF(DATOS_[[Check Periodo Ref.]:[Check Periodo Ref.]]="Dentro",IF(DATOS_[[Check Equiparado]:[Check Equiparado]]="Sí",IF(DATOS!BF$5="Sí",(1/DATOS_[[% anualiz]:[% anualiz]]),1)*IF(DATOS!BF$4="Sí",1/DATOS_[[% normaliz]:[% normaliz]],1)*(DATOS_[Conc.Sal.28])))))))),
0)</f>
        <v>0</v>
      </c>
      <c r="AL31" s="111">
        <f t="array" ref="AL31">IFERROR(
(MEDIAN((IF(DATOS_[[Sexo]:[Sexo]]=$B31,IF(DATOS_[[AGRUP. VALOR. PTO.]:[AGRUP. VALOR. PTO.]]=$B30,IF(DATOS_[[Check Periodo Ref.]:[Check Periodo Ref.]]="Dentro",IF(DATOS_[[Check Equiparado]:[Check Equiparado]]="Sí",IF(DATOS!BG$5="Sí",(1/DATOS_[[% anualiz]:[% anualiz]]),1)*IF(DATOS!BG$4="Sí",1/DATOS_[[% normaliz]:[% normaliz]],1)*(DATOS_[Conc.Sal.29])))))))),
0)</f>
        <v>0</v>
      </c>
      <c r="AM31" s="111">
        <f t="array" ref="AM31">IFERROR(
(MEDIAN((IF(DATOS_[[Sexo]:[Sexo]]=$B31,IF(DATOS_[[AGRUP. VALOR. PTO.]:[AGRUP. VALOR. PTO.]]=$B30,IF(DATOS_[[Check Periodo Ref.]:[Check Periodo Ref.]]="Dentro",IF(DATOS_[[Check Equiparado]:[Check Equiparado]]="Sí",IF(DATOS!BH$5="Sí",(1/DATOS_[[% anualiz]:[% anualiz]]),1)*IF(DATOS!BH$4="Sí",1/DATOS_[[% normaliz]:[% normaliz]],1)*(DATOS_[Conc.Sal.30])))))))),
0)</f>
        <v>0</v>
      </c>
      <c r="AN31" s="112">
        <f t="array" ref="AN31">IFERROR(
MEDIAN(IF(DATOS_[Sexo]=$B31,IF(DATOS_[[AGRUP. VALOR. PTO.]:[AGRUP. VALOR. PTO.]]=$B30,IF(DATOS_[Check Equiparado]="Sí",IF(DATOS_[Check Periodo Ref.]="Dentro",DATOS_[Tot COMPL.SAL Eq],FALSE))))),
0)</f>
        <v>0</v>
      </c>
      <c r="AO31" s="113">
        <f t="array" ref="AO31">IFERROR(
MEDIAN(IF(DATOS_[Sexo]=$B31,IF(DATOS_[[AGRUP. VALOR. PTO.]:[AGRUP. VALOR. PTO.]]=$B30,IF(DATOS_[Check Equiparado]="Sí",IF(DATOS_[Check Periodo Ref.]="Dentro",DATOS_[TOTAL SALARIO Eq],FALSE))))),
0)</f>
        <v>0</v>
      </c>
      <c r="AP31" s="114">
        <f t="array" ref="AP31">IFERROR(
(MEDIAN((IF(DATOS_[[Sexo]:[Sexo]]=$B31,IF(DATOS_[[AGRUP. VALOR. PTO.]:[AGRUP. VALOR. PTO.]]=$B30,IF(DATOS_[[Check Periodo Ref.]:[Check Periodo Ref.]]="Dentro",IF(DATOS_[[Check Equiparado]:[Check Equiparado]]="Sí",IF(DATOS!BI$5="Sí",(1/DATOS_[[% anualiz]:[% anualiz]]),1)*IF(DATOS!BI$4="Sí",1/DATOS_[[% normaliz]:[% normaliz]],1)*(DATOS_[C.Extra.01])))))))),
0)</f>
        <v>0</v>
      </c>
      <c r="AQ31" s="114">
        <f t="array" ref="AQ31">IFERROR(
(MEDIAN((IF(DATOS_[[Sexo]:[Sexo]]=$B31,IF(DATOS_[[AGRUP. VALOR. PTO.]:[AGRUP. VALOR. PTO.]]=$B30,IF(DATOS_[[Check Periodo Ref.]:[Check Periodo Ref.]]="Dentro",IF(DATOS_[[Check Equiparado]:[Check Equiparado]]="Sí",IF(DATOS!BJ$5="Sí",(1/DATOS_[[% anualiz]:[% anualiz]]),1)*IF(DATOS!BJ$4="Sí",1/DATOS_[[% normaliz]:[% normaliz]],1)*(DATOS_[C.Extra.02])))))))),
0)</f>
        <v>0</v>
      </c>
      <c r="AR31" s="114">
        <f t="array" ref="AR31">IFERROR(
(MEDIAN((IF(DATOS_[[Sexo]:[Sexo]]=$B31,IF(DATOS_[[AGRUP. VALOR. PTO.]:[AGRUP. VALOR. PTO.]]=$B30,IF(DATOS_[[Check Periodo Ref.]:[Check Periodo Ref.]]="Dentro",IF(DATOS_[[Check Equiparado]:[Check Equiparado]]="Sí",IF(DATOS!BK$5="Sí",(1/DATOS_[[% anualiz]:[% anualiz]]),1)*IF(DATOS!BK$4="Sí",1/DATOS_[[% normaliz]:[% normaliz]],1)*(DATOS_[C.Extra.03])))))))),
0)</f>
        <v>0</v>
      </c>
      <c r="AS31" s="114">
        <f t="array" ref="AS31">IFERROR(
(MEDIAN((IF(DATOS_[[Sexo]:[Sexo]]=$B31,IF(DATOS_[[AGRUP. VALOR. PTO.]:[AGRUP. VALOR. PTO.]]=$B30,IF(DATOS_[[Check Periodo Ref.]:[Check Periodo Ref.]]="Dentro",IF(DATOS_[[Check Equiparado]:[Check Equiparado]]="Sí",IF(DATOS!BL$5="Sí",(1/DATOS_[[% anualiz]:[% anualiz]]),1)*IF(DATOS!BL$4="Sí",1/DATOS_[[% normaliz]:[% normaliz]],1)*(DATOS_[C.Extra.04])))))))),
0)</f>
        <v>0</v>
      </c>
      <c r="AT31" s="114">
        <f t="array" ref="AT31">IFERROR(
(MEDIAN((IF(DATOS_[[Sexo]:[Sexo]]=$B31,IF(DATOS_[[AGRUP. VALOR. PTO.]:[AGRUP. VALOR. PTO.]]=$B30,IF(DATOS_[[Check Periodo Ref.]:[Check Periodo Ref.]]="Dentro",IF(DATOS_[[Check Equiparado]:[Check Equiparado]]="Sí",IF(DATOS!BM$5="Sí",(1/DATOS_[[% anualiz]:[% anualiz]]),1)*IF(DATOS!BM$4="Sí",1/DATOS_[[% normaliz]:[% normaliz]],1)*(DATOS_[C.Extra.05])))))))),
0)</f>
        <v>0</v>
      </c>
      <c r="AU31" s="115">
        <f t="array" ref="AU31">IFERROR(
MEDIAN(IF(DATOS_[Sexo]=$B31,IF(DATOS_[[AGRUP. VALOR. PTO.]:[AGRUP. VALOR. PTO.]]=$B30,IF(DATOS_[Check Equiparado]="Sí",IF(DATOS_[Check Periodo Ref.]="Dentro",DATOS_[Tot Extrasalarial Eq],FALSE))))),
0)</f>
        <v>0</v>
      </c>
      <c r="AV31" s="116">
        <f t="array" ref="AV31">IFERROR(
MEDIAN(IF(DATOS_[Sexo]=$B31,IF(DATOS_[[AGRUP. VALOR. PTO.]:[AGRUP. VALOR. PTO.]]=$B30,IF(DATOS_[Check Equiparado]="Sí",IF(DATOS_[Check Periodo Ref.]="Dentro",DATOS_[TOTAL Retrib Eq],FALSE))))),
0)</f>
        <v>0</v>
      </c>
    </row>
    <row r="32" spans="1:48" hidden="1" x14ac:dyDescent="0.3">
      <c r="A32" s="42" t="str">
        <f t="shared" ref="A32" si="26">+A31</f>
        <v>[ocultar]</v>
      </c>
      <c r="B32" s="86" t="s">
        <v>163</v>
      </c>
      <c r="C32" s="33">
        <f t="array" ref="C32">SUM(IF($B32=DATOS_[Sexo],
IF($B30=DATOS_[AGRUP. VALOR. PTO.],
IF("Dentro"=DATOS_[Check Periodo Ref.],
1/(COUNTIFS(DATOS_[Sexo],$B32,DATOS_[AGRUP. VALOR. PTO.],$B30,DATOS_[Check Periodo Ref.],"Dentro",DATOS_[id],DATOS_[id]))))))</f>
        <v>0</v>
      </c>
      <c r="D32" s="35">
        <f>COUNTIFS(DATOS_[AGRUP. VALOR. PTO.],$B30,DATOS_[Sexo],$B32,DATOS_[Check Periodo Ref.],"Dentro")</f>
        <v>0</v>
      </c>
      <c r="E32" s="35">
        <f>COUNTIFS(DATOS_[AGRUP. VALOR. PTO.],$B30,DATOS_[Sexo],$B32,DATOS_[Check Periodo Ref.],"Dentro",DATOS_[Check Nº SC Norm],"Sí")</f>
        <v>0</v>
      </c>
      <c r="F32" s="35">
        <f>COUNTIFS(DATOS_[AGRUP. VALOR. PTO.],$B30,DATOS_[Sexo],$B32,DATOS_[Check Periodo Ref.],"Dentro",DATOS_[Check Nº SC Anualiz],"Sí")</f>
        <v>0</v>
      </c>
      <c r="G32" s="35">
        <f>COUNTIFS(DATOS_[AGRUP. VALOR. PTO.],$B30,DATOS_[Sexo],$B32,DATOS_[Check Periodo Ref.],"Dentro",DATOS_[Check Nº SC Norm y Anualiz],"Sí")</f>
        <v>0</v>
      </c>
      <c r="H32" s="35">
        <f>COUNTIFS(DATOS_[AGRUP. VALOR. PTO.],$B30,DATOS_[Sexo],$B32,DATOS_[Check Periodo Ref.],"Dentro",DATOS_[Check Equiparación],"Sí")</f>
        <v>0</v>
      </c>
      <c r="I32" s="110" cm="1">
        <f t="array" ref="I32">IFERROR(
MEDIAN(IF(DATOS_[Sexo]=$B32,IF(DATOS_[[AGRUP. VALOR. PTO.]:[AGRUP. VALOR. PTO.]]=$B30,IF(DATOS_[Check Equiparado]="Sí",IF(DATOS_[Check Periodo Ref.]="Dentro",DATOS_[SALARIO BASE Eq],FALSE))))),
0)</f>
        <v>0</v>
      </c>
      <c r="J32" s="111">
        <f t="array" ref="J32">IFERROR(
(MEDIAN((IF(DATOS_[[Sexo]:[Sexo]]=$B32,IF(DATOS_[[AGRUP. VALOR. PTO.]:[AGRUP. VALOR. PTO.]]=$B30,IF(DATOS_[[Check Periodo Ref.]:[Check Periodo Ref.]]="Dentro",IF(DATOS_[[Check Equiparado]:[Check Equiparado]]="Sí",IF(DATOS!AE$5="Sí",(1/DATOS_[[% anualiz]:[% anualiz]]),1)*IF(DATOS!AE$4="Sí",1/DATOS_[[% normaliz]:[% normaliz]],1)*(DATOS_[Conc.Sal.01])))))))),
0)</f>
        <v>0</v>
      </c>
      <c r="K32" s="111">
        <f t="array" ref="K32">IFERROR(
(MEDIAN((IF(DATOS_[[Sexo]:[Sexo]]=$B32,IF(DATOS_[[AGRUP. VALOR. PTO.]:[AGRUP. VALOR. PTO.]]=$B30,IF(DATOS_[[Check Periodo Ref.]:[Check Periodo Ref.]]="Dentro",IF(DATOS_[[Check Equiparado]:[Check Equiparado]]="Sí",IF(DATOS!AF$5="Sí",(1/DATOS_[[% anualiz]:[% anualiz]]),1)*IF(DATOS!AF$4="Sí",1/DATOS_[[% normaliz]:[% normaliz]],1)*(DATOS_[Conc.Sal.02])))))))),
0)</f>
        <v>0</v>
      </c>
      <c r="L32" s="111">
        <f t="array" ref="L32">IFERROR(
(MEDIAN((IF(DATOS_[[Sexo]:[Sexo]]=$B32,IF(DATOS_[[AGRUP. VALOR. PTO.]:[AGRUP. VALOR. PTO.]]=$B30,IF(DATOS_[[Check Periodo Ref.]:[Check Periodo Ref.]]="Dentro",IF(DATOS_[[Check Equiparado]:[Check Equiparado]]="Sí",IF(DATOS!AG$5="Sí",(1/DATOS_[[% anualiz]:[% anualiz]]),1)*IF(DATOS!AG$4="Sí",1/DATOS_[[% normaliz]:[% normaliz]],1)*(DATOS_[Conc.Sal.03])))))))),
0)</f>
        <v>0</v>
      </c>
      <c r="M32" s="111">
        <f t="array" ref="M32">IFERROR(
(MEDIAN((IF(DATOS_[[Sexo]:[Sexo]]=$B32,IF(DATOS_[[AGRUP. VALOR. PTO.]:[AGRUP. VALOR. PTO.]]=$B30,IF(DATOS_[[Check Periodo Ref.]:[Check Periodo Ref.]]="Dentro",IF(DATOS_[[Check Equiparado]:[Check Equiparado]]="Sí",IF(DATOS!AH$5="Sí",(1/DATOS_[[% anualiz]:[% anualiz]]),1)*IF(DATOS!AH$4="Sí",1/DATOS_[[% normaliz]:[% normaliz]],1)*(DATOS_[Conc.Sal.04])))))))),
0)</f>
        <v>0</v>
      </c>
      <c r="N32" s="111">
        <f t="array" ref="N32">IFERROR(
(MEDIAN((IF(DATOS_[[Sexo]:[Sexo]]=$B32,IF(DATOS_[[AGRUP. VALOR. PTO.]:[AGRUP. VALOR. PTO.]]=$B30,IF(DATOS_[[Check Periodo Ref.]:[Check Periodo Ref.]]="Dentro",IF(DATOS_[[Check Equiparado]:[Check Equiparado]]="Sí",IF(DATOS!AI$5="Sí",(1/DATOS_[[% anualiz]:[% anualiz]]),1)*IF(DATOS!AI$4="Sí",1/DATOS_[[% normaliz]:[% normaliz]],1)*(DATOS_[Conc.Sal.05])))))))),
0)</f>
        <v>0</v>
      </c>
      <c r="O32" s="111">
        <f t="array" ref="O32">IFERROR(
(MEDIAN((IF(DATOS_[[Sexo]:[Sexo]]=$B32,IF(DATOS_[[AGRUP. VALOR. PTO.]:[AGRUP. VALOR. PTO.]]=$B30,IF(DATOS_[[Check Periodo Ref.]:[Check Periodo Ref.]]="Dentro",IF(DATOS_[[Check Equiparado]:[Check Equiparado]]="Sí",IF(DATOS!AJ$5="Sí",(1/DATOS_[[% anualiz]:[% anualiz]]),1)*IF(DATOS!AJ$4="Sí",1/DATOS_[[% normaliz]:[% normaliz]],1)*(DATOS_[Conc.Sal.06])))))))),
0)</f>
        <v>0</v>
      </c>
      <c r="P32" s="111">
        <f t="array" ref="P32">IFERROR(
(MEDIAN((IF(DATOS_[[Sexo]:[Sexo]]=$B32,IF(DATOS_[[AGRUP. VALOR. PTO.]:[AGRUP. VALOR. PTO.]]=$B30,IF(DATOS_[[Check Periodo Ref.]:[Check Periodo Ref.]]="Dentro",IF(DATOS_[[Check Equiparado]:[Check Equiparado]]="Sí",IF(DATOS!AK$5="Sí",(1/DATOS_[[% anualiz]:[% anualiz]]),1)*IF(DATOS!AK$4="Sí",1/DATOS_[[% normaliz]:[% normaliz]],1)*(DATOS_[Conc.Sal.07])))))))),
0)</f>
        <v>0</v>
      </c>
      <c r="Q32" s="111">
        <f t="array" ref="Q32">IFERROR(
(MEDIAN((IF(DATOS_[[Sexo]:[Sexo]]=$B32,IF(DATOS_[[AGRUP. VALOR. PTO.]:[AGRUP. VALOR. PTO.]]=$B30,IF(DATOS_[[Check Periodo Ref.]:[Check Periodo Ref.]]="Dentro",IF(DATOS_[[Check Equiparado]:[Check Equiparado]]="Sí",IF(DATOS!AL$5="Sí",(1/DATOS_[[% anualiz]:[% anualiz]]),1)*IF(DATOS!AL$4="Sí",1/DATOS_[[% normaliz]:[% normaliz]],1)*(DATOS_[Conc.Sal.08])))))))),
0)</f>
        <v>0</v>
      </c>
      <c r="R32" s="111">
        <f t="array" ref="R32">IFERROR(
(MEDIAN((IF(DATOS_[[Sexo]:[Sexo]]=$B32,IF(DATOS_[[AGRUP. VALOR. PTO.]:[AGRUP. VALOR. PTO.]]=$B30,IF(DATOS_[[Check Periodo Ref.]:[Check Periodo Ref.]]="Dentro",IF(DATOS_[[Check Equiparado]:[Check Equiparado]]="Sí",IF(DATOS!AM$5="Sí",(1/DATOS_[[% anualiz]:[% anualiz]]),1)*IF(DATOS!AM$4="Sí",1/DATOS_[[% normaliz]:[% normaliz]],1)*(DATOS_[Conc.Sal.09])))))))),
0)</f>
        <v>0</v>
      </c>
      <c r="S32" s="111">
        <f t="array" ref="S32">IFERROR(
(MEDIAN((IF(DATOS_[[Sexo]:[Sexo]]=$B32,IF(DATOS_[[AGRUP. VALOR. PTO.]:[AGRUP. VALOR. PTO.]]=$B30,IF(DATOS_[[Check Periodo Ref.]:[Check Periodo Ref.]]="Dentro",IF(DATOS_[[Check Equiparado]:[Check Equiparado]]="Sí",IF(DATOS!AN$5="Sí",(1/DATOS_[[% anualiz]:[% anualiz]]),1)*IF(DATOS!AN$4="Sí",1/DATOS_[[% normaliz]:[% normaliz]],1)*(DATOS_[Conc.Sal.10])))))))),
0)</f>
        <v>0</v>
      </c>
      <c r="T32" s="111">
        <f t="array" ref="T32">IFERROR(
(MEDIAN((IF(DATOS_[[Sexo]:[Sexo]]=$B32,IF(DATOS_[[AGRUP. VALOR. PTO.]:[AGRUP. VALOR. PTO.]]=$B30,IF(DATOS_[[Check Periodo Ref.]:[Check Periodo Ref.]]="Dentro",IF(DATOS_[[Check Equiparado]:[Check Equiparado]]="Sí",IF(DATOS!AO$5="Sí",(1/DATOS_[[% anualiz]:[% anualiz]]),1)*IF(DATOS!AO$4="Sí",1/DATOS_[[% normaliz]:[% normaliz]],1)*(DATOS_[Conc.Sal.11])))))))),
0)</f>
        <v>0</v>
      </c>
      <c r="U32" s="111">
        <f t="array" ref="U32">IFERROR(
(MEDIAN((IF(DATOS_[[Sexo]:[Sexo]]=$B32,IF(DATOS_[[AGRUP. VALOR. PTO.]:[AGRUP. VALOR. PTO.]]=$B30,IF(DATOS_[[Check Periodo Ref.]:[Check Periodo Ref.]]="Dentro",IF(DATOS_[[Check Equiparado]:[Check Equiparado]]="Sí",IF(DATOS!AP$5="Sí",(1/DATOS_[[% anualiz]:[% anualiz]]),1)*IF(DATOS!AP$4="Sí",1/DATOS_[[% normaliz]:[% normaliz]],1)*(DATOS_[Conc.Sal.12])))))))),
0)</f>
        <v>0</v>
      </c>
      <c r="V32" s="111">
        <f t="array" ref="V32">IFERROR(
(MEDIAN((IF(DATOS_[[Sexo]:[Sexo]]=$B32,IF(DATOS_[[AGRUP. VALOR. PTO.]:[AGRUP. VALOR. PTO.]]=$B30,IF(DATOS_[[Check Periodo Ref.]:[Check Periodo Ref.]]="Dentro",IF(DATOS_[[Check Equiparado]:[Check Equiparado]]="Sí",IF(DATOS!AQ$5="Sí",(1/DATOS_[[% anualiz]:[% anualiz]]),1)*IF(DATOS!AQ$4="Sí",1/DATOS_[[% normaliz]:[% normaliz]],1)*(DATOS_[Conc.Sal.13])))))))),
0)</f>
        <v>0</v>
      </c>
      <c r="W32" s="111">
        <f t="array" ref="W32">IFERROR(
(MEDIAN((IF(DATOS_[[Sexo]:[Sexo]]=$B32,IF(DATOS_[[AGRUP. VALOR. PTO.]:[AGRUP. VALOR. PTO.]]=$B30,IF(DATOS_[[Check Periodo Ref.]:[Check Periodo Ref.]]="Dentro",IF(DATOS_[[Check Equiparado]:[Check Equiparado]]="Sí",IF(DATOS!AR$5="Sí",(1/DATOS_[[% anualiz]:[% anualiz]]),1)*IF(DATOS!AR$4="Sí",1/DATOS_[[% normaliz]:[% normaliz]],1)*(DATOS_[Conc.Sal.14])))))))),
0)</f>
        <v>0</v>
      </c>
      <c r="X32" s="111">
        <f t="array" ref="X32">IFERROR(
(MEDIAN((IF(DATOS_[[Sexo]:[Sexo]]=$B32,IF(DATOS_[[AGRUP. VALOR. PTO.]:[AGRUP. VALOR. PTO.]]=$B30,IF(DATOS_[[Check Periodo Ref.]:[Check Periodo Ref.]]="Dentro",IF(DATOS_[[Check Equiparado]:[Check Equiparado]]="Sí",IF(DATOS!AS$5="Sí",(1/DATOS_[[% anualiz]:[% anualiz]]),1)*IF(DATOS!AS$4="Sí",1/DATOS_[[% normaliz]:[% normaliz]],1)*(DATOS_[Conc.Sal.15])))))))),
0)</f>
        <v>0</v>
      </c>
      <c r="Y32" s="111">
        <f t="array" ref="Y32">IFERROR(
(MEDIAN((IF(DATOS_[[Sexo]:[Sexo]]=$B32,IF(DATOS_[[AGRUP. VALOR. PTO.]:[AGRUP. VALOR. PTO.]]=$B30,IF(DATOS_[[Check Periodo Ref.]:[Check Periodo Ref.]]="Dentro",IF(DATOS_[[Check Equiparado]:[Check Equiparado]]="Sí",IF(DATOS!AT$5="Sí",(1/DATOS_[[% anualiz]:[% anualiz]]),1)*IF(DATOS!AT$4="Sí",1/DATOS_[[% normaliz]:[% normaliz]],1)*(DATOS_[Conc.Sal.16])))))))),
0)</f>
        <v>0</v>
      </c>
      <c r="Z32" s="111">
        <f t="array" ref="Z32">IFERROR(
(MEDIAN((IF(DATOS_[[Sexo]:[Sexo]]=$B32,IF(DATOS_[[AGRUP. VALOR. PTO.]:[AGRUP. VALOR. PTO.]]=$B30,IF(DATOS_[[Check Periodo Ref.]:[Check Periodo Ref.]]="Dentro",IF(DATOS_[[Check Equiparado]:[Check Equiparado]]="Sí",IF(DATOS!AU$5="Sí",(1/DATOS_[[% anualiz]:[% anualiz]]),1)*IF(DATOS!AU$4="Sí",1/DATOS_[[% normaliz]:[% normaliz]],1)*(DATOS_[Conc.Sal.17])))))))),
0)</f>
        <v>0</v>
      </c>
      <c r="AA32" s="111">
        <f t="array" ref="AA32">IFERROR(
(MEDIAN((IF(DATOS_[[Sexo]:[Sexo]]=$B32,IF(DATOS_[[AGRUP. VALOR. PTO.]:[AGRUP. VALOR. PTO.]]=$B30,IF(DATOS_[[Check Periodo Ref.]:[Check Periodo Ref.]]="Dentro",IF(DATOS_[[Check Equiparado]:[Check Equiparado]]="Sí",IF(DATOS!AV$5="Sí",(1/DATOS_[[% anualiz]:[% anualiz]]),1)*IF(DATOS!AV$4="Sí",1/DATOS_[[% normaliz]:[% normaliz]],1)*(DATOS_[Conc.Sal.18])))))))),
0)</f>
        <v>0</v>
      </c>
      <c r="AB32" s="111">
        <f t="array" ref="AB32">IFERROR(
(MEDIAN((IF(DATOS_[[Sexo]:[Sexo]]=$B32,IF(DATOS_[[AGRUP. VALOR. PTO.]:[AGRUP. VALOR. PTO.]]=$B30,IF(DATOS_[[Check Periodo Ref.]:[Check Periodo Ref.]]="Dentro",IF(DATOS_[[Check Equiparado]:[Check Equiparado]]="Sí",IF(DATOS!AW$5="Sí",(1/DATOS_[[% anualiz]:[% anualiz]]),1)*IF(DATOS!AW$4="Sí",1/DATOS_[[% normaliz]:[% normaliz]],1)*(DATOS_[Conc.Sal.19])))))))),
0)</f>
        <v>0</v>
      </c>
      <c r="AC32" s="111">
        <f t="array" ref="AC32">IFERROR(
(MEDIAN((IF(DATOS_[[Sexo]:[Sexo]]=$B32,IF(DATOS_[[AGRUP. VALOR. PTO.]:[AGRUP. VALOR. PTO.]]=$B30,IF(DATOS_[[Check Periodo Ref.]:[Check Periodo Ref.]]="Dentro",IF(DATOS_[[Check Equiparado]:[Check Equiparado]]="Sí",IF(DATOS!AX$5="Sí",(1/DATOS_[[% anualiz]:[% anualiz]]),1)*IF(DATOS!AX$4="Sí",1/DATOS_[[% normaliz]:[% normaliz]],1)*(DATOS_[Conc.Sal.20])))))))),
0)</f>
        <v>0</v>
      </c>
      <c r="AD32" s="111">
        <f t="array" ref="AD32">IFERROR(
(MEDIAN((IF(DATOS_[[Sexo]:[Sexo]]=$B32,IF(DATOS_[[AGRUP. VALOR. PTO.]:[AGRUP. VALOR. PTO.]]=$B30,IF(DATOS_[[Check Periodo Ref.]:[Check Periodo Ref.]]="Dentro",IF(DATOS_[[Check Equiparado]:[Check Equiparado]]="Sí",IF(DATOS!AY$5="Sí",(1/DATOS_[[% anualiz]:[% anualiz]]),1)*IF(DATOS!AY$4="Sí",1/DATOS_[[% normaliz]:[% normaliz]],1)*(DATOS_[Conc.Sal.21])))))))),
0)</f>
        <v>0</v>
      </c>
      <c r="AE32" s="111">
        <f t="array" ref="AE32">IFERROR(
(MEDIAN((IF(DATOS_[[Sexo]:[Sexo]]=$B32,IF(DATOS_[[AGRUP. VALOR. PTO.]:[AGRUP. VALOR. PTO.]]=$B30,IF(DATOS_[[Check Periodo Ref.]:[Check Periodo Ref.]]="Dentro",IF(DATOS_[[Check Equiparado]:[Check Equiparado]]="Sí",IF(DATOS!AZ$5="Sí",(1/DATOS_[[% anualiz]:[% anualiz]]),1)*IF(DATOS!AZ$4="Sí",1/DATOS_[[% normaliz]:[% normaliz]],1)*(DATOS_[Conc.Sal.22])))))))),
0)</f>
        <v>0</v>
      </c>
      <c r="AF32" s="111">
        <f t="array" ref="AF32">IFERROR(
(MEDIAN((IF(DATOS_[[Sexo]:[Sexo]]=$B32,IF(DATOS_[[AGRUP. VALOR. PTO.]:[AGRUP. VALOR. PTO.]]=$B30,IF(DATOS_[[Check Periodo Ref.]:[Check Periodo Ref.]]="Dentro",IF(DATOS_[[Check Equiparado]:[Check Equiparado]]="Sí",IF(DATOS!BA$5="Sí",(1/DATOS_[[% anualiz]:[% anualiz]]),1)*IF(DATOS!BA$4="Sí",1/DATOS_[[% normaliz]:[% normaliz]],1)*(DATOS_[Conc.Sal.23])))))))),
0)</f>
        <v>0</v>
      </c>
      <c r="AG32" s="111">
        <f t="array" ref="AG32">IFERROR(
(MEDIAN((IF(DATOS_[[Sexo]:[Sexo]]=$B32,IF(DATOS_[[AGRUP. VALOR. PTO.]:[AGRUP. VALOR. PTO.]]=$B30,IF(DATOS_[[Check Periodo Ref.]:[Check Periodo Ref.]]="Dentro",IF(DATOS_[[Check Equiparado]:[Check Equiparado]]="Sí",IF(DATOS!BB$5="Sí",(1/DATOS_[[% anualiz]:[% anualiz]]),1)*IF(DATOS!BB$4="Sí",1/DATOS_[[% normaliz]:[% normaliz]],1)*(DATOS_[Conc.Sal.24])))))))),
0)</f>
        <v>0</v>
      </c>
      <c r="AH32" s="111">
        <f t="array" ref="AH32">IFERROR(
(MEDIAN((IF(DATOS_[[Sexo]:[Sexo]]=$B32,IF(DATOS_[[AGRUP. VALOR. PTO.]:[AGRUP. VALOR. PTO.]]=$B30,IF(DATOS_[[Check Periodo Ref.]:[Check Periodo Ref.]]="Dentro",IF(DATOS_[[Check Equiparado]:[Check Equiparado]]="Sí",IF(DATOS!BC$5="Sí",(1/DATOS_[[% anualiz]:[% anualiz]]),1)*IF(DATOS!BC$4="Sí",1/DATOS_[[% normaliz]:[% normaliz]],1)*(DATOS_[Conc.Sal.25])))))))),
0)</f>
        <v>0</v>
      </c>
      <c r="AI32" s="111">
        <f t="array" ref="AI32">IFERROR(
(MEDIAN((IF(DATOS_[[Sexo]:[Sexo]]=$B32,IF(DATOS_[[AGRUP. VALOR. PTO.]:[AGRUP. VALOR. PTO.]]=$B30,IF(DATOS_[[Check Periodo Ref.]:[Check Periodo Ref.]]="Dentro",IF(DATOS_[[Check Equiparado]:[Check Equiparado]]="Sí",IF(DATOS!BD$5="Sí",(1/DATOS_[[% anualiz]:[% anualiz]]),1)*IF(DATOS!BD$4="Sí",1/DATOS_[[% normaliz]:[% normaliz]],1)*(DATOS_[Conc.Sal.26])))))))),
0)</f>
        <v>0</v>
      </c>
      <c r="AJ32" s="111">
        <f t="array" ref="AJ32">IFERROR(
(MEDIAN((IF(DATOS_[[Sexo]:[Sexo]]=$B32,IF(DATOS_[[AGRUP. VALOR. PTO.]:[AGRUP. VALOR. PTO.]]=$B30,IF(DATOS_[[Check Periodo Ref.]:[Check Periodo Ref.]]="Dentro",IF(DATOS_[[Check Equiparado]:[Check Equiparado]]="Sí",IF(DATOS!BE$5="Sí",(1/DATOS_[[% anualiz]:[% anualiz]]),1)*IF(DATOS!BE$4="Sí",1/DATOS_[[% normaliz]:[% normaliz]],1)*(DATOS_[Conc.Sal.27])))))))),
0)</f>
        <v>0</v>
      </c>
      <c r="AK32" s="111">
        <f t="array" ref="AK32">IFERROR(
(MEDIAN((IF(DATOS_[[Sexo]:[Sexo]]=$B32,IF(DATOS_[[AGRUP. VALOR. PTO.]:[AGRUP. VALOR. PTO.]]=$B30,IF(DATOS_[[Check Periodo Ref.]:[Check Periodo Ref.]]="Dentro",IF(DATOS_[[Check Equiparado]:[Check Equiparado]]="Sí",IF(DATOS!BF$5="Sí",(1/DATOS_[[% anualiz]:[% anualiz]]),1)*IF(DATOS!BF$4="Sí",1/DATOS_[[% normaliz]:[% normaliz]],1)*(DATOS_[Conc.Sal.28])))))))),
0)</f>
        <v>0</v>
      </c>
      <c r="AL32" s="111">
        <f t="array" ref="AL32">IFERROR(
(MEDIAN((IF(DATOS_[[Sexo]:[Sexo]]=$B32,IF(DATOS_[[AGRUP. VALOR. PTO.]:[AGRUP. VALOR. PTO.]]=$B30,IF(DATOS_[[Check Periodo Ref.]:[Check Periodo Ref.]]="Dentro",IF(DATOS_[[Check Equiparado]:[Check Equiparado]]="Sí",IF(DATOS!BG$5="Sí",(1/DATOS_[[% anualiz]:[% anualiz]]),1)*IF(DATOS!BG$4="Sí",1/DATOS_[[% normaliz]:[% normaliz]],1)*(DATOS_[Conc.Sal.29])))))))),
0)</f>
        <v>0</v>
      </c>
      <c r="AM32" s="111">
        <f t="array" ref="AM32">IFERROR(
(MEDIAN((IF(DATOS_[[Sexo]:[Sexo]]=$B32,IF(DATOS_[[AGRUP. VALOR. PTO.]:[AGRUP. VALOR. PTO.]]=$B30,IF(DATOS_[[Check Periodo Ref.]:[Check Periodo Ref.]]="Dentro",IF(DATOS_[[Check Equiparado]:[Check Equiparado]]="Sí",IF(DATOS!BH$5="Sí",(1/DATOS_[[% anualiz]:[% anualiz]]),1)*IF(DATOS!BH$4="Sí",1/DATOS_[[% normaliz]:[% normaliz]],1)*(DATOS_[Conc.Sal.30])))))))),
0)</f>
        <v>0</v>
      </c>
      <c r="AN32" s="112">
        <f t="array" ref="AN32">IFERROR(
MEDIAN(IF(DATOS_[Sexo]=$B32,IF(DATOS_[[AGRUP. VALOR. PTO.]:[AGRUP. VALOR. PTO.]]=$B30,IF(DATOS_[Check Equiparado]="Sí",IF(DATOS_[Check Periodo Ref.]="Dentro",DATOS_[Tot COMPL.SAL Eq],FALSE))))),
0)</f>
        <v>0</v>
      </c>
      <c r="AO32" s="113">
        <f t="array" ref="AO32">IFERROR(
MEDIAN(IF(DATOS_[Sexo]=$B32,IF(DATOS_[[AGRUP. VALOR. PTO.]:[AGRUP. VALOR. PTO.]]=$B30,IF(DATOS_[Check Equiparado]="Sí",IF(DATOS_[Check Periodo Ref.]="Dentro",DATOS_[TOTAL SALARIO Eq],FALSE))))),
0)</f>
        <v>0</v>
      </c>
      <c r="AP32" s="114">
        <f t="array" ref="AP32">IFERROR(
(MEDIAN((IF(DATOS_[[Sexo]:[Sexo]]=$B32,IF(DATOS_[[AGRUP. VALOR. PTO.]:[AGRUP. VALOR. PTO.]]=$B30,IF(DATOS_[[Check Periodo Ref.]:[Check Periodo Ref.]]="Dentro",IF(DATOS_[[Check Equiparado]:[Check Equiparado]]="Sí",IF(DATOS!BI$5="Sí",(1/DATOS_[[% anualiz]:[% anualiz]]),1)*IF(DATOS!BI$4="Sí",1/DATOS_[[% normaliz]:[% normaliz]],1)*(DATOS_[C.Extra.01])))))))),
0)</f>
        <v>0</v>
      </c>
      <c r="AQ32" s="114">
        <f t="array" ref="AQ32">IFERROR(
(MEDIAN((IF(DATOS_[[Sexo]:[Sexo]]=$B32,IF(DATOS_[[AGRUP. VALOR. PTO.]:[AGRUP. VALOR. PTO.]]=$B30,IF(DATOS_[[Check Periodo Ref.]:[Check Periodo Ref.]]="Dentro",IF(DATOS_[[Check Equiparado]:[Check Equiparado]]="Sí",IF(DATOS!BJ$5="Sí",(1/DATOS_[[% anualiz]:[% anualiz]]),1)*IF(DATOS!BJ$4="Sí",1/DATOS_[[% normaliz]:[% normaliz]],1)*(DATOS_[C.Extra.02])))))))),
0)</f>
        <v>0</v>
      </c>
      <c r="AR32" s="114">
        <f t="array" ref="AR32">IFERROR(
(MEDIAN((IF(DATOS_[[Sexo]:[Sexo]]=$B32,IF(DATOS_[[AGRUP. VALOR. PTO.]:[AGRUP. VALOR. PTO.]]=$B30,IF(DATOS_[[Check Periodo Ref.]:[Check Periodo Ref.]]="Dentro",IF(DATOS_[[Check Equiparado]:[Check Equiparado]]="Sí",IF(DATOS!BK$5="Sí",(1/DATOS_[[% anualiz]:[% anualiz]]),1)*IF(DATOS!BK$4="Sí",1/DATOS_[[% normaliz]:[% normaliz]],1)*(DATOS_[C.Extra.03])))))))),
0)</f>
        <v>0</v>
      </c>
      <c r="AS32" s="114">
        <f t="array" ref="AS32">IFERROR(
(MEDIAN((IF(DATOS_[[Sexo]:[Sexo]]=$B32,IF(DATOS_[[AGRUP. VALOR. PTO.]:[AGRUP. VALOR. PTO.]]=$B30,IF(DATOS_[[Check Periodo Ref.]:[Check Periodo Ref.]]="Dentro",IF(DATOS_[[Check Equiparado]:[Check Equiparado]]="Sí",IF(DATOS!BL$5="Sí",(1/DATOS_[[% anualiz]:[% anualiz]]),1)*IF(DATOS!BL$4="Sí",1/DATOS_[[% normaliz]:[% normaliz]],1)*(DATOS_[C.Extra.04])))))))),
0)</f>
        <v>0</v>
      </c>
      <c r="AT32" s="114">
        <f t="array" ref="AT32">IFERROR(
(MEDIAN((IF(DATOS_[[Sexo]:[Sexo]]=$B32,IF(DATOS_[[AGRUP. VALOR. PTO.]:[AGRUP. VALOR. PTO.]]=$B30,IF(DATOS_[[Check Periodo Ref.]:[Check Periodo Ref.]]="Dentro",IF(DATOS_[[Check Equiparado]:[Check Equiparado]]="Sí",IF(DATOS!BM$5="Sí",(1/DATOS_[[% anualiz]:[% anualiz]]),1)*IF(DATOS!BM$4="Sí",1/DATOS_[[% normaliz]:[% normaliz]],1)*(DATOS_[C.Extra.05])))))))),
0)</f>
        <v>0</v>
      </c>
      <c r="AU32" s="115">
        <f t="array" ref="AU32">IFERROR(
MEDIAN(IF(DATOS_[Sexo]=$B32,IF(DATOS_[[AGRUP. VALOR. PTO.]:[AGRUP. VALOR. PTO.]]=$B30,IF(DATOS_[Check Equiparado]="Sí",IF(DATOS_[Check Periodo Ref.]="Dentro",DATOS_[Tot Extrasalarial Eq],FALSE))))),
0)</f>
        <v>0</v>
      </c>
      <c r="AV32" s="116">
        <f t="array" ref="AV32">IFERROR(
MEDIAN(IF(DATOS_[Sexo]=$B32,IF(DATOS_[[AGRUP. VALOR. PTO.]:[AGRUP. VALOR. PTO.]]=$B30,IF(DATOS_[Check Equiparado]="Sí",IF(DATOS_[Check Periodo Ref.]="Dentro",DATOS_[TOTAL Retrib Eq],FALSE))))),
0)</f>
        <v>0</v>
      </c>
    </row>
    <row r="33" spans="1:48" ht="17.25" hidden="1" thickBot="1" x14ac:dyDescent="0.35">
      <c r="A33" s="42" t="str">
        <f t="shared" ref="A33" si="27">+A34</f>
        <v>[ocultar]</v>
      </c>
      <c r="B33" s="90" t="s">
        <v>305</v>
      </c>
      <c r="C33" s="109"/>
      <c r="D33" s="41"/>
      <c r="E33" s="41"/>
      <c r="F33" s="41"/>
      <c r="G33" s="41"/>
      <c r="H33" s="41"/>
      <c r="I33" s="119" t="str">
        <f t="shared" ref="I33:AV33" si="28">IFERROR((I34-I35)/I34,"")</f>
        <v/>
      </c>
      <c r="J33" s="123" t="str">
        <f t="shared" si="28"/>
        <v/>
      </c>
      <c r="K33" s="123" t="str">
        <f t="shared" si="28"/>
        <v/>
      </c>
      <c r="L33" s="123" t="str">
        <f t="shared" si="28"/>
        <v/>
      </c>
      <c r="M33" s="123" t="str">
        <f t="shared" si="28"/>
        <v/>
      </c>
      <c r="N33" s="123" t="str">
        <f t="shared" si="28"/>
        <v/>
      </c>
      <c r="O33" s="123" t="str">
        <f t="shared" si="28"/>
        <v/>
      </c>
      <c r="P33" s="123" t="str">
        <f t="shared" si="28"/>
        <v/>
      </c>
      <c r="Q33" s="123" t="str">
        <f t="shared" si="28"/>
        <v/>
      </c>
      <c r="R33" s="123" t="str">
        <f t="shared" si="28"/>
        <v/>
      </c>
      <c r="S33" s="123" t="str">
        <f t="shared" si="28"/>
        <v/>
      </c>
      <c r="T33" s="123" t="str">
        <f t="shared" si="28"/>
        <v/>
      </c>
      <c r="U33" s="123" t="str">
        <f t="shared" si="28"/>
        <v/>
      </c>
      <c r="V33" s="123" t="str">
        <f t="shared" si="28"/>
        <v/>
      </c>
      <c r="W33" s="123" t="str">
        <f t="shared" si="28"/>
        <v/>
      </c>
      <c r="X33" s="123" t="str">
        <f t="shared" si="28"/>
        <v/>
      </c>
      <c r="Y33" s="123" t="str">
        <f t="shared" si="28"/>
        <v/>
      </c>
      <c r="Z33" s="122" t="str">
        <f t="shared" si="28"/>
        <v/>
      </c>
      <c r="AA33" s="122" t="str">
        <f t="shared" si="28"/>
        <v/>
      </c>
      <c r="AB33" s="122" t="str">
        <f t="shared" si="28"/>
        <v/>
      </c>
      <c r="AC33" s="122" t="str">
        <f t="shared" si="28"/>
        <v/>
      </c>
      <c r="AD33" s="122" t="str">
        <f t="shared" si="28"/>
        <v/>
      </c>
      <c r="AE33" s="122" t="str">
        <f t="shared" si="28"/>
        <v/>
      </c>
      <c r="AF33" s="122" t="str">
        <f t="shared" si="28"/>
        <v/>
      </c>
      <c r="AG33" s="122" t="str">
        <f t="shared" si="28"/>
        <v/>
      </c>
      <c r="AH33" s="122" t="str">
        <f t="shared" si="28"/>
        <v/>
      </c>
      <c r="AI33" s="122" t="str">
        <f t="shared" si="28"/>
        <v/>
      </c>
      <c r="AJ33" s="122" t="str">
        <f t="shared" si="28"/>
        <v/>
      </c>
      <c r="AK33" s="122" t="str">
        <f t="shared" si="28"/>
        <v/>
      </c>
      <c r="AL33" s="122" t="str">
        <f t="shared" si="28"/>
        <v/>
      </c>
      <c r="AM33" s="122" t="str">
        <f t="shared" si="28"/>
        <v/>
      </c>
      <c r="AN33" s="124" t="str">
        <f t="shared" si="28"/>
        <v/>
      </c>
      <c r="AO33" s="128" t="str">
        <f t="shared" si="28"/>
        <v/>
      </c>
      <c r="AP33" s="125" t="str">
        <f t="shared" si="28"/>
        <v/>
      </c>
      <c r="AQ33" s="125" t="str">
        <f t="shared" si="28"/>
        <v/>
      </c>
      <c r="AR33" s="125" t="str">
        <f t="shared" si="28"/>
        <v/>
      </c>
      <c r="AS33" s="125" t="str">
        <f t="shared" si="28"/>
        <v/>
      </c>
      <c r="AT33" s="125" t="str">
        <f t="shared" si="28"/>
        <v/>
      </c>
      <c r="AU33" s="126" t="str">
        <f t="shared" si="28"/>
        <v/>
      </c>
      <c r="AV33" s="127" t="str">
        <f t="shared" si="28"/>
        <v/>
      </c>
    </row>
    <row r="34" spans="1:48" hidden="1" x14ac:dyDescent="0.3">
      <c r="A34" s="42" t="str">
        <f t="shared" ref="A34" si="29">+IF(C34+C35=0,"[ocultar]","")</f>
        <v>[ocultar]</v>
      </c>
      <c r="B34" s="86" t="s">
        <v>162</v>
      </c>
      <c r="C34" s="33">
        <f t="array" ref="C34">SUM(IF($B34=DATOS_[Sexo],
IF($B33=DATOS_[AGRUP. VALOR. PTO.],
IF("Dentro"=DATOS_[Check Periodo Ref.],
1/(COUNTIFS(DATOS_[Sexo],$B34,DATOS_[AGRUP. VALOR. PTO.],$B33,DATOS_[Check Periodo Ref.],"Dentro",DATOS_[id],DATOS_[id]))))))</f>
        <v>0</v>
      </c>
      <c r="D34" s="35">
        <f>COUNTIFS(DATOS_[AGRUP. VALOR. PTO.],$B33,DATOS_[Sexo],$B34,DATOS_[Check Periodo Ref.],"Dentro")</f>
        <v>0</v>
      </c>
      <c r="E34" s="35">
        <f>COUNTIFS(DATOS_[AGRUP. VALOR. PTO.],$B33,DATOS_[Sexo],$B34,DATOS_[Check Periodo Ref.],"Dentro",DATOS_[Check Nº SC Norm],"Sí")</f>
        <v>0</v>
      </c>
      <c r="F34" s="35">
        <f>COUNTIFS(DATOS_[AGRUP. VALOR. PTO.],$B33,DATOS_[Sexo],$B34,DATOS_[Check Periodo Ref.],"Dentro",DATOS_[Check Nº SC Anualiz],"Sí")</f>
        <v>0</v>
      </c>
      <c r="G34" s="35">
        <f>COUNTIFS(DATOS_[AGRUP. VALOR. PTO.],$B33,DATOS_[Sexo],$B34,DATOS_[Check Periodo Ref.],"Dentro",DATOS_[Check Nº SC Norm y Anualiz],"Sí")</f>
        <v>0</v>
      </c>
      <c r="H34" s="35">
        <f>COUNTIFS(DATOS_[AGRUP. VALOR. PTO.],$B33,DATOS_[Sexo],$B34,DATOS_[Check Periodo Ref.],"Dentro",DATOS_[Check Equiparación],"Sí")</f>
        <v>0</v>
      </c>
      <c r="I34" s="110">
        <f t="array" ref="I34">IFERROR(
MEDIAN(IF(DATOS_[Sexo]=$B34,IF(DATOS_[[AGRUP. VALOR. PTO.]:[AGRUP. VALOR. PTO.]]=$B33,IF(DATOS_[Check Equiparado]="Sí",IF(DATOS_[Check Periodo Ref.]="Dentro",DATOS_[SALARIO BASE Eq],FALSE))))),
0)</f>
        <v>0</v>
      </c>
      <c r="J34" s="111">
        <f t="array" ref="J34">IFERROR(
(MEDIAN((IF(DATOS_[[Sexo]:[Sexo]]=$B34,IF(DATOS_[[AGRUP. VALOR. PTO.]:[AGRUP. VALOR. PTO.]]=$B33,IF(DATOS_[[Check Periodo Ref.]:[Check Periodo Ref.]]="Dentro",IF(DATOS_[[Check Equiparado]:[Check Equiparado]]="Sí",IF(DATOS!AE$5="Sí",(1/DATOS_[[% anualiz]:[% anualiz]]),1)*IF(DATOS!AE$4="Sí",1/DATOS_[[% normaliz]:[% normaliz]],1)*(DATOS_[Conc.Sal.01])))))))),
0)</f>
        <v>0</v>
      </c>
      <c r="K34" s="111">
        <f t="array" ref="K34">IFERROR(
(MEDIAN((IF(DATOS_[[Sexo]:[Sexo]]=$B34,IF(DATOS_[[AGRUP. VALOR. PTO.]:[AGRUP. VALOR. PTO.]]=$B33,IF(DATOS_[[Check Periodo Ref.]:[Check Periodo Ref.]]="Dentro",IF(DATOS_[[Check Equiparado]:[Check Equiparado]]="Sí",IF(DATOS!AF$5="Sí",(1/DATOS_[[% anualiz]:[% anualiz]]),1)*IF(DATOS!AF$4="Sí",1/DATOS_[[% normaliz]:[% normaliz]],1)*(DATOS_[Conc.Sal.02])))))))),
0)</f>
        <v>0</v>
      </c>
      <c r="L34" s="111">
        <f t="array" ref="L34">IFERROR(
(MEDIAN((IF(DATOS_[[Sexo]:[Sexo]]=$B34,IF(DATOS_[[AGRUP. VALOR. PTO.]:[AGRUP. VALOR. PTO.]]=$B33,IF(DATOS_[[Check Periodo Ref.]:[Check Periodo Ref.]]="Dentro",IF(DATOS_[[Check Equiparado]:[Check Equiparado]]="Sí",IF(DATOS!AG$5="Sí",(1/DATOS_[[% anualiz]:[% anualiz]]),1)*IF(DATOS!AG$4="Sí",1/DATOS_[[% normaliz]:[% normaliz]],1)*(DATOS_[Conc.Sal.03])))))))),
0)</f>
        <v>0</v>
      </c>
      <c r="M34" s="111">
        <f t="array" ref="M34">IFERROR(
(MEDIAN((IF(DATOS_[[Sexo]:[Sexo]]=$B34,IF(DATOS_[[AGRUP. VALOR. PTO.]:[AGRUP. VALOR. PTO.]]=$B33,IF(DATOS_[[Check Periodo Ref.]:[Check Periodo Ref.]]="Dentro",IF(DATOS_[[Check Equiparado]:[Check Equiparado]]="Sí",IF(DATOS!AH$5="Sí",(1/DATOS_[[% anualiz]:[% anualiz]]),1)*IF(DATOS!AH$4="Sí",1/DATOS_[[% normaliz]:[% normaliz]],1)*(DATOS_[Conc.Sal.04])))))))),
0)</f>
        <v>0</v>
      </c>
      <c r="N34" s="111">
        <f t="array" ref="N34">IFERROR(
(MEDIAN((IF(DATOS_[[Sexo]:[Sexo]]=$B34,IF(DATOS_[[AGRUP. VALOR. PTO.]:[AGRUP. VALOR. PTO.]]=$B33,IF(DATOS_[[Check Periodo Ref.]:[Check Periodo Ref.]]="Dentro",IF(DATOS_[[Check Equiparado]:[Check Equiparado]]="Sí",IF(DATOS!AI$5="Sí",(1/DATOS_[[% anualiz]:[% anualiz]]),1)*IF(DATOS!AI$4="Sí",1/DATOS_[[% normaliz]:[% normaliz]],1)*(DATOS_[Conc.Sal.05])))))))),
0)</f>
        <v>0</v>
      </c>
      <c r="O34" s="111">
        <f t="array" ref="O34">IFERROR(
(MEDIAN((IF(DATOS_[[Sexo]:[Sexo]]=$B34,IF(DATOS_[[AGRUP. VALOR. PTO.]:[AGRUP. VALOR. PTO.]]=$B33,IF(DATOS_[[Check Periodo Ref.]:[Check Periodo Ref.]]="Dentro",IF(DATOS_[[Check Equiparado]:[Check Equiparado]]="Sí",IF(DATOS!AJ$5="Sí",(1/DATOS_[[% anualiz]:[% anualiz]]),1)*IF(DATOS!AJ$4="Sí",1/DATOS_[[% normaliz]:[% normaliz]],1)*(DATOS_[Conc.Sal.06])))))))),
0)</f>
        <v>0</v>
      </c>
      <c r="P34" s="111">
        <f t="array" ref="P34">IFERROR(
(MEDIAN((IF(DATOS_[[Sexo]:[Sexo]]=$B34,IF(DATOS_[[AGRUP. VALOR. PTO.]:[AGRUP. VALOR. PTO.]]=$B33,IF(DATOS_[[Check Periodo Ref.]:[Check Periodo Ref.]]="Dentro",IF(DATOS_[[Check Equiparado]:[Check Equiparado]]="Sí",IF(DATOS!AK$5="Sí",(1/DATOS_[[% anualiz]:[% anualiz]]),1)*IF(DATOS!AK$4="Sí",1/DATOS_[[% normaliz]:[% normaliz]],1)*(DATOS_[Conc.Sal.07])))))))),
0)</f>
        <v>0</v>
      </c>
      <c r="Q34" s="111">
        <f t="array" ref="Q34">IFERROR(
(MEDIAN((IF(DATOS_[[Sexo]:[Sexo]]=$B34,IF(DATOS_[[AGRUP. VALOR. PTO.]:[AGRUP. VALOR. PTO.]]=$B33,IF(DATOS_[[Check Periodo Ref.]:[Check Periodo Ref.]]="Dentro",IF(DATOS_[[Check Equiparado]:[Check Equiparado]]="Sí",IF(DATOS!AL$5="Sí",(1/DATOS_[[% anualiz]:[% anualiz]]),1)*IF(DATOS!AL$4="Sí",1/DATOS_[[% normaliz]:[% normaliz]],1)*(DATOS_[Conc.Sal.08])))))))),
0)</f>
        <v>0</v>
      </c>
      <c r="R34" s="111">
        <f t="array" ref="R34">IFERROR(
(MEDIAN((IF(DATOS_[[Sexo]:[Sexo]]=$B34,IF(DATOS_[[AGRUP. VALOR. PTO.]:[AGRUP. VALOR. PTO.]]=$B33,IF(DATOS_[[Check Periodo Ref.]:[Check Periodo Ref.]]="Dentro",IF(DATOS_[[Check Equiparado]:[Check Equiparado]]="Sí",IF(DATOS!AM$5="Sí",(1/DATOS_[[% anualiz]:[% anualiz]]),1)*IF(DATOS!AM$4="Sí",1/DATOS_[[% normaliz]:[% normaliz]],1)*(DATOS_[Conc.Sal.09])))))))),
0)</f>
        <v>0</v>
      </c>
      <c r="S34" s="111">
        <f t="array" ref="S34">IFERROR(
(MEDIAN((IF(DATOS_[[Sexo]:[Sexo]]=$B34,IF(DATOS_[[AGRUP. VALOR. PTO.]:[AGRUP. VALOR. PTO.]]=$B33,IF(DATOS_[[Check Periodo Ref.]:[Check Periodo Ref.]]="Dentro",IF(DATOS_[[Check Equiparado]:[Check Equiparado]]="Sí",IF(DATOS!AN$5="Sí",(1/DATOS_[[% anualiz]:[% anualiz]]),1)*IF(DATOS!AN$4="Sí",1/DATOS_[[% normaliz]:[% normaliz]],1)*(DATOS_[Conc.Sal.10])))))))),
0)</f>
        <v>0</v>
      </c>
      <c r="T34" s="111">
        <f t="array" ref="T34">IFERROR(
(MEDIAN((IF(DATOS_[[Sexo]:[Sexo]]=$B34,IF(DATOS_[[AGRUP. VALOR. PTO.]:[AGRUP. VALOR. PTO.]]=$B33,IF(DATOS_[[Check Periodo Ref.]:[Check Periodo Ref.]]="Dentro",IF(DATOS_[[Check Equiparado]:[Check Equiparado]]="Sí",IF(DATOS!AO$5="Sí",(1/DATOS_[[% anualiz]:[% anualiz]]),1)*IF(DATOS!AO$4="Sí",1/DATOS_[[% normaliz]:[% normaliz]],1)*(DATOS_[Conc.Sal.11])))))))),
0)</f>
        <v>0</v>
      </c>
      <c r="U34" s="111">
        <f t="array" ref="U34">IFERROR(
(MEDIAN((IF(DATOS_[[Sexo]:[Sexo]]=$B34,IF(DATOS_[[AGRUP. VALOR. PTO.]:[AGRUP. VALOR. PTO.]]=$B33,IF(DATOS_[[Check Periodo Ref.]:[Check Periodo Ref.]]="Dentro",IF(DATOS_[[Check Equiparado]:[Check Equiparado]]="Sí",IF(DATOS!AP$5="Sí",(1/DATOS_[[% anualiz]:[% anualiz]]),1)*IF(DATOS!AP$4="Sí",1/DATOS_[[% normaliz]:[% normaliz]],1)*(DATOS_[Conc.Sal.12])))))))),
0)</f>
        <v>0</v>
      </c>
      <c r="V34" s="111">
        <f t="array" ref="V34">IFERROR(
(MEDIAN((IF(DATOS_[[Sexo]:[Sexo]]=$B34,IF(DATOS_[[AGRUP. VALOR. PTO.]:[AGRUP. VALOR. PTO.]]=$B33,IF(DATOS_[[Check Periodo Ref.]:[Check Periodo Ref.]]="Dentro",IF(DATOS_[[Check Equiparado]:[Check Equiparado]]="Sí",IF(DATOS!AQ$5="Sí",(1/DATOS_[[% anualiz]:[% anualiz]]),1)*IF(DATOS!AQ$4="Sí",1/DATOS_[[% normaliz]:[% normaliz]],1)*(DATOS_[Conc.Sal.13])))))))),
0)</f>
        <v>0</v>
      </c>
      <c r="W34" s="111">
        <f t="array" ref="W34">IFERROR(
(MEDIAN((IF(DATOS_[[Sexo]:[Sexo]]=$B34,IF(DATOS_[[AGRUP. VALOR. PTO.]:[AGRUP. VALOR. PTO.]]=$B33,IF(DATOS_[[Check Periodo Ref.]:[Check Periodo Ref.]]="Dentro",IF(DATOS_[[Check Equiparado]:[Check Equiparado]]="Sí",IF(DATOS!AR$5="Sí",(1/DATOS_[[% anualiz]:[% anualiz]]),1)*IF(DATOS!AR$4="Sí",1/DATOS_[[% normaliz]:[% normaliz]],1)*(DATOS_[Conc.Sal.14])))))))),
0)</f>
        <v>0</v>
      </c>
      <c r="X34" s="111">
        <f t="array" ref="X34">IFERROR(
(MEDIAN((IF(DATOS_[[Sexo]:[Sexo]]=$B34,IF(DATOS_[[AGRUP. VALOR. PTO.]:[AGRUP. VALOR. PTO.]]=$B33,IF(DATOS_[[Check Periodo Ref.]:[Check Periodo Ref.]]="Dentro",IF(DATOS_[[Check Equiparado]:[Check Equiparado]]="Sí",IF(DATOS!AS$5="Sí",(1/DATOS_[[% anualiz]:[% anualiz]]),1)*IF(DATOS!AS$4="Sí",1/DATOS_[[% normaliz]:[% normaliz]],1)*(DATOS_[Conc.Sal.15])))))))),
0)</f>
        <v>0</v>
      </c>
      <c r="Y34" s="111">
        <f t="array" ref="Y34">IFERROR(
(MEDIAN((IF(DATOS_[[Sexo]:[Sexo]]=$B34,IF(DATOS_[[AGRUP. VALOR. PTO.]:[AGRUP. VALOR. PTO.]]=$B33,IF(DATOS_[[Check Periodo Ref.]:[Check Periodo Ref.]]="Dentro",IF(DATOS_[[Check Equiparado]:[Check Equiparado]]="Sí",IF(DATOS!AT$5="Sí",(1/DATOS_[[% anualiz]:[% anualiz]]),1)*IF(DATOS!AT$4="Sí",1/DATOS_[[% normaliz]:[% normaliz]],1)*(DATOS_[Conc.Sal.16])))))))),
0)</f>
        <v>0</v>
      </c>
      <c r="Z34" s="111">
        <f t="array" ref="Z34">IFERROR(
(MEDIAN((IF(DATOS_[[Sexo]:[Sexo]]=$B34,IF(DATOS_[[AGRUP. VALOR. PTO.]:[AGRUP. VALOR. PTO.]]=$B33,IF(DATOS_[[Check Periodo Ref.]:[Check Periodo Ref.]]="Dentro",IF(DATOS_[[Check Equiparado]:[Check Equiparado]]="Sí",IF(DATOS!AU$5="Sí",(1/DATOS_[[% anualiz]:[% anualiz]]),1)*IF(DATOS!AU$4="Sí",1/DATOS_[[% normaliz]:[% normaliz]],1)*(DATOS_[Conc.Sal.17])))))))),
0)</f>
        <v>0</v>
      </c>
      <c r="AA34" s="111">
        <f t="array" ref="AA34">IFERROR(
(MEDIAN((IF(DATOS_[[Sexo]:[Sexo]]=$B34,IF(DATOS_[[AGRUP. VALOR. PTO.]:[AGRUP. VALOR. PTO.]]=$B33,IF(DATOS_[[Check Periodo Ref.]:[Check Periodo Ref.]]="Dentro",IF(DATOS_[[Check Equiparado]:[Check Equiparado]]="Sí",IF(DATOS!AV$5="Sí",(1/DATOS_[[% anualiz]:[% anualiz]]),1)*IF(DATOS!AV$4="Sí",1/DATOS_[[% normaliz]:[% normaliz]],1)*(DATOS_[Conc.Sal.18])))))))),
0)</f>
        <v>0</v>
      </c>
      <c r="AB34" s="111">
        <f t="array" ref="AB34">IFERROR(
(MEDIAN((IF(DATOS_[[Sexo]:[Sexo]]=$B34,IF(DATOS_[[AGRUP. VALOR. PTO.]:[AGRUP. VALOR. PTO.]]=$B33,IF(DATOS_[[Check Periodo Ref.]:[Check Periodo Ref.]]="Dentro",IF(DATOS_[[Check Equiparado]:[Check Equiparado]]="Sí",IF(DATOS!AW$5="Sí",(1/DATOS_[[% anualiz]:[% anualiz]]),1)*IF(DATOS!AW$4="Sí",1/DATOS_[[% normaliz]:[% normaliz]],1)*(DATOS_[Conc.Sal.19])))))))),
0)</f>
        <v>0</v>
      </c>
      <c r="AC34" s="111">
        <f t="array" ref="AC34">IFERROR(
(MEDIAN((IF(DATOS_[[Sexo]:[Sexo]]=$B34,IF(DATOS_[[AGRUP. VALOR. PTO.]:[AGRUP. VALOR. PTO.]]=$B33,IF(DATOS_[[Check Periodo Ref.]:[Check Periodo Ref.]]="Dentro",IF(DATOS_[[Check Equiparado]:[Check Equiparado]]="Sí",IF(DATOS!AX$5="Sí",(1/DATOS_[[% anualiz]:[% anualiz]]),1)*IF(DATOS!AX$4="Sí",1/DATOS_[[% normaliz]:[% normaliz]],1)*(DATOS_[Conc.Sal.20])))))))),
0)</f>
        <v>0</v>
      </c>
      <c r="AD34" s="111">
        <f t="array" ref="AD34">IFERROR(
(MEDIAN((IF(DATOS_[[Sexo]:[Sexo]]=$B34,IF(DATOS_[[AGRUP. VALOR. PTO.]:[AGRUP. VALOR. PTO.]]=$B33,IF(DATOS_[[Check Periodo Ref.]:[Check Periodo Ref.]]="Dentro",IF(DATOS_[[Check Equiparado]:[Check Equiparado]]="Sí",IF(DATOS!AY$5="Sí",(1/DATOS_[[% anualiz]:[% anualiz]]),1)*IF(DATOS!AY$4="Sí",1/DATOS_[[% normaliz]:[% normaliz]],1)*(DATOS_[Conc.Sal.21])))))))),
0)</f>
        <v>0</v>
      </c>
      <c r="AE34" s="111">
        <f t="array" ref="AE34">IFERROR(
(MEDIAN((IF(DATOS_[[Sexo]:[Sexo]]=$B34,IF(DATOS_[[AGRUP. VALOR. PTO.]:[AGRUP. VALOR. PTO.]]=$B33,IF(DATOS_[[Check Periodo Ref.]:[Check Periodo Ref.]]="Dentro",IF(DATOS_[[Check Equiparado]:[Check Equiparado]]="Sí",IF(DATOS!AZ$5="Sí",(1/DATOS_[[% anualiz]:[% anualiz]]),1)*IF(DATOS!AZ$4="Sí",1/DATOS_[[% normaliz]:[% normaliz]],1)*(DATOS_[Conc.Sal.22])))))))),
0)</f>
        <v>0</v>
      </c>
      <c r="AF34" s="111">
        <f t="array" ref="AF34">IFERROR(
(MEDIAN((IF(DATOS_[[Sexo]:[Sexo]]=$B34,IF(DATOS_[[AGRUP. VALOR. PTO.]:[AGRUP. VALOR. PTO.]]=$B33,IF(DATOS_[[Check Periodo Ref.]:[Check Periodo Ref.]]="Dentro",IF(DATOS_[[Check Equiparado]:[Check Equiparado]]="Sí",IF(DATOS!BA$5="Sí",(1/DATOS_[[% anualiz]:[% anualiz]]),1)*IF(DATOS!BA$4="Sí",1/DATOS_[[% normaliz]:[% normaliz]],1)*(DATOS_[Conc.Sal.23])))))))),
0)</f>
        <v>0</v>
      </c>
      <c r="AG34" s="111">
        <f t="array" ref="AG34">IFERROR(
(MEDIAN((IF(DATOS_[[Sexo]:[Sexo]]=$B34,IF(DATOS_[[AGRUP. VALOR. PTO.]:[AGRUP. VALOR. PTO.]]=$B33,IF(DATOS_[[Check Periodo Ref.]:[Check Periodo Ref.]]="Dentro",IF(DATOS_[[Check Equiparado]:[Check Equiparado]]="Sí",IF(DATOS!BB$5="Sí",(1/DATOS_[[% anualiz]:[% anualiz]]),1)*IF(DATOS!BB$4="Sí",1/DATOS_[[% normaliz]:[% normaliz]],1)*(DATOS_[Conc.Sal.24])))))))),
0)</f>
        <v>0</v>
      </c>
      <c r="AH34" s="111">
        <f t="array" ref="AH34">IFERROR(
(MEDIAN((IF(DATOS_[[Sexo]:[Sexo]]=$B34,IF(DATOS_[[AGRUP. VALOR. PTO.]:[AGRUP. VALOR. PTO.]]=$B33,IF(DATOS_[[Check Periodo Ref.]:[Check Periodo Ref.]]="Dentro",IF(DATOS_[[Check Equiparado]:[Check Equiparado]]="Sí",IF(DATOS!BC$5="Sí",(1/DATOS_[[% anualiz]:[% anualiz]]),1)*IF(DATOS!BC$4="Sí",1/DATOS_[[% normaliz]:[% normaliz]],1)*(DATOS_[Conc.Sal.25])))))))),
0)</f>
        <v>0</v>
      </c>
      <c r="AI34" s="111">
        <f t="array" ref="AI34">IFERROR(
(MEDIAN((IF(DATOS_[[Sexo]:[Sexo]]=$B34,IF(DATOS_[[AGRUP. VALOR. PTO.]:[AGRUP. VALOR. PTO.]]=$B33,IF(DATOS_[[Check Periodo Ref.]:[Check Periodo Ref.]]="Dentro",IF(DATOS_[[Check Equiparado]:[Check Equiparado]]="Sí",IF(DATOS!BD$5="Sí",(1/DATOS_[[% anualiz]:[% anualiz]]),1)*IF(DATOS!BD$4="Sí",1/DATOS_[[% normaliz]:[% normaliz]],1)*(DATOS_[Conc.Sal.26])))))))),
0)</f>
        <v>0</v>
      </c>
      <c r="AJ34" s="111">
        <f t="array" ref="AJ34">IFERROR(
(MEDIAN((IF(DATOS_[[Sexo]:[Sexo]]=$B34,IF(DATOS_[[AGRUP. VALOR. PTO.]:[AGRUP. VALOR. PTO.]]=$B33,IF(DATOS_[[Check Periodo Ref.]:[Check Periodo Ref.]]="Dentro",IF(DATOS_[[Check Equiparado]:[Check Equiparado]]="Sí",IF(DATOS!BE$5="Sí",(1/DATOS_[[% anualiz]:[% anualiz]]),1)*IF(DATOS!BE$4="Sí",1/DATOS_[[% normaliz]:[% normaliz]],1)*(DATOS_[Conc.Sal.27])))))))),
0)</f>
        <v>0</v>
      </c>
      <c r="AK34" s="111">
        <f t="array" ref="AK34">IFERROR(
(MEDIAN((IF(DATOS_[[Sexo]:[Sexo]]=$B34,IF(DATOS_[[AGRUP. VALOR. PTO.]:[AGRUP. VALOR. PTO.]]=$B33,IF(DATOS_[[Check Periodo Ref.]:[Check Periodo Ref.]]="Dentro",IF(DATOS_[[Check Equiparado]:[Check Equiparado]]="Sí",IF(DATOS!BF$5="Sí",(1/DATOS_[[% anualiz]:[% anualiz]]),1)*IF(DATOS!BF$4="Sí",1/DATOS_[[% normaliz]:[% normaliz]],1)*(DATOS_[Conc.Sal.28])))))))),
0)</f>
        <v>0</v>
      </c>
      <c r="AL34" s="111">
        <f t="array" ref="AL34">IFERROR(
(MEDIAN((IF(DATOS_[[Sexo]:[Sexo]]=$B34,IF(DATOS_[[AGRUP. VALOR. PTO.]:[AGRUP. VALOR. PTO.]]=$B33,IF(DATOS_[[Check Periodo Ref.]:[Check Periodo Ref.]]="Dentro",IF(DATOS_[[Check Equiparado]:[Check Equiparado]]="Sí",IF(DATOS!BG$5="Sí",(1/DATOS_[[% anualiz]:[% anualiz]]),1)*IF(DATOS!BG$4="Sí",1/DATOS_[[% normaliz]:[% normaliz]],1)*(DATOS_[Conc.Sal.29])))))))),
0)</f>
        <v>0</v>
      </c>
      <c r="AM34" s="111">
        <f t="array" ref="AM34">IFERROR(
(MEDIAN((IF(DATOS_[[Sexo]:[Sexo]]=$B34,IF(DATOS_[[AGRUP. VALOR. PTO.]:[AGRUP. VALOR. PTO.]]=$B33,IF(DATOS_[[Check Periodo Ref.]:[Check Periodo Ref.]]="Dentro",IF(DATOS_[[Check Equiparado]:[Check Equiparado]]="Sí",IF(DATOS!BH$5="Sí",(1/DATOS_[[% anualiz]:[% anualiz]]),1)*IF(DATOS!BH$4="Sí",1/DATOS_[[% normaliz]:[% normaliz]],1)*(DATOS_[Conc.Sal.30])))))))),
0)</f>
        <v>0</v>
      </c>
      <c r="AN34" s="112">
        <f t="array" ref="AN34">IFERROR(
MEDIAN(IF(DATOS_[Sexo]=$B34,IF(DATOS_[[AGRUP. VALOR. PTO.]:[AGRUP. VALOR. PTO.]]=$B33,IF(DATOS_[Check Equiparado]="Sí",IF(DATOS_[Check Periodo Ref.]="Dentro",DATOS_[Tot COMPL.SAL Eq],FALSE))))),
0)</f>
        <v>0</v>
      </c>
      <c r="AO34" s="113">
        <f t="array" ref="AO34">IFERROR(
MEDIAN(IF(DATOS_[Sexo]=$B34,IF(DATOS_[[AGRUP. VALOR. PTO.]:[AGRUP. VALOR. PTO.]]=$B33,IF(DATOS_[Check Equiparado]="Sí",IF(DATOS_[Check Periodo Ref.]="Dentro",DATOS_[TOTAL SALARIO Eq],FALSE))))),
0)</f>
        <v>0</v>
      </c>
      <c r="AP34" s="114">
        <f t="array" ref="AP34">IFERROR(
(MEDIAN((IF(DATOS_[[Sexo]:[Sexo]]=$B34,IF(DATOS_[[AGRUP. VALOR. PTO.]:[AGRUP. VALOR. PTO.]]=$B33,IF(DATOS_[[Check Periodo Ref.]:[Check Periodo Ref.]]="Dentro",IF(DATOS_[[Check Equiparado]:[Check Equiparado]]="Sí",IF(DATOS!BI$5="Sí",(1/DATOS_[[% anualiz]:[% anualiz]]),1)*IF(DATOS!BI$4="Sí",1/DATOS_[[% normaliz]:[% normaliz]],1)*(DATOS_[C.Extra.01])))))))),
0)</f>
        <v>0</v>
      </c>
      <c r="AQ34" s="114">
        <f t="array" ref="AQ34">IFERROR(
(MEDIAN((IF(DATOS_[[Sexo]:[Sexo]]=$B34,IF(DATOS_[[AGRUP. VALOR. PTO.]:[AGRUP. VALOR. PTO.]]=$B33,IF(DATOS_[[Check Periodo Ref.]:[Check Periodo Ref.]]="Dentro",IF(DATOS_[[Check Equiparado]:[Check Equiparado]]="Sí",IF(DATOS!BJ$5="Sí",(1/DATOS_[[% anualiz]:[% anualiz]]),1)*IF(DATOS!BJ$4="Sí",1/DATOS_[[% normaliz]:[% normaliz]],1)*(DATOS_[C.Extra.02])))))))),
0)</f>
        <v>0</v>
      </c>
      <c r="AR34" s="114">
        <f t="array" ref="AR34">IFERROR(
(MEDIAN((IF(DATOS_[[Sexo]:[Sexo]]=$B34,IF(DATOS_[[AGRUP. VALOR. PTO.]:[AGRUP. VALOR. PTO.]]=$B33,IF(DATOS_[[Check Periodo Ref.]:[Check Periodo Ref.]]="Dentro",IF(DATOS_[[Check Equiparado]:[Check Equiparado]]="Sí",IF(DATOS!BK$5="Sí",(1/DATOS_[[% anualiz]:[% anualiz]]),1)*IF(DATOS!BK$4="Sí",1/DATOS_[[% normaliz]:[% normaliz]],1)*(DATOS_[C.Extra.03])))))))),
0)</f>
        <v>0</v>
      </c>
      <c r="AS34" s="114">
        <f t="array" ref="AS34">IFERROR(
(MEDIAN((IF(DATOS_[[Sexo]:[Sexo]]=$B34,IF(DATOS_[[AGRUP. VALOR. PTO.]:[AGRUP. VALOR. PTO.]]=$B33,IF(DATOS_[[Check Periodo Ref.]:[Check Periodo Ref.]]="Dentro",IF(DATOS_[[Check Equiparado]:[Check Equiparado]]="Sí",IF(DATOS!BL$5="Sí",(1/DATOS_[[% anualiz]:[% anualiz]]),1)*IF(DATOS!BL$4="Sí",1/DATOS_[[% normaliz]:[% normaliz]],1)*(DATOS_[C.Extra.04])))))))),
0)</f>
        <v>0</v>
      </c>
      <c r="AT34" s="114">
        <f t="array" ref="AT34">IFERROR(
(MEDIAN((IF(DATOS_[[Sexo]:[Sexo]]=$B34,IF(DATOS_[[AGRUP. VALOR. PTO.]:[AGRUP. VALOR. PTO.]]=$B33,IF(DATOS_[[Check Periodo Ref.]:[Check Periodo Ref.]]="Dentro",IF(DATOS_[[Check Equiparado]:[Check Equiparado]]="Sí",IF(DATOS!BM$5="Sí",(1/DATOS_[[% anualiz]:[% anualiz]]),1)*IF(DATOS!BM$4="Sí",1/DATOS_[[% normaliz]:[% normaliz]],1)*(DATOS_[C.Extra.05])))))))),
0)</f>
        <v>0</v>
      </c>
      <c r="AU34" s="115">
        <f t="array" ref="AU34">IFERROR(
MEDIAN(IF(DATOS_[Sexo]=$B34,IF(DATOS_[[AGRUP. VALOR. PTO.]:[AGRUP. VALOR. PTO.]]=$B33,IF(DATOS_[Check Equiparado]="Sí",IF(DATOS_[Check Periodo Ref.]="Dentro",DATOS_[Tot Extrasalarial Eq],FALSE))))),
0)</f>
        <v>0</v>
      </c>
      <c r="AV34" s="116">
        <f t="array" ref="AV34">IFERROR(
MEDIAN(IF(DATOS_[Sexo]=$B34,IF(DATOS_[[AGRUP. VALOR. PTO.]:[AGRUP. VALOR. PTO.]]=$B33,IF(DATOS_[Check Equiparado]="Sí",IF(DATOS_[Check Periodo Ref.]="Dentro",DATOS_[TOTAL Retrib Eq],FALSE))))),
0)</f>
        <v>0</v>
      </c>
    </row>
    <row r="35" spans="1:48" hidden="1" x14ac:dyDescent="0.3">
      <c r="A35" s="42" t="str">
        <f t="shared" ref="A35" si="30">+A34</f>
        <v>[ocultar]</v>
      </c>
      <c r="B35" s="86" t="s">
        <v>163</v>
      </c>
      <c r="C35" s="33">
        <f t="array" ref="C35">SUM(IF($B35=DATOS_[Sexo],
IF($B33=DATOS_[AGRUP. VALOR. PTO.],
IF("Dentro"=DATOS_[Check Periodo Ref.],
1/(COUNTIFS(DATOS_[Sexo],$B35,DATOS_[AGRUP. VALOR. PTO.],$B33,DATOS_[Check Periodo Ref.],"Dentro",DATOS_[id],DATOS_[id]))))))</f>
        <v>0</v>
      </c>
      <c r="D35" s="35">
        <f>COUNTIFS(DATOS_[AGRUP. VALOR. PTO.],$B33,DATOS_[Sexo],$B35,DATOS_[Check Periodo Ref.],"Dentro")</f>
        <v>0</v>
      </c>
      <c r="E35" s="35">
        <f>COUNTIFS(DATOS_[AGRUP. VALOR. PTO.],$B33,DATOS_[Sexo],$B35,DATOS_[Check Periodo Ref.],"Dentro",DATOS_[Check Nº SC Norm],"Sí")</f>
        <v>0</v>
      </c>
      <c r="F35" s="35">
        <f>COUNTIFS(DATOS_[AGRUP. VALOR. PTO.],$B33,DATOS_[Sexo],$B35,DATOS_[Check Periodo Ref.],"Dentro",DATOS_[Check Nº SC Anualiz],"Sí")</f>
        <v>0</v>
      </c>
      <c r="G35" s="35">
        <f>COUNTIFS(DATOS_[AGRUP. VALOR. PTO.],$B33,DATOS_[Sexo],$B35,DATOS_[Check Periodo Ref.],"Dentro",DATOS_[Check Nº SC Norm y Anualiz],"Sí")</f>
        <v>0</v>
      </c>
      <c r="H35" s="35">
        <f>COUNTIFS(DATOS_[AGRUP. VALOR. PTO.],$B33,DATOS_[Sexo],$B35,DATOS_[Check Periodo Ref.],"Dentro",DATOS_[Check Equiparación],"Sí")</f>
        <v>0</v>
      </c>
      <c r="I35" s="110" cm="1">
        <f t="array" ref="I35">IFERROR(
MEDIAN(IF(DATOS_[Sexo]=$B35,IF(DATOS_[[AGRUP. VALOR. PTO.]:[AGRUP. VALOR. PTO.]]=$B33,IF(DATOS_[Check Equiparado]="Sí",IF(DATOS_[Check Periodo Ref.]="Dentro",DATOS_[SALARIO BASE Eq],FALSE))))),
0)</f>
        <v>0</v>
      </c>
      <c r="J35" s="111">
        <f t="array" ref="J35">IFERROR(
(MEDIAN((IF(DATOS_[[Sexo]:[Sexo]]=$B35,IF(DATOS_[[AGRUP. VALOR. PTO.]:[AGRUP. VALOR. PTO.]]=$B33,IF(DATOS_[[Check Periodo Ref.]:[Check Periodo Ref.]]="Dentro",IF(DATOS_[[Check Equiparado]:[Check Equiparado]]="Sí",IF(DATOS!AE$5="Sí",(1/DATOS_[[% anualiz]:[% anualiz]]),1)*IF(DATOS!AE$4="Sí",1/DATOS_[[% normaliz]:[% normaliz]],1)*(DATOS_[Conc.Sal.01])))))))),
0)</f>
        <v>0</v>
      </c>
      <c r="K35" s="111">
        <f t="array" ref="K35">IFERROR(
(MEDIAN((IF(DATOS_[[Sexo]:[Sexo]]=$B35,IF(DATOS_[[AGRUP. VALOR. PTO.]:[AGRUP. VALOR. PTO.]]=$B33,IF(DATOS_[[Check Periodo Ref.]:[Check Periodo Ref.]]="Dentro",IF(DATOS_[[Check Equiparado]:[Check Equiparado]]="Sí",IF(DATOS!AF$5="Sí",(1/DATOS_[[% anualiz]:[% anualiz]]),1)*IF(DATOS!AF$4="Sí",1/DATOS_[[% normaliz]:[% normaliz]],1)*(DATOS_[Conc.Sal.02])))))))),
0)</f>
        <v>0</v>
      </c>
      <c r="L35" s="111">
        <f t="array" ref="L35">IFERROR(
(MEDIAN((IF(DATOS_[[Sexo]:[Sexo]]=$B35,IF(DATOS_[[AGRUP. VALOR. PTO.]:[AGRUP. VALOR. PTO.]]=$B33,IF(DATOS_[[Check Periodo Ref.]:[Check Periodo Ref.]]="Dentro",IF(DATOS_[[Check Equiparado]:[Check Equiparado]]="Sí",IF(DATOS!AG$5="Sí",(1/DATOS_[[% anualiz]:[% anualiz]]),1)*IF(DATOS!AG$4="Sí",1/DATOS_[[% normaliz]:[% normaliz]],1)*(DATOS_[Conc.Sal.03])))))))),
0)</f>
        <v>0</v>
      </c>
      <c r="M35" s="111">
        <f t="array" ref="M35">IFERROR(
(MEDIAN((IF(DATOS_[[Sexo]:[Sexo]]=$B35,IF(DATOS_[[AGRUP. VALOR. PTO.]:[AGRUP. VALOR. PTO.]]=$B33,IF(DATOS_[[Check Periodo Ref.]:[Check Periodo Ref.]]="Dentro",IF(DATOS_[[Check Equiparado]:[Check Equiparado]]="Sí",IF(DATOS!AH$5="Sí",(1/DATOS_[[% anualiz]:[% anualiz]]),1)*IF(DATOS!AH$4="Sí",1/DATOS_[[% normaliz]:[% normaliz]],1)*(DATOS_[Conc.Sal.04])))))))),
0)</f>
        <v>0</v>
      </c>
      <c r="N35" s="111">
        <f t="array" ref="N35">IFERROR(
(MEDIAN((IF(DATOS_[[Sexo]:[Sexo]]=$B35,IF(DATOS_[[AGRUP. VALOR. PTO.]:[AGRUP. VALOR. PTO.]]=$B33,IF(DATOS_[[Check Periodo Ref.]:[Check Periodo Ref.]]="Dentro",IF(DATOS_[[Check Equiparado]:[Check Equiparado]]="Sí",IF(DATOS!AI$5="Sí",(1/DATOS_[[% anualiz]:[% anualiz]]),1)*IF(DATOS!AI$4="Sí",1/DATOS_[[% normaliz]:[% normaliz]],1)*(DATOS_[Conc.Sal.05])))))))),
0)</f>
        <v>0</v>
      </c>
      <c r="O35" s="111">
        <f t="array" ref="O35">IFERROR(
(MEDIAN((IF(DATOS_[[Sexo]:[Sexo]]=$B35,IF(DATOS_[[AGRUP. VALOR. PTO.]:[AGRUP. VALOR. PTO.]]=$B33,IF(DATOS_[[Check Periodo Ref.]:[Check Periodo Ref.]]="Dentro",IF(DATOS_[[Check Equiparado]:[Check Equiparado]]="Sí",IF(DATOS!AJ$5="Sí",(1/DATOS_[[% anualiz]:[% anualiz]]),1)*IF(DATOS!AJ$4="Sí",1/DATOS_[[% normaliz]:[% normaliz]],1)*(DATOS_[Conc.Sal.06])))))))),
0)</f>
        <v>0</v>
      </c>
      <c r="P35" s="111">
        <f t="array" ref="P35">IFERROR(
(MEDIAN((IF(DATOS_[[Sexo]:[Sexo]]=$B35,IF(DATOS_[[AGRUP. VALOR. PTO.]:[AGRUP. VALOR. PTO.]]=$B33,IF(DATOS_[[Check Periodo Ref.]:[Check Periodo Ref.]]="Dentro",IF(DATOS_[[Check Equiparado]:[Check Equiparado]]="Sí",IF(DATOS!AK$5="Sí",(1/DATOS_[[% anualiz]:[% anualiz]]),1)*IF(DATOS!AK$4="Sí",1/DATOS_[[% normaliz]:[% normaliz]],1)*(DATOS_[Conc.Sal.07])))))))),
0)</f>
        <v>0</v>
      </c>
      <c r="Q35" s="111">
        <f t="array" ref="Q35">IFERROR(
(MEDIAN((IF(DATOS_[[Sexo]:[Sexo]]=$B35,IF(DATOS_[[AGRUP. VALOR. PTO.]:[AGRUP. VALOR. PTO.]]=$B33,IF(DATOS_[[Check Periodo Ref.]:[Check Periodo Ref.]]="Dentro",IF(DATOS_[[Check Equiparado]:[Check Equiparado]]="Sí",IF(DATOS!AL$5="Sí",(1/DATOS_[[% anualiz]:[% anualiz]]),1)*IF(DATOS!AL$4="Sí",1/DATOS_[[% normaliz]:[% normaliz]],1)*(DATOS_[Conc.Sal.08])))))))),
0)</f>
        <v>0</v>
      </c>
      <c r="R35" s="111">
        <f t="array" ref="R35">IFERROR(
(MEDIAN((IF(DATOS_[[Sexo]:[Sexo]]=$B35,IF(DATOS_[[AGRUP. VALOR. PTO.]:[AGRUP. VALOR. PTO.]]=$B33,IF(DATOS_[[Check Periodo Ref.]:[Check Periodo Ref.]]="Dentro",IF(DATOS_[[Check Equiparado]:[Check Equiparado]]="Sí",IF(DATOS!AM$5="Sí",(1/DATOS_[[% anualiz]:[% anualiz]]),1)*IF(DATOS!AM$4="Sí",1/DATOS_[[% normaliz]:[% normaliz]],1)*(DATOS_[Conc.Sal.09])))))))),
0)</f>
        <v>0</v>
      </c>
      <c r="S35" s="111">
        <f t="array" ref="S35">IFERROR(
(MEDIAN((IF(DATOS_[[Sexo]:[Sexo]]=$B35,IF(DATOS_[[AGRUP. VALOR. PTO.]:[AGRUP. VALOR. PTO.]]=$B33,IF(DATOS_[[Check Periodo Ref.]:[Check Periodo Ref.]]="Dentro",IF(DATOS_[[Check Equiparado]:[Check Equiparado]]="Sí",IF(DATOS!AN$5="Sí",(1/DATOS_[[% anualiz]:[% anualiz]]),1)*IF(DATOS!AN$4="Sí",1/DATOS_[[% normaliz]:[% normaliz]],1)*(DATOS_[Conc.Sal.10])))))))),
0)</f>
        <v>0</v>
      </c>
      <c r="T35" s="111">
        <f t="array" ref="T35">IFERROR(
(MEDIAN((IF(DATOS_[[Sexo]:[Sexo]]=$B35,IF(DATOS_[[AGRUP. VALOR. PTO.]:[AGRUP. VALOR. PTO.]]=$B33,IF(DATOS_[[Check Periodo Ref.]:[Check Periodo Ref.]]="Dentro",IF(DATOS_[[Check Equiparado]:[Check Equiparado]]="Sí",IF(DATOS!AO$5="Sí",(1/DATOS_[[% anualiz]:[% anualiz]]),1)*IF(DATOS!AO$4="Sí",1/DATOS_[[% normaliz]:[% normaliz]],1)*(DATOS_[Conc.Sal.11])))))))),
0)</f>
        <v>0</v>
      </c>
      <c r="U35" s="111">
        <f t="array" ref="U35">IFERROR(
(MEDIAN((IF(DATOS_[[Sexo]:[Sexo]]=$B35,IF(DATOS_[[AGRUP. VALOR. PTO.]:[AGRUP. VALOR. PTO.]]=$B33,IF(DATOS_[[Check Periodo Ref.]:[Check Periodo Ref.]]="Dentro",IF(DATOS_[[Check Equiparado]:[Check Equiparado]]="Sí",IF(DATOS!AP$5="Sí",(1/DATOS_[[% anualiz]:[% anualiz]]),1)*IF(DATOS!AP$4="Sí",1/DATOS_[[% normaliz]:[% normaliz]],1)*(DATOS_[Conc.Sal.12])))))))),
0)</f>
        <v>0</v>
      </c>
      <c r="V35" s="111">
        <f t="array" ref="V35">IFERROR(
(MEDIAN((IF(DATOS_[[Sexo]:[Sexo]]=$B35,IF(DATOS_[[AGRUP. VALOR. PTO.]:[AGRUP. VALOR. PTO.]]=$B33,IF(DATOS_[[Check Periodo Ref.]:[Check Periodo Ref.]]="Dentro",IF(DATOS_[[Check Equiparado]:[Check Equiparado]]="Sí",IF(DATOS!AQ$5="Sí",(1/DATOS_[[% anualiz]:[% anualiz]]),1)*IF(DATOS!AQ$4="Sí",1/DATOS_[[% normaliz]:[% normaliz]],1)*(DATOS_[Conc.Sal.13])))))))),
0)</f>
        <v>0</v>
      </c>
      <c r="W35" s="111">
        <f t="array" ref="W35">IFERROR(
(MEDIAN((IF(DATOS_[[Sexo]:[Sexo]]=$B35,IF(DATOS_[[AGRUP. VALOR. PTO.]:[AGRUP. VALOR. PTO.]]=$B33,IF(DATOS_[[Check Periodo Ref.]:[Check Periodo Ref.]]="Dentro",IF(DATOS_[[Check Equiparado]:[Check Equiparado]]="Sí",IF(DATOS!AR$5="Sí",(1/DATOS_[[% anualiz]:[% anualiz]]),1)*IF(DATOS!AR$4="Sí",1/DATOS_[[% normaliz]:[% normaliz]],1)*(DATOS_[Conc.Sal.14])))))))),
0)</f>
        <v>0</v>
      </c>
      <c r="X35" s="111">
        <f t="array" ref="X35">IFERROR(
(MEDIAN((IF(DATOS_[[Sexo]:[Sexo]]=$B35,IF(DATOS_[[AGRUP. VALOR. PTO.]:[AGRUP. VALOR. PTO.]]=$B33,IF(DATOS_[[Check Periodo Ref.]:[Check Periodo Ref.]]="Dentro",IF(DATOS_[[Check Equiparado]:[Check Equiparado]]="Sí",IF(DATOS!AS$5="Sí",(1/DATOS_[[% anualiz]:[% anualiz]]),1)*IF(DATOS!AS$4="Sí",1/DATOS_[[% normaliz]:[% normaliz]],1)*(DATOS_[Conc.Sal.15])))))))),
0)</f>
        <v>0</v>
      </c>
      <c r="Y35" s="111">
        <f t="array" ref="Y35">IFERROR(
(MEDIAN((IF(DATOS_[[Sexo]:[Sexo]]=$B35,IF(DATOS_[[AGRUP. VALOR. PTO.]:[AGRUP. VALOR. PTO.]]=$B33,IF(DATOS_[[Check Periodo Ref.]:[Check Periodo Ref.]]="Dentro",IF(DATOS_[[Check Equiparado]:[Check Equiparado]]="Sí",IF(DATOS!AT$5="Sí",(1/DATOS_[[% anualiz]:[% anualiz]]),1)*IF(DATOS!AT$4="Sí",1/DATOS_[[% normaliz]:[% normaliz]],1)*(DATOS_[Conc.Sal.16])))))))),
0)</f>
        <v>0</v>
      </c>
      <c r="Z35" s="111">
        <f t="array" ref="Z35">IFERROR(
(MEDIAN((IF(DATOS_[[Sexo]:[Sexo]]=$B35,IF(DATOS_[[AGRUP. VALOR. PTO.]:[AGRUP. VALOR. PTO.]]=$B33,IF(DATOS_[[Check Periodo Ref.]:[Check Periodo Ref.]]="Dentro",IF(DATOS_[[Check Equiparado]:[Check Equiparado]]="Sí",IF(DATOS!AU$5="Sí",(1/DATOS_[[% anualiz]:[% anualiz]]),1)*IF(DATOS!AU$4="Sí",1/DATOS_[[% normaliz]:[% normaliz]],1)*(DATOS_[Conc.Sal.17])))))))),
0)</f>
        <v>0</v>
      </c>
      <c r="AA35" s="111">
        <f t="array" ref="AA35">IFERROR(
(MEDIAN((IF(DATOS_[[Sexo]:[Sexo]]=$B35,IF(DATOS_[[AGRUP. VALOR. PTO.]:[AGRUP. VALOR. PTO.]]=$B33,IF(DATOS_[[Check Periodo Ref.]:[Check Periodo Ref.]]="Dentro",IF(DATOS_[[Check Equiparado]:[Check Equiparado]]="Sí",IF(DATOS!AV$5="Sí",(1/DATOS_[[% anualiz]:[% anualiz]]),1)*IF(DATOS!AV$4="Sí",1/DATOS_[[% normaliz]:[% normaliz]],1)*(DATOS_[Conc.Sal.18])))))))),
0)</f>
        <v>0</v>
      </c>
      <c r="AB35" s="111">
        <f t="array" ref="AB35">IFERROR(
(MEDIAN((IF(DATOS_[[Sexo]:[Sexo]]=$B35,IF(DATOS_[[AGRUP. VALOR. PTO.]:[AGRUP. VALOR. PTO.]]=$B33,IF(DATOS_[[Check Periodo Ref.]:[Check Periodo Ref.]]="Dentro",IF(DATOS_[[Check Equiparado]:[Check Equiparado]]="Sí",IF(DATOS!AW$5="Sí",(1/DATOS_[[% anualiz]:[% anualiz]]),1)*IF(DATOS!AW$4="Sí",1/DATOS_[[% normaliz]:[% normaliz]],1)*(DATOS_[Conc.Sal.19])))))))),
0)</f>
        <v>0</v>
      </c>
      <c r="AC35" s="111">
        <f t="array" ref="AC35">IFERROR(
(MEDIAN((IF(DATOS_[[Sexo]:[Sexo]]=$B35,IF(DATOS_[[AGRUP. VALOR. PTO.]:[AGRUP. VALOR. PTO.]]=$B33,IF(DATOS_[[Check Periodo Ref.]:[Check Periodo Ref.]]="Dentro",IF(DATOS_[[Check Equiparado]:[Check Equiparado]]="Sí",IF(DATOS!AX$5="Sí",(1/DATOS_[[% anualiz]:[% anualiz]]),1)*IF(DATOS!AX$4="Sí",1/DATOS_[[% normaliz]:[% normaliz]],1)*(DATOS_[Conc.Sal.20])))))))),
0)</f>
        <v>0</v>
      </c>
      <c r="AD35" s="111">
        <f t="array" ref="AD35">IFERROR(
(MEDIAN((IF(DATOS_[[Sexo]:[Sexo]]=$B35,IF(DATOS_[[AGRUP. VALOR. PTO.]:[AGRUP. VALOR. PTO.]]=$B33,IF(DATOS_[[Check Periodo Ref.]:[Check Periodo Ref.]]="Dentro",IF(DATOS_[[Check Equiparado]:[Check Equiparado]]="Sí",IF(DATOS!AY$5="Sí",(1/DATOS_[[% anualiz]:[% anualiz]]),1)*IF(DATOS!AY$4="Sí",1/DATOS_[[% normaliz]:[% normaliz]],1)*(DATOS_[Conc.Sal.21])))))))),
0)</f>
        <v>0</v>
      </c>
      <c r="AE35" s="111">
        <f t="array" ref="AE35">IFERROR(
(MEDIAN((IF(DATOS_[[Sexo]:[Sexo]]=$B35,IF(DATOS_[[AGRUP. VALOR. PTO.]:[AGRUP. VALOR. PTO.]]=$B33,IF(DATOS_[[Check Periodo Ref.]:[Check Periodo Ref.]]="Dentro",IF(DATOS_[[Check Equiparado]:[Check Equiparado]]="Sí",IF(DATOS!AZ$5="Sí",(1/DATOS_[[% anualiz]:[% anualiz]]),1)*IF(DATOS!AZ$4="Sí",1/DATOS_[[% normaliz]:[% normaliz]],1)*(DATOS_[Conc.Sal.22])))))))),
0)</f>
        <v>0</v>
      </c>
      <c r="AF35" s="111">
        <f t="array" ref="AF35">IFERROR(
(MEDIAN((IF(DATOS_[[Sexo]:[Sexo]]=$B35,IF(DATOS_[[AGRUP. VALOR. PTO.]:[AGRUP. VALOR. PTO.]]=$B33,IF(DATOS_[[Check Periodo Ref.]:[Check Periodo Ref.]]="Dentro",IF(DATOS_[[Check Equiparado]:[Check Equiparado]]="Sí",IF(DATOS!BA$5="Sí",(1/DATOS_[[% anualiz]:[% anualiz]]),1)*IF(DATOS!BA$4="Sí",1/DATOS_[[% normaliz]:[% normaliz]],1)*(DATOS_[Conc.Sal.23])))))))),
0)</f>
        <v>0</v>
      </c>
      <c r="AG35" s="111">
        <f t="array" ref="AG35">IFERROR(
(MEDIAN((IF(DATOS_[[Sexo]:[Sexo]]=$B35,IF(DATOS_[[AGRUP. VALOR. PTO.]:[AGRUP. VALOR. PTO.]]=$B33,IF(DATOS_[[Check Periodo Ref.]:[Check Periodo Ref.]]="Dentro",IF(DATOS_[[Check Equiparado]:[Check Equiparado]]="Sí",IF(DATOS!BB$5="Sí",(1/DATOS_[[% anualiz]:[% anualiz]]),1)*IF(DATOS!BB$4="Sí",1/DATOS_[[% normaliz]:[% normaliz]],1)*(DATOS_[Conc.Sal.24])))))))),
0)</f>
        <v>0</v>
      </c>
      <c r="AH35" s="111">
        <f t="array" ref="AH35">IFERROR(
(MEDIAN((IF(DATOS_[[Sexo]:[Sexo]]=$B35,IF(DATOS_[[AGRUP. VALOR. PTO.]:[AGRUP. VALOR. PTO.]]=$B33,IF(DATOS_[[Check Periodo Ref.]:[Check Periodo Ref.]]="Dentro",IF(DATOS_[[Check Equiparado]:[Check Equiparado]]="Sí",IF(DATOS!BC$5="Sí",(1/DATOS_[[% anualiz]:[% anualiz]]),1)*IF(DATOS!BC$4="Sí",1/DATOS_[[% normaliz]:[% normaliz]],1)*(DATOS_[Conc.Sal.25])))))))),
0)</f>
        <v>0</v>
      </c>
      <c r="AI35" s="111">
        <f t="array" ref="AI35">IFERROR(
(MEDIAN((IF(DATOS_[[Sexo]:[Sexo]]=$B35,IF(DATOS_[[AGRUP. VALOR. PTO.]:[AGRUP. VALOR. PTO.]]=$B33,IF(DATOS_[[Check Periodo Ref.]:[Check Periodo Ref.]]="Dentro",IF(DATOS_[[Check Equiparado]:[Check Equiparado]]="Sí",IF(DATOS!BD$5="Sí",(1/DATOS_[[% anualiz]:[% anualiz]]),1)*IF(DATOS!BD$4="Sí",1/DATOS_[[% normaliz]:[% normaliz]],1)*(DATOS_[Conc.Sal.26])))))))),
0)</f>
        <v>0</v>
      </c>
      <c r="AJ35" s="111">
        <f t="array" ref="AJ35">IFERROR(
(MEDIAN((IF(DATOS_[[Sexo]:[Sexo]]=$B35,IF(DATOS_[[AGRUP. VALOR. PTO.]:[AGRUP. VALOR. PTO.]]=$B33,IF(DATOS_[[Check Periodo Ref.]:[Check Periodo Ref.]]="Dentro",IF(DATOS_[[Check Equiparado]:[Check Equiparado]]="Sí",IF(DATOS!BE$5="Sí",(1/DATOS_[[% anualiz]:[% anualiz]]),1)*IF(DATOS!BE$4="Sí",1/DATOS_[[% normaliz]:[% normaliz]],1)*(DATOS_[Conc.Sal.27])))))))),
0)</f>
        <v>0</v>
      </c>
      <c r="AK35" s="111">
        <f t="array" ref="AK35">IFERROR(
(MEDIAN((IF(DATOS_[[Sexo]:[Sexo]]=$B35,IF(DATOS_[[AGRUP. VALOR. PTO.]:[AGRUP. VALOR. PTO.]]=$B33,IF(DATOS_[[Check Periodo Ref.]:[Check Periodo Ref.]]="Dentro",IF(DATOS_[[Check Equiparado]:[Check Equiparado]]="Sí",IF(DATOS!BF$5="Sí",(1/DATOS_[[% anualiz]:[% anualiz]]),1)*IF(DATOS!BF$4="Sí",1/DATOS_[[% normaliz]:[% normaliz]],1)*(DATOS_[Conc.Sal.28])))))))),
0)</f>
        <v>0</v>
      </c>
      <c r="AL35" s="111">
        <f t="array" ref="AL35">IFERROR(
(MEDIAN((IF(DATOS_[[Sexo]:[Sexo]]=$B35,IF(DATOS_[[AGRUP. VALOR. PTO.]:[AGRUP. VALOR. PTO.]]=$B33,IF(DATOS_[[Check Periodo Ref.]:[Check Periodo Ref.]]="Dentro",IF(DATOS_[[Check Equiparado]:[Check Equiparado]]="Sí",IF(DATOS!BG$5="Sí",(1/DATOS_[[% anualiz]:[% anualiz]]),1)*IF(DATOS!BG$4="Sí",1/DATOS_[[% normaliz]:[% normaliz]],1)*(DATOS_[Conc.Sal.29])))))))),
0)</f>
        <v>0</v>
      </c>
      <c r="AM35" s="111">
        <f t="array" ref="AM35">IFERROR(
(MEDIAN((IF(DATOS_[[Sexo]:[Sexo]]=$B35,IF(DATOS_[[AGRUP. VALOR. PTO.]:[AGRUP. VALOR. PTO.]]=$B33,IF(DATOS_[[Check Periodo Ref.]:[Check Periodo Ref.]]="Dentro",IF(DATOS_[[Check Equiparado]:[Check Equiparado]]="Sí",IF(DATOS!BH$5="Sí",(1/DATOS_[[% anualiz]:[% anualiz]]),1)*IF(DATOS!BH$4="Sí",1/DATOS_[[% normaliz]:[% normaliz]],1)*(DATOS_[Conc.Sal.30])))))))),
0)</f>
        <v>0</v>
      </c>
      <c r="AN35" s="112">
        <f t="array" ref="AN35">IFERROR(
MEDIAN(IF(DATOS_[Sexo]=$B35,IF(DATOS_[[AGRUP. VALOR. PTO.]:[AGRUP. VALOR. PTO.]]=$B33,IF(DATOS_[Check Equiparado]="Sí",IF(DATOS_[Check Periodo Ref.]="Dentro",DATOS_[Tot COMPL.SAL Eq],FALSE))))),
0)</f>
        <v>0</v>
      </c>
      <c r="AO35" s="113">
        <f t="array" ref="AO35">IFERROR(
MEDIAN(IF(DATOS_[Sexo]=$B35,IF(DATOS_[[AGRUP. VALOR. PTO.]:[AGRUP. VALOR. PTO.]]=$B33,IF(DATOS_[Check Equiparado]="Sí",IF(DATOS_[Check Periodo Ref.]="Dentro",DATOS_[TOTAL SALARIO Eq],FALSE))))),
0)</f>
        <v>0</v>
      </c>
      <c r="AP35" s="114">
        <f t="array" ref="AP35">IFERROR(
(MEDIAN((IF(DATOS_[[Sexo]:[Sexo]]=$B35,IF(DATOS_[[AGRUP. VALOR. PTO.]:[AGRUP. VALOR. PTO.]]=$B33,IF(DATOS_[[Check Periodo Ref.]:[Check Periodo Ref.]]="Dentro",IF(DATOS_[[Check Equiparado]:[Check Equiparado]]="Sí",IF(DATOS!BI$5="Sí",(1/DATOS_[[% anualiz]:[% anualiz]]),1)*IF(DATOS!BI$4="Sí",1/DATOS_[[% normaliz]:[% normaliz]],1)*(DATOS_[C.Extra.01])))))))),
0)</f>
        <v>0</v>
      </c>
      <c r="AQ35" s="114">
        <f t="array" ref="AQ35">IFERROR(
(MEDIAN((IF(DATOS_[[Sexo]:[Sexo]]=$B35,IF(DATOS_[[AGRUP. VALOR. PTO.]:[AGRUP. VALOR. PTO.]]=$B33,IF(DATOS_[[Check Periodo Ref.]:[Check Periodo Ref.]]="Dentro",IF(DATOS_[[Check Equiparado]:[Check Equiparado]]="Sí",IF(DATOS!BJ$5="Sí",(1/DATOS_[[% anualiz]:[% anualiz]]),1)*IF(DATOS!BJ$4="Sí",1/DATOS_[[% normaliz]:[% normaliz]],1)*(DATOS_[C.Extra.02])))))))),
0)</f>
        <v>0</v>
      </c>
      <c r="AR35" s="114">
        <f t="array" ref="AR35">IFERROR(
(MEDIAN((IF(DATOS_[[Sexo]:[Sexo]]=$B35,IF(DATOS_[[AGRUP. VALOR. PTO.]:[AGRUP. VALOR. PTO.]]=$B33,IF(DATOS_[[Check Periodo Ref.]:[Check Periodo Ref.]]="Dentro",IF(DATOS_[[Check Equiparado]:[Check Equiparado]]="Sí",IF(DATOS!BK$5="Sí",(1/DATOS_[[% anualiz]:[% anualiz]]),1)*IF(DATOS!BK$4="Sí",1/DATOS_[[% normaliz]:[% normaliz]],1)*(DATOS_[C.Extra.03])))))))),
0)</f>
        <v>0</v>
      </c>
      <c r="AS35" s="114">
        <f t="array" ref="AS35">IFERROR(
(MEDIAN((IF(DATOS_[[Sexo]:[Sexo]]=$B35,IF(DATOS_[[AGRUP. VALOR. PTO.]:[AGRUP. VALOR. PTO.]]=$B33,IF(DATOS_[[Check Periodo Ref.]:[Check Periodo Ref.]]="Dentro",IF(DATOS_[[Check Equiparado]:[Check Equiparado]]="Sí",IF(DATOS!BL$5="Sí",(1/DATOS_[[% anualiz]:[% anualiz]]),1)*IF(DATOS!BL$4="Sí",1/DATOS_[[% normaliz]:[% normaliz]],1)*(DATOS_[C.Extra.04])))))))),
0)</f>
        <v>0</v>
      </c>
      <c r="AT35" s="114">
        <f t="array" ref="AT35">IFERROR(
(MEDIAN((IF(DATOS_[[Sexo]:[Sexo]]=$B35,IF(DATOS_[[AGRUP. VALOR. PTO.]:[AGRUP. VALOR. PTO.]]=$B33,IF(DATOS_[[Check Periodo Ref.]:[Check Periodo Ref.]]="Dentro",IF(DATOS_[[Check Equiparado]:[Check Equiparado]]="Sí",IF(DATOS!BM$5="Sí",(1/DATOS_[[% anualiz]:[% anualiz]]),1)*IF(DATOS!BM$4="Sí",1/DATOS_[[% normaliz]:[% normaliz]],1)*(DATOS_[C.Extra.05])))))))),
0)</f>
        <v>0</v>
      </c>
      <c r="AU35" s="115">
        <f t="array" ref="AU35">IFERROR(
MEDIAN(IF(DATOS_[Sexo]=$B35,IF(DATOS_[[AGRUP. VALOR. PTO.]:[AGRUP. VALOR. PTO.]]=$B33,IF(DATOS_[Check Equiparado]="Sí",IF(DATOS_[Check Periodo Ref.]="Dentro",DATOS_[Tot Extrasalarial Eq],FALSE))))),
0)</f>
        <v>0</v>
      </c>
      <c r="AV35" s="116">
        <f t="array" ref="AV35">IFERROR(
MEDIAN(IF(DATOS_[Sexo]=$B35,IF(DATOS_[[AGRUP. VALOR. PTO.]:[AGRUP. VALOR. PTO.]]=$B33,IF(DATOS_[Check Equiparado]="Sí",IF(DATOS_[Check Periodo Ref.]="Dentro",DATOS_[TOTAL Retrib Eq],FALSE))))),
0)</f>
        <v>0</v>
      </c>
    </row>
    <row r="36" spans="1:48" ht="17.25" hidden="1" thickBot="1" x14ac:dyDescent="0.35">
      <c r="A36" s="42" t="str">
        <f t="shared" ref="A36" si="31">+A37</f>
        <v>[ocultar]</v>
      </c>
      <c r="B36" s="90" t="s">
        <v>302</v>
      </c>
      <c r="C36" s="109"/>
      <c r="D36" s="41"/>
      <c r="E36" s="41"/>
      <c r="F36" s="41"/>
      <c r="G36" s="41"/>
      <c r="H36" s="41"/>
      <c r="I36" s="119" t="str">
        <f t="shared" ref="I36:AV36" si="32">IFERROR((I37-I38)/I37,"")</f>
        <v/>
      </c>
      <c r="J36" s="123" t="str">
        <f t="shared" si="32"/>
        <v/>
      </c>
      <c r="K36" s="123" t="str">
        <f t="shared" si="32"/>
        <v/>
      </c>
      <c r="L36" s="123" t="str">
        <f t="shared" si="32"/>
        <v/>
      </c>
      <c r="M36" s="123" t="str">
        <f t="shared" si="32"/>
        <v/>
      </c>
      <c r="N36" s="123" t="str">
        <f t="shared" si="32"/>
        <v/>
      </c>
      <c r="O36" s="123" t="str">
        <f t="shared" si="32"/>
        <v/>
      </c>
      <c r="P36" s="123" t="str">
        <f t="shared" si="32"/>
        <v/>
      </c>
      <c r="Q36" s="123" t="str">
        <f t="shared" si="32"/>
        <v/>
      </c>
      <c r="R36" s="123" t="str">
        <f t="shared" si="32"/>
        <v/>
      </c>
      <c r="S36" s="123" t="str">
        <f t="shared" si="32"/>
        <v/>
      </c>
      <c r="T36" s="123" t="str">
        <f t="shared" si="32"/>
        <v/>
      </c>
      <c r="U36" s="123" t="str">
        <f t="shared" si="32"/>
        <v/>
      </c>
      <c r="V36" s="123" t="str">
        <f t="shared" si="32"/>
        <v/>
      </c>
      <c r="W36" s="123" t="str">
        <f t="shared" si="32"/>
        <v/>
      </c>
      <c r="X36" s="123" t="str">
        <f t="shared" si="32"/>
        <v/>
      </c>
      <c r="Y36" s="123" t="str">
        <f t="shared" si="32"/>
        <v/>
      </c>
      <c r="Z36" s="122" t="str">
        <f t="shared" si="32"/>
        <v/>
      </c>
      <c r="AA36" s="122" t="str">
        <f t="shared" si="32"/>
        <v/>
      </c>
      <c r="AB36" s="122" t="str">
        <f t="shared" si="32"/>
        <v/>
      </c>
      <c r="AC36" s="122" t="str">
        <f t="shared" si="32"/>
        <v/>
      </c>
      <c r="AD36" s="122" t="str">
        <f t="shared" si="32"/>
        <v/>
      </c>
      <c r="AE36" s="122" t="str">
        <f t="shared" si="32"/>
        <v/>
      </c>
      <c r="AF36" s="122" t="str">
        <f t="shared" si="32"/>
        <v/>
      </c>
      <c r="AG36" s="122" t="str">
        <f t="shared" si="32"/>
        <v/>
      </c>
      <c r="AH36" s="122" t="str">
        <f t="shared" si="32"/>
        <v/>
      </c>
      <c r="AI36" s="122" t="str">
        <f t="shared" si="32"/>
        <v/>
      </c>
      <c r="AJ36" s="122" t="str">
        <f t="shared" si="32"/>
        <v/>
      </c>
      <c r="AK36" s="122" t="str">
        <f t="shared" si="32"/>
        <v/>
      </c>
      <c r="AL36" s="122" t="str">
        <f t="shared" si="32"/>
        <v/>
      </c>
      <c r="AM36" s="122" t="str">
        <f t="shared" si="32"/>
        <v/>
      </c>
      <c r="AN36" s="124" t="str">
        <f t="shared" si="32"/>
        <v/>
      </c>
      <c r="AO36" s="128" t="str">
        <f t="shared" si="32"/>
        <v/>
      </c>
      <c r="AP36" s="125" t="str">
        <f t="shared" si="32"/>
        <v/>
      </c>
      <c r="AQ36" s="125" t="str">
        <f t="shared" si="32"/>
        <v/>
      </c>
      <c r="AR36" s="125" t="str">
        <f t="shared" si="32"/>
        <v/>
      </c>
      <c r="AS36" s="125" t="str">
        <f t="shared" si="32"/>
        <v/>
      </c>
      <c r="AT36" s="125" t="str">
        <f t="shared" si="32"/>
        <v/>
      </c>
      <c r="AU36" s="126" t="str">
        <f t="shared" si="32"/>
        <v/>
      </c>
      <c r="AV36" s="127" t="str">
        <f t="shared" si="32"/>
        <v/>
      </c>
    </row>
    <row r="37" spans="1:48" hidden="1" x14ac:dyDescent="0.3">
      <c r="A37" s="42" t="str">
        <f t="shared" ref="A37" si="33">+IF(C37+C38=0,"[ocultar]","")</f>
        <v>[ocultar]</v>
      </c>
      <c r="B37" s="86" t="s">
        <v>162</v>
      </c>
      <c r="C37" s="33">
        <f t="array" ref="C37">SUM(IF($B37=DATOS_[Sexo],
IF($B36=DATOS_[AGRUP. VALOR. PTO.],
IF("Dentro"=DATOS_[Check Periodo Ref.],
1/(COUNTIFS(DATOS_[Sexo],$B37,DATOS_[AGRUP. VALOR. PTO.],$B36,DATOS_[Check Periodo Ref.],"Dentro",DATOS_[id],DATOS_[id]))))))</f>
        <v>0</v>
      </c>
      <c r="D37" s="35">
        <f>COUNTIFS(DATOS_[AGRUP. VALOR. PTO.],$B36,DATOS_[Sexo],$B37,DATOS_[Check Periodo Ref.],"Dentro")</f>
        <v>0</v>
      </c>
      <c r="E37" s="35">
        <f>COUNTIFS(DATOS_[AGRUP. VALOR. PTO.],$B36,DATOS_[Sexo],$B37,DATOS_[Check Periodo Ref.],"Dentro",DATOS_[Check Nº SC Norm],"Sí")</f>
        <v>0</v>
      </c>
      <c r="F37" s="35">
        <f>COUNTIFS(DATOS_[AGRUP. VALOR. PTO.],$B36,DATOS_[Sexo],$B37,DATOS_[Check Periodo Ref.],"Dentro",DATOS_[Check Nº SC Anualiz],"Sí")</f>
        <v>0</v>
      </c>
      <c r="G37" s="35">
        <f>COUNTIFS(DATOS_[AGRUP. VALOR. PTO.],$B36,DATOS_[Sexo],$B37,DATOS_[Check Periodo Ref.],"Dentro",DATOS_[Check Nº SC Norm y Anualiz],"Sí")</f>
        <v>0</v>
      </c>
      <c r="H37" s="35">
        <f>COUNTIFS(DATOS_[AGRUP. VALOR. PTO.],$B36,DATOS_[Sexo],$B37,DATOS_[Check Periodo Ref.],"Dentro",DATOS_[Check Equiparación],"Sí")</f>
        <v>0</v>
      </c>
      <c r="I37" s="110">
        <f t="array" ref="I37">IFERROR(
MEDIAN(IF(DATOS_[Sexo]=$B37,IF(DATOS_[[AGRUP. VALOR. PTO.]:[AGRUP. VALOR. PTO.]]=$B36,IF(DATOS_[Check Equiparado]="Sí",IF(DATOS_[Check Periodo Ref.]="Dentro",DATOS_[SALARIO BASE Eq],FALSE))))),
0)</f>
        <v>0</v>
      </c>
      <c r="J37" s="111">
        <f t="array" ref="J37">IFERROR(
(MEDIAN((IF(DATOS_[[Sexo]:[Sexo]]=$B37,IF(DATOS_[[AGRUP. VALOR. PTO.]:[AGRUP. VALOR. PTO.]]=$B36,IF(DATOS_[[Check Periodo Ref.]:[Check Periodo Ref.]]="Dentro",IF(DATOS_[[Check Equiparado]:[Check Equiparado]]="Sí",IF(DATOS!AE$5="Sí",(1/DATOS_[[% anualiz]:[% anualiz]]),1)*IF(DATOS!AE$4="Sí",1/DATOS_[[% normaliz]:[% normaliz]],1)*(DATOS_[Conc.Sal.01])))))))),
0)</f>
        <v>0</v>
      </c>
      <c r="K37" s="111">
        <f t="array" ref="K37">IFERROR(
(MEDIAN((IF(DATOS_[[Sexo]:[Sexo]]=$B37,IF(DATOS_[[AGRUP. VALOR. PTO.]:[AGRUP. VALOR. PTO.]]=$B36,IF(DATOS_[[Check Periodo Ref.]:[Check Periodo Ref.]]="Dentro",IF(DATOS_[[Check Equiparado]:[Check Equiparado]]="Sí",IF(DATOS!AF$5="Sí",(1/DATOS_[[% anualiz]:[% anualiz]]),1)*IF(DATOS!AF$4="Sí",1/DATOS_[[% normaliz]:[% normaliz]],1)*(DATOS_[Conc.Sal.02])))))))),
0)</f>
        <v>0</v>
      </c>
      <c r="L37" s="111">
        <f t="array" ref="L37">IFERROR(
(MEDIAN((IF(DATOS_[[Sexo]:[Sexo]]=$B37,IF(DATOS_[[AGRUP. VALOR. PTO.]:[AGRUP. VALOR. PTO.]]=$B36,IF(DATOS_[[Check Periodo Ref.]:[Check Periodo Ref.]]="Dentro",IF(DATOS_[[Check Equiparado]:[Check Equiparado]]="Sí",IF(DATOS!AG$5="Sí",(1/DATOS_[[% anualiz]:[% anualiz]]),1)*IF(DATOS!AG$4="Sí",1/DATOS_[[% normaliz]:[% normaliz]],1)*(DATOS_[Conc.Sal.03])))))))),
0)</f>
        <v>0</v>
      </c>
      <c r="M37" s="111">
        <f t="array" ref="M37">IFERROR(
(MEDIAN((IF(DATOS_[[Sexo]:[Sexo]]=$B37,IF(DATOS_[[AGRUP. VALOR. PTO.]:[AGRUP. VALOR. PTO.]]=$B36,IF(DATOS_[[Check Periodo Ref.]:[Check Periodo Ref.]]="Dentro",IF(DATOS_[[Check Equiparado]:[Check Equiparado]]="Sí",IF(DATOS!AH$5="Sí",(1/DATOS_[[% anualiz]:[% anualiz]]),1)*IF(DATOS!AH$4="Sí",1/DATOS_[[% normaliz]:[% normaliz]],1)*(DATOS_[Conc.Sal.04])))))))),
0)</f>
        <v>0</v>
      </c>
      <c r="N37" s="111">
        <f t="array" ref="N37">IFERROR(
(MEDIAN((IF(DATOS_[[Sexo]:[Sexo]]=$B37,IF(DATOS_[[AGRUP. VALOR. PTO.]:[AGRUP. VALOR. PTO.]]=$B36,IF(DATOS_[[Check Periodo Ref.]:[Check Periodo Ref.]]="Dentro",IF(DATOS_[[Check Equiparado]:[Check Equiparado]]="Sí",IF(DATOS!AI$5="Sí",(1/DATOS_[[% anualiz]:[% anualiz]]),1)*IF(DATOS!AI$4="Sí",1/DATOS_[[% normaliz]:[% normaliz]],1)*(DATOS_[Conc.Sal.05])))))))),
0)</f>
        <v>0</v>
      </c>
      <c r="O37" s="111">
        <f t="array" ref="O37">IFERROR(
(MEDIAN((IF(DATOS_[[Sexo]:[Sexo]]=$B37,IF(DATOS_[[AGRUP. VALOR. PTO.]:[AGRUP. VALOR. PTO.]]=$B36,IF(DATOS_[[Check Periodo Ref.]:[Check Periodo Ref.]]="Dentro",IF(DATOS_[[Check Equiparado]:[Check Equiparado]]="Sí",IF(DATOS!AJ$5="Sí",(1/DATOS_[[% anualiz]:[% anualiz]]),1)*IF(DATOS!AJ$4="Sí",1/DATOS_[[% normaliz]:[% normaliz]],1)*(DATOS_[Conc.Sal.06])))))))),
0)</f>
        <v>0</v>
      </c>
      <c r="P37" s="111">
        <f t="array" ref="P37">IFERROR(
(MEDIAN((IF(DATOS_[[Sexo]:[Sexo]]=$B37,IF(DATOS_[[AGRUP. VALOR. PTO.]:[AGRUP. VALOR. PTO.]]=$B36,IF(DATOS_[[Check Periodo Ref.]:[Check Periodo Ref.]]="Dentro",IF(DATOS_[[Check Equiparado]:[Check Equiparado]]="Sí",IF(DATOS!AK$5="Sí",(1/DATOS_[[% anualiz]:[% anualiz]]),1)*IF(DATOS!AK$4="Sí",1/DATOS_[[% normaliz]:[% normaliz]],1)*(DATOS_[Conc.Sal.07])))))))),
0)</f>
        <v>0</v>
      </c>
      <c r="Q37" s="111">
        <f t="array" ref="Q37">IFERROR(
(MEDIAN((IF(DATOS_[[Sexo]:[Sexo]]=$B37,IF(DATOS_[[AGRUP. VALOR. PTO.]:[AGRUP. VALOR. PTO.]]=$B36,IF(DATOS_[[Check Periodo Ref.]:[Check Periodo Ref.]]="Dentro",IF(DATOS_[[Check Equiparado]:[Check Equiparado]]="Sí",IF(DATOS!AL$5="Sí",(1/DATOS_[[% anualiz]:[% anualiz]]),1)*IF(DATOS!AL$4="Sí",1/DATOS_[[% normaliz]:[% normaliz]],1)*(DATOS_[Conc.Sal.08])))))))),
0)</f>
        <v>0</v>
      </c>
      <c r="R37" s="111">
        <f t="array" ref="R37">IFERROR(
(MEDIAN((IF(DATOS_[[Sexo]:[Sexo]]=$B37,IF(DATOS_[[AGRUP. VALOR. PTO.]:[AGRUP. VALOR. PTO.]]=$B36,IF(DATOS_[[Check Periodo Ref.]:[Check Periodo Ref.]]="Dentro",IF(DATOS_[[Check Equiparado]:[Check Equiparado]]="Sí",IF(DATOS!AM$5="Sí",(1/DATOS_[[% anualiz]:[% anualiz]]),1)*IF(DATOS!AM$4="Sí",1/DATOS_[[% normaliz]:[% normaliz]],1)*(DATOS_[Conc.Sal.09])))))))),
0)</f>
        <v>0</v>
      </c>
      <c r="S37" s="111">
        <f t="array" ref="S37">IFERROR(
(MEDIAN((IF(DATOS_[[Sexo]:[Sexo]]=$B37,IF(DATOS_[[AGRUP. VALOR. PTO.]:[AGRUP. VALOR. PTO.]]=$B36,IF(DATOS_[[Check Periodo Ref.]:[Check Periodo Ref.]]="Dentro",IF(DATOS_[[Check Equiparado]:[Check Equiparado]]="Sí",IF(DATOS!AN$5="Sí",(1/DATOS_[[% anualiz]:[% anualiz]]),1)*IF(DATOS!AN$4="Sí",1/DATOS_[[% normaliz]:[% normaliz]],1)*(DATOS_[Conc.Sal.10])))))))),
0)</f>
        <v>0</v>
      </c>
      <c r="T37" s="111">
        <f t="array" ref="T37">IFERROR(
(MEDIAN((IF(DATOS_[[Sexo]:[Sexo]]=$B37,IF(DATOS_[[AGRUP. VALOR. PTO.]:[AGRUP. VALOR. PTO.]]=$B36,IF(DATOS_[[Check Periodo Ref.]:[Check Periodo Ref.]]="Dentro",IF(DATOS_[[Check Equiparado]:[Check Equiparado]]="Sí",IF(DATOS!AO$5="Sí",(1/DATOS_[[% anualiz]:[% anualiz]]),1)*IF(DATOS!AO$4="Sí",1/DATOS_[[% normaliz]:[% normaliz]],1)*(DATOS_[Conc.Sal.11])))))))),
0)</f>
        <v>0</v>
      </c>
      <c r="U37" s="111">
        <f t="array" ref="U37">IFERROR(
(MEDIAN((IF(DATOS_[[Sexo]:[Sexo]]=$B37,IF(DATOS_[[AGRUP. VALOR. PTO.]:[AGRUP. VALOR. PTO.]]=$B36,IF(DATOS_[[Check Periodo Ref.]:[Check Periodo Ref.]]="Dentro",IF(DATOS_[[Check Equiparado]:[Check Equiparado]]="Sí",IF(DATOS!AP$5="Sí",(1/DATOS_[[% anualiz]:[% anualiz]]),1)*IF(DATOS!AP$4="Sí",1/DATOS_[[% normaliz]:[% normaliz]],1)*(DATOS_[Conc.Sal.12])))))))),
0)</f>
        <v>0</v>
      </c>
      <c r="V37" s="111">
        <f t="array" ref="V37">IFERROR(
(MEDIAN((IF(DATOS_[[Sexo]:[Sexo]]=$B37,IF(DATOS_[[AGRUP. VALOR. PTO.]:[AGRUP. VALOR. PTO.]]=$B36,IF(DATOS_[[Check Periodo Ref.]:[Check Periodo Ref.]]="Dentro",IF(DATOS_[[Check Equiparado]:[Check Equiparado]]="Sí",IF(DATOS!AQ$5="Sí",(1/DATOS_[[% anualiz]:[% anualiz]]),1)*IF(DATOS!AQ$4="Sí",1/DATOS_[[% normaliz]:[% normaliz]],1)*(DATOS_[Conc.Sal.13])))))))),
0)</f>
        <v>0</v>
      </c>
      <c r="W37" s="111">
        <f t="array" ref="W37">IFERROR(
(MEDIAN((IF(DATOS_[[Sexo]:[Sexo]]=$B37,IF(DATOS_[[AGRUP. VALOR. PTO.]:[AGRUP. VALOR. PTO.]]=$B36,IF(DATOS_[[Check Periodo Ref.]:[Check Periodo Ref.]]="Dentro",IF(DATOS_[[Check Equiparado]:[Check Equiparado]]="Sí",IF(DATOS!AR$5="Sí",(1/DATOS_[[% anualiz]:[% anualiz]]),1)*IF(DATOS!AR$4="Sí",1/DATOS_[[% normaliz]:[% normaliz]],1)*(DATOS_[Conc.Sal.14])))))))),
0)</f>
        <v>0</v>
      </c>
      <c r="X37" s="111">
        <f t="array" ref="X37">IFERROR(
(MEDIAN((IF(DATOS_[[Sexo]:[Sexo]]=$B37,IF(DATOS_[[AGRUP. VALOR. PTO.]:[AGRUP. VALOR. PTO.]]=$B36,IF(DATOS_[[Check Periodo Ref.]:[Check Periodo Ref.]]="Dentro",IF(DATOS_[[Check Equiparado]:[Check Equiparado]]="Sí",IF(DATOS!AS$5="Sí",(1/DATOS_[[% anualiz]:[% anualiz]]),1)*IF(DATOS!AS$4="Sí",1/DATOS_[[% normaliz]:[% normaliz]],1)*(DATOS_[Conc.Sal.15])))))))),
0)</f>
        <v>0</v>
      </c>
      <c r="Y37" s="111">
        <f t="array" ref="Y37">IFERROR(
(MEDIAN((IF(DATOS_[[Sexo]:[Sexo]]=$B37,IF(DATOS_[[AGRUP. VALOR. PTO.]:[AGRUP. VALOR. PTO.]]=$B36,IF(DATOS_[[Check Periodo Ref.]:[Check Periodo Ref.]]="Dentro",IF(DATOS_[[Check Equiparado]:[Check Equiparado]]="Sí",IF(DATOS!AT$5="Sí",(1/DATOS_[[% anualiz]:[% anualiz]]),1)*IF(DATOS!AT$4="Sí",1/DATOS_[[% normaliz]:[% normaliz]],1)*(DATOS_[Conc.Sal.16])))))))),
0)</f>
        <v>0</v>
      </c>
      <c r="Z37" s="111">
        <f t="array" ref="Z37">IFERROR(
(MEDIAN((IF(DATOS_[[Sexo]:[Sexo]]=$B37,IF(DATOS_[[AGRUP. VALOR. PTO.]:[AGRUP. VALOR. PTO.]]=$B36,IF(DATOS_[[Check Periodo Ref.]:[Check Periodo Ref.]]="Dentro",IF(DATOS_[[Check Equiparado]:[Check Equiparado]]="Sí",IF(DATOS!AU$5="Sí",(1/DATOS_[[% anualiz]:[% anualiz]]),1)*IF(DATOS!AU$4="Sí",1/DATOS_[[% normaliz]:[% normaliz]],1)*(DATOS_[Conc.Sal.17])))))))),
0)</f>
        <v>0</v>
      </c>
      <c r="AA37" s="111">
        <f t="array" ref="AA37">IFERROR(
(MEDIAN((IF(DATOS_[[Sexo]:[Sexo]]=$B37,IF(DATOS_[[AGRUP. VALOR. PTO.]:[AGRUP. VALOR. PTO.]]=$B36,IF(DATOS_[[Check Periodo Ref.]:[Check Periodo Ref.]]="Dentro",IF(DATOS_[[Check Equiparado]:[Check Equiparado]]="Sí",IF(DATOS!AV$5="Sí",(1/DATOS_[[% anualiz]:[% anualiz]]),1)*IF(DATOS!AV$4="Sí",1/DATOS_[[% normaliz]:[% normaliz]],1)*(DATOS_[Conc.Sal.18])))))))),
0)</f>
        <v>0</v>
      </c>
      <c r="AB37" s="111">
        <f t="array" ref="AB37">IFERROR(
(MEDIAN((IF(DATOS_[[Sexo]:[Sexo]]=$B37,IF(DATOS_[[AGRUP. VALOR. PTO.]:[AGRUP. VALOR. PTO.]]=$B36,IF(DATOS_[[Check Periodo Ref.]:[Check Periodo Ref.]]="Dentro",IF(DATOS_[[Check Equiparado]:[Check Equiparado]]="Sí",IF(DATOS!AW$5="Sí",(1/DATOS_[[% anualiz]:[% anualiz]]),1)*IF(DATOS!AW$4="Sí",1/DATOS_[[% normaliz]:[% normaliz]],1)*(DATOS_[Conc.Sal.19])))))))),
0)</f>
        <v>0</v>
      </c>
      <c r="AC37" s="111">
        <f t="array" ref="AC37">IFERROR(
(MEDIAN((IF(DATOS_[[Sexo]:[Sexo]]=$B37,IF(DATOS_[[AGRUP. VALOR. PTO.]:[AGRUP. VALOR. PTO.]]=$B36,IF(DATOS_[[Check Periodo Ref.]:[Check Periodo Ref.]]="Dentro",IF(DATOS_[[Check Equiparado]:[Check Equiparado]]="Sí",IF(DATOS!AX$5="Sí",(1/DATOS_[[% anualiz]:[% anualiz]]),1)*IF(DATOS!AX$4="Sí",1/DATOS_[[% normaliz]:[% normaliz]],1)*(DATOS_[Conc.Sal.20])))))))),
0)</f>
        <v>0</v>
      </c>
      <c r="AD37" s="111">
        <f t="array" ref="AD37">IFERROR(
(MEDIAN((IF(DATOS_[[Sexo]:[Sexo]]=$B37,IF(DATOS_[[AGRUP. VALOR. PTO.]:[AGRUP. VALOR. PTO.]]=$B36,IF(DATOS_[[Check Periodo Ref.]:[Check Periodo Ref.]]="Dentro",IF(DATOS_[[Check Equiparado]:[Check Equiparado]]="Sí",IF(DATOS!AY$5="Sí",(1/DATOS_[[% anualiz]:[% anualiz]]),1)*IF(DATOS!AY$4="Sí",1/DATOS_[[% normaliz]:[% normaliz]],1)*(DATOS_[Conc.Sal.21])))))))),
0)</f>
        <v>0</v>
      </c>
      <c r="AE37" s="111">
        <f t="array" ref="AE37">IFERROR(
(MEDIAN((IF(DATOS_[[Sexo]:[Sexo]]=$B37,IF(DATOS_[[AGRUP. VALOR. PTO.]:[AGRUP. VALOR. PTO.]]=$B36,IF(DATOS_[[Check Periodo Ref.]:[Check Periodo Ref.]]="Dentro",IF(DATOS_[[Check Equiparado]:[Check Equiparado]]="Sí",IF(DATOS!AZ$5="Sí",(1/DATOS_[[% anualiz]:[% anualiz]]),1)*IF(DATOS!AZ$4="Sí",1/DATOS_[[% normaliz]:[% normaliz]],1)*(DATOS_[Conc.Sal.22])))))))),
0)</f>
        <v>0</v>
      </c>
      <c r="AF37" s="111">
        <f t="array" ref="AF37">IFERROR(
(MEDIAN((IF(DATOS_[[Sexo]:[Sexo]]=$B37,IF(DATOS_[[AGRUP. VALOR. PTO.]:[AGRUP. VALOR. PTO.]]=$B36,IF(DATOS_[[Check Periodo Ref.]:[Check Periodo Ref.]]="Dentro",IF(DATOS_[[Check Equiparado]:[Check Equiparado]]="Sí",IF(DATOS!BA$5="Sí",(1/DATOS_[[% anualiz]:[% anualiz]]),1)*IF(DATOS!BA$4="Sí",1/DATOS_[[% normaliz]:[% normaliz]],1)*(DATOS_[Conc.Sal.23])))))))),
0)</f>
        <v>0</v>
      </c>
      <c r="AG37" s="111">
        <f t="array" ref="AG37">IFERROR(
(MEDIAN((IF(DATOS_[[Sexo]:[Sexo]]=$B37,IF(DATOS_[[AGRUP. VALOR. PTO.]:[AGRUP. VALOR. PTO.]]=$B36,IF(DATOS_[[Check Periodo Ref.]:[Check Periodo Ref.]]="Dentro",IF(DATOS_[[Check Equiparado]:[Check Equiparado]]="Sí",IF(DATOS!BB$5="Sí",(1/DATOS_[[% anualiz]:[% anualiz]]),1)*IF(DATOS!BB$4="Sí",1/DATOS_[[% normaliz]:[% normaliz]],1)*(DATOS_[Conc.Sal.24])))))))),
0)</f>
        <v>0</v>
      </c>
      <c r="AH37" s="111">
        <f t="array" ref="AH37">IFERROR(
(MEDIAN((IF(DATOS_[[Sexo]:[Sexo]]=$B37,IF(DATOS_[[AGRUP. VALOR. PTO.]:[AGRUP. VALOR. PTO.]]=$B36,IF(DATOS_[[Check Periodo Ref.]:[Check Periodo Ref.]]="Dentro",IF(DATOS_[[Check Equiparado]:[Check Equiparado]]="Sí",IF(DATOS!BC$5="Sí",(1/DATOS_[[% anualiz]:[% anualiz]]),1)*IF(DATOS!BC$4="Sí",1/DATOS_[[% normaliz]:[% normaliz]],1)*(DATOS_[Conc.Sal.25])))))))),
0)</f>
        <v>0</v>
      </c>
      <c r="AI37" s="111">
        <f t="array" ref="AI37">IFERROR(
(MEDIAN((IF(DATOS_[[Sexo]:[Sexo]]=$B37,IF(DATOS_[[AGRUP. VALOR. PTO.]:[AGRUP. VALOR. PTO.]]=$B36,IF(DATOS_[[Check Periodo Ref.]:[Check Periodo Ref.]]="Dentro",IF(DATOS_[[Check Equiparado]:[Check Equiparado]]="Sí",IF(DATOS!BD$5="Sí",(1/DATOS_[[% anualiz]:[% anualiz]]),1)*IF(DATOS!BD$4="Sí",1/DATOS_[[% normaliz]:[% normaliz]],1)*(DATOS_[Conc.Sal.26])))))))),
0)</f>
        <v>0</v>
      </c>
      <c r="AJ37" s="111">
        <f t="array" ref="AJ37">IFERROR(
(MEDIAN((IF(DATOS_[[Sexo]:[Sexo]]=$B37,IF(DATOS_[[AGRUP. VALOR. PTO.]:[AGRUP. VALOR. PTO.]]=$B36,IF(DATOS_[[Check Periodo Ref.]:[Check Periodo Ref.]]="Dentro",IF(DATOS_[[Check Equiparado]:[Check Equiparado]]="Sí",IF(DATOS!BE$5="Sí",(1/DATOS_[[% anualiz]:[% anualiz]]),1)*IF(DATOS!BE$4="Sí",1/DATOS_[[% normaliz]:[% normaliz]],1)*(DATOS_[Conc.Sal.27])))))))),
0)</f>
        <v>0</v>
      </c>
      <c r="AK37" s="111">
        <f t="array" ref="AK37">IFERROR(
(MEDIAN((IF(DATOS_[[Sexo]:[Sexo]]=$B37,IF(DATOS_[[AGRUP. VALOR. PTO.]:[AGRUP. VALOR. PTO.]]=$B36,IF(DATOS_[[Check Periodo Ref.]:[Check Periodo Ref.]]="Dentro",IF(DATOS_[[Check Equiparado]:[Check Equiparado]]="Sí",IF(DATOS!BF$5="Sí",(1/DATOS_[[% anualiz]:[% anualiz]]),1)*IF(DATOS!BF$4="Sí",1/DATOS_[[% normaliz]:[% normaliz]],1)*(DATOS_[Conc.Sal.28])))))))),
0)</f>
        <v>0</v>
      </c>
      <c r="AL37" s="111">
        <f t="array" ref="AL37">IFERROR(
(MEDIAN((IF(DATOS_[[Sexo]:[Sexo]]=$B37,IF(DATOS_[[AGRUP. VALOR. PTO.]:[AGRUP. VALOR. PTO.]]=$B36,IF(DATOS_[[Check Periodo Ref.]:[Check Periodo Ref.]]="Dentro",IF(DATOS_[[Check Equiparado]:[Check Equiparado]]="Sí",IF(DATOS!BG$5="Sí",(1/DATOS_[[% anualiz]:[% anualiz]]),1)*IF(DATOS!BG$4="Sí",1/DATOS_[[% normaliz]:[% normaliz]],1)*(DATOS_[Conc.Sal.29])))))))),
0)</f>
        <v>0</v>
      </c>
      <c r="AM37" s="111">
        <f t="array" ref="AM37">IFERROR(
(MEDIAN((IF(DATOS_[[Sexo]:[Sexo]]=$B37,IF(DATOS_[[AGRUP. VALOR. PTO.]:[AGRUP. VALOR. PTO.]]=$B36,IF(DATOS_[[Check Periodo Ref.]:[Check Periodo Ref.]]="Dentro",IF(DATOS_[[Check Equiparado]:[Check Equiparado]]="Sí",IF(DATOS!BH$5="Sí",(1/DATOS_[[% anualiz]:[% anualiz]]),1)*IF(DATOS!BH$4="Sí",1/DATOS_[[% normaliz]:[% normaliz]],1)*(DATOS_[Conc.Sal.30])))))))),
0)</f>
        <v>0</v>
      </c>
      <c r="AN37" s="112">
        <f t="array" ref="AN37">IFERROR(
MEDIAN(IF(DATOS_[Sexo]=$B37,IF(DATOS_[[AGRUP. VALOR. PTO.]:[AGRUP. VALOR. PTO.]]=$B36,IF(DATOS_[Check Equiparado]="Sí",IF(DATOS_[Check Periodo Ref.]="Dentro",DATOS_[Tot COMPL.SAL Eq],FALSE))))),
0)</f>
        <v>0</v>
      </c>
      <c r="AO37" s="113">
        <f t="array" ref="AO37">IFERROR(
MEDIAN(IF(DATOS_[Sexo]=$B37,IF(DATOS_[[AGRUP. VALOR. PTO.]:[AGRUP. VALOR. PTO.]]=$B36,IF(DATOS_[Check Equiparado]="Sí",IF(DATOS_[Check Periodo Ref.]="Dentro",DATOS_[TOTAL SALARIO Eq],FALSE))))),
0)</f>
        <v>0</v>
      </c>
      <c r="AP37" s="114">
        <f t="array" ref="AP37">IFERROR(
(MEDIAN((IF(DATOS_[[Sexo]:[Sexo]]=$B37,IF(DATOS_[[AGRUP. VALOR. PTO.]:[AGRUP. VALOR. PTO.]]=$B36,IF(DATOS_[[Check Periodo Ref.]:[Check Periodo Ref.]]="Dentro",IF(DATOS_[[Check Equiparado]:[Check Equiparado]]="Sí",IF(DATOS!BI$5="Sí",(1/DATOS_[[% anualiz]:[% anualiz]]),1)*IF(DATOS!BI$4="Sí",1/DATOS_[[% normaliz]:[% normaliz]],1)*(DATOS_[C.Extra.01])))))))),
0)</f>
        <v>0</v>
      </c>
      <c r="AQ37" s="114">
        <f t="array" ref="AQ37">IFERROR(
(MEDIAN((IF(DATOS_[[Sexo]:[Sexo]]=$B37,IF(DATOS_[[AGRUP. VALOR. PTO.]:[AGRUP. VALOR. PTO.]]=$B36,IF(DATOS_[[Check Periodo Ref.]:[Check Periodo Ref.]]="Dentro",IF(DATOS_[[Check Equiparado]:[Check Equiparado]]="Sí",IF(DATOS!BJ$5="Sí",(1/DATOS_[[% anualiz]:[% anualiz]]),1)*IF(DATOS!BJ$4="Sí",1/DATOS_[[% normaliz]:[% normaliz]],1)*(DATOS_[C.Extra.02])))))))),
0)</f>
        <v>0</v>
      </c>
      <c r="AR37" s="114">
        <f t="array" ref="AR37">IFERROR(
(MEDIAN((IF(DATOS_[[Sexo]:[Sexo]]=$B37,IF(DATOS_[[AGRUP. VALOR. PTO.]:[AGRUP. VALOR. PTO.]]=$B36,IF(DATOS_[[Check Periodo Ref.]:[Check Periodo Ref.]]="Dentro",IF(DATOS_[[Check Equiparado]:[Check Equiparado]]="Sí",IF(DATOS!BK$5="Sí",(1/DATOS_[[% anualiz]:[% anualiz]]),1)*IF(DATOS!BK$4="Sí",1/DATOS_[[% normaliz]:[% normaliz]],1)*(DATOS_[C.Extra.03])))))))),
0)</f>
        <v>0</v>
      </c>
      <c r="AS37" s="114">
        <f t="array" ref="AS37">IFERROR(
(MEDIAN((IF(DATOS_[[Sexo]:[Sexo]]=$B37,IF(DATOS_[[AGRUP. VALOR. PTO.]:[AGRUP. VALOR. PTO.]]=$B36,IF(DATOS_[[Check Periodo Ref.]:[Check Periodo Ref.]]="Dentro",IF(DATOS_[[Check Equiparado]:[Check Equiparado]]="Sí",IF(DATOS!BL$5="Sí",(1/DATOS_[[% anualiz]:[% anualiz]]),1)*IF(DATOS!BL$4="Sí",1/DATOS_[[% normaliz]:[% normaliz]],1)*(DATOS_[C.Extra.04])))))))),
0)</f>
        <v>0</v>
      </c>
      <c r="AT37" s="114">
        <f t="array" ref="AT37">IFERROR(
(MEDIAN((IF(DATOS_[[Sexo]:[Sexo]]=$B37,IF(DATOS_[[AGRUP. VALOR. PTO.]:[AGRUP. VALOR. PTO.]]=$B36,IF(DATOS_[[Check Periodo Ref.]:[Check Periodo Ref.]]="Dentro",IF(DATOS_[[Check Equiparado]:[Check Equiparado]]="Sí",IF(DATOS!BM$5="Sí",(1/DATOS_[[% anualiz]:[% anualiz]]),1)*IF(DATOS!BM$4="Sí",1/DATOS_[[% normaliz]:[% normaliz]],1)*(DATOS_[C.Extra.05])))))))),
0)</f>
        <v>0</v>
      </c>
      <c r="AU37" s="115">
        <f t="array" ref="AU37">IFERROR(
MEDIAN(IF(DATOS_[Sexo]=$B37,IF(DATOS_[[AGRUP. VALOR. PTO.]:[AGRUP. VALOR. PTO.]]=$B36,IF(DATOS_[Check Equiparado]="Sí",IF(DATOS_[Check Periodo Ref.]="Dentro",DATOS_[Tot Extrasalarial Eq],FALSE))))),
0)</f>
        <v>0</v>
      </c>
      <c r="AV37" s="116">
        <f t="array" ref="AV37">IFERROR(
MEDIAN(IF(DATOS_[Sexo]=$B37,IF(DATOS_[[AGRUP. VALOR. PTO.]:[AGRUP. VALOR. PTO.]]=$B36,IF(DATOS_[Check Equiparado]="Sí",IF(DATOS_[Check Periodo Ref.]="Dentro",DATOS_[TOTAL Retrib Eq],FALSE))))),
0)</f>
        <v>0</v>
      </c>
    </row>
    <row r="38" spans="1:48" hidden="1" x14ac:dyDescent="0.3">
      <c r="A38" s="42" t="str">
        <f t="shared" ref="A38" si="34">+A37</f>
        <v>[ocultar]</v>
      </c>
      <c r="B38" s="86" t="s">
        <v>163</v>
      </c>
      <c r="C38" s="33">
        <f t="array" ref="C38">SUM(IF($B38=DATOS_[Sexo],
IF($B36=DATOS_[AGRUP. VALOR. PTO.],
IF("Dentro"=DATOS_[Check Periodo Ref.],
1/(COUNTIFS(DATOS_[Sexo],$B38,DATOS_[AGRUP. VALOR. PTO.],$B36,DATOS_[Check Periodo Ref.],"Dentro",DATOS_[id],DATOS_[id]))))))</f>
        <v>0</v>
      </c>
      <c r="D38" s="35">
        <f>COUNTIFS(DATOS_[AGRUP. VALOR. PTO.],$B36,DATOS_[Sexo],$B38,DATOS_[Check Periodo Ref.],"Dentro")</f>
        <v>0</v>
      </c>
      <c r="E38" s="35">
        <f>COUNTIFS(DATOS_[AGRUP. VALOR. PTO.],$B36,DATOS_[Sexo],$B38,DATOS_[Check Periodo Ref.],"Dentro",DATOS_[Check Nº SC Norm],"Sí")</f>
        <v>0</v>
      </c>
      <c r="F38" s="35">
        <f>COUNTIFS(DATOS_[AGRUP. VALOR. PTO.],$B36,DATOS_[Sexo],$B38,DATOS_[Check Periodo Ref.],"Dentro",DATOS_[Check Nº SC Anualiz],"Sí")</f>
        <v>0</v>
      </c>
      <c r="G38" s="35">
        <f>COUNTIFS(DATOS_[AGRUP. VALOR. PTO.],$B36,DATOS_[Sexo],$B38,DATOS_[Check Periodo Ref.],"Dentro",DATOS_[Check Nº SC Norm y Anualiz],"Sí")</f>
        <v>0</v>
      </c>
      <c r="H38" s="35">
        <f>COUNTIFS(DATOS_[AGRUP. VALOR. PTO.],$B36,DATOS_[Sexo],$B38,DATOS_[Check Periodo Ref.],"Dentro",DATOS_[Check Equiparación],"Sí")</f>
        <v>0</v>
      </c>
      <c r="I38" s="110" cm="1">
        <f t="array" ref="I38">IFERROR(
MEDIAN(IF(DATOS_[Sexo]=$B38,IF(DATOS_[[AGRUP. VALOR. PTO.]:[AGRUP. VALOR. PTO.]]=$B36,IF(DATOS_[Check Equiparado]="Sí",IF(DATOS_[Check Periodo Ref.]="Dentro",DATOS_[SALARIO BASE Eq],FALSE))))),
0)</f>
        <v>0</v>
      </c>
      <c r="J38" s="111">
        <f t="array" ref="J38">IFERROR(
(MEDIAN((IF(DATOS_[[Sexo]:[Sexo]]=$B38,IF(DATOS_[[AGRUP. VALOR. PTO.]:[AGRUP. VALOR. PTO.]]=$B36,IF(DATOS_[[Check Periodo Ref.]:[Check Periodo Ref.]]="Dentro",IF(DATOS_[[Check Equiparado]:[Check Equiparado]]="Sí",IF(DATOS!AE$5="Sí",(1/DATOS_[[% anualiz]:[% anualiz]]),1)*IF(DATOS!AE$4="Sí",1/DATOS_[[% normaliz]:[% normaliz]],1)*(DATOS_[Conc.Sal.01])))))))),
0)</f>
        <v>0</v>
      </c>
      <c r="K38" s="111">
        <f t="array" ref="K38">IFERROR(
(MEDIAN((IF(DATOS_[[Sexo]:[Sexo]]=$B38,IF(DATOS_[[AGRUP. VALOR. PTO.]:[AGRUP. VALOR. PTO.]]=$B36,IF(DATOS_[[Check Periodo Ref.]:[Check Periodo Ref.]]="Dentro",IF(DATOS_[[Check Equiparado]:[Check Equiparado]]="Sí",IF(DATOS!AF$5="Sí",(1/DATOS_[[% anualiz]:[% anualiz]]),1)*IF(DATOS!AF$4="Sí",1/DATOS_[[% normaliz]:[% normaliz]],1)*(DATOS_[Conc.Sal.02])))))))),
0)</f>
        <v>0</v>
      </c>
      <c r="L38" s="111">
        <f t="array" ref="L38">IFERROR(
(MEDIAN((IF(DATOS_[[Sexo]:[Sexo]]=$B38,IF(DATOS_[[AGRUP. VALOR. PTO.]:[AGRUP. VALOR. PTO.]]=$B36,IF(DATOS_[[Check Periodo Ref.]:[Check Periodo Ref.]]="Dentro",IF(DATOS_[[Check Equiparado]:[Check Equiparado]]="Sí",IF(DATOS!AG$5="Sí",(1/DATOS_[[% anualiz]:[% anualiz]]),1)*IF(DATOS!AG$4="Sí",1/DATOS_[[% normaliz]:[% normaliz]],1)*(DATOS_[Conc.Sal.03])))))))),
0)</f>
        <v>0</v>
      </c>
      <c r="M38" s="111">
        <f t="array" ref="M38">IFERROR(
(MEDIAN((IF(DATOS_[[Sexo]:[Sexo]]=$B38,IF(DATOS_[[AGRUP. VALOR. PTO.]:[AGRUP. VALOR. PTO.]]=$B36,IF(DATOS_[[Check Periodo Ref.]:[Check Periodo Ref.]]="Dentro",IF(DATOS_[[Check Equiparado]:[Check Equiparado]]="Sí",IF(DATOS!AH$5="Sí",(1/DATOS_[[% anualiz]:[% anualiz]]),1)*IF(DATOS!AH$4="Sí",1/DATOS_[[% normaliz]:[% normaliz]],1)*(DATOS_[Conc.Sal.04])))))))),
0)</f>
        <v>0</v>
      </c>
      <c r="N38" s="111">
        <f t="array" ref="N38">IFERROR(
(MEDIAN((IF(DATOS_[[Sexo]:[Sexo]]=$B38,IF(DATOS_[[AGRUP. VALOR. PTO.]:[AGRUP. VALOR. PTO.]]=$B36,IF(DATOS_[[Check Periodo Ref.]:[Check Periodo Ref.]]="Dentro",IF(DATOS_[[Check Equiparado]:[Check Equiparado]]="Sí",IF(DATOS!AI$5="Sí",(1/DATOS_[[% anualiz]:[% anualiz]]),1)*IF(DATOS!AI$4="Sí",1/DATOS_[[% normaliz]:[% normaliz]],1)*(DATOS_[Conc.Sal.05])))))))),
0)</f>
        <v>0</v>
      </c>
      <c r="O38" s="111">
        <f t="array" ref="O38">IFERROR(
(MEDIAN((IF(DATOS_[[Sexo]:[Sexo]]=$B38,IF(DATOS_[[AGRUP. VALOR. PTO.]:[AGRUP. VALOR. PTO.]]=$B36,IF(DATOS_[[Check Periodo Ref.]:[Check Periodo Ref.]]="Dentro",IF(DATOS_[[Check Equiparado]:[Check Equiparado]]="Sí",IF(DATOS!AJ$5="Sí",(1/DATOS_[[% anualiz]:[% anualiz]]),1)*IF(DATOS!AJ$4="Sí",1/DATOS_[[% normaliz]:[% normaliz]],1)*(DATOS_[Conc.Sal.06])))))))),
0)</f>
        <v>0</v>
      </c>
      <c r="P38" s="111">
        <f t="array" ref="P38">IFERROR(
(MEDIAN((IF(DATOS_[[Sexo]:[Sexo]]=$B38,IF(DATOS_[[AGRUP. VALOR. PTO.]:[AGRUP. VALOR. PTO.]]=$B36,IF(DATOS_[[Check Periodo Ref.]:[Check Periodo Ref.]]="Dentro",IF(DATOS_[[Check Equiparado]:[Check Equiparado]]="Sí",IF(DATOS!AK$5="Sí",(1/DATOS_[[% anualiz]:[% anualiz]]),1)*IF(DATOS!AK$4="Sí",1/DATOS_[[% normaliz]:[% normaliz]],1)*(DATOS_[Conc.Sal.07])))))))),
0)</f>
        <v>0</v>
      </c>
      <c r="Q38" s="111">
        <f t="array" ref="Q38">IFERROR(
(MEDIAN((IF(DATOS_[[Sexo]:[Sexo]]=$B38,IF(DATOS_[[AGRUP. VALOR. PTO.]:[AGRUP. VALOR. PTO.]]=$B36,IF(DATOS_[[Check Periodo Ref.]:[Check Periodo Ref.]]="Dentro",IF(DATOS_[[Check Equiparado]:[Check Equiparado]]="Sí",IF(DATOS!AL$5="Sí",(1/DATOS_[[% anualiz]:[% anualiz]]),1)*IF(DATOS!AL$4="Sí",1/DATOS_[[% normaliz]:[% normaliz]],1)*(DATOS_[Conc.Sal.08])))))))),
0)</f>
        <v>0</v>
      </c>
      <c r="R38" s="111">
        <f t="array" ref="R38">IFERROR(
(MEDIAN((IF(DATOS_[[Sexo]:[Sexo]]=$B38,IF(DATOS_[[AGRUP. VALOR. PTO.]:[AGRUP. VALOR. PTO.]]=$B36,IF(DATOS_[[Check Periodo Ref.]:[Check Periodo Ref.]]="Dentro",IF(DATOS_[[Check Equiparado]:[Check Equiparado]]="Sí",IF(DATOS!AM$5="Sí",(1/DATOS_[[% anualiz]:[% anualiz]]),1)*IF(DATOS!AM$4="Sí",1/DATOS_[[% normaliz]:[% normaliz]],1)*(DATOS_[Conc.Sal.09])))))))),
0)</f>
        <v>0</v>
      </c>
      <c r="S38" s="111">
        <f t="array" ref="S38">IFERROR(
(MEDIAN((IF(DATOS_[[Sexo]:[Sexo]]=$B38,IF(DATOS_[[AGRUP. VALOR. PTO.]:[AGRUP. VALOR. PTO.]]=$B36,IF(DATOS_[[Check Periodo Ref.]:[Check Periodo Ref.]]="Dentro",IF(DATOS_[[Check Equiparado]:[Check Equiparado]]="Sí",IF(DATOS!AN$5="Sí",(1/DATOS_[[% anualiz]:[% anualiz]]),1)*IF(DATOS!AN$4="Sí",1/DATOS_[[% normaliz]:[% normaliz]],1)*(DATOS_[Conc.Sal.10])))))))),
0)</f>
        <v>0</v>
      </c>
      <c r="T38" s="111">
        <f t="array" ref="T38">IFERROR(
(MEDIAN((IF(DATOS_[[Sexo]:[Sexo]]=$B38,IF(DATOS_[[AGRUP. VALOR. PTO.]:[AGRUP. VALOR. PTO.]]=$B36,IF(DATOS_[[Check Periodo Ref.]:[Check Periodo Ref.]]="Dentro",IF(DATOS_[[Check Equiparado]:[Check Equiparado]]="Sí",IF(DATOS!AO$5="Sí",(1/DATOS_[[% anualiz]:[% anualiz]]),1)*IF(DATOS!AO$4="Sí",1/DATOS_[[% normaliz]:[% normaliz]],1)*(DATOS_[Conc.Sal.11])))))))),
0)</f>
        <v>0</v>
      </c>
      <c r="U38" s="111">
        <f t="array" ref="U38">IFERROR(
(MEDIAN((IF(DATOS_[[Sexo]:[Sexo]]=$B38,IF(DATOS_[[AGRUP. VALOR. PTO.]:[AGRUP. VALOR. PTO.]]=$B36,IF(DATOS_[[Check Periodo Ref.]:[Check Periodo Ref.]]="Dentro",IF(DATOS_[[Check Equiparado]:[Check Equiparado]]="Sí",IF(DATOS!AP$5="Sí",(1/DATOS_[[% anualiz]:[% anualiz]]),1)*IF(DATOS!AP$4="Sí",1/DATOS_[[% normaliz]:[% normaliz]],1)*(DATOS_[Conc.Sal.12])))))))),
0)</f>
        <v>0</v>
      </c>
      <c r="V38" s="111">
        <f t="array" ref="V38">IFERROR(
(MEDIAN((IF(DATOS_[[Sexo]:[Sexo]]=$B38,IF(DATOS_[[AGRUP. VALOR. PTO.]:[AGRUP. VALOR. PTO.]]=$B36,IF(DATOS_[[Check Periodo Ref.]:[Check Periodo Ref.]]="Dentro",IF(DATOS_[[Check Equiparado]:[Check Equiparado]]="Sí",IF(DATOS!AQ$5="Sí",(1/DATOS_[[% anualiz]:[% anualiz]]),1)*IF(DATOS!AQ$4="Sí",1/DATOS_[[% normaliz]:[% normaliz]],1)*(DATOS_[Conc.Sal.13])))))))),
0)</f>
        <v>0</v>
      </c>
      <c r="W38" s="111">
        <f t="array" ref="W38">IFERROR(
(MEDIAN((IF(DATOS_[[Sexo]:[Sexo]]=$B38,IF(DATOS_[[AGRUP. VALOR. PTO.]:[AGRUP. VALOR. PTO.]]=$B36,IF(DATOS_[[Check Periodo Ref.]:[Check Periodo Ref.]]="Dentro",IF(DATOS_[[Check Equiparado]:[Check Equiparado]]="Sí",IF(DATOS!AR$5="Sí",(1/DATOS_[[% anualiz]:[% anualiz]]),1)*IF(DATOS!AR$4="Sí",1/DATOS_[[% normaliz]:[% normaliz]],1)*(DATOS_[Conc.Sal.14])))))))),
0)</f>
        <v>0</v>
      </c>
      <c r="X38" s="111">
        <f t="array" ref="X38">IFERROR(
(MEDIAN((IF(DATOS_[[Sexo]:[Sexo]]=$B38,IF(DATOS_[[AGRUP. VALOR. PTO.]:[AGRUP. VALOR. PTO.]]=$B36,IF(DATOS_[[Check Periodo Ref.]:[Check Periodo Ref.]]="Dentro",IF(DATOS_[[Check Equiparado]:[Check Equiparado]]="Sí",IF(DATOS!AS$5="Sí",(1/DATOS_[[% anualiz]:[% anualiz]]),1)*IF(DATOS!AS$4="Sí",1/DATOS_[[% normaliz]:[% normaliz]],1)*(DATOS_[Conc.Sal.15])))))))),
0)</f>
        <v>0</v>
      </c>
      <c r="Y38" s="111">
        <f t="array" ref="Y38">IFERROR(
(MEDIAN((IF(DATOS_[[Sexo]:[Sexo]]=$B38,IF(DATOS_[[AGRUP. VALOR. PTO.]:[AGRUP. VALOR. PTO.]]=$B36,IF(DATOS_[[Check Periodo Ref.]:[Check Periodo Ref.]]="Dentro",IF(DATOS_[[Check Equiparado]:[Check Equiparado]]="Sí",IF(DATOS!AT$5="Sí",(1/DATOS_[[% anualiz]:[% anualiz]]),1)*IF(DATOS!AT$4="Sí",1/DATOS_[[% normaliz]:[% normaliz]],1)*(DATOS_[Conc.Sal.16])))))))),
0)</f>
        <v>0</v>
      </c>
      <c r="Z38" s="111">
        <f t="array" ref="Z38">IFERROR(
(MEDIAN((IF(DATOS_[[Sexo]:[Sexo]]=$B38,IF(DATOS_[[AGRUP. VALOR. PTO.]:[AGRUP. VALOR. PTO.]]=$B36,IF(DATOS_[[Check Periodo Ref.]:[Check Periodo Ref.]]="Dentro",IF(DATOS_[[Check Equiparado]:[Check Equiparado]]="Sí",IF(DATOS!AU$5="Sí",(1/DATOS_[[% anualiz]:[% anualiz]]),1)*IF(DATOS!AU$4="Sí",1/DATOS_[[% normaliz]:[% normaliz]],1)*(DATOS_[Conc.Sal.17])))))))),
0)</f>
        <v>0</v>
      </c>
      <c r="AA38" s="111">
        <f t="array" ref="AA38">IFERROR(
(MEDIAN((IF(DATOS_[[Sexo]:[Sexo]]=$B38,IF(DATOS_[[AGRUP. VALOR. PTO.]:[AGRUP. VALOR. PTO.]]=$B36,IF(DATOS_[[Check Periodo Ref.]:[Check Periodo Ref.]]="Dentro",IF(DATOS_[[Check Equiparado]:[Check Equiparado]]="Sí",IF(DATOS!AV$5="Sí",(1/DATOS_[[% anualiz]:[% anualiz]]),1)*IF(DATOS!AV$4="Sí",1/DATOS_[[% normaliz]:[% normaliz]],1)*(DATOS_[Conc.Sal.18])))))))),
0)</f>
        <v>0</v>
      </c>
      <c r="AB38" s="111">
        <f t="array" ref="AB38">IFERROR(
(MEDIAN((IF(DATOS_[[Sexo]:[Sexo]]=$B38,IF(DATOS_[[AGRUP. VALOR. PTO.]:[AGRUP. VALOR. PTO.]]=$B36,IF(DATOS_[[Check Periodo Ref.]:[Check Periodo Ref.]]="Dentro",IF(DATOS_[[Check Equiparado]:[Check Equiparado]]="Sí",IF(DATOS!AW$5="Sí",(1/DATOS_[[% anualiz]:[% anualiz]]),1)*IF(DATOS!AW$4="Sí",1/DATOS_[[% normaliz]:[% normaliz]],1)*(DATOS_[Conc.Sal.19])))))))),
0)</f>
        <v>0</v>
      </c>
      <c r="AC38" s="111">
        <f t="array" ref="AC38">IFERROR(
(MEDIAN((IF(DATOS_[[Sexo]:[Sexo]]=$B38,IF(DATOS_[[AGRUP. VALOR. PTO.]:[AGRUP. VALOR. PTO.]]=$B36,IF(DATOS_[[Check Periodo Ref.]:[Check Periodo Ref.]]="Dentro",IF(DATOS_[[Check Equiparado]:[Check Equiparado]]="Sí",IF(DATOS!AX$5="Sí",(1/DATOS_[[% anualiz]:[% anualiz]]),1)*IF(DATOS!AX$4="Sí",1/DATOS_[[% normaliz]:[% normaliz]],1)*(DATOS_[Conc.Sal.20])))))))),
0)</f>
        <v>0</v>
      </c>
      <c r="AD38" s="111">
        <f t="array" ref="AD38">IFERROR(
(MEDIAN((IF(DATOS_[[Sexo]:[Sexo]]=$B38,IF(DATOS_[[AGRUP. VALOR. PTO.]:[AGRUP. VALOR. PTO.]]=$B36,IF(DATOS_[[Check Periodo Ref.]:[Check Periodo Ref.]]="Dentro",IF(DATOS_[[Check Equiparado]:[Check Equiparado]]="Sí",IF(DATOS!AY$5="Sí",(1/DATOS_[[% anualiz]:[% anualiz]]),1)*IF(DATOS!AY$4="Sí",1/DATOS_[[% normaliz]:[% normaliz]],1)*(DATOS_[Conc.Sal.21])))))))),
0)</f>
        <v>0</v>
      </c>
      <c r="AE38" s="111">
        <f t="array" ref="AE38">IFERROR(
(MEDIAN((IF(DATOS_[[Sexo]:[Sexo]]=$B38,IF(DATOS_[[AGRUP. VALOR. PTO.]:[AGRUP. VALOR. PTO.]]=$B36,IF(DATOS_[[Check Periodo Ref.]:[Check Periodo Ref.]]="Dentro",IF(DATOS_[[Check Equiparado]:[Check Equiparado]]="Sí",IF(DATOS!AZ$5="Sí",(1/DATOS_[[% anualiz]:[% anualiz]]),1)*IF(DATOS!AZ$4="Sí",1/DATOS_[[% normaliz]:[% normaliz]],1)*(DATOS_[Conc.Sal.22])))))))),
0)</f>
        <v>0</v>
      </c>
      <c r="AF38" s="111">
        <f t="array" ref="AF38">IFERROR(
(MEDIAN((IF(DATOS_[[Sexo]:[Sexo]]=$B38,IF(DATOS_[[AGRUP. VALOR. PTO.]:[AGRUP. VALOR. PTO.]]=$B36,IF(DATOS_[[Check Periodo Ref.]:[Check Periodo Ref.]]="Dentro",IF(DATOS_[[Check Equiparado]:[Check Equiparado]]="Sí",IF(DATOS!BA$5="Sí",(1/DATOS_[[% anualiz]:[% anualiz]]),1)*IF(DATOS!BA$4="Sí",1/DATOS_[[% normaliz]:[% normaliz]],1)*(DATOS_[Conc.Sal.23])))))))),
0)</f>
        <v>0</v>
      </c>
      <c r="AG38" s="111">
        <f t="array" ref="AG38">IFERROR(
(MEDIAN((IF(DATOS_[[Sexo]:[Sexo]]=$B38,IF(DATOS_[[AGRUP. VALOR. PTO.]:[AGRUP. VALOR. PTO.]]=$B36,IF(DATOS_[[Check Periodo Ref.]:[Check Periodo Ref.]]="Dentro",IF(DATOS_[[Check Equiparado]:[Check Equiparado]]="Sí",IF(DATOS!BB$5="Sí",(1/DATOS_[[% anualiz]:[% anualiz]]),1)*IF(DATOS!BB$4="Sí",1/DATOS_[[% normaliz]:[% normaliz]],1)*(DATOS_[Conc.Sal.24])))))))),
0)</f>
        <v>0</v>
      </c>
      <c r="AH38" s="111">
        <f t="array" ref="AH38">IFERROR(
(MEDIAN((IF(DATOS_[[Sexo]:[Sexo]]=$B38,IF(DATOS_[[AGRUP. VALOR. PTO.]:[AGRUP. VALOR. PTO.]]=$B36,IF(DATOS_[[Check Periodo Ref.]:[Check Periodo Ref.]]="Dentro",IF(DATOS_[[Check Equiparado]:[Check Equiparado]]="Sí",IF(DATOS!BC$5="Sí",(1/DATOS_[[% anualiz]:[% anualiz]]),1)*IF(DATOS!BC$4="Sí",1/DATOS_[[% normaliz]:[% normaliz]],1)*(DATOS_[Conc.Sal.25])))))))),
0)</f>
        <v>0</v>
      </c>
      <c r="AI38" s="111">
        <f t="array" ref="AI38">IFERROR(
(MEDIAN((IF(DATOS_[[Sexo]:[Sexo]]=$B38,IF(DATOS_[[AGRUP. VALOR. PTO.]:[AGRUP. VALOR. PTO.]]=$B36,IF(DATOS_[[Check Periodo Ref.]:[Check Periodo Ref.]]="Dentro",IF(DATOS_[[Check Equiparado]:[Check Equiparado]]="Sí",IF(DATOS!BD$5="Sí",(1/DATOS_[[% anualiz]:[% anualiz]]),1)*IF(DATOS!BD$4="Sí",1/DATOS_[[% normaliz]:[% normaliz]],1)*(DATOS_[Conc.Sal.26])))))))),
0)</f>
        <v>0</v>
      </c>
      <c r="AJ38" s="111">
        <f t="array" ref="AJ38">IFERROR(
(MEDIAN((IF(DATOS_[[Sexo]:[Sexo]]=$B38,IF(DATOS_[[AGRUP. VALOR. PTO.]:[AGRUP. VALOR. PTO.]]=$B36,IF(DATOS_[[Check Periodo Ref.]:[Check Periodo Ref.]]="Dentro",IF(DATOS_[[Check Equiparado]:[Check Equiparado]]="Sí",IF(DATOS!BE$5="Sí",(1/DATOS_[[% anualiz]:[% anualiz]]),1)*IF(DATOS!BE$4="Sí",1/DATOS_[[% normaliz]:[% normaliz]],1)*(DATOS_[Conc.Sal.27])))))))),
0)</f>
        <v>0</v>
      </c>
      <c r="AK38" s="111">
        <f t="array" ref="AK38">IFERROR(
(MEDIAN((IF(DATOS_[[Sexo]:[Sexo]]=$B38,IF(DATOS_[[AGRUP. VALOR. PTO.]:[AGRUP. VALOR. PTO.]]=$B36,IF(DATOS_[[Check Periodo Ref.]:[Check Periodo Ref.]]="Dentro",IF(DATOS_[[Check Equiparado]:[Check Equiparado]]="Sí",IF(DATOS!BF$5="Sí",(1/DATOS_[[% anualiz]:[% anualiz]]),1)*IF(DATOS!BF$4="Sí",1/DATOS_[[% normaliz]:[% normaliz]],1)*(DATOS_[Conc.Sal.28])))))))),
0)</f>
        <v>0</v>
      </c>
      <c r="AL38" s="111">
        <f t="array" ref="AL38">IFERROR(
(MEDIAN((IF(DATOS_[[Sexo]:[Sexo]]=$B38,IF(DATOS_[[AGRUP. VALOR. PTO.]:[AGRUP. VALOR. PTO.]]=$B36,IF(DATOS_[[Check Periodo Ref.]:[Check Periodo Ref.]]="Dentro",IF(DATOS_[[Check Equiparado]:[Check Equiparado]]="Sí",IF(DATOS!BG$5="Sí",(1/DATOS_[[% anualiz]:[% anualiz]]),1)*IF(DATOS!BG$4="Sí",1/DATOS_[[% normaliz]:[% normaliz]],1)*(DATOS_[Conc.Sal.29])))))))),
0)</f>
        <v>0</v>
      </c>
      <c r="AM38" s="111">
        <f t="array" ref="AM38">IFERROR(
(MEDIAN((IF(DATOS_[[Sexo]:[Sexo]]=$B38,IF(DATOS_[[AGRUP. VALOR. PTO.]:[AGRUP. VALOR. PTO.]]=$B36,IF(DATOS_[[Check Periodo Ref.]:[Check Periodo Ref.]]="Dentro",IF(DATOS_[[Check Equiparado]:[Check Equiparado]]="Sí",IF(DATOS!BH$5="Sí",(1/DATOS_[[% anualiz]:[% anualiz]]),1)*IF(DATOS!BH$4="Sí",1/DATOS_[[% normaliz]:[% normaliz]],1)*(DATOS_[Conc.Sal.30])))))))),
0)</f>
        <v>0</v>
      </c>
      <c r="AN38" s="112">
        <f t="array" ref="AN38">IFERROR(
MEDIAN(IF(DATOS_[Sexo]=$B38,IF(DATOS_[[AGRUP. VALOR. PTO.]:[AGRUP. VALOR. PTO.]]=$B36,IF(DATOS_[Check Equiparado]="Sí",IF(DATOS_[Check Periodo Ref.]="Dentro",DATOS_[Tot COMPL.SAL Eq],FALSE))))),
0)</f>
        <v>0</v>
      </c>
      <c r="AO38" s="113">
        <f t="array" ref="AO38">IFERROR(
MEDIAN(IF(DATOS_[Sexo]=$B38,IF(DATOS_[[AGRUP. VALOR. PTO.]:[AGRUP. VALOR. PTO.]]=$B36,IF(DATOS_[Check Equiparado]="Sí",IF(DATOS_[Check Periodo Ref.]="Dentro",DATOS_[TOTAL SALARIO Eq],FALSE))))),
0)</f>
        <v>0</v>
      </c>
      <c r="AP38" s="114">
        <f t="array" ref="AP38">IFERROR(
(MEDIAN((IF(DATOS_[[Sexo]:[Sexo]]=$B38,IF(DATOS_[[AGRUP. VALOR. PTO.]:[AGRUP. VALOR. PTO.]]=$B36,IF(DATOS_[[Check Periodo Ref.]:[Check Periodo Ref.]]="Dentro",IF(DATOS_[[Check Equiparado]:[Check Equiparado]]="Sí",IF(DATOS!BI$5="Sí",(1/DATOS_[[% anualiz]:[% anualiz]]),1)*IF(DATOS!BI$4="Sí",1/DATOS_[[% normaliz]:[% normaliz]],1)*(DATOS_[C.Extra.01])))))))),
0)</f>
        <v>0</v>
      </c>
      <c r="AQ38" s="114">
        <f t="array" ref="AQ38">IFERROR(
(MEDIAN((IF(DATOS_[[Sexo]:[Sexo]]=$B38,IF(DATOS_[[AGRUP. VALOR. PTO.]:[AGRUP. VALOR. PTO.]]=$B36,IF(DATOS_[[Check Periodo Ref.]:[Check Periodo Ref.]]="Dentro",IF(DATOS_[[Check Equiparado]:[Check Equiparado]]="Sí",IF(DATOS!BJ$5="Sí",(1/DATOS_[[% anualiz]:[% anualiz]]),1)*IF(DATOS!BJ$4="Sí",1/DATOS_[[% normaliz]:[% normaliz]],1)*(DATOS_[C.Extra.02])))))))),
0)</f>
        <v>0</v>
      </c>
      <c r="AR38" s="114">
        <f t="array" ref="AR38">IFERROR(
(MEDIAN((IF(DATOS_[[Sexo]:[Sexo]]=$B38,IF(DATOS_[[AGRUP. VALOR. PTO.]:[AGRUP. VALOR. PTO.]]=$B36,IF(DATOS_[[Check Periodo Ref.]:[Check Periodo Ref.]]="Dentro",IF(DATOS_[[Check Equiparado]:[Check Equiparado]]="Sí",IF(DATOS!BK$5="Sí",(1/DATOS_[[% anualiz]:[% anualiz]]),1)*IF(DATOS!BK$4="Sí",1/DATOS_[[% normaliz]:[% normaliz]],1)*(DATOS_[C.Extra.03])))))))),
0)</f>
        <v>0</v>
      </c>
      <c r="AS38" s="114">
        <f t="array" ref="AS38">IFERROR(
(MEDIAN((IF(DATOS_[[Sexo]:[Sexo]]=$B38,IF(DATOS_[[AGRUP. VALOR. PTO.]:[AGRUP. VALOR. PTO.]]=$B36,IF(DATOS_[[Check Periodo Ref.]:[Check Periodo Ref.]]="Dentro",IF(DATOS_[[Check Equiparado]:[Check Equiparado]]="Sí",IF(DATOS!BL$5="Sí",(1/DATOS_[[% anualiz]:[% anualiz]]),1)*IF(DATOS!BL$4="Sí",1/DATOS_[[% normaliz]:[% normaliz]],1)*(DATOS_[C.Extra.04])))))))),
0)</f>
        <v>0</v>
      </c>
      <c r="AT38" s="114">
        <f t="array" ref="AT38">IFERROR(
(MEDIAN((IF(DATOS_[[Sexo]:[Sexo]]=$B38,IF(DATOS_[[AGRUP. VALOR. PTO.]:[AGRUP. VALOR. PTO.]]=$B36,IF(DATOS_[[Check Periodo Ref.]:[Check Periodo Ref.]]="Dentro",IF(DATOS_[[Check Equiparado]:[Check Equiparado]]="Sí",IF(DATOS!BM$5="Sí",(1/DATOS_[[% anualiz]:[% anualiz]]),1)*IF(DATOS!BM$4="Sí",1/DATOS_[[% normaliz]:[% normaliz]],1)*(DATOS_[C.Extra.05])))))))),
0)</f>
        <v>0</v>
      </c>
      <c r="AU38" s="115">
        <f t="array" ref="AU38">IFERROR(
MEDIAN(IF(DATOS_[Sexo]=$B38,IF(DATOS_[[AGRUP. VALOR. PTO.]:[AGRUP. VALOR. PTO.]]=$B36,IF(DATOS_[Check Equiparado]="Sí",IF(DATOS_[Check Periodo Ref.]="Dentro",DATOS_[Tot Extrasalarial Eq],FALSE))))),
0)</f>
        <v>0</v>
      </c>
      <c r="AV38" s="116">
        <f t="array" ref="AV38">IFERROR(
MEDIAN(IF(DATOS_[Sexo]=$B38,IF(DATOS_[[AGRUP. VALOR. PTO.]:[AGRUP. VALOR. PTO.]]=$B36,IF(DATOS_[Check Equiparado]="Sí",IF(DATOS_[Check Periodo Ref.]="Dentro",DATOS_[TOTAL Retrib Eq],FALSE))))),
0)</f>
        <v>0</v>
      </c>
    </row>
    <row r="39" spans="1:48" ht="17.25" hidden="1" thickBot="1" x14ac:dyDescent="0.35">
      <c r="A39" s="42" t="str">
        <f t="shared" ref="A39" si="35">+A40</f>
        <v>[ocultar]</v>
      </c>
      <c r="B39" s="90" t="s">
        <v>306</v>
      </c>
      <c r="C39" s="109"/>
      <c r="D39" s="41"/>
      <c r="E39" s="41"/>
      <c r="F39" s="41"/>
      <c r="G39" s="41"/>
      <c r="H39" s="41"/>
      <c r="I39" s="119" t="str">
        <f t="shared" ref="I39:AV39" si="36">IFERROR((I40-I41)/I40,"")</f>
        <v/>
      </c>
      <c r="J39" s="123" t="str">
        <f t="shared" si="36"/>
        <v/>
      </c>
      <c r="K39" s="123" t="str">
        <f t="shared" si="36"/>
        <v/>
      </c>
      <c r="L39" s="123" t="str">
        <f t="shared" si="36"/>
        <v/>
      </c>
      <c r="M39" s="123" t="str">
        <f t="shared" si="36"/>
        <v/>
      </c>
      <c r="N39" s="123" t="str">
        <f t="shared" si="36"/>
        <v/>
      </c>
      <c r="O39" s="123" t="str">
        <f t="shared" si="36"/>
        <v/>
      </c>
      <c r="P39" s="123" t="str">
        <f t="shared" si="36"/>
        <v/>
      </c>
      <c r="Q39" s="123" t="str">
        <f t="shared" si="36"/>
        <v/>
      </c>
      <c r="R39" s="123" t="str">
        <f t="shared" si="36"/>
        <v/>
      </c>
      <c r="S39" s="123" t="str">
        <f t="shared" si="36"/>
        <v/>
      </c>
      <c r="T39" s="123" t="str">
        <f t="shared" si="36"/>
        <v/>
      </c>
      <c r="U39" s="123" t="str">
        <f t="shared" si="36"/>
        <v/>
      </c>
      <c r="V39" s="123" t="str">
        <f t="shared" si="36"/>
        <v/>
      </c>
      <c r="W39" s="123" t="str">
        <f t="shared" si="36"/>
        <v/>
      </c>
      <c r="X39" s="123" t="str">
        <f t="shared" si="36"/>
        <v/>
      </c>
      <c r="Y39" s="123" t="str">
        <f t="shared" si="36"/>
        <v/>
      </c>
      <c r="Z39" s="122" t="str">
        <f t="shared" si="36"/>
        <v/>
      </c>
      <c r="AA39" s="122" t="str">
        <f t="shared" si="36"/>
        <v/>
      </c>
      <c r="AB39" s="122" t="str">
        <f t="shared" si="36"/>
        <v/>
      </c>
      <c r="AC39" s="122" t="str">
        <f t="shared" si="36"/>
        <v/>
      </c>
      <c r="AD39" s="122" t="str">
        <f t="shared" si="36"/>
        <v/>
      </c>
      <c r="AE39" s="122" t="str">
        <f t="shared" si="36"/>
        <v/>
      </c>
      <c r="AF39" s="122" t="str">
        <f t="shared" si="36"/>
        <v/>
      </c>
      <c r="AG39" s="122" t="str">
        <f t="shared" si="36"/>
        <v/>
      </c>
      <c r="AH39" s="122" t="str">
        <f t="shared" si="36"/>
        <v/>
      </c>
      <c r="AI39" s="122" t="str">
        <f t="shared" si="36"/>
        <v/>
      </c>
      <c r="AJ39" s="122" t="str">
        <f t="shared" si="36"/>
        <v/>
      </c>
      <c r="AK39" s="122" t="str">
        <f t="shared" si="36"/>
        <v/>
      </c>
      <c r="AL39" s="122" t="str">
        <f t="shared" si="36"/>
        <v/>
      </c>
      <c r="AM39" s="122" t="str">
        <f t="shared" si="36"/>
        <v/>
      </c>
      <c r="AN39" s="124" t="str">
        <f t="shared" si="36"/>
        <v/>
      </c>
      <c r="AO39" s="128" t="str">
        <f t="shared" si="36"/>
        <v/>
      </c>
      <c r="AP39" s="125" t="str">
        <f t="shared" si="36"/>
        <v/>
      </c>
      <c r="AQ39" s="125" t="str">
        <f t="shared" si="36"/>
        <v/>
      </c>
      <c r="AR39" s="125" t="str">
        <f t="shared" si="36"/>
        <v/>
      </c>
      <c r="AS39" s="125" t="str">
        <f t="shared" si="36"/>
        <v/>
      </c>
      <c r="AT39" s="125" t="str">
        <f t="shared" si="36"/>
        <v/>
      </c>
      <c r="AU39" s="126" t="str">
        <f t="shared" si="36"/>
        <v/>
      </c>
      <c r="AV39" s="127" t="str">
        <f t="shared" si="36"/>
        <v/>
      </c>
    </row>
    <row r="40" spans="1:48" hidden="1" x14ac:dyDescent="0.3">
      <c r="A40" s="42" t="str">
        <f t="shared" ref="A40" si="37">+IF(C40+C41=0,"[ocultar]","")</f>
        <v>[ocultar]</v>
      </c>
      <c r="B40" s="86" t="s">
        <v>162</v>
      </c>
      <c r="C40" s="33">
        <f t="array" ref="C40">SUM(IF($B40=DATOS_[Sexo],
IF($B39=DATOS_[AGRUP. VALOR. PTO.],
IF("Dentro"=DATOS_[Check Periodo Ref.],
1/(COUNTIFS(DATOS_[Sexo],$B40,DATOS_[AGRUP. VALOR. PTO.],$B39,DATOS_[Check Periodo Ref.],"Dentro",DATOS_[id],DATOS_[id]))))))</f>
        <v>0</v>
      </c>
      <c r="D40" s="35">
        <f>COUNTIFS(DATOS_[AGRUP. VALOR. PTO.],$B39,DATOS_[Sexo],$B40,DATOS_[Check Periodo Ref.],"Dentro")</f>
        <v>0</v>
      </c>
      <c r="E40" s="35">
        <f>COUNTIFS(DATOS_[AGRUP. VALOR. PTO.],$B39,DATOS_[Sexo],$B40,DATOS_[Check Periodo Ref.],"Dentro",DATOS_[Check Nº SC Norm],"Sí")</f>
        <v>0</v>
      </c>
      <c r="F40" s="35">
        <f>COUNTIFS(DATOS_[AGRUP. VALOR. PTO.],$B39,DATOS_[Sexo],$B40,DATOS_[Check Periodo Ref.],"Dentro",DATOS_[Check Nº SC Anualiz],"Sí")</f>
        <v>0</v>
      </c>
      <c r="G40" s="35">
        <f>COUNTIFS(DATOS_[AGRUP. VALOR. PTO.],$B39,DATOS_[Sexo],$B40,DATOS_[Check Periodo Ref.],"Dentro",DATOS_[Check Nº SC Norm y Anualiz],"Sí")</f>
        <v>0</v>
      </c>
      <c r="H40" s="35">
        <f>COUNTIFS(DATOS_[AGRUP. VALOR. PTO.],$B39,DATOS_[Sexo],$B40,DATOS_[Check Periodo Ref.],"Dentro",DATOS_[Check Equiparación],"Sí")</f>
        <v>0</v>
      </c>
      <c r="I40" s="110">
        <f t="array" ref="I40">IFERROR(
MEDIAN(IF(DATOS_[Sexo]=$B40,IF(DATOS_[[AGRUP. VALOR. PTO.]:[AGRUP. VALOR. PTO.]]=$B39,IF(DATOS_[Check Equiparado]="Sí",IF(DATOS_[Check Periodo Ref.]="Dentro",DATOS_[SALARIO BASE Eq],FALSE))))),
0)</f>
        <v>0</v>
      </c>
      <c r="J40" s="111">
        <f t="array" ref="J40">IFERROR(
(MEDIAN((IF(DATOS_[[Sexo]:[Sexo]]=$B40,IF(DATOS_[[AGRUP. VALOR. PTO.]:[AGRUP. VALOR. PTO.]]=$B39,IF(DATOS_[[Check Periodo Ref.]:[Check Periodo Ref.]]="Dentro",IF(DATOS_[[Check Equiparado]:[Check Equiparado]]="Sí",IF(DATOS!AE$5="Sí",(1/DATOS_[[% anualiz]:[% anualiz]]),1)*IF(DATOS!AE$4="Sí",1/DATOS_[[% normaliz]:[% normaliz]],1)*(DATOS_[Conc.Sal.01])))))))),
0)</f>
        <v>0</v>
      </c>
      <c r="K40" s="111">
        <f t="array" ref="K40">IFERROR(
(MEDIAN((IF(DATOS_[[Sexo]:[Sexo]]=$B40,IF(DATOS_[[AGRUP. VALOR. PTO.]:[AGRUP. VALOR. PTO.]]=$B39,IF(DATOS_[[Check Periodo Ref.]:[Check Periodo Ref.]]="Dentro",IF(DATOS_[[Check Equiparado]:[Check Equiparado]]="Sí",IF(DATOS!AF$5="Sí",(1/DATOS_[[% anualiz]:[% anualiz]]),1)*IF(DATOS!AF$4="Sí",1/DATOS_[[% normaliz]:[% normaliz]],1)*(DATOS_[Conc.Sal.02])))))))),
0)</f>
        <v>0</v>
      </c>
      <c r="L40" s="111">
        <f t="array" ref="L40">IFERROR(
(MEDIAN((IF(DATOS_[[Sexo]:[Sexo]]=$B40,IF(DATOS_[[AGRUP. VALOR. PTO.]:[AGRUP. VALOR. PTO.]]=$B39,IF(DATOS_[[Check Periodo Ref.]:[Check Periodo Ref.]]="Dentro",IF(DATOS_[[Check Equiparado]:[Check Equiparado]]="Sí",IF(DATOS!AG$5="Sí",(1/DATOS_[[% anualiz]:[% anualiz]]),1)*IF(DATOS!AG$4="Sí",1/DATOS_[[% normaliz]:[% normaliz]],1)*(DATOS_[Conc.Sal.03])))))))),
0)</f>
        <v>0</v>
      </c>
      <c r="M40" s="111">
        <f t="array" ref="M40">IFERROR(
(MEDIAN((IF(DATOS_[[Sexo]:[Sexo]]=$B40,IF(DATOS_[[AGRUP. VALOR. PTO.]:[AGRUP. VALOR. PTO.]]=$B39,IF(DATOS_[[Check Periodo Ref.]:[Check Periodo Ref.]]="Dentro",IF(DATOS_[[Check Equiparado]:[Check Equiparado]]="Sí",IF(DATOS!AH$5="Sí",(1/DATOS_[[% anualiz]:[% anualiz]]),1)*IF(DATOS!AH$4="Sí",1/DATOS_[[% normaliz]:[% normaliz]],1)*(DATOS_[Conc.Sal.04])))))))),
0)</f>
        <v>0</v>
      </c>
      <c r="N40" s="111">
        <f t="array" ref="N40">IFERROR(
(MEDIAN((IF(DATOS_[[Sexo]:[Sexo]]=$B40,IF(DATOS_[[AGRUP. VALOR. PTO.]:[AGRUP. VALOR. PTO.]]=$B39,IF(DATOS_[[Check Periodo Ref.]:[Check Periodo Ref.]]="Dentro",IF(DATOS_[[Check Equiparado]:[Check Equiparado]]="Sí",IF(DATOS!AI$5="Sí",(1/DATOS_[[% anualiz]:[% anualiz]]),1)*IF(DATOS!AI$4="Sí",1/DATOS_[[% normaliz]:[% normaliz]],1)*(DATOS_[Conc.Sal.05])))))))),
0)</f>
        <v>0</v>
      </c>
      <c r="O40" s="111">
        <f t="array" ref="O40">IFERROR(
(MEDIAN((IF(DATOS_[[Sexo]:[Sexo]]=$B40,IF(DATOS_[[AGRUP. VALOR. PTO.]:[AGRUP. VALOR. PTO.]]=$B39,IF(DATOS_[[Check Periodo Ref.]:[Check Periodo Ref.]]="Dentro",IF(DATOS_[[Check Equiparado]:[Check Equiparado]]="Sí",IF(DATOS!AJ$5="Sí",(1/DATOS_[[% anualiz]:[% anualiz]]),1)*IF(DATOS!AJ$4="Sí",1/DATOS_[[% normaliz]:[% normaliz]],1)*(DATOS_[Conc.Sal.06])))))))),
0)</f>
        <v>0</v>
      </c>
      <c r="P40" s="111">
        <f t="array" ref="P40">IFERROR(
(MEDIAN((IF(DATOS_[[Sexo]:[Sexo]]=$B40,IF(DATOS_[[AGRUP. VALOR. PTO.]:[AGRUP. VALOR. PTO.]]=$B39,IF(DATOS_[[Check Periodo Ref.]:[Check Periodo Ref.]]="Dentro",IF(DATOS_[[Check Equiparado]:[Check Equiparado]]="Sí",IF(DATOS!AK$5="Sí",(1/DATOS_[[% anualiz]:[% anualiz]]),1)*IF(DATOS!AK$4="Sí",1/DATOS_[[% normaliz]:[% normaliz]],1)*(DATOS_[Conc.Sal.07])))))))),
0)</f>
        <v>0</v>
      </c>
      <c r="Q40" s="111">
        <f t="array" ref="Q40">IFERROR(
(MEDIAN((IF(DATOS_[[Sexo]:[Sexo]]=$B40,IF(DATOS_[[AGRUP. VALOR. PTO.]:[AGRUP. VALOR. PTO.]]=$B39,IF(DATOS_[[Check Periodo Ref.]:[Check Periodo Ref.]]="Dentro",IF(DATOS_[[Check Equiparado]:[Check Equiparado]]="Sí",IF(DATOS!AL$5="Sí",(1/DATOS_[[% anualiz]:[% anualiz]]),1)*IF(DATOS!AL$4="Sí",1/DATOS_[[% normaliz]:[% normaliz]],1)*(DATOS_[Conc.Sal.08])))))))),
0)</f>
        <v>0</v>
      </c>
      <c r="R40" s="111">
        <f t="array" ref="R40">IFERROR(
(MEDIAN((IF(DATOS_[[Sexo]:[Sexo]]=$B40,IF(DATOS_[[AGRUP. VALOR. PTO.]:[AGRUP. VALOR. PTO.]]=$B39,IF(DATOS_[[Check Periodo Ref.]:[Check Periodo Ref.]]="Dentro",IF(DATOS_[[Check Equiparado]:[Check Equiparado]]="Sí",IF(DATOS!AM$5="Sí",(1/DATOS_[[% anualiz]:[% anualiz]]),1)*IF(DATOS!AM$4="Sí",1/DATOS_[[% normaliz]:[% normaliz]],1)*(DATOS_[Conc.Sal.09])))))))),
0)</f>
        <v>0</v>
      </c>
      <c r="S40" s="111">
        <f t="array" ref="S40">IFERROR(
(MEDIAN((IF(DATOS_[[Sexo]:[Sexo]]=$B40,IF(DATOS_[[AGRUP. VALOR. PTO.]:[AGRUP. VALOR. PTO.]]=$B39,IF(DATOS_[[Check Periodo Ref.]:[Check Periodo Ref.]]="Dentro",IF(DATOS_[[Check Equiparado]:[Check Equiparado]]="Sí",IF(DATOS!AN$5="Sí",(1/DATOS_[[% anualiz]:[% anualiz]]),1)*IF(DATOS!AN$4="Sí",1/DATOS_[[% normaliz]:[% normaliz]],1)*(DATOS_[Conc.Sal.10])))))))),
0)</f>
        <v>0</v>
      </c>
      <c r="T40" s="111">
        <f t="array" ref="T40">IFERROR(
(MEDIAN((IF(DATOS_[[Sexo]:[Sexo]]=$B40,IF(DATOS_[[AGRUP. VALOR. PTO.]:[AGRUP. VALOR. PTO.]]=$B39,IF(DATOS_[[Check Periodo Ref.]:[Check Periodo Ref.]]="Dentro",IF(DATOS_[[Check Equiparado]:[Check Equiparado]]="Sí",IF(DATOS!AO$5="Sí",(1/DATOS_[[% anualiz]:[% anualiz]]),1)*IF(DATOS!AO$4="Sí",1/DATOS_[[% normaliz]:[% normaliz]],1)*(DATOS_[Conc.Sal.11])))))))),
0)</f>
        <v>0</v>
      </c>
      <c r="U40" s="111">
        <f t="array" ref="U40">IFERROR(
(MEDIAN((IF(DATOS_[[Sexo]:[Sexo]]=$B40,IF(DATOS_[[AGRUP. VALOR. PTO.]:[AGRUP. VALOR. PTO.]]=$B39,IF(DATOS_[[Check Periodo Ref.]:[Check Periodo Ref.]]="Dentro",IF(DATOS_[[Check Equiparado]:[Check Equiparado]]="Sí",IF(DATOS!AP$5="Sí",(1/DATOS_[[% anualiz]:[% anualiz]]),1)*IF(DATOS!AP$4="Sí",1/DATOS_[[% normaliz]:[% normaliz]],1)*(DATOS_[Conc.Sal.12])))))))),
0)</f>
        <v>0</v>
      </c>
      <c r="V40" s="111">
        <f t="array" ref="V40">IFERROR(
(MEDIAN((IF(DATOS_[[Sexo]:[Sexo]]=$B40,IF(DATOS_[[AGRUP. VALOR. PTO.]:[AGRUP. VALOR. PTO.]]=$B39,IF(DATOS_[[Check Periodo Ref.]:[Check Periodo Ref.]]="Dentro",IF(DATOS_[[Check Equiparado]:[Check Equiparado]]="Sí",IF(DATOS!AQ$5="Sí",(1/DATOS_[[% anualiz]:[% anualiz]]),1)*IF(DATOS!AQ$4="Sí",1/DATOS_[[% normaliz]:[% normaliz]],1)*(DATOS_[Conc.Sal.13])))))))),
0)</f>
        <v>0</v>
      </c>
      <c r="W40" s="111">
        <f t="array" ref="W40">IFERROR(
(MEDIAN((IF(DATOS_[[Sexo]:[Sexo]]=$B40,IF(DATOS_[[AGRUP. VALOR. PTO.]:[AGRUP. VALOR. PTO.]]=$B39,IF(DATOS_[[Check Periodo Ref.]:[Check Periodo Ref.]]="Dentro",IF(DATOS_[[Check Equiparado]:[Check Equiparado]]="Sí",IF(DATOS!AR$5="Sí",(1/DATOS_[[% anualiz]:[% anualiz]]),1)*IF(DATOS!AR$4="Sí",1/DATOS_[[% normaliz]:[% normaliz]],1)*(DATOS_[Conc.Sal.14])))))))),
0)</f>
        <v>0</v>
      </c>
      <c r="X40" s="111">
        <f t="array" ref="X40">IFERROR(
(MEDIAN((IF(DATOS_[[Sexo]:[Sexo]]=$B40,IF(DATOS_[[AGRUP. VALOR. PTO.]:[AGRUP. VALOR. PTO.]]=$B39,IF(DATOS_[[Check Periodo Ref.]:[Check Periodo Ref.]]="Dentro",IF(DATOS_[[Check Equiparado]:[Check Equiparado]]="Sí",IF(DATOS!AS$5="Sí",(1/DATOS_[[% anualiz]:[% anualiz]]),1)*IF(DATOS!AS$4="Sí",1/DATOS_[[% normaliz]:[% normaliz]],1)*(DATOS_[Conc.Sal.15])))))))),
0)</f>
        <v>0</v>
      </c>
      <c r="Y40" s="111">
        <f t="array" ref="Y40">IFERROR(
(MEDIAN((IF(DATOS_[[Sexo]:[Sexo]]=$B40,IF(DATOS_[[AGRUP. VALOR. PTO.]:[AGRUP. VALOR. PTO.]]=$B39,IF(DATOS_[[Check Periodo Ref.]:[Check Periodo Ref.]]="Dentro",IF(DATOS_[[Check Equiparado]:[Check Equiparado]]="Sí",IF(DATOS!AT$5="Sí",(1/DATOS_[[% anualiz]:[% anualiz]]),1)*IF(DATOS!AT$4="Sí",1/DATOS_[[% normaliz]:[% normaliz]],1)*(DATOS_[Conc.Sal.16])))))))),
0)</f>
        <v>0</v>
      </c>
      <c r="Z40" s="111">
        <f t="array" ref="Z40">IFERROR(
(MEDIAN((IF(DATOS_[[Sexo]:[Sexo]]=$B40,IF(DATOS_[[AGRUP. VALOR. PTO.]:[AGRUP. VALOR. PTO.]]=$B39,IF(DATOS_[[Check Periodo Ref.]:[Check Periodo Ref.]]="Dentro",IF(DATOS_[[Check Equiparado]:[Check Equiparado]]="Sí",IF(DATOS!AU$5="Sí",(1/DATOS_[[% anualiz]:[% anualiz]]),1)*IF(DATOS!AU$4="Sí",1/DATOS_[[% normaliz]:[% normaliz]],1)*(DATOS_[Conc.Sal.17])))))))),
0)</f>
        <v>0</v>
      </c>
      <c r="AA40" s="111">
        <f t="array" ref="AA40">IFERROR(
(MEDIAN((IF(DATOS_[[Sexo]:[Sexo]]=$B40,IF(DATOS_[[AGRUP. VALOR. PTO.]:[AGRUP. VALOR. PTO.]]=$B39,IF(DATOS_[[Check Periodo Ref.]:[Check Periodo Ref.]]="Dentro",IF(DATOS_[[Check Equiparado]:[Check Equiparado]]="Sí",IF(DATOS!AV$5="Sí",(1/DATOS_[[% anualiz]:[% anualiz]]),1)*IF(DATOS!AV$4="Sí",1/DATOS_[[% normaliz]:[% normaliz]],1)*(DATOS_[Conc.Sal.18])))))))),
0)</f>
        <v>0</v>
      </c>
      <c r="AB40" s="111">
        <f t="array" ref="AB40">IFERROR(
(MEDIAN((IF(DATOS_[[Sexo]:[Sexo]]=$B40,IF(DATOS_[[AGRUP. VALOR. PTO.]:[AGRUP. VALOR. PTO.]]=$B39,IF(DATOS_[[Check Periodo Ref.]:[Check Periodo Ref.]]="Dentro",IF(DATOS_[[Check Equiparado]:[Check Equiparado]]="Sí",IF(DATOS!AW$5="Sí",(1/DATOS_[[% anualiz]:[% anualiz]]),1)*IF(DATOS!AW$4="Sí",1/DATOS_[[% normaliz]:[% normaliz]],1)*(DATOS_[Conc.Sal.19])))))))),
0)</f>
        <v>0</v>
      </c>
      <c r="AC40" s="111">
        <f t="array" ref="AC40">IFERROR(
(MEDIAN((IF(DATOS_[[Sexo]:[Sexo]]=$B40,IF(DATOS_[[AGRUP. VALOR. PTO.]:[AGRUP. VALOR. PTO.]]=$B39,IF(DATOS_[[Check Periodo Ref.]:[Check Periodo Ref.]]="Dentro",IF(DATOS_[[Check Equiparado]:[Check Equiparado]]="Sí",IF(DATOS!AX$5="Sí",(1/DATOS_[[% anualiz]:[% anualiz]]),1)*IF(DATOS!AX$4="Sí",1/DATOS_[[% normaliz]:[% normaliz]],1)*(DATOS_[Conc.Sal.20])))))))),
0)</f>
        <v>0</v>
      </c>
      <c r="AD40" s="111">
        <f t="array" ref="AD40">IFERROR(
(MEDIAN((IF(DATOS_[[Sexo]:[Sexo]]=$B40,IF(DATOS_[[AGRUP. VALOR. PTO.]:[AGRUP. VALOR. PTO.]]=$B39,IF(DATOS_[[Check Periodo Ref.]:[Check Periodo Ref.]]="Dentro",IF(DATOS_[[Check Equiparado]:[Check Equiparado]]="Sí",IF(DATOS!AY$5="Sí",(1/DATOS_[[% anualiz]:[% anualiz]]),1)*IF(DATOS!AY$4="Sí",1/DATOS_[[% normaliz]:[% normaliz]],1)*(DATOS_[Conc.Sal.21])))))))),
0)</f>
        <v>0</v>
      </c>
      <c r="AE40" s="111">
        <f t="array" ref="AE40">IFERROR(
(MEDIAN((IF(DATOS_[[Sexo]:[Sexo]]=$B40,IF(DATOS_[[AGRUP. VALOR. PTO.]:[AGRUP. VALOR. PTO.]]=$B39,IF(DATOS_[[Check Periodo Ref.]:[Check Periodo Ref.]]="Dentro",IF(DATOS_[[Check Equiparado]:[Check Equiparado]]="Sí",IF(DATOS!AZ$5="Sí",(1/DATOS_[[% anualiz]:[% anualiz]]),1)*IF(DATOS!AZ$4="Sí",1/DATOS_[[% normaliz]:[% normaliz]],1)*(DATOS_[Conc.Sal.22])))))))),
0)</f>
        <v>0</v>
      </c>
      <c r="AF40" s="111">
        <f t="array" ref="AF40">IFERROR(
(MEDIAN((IF(DATOS_[[Sexo]:[Sexo]]=$B40,IF(DATOS_[[AGRUP. VALOR. PTO.]:[AGRUP. VALOR. PTO.]]=$B39,IF(DATOS_[[Check Periodo Ref.]:[Check Periodo Ref.]]="Dentro",IF(DATOS_[[Check Equiparado]:[Check Equiparado]]="Sí",IF(DATOS!BA$5="Sí",(1/DATOS_[[% anualiz]:[% anualiz]]),1)*IF(DATOS!BA$4="Sí",1/DATOS_[[% normaliz]:[% normaliz]],1)*(DATOS_[Conc.Sal.23])))))))),
0)</f>
        <v>0</v>
      </c>
      <c r="AG40" s="111">
        <f t="array" ref="AG40">IFERROR(
(MEDIAN((IF(DATOS_[[Sexo]:[Sexo]]=$B40,IF(DATOS_[[AGRUP. VALOR. PTO.]:[AGRUP. VALOR. PTO.]]=$B39,IF(DATOS_[[Check Periodo Ref.]:[Check Periodo Ref.]]="Dentro",IF(DATOS_[[Check Equiparado]:[Check Equiparado]]="Sí",IF(DATOS!BB$5="Sí",(1/DATOS_[[% anualiz]:[% anualiz]]),1)*IF(DATOS!BB$4="Sí",1/DATOS_[[% normaliz]:[% normaliz]],1)*(DATOS_[Conc.Sal.24])))))))),
0)</f>
        <v>0</v>
      </c>
      <c r="AH40" s="111">
        <f t="array" ref="AH40">IFERROR(
(MEDIAN((IF(DATOS_[[Sexo]:[Sexo]]=$B40,IF(DATOS_[[AGRUP. VALOR. PTO.]:[AGRUP. VALOR. PTO.]]=$B39,IF(DATOS_[[Check Periodo Ref.]:[Check Periodo Ref.]]="Dentro",IF(DATOS_[[Check Equiparado]:[Check Equiparado]]="Sí",IF(DATOS!BC$5="Sí",(1/DATOS_[[% anualiz]:[% anualiz]]),1)*IF(DATOS!BC$4="Sí",1/DATOS_[[% normaliz]:[% normaliz]],1)*(DATOS_[Conc.Sal.25])))))))),
0)</f>
        <v>0</v>
      </c>
      <c r="AI40" s="111">
        <f t="array" ref="AI40">IFERROR(
(MEDIAN((IF(DATOS_[[Sexo]:[Sexo]]=$B40,IF(DATOS_[[AGRUP. VALOR. PTO.]:[AGRUP. VALOR. PTO.]]=$B39,IF(DATOS_[[Check Periodo Ref.]:[Check Periodo Ref.]]="Dentro",IF(DATOS_[[Check Equiparado]:[Check Equiparado]]="Sí",IF(DATOS!BD$5="Sí",(1/DATOS_[[% anualiz]:[% anualiz]]),1)*IF(DATOS!BD$4="Sí",1/DATOS_[[% normaliz]:[% normaliz]],1)*(DATOS_[Conc.Sal.26])))))))),
0)</f>
        <v>0</v>
      </c>
      <c r="AJ40" s="111">
        <f t="array" ref="AJ40">IFERROR(
(MEDIAN((IF(DATOS_[[Sexo]:[Sexo]]=$B40,IF(DATOS_[[AGRUP. VALOR. PTO.]:[AGRUP. VALOR. PTO.]]=$B39,IF(DATOS_[[Check Periodo Ref.]:[Check Periodo Ref.]]="Dentro",IF(DATOS_[[Check Equiparado]:[Check Equiparado]]="Sí",IF(DATOS!BE$5="Sí",(1/DATOS_[[% anualiz]:[% anualiz]]),1)*IF(DATOS!BE$4="Sí",1/DATOS_[[% normaliz]:[% normaliz]],1)*(DATOS_[Conc.Sal.27])))))))),
0)</f>
        <v>0</v>
      </c>
      <c r="AK40" s="111">
        <f t="array" ref="AK40">IFERROR(
(MEDIAN((IF(DATOS_[[Sexo]:[Sexo]]=$B40,IF(DATOS_[[AGRUP. VALOR. PTO.]:[AGRUP. VALOR. PTO.]]=$B39,IF(DATOS_[[Check Periodo Ref.]:[Check Periodo Ref.]]="Dentro",IF(DATOS_[[Check Equiparado]:[Check Equiparado]]="Sí",IF(DATOS!BF$5="Sí",(1/DATOS_[[% anualiz]:[% anualiz]]),1)*IF(DATOS!BF$4="Sí",1/DATOS_[[% normaliz]:[% normaliz]],1)*(DATOS_[Conc.Sal.28])))))))),
0)</f>
        <v>0</v>
      </c>
      <c r="AL40" s="111">
        <f t="array" ref="AL40">IFERROR(
(MEDIAN((IF(DATOS_[[Sexo]:[Sexo]]=$B40,IF(DATOS_[[AGRUP. VALOR. PTO.]:[AGRUP. VALOR. PTO.]]=$B39,IF(DATOS_[[Check Periodo Ref.]:[Check Periodo Ref.]]="Dentro",IF(DATOS_[[Check Equiparado]:[Check Equiparado]]="Sí",IF(DATOS!BG$5="Sí",(1/DATOS_[[% anualiz]:[% anualiz]]),1)*IF(DATOS!BG$4="Sí",1/DATOS_[[% normaliz]:[% normaliz]],1)*(DATOS_[Conc.Sal.29])))))))),
0)</f>
        <v>0</v>
      </c>
      <c r="AM40" s="111">
        <f t="array" ref="AM40">IFERROR(
(MEDIAN((IF(DATOS_[[Sexo]:[Sexo]]=$B40,IF(DATOS_[[AGRUP. VALOR. PTO.]:[AGRUP. VALOR. PTO.]]=$B39,IF(DATOS_[[Check Periodo Ref.]:[Check Periodo Ref.]]="Dentro",IF(DATOS_[[Check Equiparado]:[Check Equiparado]]="Sí",IF(DATOS!BH$5="Sí",(1/DATOS_[[% anualiz]:[% anualiz]]),1)*IF(DATOS!BH$4="Sí",1/DATOS_[[% normaliz]:[% normaliz]],1)*(DATOS_[Conc.Sal.30])))))))),
0)</f>
        <v>0</v>
      </c>
      <c r="AN40" s="112">
        <f t="array" ref="AN40">IFERROR(
MEDIAN(IF(DATOS_[Sexo]=$B40,IF(DATOS_[[AGRUP. VALOR. PTO.]:[AGRUP. VALOR. PTO.]]=$B39,IF(DATOS_[Check Equiparado]="Sí",IF(DATOS_[Check Periodo Ref.]="Dentro",DATOS_[Tot COMPL.SAL Eq],FALSE))))),
0)</f>
        <v>0</v>
      </c>
      <c r="AO40" s="113">
        <f t="array" ref="AO40">IFERROR(
MEDIAN(IF(DATOS_[Sexo]=$B40,IF(DATOS_[[AGRUP. VALOR. PTO.]:[AGRUP. VALOR. PTO.]]=$B39,IF(DATOS_[Check Equiparado]="Sí",IF(DATOS_[Check Periodo Ref.]="Dentro",DATOS_[TOTAL SALARIO Eq],FALSE))))),
0)</f>
        <v>0</v>
      </c>
      <c r="AP40" s="114">
        <f t="array" ref="AP40">IFERROR(
(MEDIAN((IF(DATOS_[[Sexo]:[Sexo]]=$B40,IF(DATOS_[[AGRUP. VALOR. PTO.]:[AGRUP. VALOR. PTO.]]=$B39,IF(DATOS_[[Check Periodo Ref.]:[Check Periodo Ref.]]="Dentro",IF(DATOS_[[Check Equiparado]:[Check Equiparado]]="Sí",IF(DATOS!BI$5="Sí",(1/DATOS_[[% anualiz]:[% anualiz]]),1)*IF(DATOS!BI$4="Sí",1/DATOS_[[% normaliz]:[% normaliz]],1)*(DATOS_[C.Extra.01])))))))),
0)</f>
        <v>0</v>
      </c>
      <c r="AQ40" s="114">
        <f t="array" ref="AQ40">IFERROR(
(MEDIAN((IF(DATOS_[[Sexo]:[Sexo]]=$B40,IF(DATOS_[[AGRUP. VALOR. PTO.]:[AGRUP. VALOR. PTO.]]=$B39,IF(DATOS_[[Check Periodo Ref.]:[Check Periodo Ref.]]="Dentro",IF(DATOS_[[Check Equiparado]:[Check Equiparado]]="Sí",IF(DATOS!BJ$5="Sí",(1/DATOS_[[% anualiz]:[% anualiz]]),1)*IF(DATOS!BJ$4="Sí",1/DATOS_[[% normaliz]:[% normaliz]],1)*(DATOS_[C.Extra.02])))))))),
0)</f>
        <v>0</v>
      </c>
      <c r="AR40" s="114">
        <f t="array" ref="AR40">IFERROR(
(MEDIAN((IF(DATOS_[[Sexo]:[Sexo]]=$B40,IF(DATOS_[[AGRUP. VALOR. PTO.]:[AGRUP. VALOR. PTO.]]=$B39,IF(DATOS_[[Check Periodo Ref.]:[Check Periodo Ref.]]="Dentro",IF(DATOS_[[Check Equiparado]:[Check Equiparado]]="Sí",IF(DATOS!BK$5="Sí",(1/DATOS_[[% anualiz]:[% anualiz]]),1)*IF(DATOS!BK$4="Sí",1/DATOS_[[% normaliz]:[% normaliz]],1)*(DATOS_[C.Extra.03])))))))),
0)</f>
        <v>0</v>
      </c>
      <c r="AS40" s="114">
        <f t="array" ref="AS40">IFERROR(
(MEDIAN((IF(DATOS_[[Sexo]:[Sexo]]=$B40,IF(DATOS_[[AGRUP. VALOR. PTO.]:[AGRUP. VALOR. PTO.]]=$B39,IF(DATOS_[[Check Periodo Ref.]:[Check Periodo Ref.]]="Dentro",IF(DATOS_[[Check Equiparado]:[Check Equiparado]]="Sí",IF(DATOS!BL$5="Sí",(1/DATOS_[[% anualiz]:[% anualiz]]),1)*IF(DATOS!BL$4="Sí",1/DATOS_[[% normaliz]:[% normaliz]],1)*(DATOS_[C.Extra.04])))))))),
0)</f>
        <v>0</v>
      </c>
      <c r="AT40" s="114">
        <f t="array" ref="AT40">IFERROR(
(MEDIAN((IF(DATOS_[[Sexo]:[Sexo]]=$B40,IF(DATOS_[[AGRUP. VALOR. PTO.]:[AGRUP. VALOR. PTO.]]=$B39,IF(DATOS_[[Check Periodo Ref.]:[Check Periodo Ref.]]="Dentro",IF(DATOS_[[Check Equiparado]:[Check Equiparado]]="Sí",IF(DATOS!BM$5="Sí",(1/DATOS_[[% anualiz]:[% anualiz]]),1)*IF(DATOS!BM$4="Sí",1/DATOS_[[% normaliz]:[% normaliz]],1)*(DATOS_[C.Extra.05])))))))),
0)</f>
        <v>0</v>
      </c>
      <c r="AU40" s="115">
        <f t="array" ref="AU40">IFERROR(
MEDIAN(IF(DATOS_[Sexo]=$B40,IF(DATOS_[[AGRUP. VALOR. PTO.]:[AGRUP. VALOR. PTO.]]=$B39,IF(DATOS_[Check Equiparado]="Sí",IF(DATOS_[Check Periodo Ref.]="Dentro",DATOS_[Tot Extrasalarial Eq],FALSE))))),
0)</f>
        <v>0</v>
      </c>
      <c r="AV40" s="116">
        <f t="array" ref="AV40">IFERROR(
MEDIAN(IF(DATOS_[Sexo]=$B40,IF(DATOS_[[AGRUP. VALOR. PTO.]:[AGRUP. VALOR. PTO.]]=$B39,IF(DATOS_[Check Equiparado]="Sí",IF(DATOS_[Check Periodo Ref.]="Dentro",DATOS_[TOTAL Retrib Eq],FALSE))))),
0)</f>
        <v>0</v>
      </c>
    </row>
    <row r="41" spans="1:48" hidden="1" x14ac:dyDescent="0.3">
      <c r="A41" s="42" t="str">
        <f t="shared" ref="A41" si="38">+A40</f>
        <v>[ocultar]</v>
      </c>
      <c r="B41" s="86" t="s">
        <v>163</v>
      </c>
      <c r="C41" s="33">
        <f t="array" ref="C41">SUM(IF($B41=DATOS_[Sexo],
IF($B39=DATOS_[AGRUP. VALOR. PTO.],
IF("Dentro"=DATOS_[Check Periodo Ref.],
1/(COUNTIFS(DATOS_[Sexo],$B41,DATOS_[AGRUP. VALOR. PTO.],$B39,DATOS_[Check Periodo Ref.],"Dentro",DATOS_[id],DATOS_[id]))))))</f>
        <v>0</v>
      </c>
      <c r="D41" s="35">
        <f>COUNTIFS(DATOS_[AGRUP. VALOR. PTO.],$B39,DATOS_[Sexo],$B41,DATOS_[Check Periodo Ref.],"Dentro")</f>
        <v>0</v>
      </c>
      <c r="E41" s="35">
        <f>COUNTIFS(DATOS_[AGRUP. VALOR. PTO.],$B39,DATOS_[Sexo],$B41,DATOS_[Check Periodo Ref.],"Dentro",DATOS_[Check Nº SC Norm],"Sí")</f>
        <v>0</v>
      </c>
      <c r="F41" s="35">
        <f>COUNTIFS(DATOS_[AGRUP. VALOR. PTO.],$B39,DATOS_[Sexo],$B41,DATOS_[Check Periodo Ref.],"Dentro",DATOS_[Check Nº SC Anualiz],"Sí")</f>
        <v>0</v>
      </c>
      <c r="G41" s="35">
        <f>COUNTIFS(DATOS_[AGRUP. VALOR. PTO.],$B39,DATOS_[Sexo],$B41,DATOS_[Check Periodo Ref.],"Dentro",DATOS_[Check Nº SC Norm y Anualiz],"Sí")</f>
        <v>0</v>
      </c>
      <c r="H41" s="35">
        <f>COUNTIFS(DATOS_[AGRUP. VALOR. PTO.],$B39,DATOS_[Sexo],$B41,DATOS_[Check Periodo Ref.],"Dentro",DATOS_[Check Equiparación],"Sí")</f>
        <v>0</v>
      </c>
      <c r="I41" s="110" cm="1">
        <f t="array" ref="I41">IFERROR(
MEDIAN(IF(DATOS_[Sexo]=$B41,IF(DATOS_[[AGRUP. VALOR. PTO.]:[AGRUP. VALOR. PTO.]]=$B39,IF(DATOS_[Check Equiparado]="Sí",IF(DATOS_[Check Periodo Ref.]="Dentro",DATOS_[SALARIO BASE Eq],FALSE))))),
0)</f>
        <v>0</v>
      </c>
      <c r="J41" s="111">
        <f t="array" ref="J41">IFERROR(
(MEDIAN((IF(DATOS_[[Sexo]:[Sexo]]=$B41,IF(DATOS_[[AGRUP. VALOR. PTO.]:[AGRUP. VALOR. PTO.]]=$B39,IF(DATOS_[[Check Periodo Ref.]:[Check Periodo Ref.]]="Dentro",IF(DATOS_[[Check Equiparado]:[Check Equiparado]]="Sí",IF(DATOS!AE$5="Sí",(1/DATOS_[[% anualiz]:[% anualiz]]),1)*IF(DATOS!AE$4="Sí",1/DATOS_[[% normaliz]:[% normaliz]],1)*(DATOS_[Conc.Sal.01])))))))),
0)</f>
        <v>0</v>
      </c>
      <c r="K41" s="111">
        <f t="array" ref="K41">IFERROR(
(MEDIAN((IF(DATOS_[[Sexo]:[Sexo]]=$B41,IF(DATOS_[[AGRUP. VALOR. PTO.]:[AGRUP. VALOR. PTO.]]=$B39,IF(DATOS_[[Check Periodo Ref.]:[Check Periodo Ref.]]="Dentro",IF(DATOS_[[Check Equiparado]:[Check Equiparado]]="Sí",IF(DATOS!AF$5="Sí",(1/DATOS_[[% anualiz]:[% anualiz]]),1)*IF(DATOS!AF$4="Sí",1/DATOS_[[% normaliz]:[% normaliz]],1)*(DATOS_[Conc.Sal.02])))))))),
0)</f>
        <v>0</v>
      </c>
      <c r="L41" s="111">
        <f t="array" ref="L41">IFERROR(
(MEDIAN((IF(DATOS_[[Sexo]:[Sexo]]=$B41,IF(DATOS_[[AGRUP. VALOR. PTO.]:[AGRUP. VALOR. PTO.]]=$B39,IF(DATOS_[[Check Periodo Ref.]:[Check Periodo Ref.]]="Dentro",IF(DATOS_[[Check Equiparado]:[Check Equiparado]]="Sí",IF(DATOS!AG$5="Sí",(1/DATOS_[[% anualiz]:[% anualiz]]),1)*IF(DATOS!AG$4="Sí",1/DATOS_[[% normaliz]:[% normaliz]],1)*(DATOS_[Conc.Sal.03])))))))),
0)</f>
        <v>0</v>
      </c>
      <c r="M41" s="111">
        <f t="array" ref="M41">IFERROR(
(MEDIAN((IF(DATOS_[[Sexo]:[Sexo]]=$B41,IF(DATOS_[[AGRUP. VALOR. PTO.]:[AGRUP. VALOR. PTO.]]=$B39,IF(DATOS_[[Check Periodo Ref.]:[Check Periodo Ref.]]="Dentro",IF(DATOS_[[Check Equiparado]:[Check Equiparado]]="Sí",IF(DATOS!AH$5="Sí",(1/DATOS_[[% anualiz]:[% anualiz]]),1)*IF(DATOS!AH$4="Sí",1/DATOS_[[% normaliz]:[% normaliz]],1)*(DATOS_[Conc.Sal.04])))))))),
0)</f>
        <v>0</v>
      </c>
      <c r="N41" s="111">
        <f t="array" ref="N41">IFERROR(
(MEDIAN((IF(DATOS_[[Sexo]:[Sexo]]=$B41,IF(DATOS_[[AGRUP. VALOR. PTO.]:[AGRUP. VALOR. PTO.]]=$B39,IF(DATOS_[[Check Periodo Ref.]:[Check Periodo Ref.]]="Dentro",IF(DATOS_[[Check Equiparado]:[Check Equiparado]]="Sí",IF(DATOS!AI$5="Sí",(1/DATOS_[[% anualiz]:[% anualiz]]),1)*IF(DATOS!AI$4="Sí",1/DATOS_[[% normaliz]:[% normaliz]],1)*(DATOS_[Conc.Sal.05])))))))),
0)</f>
        <v>0</v>
      </c>
      <c r="O41" s="111">
        <f t="array" ref="O41">IFERROR(
(MEDIAN((IF(DATOS_[[Sexo]:[Sexo]]=$B41,IF(DATOS_[[AGRUP. VALOR. PTO.]:[AGRUP. VALOR. PTO.]]=$B39,IF(DATOS_[[Check Periodo Ref.]:[Check Periodo Ref.]]="Dentro",IF(DATOS_[[Check Equiparado]:[Check Equiparado]]="Sí",IF(DATOS!AJ$5="Sí",(1/DATOS_[[% anualiz]:[% anualiz]]),1)*IF(DATOS!AJ$4="Sí",1/DATOS_[[% normaliz]:[% normaliz]],1)*(DATOS_[Conc.Sal.06])))))))),
0)</f>
        <v>0</v>
      </c>
      <c r="P41" s="111">
        <f t="array" ref="P41">IFERROR(
(MEDIAN((IF(DATOS_[[Sexo]:[Sexo]]=$B41,IF(DATOS_[[AGRUP. VALOR. PTO.]:[AGRUP. VALOR. PTO.]]=$B39,IF(DATOS_[[Check Periodo Ref.]:[Check Periodo Ref.]]="Dentro",IF(DATOS_[[Check Equiparado]:[Check Equiparado]]="Sí",IF(DATOS!AK$5="Sí",(1/DATOS_[[% anualiz]:[% anualiz]]),1)*IF(DATOS!AK$4="Sí",1/DATOS_[[% normaliz]:[% normaliz]],1)*(DATOS_[Conc.Sal.07])))))))),
0)</f>
        <v>0</v>
      </c>
      <c r="Q41" s="111">
        <f t="array" ref="Q41">IFERROR(
(MEDIAN((IF(DATOS_[[Sexo]:[Sexo]]=$B41,IF(DATOS_[[AGRUP. VALOR. PTO.]:[AGRUP. VALOR. PTO.]]=$B39,IF(DATOS_[[Check Periodo Ref.]:[Check Periodo Ref.]]="Dentro",IF(DATOS_[[Check Equiparado]:[Check Equiparado]]="Sí",IF(DATOS!AL$5="Sí",(1/DATOS_[[% anualiz]:[% anualiz]]),1)*IF(DATOS!AL$4="Sí",1/DATOS_[[% normaliz]:[% normaliz]],1)*(DATOS_[Conc.Sal.08])))))))),
0)</f>
        <v>0</v>
      </c>
      <c r="R41" s="111">
        <f t="array" ref="R41">IFERROR(
(MEDIAN((IF(DATOS_[[Sexo]:[Sexo]]=$B41,IF(DATOS_[[AGRUP. VALOR. PTO.]:[AGRUP. VALOR. PTO.]]=$B39,IF(DATOS_[[Check Periodo Ref.]:[Check Periodo Ref.]]="Dentro",IF(DATOS_[[Check Equiparado]:[Check Equiparado]]="Sí",IF(DATOS!AM$5="Sí",(1/DATOS_[[% anualiz]:[% anualiz]]),1)*IF(DATOS!AM$4="Sí",1/DATOS_[[% normaliz]:[% normaliz]],1)*(DATOS_[Conc.Sal.09])))))))),
0)</f>
        <v>0</v>
      </c>
      <c r="S41" s="111">
        <f t="array" ref="S41">IFERROR(
(MEDIAN((IF(DATOS_[[Sexo]:[Sexo]]=$B41,IF(DATOS_[[AGRUP. VALOR. PTO.]:[AGRUP. VALOR. PTO.]]=$B39,IF(DATOS_[[Check Periodo Ref.]:[Check Periodo Ref.]]="Dentro",IF(DATOS_[[Check Equiparado]:[Check Equiparado]]="Sí",IF(DATOS!AN$5="Sí",(1/DATOS_[[% anualiz]:[% anualiz]]),1)*IF(DATOS!AN$4="Sí",1/DATOS_[[% normaliz]:[% normaliz]],1)*(DATOS_[Conc.Sal.10])))))))),
0)</f>
        <v>0</v>
      </c>
      <c r="T41" s="111">
        <f t="array" ref="T41">IFERROR(
(MEDIAN((IF(DATOS_[[Sexo]:[Sexo]]=$B41,IF(DATOS_[[AGRUP. VALOR. PTO.]:[AGRUP. VALOR. PTO.]]=$B39,IF(DATOS_[[Check Periodo Ref.]:[Check Periodo Ref.]]="Dentro",IF(DATOS_[[Check Equiparado]:[Check Equiparado]]="Sí",IF(DATOS!AO$5="Sí",(1/DATOS_[[% anualiz]:[% anualiz]]),1)*IF(DATOS!AO$4="Sí",1/DATOS_[[% normaliz]:[% normaliz]],1)*(DATOS_[Conc.Sal.11])))))))),
0)</f>
        <v>0</v>
      </c>
      <c r="U41" s="111">
        <f t="array" ref="U41">IFERROR(
(MEDIAN((IF(DATOS_[[Sexo]:[Sexo]]=$B41,IF(DATOS_[[AGRUP. VALOR. PTO.]:[AGRUP. VALOR. PTO.]]=$B39,IF(DATOS_[[Check Periodo Ref.]:[Check Periodo Ref.]]="Dentro",IF(DATOS_[[Check Equiparado]:[Check Equiparado]]="Sí",IF(DATOS!AP$5="Sí",(1/DATOS_[[% anualiz]:[% anualiz]]),1)*IF(DATOS!AP$4="Sí",1/DATOS_[[% normaliz]:[% normaliz]],1)*(DATOS_[Conc.Sal.12])))))))),
0)</f>
        <v>0</v>
      </c>
      <c r="V41" s="111">
        <f t="array" ref="V41">IFERROR(
(MEDIAN((IF(DATOS_[[Sexo]:[Sexo]]=$B41,IF(DATOS_[[AGRUP. VALOR. PTO.]:[AGRUP. VALOR. PTO.]]=$B39,IF(DATOS_[[Check Periodo Ref.]:[Check Periodo Ref.]]="Dentro",IF(DATOS_[[Check Equiparado]:[Check Equiparado]]="Sí",IF(DATOS!AQ$5="Sí",(1/DATOS_[[% anualiz]:[% anualiz]]),1)*IF(DATOS!AQ$4="Sí",1/DATOS_[[% normaliz]:[% normaliz]],1)*(DATOS_[Conc.Sal.13])))))))),
0)</f>
        <v>0</v>
      </c>
      <c r="W41" s="111">
        <f t="array" ref="W41">IFERROR(
(MEDIAN((IF(DATOS_[[Sexo]:[Sexo]]=$B41,IF(DATOS_[[AGRUP. VALOR. PTO.]:[AGRUP. VALOR. PTO.]]=$B39,IF(DATOS_[[Check Periodo Ref.]:[Check Periodo Ref.]]="Dentro",IF(DATOS_[[Check Equiparado]:[Check Equiparado]]="Sí",IF(DATOS!AR$5="Sí",(1/DATOS_[[% anualiz]:[% anualiz]]),1)*IF(DATOS!AR$4="Sí",1/DATOS_[[% normaliz]:[% normaliz]],1)*(DATOS_[Conc.Sal.14])))))))),
0)</f>
        <v>0</v>
      </c>
      <c r="X41" s="111">
        <f t="array" ref="X41">IFERROR(
(MEDIAN((IF(DATOS_[[Sexo]:[Sexo]]=$B41,IF(DATOS_[[AGRUP. VALOR. PTO.]:[AGRUP. VALOR. PTO.]]=$B39,IF(DATOS_[[Check Periodo Ref.]:[Check Periodo Ref.]]="Dentro",IF(DATOS_[[Check Equiparado]:[Check Equiparado]]="Sí",IF(DATOS!AS$5="Sí",(1/DATOS_[[% anualiz]:[% anualiz]]),1)*IF(DATOS!AS$4="Sí",1/DATOS_[[% normaliz]:[% normaliz]],1)*(DATOS_[Conc.Sal.15])))))))),
0)</f>
        <v>0</v>
      </c>
      <c r="Y41" s="111">
        <f t="array" ref="Y41">IFERROR(
(MEDIAN((IF(DATOS_[[Sexo]:[Sexo]]=$B41,IF(DATOS_[[AGRUP. VALOR. PTO.]:[AGRUP. VALOR. PTO.]]=$B39,IF(DATOS_[[Check Periodo Ref.]:[Check Periodo Ref.]]="Dentro",IF(DATOS_[[Check Equiparado]:[Check Equiparado]]="Sí",IF(DATOS!AT$5="Sí",(1/DATOS_[[% anualiz]:[% anualiz]]),1)*IF(DATOS!AT$4="Sí",1/DATOS_[[% normaliz]:[% normaliz]],1)*(DATOS_[Conc.Sal.16])))))))),
0)</f>
        <v>0</v>
      </c>
      <c r="Z41" s="111">
        <f t="array" ref="Z41">IFERROR(
(MEDIAN((IF(DATOS_[[Sexo]:[Sexo]]=$B41,IF(DATOS_[[AGRUP. VALOR. PTO.]:[AGRUP. VALOR. PTO.]]=$B39,IF(DATOS_[[Check Periodo Ref.]:[Check Periodo Ref.]]="Dentro",IF(DATOS_[[Check Equiparado]:[Check Equiparado]]="Sí",IF(DATOS!AU$5="Sí",(1/DATOS_[[% anualiz]:[% anualiz]]),1)*IF(DATOS!AU$4="Sí",1/DATOS_[[% normaliz]:[% normaliz]],1)*(DATOS_[Conc.Sal.17])))))))),
0)</f>
        <v>0</v>
      </c>
      <c r="AA41" s="111">
        <f t="array" ref="AA41">IFERROR(
(MEDIAN((IF(DATOS_[[Sexo]:[Sexo]]=$B41,IF(DATOS_[[AGRUP. VALOR. PTO.]:[AGRUP. VALOR. PTO.]]=$B39,IF(DATOS_[[Check Periodo Ref.]:[Check Periodo Ref.]]="Dentro",IF(DATOS_[[Check Equiparado]:[Check Equiparado]]="Sí",IF(DATOS!AV$5="Sí",(1/DATOS_[[% anualiz]:[% anualiz]]),1)*IF(DATOS!AV$4="Sí",1/DATOS_[[% normaliz]:[% normaliz]],1)*(DATOS_[Conc.Sal.18])))))))),
0)</f>
        <v>0</v>
      </c>
      <c r="AB41" s="111">
        <f t="array" ref="AB41">IFERROR(
(MEDIAN((IF(DATOS_[[Sexo]:[Sexo]]=$B41,IF(DATOS_[[AGRUP. VALOR. PTO.]:[AGRUP. VALOR. PTO.]]=$B39,IF(DATOS_[[Check Periodo Ref.]:[Check Periodo Ref.]]="Dentro",IF(DATOS_[[Check Equiparado]:[Check Equiparado]]="Sí",IF(DATOS!AW$5="Sí",(1/DATOS_[[% anualiz]:[% anualiz]]),1)*IF(DATOS!AW$4="Sí",1/DATOS_[[% normaliz]:[% normaliz]],1)*(DATOS_[Conc.Sal.19])))))))),
0)</f>
        <v>0</v>
      </c>
      <c r="AC41" s="111">
        <f t="array" ref="AC41">IFERROR(
(MEDIAN((IF(DATOS_[[Sexo]:[Sexo]]=$B41,IF(DATOS_[[AGRUP. VALOR. PTO.]:[AGRUP. VALOR. PTO.]]=$B39,IF(DATOS_[[Check Periodo Ref.]:[Check Periodo Ref.]]="Dentro",IF(DATOS_[[Check Equiparado]:[Check Equiparado]]="Sí",IF(DATOS!AX$5="Sí",(1/DATOS_[[% anualiz]:[% anualiz]]),1)*IF(DATOS!AX$4="Sí",1/DATOS_[[% normaliz]:[% normaliz]],1)*(DATOS_[Conc.Sal.20])))))))),
0)</f>
        <v>0</v>
      </c>
      <c r="AD41" s="111">
        <f t="array" ref="AD41">IFERROR(
(MEDIAN((IF(DATOS_[[Sexo]:[Sexo]]=$B41,IF(DATOS_[[AGRUP. VALOR. PTO.]:[AGRUP. VALOR. PTO.]]=$B39,IF(DATOS_[[Check Periodo Ref.]:[Check Periodo Ref.]]="Dentro",IF(DATOS_[[Check Equiparado]:[Check Equiparado]]="Sí",IF(DATOS!AY$5="Sí",(1/DATOS_[[% anualiz]:[% anualiz]]),1)*IF(DATOS!AY$4="Sí",1/DATOS_[[% normaliz]:[% normaliz]],1)*(DATOS_[Conc.Sal.21])))))))),
0)</f>
        <v>0</v>
      </c>
      <c r="AE41" s="111">
        <f t="array" ref="AE41">IFERROR(
(MEDIAN((IF(DATOS_[[Sexo]:[Sexo]]=$B41,IF(DATOS_[[AGRUP. VALOR. PTO.]:[AGRUP. VALOR. PTO.]]=$B39,IF(DATOS_[[Check Periodo Ref.]:[Check Periodo Ref.]]="Dentro",IF(DATOS_[[Check Equiparado]:[Check Equiparado]]="Sí",IF(DATOS!AZ$5="Sí",(1/DATOS_[[% anualiz]:[% anualiz]]),1)*IF(DATOS!AZ$4="Sí",1/DATOS_[[% normaliz]:[% normaliz]],1)*(DATOS_[Conc.Sal.22])))))))),
0)</f>
        <v>0</v>
      </c>
      <c r="AF41" s="111">
        <f t="array" ref="AF41">IFERROR(
(MEDIAN((IF(DATOS_[[Sexo]:[Sexo]]=$B41,IF(DATOS_[[AGRUP. VALOR. PTO.]:[AGRUP. VALOR. PTO.]]=$B39,IF(DATOS_[[Check Periodo Ref.]:[Check Periodo Ref.]]="Dentro",IF(DATOS_[[Check Equiparado]:[Check Equiparado]]="Sí",IF(DATOS!BA$5="Sí",(1/DATOS_[[% anualiz]:[% anualiz]]),1)*IF(DATOS!BA$4="Sí",1/DATOS_[[% normaliz]:[% normaliz]],1)*(DATOS_[Conc.Sal.23])))))))),
0)</f>
        <v>0</v>
      </c>
      <c r="AG41" s="111">
        <f t="array" ref="AG41">IFERROR(
(MEDIAN((IF(DATOS_[[Sexo]:[Sexo]]=$B41,IF(DATOS_[[AGRUP. VALOR. PTO.]:[AGRUP. VALOR. PTO.]]=$B39,IF(DATOS_[[Check Periodo Ref.]:[Check Periodo Ref.]]="Dentro",IF(DATOS_[[Check Equiparado]:[Check Equiparado]]="Sí",IF(DATOS!BB$5="Sí",(1/DATOS_[[% anualiz]:[% anualiz]]),1)*IF(DATOS!BB$4="Sí",1/DATOS_[[% normaliz]:[% normaliz]],1)*(DATOS_[Conc.Sal.24])))))))),
0)</f>
        <v>0</v>
      </c>
      <c r="AH41" s="111">
        <f t="array" ref="AH41">IFERROR(
(MEDIAN((IF(DATOS_[[Sexo]:[Sexo]]=$B41,IF(DATOS_[[AGRUP. VALOR. PTO.]:[AGRUP. VALOR. PTO.]]=$B39,IF(DATOS_[[Check Periodo Ref.]:[Check Periodo Ref.]]="Dentro",IF(DATOS_[[Check Equiparado]:[Check Equiparado]]="Sí",IF(DATOS!BC$5="Sí",(1/DATOS_[[% anualiz]:[% anualiz]]),1)*IF(DATOS!BC$4="Sí",1/DATOS_[[% normaliz]:[% normaliz]],1)*(DATOS_[Conc.Sal.25])))))))),
0)</f>
        <v>0</v>
      </c>
      <c r="AI41" s="111">
        <f t="array" ref="AI41">IFERROR(
(MEDIAN((IF(DATOS_[[Sexo]:[Sexo]]=$B41,IF(DATOS_[[AGRUP. VALOR. PTO.]:[AGRUP. VALOR. PTO.]]=$B39,IF(DATOS_[[Check Periodo Ref.]:[Check Periodo Ref.]]="Dentro",IF(DATOS_[[Check Equiparado]:[Check Equiparado]]="Sí",IF(DATOS!BD$5="Sí",(1/DATOS_[[% anualiz]:[% anualiz]]),1)*IF(DATOS!BD$4="Sí",1/DATOS_[[% normaliz]:[% normaliz]],1)*(DATOS_[Conc.Sal.26])))))))),
0)</f>
        <v>0</v>
      </c>
      <c r="AJ41" s="111">
        <f t="array" ref="AJ41">IFERROR(
(MEDIAN((IF(DATOS_[[Sexo]:[Sexo]]=$B41,IF(DATOS_[[AGRUP. VALOR. PTO.]:[AGRUP. VALOR. PTO.]]=$B39,IF(DATOS_[[Check Periodo Ref.]:[Check Periodo Ref.]]="Dentro",IF(DATOS_[[Check Equiparado]:[Check Equiparado]]="Sí",IF(DATOS!BE$5="Sí",(1/DATOS_[[% anualiz]:[% anualiz]]),1)*IF(DATOS!BE$4="Sí",1/DATOS_[[% normaliz]:[% normaliz]],1)*(DATOS_[Conc.Sal.27])))))))),
0)</f>
        <v>0</v>
      </c>
      <c r="AK41" s="111">
        <f t="array" ref="AK41">IFERROR(
(MEDIAN((IF(DATOS_[[Sexo]:[Sexo]]=$B41,IF(DATOS_[[AGRUP. VALOR. PTO.]:[AGRUP. VALOR. PTO.]]=$B39,IF(DATOS_[[Check Periodo Ref.]:[Check Periodo Ref.]]="Dentro",IF(DATOS_[[Check Equiparado]:[Check Equiparado]]="Sí",IF(DATOS!BF$5="Sí",(1/DATOS_[[% anualiz]:[% anualiz]]),1)*IF(DATOS!BF$4="Sí",1/DATOS_[[% normaliz]:[% normaliz]],1)*(DATOS_[Conc.Sal.28])))))))),
0)</f>
        <v>0</v>
      </c>
      <c r="AL41" s="111">
        <f t="array" ref="AL41">IFERROR(
(MEDIAN((IF(DATOS_[[Sexo]:[Sexo]]=$B41,IF(DATOS_[[AGRUP. VALOR. PTO.]:[AGRUP. VALOR. PTO.]]=$B39,IF(DATOS_[[Check Periodo Ref.]:[Check Periodo Ref.]]="Dentro",IF(DATOS_[[Check Equiparado]:[Check Equiparado]]="Sí",IF(DATOS!BG$5="Sí",(1/DATOS_[[% anualiz]:[% anualiz]]),1)*IF(DATOS!BG$4="Sí",1/DATOS_[[% normaliz]:[% normaliz]],1)*(DATOS_[Conc.Sal.29])))))))),
0)</f>
        <v>0</v>
      </c>
      <c r="AM41" s="111">
        <f t="array" ref="AM41">IFERROR(
(MEDIAN((IF(DATOS_[[Sexo]:[Sexo]]=$B41,IF(DATOS_[[AGRUP. VALOR. PTO.]:[AGRUP. VALOR. PTO.]]=$B39,IF(DATOS_[[Check Periodo Ref.]:[Check Periodo Ref.]]="Dentro",IF(DATOS_[[Check Equiparado]:[Check Equiparado]]="Sí",IF(DATOS!BH$5="Sí",(1/DATOS_[[% anualiz]:[% anualiz]]),1)*IF(DATOS!BH$4="Sí",1/DATOS_[[% normaliz]:[% normaliz]],1)*(DATOS_[Conc.Sal.30])))))))),
0)</f>
        <v>0</v>
      </c>
      <c r="AN41" s="112">
        <f t="array" ref="AN41">IFERROR(
MEDIAN(IF(DATOS_[Sexo]=$B41,IF(DATOS_[[AGRUP. VALOR. PTO.]:[AGRUP. VALOR. PTO.]]=$B39,IF(DATOS_[Check Equiparado]="Sí",IF(DATOS_[Check Periodo Ref.]="Dentro",DATOS_[Tot COMPL.SAL Eq],FALSE))))),
0)</f>
        <v>0</v>
      </c>
      <c r="AO41" s="113">
        <f t="array" ref="AO41">IFERROR(
MEDIAN(IF(DATOS_[Sexo]=$B41,IF(DATOS_[[AGRUP. VALOR. PTO.]:[AGRUP. VALOR. PTO.]]=$B39,IF(DATOS_[Check Equiparado]="Sí",IF(DATOS_[Check Periodo Ref.]="Dentro",DATOS_[TOTAL SALARIO Eq],FALSE))))),
0)</f>
        <v>0</v>
      </c>
      <c r="AP41" s="114">
        <f t="array" ref="AP41">IFERROR(
(MEDIAN((IF(DATOS_[[Sexo]:[Sexo]]=$B41,IF(DATOS_[[AGRUP. VALOR. PTO.]:[AGRUP. VALOR. PTO.]]=$B39,IF(DATOS_[[Check Periodo Ref.]:[Check Periodo Ref.]]="Dentro",IF(DATOS_[[Check Equiparado]:[Check Equiparado]]="Sí",IF(DATOS!BI$5="Sí",(1/DATOS_[[% anualiz]:[% anualiz]]),1)*IF(DATOS!BI$4="Sí",1/DATOS_[[% normaliz]:[% normaliz]],1)*(DATOS_[C.Extra.01])))))))),
0)</f>
        <v>0</v>
      </c>
      <c r="AQ41" s="114">
        <f t="array" ref="AQ41">IFERROR(
(MEDIAN((IF(DATOS_[[Sexo]:[Sexo]]=$B41,IF(DATOS_[[AGRUP. VALOR. PTO.]:[AGRUP. VALOR. PTO.]]=$B39,IF(DATOS_[[Check Periodo Ref.]:[Check Periodo Ref.]]="Dentro",IF(DATOS_[[Check Equiparado]:[Check Equiparado]]="Sí",IF(DATOS!BJ$5="Sí",(1/DATOS_[[% anualiz]:[% anualiz]]),1)*IF(DATOS!BJ$4="Sí",1/DATOS_[[% normaliz]:[% normaliz]],1)*(DATOS_[C.Extra.02])))))))),
0)</f>
        <v>0</v>
      </c>
      <c r="AR41" s="114">
        <f t="array" ref="AR41">IFERROR(
(MEDIAN((IF(DATOS_[[Sexo]:[Sexo]]=$B41,IF(DATOS_[[AGRUP. VALOR. PTO.]:[AGRUP. VALOR. PTO.]]=$B39,IF(DATOS_[[Check Periodo Ref.]:[Check Periodo Ref.]]="Dentro",IF(DATOS_[[Check Equiparado]:[Check Equiparado]]="Sí",IF(DATOS!BK$5="Sí",(1/DATOS_[[% anualiz]:[% anualiz]]),1)*IF(DATOS!BK$4="Sí",1/DATOS_[[% normaliz]:[% normaliz]],1)*(DATOS_[C.Extra.03])))))))),
0)</f>
        <v>0</v>
      </c>
      <c r="AS41" s="114">
        <f t="array" ref="AS41">IFERROR(
(MEDIAN((IF(DATOS_[[Sexo]:[Sexo]]=$B41,IF(DATOS_[[AGRUP. VALOR. PTO.]:[AGRUP. VALOR. PTO.]]=$B39,IF(DATOS_[[Check Periodo Ref.]:[Check Periodo Ref.]]="Dentro",IF(DATOS_[[Check Equiparado]:[Check Equiparado]]="Sí",IF(DATOS!BL$5="Sí",(1/DATOS_[[% anualiz]:[% anualiz]]),1)*IF(DATOS!BL$4="Sí",1/DATOS_[[% normaliz]:[% normaliz]],1)*(DATOS_[C.Extra.04])))))))),
0)</f>
        <v>0</v>
      </c>
      <c r="AT41" s="114">
        <f t="array" ref="AT41">IFERROR(
(MEDIAN((IF(DATOS_[[Sexo]:[Sexo]]=$B41,IF(DATOS_[[AGRUP. VALOR. PTO.]:[AGRUP. VALOR. PTO.]]=$B39,IF(DATOS_[[Check Periodo Ref.]:[Check Periodo Ref.]]="Dentro",IF(DATOS_[[Check Equiparado]:[Check Equiparado]]="Sí",IF(DATOS!BM$5="Sí",(1/DATOS_[[% anualiz]:[% anualiz]]),1)*IF(DATOS!BM$4="Sí",1/DATOS_[[% normaliz]:[% normaliz]],1)*(DATOS_[C.Extra.05])))))))),
0)</f>
        <v>0</v>
      </c>
      <c r="AU41" s="115">
        <f t="array" ref="AU41">IFERROR(
MEDIAN(IF(DATOS_[Sexo]=$B41,IF(DATOS_[[AGRUP. VALOR. PTO.]:[AGRUP. VALOR. PTO.]]=$B39,IF(DATOS_[Check Equiparado]="Sí",IF(DATOS_[Check Periodo Ref.]="Dentro",DATOS_[Tot Extrasalarial Eq],FALSE))))),
0)</f>
        <v>0</v>
      </c>
      <c r="AV41" s="116">
        <f t="array" ref="AV41">IFERROR(
MEDIAN(IF(DATOS_[Sexo]=$B41,IF(DATOS_[[AGRUP. VALOR. PTO.]:[AGRUP. VALOR. PTO.]]=$B39,IF(DATOS_[Check Equiparado]="Sí",IF(DATOS_[Check Periodo Ref.]="Dentro",DATOS_[TOTAL Retrib Eq],FALSE))))),
0)</f>
        <v>0</v>
      </c>
    </row>
    <row r="42" spans="1:48" ht="17.25" hidden="1" thickBot="1" x14ac:dyDescent="0.35">
      <c r="A42" s="42" t="str">
        <f t="shared" ref="A42" si="39">+A43</f>
        <v>[ocultar]</v>
      </c>
      <c r="B42" s="90" t="s">
        <v>269</v>
      </c>
      <c r="C42" s="109"/>
      <c r="D42" s="41"/>
      <c r="E42" s="41"/>
      <c r="F42" s="41"/>
      <c r="G42" s="41"/>
      <c r="H42" s="41"/>
      <c r="I42" s="119" t="str">
        <f t="shared" ref="I42:AV42" si="40">IFERROR((I43-I44)/I43,"")</f>
        <v/>
      </c>
      <c r="J42" s="123" t="str">
        <f t="shared" si="40"/>
        <v/>
      </c>
      <c r="K42" s="123" t="str">
        <f t="shared" si="40"/>
        <v/>
      </c>
      <c r="L42" s="123" t="str">
        <f t="shared" si="40"/>
        <v/>
      </c>
      <c r="M42" s="123" t="str">
        <f t="shared" si="40"/>
        <v/>
      </c>
      <c r="N42" s="123" t="str">
        <f t="shared" si="40"/>
        <v/>
      </c>
      <c r="O42" s="123" t="str">
        <f t="shared" si="40"/>
        <v/>
      </c>
      <c r="P42" s="123" t="str">
        <f t="shared" si="40"/>
        <v/>
      </c>
      <c r="Q42" s="123" t="str">
        <f t="shared" si="40"/>
        <v/>
      </c>
      <c r="R42" s="123" t="str">
        <f t="shared" si="40"/>
        <v/>
      </c>
      <c r="S42" s="123" t="str">
        <f t="shared" si="40"/>
        <v/>
      </c>
      <c r="T42" s="123" t="str">
        <f t="shared" si="40"/>
        <v/>
      </c>
      <c r="U42" s="123" t="str">
        <f t="shared" si="40"/>
        <v/>
      </c>
      <c r="V42" s="123" t="str">
        <f t="shared" si="40"/>
        <v/>
      </c>
      <c r="W42" s="123" t="str">
        <f t="shared" si="40"/>
        <v/>
      </c>
      <c r="X42" s="123" t="str">
        <f t="shared" si="40"/>
        <v/>
      </c>
      <c r="Y42" s="123" t="str">
        <f t="shared" si="40"/>
        <v/>
      </c>
      <c r="Z42" s="122" t="str">
        <f t="shared" si="40"/>
        <v/>
      </c>
      <c r="AA42" s="122" t="str">
        <f t="shared" si="40"/>
        <v/>
      </c>
      <c r="AB42" s="122" t="str">
        <f t="shared" si="40"/>
        <v/>
      </c>
      <c r="AC42" s="122" t="str">
        <f t="shared" si="40"/>
        <v/>
      </c>
      <c r="AD42" s="122" t="str">
        <f t="shared" si="40"/>
        <v/>
      </c>
      <c r="AE42" s="122" t="str">
        <f t="shared" si="40"/>
        <v/>
      </c>
      <c r="AF42" s="122" t="str">
        <f t="shared" si="40"/>
        <v/>
      </c>
      <c r="AG42" s="122" t="str">
        <f t="shared" si="40"/>
        <v/>
      </c>
      <c r="AH42" s="122" t="str">
        <f t="shared" si="40"/>
        <v/>
      </c>
      <c r="AI42" s="122" t="str">
        <f t="shared" si="40"/>
        <v/>
      </c>
      <c r="AJ42" s="122" t="str">
        <f t="shared" si="40"/>
        <v/>
      </c>
      <c r="AK42" s="122" t="str">
        <f t="shared" si="40"/>
        <v/>
      </c>
      <c r="AL42" s="122" t="str">
        <f t="shared" si="40"/>
        <v/>
      </c>
      <c r="AM42" s="122" t="str">
        <f t="shared" si="40"/>
        <v/>
      </c>
      <c r="AN42" s="124" t="str">
        <f t="shared" si="40"/>
        <v/>
      </c>
      <c r="AO42" s="128" t="str">
        <f t="shared" si="40"/>
        <v/>
      </c>
      <c r="AP42" s="125" t="str">
        <f t="shared" si="40"/>
        <v/>
      </c>
      <c r="AQ42" s="125" t="str">
        <f t="shared" si="40"/>
        <v/>
      </c>
      <c r="AR42" s="125" t="str">
        <f t="shared" si="40"/>
        <v/>
      </c>
      <c r="AS42" s="125" t="str">
        <f t="shared" si="40"/>
        <v/>
      </c>
      <c r="AT42" s="125" t="str">
        <f t="shared" si="40"/>
        <v/>
      </c>
      <c r="AU42" s="126" t="str">
        <f t="shared" si="40"/>
        <v/>
      </c>
      <c r="AV42" s="127" t="str">
        <f t="shared" si="40"/>
        <v/>
      </c>
    </row>
    <row r="43" spans="1:48" hidden="1" x14ac:dyDescent="0.3">
      <c r="A43" s="42" t="str">
        <f t="shared" ref="A43" si="41">+IF(C43+C44=0,"[ocultar]","")</f>
        <v>[ocultar]</v>
      </c>
      <c r="B43" s="86" t="s">
        <v>162</v>
      </c>
      <c r="C43" s="33">
        <f t="array" ref="C43">SUM(IF($B43=DATOS_[Sexo],
IF($B42=DATOS_[AGRUP. VALOR. PTO.],
IF("Dentro"=DATOS_[Check Periodo Ref.],
1/(COUNTIFS(DATOS_[Sexo],$B43,DATOS_[AGRUP. VALOR. PTO.],$B42,DATOS_[Check Periodo Ref.],"Dentro",DATOS_[id],DATOS_[id]))))))</f>
        <v>0</v>
      </c>
      <c r="D43" s="35">
        <f>COUNTIFS(DATOS_[AGRUP. VALOR. PTO.],$B42,DATOS_[Sexo],$B43,DATOS_[Check Periodo Ref.],"Dentro")</f>
        <v>0</v>
      </c>
      <c r="E43" s="35">
        <f>COUNTIFS(DATOS_[AGRUP. VALOR. PTO.],$B42,DATOS_[Sexo],$B43,DATOS_[Check Periodo Ref.],"Dentro",DATOS_[Check Nº SC Norm],"Sí")</f>
        <v>0</v>
      </c>
      <c r="F43" s="35">
        <f>COUNTIFS(DATOS_[AGRUP. VALOR. PTO.],$B42,DATOS_[Sexo],$B43,DATOS_[Check Periodo Ref.],"Dentro",DATOS_[Check Nº SC Anualiz],"Sí")</f>
        <v>0</v>
      </c>
      <c r="G43" s="35">
        <f>COUNTIFS(DATOS_[AGRUP. VALOR. PTO.],$B42,DATOS_[Sexo],$B43,DATOS_[Check Periodo Ref.],"Dentro",DATOS_[Check Nº SC Norm y Anualiz],"Sí")</f>
        <v>0</v>
      </c>
      <c r="H43" s="35">
        <f>COUNTIFS(DATOS_[AGRUP. VALOR. PTO.],$B42,DATOS_[Sexo],$B43,DATOS_[Check Periodo Ref.],"Dentro",DATOS_[Check Equiparación],"Sí")</f>
        <v>0</v>
      </c>
      <c r="I43" s="110">
        <f t="array" ref="I43">IFERROR(
MEDIAN(IF(DATOS_[Sexo]=$B43,IF(DATOS_[[AGRUP. VALOR. PTO.]:[AGRUP. VALOR. PTO.]]=$B42,IF(DATOS_[Check Equiparado]="Sí",IF(DATOS_[Check Periodo Ref.]="Dentro",DATOS_[SALARIO BASE Eq],FALSE))))),
0)</f>
        <v>0</v>
      </c>
      <c r="J43" s="111">
        <f t="array" ref="J43">IFERROR(
(MEDIAN((IF(DATOS_[[Sexo]:[Sexo]]=$B43,IF(DATOS_[[AGRUP. VALOR. PTO.]:[AGRUP. VALOR. PTO.]]=$B42,IF(DATOS_[[Check Periodo Ref.]:[Check Periodo Ref.]]="Dentro",IF(DATOS_[[Check Equiparado]:[Check Equiparado]]="Sí",IF(DATOS!AE$5="Sí",(1/DATOS_[[% anualiz]:[% anualiz]]),1)*IF(DATOS!AE$4="Sí",1/DATOS_[[% normaliz]:[% normaliz]],1)*(DATOS_[Conc.Sal.01])))))))),
0)</f>
        <v>0</v>
      </c>
      <c r="K43" s="111">
        <f t="array" ref="K43">IFERROR(
(MEDIAN((IF(DATOS_[[Sexo]:[Sexo]]=$B43,IF(DATOS_[[AGRUP. VALOR. PTO.]:[AGRUP. VALOR. PTO.]]=$B42,IF(DATOS_[[Check Periodo Ref.]:[Check Periodo Ref.]]="Dentro",IF(DATOS_[[Check Equiparado]:[Check Equiparado]]="Sí",IF(DATOS!AF$5="Sí",(1/DATOS_[[% anualiz]:[% anualiz]]),1)*IF(DATOS!AF$4="Sí",1/DATOS_[[% normaliz]:[% normaliz]],1)*(DATOS_[Conc.Sal.02])))))))),
0)</f>
        <v>0</v>
      </c>
      <c r="L43" s="111">
        <f t="array" ref="L43">IFERROR(
(MEDIAN((IF(DATOS_[[Sexo]:[Sexo]]=$B43,IF(DATOS_[[AGRUP. VALOR. PTO.]:[AGRUP. VALOR. PTO.]]=$B42,IF(DATOS_[[Check Periodo Ref.]:[Check Periodo Ref.]]="Dentro",IF(DATOS_[[Check Equiparado]:[Check Equiparado]]="Sí",IF(DATOS!AG$5="Sí",(1/DATOS_[[% anualiz]:[% anualiz]]),1)*IF(DATOS!AG$4="Sí",1/DATOS_[[% normaliz]:[% normaliz]],1)*(DATOS_[Conc.Sal.03])))))))),
0)</f>
        <v>0</v>
      </c>
      <c r="M43" s="111">
        <f t="array" ref="M43">IFERROR(
(MEDIAN((IF(DATOS_[[Sexo]:[Sexo]]=$B43,IF(DATOS_[[AGRUP. VALOR. PTO.]:[AGRUP. VALOR. PTO.]]=$B42,IF(DATOS_[[Check Periodo Ref.]:[Check Periodo Ref.]]="Dentro",IF(DATOS_[[Check Equiparado]:[Check Equiparado]]="Sí",IF(DATOS!AH$5="Sí",(1/DATOS_[[% anualiz]:[% anualiz]]),1)*IF(DATOS!AH$4="Sí",1/DATOS_[[% normaliz]:[% normaliz]],1)*(DATOS_[Conc.Sal.04])))))))),
0)</f>
        <v>0</v>
      </c>
      <c r="N43" s="111">
        <f t="array" ref="N43">IFERROR(
(MEDIAN((IF(DATOS_[[Sexo]:[Sexo]]=$B43,IF(DATOS_[[AGRUP. VALOR. PTO.]:[AGRUP. VALOR. PTO.]]=$B42,IF(DATOS_[[Check Periodo Ref.]:[Check Periodo Ref.]]="Dentro",IF(DATOS_[[Check Equiparado]:[Check Equiparado]]="Sí",IF(DATOS!AI$5="Sí",(1/DATOS_[[% anualiz]:[% anualiz]]),1)*IF(DATOS!AI$4="Sí",1/DATOS_[[% normaliz]:[% normaliz]],1)*(DATOS_[Conc.Sal.05])))))))),
0)</f>
        <v>0</v>
      </c>
      <c r="O43" s="111">
        <f t="array" ref="O43">IFERROR(
(MEDIAN((IF(DATOS_[[Sexo]:[Sexo]]=$B43,IF(DATOS_[[AGRUP. VALOR. PTO.]:[AGRUP. VALOR. PTO.]]=$B42,IF(DATOS_[[Check Periodo Ref.]:[Check Periodo Ref.]]="Dentro",IF(DATOS_[[Check Equiparado]:[Check Equiparado]]="Sí",IF(DATOS!AJ$5="Sí",(1/DATOS_[[% anualiz]:[% anualiz]]),1)*IF(DATOS!AJ$4="Sí",1/DATOS_[[% normaliz]:[% normaliz]],1)*(DATOS_[Conc.Sal.06])))))))),
0)</f>
        <v>0</v>
      </c>
      <c r="P43" s="111">
        <f t="array" ref="P43">IFERROR(
(MEDIAN((IF(DATOS_[[Sexo]:[Sexo]]=$B43,IF(DATOS_[[AGRUP. VALOR. PTO.]:[AGRUP. VALOR. PTO.]]=$B42,IF(DATOS_[[Check Periodo Ref.]:[Check Periodo Ref.]]="Dentro",IF(DATOS_[[Check Equiparado]:[Check Equiparado]]="Sí",IF(DATOS!AK$5="Sí",(1/DATOS_[[% anualiz]:[% anualiz]]),1)*IF(DATOS!AK$4="Sí",1/DATOS_[[% normaliz]:[% normaliz]],1)*(DATOS_[Conc.Sal.07])))))))),
0)</f>
        <v>0</v>
      </c>
      <c r="Q43" s="111">
        <f t="array" ref="Q43">IFERROR(
(MEDIAN((IF(DATOS_[[Sexo]:[Sexo]]=$B43,IF(DATOS_[[AGRUP. VALOR. PTO.]:[AGRUP. VALOR. PTO.]]=$B42,IF(DATOS_[[Check Periodo Ref.]:[Check Periodo Ref.]]="Dentro",IF(DATOS_[[Check Equiparado]:[Check Equiparado]]="Sí",IF(DATOS!AL$5="Sí",(1/DATOS_[[% anualiz]:[% anualiz]]),1)*IF(DATOS!AL$4="Sí",1/DATOS_[[% normaliz]:[% normaliz]],1)*(DATOS_[Conc.Sal.08])))))))),
0)</f>
        <v>0</v>
      </c>
      <c r="R43" s="111">
        <f t="array" ref="R43">IFERROR(
(MEDIAN((IF(DATOS_[[Sexo]:[Sexo]]=$B43,IF(DATOS_[[AGRUP. VALOR. PTO.]:[AGRUP. VALOR. PTO.]]=$B42,IF(DATOS_[[Check Periodo Ref.]:[Check Periodo Ref.]]="Dentro",IF(DATOS_[[Check Equiparado]:[Check Equiparado]]="Sí",IF(DATOS!AM$5="Sí",(1/DATOS_[[% anualiz]:[% anualiz]]),1)*IF(DATOS!AM$4="Sí",1/DATOS_[[% normaliz]:[% normaliz]],1)*(DATOS_[Conc.Sal.09])))))))),
0)</f>
        <v>0</v>
      </c>
      <c r="S43" s="111">
        <f t="array" ref="S43">IFERROR(
(MEDIAN((IF(DATOS_[[Sexo]:[Sexo]]=$B43,IF(DATOS_[[AGRUP. VALOR. PTO.]:[AGRUP. VALOR. PTO.]]=$B42,IF(DATOS_[[Check Periodo Ref.]:[Check Periodo Ref.]]="Dentro",IF(DATOS_[[Check Equiparado]:[Check Equiparado]]="Sí",IF(DATOS!AN$5="Sí",(1/DATOS_[[% anualiz]:[% anualiz]]),1)*IF(DATOS!AN$4="Sí",1/DATOS_[[% normaliz]:[% normaliz]],1)*(DATOS_[Conc.Sal.10])))))))),
0)</f>
        <v>0</v>
      </c>
      <c r="T43" s="111">
        <f t="array" ref="T43">IFERROR(
(MEDIAN((IF(DATOS_[[Sexo]:[Sexo]]=$B43,IF(DATOS_[[AGRUP. VALOR. PTO.]:[AGRUP. VALOR. PTO.]]=$B42,IF(DATOS_[[Check Periodo Ref.]:[Check Periodo Ref.]]="Dentro",IF(DATOS_[[Check Equiparado]:[Check Equiparado]]="Sí",IF(DATOS!AO$5="Sí",(1/DATOS_[[% anualiz]:[% anualiz]]),1)*IF(DATOS!AO$4="Sí",1/DATOS_[[% normaliz]:[% normaliz]],1)*(DATOS_[Conc.Sal.11])))))))),
0)</f>
        <v>0</v>
      </c>
      <c r="U43" s="111">
        <f t="array" ref="U43">IFERROR(
(MEDIAN((IF(DATOS_[[Sexo]:[Sexo]]=$B43,IF(DATOS_[[AGRUP. VALOR. PTO.]:[AGRUP. VALOR. PTO.]]=$B42,IF(DATOS_[[Check Periodo Ref.]:[Check Periodo Ref.]]="Dentro",IF(DATOS_[[Check Equiparado]:[Check Equiparado]]="Sí",IF(DATOS!AP$5="Sí",(1/DATOS_[[% anualiz]:[% anualiz]]),1)*IF(DATOS!AP$4="Sí",1/DATOS_[[% normaliz]:[% normaliz]],1)*(DATOS_[Conc.Sal.12])))))))),
0)</f>
        <v>0</v>
      </c>
      <c r="V43" s="111">
        <f t="array" ref="V43">IFERROR(
(MEDIAN((IF(DATOS_[[Sexo]:[Sexo]]=$B43,IF(DATOS_[[AGRUP. VALOR. PTO.]:[AGRUP. VALOR. PTO.]]=$B42,IF(DATOS_[[Check Periodo Ref.]:[Check Periodo Ref.]]="Dentro",IF(DATOS_[[Check Equiparado]:[Check Equiparado]]="Sí",IF(DATOS!AQ$5="Sí",(1/DATOS_[[% anualiz]:[% anualiz]]),1)*IF(DATOS!AQ$4="Sí",1/DATOS_[[% normaliz]:[% normaliz]],1)*(DATOS_[Conc.Sal.13])))))))),
0)</f>
        <v>0</v>
      </c>
      <c r="W43" s="111">
        <f t="array" ref="W43">IFERROR(
(MEDIAN((IF(DATOS_[[Sexo]:[Sexo]]=$B43,IF(DATOS_[[AGRUP. VALOR. PTO.]:[AGRUP. VALOR. PTO.]]=$B42,IF(DATOS_[[Check Periodo Ref.]:[Check Periodo Ref.]]="Dentro",IF(DATOS_[[Check Equiparado]:[Check Equiparado]]="Sí",IF(DATOS!AR$5="Sí",(1/DATOS_[[% anualiz]:[% anualiz]]),1)*IF(DATOS!AR$4="Sí",1/DATOS_[[% normaliz]:[% normaliz]],1)*(DATOS_[Conc.Sal.14])))))))),
0)</f>
        <v>0</v>
      </c>
      <c r="X43" s="111">
        <f t="array" ref="X43">IFERROR(
(MEDIAN((IF(DATOS_[[Sexo]:[Sexo]]=$B43,IF(DATOS_[[AGRUP. VALOR. PTO.]:[AGRUP. VALOR. PTO.]]=$B42,IF(DATOS_[[Check Periodo Ref.]:[Check Periodo Ref.]]="Dentro",IF(DATOS_[[Check Equiparado]:[Check Equiparado]]="Sí",IF(DATOS!AS$5="Sí",(1/DATOS_[[% anualiz]:[% anualiz]]),1)*IF(DATOS!AS$4="Sí",1/DATOS_[[% normaliz]:[% normaliz]],1)*(DATOS_[Conc.Sal.15])))))))),
0)</f>
        <v>0</v>
      </c>
      <c r="Y43" s="111">
        <f t="array" ref="Y43">IFERROR(
(MEDIAN((IF(DATOS_[[Sexo]:[Sexo]]=$B43,IF(DATOS_[[AGRUP. VALOR. PTO.]:[AGRUP. VALOR. PTO.]]=$B42,IF(DATOS_[[Check Periodo Ref.]:[Check Periodo Ref.]]="Dentro",IF(DATOS_[[Check Equiparado]:[Check Equiparado]]="Sí",IF(DATOS!AT$5="Sí",(1/DATOS_[[% anualiz]:[% anualiz]]),1)*IF(DATOS!AT$4="Sí",1/DATOS_[[% normaliz]:[% normaliz]],1)*(DATOS_[Conc.Sal.16])))))))),
0)</f>
        <v>0</v>
      </c>
      <c r="Z43" s="111">
        <f t="array" ref="Z43">IFERROR(
(MEDIAN((IF(DATOS_[[Sexo]:[Sexo]]=$B43,IF(DATOS_[[AGRUP. VALOR. PTO.]:[AGRUP. VALOR. PTO.]]=$B42,IF(DATOS_[[Check Periodo Ref.]:[Check Periodo Ref.]]="Dentro",IF(DATOS_[[Check Equiparado]:[Check Equiparado]]="Sí",IF(DATOS!AU$5="Sí",(1/DATOS_[[% anualiz]:[% anualiz]]),1)*IF(DATOS!AU$4="Sí",1/DATOS_[[% normaliz]:[% normaliz]],1)*(DATOS_[Conc.Sal.17])))))))),
0)</f>
        <v>0</v>
      </c>
      <c r="AA43" s="111">
        <f t="array" ref="AA43">IFERROR(
(MEDIAN((IF(DATOS_[[Sexo]:[Sexo]]=$B43,IF(DATOS_[[AGRUP. VALOR. PTO.]:[AGRUP. VALOR. PTO.]]=$B42,IF(DATOS_[[Check Periodo Ref.]:[Check Periodo Ref.]]="Dentro",IF(DATOS_[[Check Equiparado]:[Check Equiparado]]="Sí",IF(DATOS!AV$5="Sí",(1/DATOS_[[% anualiz]:[% anualiz]]),1)*IF(DATOS!AV$4="Sí",1/DATOS_[[% normaliz]:[% normaliz]],1)*(DATOS_[Conc.Sal.18])))))))),
0)</f>
        <v>0</v>
      </c>
      <c r="AB43" s="111">
        <f t="array" ref="AB43">IFERROR(
(MEDIAN((IF(DATOS_[[Sexo]:[Sexo]]=$B43,IF(DATOS_[[AGRUP. VALOR. PTO.]:[AGRUP. VALOR. PTO.]]=$B42,IF(DATOS_[[Check Periodo Ref.]:[Check Periodo Ref.]]="Dentro",IF(DATOS_[[Check Equiparado]:[Check Equiparado]]="Sí",IF(DATOS!AW$5="Sí",(1/DATOS_[[% anualiz]:[% anualiz]]),1)*IF(DATOS!AW$4="Sí",1/DATOS_[[% normaliz]:[% normaliz]],1)*(DATOS_[Conc.Sal.19])))))))),
0)</f>
        <v>0</v>
      </c>
      <c r="AC43" s="111">
        <f t="array" ref="AC43">IFERROR(
(MEDIAN((IF(DATOS_[[Sexo]:[Sexo]]=$B43,IF(DATOS_[[AGRUP. VALOR. PTO.]:[AGRUP. VALOR. PTO.]]=$B42,IF(DATOS_[[Check Periodo Ref.]:[Check Periodo Ref.]]="Dentro",IF(DATOS_[[Check Equiparado]:[Check Equiparado]]="Sí",IF(DATOS!AX$5="Sí",(1/DATOS_[[% anualiz]:[% anualiz]]),1)*IF(DATOS!AX$4="Sí",1/DATOS_[[% normaliz]:[% normaliz]],1)*(DATOS_[Conc.Sal.20])))))))),
0)</f>
        <v>0</v>
      </c>
      <c r="AD43" s="111">
        <f t="array" ref="AD43">IFERROR(
(MEDIAN((IF(DATOS_[[Sexo]:[Sexo]]=$B43,IF(DATOS_[[AGRUP. VALOR. PTO.]:[AGRUP. VALOR. PTO.]]=$B42,IF(DATOS_[[Check Periodo Ref.]:[Check Periodo Ref.]]="Dentro",IF(DATOS_[[Check Equiparado]:[Check Equiparado]]="Sí",IF(DATOS!AY$5="Sí",(1/DATOS_[[% anualiz]:[% anualiz]]),1)*IF(DATOS!AY$4="Sí",1/DATOS_[[% normaliz]:[% normaliz]],1)*(DATOS_[Conc.Sal.21])))))))),
0)</f>
        <v>0</v>
      </c>
      <c r="AE43" s="111">
        <f t="array" ref="AE43">IFERROR(
(MEDIAN((IF(DATOS_[[Sexo]:[Sexo]]=$B43,IF(DATOS_[[AGRUP. VALOR. PTO.]:[AGRUP. VALOR. PTO.]]=$B42,IF(DATOS_[[Check Periodo Ref.]:[Check Periodo Ref.]]="Dentro",IF(DATOS_[[Check Equiparado]:[Check Equiparado]]="Sí",IF(DATOS!AZ$5="Sí",(1/DATOS_[[% anualiz]:[% anualiz]]),1)*IF(DATOS!AZ$4="Sí",1/DATOS_[[% normaliz]:[% normaliz]],1)*(DATOS_[Conc.Sal.22])))))))),
0)</f>
        <v>0</v>
      </c>
      <c r="AF43" s="111">
        <f t="array" ref="AF43">IFERROR(
(MEDIAN((IF(DATOS_[[Sexo]:[Sexo]]=$B43,IF(DATOS_[[AGRUP. VALOR. PTO.]:[AGRUP. VALOR. PTO.]]=$B42,IF(DATOS_[[Check Periodo Ref.]:[Check Periodo Ref.]]="Dentro",IF(DATOS_[[Check Equiparado]:[Check Equiparado]]="Sí",IF(DATOS!BA$5="Sí",(1/DATOS_[[% anualiz]:[% anualiz]]),1)*IF(DATOS!BA$4="Sí",1/DATOS_[[% normaliz]:[% normaliz]],1)*(DATOS_[Conc.Sal.23])))))))),
0)</f>
        <v>0</v>
      </c>
      <c r="AG43" s="111">
        <f t="array" ref="AG43">IFERROR(
(MEDIAN((IF(DATOS_[[Sexo]:[Sexo]]=$B43,IF(DATOS_[[AGRUP. VALOR. PTO.]:[AGRUP. VALOR. PTO.]]=$B42,IF(DATOS_[[Check Periodo Ref.]:[Check Periodo Ref.]]="Dentro",IF(DATOS_[[Check Equiparado]:[Check Equiparado]]="Sí",IF(DATOS!BB$5="Sí",(1/DATOS_[[% anualiz]:[% anualiz]]),1)*IF(DATOS!BB$4="Sí",1/DATOS_[[% normaliz]:[% normaliz]],1)*(DATOS_[Conc.Sal.24])))))))),
0)</f>
        <v>0</v>
      </c>
      <c r="AH43" s="111">
        <f t="array" ref="AH43">IFERROR(
(MEDIAN((IF(DATOS_[[Sexo]:[Sexo]]=$B43,IF(DATOS_[[AGRUP. VALOR. PTO.]:[AGRUP. VALOR. PTO.]]=$B42,IF(DATOS_[[Check Periodo Ref.]:[Check Periodo Ref.]]="Dentro",IF(DATOS_[[Check Equiparado]:[Check Equiparado]]="Sí",IF(DATOS!BC$5="Sí",(1/DATOS_[[% anualiz]:[% anualiz]]),1)*IF(DATOS!BC$4="Sí",1/DATOS_[[% normaliz]:[% normaliz]],1)*(DATOS_[Conc.Sal.25])))))))),
0)</f>
        <v>0</v>
      </c>
      <c r="AI43" s="111">
        <f t="array" ref="AI43">IFERROR(
(MEDIAN((IF(DATOS_[[Sexo]:[Sexo]]=$B43,IF(DATOS_[[AGRUP. VALOR. PTO.]:[AGRUP. VALOR. PTO.]]=$B42,IF(DATOS_[[Check Periodo Ref.]:[Check Periodo Ref.]]="Dentro",IF(DATOS_[[Check Equiparado]:[Check Equiparado]]="Sí",IF(DATOS!BD$5="Sí",(1/DATOS_[[% anualiz]:[% anualiz]]),1)*IF(DATOS!BD$4="Sí",1/DATOS_[[% normaliz]:[% normaliz]],1)*(DATOS_[Conc.Sal.26])))))))),
0)</f>
        <v>0</v>
      </c>
      <c r="AJ43" s="111">
        <f t="array" ref="AJ43">IFERROR(
(MEDIAN((IF(DATOS_[[Sexo]:[Sexo]]=$B43,IF(DATOS_[[AGRUP. VALOR. PTO.]:[AGRUP. VALOR. PTO.]]=$B42,IF(DATOS_[[Check Periodo Ref.]:[Check Periodo Ref.]]="Dentro",IF(DATOS_[[Check Equiparado]:[Check Equiparado]]="Sí",IF(DATOS!BE$5="Sí",(1/DATOS_[[% anualiz]:[% anualiz]]),1)*IF(DATOS!BE$4="Sí",1/DATOS_[[% normaliz]:[% normaliz]],1)*(DATOS_[Conc.Sal.27])))))))),
0)</f>
        <v>0</v>
      </c>
      <c r="AK43" s="111">
        <f t="array" ref="AK43">IFERROR(
(MEDIAN((IF(DATOS_[[Sexo]:[Sexo]]=$B43,IF(DATOS_[[AGRUP. VALOR. PTO.]:[AGRUP. VALOR. PTO.]]=$B42,IF(DATOS_[[Check Periodo Ref.]:[Check Periodo Ref.]]="Dentro",IF(DATOS_[[Check Equiparado]:[Check Equiparado]]="Sí",IF(DATOS!BF$5="Sí",(1/DATOS_[[% anualiz]:[% anualiz]]),1)*IF(DATOS!BF$4="Sí",1/DATOS_[[% normaliz]:[% normaliz]],1)*(DATOS_[Conc.Sal.28])))))))),
0)</f>
        <v>0</v>
      </c>
      <c r="AL43" s="111">
        <f t="array" ref="AL43">IFERROR(
(MEDIAN((IF(DATOS_[[Sexo]:[Sexo]]=$B43,IF(DATOS_[[AGRUP. VALOR. PTO.]:[AGRUP. VALOR. PTO.]]=$B42,IF(DATOS_[[Check Periodo Ref.]:[Check Periodo Ref.]]="Dentro",IF(DATOS_[[Check Equiparado]:[Check Equiparado]]="Sí",IF(DATOS!BG$5="Sí",(1/DATOS_[[% anualiz]:[% anualiz]]),1)*IF(DATOS!BG$4="Sí",1/DATOS_[[% normaliz]:[% normaliz]],1)*(DATOS_[Conc.Sal.29])))))))),
0)</f>
        <v>0</v>
      </c>
      <c r="AM43" s="111">
        <f t="array" ref="AM43">IFERROR(
(MEDIAN((IF(DATOS_[[Sexo]:[Sexo]]=$B43,IF(DATOS_[[AGRUP. VALOR. PTO.]:[AGRUP. VALOR. PTO.]]=$B42,IF(DATOS_[[Check Periodo Ref.]:[Check Periodo Ref.]]="Dentro",IF(DATOS_[[Check Equiparado]:[Check Equiparado]]="Sí",IF(DATOS!BH$5="Sí",(1/DATOS_[[% anualiz]:[% anualiz]]),1)*IF(DATOS!BH$4="Sí",1/DATOS_[[% normaliz]:[% normaliz]],1)*(DATOS_[Conc.Sal.30])))))))),
0)</f>
        <v>0</v>
      </c>
      <c r="AN43" s="112">
        <f t="array" ref="AN43">IFERROR(
MEDIAN(IF(DATOS_[Sexo]=$B43,IF(DATOS_[[AGRUP. VALOR. PTO.]:[AGRUP. VALOR. PTO.]]=$B42,IF(DATOS_[Check Equiparado]="Sí",IF(DATOS_[Check Periodo Ref.]="Dentro",DATOS_[Tot COMPL.SAL Eq],FALSE))))),
0)</f>
        <v>0</v>
      </c>
      <c r="AO43" s="113">
        <f t="array" ref="AO43">IFERROR(
MEDIAN(IF(DATOS_[Sexo]=$B43,IF(DATOS_[[AGRUP. VALOR. PTO.]:[AGRUP. VALOR. PTO.]]=$B42,IF(DATOS_[Check Equiparado]="Sí",IF(DATOS_[Check Periodo Ref.]="Dentro",DATOS_[TOTAL SALARIO Eq],FALSE))))),
0)</f>
        <v>0</v>
      </c>
      <c r="AP43" s="114">
        <f t="array" ref="AP43">IFERROR(
(MEDIAN((IF(DATOS_[[Sexo]:[Sexo]]=$B43,IF(DATOS_[[AGRUP. VALOR. PTO.]:[AGRUP. VALOR. PTO.]]=$B42,IF(DATOS_[[Check Periodo Ref.]:[Check Periodo Ref.]]="Dentro",IF(DATOS_[[Check Equiparado]:[Check Equiparado]]="Sí",IF(DATOS!BI$5="Sí",(1/DATOS_[[% anualiz]:[% anualiz]]),1)*IF(DATOS!BI$4="Sí",1/DATOS_[[% normaliz]:[% normaliz]],1)*(DATOS_[C.Extra.01])))))))),
0)</f>
        <v>0</v>
      </c>
      <c r="AQ43" s="114">
        <f t="array" ref="AQ43">IFERROR(
(MEDIAN((IF(DATOS_[[Sexo]:[Sexo]]=$B43,IF(DATOS_[[AGRUP. VALOR. PTO.]:[AGRUP. VALOR. PTO.]]=$B42,IF(DATOS_[[Check Periodo Ref.]:[Check Periodo Ref.]]="Dentro",IF(DATOS_[[Check Equiparado]:[Check Equiparado]]="Sí",IF(DATOS!BJ$5="Sí",(1/DATOS_[[% anualiz]:[% anualiz]]),1)*IF(DATOS!BJ$4="Sí",1/DATOS_[[% normaliz]:[% normaliz]],1)*(DATOS_[C.Extra.02])))))))),
0)</f>
        <v>0</v>
      </c>
      <c r="AR43" s="114">
        <f t="array" ref="AR43">IFERROR(
(MEDIAN((IF(DATOS_[[Sexo]:[Sexo]]=$B43,IF(DATOS_[[AGRUP. VALOR. PTO.]:[AGRUP. VALOR. PTO.]]=$B42,IF(DATOS_[[Check Periodo Ref.]:[Check Periodo Ref.]]="Dentro",IF(DATOS_[[Check Equiparado]:[Check Equiparado]]="Sí",IF(DATOS!BK$5="Sí",(1/DATOS_[[% anualiz]:[% anualiz]]),1)*IF(DATOS!BK$4="Sí",1/DATOS_[[% normaliz]:[% normaliz]],1)*(DATOS_[C.Extra.03])))))))),
0)</f>
        <v>0</v>
      </c>
      <c r="AS43" s="114">
        <f t="array" ref="AS43">IFERROR(
(MEDIAN((IF(DATOS_[[Sexo]:[Sexo]]=$B43,IF(DATOS_[[AGRUP. VALOR. PTO.]:[AGRUP. VALOR. PTO.]]=$B42,IF(DATOS_[[Check Periodo Ref.]:[Check Periodo Ref.]]="Dentro",IF(DATOS_[[Check Equiparado]:[Check Equiparado]]="Sí",IF(DATOS!BL$5="Sí",(1/DATOS_[[% anualiz]:[% anualiz]]),1)*IF(DATOS!BL$4="Sí",1/DATOS_[[% normaliz]:[% normaliz]],1)*(DATOS_[C.Extra.04])))))))),
0)</f>
        <v>0</v>
      </c>
      <c r="AT43" s="114">
        <f t="array" ref="AT43">IFERROR(
(MEDIAN((IF(DATOS_[[Sexo]:[Sexo]]=$B43,IF(DATOS_[[AGRUP. VALOR. PTO.]:[AGRUP. VALOR. PTO.]]=$B42,IF(DATOS_[[Check Periodo Ref.]:[Check Periodo Ref.]]="Dentro",IF(DATOS_[[Check Equiparado]:[Check Equiparado]]="Sí",IF(DATOS!BM$5="Sí",(1/DATOS_[[% anualiz]:[% anualiz]]),1)*IF(DATOS!BM$4="Sí",1/DATOS_[[% normaliz]:[% normaliz]],1)*(DATOS_[C.Extra.05])))))))),
0)</f>
        <v>0</v>
      </c>
      <c r="AU43" s="115">
        <f t="array" ref="AU43">IFERROR(
MEDIAN(IF(DATOS_[Sexo]=$B43,IF(DATOS_[[AGRUP. VALOR. PTO.]:[AGRUP. VALOR. PTO.]]=$B42,IF(DATOS_[Check Equiparado]="Sí",IF(DATOS_[Check Periodo Ref.]="Dentro",DATOS_[Tot Extrasalarial Eq],FALSE))))),
0)</f>
        <v>0</v>
      </c>
      <c r="AV43" s="116">
        <f t="array" ref="AV43">IFERROR(
MEDIAN(IF(DATOS_[Sexo]=$B43,IF(DATOS_[[AGRUP. VALOR. PTO.]:[AGRUP. VALOR. PTO.]]=$B42,IF(DATOS_[Check Equiparado]="Sí",IF(DATOS_[Check Periodo Ref.]="Dentro",DATOS_[TOTAL Retrib Eq],FALSE))))),
0)</f>
        <v>0</v>
      </c>
    </row>
    <row r="44" spans="1:48" hidden="1" x14ac:dyDescent="0.3">
      <c r="A44" s="42" t="str">
        <f t="shared" ref="A44" si="42">+A43</f>
        <v>[ocultar]</v>
      </c>
      <c r="B44" s="86" t="s">
        <v>163</v>
      </c>
      <c r="C44" s="33">
        <f t="array" ref="C44">SUM(IF($B44=DATOS_[Sexo],
IF($B42=DATOS_[AGRUP. VALOR. PTO.],
IF("Dentro"=DATOS_[Check Periodo Ref.],
1/(COUNTIFS(DATOS_[Sexo],$B44,DATOS_[AGRUP. VALOR. PTO.],$B42,DATOS_[Check Periodo Ref.],"Dentro",DATOS_[id],DATOS_[id]))))))</f>
        <v>0</v>
      </c>
      <c r="D44" s="35">
        <f>COUNTIFS(DATOS_[AGRUP. VALOR. PTO.],$B42,DATOS_[Sexo],$B44,DATOS_[Check Periodo Ref.],"Dentro")</f>
        <v>0</v>
      </c>
      <c r="E44" s="35">
        <f>COUNTIFS(DATOS_[AGRUP. VALOR. PTO.],$B42,DATOS_[Sexo],$B44,DATOS_[Check Periodo Ref.],"Dentro",DATOS_[Check Nº SC Norm],"Sí")</f>
        <v>0</v>
      </c>
      <c r="F44" s="35">
        <f>COUNTIFS(DATOS_[AGRUP. VALOR. PTO.],$B42,DATOS_[Sexo],$B44,DATOS_[Check Periodo Ref.],"Dentro",DATOS_[Check Nº SC Anualiz],"Sí")</f>
        <v>0</v>
      </c>
      <c r="G44" s="35">
        <f>COUNTIFS(DATOS_[AGRUP. VALOR. PTO.],$B42,DATOS_[Sexo],$B44,DATOS_[Check Periodo Ref.],"Dentro",DATOS_[Check Nº SC Norm y Anualiz],"Sí")</f>
        <v>0</v>
      </c>
      <c r="H44" s="35">
        <f>COUNTIFS(DATOS_[AGRUP. VALOR. PTO.],$B42,DATOS_[Sexo],$B44,DATOS_[Check Periodo Ref.],"Dentro",DATOS_[Check Equiparación],"Sí")</f>
        <v>0</v>
      </c>
      <c r="I44" s="110" cm="1">
        <f t="array" ref="I44">IFERROR(
MEDIAN(IF(DATOS_[Sexo]=$B44,IF(DATOS_[[AGRUP. VALOR. PTO.]:[AGRUP. VALOR. PTO.]]=$B42,IF(DATOS_[Check Equiparado]="Sí",IF(DATOS_[Check Periodo Ref.]="Dentro",DATOS_[SALARIO BASE Eq],FALSE))))),
0)</f>
        <v>0</v>
      </c>
      <c r="J44" s="111">
        <f t="array" ref="J44">IFERROR(
(MEDIAN((IF(DATOS_[[Sexo]:[Sexo]]=$B44,IF(DATOS_[[AGRUP. VALOR. PTO.]:[AGRUP. VALOR. PTO.]]=$B42,IF(DATOS_[[Check Periodo Ref.]:[Check Periodo Ref.]]="Dentro",IF(DATOS_[[Check Equiparado]:[Check Equiparado]]="Sí",IF(DATOS!AE$5="Sí",(1/DATOS_[[% anualiz]:[% anualiz]]),1)*IF(DATOS!AE$4="Sí",1/DATOS_[[% normaliz]:[% normaliz]],1)*(DATOS_[Conc.Sal.01])))))))),
0)</f>
        <v>0</v>
      </c>
      <c r="K44" s="111">
        <f t="array" ref="K44">IFERROR(
(MEDIAN((IF(DATOS_[[Sexo]:[Sexo]]=$B44,IF(DATOS_[[AGRUP. VALOR. PTO.]:[AGRUP. VALOR. PTO.]]=$B42,IF(DATOS_[[Check Periodo Ref.]:[Check Periodo Ref.]]="Dentro",IF(DATOS_[[Check Equiparado]:[Check Equiparado]]="Sí",IF(DATOS!AF$5="Sí",(1/DATOS_[[% anualiz]:[% anualiz]]),1)*IF(DATOS!AF$4="Sí",1/DATOS_[[% normaliz]:[% normaliz]],1)*(DATOS_[Conc.Sal.02])))))))),
0)</f>
        <v>0</v>
      </c>
      <c r="L44" s="111">
        <f t="array" ref="L44">IFERROR(
(MEDIAN((IF(DATOS_[[Sexo]:[Sexo]]=$B44,IF(DATOS_[[AGRUP. VALOR. PTO.]:[AGRUP. VALOR. PTO.]]=$B42,IF(DATOS_[[Check Periodo Ref.]:[Check Periodo Ref.]]="Dentro",IF(DATOS_[[Check Equiparado]:[Check Equiparado]]="Sí",IF(DATOS!AG$5="Sí",(1/DATOS_[[% anualiz]:[% anualiz]]),1)*IF(DATOS!AG$4="Sí",1/DATOS_[[% normaliz]:[% normaliz]],1)*(DATOS_[Conc.Sal.03])))))))),
0)</f>
        <v>0</v>
      </c>
      <c r="M44" s="111">
        <f t="array" ref="M44">IFERROR(
(MEDIAN((IF(DATOS_[[Sexo]:[Sexo]]=$B44,IF(DATOS_[[AGRUP. VALOR. PTO.]:[AGRUP. VALOR. PTO.]]=$B42,IF(DATOS_[[Check Periodo Ref.]:[Check Periodo Ref.]]="Dentro",IF(DATOS_[[Check Equiparado]:[Check Equiparado]]="Sí",IF(DATOS!AH$5="Sí",(1/DATOS_[[% anualiz]:[% anualiz]]),1)*IF(DATOS!AH$4="Sí",1/DATOS_[[% normaliz]:[% normaliz]],1)*(DATOS_[Conc.Sal.04])))))))),
0)</f>
        <v>0</v>
      </c>
      <c r="N44" s="111">
        <f t="array" ref="N44">IFERROR(
(MEDIAN((IF(DATOS_[[Sexo]:[Sexo]]=$B44,IF(DATOS_[[AGRUP. VALOR. PTO.]:[AGRUP. VALOR. PTO.]]=$B42,IF(DATOS_[[Check Periodo Ref.]:[Check Periodo Ref.]]="Dentro",IF(DATOS_[[Check Equiparado]:[Check Equiparado]]="Sí",IF(DATOS!AI$5="Sí",(1/DATOS_[[% anualiz]:[% anualiz]]),1)*IF(DATOS!AI$4="Sí",1/DATOS_[[% normaliz]:[% normaliz]],1)*(DATOS_[Conc.Sal.05])))))))),
0)</f>
        <v>0</v>
      </c>
      <c r="O44" s="111">
        <f t="array" ref="O44">IFERROR(
(MEDIAN((IF(DATOS_[[Sexo]:[Sexo]]=$B44,IF(DATOS_[[AGRUP. VALOR. PTO.]:[AGRUP. VALOR. PTO.]]=$B42,IF(DATOS_[[Check Periodo Ref.]:[Check Periodo Ref.]]="Dentro",IF(DATOS_[[Check Equiparado]:[Check Equiparado]]="Sí",IF(DATOS!AJ$5="Sí",(1/DATOS_[[% anualiz]:[% anualiz]]),1)*IF(DATOS!AJ$4="Sí",1/DATOS_[[% normaliz]:[% normaliz]],1)*(DATOS_[Conc.Sal.06])))))))),
0)</f>
        <v>0</v>
      </c>
      <c r="P44" s="111">
        <f t="array" ref="P44">IFERROR(
(MEDIAN((IF(DATOS_[[Sexo]:[Sexo]]=$B44,IF(DATOS_[[AGRUP. VALOR. PTO.]:[AGRUP. VALOR. PTO.]]=$B42,IF(DATOS_[[Check Periodo Ref.]:[Check Periodo Ref.]]="Dentro",IF(DATOS_[[Check Equiparado]:[Check Equiparado]]="Sí",IF(DATOS!AK$5="Sí",(1/DATOS_[[% anualiz]:[% anualiz]]),1)*IF(DATOS!AK$4="Sí",1/DATOS_[[% normaliz]:[% normaliz]],1)*(DATOS_[Conc.Sal.07])))))))),
0)</f>
        <v>0</v>
      </c>
      <c r="Q44" s="111">
        <f t="array" ref="Q44">IFERROR(
(MEDIAN((IF(DATOS_[[Sexo]:[Sexo]]=$B44,IF(DATOS_[[AGRUP. VALOR. PTO.]:[AGRUP. VALOR. PTO.]]=$B42,IF(DATOS_[[Check Periodo Ref.]:[Check Periodo Ref.]]="Dentro",IF(DATOS_[[Check Equiparado]:[Check Equiparado]]="Sí",IF(DATOS!AL$5="Sí",(1/DATOS_[[% anualiz]:[% anualiz]]),1)*IF(DATOS!AL$4="Sí",1/DATOS_[[% normaliz]:[% normaliz]],1)*(DATOS_[Conc.Sal.08])))))))),
0)</f>
        <v>0</v>
      </c>
      <c r="R44" s="111">
        <f t="array" ref="R44">IFERROR(
(MEDIAN((IF(DATOS_[[Sexo]:[Sexo]]=$B44,IF(DATOS_[[AGRUP. VALOR. PTO.]:[AGRUP. VALOR. PTO.]]=$B42,IF(DATOS_[[Check Periodo Ref.]:[Check Periodo Ref.]]="Dentro",IF(DATOS_[[Check Equiparado]:[Check Equiparado]]="Sí",IF(DATOS!AM$5="Sí",(1/DATOS_[[% anualiz]:[% anualiz]]),1)*IF(DATOS!AM$4="Sí",1/DATOS_[[% normaliz]:[% normaliz]],1)*(DATOS_[Conc.Sal.09])))))))),
0)</f>
        <v>0</v>
      </c>
      <c r="S44" s="111">
        <f t="array" ref="S44">IFERROR(
(MEDIAN((IF(DATOS_[[Sexo]:[Sexo]]=$B44,IF(DATOS_[[AGRUP. VALOR. PTO.]:[AGRUP. VALOR. PTO.]]=$B42,IF(DATOS_[[Check Periodo Ref.]:[Check Periodo Ref.]]="Dentro",IF(DATOS_[[Check Equiparado]:[Check Equiparado]]="Sí",IF(DATOS!AN$5="Sí",(1/DATOS_[[% anualiz]:[% anualiz]]),1)*IF(DATOS!AN$4="Sí",1/DATOS_[[% normaliz]:[% normaliz]],1)*(DATOS_[Conc.Sal.10])))))))),
0)</f>
        <v>0</v>
      </c>
      <c r="T44" s="111">
        <f t="array" ref="T44">IFERROR(
(MEDIAN((IF(DATOS_[[Sexo]:[Sexo]]=$B44,IF(DATOS_[[AGRUP. VALOR. PTO.]:[AGRUP. VALOR. PTO.]]=$B42,IF(DATOS_[[Check Periodo Ref.]:[Check Periodo Ref.]]="Dentro",IF(DATOS_[[Check Equiparado]:[Check Equiparado]]="Sí",IF(DATOS!AO$5="Sí",(1/DATOS_[[% anualiz]:[% anualiz]]),1)*IF(DATOS!AO$4="Sí",1/DATOS_[[% normaliz]:[% normaliz]],1)*(DATOS_[Conc.Sal.11])))))))),
0)</f>
        <v>0</v>
      </c>
      <c r="U44" s="111">
        <f t="array" ref="U44">IFERROR(
(MEDIAN((IF(DATOS_[[Sexo]:[Sexo]]=$B44,IF(DATOS_[[AGRUP. VALOR. PTO.]:[AGRUP. VALOR. PTO.]]=$B42,IF(DATOS_[[Check Periodo Ref.]:[Check Periodo Ref.]]="Dentro",IF(DATOS_[[Check Equiparado]:[Check Equiparado]]="Sí",IF(DATOS!AP$5="Sí",(1/DATOS_[[% anualiz]:[% anualiz]]),1)*IF(DATOS!AP$4="Sí",1/DATOS_[[% normaliz]:[% normaliz]],1)*(DATOS_[Conc.Sal.12])))))))),
0)</f>
        <v>0</v>
      </c>
      <c r="V44" s="111">
        <f t="array" ref="V44">IFERROR(
(MEDIAN((IF(DATOS_[[Sexo]:[Sexo]]=$B44,IF(DATOS_[[AGRUP. VALOR. PTO.]:[AGRUP. VALOR. PTO.]]=$B42,IF(DATOS_[[Check Periodo Ref.]:[Check Periodo Ref.]]="Dentro",IF(DATOS_[[Check Equiparado]:[Check Equiparado]]="Sí",IF(DATOS!AQ$5="Sí",(1/DATOS_[[% anualiz]:[% anualiz]]),1)*IF(DATOS!AQ$4="Sí",1/DATOS_[[% normaliz]:[% normaliz]],1)*(DATOS_[Conc.Sal.13])))))))),
0)</f>
        <v>0</v>
      </c>
      <c r="W44" s="111">
        <f t="array" ref="W44">IFERROR(
(MEDIAN((IF(DATOS_[[Sexo]:[Sexo]]=$B44,IF(DATOS_[[AGRUP. VALOR. PTO.]:[AGRUP. VALOR. PTO.]]=$B42,IF(DATOS_[[Check Periodo Ref.]:[Check Periodo Ref.]]="Dentro",IF(DATOS_[[Check Equiparado]:[Check Equiparado]]="Sí",IF(DATOS!AR$5="Sí",(1/DATOS_[[% anualiz]:[% anualiz]]),1)*IF(DATOS!AR$4="Sí",1/DATOS_[[% normaliz]:[% normaliz]],1)*(DATOS_[Conc.Sal.14])))))))),
0)</f>
        <v>0</v>
      </c>
      <c r="X44" s="111">
        <f t="array" ref="X44">IFERROR(
(MEDIAN((IF(DATOS_[[Sexo]:[Sexo]]=$B44,IF(DATOS_[[AGRUP. VALOR. PTO.]:[AGRUP. VALOR. PTO.]]=$B42,IF(DATOS_[[Check Periodo Ref.]:[Check Periodo Ref.]]="Dentro",IF(DATOS_[[Check Equiparado]:[Check Equiparado]]="Sí",IF(DATOS!AS$5="Sí",(1/DATOS_[[% anualiz]:[% anualiz]]),1)*IF(DATOS!AS$4="Sí",1/DATOS_[[% normaliz]:[% normaliz]],1)*(DATOS_[Conc.Sal.15])))))))),
0)</f>
        <v>0</v>
      </c>
      <c r="Y44" s="111">
        <f t="array" ref="Y44">IFERROR(
(MEDIAN((IF(DATOS_[[Sexo]:[Sexo]]=$B44,IF(DATOS_[[AGRUP. VALOR. PTO.]:[AGRUP. VALOR. PTO.]]=$B42,IF(DATOS_[[Check Periodo Ref.]:[Check Periodo Ref.]]="Dentro",IF(DATOS_[[Check Equiparado]:[Check Equiparado]]="Sí",IF(DATOS!AT$5="Sí",(1/DATOS_[[% anualiz]:[% anualiz]]),1)*IF(DATOS!AT$4="Sí",1/DATOS_[[% normaliz]:[% normaliz]],1)*(DATOS_[Conc.Sal.16])))))))),
0)</f>
        <v>0</v>
      </c>
      <c r="Z44" s="111">
        <f t="array" ref="Z44">IFERROR(
(MEDIAN((IF(DATOS_[[Sexo]:[Sexo]]=$B44,IF(DATOS_[[AGRUP. VALOR. PTO.]:[AGRUP. VALOR. PTO.]]=$B42,IF(DATOS_[[Check Periodo Ref.]:[Check Periodo Ref.]]="Dentro",IF(DATOS_[[Check Equiparado]:[Check Equiparado]]="Sí",IF(DATOS!AU$5="Sí",(1/DATOS_[[% anualiz]:[% anualiz]]),1)*IF(DATOS!AU$4="Sí",1/DATOS_[[% normaliz]:[% normaliz]],1)*(DATOS_[Conc.Sal.17])))))))),
0)</f>
        <v>0</v>
      </c>
      <c r="AA44" s="111">
        <f t="array" ref="AA44">IFERROR(
(MEDIAN((IF(DATOS_[[Sexo]:[Sexo]]=$B44,IF(DATOS_[[AGRUP. VALOR. PTO.]:[AGRUP. VALOR. PTO.]]=$B42,IF(DATOS_[[Check Periodo Ref.]:[Check Periodo Ref.]]="Dentro",IF(DATOS_[[Check Equiparado]:[Check Equiparado]]="Sí",IF(DATOS!AV$5="Sí",(1/DATOS_[[% anualiz]:[% anualiz]]),1)*IF(DATOS!AV$4="Sí",1/DATOS_[[% normaliz]:[% normaliz]],1)*(DATOS_[Conc.Sal.18])))))))),
0)</f>
        <v>0</v>
      </c>
      <c r="AB44" s="111">
        <f t="array" ref="AB44">IFERROR(
(MEDIAN((IF(DATOS_[[Sexo]:[Sexo]]=$B44,IF(DATOS_[[AGRUP. VALOR. PTO.]:[AGRUP. VALOR. PTO.]]=$B42,IF(DATOS_[[Check Periodo Ref.]:[Check Periodo Ref.]]="Dentro",IF(DATOS_[[Check Equiparado]:[Check Equiparado]]="Sí",IF(DATOS!AW$5="Sí",(1/DATOS_[[% anualiz]:[% anualiz]]),1)*IF(DATOS!AW$4="Sí",1/DATOS_[[% normaliz]:[% normaliz]],1)*(DATOS_[Conc.Sal.19])))))))),
0)</f>
        <v>0</v>
      </c>
      <c r="AC44" s="111">
        <f t="array" ref="AC44">IFERROR(
(MEDIAN((IF(DATOS_[[Sexo]:[Sexo]]=$B44,IF(DATOS_[[AGRUP. VALOR. PTO.]:[AGRUP. VALOR. PTO.]]=$B42,IF(DATOS_[[Check Periodo Ref.]:[Check Periodo Ref.]]="Dentro",IF(DATOS_[[Check Equiparado]:[Check Equiparado]]="Sí",IF(DATOS!AX$5="Sí",(1/DATOS_[[% anualiz]:[% anualiz]]),1)*IF(DATOS!AX$4="Sí",1/DATOS_[[% normaliz]:[% normaliz]],1)*(DATOS_[Conc.Sal.20])))))))),
0)</f>
        <v>0</v>
      </c>
      <c r="AD44" s="111">
        <f t="array" ref="AD44">IFERROR(
(MEDIAN((IF(DATOS_[[Sexo]:[Sexo]]=$B44,IF(DATOS_[[AGRUP. VALOR. PTO.]:[AGRUP. VALOR. PTO.]]=$B42,IF(DATOS_[[Check Periodo Ref.]:[Check Periodo Ref.]]="Dentro",IF(DATOS_[[Check Equiparado]:[Check Equiparado]]="Sí",IF(DATOS!AY$5="Sí",(1/DATOS_[[% anualiz]:[% anualiz]]),1)*IF(DATOS!AY$4="Sí",1/DATOS_[[% normaliz]:[% normaliz]],1)*(DATOS_[Conc.Sal.21])))))))),
0)</f>
        <v>0</v>
      </c>
      <c r="AE44" s="111">
        <f t="array" ref="AE44">IFERROR(
(MEDIAN((IF(DATOS_[[Sexo]:[Sexo]]=$B44,IF(DATOS_[[AGRUP. VALOR. PTO.]:[AGRUP. VALOR. PTO.]]=$B42,IF(DATOS_[[Check Periodo Ref.]:[Check Periodo Ref.]]="Dentro",IF(DATOS_[[Check Equiparado]:[Check Equiparado]]="Sí",IF(DATOS!AZ$5="Sí",(1/DATOS_[[% anualiz]:[% anualiz]]),1)*IF(DATOS!AZ$4="Sí",1/DATOS_[[% normaliz]:[% normaliz]],1)*(DATOS_[Conc.Sal.22])))))))),
0)</f>
        <v>0</v>
      </c>
      <c r="AF44" s="111">
        <f t="array" ref="AF44">IFERROR(
(MEDIAN((IF(DATOS_[[Sexo]:[Sexo]]=$B44,IF(DATOS_[[AGRUP. VALOR. PTO.]:[AGRUP. VALOR. PTO.]]=$B42,IF(DATOS_[[Check Periodo Ref.]:[Check Periodo Ref.]]="Dentro",IF(DATOS_[[Check Equiparado]:[Check Equiparado]]="Sí",IF(DATOS!BA$5="Sí",(1/DATOS_[[% anualiz]:[% anualiz]]),1)*IF(DATOS!BA$4="Sí",1/DATOS_[[% normaliz]:[% normaliz]],1)*(DATOS_[Conc.Sal.23])))))))),
0)</f>
        <v>0</v>
      </c>
      <c r="AG44" s="111">
        <f t="array" ref="AG44">IFERROR(
(MEDIAN((IF(DATOS_[[Sexo]:[Sexo]]=$B44,IF(DATOS_[[AGRUP. VALOR. PTO.]:[AGRUP. VALOR. PTO.]]=$B42,IF(DATOS_[[Check Periodo Ref.]:[Check Periodo Ref.]]="Dentro",IF(DATOS_[[Check Equiparado]:[Check Equiparado]]="Sí",IF(DATOS!BB$5="Sí",(1/DATOS_[[% anualiz]:[% anualiz]]),1)*IF(DATOS!BB$4="Sí",1/DATOS_[[% normaliz]:[% normaliz]],1)*(DATOS_[Conc.Sal.24])))))))),
0)</f>
        <v>0</v>
      </c>
      <c r="AH44" s="111">
        <f t="array" ref="AH44">IFERROR(
(MEDIAN((IF(DATOS_[[Sexo]:[Sexo]]=$B44,IF(DATOS_[[AGRUP. VALOR. PTO.]:[AGRUP. VALOR. PTO.]]=$B42,IF(DATOS_[[Check Periodo Ref.]:[Check Periodo Ref.]]="Dentro",IF(DATOS_[[Check Equiparado]:[Check Equiparado]]="Sí",IF(DATOS!BC$5="Sí",(1/DATOS_[[% anualiz]:[% anualiz]]),1)*IF(DATOS!BC$4="Sí",1/DATOS_[[% normaliz]:[% normaliz]],1)*(DATOS_[Conc.Sal.25])))))))),
0)</f>
        <v>0</v>
      </c>
      <c r="AI44" s="111">
        <f t="array" ref="AI44">IFERROR(
(MEDIAN((IF(DATOS_[[Sexo]:[Sexo]]=$B44,IF(DATOS_[[AGRUP. VALOR. PTO.]:[AGRUP. VALOR. PTO.]]=$B42,IF(DATOS_[[Check Periodo Ref.]:[Check Periodo Ref.]]="Dentro",IF(DATOS_[[Check Equiparado]:[Check Equiparado]]="Sí",IF(DATOS!BD$5="Sí",(1/DATOS_[[% anualiz]:[% anualiz]]),1)*IF(DATOS!BD$4="Sí",1/DATOS_[[% normaliz]:[% normaliz]],1)*(DATOS_[Conc.Sal.26])))))))),
0)</f>
        <v>0</v>
      </c>
      <c r="AJ44" s="111">
        <f t="array" ref="AJ44">IFERROR(
(MEDIAN((IF(DATOS_[[Sexo]:[Sexo]]=$B44,IF(DATOS_[[AGRUP. VALOR. PTO.]:[AGRUP. VALOR. PTO.]]=$B42,IF(DATOS_[[Check Periodo Ref.]:[Check Periodo Ref.]]="Dentro",IF(DATOS_[[Check Equiparado]:[Check Equiparado]]="Sí",IF(DATOS!BE$5="Sí",(1/DATOS_[[% anualiz]:[% anualiz]]),1)*IF(DATOS!BE$4="Sí",1/DATOS_[[% normaliz]:[% normaliz]],1)*(DATOS_[Conc.Sal.27])))))))),
0)</f>
        <v>0</v>
      </c>
      <c r="AK44" s="111">
        <f t="array" ref="AK44">IFERROR(
(MEDIAN((IF(DATOS_[[Sexo]:[Sexo]]=$B44,IF(DATOS_[[AGRUP. VALOR. PTO.]:[AGRUP. VALOR. PTO.]]=$B42,IF(DATOS_[[Check Periodo Ref.]:[Check Periodo Ref.]]="Dentro",IF(DATOS_[[Check Equiparado]:[Check Equiparado]]="Sí",IF(DATOS!BF$5="Sí",(1/DATOS_[[% anualiz]:[% anualiz]]),1)*IF(DATOS!BF$4="Sí",1/DATOS_[[% normaliz]:[% normaliz]],1)*(DATOS_[Conc.Sal.28])))))))),
0)</f>
        <v>0</v>
      </c>
      <c r="AL44" s="111">
        <f t="array" ref="AL44">IFERROR(
(MEDIAN((IF(DATOS_[[Sexo]:[Sexo]]=$B44,IF(DATOS_[[AGRUP. VALOR. PTO.]:[AGRUP. VALOR. PTO.]]=$B42,IF(DATOS_[[Check Periodo Ref.]:[Check Periodo Ref.]]="Dentro",IF(DATOS_[[Check Equiparado]:[Check Equiparado]]="Sí",IF(DATOS!BG$5="Sí",(1/DATOS_[[% anualiz]:[% anualiz]]),1)*IF(DATOS!BG$4="Sí",1/DATOS_[[% normaliz]:[% normaliz]],1)*(DATOS_[Conc.Sal.29])))))))),
0)</f>
        <v>0</v>
      </c>
      <c r="AM44" s="111">
        <f t="array" ref="AM44">IFERROR(
(MEDIAN((IF(DATOS_[[Sexo]:[Sexo]]=$B44,IF(DATOS_[[AGRUP. VALOR. PTO.]:[AGRUP. VALOR. PTO.]]=$B42,IF(DATOS_[[Check Periodo Ref.]:[Check Periodo Ref.]]="Dentro",IF(DATOS_[[Check Equiparado]:[Check Equiparado]]="Sí",IF(DATOS!BH$5="Sí",(1/DATOS_[[% anualiz]:[% anualiz]]),1)*IF(DATOS!BH$4="Sí",1/DATOS_[[% normaliz]:[% normaliz]],1)*(DATOS_[Conc.Sal.30])))))))),
0)</f>
        <v>0</v>
      </c>
      <c r="AN44" s="112">
        <f t="array" ref="AN44">IFERROR(
MEDIAN(IF(DATOS_[Sexo]=$B44,IF(DATOS_[[AGRUP. VALOR. PTO.]:[AGRUP. VALOR. PTO.]]=$B42,IF(DATOS_[Check Equiparado]="Sí",IF(DATOS_[Check Periodo Ref.]="Dentro",DATOS_[Tot COMPL.SAL Eq],FALSE))))),
0)</f>
        <v>0</v>
      </c>
      <c r="AO44" s="113">
        <f t="array" ref="AO44">IFERROR(
MEDIAN(IF(DATOS_[Sexo]=$B44,IF(DATOS_[[AGRUP. VALOR. PTO.]:[AGRUP. VALOR. PTO.]]=$B42,IF(DATOS_[Check Equiparado]="Sí",IF(DATOS_[Check Periodo Ref.]="Dentro",DATOS_[TOTAL SALARIO Eq],FALSE))))),
0)</f>
        <v>0</v>
      </c>
      <c r="AP44" s="114">
        <f t="array" ref="AP44">IFERROR(
(MEDIAN((IF(DATOS_[[Sexo]:[Sexo]]=$B44,IF(DATOS_[[AGRUP. VALOR. PTO.]:[AGRUP. VALOR. PTO.]]=$B42,IF(DATOS_[[Check Periodo Ref.]:[Check Periodo Ref.]]="Dentro",IF(DATOS_[[Check Equiparado]:[Check Equiparado]]="Sí",IF(DATOS!BI$5="Sí",(1/DATOS_[[% anualiz]:[% anualiz]]),1)*IF(DATOS!BI$4="Sí",1/DATOS_[[% normaliz]:[% normaliz]],1)*(DATOS_[C.Extra.01])))))))),
0)</f>
        <v>0</v>
      </c>
      <c r="AQ44" s="114">
        <f t="array" ref="AQ44">IFERROR(
(MEDIAN((IF(DATOS_[[Sexo]:[Sexo]]=$B44,IF(DATOS_[[AGRUP. VALOR. PTO.]:[AGRUP. VALOR. PTO.]]=$B42,IF(DATOS_[[Check Periodo Ref.]:[Check Periodo Ref.]]="Dentro",IF(DATOS_[[Check Equiparado]:[Check Equiparado]]="Sí",IF(DATOS!BJ$5="Sí",(1/DATOS_[[% anualiz]:[% anualiz]]),1)*IF(DATOS!BJ$4="Sí",1/DATOS_[[% normaliz]:[% normaliz]],1)*(DATOS_[C.Extra.02])))))))),
0)</f>
        <v>0</v>
      </c>
      <c r="AR44" s="114">
        <f t="array" ref="AR44">IFERROR(
(MEDIAN((IF(DATOS_[[Sexo]:[Sexo]]=$B44,IF(DATOS_[[AGRUP. VALOR. PTO.]:[AGRUP. VALOR. PTO.]]=$B42,IF(DATOS_[[Check Periodo Ref.]:[Check Periodo Ref.]]="Dentro",IF(DATOS_[[Check Equiparado]:[Check Equiparado]]="Sí",IF(DATOS!BK$5="Sí",(1/DATOS_[[% anualiz]:[% anualiz]]),1)*IF(DATOS!BK$4="Sí",1/DATOS_[[% normaliz]:[% normaliz]],1)*(DATOS_[C.Extra.03])))))))),
0)</f>
        <v>0</v>
      </c>
      <c r="AS44" s="114">
        <f t="array" ref="AS44">IFERROR(
(MEDIAN((IF(DATOS_[[Sexo]:[Sexo]]=$B44,IF(DATOS_[[AGRUP. VALOR. PTO.]:[AGRUP. VALOR. PTO.]]=$B42,IF(DATOS_[[Check Periodo Ref.]:[Check Periodo Ref.]]="Dentro",IF(DATOS_[[Check Equiparado]:[Check Equiparado]]="Sí",IF(DATOS!BL$5="Sí",(1/DATOS_[[% anualiz]:[% anualiz]]),1)*IF(DATOS!BL$4="Sí",1/DATOS_[[% normaliz]:[% normaliz]],1)*(DATOS_[C.Extra.04])))))))),
0)</f>
        <v>0</v>
      </c>
      <c r="AT44" s="114">
        <f t="array" ref="AT44">IFERROR(
(MEDIAN((IF(DATOS_[[Sexo]:[Sexo]]=$B44,IF(DATOS_[[AGRUP. VALOR. PTO.]:[AGRUP. VALOR. PTO.]]=$B42,IF(DATOS_[[Check Periodo Ref.]:[Check Periodo Ref.]]="Dentro",IF(DATOS_[[Check Equiparado]:[Check Equiparado]]="Sí",IF(DATOS!BM$5="Sí",(1/DATOS_[[% anualiz]:[% anualiz]]),1)*IF(DATOS!BM$4="Sí",1/DATOS_[[% normaliz]:[% normaliz]],1)*(DATOS_[C.Extra.05])))))))),
0)</f>
        <v>0</v>
      </c>
      <c r="AU44" s="115">
        <f t="array" ref="AU44">IFERROR(
MEDIAN(IF(DATOS_[Sexo]=$B44,IF(DATOS_[[AGRUP. VALOR. PTO.]:[AGRUP. VALOR. PTO.]]=$B42,IF(DATOS_[Check Equiparado]="Sí",IF(DATOS_[Check Periodo Ref.]="Dentro",DATOS_[Tot Extrasalarial Eq],FALSE))))),
0)</f>
        <v>0</v>
      </c>
      <c r="AV44" s="116">
        <f t="array" ref="AV44">IFERROR(
MEDIAN(IF(DATOS_[Sexo]=$B44,IF(DATOS_[[AGRUP. VALOR. PTO.]:[AGRUP. VALOR. PTO.]]=$B42,IF(DATOS_[Check Equiparado]="Sí",IF(DATOS_[Check Periodo Ref.]="Dentro",DATOS_[TOTAL Retrib Eq],FALSE))))),
0)</f>
        <v>0</v>
      </c>
    </row>
    <row r="45" spans="1:48" ht="17.25" hidden="1" thickBot="1" x14ac:dyDescent="0.35">
      <c r="A45" s="42" t="str">
        <f t="shared" ref="A45" si="43">+A46</f>
        <v>[ocultar]</v>
      </c>
      <c r="B45" s="90" t="s">
        <v>270</v>
      </c>
      <c r="C45" s="109"/>
      <c r="D45" s="41"/>
      <c r="E45" s="41"/>
      <c r="F45" s="41"/>
      <c r="G45" s="41"/>
      <c r="H45" s="41"/>
      <c r="I45" s="119" t="str">
        <f t="shared" ref="I45:AV45" si="44">IFERROR((I46-I47)/I46,"")</f>
        <v/>
      </c>
      <c r="J45" s="123" t="str">
        <f t="shared" si="44"/>
        <v/>
      </c>
      <c r="K45" s="123" t="str">
        <f t="shared" si="44"/>
        <v/>
      </c>
      <c r="L45" s="123" t="str">
        <f t="shared" si="44"/>
        <v/>
      </c>
      <c r="M45" s="123" t="str">
        <f t="shared" si="44"/>
        <v/>
      </c>
      <c r="N45" s="123" t="str">
        <f t="shared" si="44"/>
        <v/>
      </c>
      <c r="O45" s="123" t="str">
        <f t="shared" si="44"/>
        <v/>
      </c>
      <c r="P45" s="123" t="str">
        <f t="shared" si="44"/>
        <v/>
      </c>
      <c r="Q45" s="123" t="str">
        <f t="shared" si="44"/>
        <v/>
      </c>
      <c r="R45" s="123" t="str">
        <f t="shared" si="44"/>
        <v/>
      </c>
      <c r="S45" s="123" t="str">
        <f t="shared" si="44"/>
        <v/>
      </c>
      <c r="T45" s="123" t="str">
        <f t="shared" si="44"/>
        <v/>
      </c>
      <c r="U45" s="123" t="str">
        <f t="shared" si="44"/>
        <v/>
      </c>
      <c r="V45" s="123" t="str">
        <f t="shared" si="44"/>
        <v/>
      </c>
      <c r="W45" s="123" t="str">
        <f t="shared" si="44"/>
        <v/>
      </c>
      <c r="X45" s="123" t="str">
        <f t="shared" si="44"/>
        <v/>
      </c>
      <c r="Y45" s="123" t="str">
        <f t="shared" si="44"/>
        <v/>
      </c>
      <c r="Z45" s="122" t="str">
        <f t="shared" si="44"/>
        <v/>
      </c>
      <c r="AA45" s="122" t="str">
        <f t="shared" si="44"/>
        <v/>
      </c>
      <c r="AB45" s="122" t="str">
        <f t="shared" si="44"/>
        <v/>
      </c>
      <c r="AC45" s="122" t="str">
        <f t="shared" si="44"/>
        <v/>
      </c>
      <c r="AD45" s="122" t="str">
        <f t="shared" si="44"/>
        <v/>
      </c>
      <c r="AE45" s="122" t="str">
        <f t="shared" si="44"/>
        <v/>
      </c>
      <c r="AF45" s="122" t="str">
        <f t="shared" si="44"/>
        <v/>
      </c>
      <c r="AG45" s="122" t="str">
        <f t="shared" si="44"/>
        <v/>
      </c>
      <c r="AH45" s="122" t="str">
        <f t="shared" si="44"/>
        <v/>
      </c>
      <c r="AI45" s="122" t="str">
        <f t="shared" si="44"/>
        <v/>
      </c>
      <c r="AJ45" s="122" t="str">
        <f t="shared" si="44"/>
        <v/>
      </c>
      <c r="AK45" s="122" t="str">
        <f t="shared" si="44"/>
        <v/>
      </c>
      <c r="AL45" s="122" t="str">
        <f t="shared" si="44"/>
        <v/>
      </c>
      <c r="AM45" s="122" t="str">
        <f t="shared" si="44"/>
        <v/>
      </c>
      <c r="AN45" s="124" t="str">
        <f t="shared" si="44"/>
        <v/>
      </c>
      <c r="AO45" s="128" t="str">
        <f t="shared" si="44"/>
        <v/>
      </c>
      <c r="AP45" s="125" t="str">
        <f t="shared" si="44"/>
        <v/>
      </c>
      <c r="AQ45" s="125" t="str">
        <f t="shared" si="44"/>
        <v/>
      </c>
      <c r="AR45" s="125" t="str">
        <f t="shared" si="44"/>
        <v/>
      </c>
      <c r="AS45" s="125" t="str">
        <f t="shared" si="44"/>
        <v/>
      </c>
      <c r="AT45" s="125" t="str">
        <f t="shared" si="44"/>
        <v/>
      </c>
      <c r="AU45" s="126" t="str">
        <f t="shared" si="44"/>
        <v/>
      </c>
      <c r="AV45" s="127" t="str">
        <f t="shared" si="44"/>
        <v/>
      </c>
    </row>
    <row r="46" spans="1:48" hidden="1" x14ac:dyDescent="0.3">
      <c r="A46" s="42" t="str">
        <f t="shared" ref="A46" si="45">+IF(C46+C47=0,"[ocultar]","")</f>
        <v>[ocultar]</v>
      </c>
      <c r="B46" s="86" t="s">
        <v>162</v>
      </c>
      <c r="C46" s="33">
        <f t="array" ref="C46">SUM(IF($B46=DATOS_[Sexo],
IF($B45=DATOS_[AGRUP. VALOR. PTO.],
IF("Dentro"=DATOS_[Check Periodo Ref.],
1/(COUNTIFS(DATOS_[Sexo],$B46,DATOS_[AGRUP. VALOR. PTO.],$B45,DATOS_[Check Periodo Ref.],"Dentro",DATOS_[id],DATOS_[id]))))))</f>
        <v>0</v>
      </c>
      <c r="D46" s="35">
        <f>COUNTIFS(DATOS_[AGRUP. VALOR. PTO.],$B45,DATOS_[Sexo],$B46,DATOS_[Check Periodo Ref.],"Dentro")</f>
        <v>0</v>
      </c>
      <c r="E46" s="35">
        <f>COUNTIFS(DATOS_[AGRUP. VALOR. PTO.],$B45,DATOS_[Sexo],$B46,DATOS_[Check Periodo Ref.],"Dentro",DATOS_[Check Nº SC Norm],"Sí")</f>
        <v>0</v>
      </c>
      <c r="F46" s="35">
        <f>COUNTIFS(DATOS_[AGRUP. VALOR. PTO.],$B45,DATOS_[Sexo],$B46,DATOS_[Check Periodo Ref.],"Dentro",DATOS_[Check Nº SC Anualiz],"Sí")</f>
        <v>0</v>
      </c>
      <c r="G46" s="35">
        <f>COUNTIFS(DATOS_[AGRUP. VALOR. PTO.],$B45,DATOS_[Sexo],$B46,DATOS_[Check Periodo Ref.],"Dentro",DATOS_[Check Nº SC Norm y Anualiz],"Sí")</f>
        <v>0</v>
      </c>
      <c r="H46" s="35">
        <f>COUNTIFS(DATOS_[AGRUP. VALOR. PTO.],$B45,DATOS_[Sexo],$B46,DATOS_[Check Periodo Ref.],"Dentro",DATOS_[Check Equiparación],"Sí")</f>
        <v>0</v>
      </c>
      <c r="I46" s="110">
        <f t="array" ref="I46">IFERROR(
MEDIAN(IF(DATOS_[Sexo]=$B46,IF(DATOS_[[AGRUP. VALOR. PTO.]:[AGRUP. VALOR. PTO.]]=$B45,IF(DATOS_[Check Equiparado]="Sí",IF(DATOS_[Check Periodo Ref.]="Dentro",DATOS_[SALARIO BASE Eq],FALSE))))),
0)</f>
        <v>0</v>
      </c>
      <c r="J46" s="111">
        <f t="array" ref="J46">IFERROR(
(MEDIAN((IF(DATOS_[[Sexo]:[Sexo]]=$B46,IF(DATOS_[[AGRUP. VALOR. PTO.]:[AGRUP. VALOR. PTO.]]=$B45,IF(DATOS_[[Check Periodo Ref.]:[Check Periodo Ref.]]="Dentro",IF(DATOS_[[Check Equiparado]:[Check Equiparado]]="Sí",IF(DATOS!AE$5="Sí",(1/DATOS_[[% anualiz]:[% anualiz]]),1)*IF(DATOS!AE$4="Sí",1/DATOS_[[% normaliz]:[% normaliz]],1)*(DATOS_[Conc.Sal.01])))))))),
0)</f>
        <v>0</v>
      </c>
      <c r="K46" s="111">
        <f t="array" ref="K46">IFERROR(
(MEDIAN((IF(DATOS_[[Sexo]:[Sexo]]=$B46,IF(DATOS_[[AGRUP. VALOR. PTO.]:[AGRUP. VALOR. PTO.]]=$B45,IF(DATOS_[[Check Periodo Ref.]:[Check Periodo Ref.]]="Dentro",IF(DATOS_[[Check Equiparado]:[Check Equiparado]]="Sí",IF(DATOS!AF$5="Sí",(1/DATOS_[[% anualiz]:[% anualiz]]),1)*IF(DATOS!AF$4="Sí",1/DATOS_[[% normaliz]:[% normaliz]],1)*(DATOS_[Conc.Sal.02])))))))),
0)</f>
        <v>0</v>
      </c>
      <c r="L46" s="111">
        <f t="array" ref="L46">IFERROR(
(MEDIAN((IF(DATOS_[[Sexo]:[Sexo]]=$B46,IF(DATOS_[[AGRUP. VALOR. PTO.]:[AGRUP. VALOR. PTO.]]=$B45,IF(DATOS_[[Check Periodo Ref.]:[Check Periodo Ref.]]="Dentro",IF(DATOS_[[Check Equiparado]:[Check Equiparado]]="Sí",IF(DATOS!AG$5="Sí",(1/DATOS_[[% anualiz]:[% anualiz]]),1)*IF(DATOS!AG$4="Sí",1/DATOS_[[% normaliz]:[% normaliz]],1)*(DATOS_[Conc.Sal.03])))))))),
0)</f>
        <v>0</v>
      </c>
      <c r="M46" s="111">
        <f t="array" ref="M46">IFERROR(
(MEDIAN((IF(DATOS_[[Sexo]:[Sexo]]=$B46,IF(DATOS_[[AGRUP. VALOR. PTO.]:[AGRUP. VALOR. PTO.]]=$B45,IF(DATOS_[[Check Periodo Ref.]:[Check Periodo Ref.]]="Dentro",IF(DATOS_[[Check Equiparado]:[Check Equiparado]]="Sí",IF(DATOS!AH$5="Sí",(1/DATOS_[[% anualiz]:[% anualiz]]),1)*IF(DATOS!AH$4="Sí",1/DATOS_[[% normaliz]:[% normaliz]],1)*(DATOS_[Conc.Sal.04])))))))),
0)</f>
        <v>0</v>
      </c>
      <c r="N46" s="111">
        <f t="array" ref="N46">IFERROR(
(MEDIAN((IF(DATOS_[[Sexo]:[Sexo]]=$B46,IF(DATOS_[[AGRUP. VALOR. PTO.]:[AGRUP. VALOR. PTO.]]=$B45,IF(DATOS_[[Check Periodo Ref.]:[Check Periodo Ref.]]="Dentro",IF(DATOS_[[Check Equiparado]:[Check Equiparado]]="Sí",IF(DATOS!AI$5="Sí",(1/DATOS_[[% anualiz]:[% anualiz]]),1)*IF(DATOS!AI$4="Sí",1/DATOS_[[% normaliz]:[% normaliz]],1)*(DATOS_[Conc.Sal.05])))))))),
0)</f>
        <v>0</v>
      </c>
      <c r="O46" s="111">
        <f t="array" ref="O46">IFERROR(
(MEDIAN((IF(DATOS_[[Sexo]:[Sexo]]=$B46,IF(DATOS_[[AGRUP. VALOR. PTO.]:[AGRUP. VALOR. PTO.]]=$B45,IF(DATOS_[[Check Periodo Ref.]:[Check Periodo Ref.]]="Dentro",IF(DATOS_[[Check Equiparado]:[Check Equiparado]]="Sí",IF(DATOS!AJ$5="Sí",(1/DATOS_[[% anualiz]:[% anualiz]]),1)*IF(DATOS!AJ$4="Sí",1/DATOS_[[% normaliz]:[% normaliz]],1)*(DATOS_[Conc.Sal.06])))))))),
0)</f>
        <v>0</v>
      </c>
      <c r="P46" s="111">
        <f t="array" ref="P46">IFERROR(
(MEDIAN((IF(DATOS_[[Sexo]:[Sexo]]=$B46,IF(DATOS_[[AGRUP. VALOR. PTO.]:[AGRUP. VALOR. PTO.]]=$B45,IF(DATOS_[[Check Periodo Ref.]:[Check Periodo Ref.]]="Dentro",IF(DATOS_[[Check Equiparado]:[Check Equiparado]]="Sí",IF(DATOS!AK$5="Sí",(1/DATOS_[[% anualiz]:[% anualiz]]),1)*IF(DATOS!AK$4="Sí",1/DATOS_[[% normaliz]:[% normaliz]],1)*(DATOS_[Conc.Sal.07])))))))),
0)</f>
        <v>0</v>
      </c>
      <c r="Q46" s="111">
        <f t="array" ref="Q46">IFERROR(
(MEDIAN((IF(DATOS_[[Sexo]:[Sexo]]=$B46,IF(DATOS_[[AGRUP. VALOR. PTO.]:[AGRUP. VALOR. PTO.]]=$B45,IF(DATOS_[[Check Periodo Ref.]:[Check Periodo Ref.]]="Dentro",IF(DATOS_[[Check Equiparado]:[Check Equiparado]]="Sí",IF(DATOS!AL$5="Sí",(1/DATOS_[[% anualiz]:[% anualiz]]),1)*IF(DATOS!AL$4="Sí",1/DATOS_[[% normaliz]:[% normaliz]],1)*(DATOS_[Conc.Sal.08])))))))),
0)</f>
        <v>0</v>
      </c>
      <c r="R46" s="111">
        <f t="array" ref="R46">IFERROR(
(MEDIAN((IF(DATOS_[[Sexo]:[Sexo]]=$B46,IF(DATOS_[[AGRUP. VALOR. PTO.]:[AGRUP. VALOR. PTO.]]=$B45,IF(DATOS_[[Check Periodo Ref.]:[Check Periodo Ref.]]="Dentro",IF(DATOS_[[Check Equiparado]:[Check Equiparado]]="Sí",IF(DATOS!AM$5="Sí",(1/DATOS_[[% anualiz]:[% anualiz]]),1)*IF(DATOS!AM$4="Sí",1/DATOS_[[% normaliz]:[% normaliz]],1)*(DATOS_[Conc.Sal.09])))))))),
0)</f>
        <v>0</v>
      </c>
      <c r="S46" s="111">
        <f t="array" ref="S46">IFERROR(
(MEDIAN((IF(DATOS_[[Sexo]:[Sexo]]=$B46,IF(DATOS_[[AGRUP. VALOR. PTO.]:[AGRUP. VALOR. PTO.]]=$B45,IF(DATOS_[[Check Periodo Ref.]:[Check Periodo Ref.]]="Dentro",IF(DATOS_[[Check Equiparado]:[Check Equiparado]]="Sí",IF(DATOS!AN$5="Sí",(1/DATOS_[[% anualiz]:[% anualiz]]),1)*IF(DATOS!AN$4="Sí",1/DATOS_[[% normaliz]:[% normaliz]],1)*(DATOS_[Conc.Sal.10])))))))),
0)</f>
        <v>0</v>
      </c>
      <c r="T46" s="111">
        <f t="array" ref="T46">IFERROR(
(MEDIAN((IF(DATOS_[[Sexo]:[Sexo]]=$B46,IF(DATOS_[[AGRUP. VALOR. PTO.]:[AGRUP. VALOR. PTO.]]=$B45,IF(DATOS_[[Check Periodo Ref.]:[Check Periodo Ref.]]="Dentro",IF(DATOS_[[Check Equiparado]:[Check Equiparado]]="Sí",IF(DATOS!AO$5="Sí",(1/DATOS_[[% anualiz]:[% anualiz]]),1)*IF(DATOS!AO$4="Sí",1/DATOS_[[% normaliz]:[% normaliz]],1)*(DATOS_[Conc.Sal.11])))))))),
0)</f>
        <v>0</v>
      </c>
      <c r="U46" s="111">
        <f t="array" ref="U46">IFERROR(
(MEDIAN((IF(DATOS_[[Sexo]:[Sexo]]=$B46,IF(DATOS_[[AGRUP. VALOR. PTO.]:[AGRUP. VALOR. PTO.]]=$B45,IF(DATOS_[[Check Periodo Ref.]:[Check Periodo Ref.]]="Dentro",IF(DATOS_[[Check Equiparado]:[Check Equiparado]]="Sí",IF(DATOS!AP$5="Sí",(1/DATOS_[[% anualiz]:[% anualiz]]),1)*IF(DATOS!AP$4="Sí",1/DATOS_[[% normaliz]:[% normaliz]],1)*(DATOS_[Conc.Sal.12])))))))),
0)</f>
        <v>0</v>
      </c>
      <c r="V46" s="111">
        <f t="array" ref="V46">IFERROR(
(MEDIAN((IF(DATOS_[[Sexo]:[Sexo]]=$B46,IF(DATOS_[[AGRUP. VALOR. PTO.]:[AGRUP. VALOR. PTO.]]=$B45,IF(DATOS_[[Check Periodo Ref.]:[Check Periodo Ref.]]="Dentro",IF(DATOS_[[Check Equiparado]:[Check Equiparado]]="Sí",IF(DATOS!AQ$5="Sí",(1/DATOS_[[% anualiz]:[% anualiz]]),1)*IF(DATOS!AQ$4="Sí",1/DATOS_[[% normaliz]:[% normaliz]],1)*(DATOS_[Conc.Sal.13])))))))),
0)</f>
        <v>0</v>
      </c>
      <c r="W46" s="111">
        <f t="array" ref="W46">IFERROR(
(MEDIAN((IF(DATOS_[[Sexo]:[Sexo]]=$B46,IF(DATOS_[[AGRUP. VALOR. PTO.]:[AGRUP. VALOR. PTO.]]=$B45,IF(DATOS_[[Check Periodo Ref.]:[Check Periodo Ref.]]="Dentro",IF(DATOS_[[Check Equiparado]:[Check Equiparado]]="Sí",IF(DATOS!AR$5="Sí",(1/DATOS_[[% anualiz]:[% anualiz]]),1)*IF(DATOS!AR$4="Sí",1/DATOS_[[% normaliz]:[% normaliz]],1)*(DATOS_[Conc.Sal.14])))))))),
0)</f>
        <v>0</v>
      </c>
      <c r="X46" s="111">
        <f t="array" ref="X46">IFERROR(
(MEDIAN((IF(DATOS_[[Sexo]:[Sexo]]=$B46,IF(DATOS_[[AGRUP. VALOR. PTO.]:[AGRUP. VALOR. PTO.]]=$B45,IF(DATOS_[[Check Periodo Ref.]:[Check Periodo Ref.]]="Dentro",IF(DATOS_[[Check Equiparado]:[Check Equiparado]]="Sí",IF(DATOS!AS$5="Sí",(1/DATOS_[[% anualiz]:[% anualiz]]),1)*IF(DATOS!AS$4="Sí",1/DATOS_[[% normaliz]:[% normaliz]],1)*(DATOS_[Conc.Sal.15])))))))),
0)</f>
        <v>0</v>
      </c>
      <c r="Y46" s="111">
        <f t="array" ref="Y46">IFERROR(
(MEDIAN((IF(DATOS_[[Sexo]:[Sexo]]=$B46,IF(DATOS_[[AGRUP. VALOR. PTO.]:[AGRUP. VALOR. PTO.]]=$B45,IF(DATOS_[[Check Periodo Ref.]:[Check Periodo Ref.]]="Dentro",IF(DATOS_[[Check Equiparado]:[Check Equiparado]]="Sí",IF(DATOS!AT$5="Sí",(1/DATOS_[[% anualiz]:[% anualiz]]),1)*IF(DATOS!AT$4="Sí",1/DATOS_[[% normaliz]:[% normaliz]],1)*(DATOS_[Conc.Sal.16])))))))),
0)</f>
        <v>0</v>
      </c>
      <c r="Z46" s="111">
        <f t="array" ref="Z46">IFERROR(
(MEDIAN((IF(DATOS_[[Sexo]:[Sexo]]=$B46,IF(DATOS_[[AGRUP. VALOR. PTO.]:[AGRUP. VALOR. PTO.]]=$B45,IF(DATOS_[[Check Periodo Ref.]:[Check Periodo Ref.]]="Dentro",IF(DATOS_[[Check Equiparado]:[Check Equiparado]]="Sí",IF(DATOS!AU$5="Sí",(1/DATOS_[[% anualiz]:[% anualiz]]),1)*IF(DATOS!AU$4="Sí",1/DATOS_[[% normaliz]:[% normaliz]],1)*(DATOS_[Conc.Sal.17])))))))),
0)</f>
        <v>0</v>
      </c>
      <c r="AA46" s="111">
        <f t="array" ref="AA46">IFERROR(
(MEDIAN((IF(DATOS_[[Sexo]:[Sexo]]=$B46,IF(DATOS_[[AGRUP. VALOR. PTO.]:[AGRUP. VALOR. PTO.]]=$B45,IF(DATOS_[[Check Periodo Ref.]:[Check Periodo Ref.]]="Dentro",IF(DATOS_[[Check Equiparado]:[Check Equiparado]]="Sí",IF(DATOS!AV$5="Sí",(1/DATOS_[[% anualiz]:[% anualiz]]),1)*IF(DATOS!AV$4="Sí",1/DATOS_[[% normaliz]:[% normaliz]],1)*(DATOS_[Conc.Sal.18])))))))),
0)</f>
        <v>0</v>
      </c>
      <c r="AB46" s="111">
        <f t="array" ref="AB46">IFERROR(
(MEDIAN((IF(DATOS_[[Sexo]:[Sexo]]=$B46,IF(DATOS_[[AGRUP. VALOR. PTO.]:[AGRUP. VALOR. PTO.]]=$B45,IF(DATOS_[[Check Periodo Ref.]:[Check Periodo Ref.]]="Dentro",IF(DATOS_[[Check Equiparado]:[Check Equiparado]]="Sí",IF(DATOS!AW$5="Sí",(1/DATOS_[[% anualiz]:[% anualiz]]),1)*IF(DATOS!AW$4="Sí",1/DATOS_[[% normaliz]:[% normaliz]],1)*(DATOS_[Conc.Sal.19])))))))),
0)</f>
        <v>0</v>
      </c>
      <c r="AC46" s="111">
        <f t="array" ref="AC46">IFERROR(
(MEDIAN((IF(DATOS_[[Sexo]:[Sexo]]=$B46,IF(DATOS_[[AGRUP. VALOR. PTO.]:[AGRUP. VALOR. PTO.]]=$B45,IF(DATOS_[[Check Periodo Ref.]:[Check Periodo Ref.]]="Dentro",IF(DATOS_[[Check Equiparado]:[Check Equiparado]]="Sí",IF(DATOS!AX$5="Sí",(1/DATOS_[[% anualiz]:[% anualiz]]),1)*IF(DATOS!AX$4="Sí",1/DATOS_[[% normaliz]:[% normaliz]],1)*(DATOS_[Conc.Sal.20])))))))),
0)</f>
        <v>0</v>
      </c>
      <c r="AD46" s="111">
        <f t="array" ref="AD46">IFERROR(
(MEDIAN((IF(DATOS_[[Sexo]:[Sexo]]=$B46,IF(DATOS_[[AGRUP. VALOR. PTO.]:[AGRUP. VALOR. PTO.]]=$B45,IF(DATOS_[[Check Periodo Ref.]:[Check Periodo Ref.]]="Dentro",IF(DATOS_[[Check Equiparado]:[Check Equiparado]]="Sí",IF(DATOS!AY$5="Sí",(1/DATOS_[[% anualiz]:[% anualiz]]),1)*IF(DATOS!AY$4="Sí",1/DATOS_[[% normaliz]:[% normaliz]],1)*(DATOS_[Conc.Sal.21])))))))),
0)</f>
        <v>0</v>
      </c>
      <c r="AE46" s="111">
        <f t="array" ref="AE46">IFERROR(
(MEDIAN((IF(DATOS_[[Sexo]:[Sexo]]=$B46,IF(DATOS_[[AGRUP. VALOR. PTO.]:[AGRUP. VALOR. PTO.]]=$B45,IF(DATOS_[[Check Periodo Ref.]:[Check Periodo Ref.]]="Dentro",IF(DATOS_[[Check Equiparado]:[Check Equiparado]]="Sí",IF(DATOS!AZ$5="Sí",(1/DATOS_[[% anualiz]:[% anualiz]]),1)*IF(DATOS!AZ$4="Sí",1/DATOS_[[% normaliz]:[% normaliz]],1)*(DATOS_[Conc.Sal.22])))))))),
0)</f>
        <v>0</v>
      </c>
      <c r="AF46" s="111">
        <f t="array" ref="AF46">IFERROR(
(MEDIAN((IF(DATOS_[[Sexo]:[Sexo]]=$B46,IF(DATOS_[[AGRUP. VALOR. PTO.]:[AGRUP. VALOR. PTO.]]=$B45,IF(DATOS_[[Check Periodo Ref.]:[Check Periodo Ref.]]="Dentro",IF(DATOS_[[Check Equiparado]:[Check Equiparado]]="Sí",IF(DATOS!BA$5="Sí",(1/DATOS_[[% anualiz]:[% anualiz]]),1)*IF(DATOS!BA$4="Sí",1/DATOS_[[% normaliz]:[% normaliz]],1)*(DATOS_[Conc.Sal.23])))))))),
0)</f>
        <v>0</v>
      </c>
      <c r="AG46" s="111">
        <f t="array" ref="AG46">IFERROR(
(MEDIAN((IF(DATOS_[[Sexo]:[Sexo]]=$B46,IF(DATOS_[[AGRUP. VALOR. PTO.]:[AGRUP. VALOR. PTO.]]=$B45,IF(DATOS_[[Check Periodo Ref.]:[Check Periodo Ref.]]="Dentro",IF(DATOS_[[Check Equiparado]:[Check Equiparado]]="Sí",IF(DATOS!BB$5="Sí",(1/DATOS_[[% anualiz]:[% anualiz]]),1)*IF(DATOS!BB$4="Sí",1/DATOS_[[% normaliz]:[% normaliz]],1)*(DATOS_[Conc.Sal.24])))))))),
0)</f>
        <v>0</v>
      </c>
      <c r="AH46" s="111">
        <f t="array" ref="AH46">IFERROR(
(MEDIAN((IF(DATOS_[[Sexo]:[Sexo]]=$B46,IF(DATOS_[[AGRUP. VALOR. PTO.]:[AGRUP. VALOR. PTO.]]=$B45,IF(DATOS_[[Check Periodo Ref.]:[Check Periodo Ref.]]="Dentro",IF(DATOS_[[Check Equiparado]:[Check Equiparado]]="Sí",IF(DATOS!BC$5="Sí",(1/DATOS_[[% anualiz]:[% anualiz]]),1)*IF(DATOS!BC$4="Sí",1/DATOS_[[% normaliz]:[% normaliz]],1)*(DATOS_[Conc.Sal.25])))))))),
0)</f>
        <v>0</v>
      </c>
      <c r="AI46" s="111">
        <f t="array" ref="AI46">IFERROR(
(MEDIAN((IF(DATOS_[[Sexo]:[Sexo]]=$B46,IF(DATOS_[[AGRUP. VALOR. PTO.]:[AGRUP. VALOR. PTO.]]=$B45,IF(DATOS_[[Check Periodo Ref.]:[Check Periodo Ref.]]="Dentro",IF(DATOS_[[Check Equiparado]:[Check Equiparado]]="Sí",IF(DATOS!BD$5="Sí",(1/DATOS_[[% anualiz]:[% anualiz]]),1)*IF(DATOS!BD$4="Sí",1/DATOS_[[% normaliz]:[% normaliz]],1)*(DATOS_[Conc.Sal.26])))))))),
0)</f>
        <v>0</v>
      </c>
      <c r="AJ46" s="111">
        <f t="array" ref="AJ46">IFERROR(
(MEDIAN((IF(DATOS_[[Sexo]:[Sexo]]=$B46,IF(DATOS_[[AGRUP. VALOR. PTO.]:[AGRUP. VALOR. PTO.]]=$B45,IF(DATOS_[[Check Periodo Ref.]:[Check Periodo Ref.]]="Dentro",IF(DATOS_[[Check Equiparado]:[Check Equiparado]]="Sí",IF(DATOS!BE$5="Sí",(1/DATOS_[[% anualiz]:[% anualiz]]),1)*IF(DATOS!BE$4="Sí",1/DATOS_[[% normaliz]:[% normaliz]],1)*(DATOS_[Conc.Sal.27])))))))),
0)</f>
        <v>0</v>
      </c>
      <c r="AK46" s="111">
        <f t="array" ref="AK46">IFERROR(
(MEDIAN((IF(DATOS_[[Sexo]:[Sexo]]=$B46,IF(DATOS_[[AGRUP. VALOR. PTO.]:[AGRUP. VALOR. PTO.]]=$B45,IF(DATOS_[[Check Periodo Ref.]:[Check Periodo Ref.]]="Dentro",IF(DATOS_[[Check Equiparado]:[Check Equiparado]]="Sí",IF(DATOS!BF$5="Sí",(1/DATOS_[[% anualiz]:[% anualiz]]),1)*IF(DATOS!BF$4="Sí",1/DATOS_[[% normaliz]:[% normaliz]],1)*(DATOS_[Conc.Sal.28])))))))),
0)</f>
        <v>0</v>
      </c>
      <c r="AL46" s="111">
        <f t="array" ref="AL46">IFERROR(
(MEDIAN((IF(DATOS_[[Sexo]:[Sexo]]=$B46,IF(DATOS_[[AGRUP. VALOR. PTO.]:[AGRUP. VALOR. PTO.]]=$B45,IF(DATOS_[[Check Periodo Ref.]:[Check Periodo Ref.]]="Dentro",IF(DATOS_[[Check Equiparado]:[Check Equiparado]]="Sí",IF(DATOS!BG$5="Sí",(1/DATOS_[[% anualiz]:[% anualiz]]),1)*IF(DATOS!BG$4="Sí",1/DATOS_[[% normaliz]:[% normaliz]],1)*(DATOS_[Conc.Sal.29])))))))),
0)</f>
        <v>0</v>
      </c>
      <c r="AM46" s="111">
        <f t="array" ref="AM46">IFERROR(
(MEDIAN((IF(DATOS_[[Sexo]:[Sexo]]=$B46,IF(DATOS_[[AGRUP. VALOR. PTO.]:[AGRUP. VALOR. PTO.]]=$B45,IF(DATOS_[[Check Periodo Ref.]:[Check Periodo Ref.]]="Dentro",IF(DATOS_[[Check Equiparado]:[Check Equiparado]]="Sí",IF(DATOS!BH$5="Sí",(1/DATOS_[[% anualiz]:[% anualiz]]),1)*IF(DATOS!BH$4="Sí",1/DATOS_[[% normaliz]:[% normaliz]],1)*(DATOS_[Conc.Sal.30])))))))),
0)</f>
        <v>0</v>
      </c>
      <c r="AN46" s="112">
        <f t="array" ref="AN46">IFERROR(
MEDIAN(IF(DATOS_[Sexo]=$B46,IF(DATOS_[[AGRUP. VALOR. PTO.]:[AGRUP. VALOR. PTO.]]=$B45,IF(DATOS_[Check Equiparado]="Sí",IF(DATOS_[Check Periodo Ref.]="Dentro",DATOS_[Tot COMPL.SAL Eq],FALSE))))),
0)</f>
        <v>0</v>
      </c>
      <c r="AO46" s="113">
        <f t="array" ref="AO46">IFERROR(
MEDIAN(IF(DATOS_[Sexo]=$B46,IF(DATOS_[[AGRUP. VALOR. PTO.]:[AGRUP. VALOR. PTO.]]=$B45,IF(DATOS_[Check Equiparado]="Sí",IF(DATOS_[Check Periodo Ref.]="Dentro",DATOS_[TOTAL SALARIO Eq],FALSE))))),
0)</f>
        <v>0</v>
      </c>
      <c r="AP46" s="114">
        <f t="array" ref="AP46">IFERROR(
(MEDIAN((IF(DATOS_[[Sexo]:[Sexo]]=$B46,IF(DATOS_[[AGRUP. VALOR. PTO.]:[AGRUP. VALOR. PTO.]]=$B45,IF(DATOS_[[Check Periodo Ref.]:[Check Periodo Ref.]]="Dentro",IF(DATOS_[[Check Equiparado]:[Check Equiparado]]="Sí",IF(DATOS!BI$5="Sí",(1/DATOS_[[% anualiz]:[% anualiz]]),1)*IF(DATOS!BI$4="Sí",1/DATOS_[[% normaliz]:[% normaliz]],1)*(DATOS_[C.Extra.01])))))))),
0)</f>
        <v>0</v>
      </c>
      <c r="AQ46" s="114">
        <f t="array" ref="AQ46">IFERROR(
(MEDIAN((IF(DATOS_[[Sexo]:[Sexo]]=$B46,IF(DATOS_[[AGRUP. VALOR. PTO.]:[AGRUP. VALOR. PTO.]]=$B45,IF(DATOS_[[Check Periodo Ref.]:[Check Periodo Ref.]]="Dentro",IF(DATOS_[[Check Equiparado]:[Check Equiparado]]="Sí",IF(DATOS!BJ$5="Sí",(1/DATOS_[[% anualiz]:[% anualiz]]),1)*IF(DATOS!BJ$4="Sí",1/DATOS_[[% normaliz]:[% normaliz]],1)*(DATOS_[C.Extra.02])))))))),
0)</f>
        <v>0</v>
      </c>
      <c r="AR46" s="114">
        <f t="array" ref="AR46">IFERROR(
(MEDIAN((IF(DATOS_[[Sexo]:[Sexo]]=$B46,IF(DATOS_[[AGRUP. VALOR. PTO.]:[AGRUP. VALOR. PTO.]]=$B45,IF(DATOS_[[Check Periodo Ref.]:[Check Periodo Ref.]]="Dentro",IF(DATOS_[[Check Equiparado]:[Check Equiparado]]="Sí",IF(DATOS!BK$5="Sí",(1/DATOS_[[% anualiz]:[% anualiz]]),1)*IF(DATOS!BK$4="Sí",1/DATOS_[[% normaliz]:[% normaliz]],1)*(DATOS_[C.Extra.03])))))))),
0)</f>
        <v>0</v>
      </c>
      <c r="AS46" s="114">
        <f t="array" ref="AS46">IFERROR(
(MEDIAN((IF(DATOS_[[Sexo]:[Sexo]]=$B46,IF(DATOS_[[AGRUP. VALOR. PTO.]:[AGRUP. VALOR. PTO.]]=$B45,IF(DATOS_[[Check Periodo Ref.]:[Check Periodo Ref.]]="Dentro",IF(DATOS_[[Check Equiparado]:[Check Equiparado]]="Sí",IF(DATOS!BL$5="Sí",(1/DATOS_[[% anualiz]:[% anualiz]]),1)*IF(DATOS!BL$4="Sí",1/DATOS_[[% normaliz]:[% normaliz]],1)*(DATOS_[C.Extra.04])))))))),
0)</f>
        <v>0</v>
      </c>
      <c r="AT46" s="114">
        <f t="array" ref="AT46">IFERROR(
(MEDIAN((IF(DATOS_[[Sexo]:[Sexo]]=$B46,IF(DATOS_[[AGRUP. VALOR. PTO.]:[AGRUP. VALOR. PTO.]]=$B45,IF(DATOS_[[Check Periodo Ref.]:[Check Periodo Ref.]]="Dentro",IF(DATOS_[[Check Equiparado]:[Check Equiparado]]="Sí",IF(DATOS!BM$5="Sí",(1/DATOS_[[% anualiz]:[% anualiz]]),1)*IF(DATOS!BM$4="Sí",1/DATOS_[[% normaliz]:[% normaliz]],1)*(DATOS_[C.Extra.05])))))))),
0)</f>
        <v>0</v>
      </c>
      <c r="AU46" s="115">
        <f t="array" ref="AU46">IFERROR(
MEDIAN(IF(DATOS_[Sexo]=$B46,IF(DATOS_[[AGRUP. VALOR. PTO.]:[AGRUP. VALOR. PTO.]]=$B45,IF(DATOS_[Check Equiparado]="Sí",IF(DATOS_[Check Periodo Ref.]="Dentro",DATOS_[Tot Extrasalarial Eq],FALSE))))),
0)</f>
        <v>0</v>
      </c>
      <c r="AV46" s="116">
        <f t="array" ref="AV46">IFERROR(
MEDIAN(IF(DATOS_[Sexo]=$B46,IF(DATOS_[[AGRUP. VALOR. PTO.]:[AGRUP. VALOR. PTO.]]=$B45,IF(DATOS_[Check Equiparado]="Sí",IF(DATOS_[Check Periodo Ref.]="Dentro",DATOS_[TOTAL Retrib Eq],FALSE))))),
0)</f>
        <v>0</v>
      </c>
    </row>
    <row r="47" spans="1:48" hidden="1" x14ac:dyDescent="0.3">
      <c r="A47" s="42" t="str">
        <f t="shared" ref="A47" si="46">+A46</f>
        <v>[ocultar]</v>
      </c>
      <c r="B47" s="86" t="s">
        <v>163</v>
      </c>
      <c r="C47" s="33">
        <f t="array" ref="C47">SUM(IF($B47=DATOS_[Sexo],
IF($B45=DATOS_[AGRUP. VALOR. PTO.],
IF("Dentro"=DATOS_[Check Periodo Ref.],
1/(COUNTIFS(DATOS_[Sexo],$B47,DATOS_[AGRUP. VALOR. PTO.],$B45,DATOS_[Check Periodo Ref.],"Dentro",DATOS_[id],DATOS_[id]))))))</f>
        <v>0</v>
      </c>
      <c r="D47" s="35">
        <f>COUNTIFS(DATOS_[AGRUP. VALOR. PTO.],$B45,DATOS_[Sexo],$B47,DATOS_[Check Periodo Ref.],"Dentro")</f>
        <v>0</v>
      </c>
      <c r="E47" s="35">
        <f>COUNTIFS(DATOS_[AGRUP. VALOR. PTO.],$B45,DATOS_[Sexo],$B47,DATOS_[Check Periodo Ref.],"Dentro",DATOS_[Check Nº SC Norm],"Sí")</f>
        <v>0</v>
      </c>
      <c r="F47" s="35">
        <f>COUNTIFS(DATOS_[AGRUP. VALOR. PTO.],$B45,DATOS_[Sexo],$B47,DATOS_[Check Periodo Ref.],"Dentro",DATOS_[Check Nº SC Anualiz],"Sí")</f>
        <v>0</v>
      </c>
      <c r="G47" s="35">
        <f>COUNTIFS(DATOS_[AGRUP. VALOR. PTO.],$B45,DATOS_[Sexo],$B47,DATOS_[Check Periodo Ref.],"Dentro",DATOS_[Check Nº SC Norm y Anualiz],"Sí")</f>
        <v>0</v>
      </c>
      <c r="H47" s="35">
        <f>COUNTIFS(DATOS_[AGRUP. VALOR. PTO.],$B45,DATOS_[Sexo],$B47,DATOS_[Check Periodo Ref.],"Dentro",DATOS_[Check Equiparación],"Sí")</f>
        <v>0</v>
      </c>
      <c r="I47" s="110" cm="1">
        <f t="array" ref="I47">IFERROR(
MEDIAN(IF(DATOS_[Sexo]=$B47,IF(DATOS_[[AGRUP. VALOR. PTO.]:[AGRUP. VALOR. PTO.]]=$B45,IF(DATOS_[Check Equiparado]="Sí",IF(DATOS_[Check Periodo Ref.]="Dentro",DATOS_[SALARIO BASE Eq],FALSE))))),
0)</f>
        <v>0</v>
      </c>
      <c r="J47" s="111">
        <f t="array" ref="J47">IFERROR(
(MEDIAN((IF(DATOS_[[Sexo]:[Sexo]]=$B47,IF(DATOS_[[AGRUP. VALOR. PTO.]:[AGRUP. VALOR. PTO.]]=$B45,IF(DATOS_[[Check Periodo Ref.]:[Check Periodo Ref.]]="Dentro",IF(DATOS_[[Check Equiparado]:[Check Equiparado]]="Sí",IF(DATOS!AE$5="Sí",(1/DATOS_[[% anualiz]:[% anualiz]]),1)*IF(DATOS!AE$4="Sí",1/DATOS_[[% normaliz]:[% normaliz]],1)*(DATOS_[Conc.Sal.01])))))))),
0)</f>
        <v>0</v>
      </c>
      <c r="K47" s="111">
        <f t="array" ref="K47">IFERROR(
(MEDIAN((IF(DATOS_[[Sexo]:[Sexo]]=$B47,IF(DATOS_[[AGRUP. VALOR. PTO.]:[AGRUP. VALOR. PTO.]]=$B45,IF(DATOS_[[Check Periodo Ref.]:[Check Periodo Ref.]]="Dentro",IF(DATOS_[[Check Equiparado]:[Check Equiparado]]="Sí",IF(DATOS!AF$5="Sí",(1/DATOS_[[% anualiz]:[% anualiz]]),1)*IF(DATOS!AF$4="Sí",1/DATOS_[[% normaliz]:[% normaliz]],1)*(DATOS_[Conc.Sal.02])))))))),
0)</f>
        <v>0</v>
      </c>
      <c r="L47" s="111">
        <f t="array" ref="L47">IFERROR(
(MEDIAN((IF(DATOS_[[Sexo]:[Sexo]]=$B47,IF(DATOS_[[AGRUP. VALOR. PTO.]:[AGRUP. VALOR. PTO.]]=$B45,IF(DATOS_[[Check Periodo Ref.]:[Check Periodo Ref.]]="Dentro",IF(DATOS_[[Check Equiparado]:[Check Equiparado]]="Sí",IF(DATOS!AG$5="Sí",(1/DATOS_[[% anualiz]:[% anualiz]]),1)*IF(DATOS!AG$4="Sí",1/DATOS_[[% normaliz]:[% normaliz]],1)*(DATOS_[Conc.Sal.03])))))))),
0)</f>
        <v>0</v>
      </c>
      <c r="M47" s="111">
        <f t="array" ref="M47">IFERROR(
(MEDIAN((IF(DATOS_[[Sexo]:[Sexo]]=$B47,IF(DATOS_[[AGRUP. VALOR. PTO.]:[AGRUP. VALOR. PTO.]]=$B45,IF(DATOS_[[Check Periodo Ref.]:[Check Periodo Ref.]]="Dentro",IF(DATOS_[[Check Equiparado]:[Check Equiparado]]="Sí",IF(DATOS!AH$5="Sí",(1/DATOS_[[% anualiz]:[% anualiz]]),1)*IF(DATOS!AH$4="Sí",1/DATOS_[[% normaliz]:[% normaliz]],1)*(DATOS_[Conc.Sal.04])))))))),
0)</f>
        <v>0</v>
      </c>
      <c r="N47" s="111">
        <f t="array" ref="N47">IFERROR(
(MEDIAN((IF(DATOS_[[Sexo]:[Sexo]]=$B47,IF(DATOS_[[AGRUP. VALOR. PTO.]:[AGRUP. VALOR. PTO.]]=$B45,IF(DATOS_[[Check Periodo Ref.]:[Check Periodo Ref.]]="Dentro",IF(DATOS_[[Check Equiparado]:[Check Equiparado]]="Sí",IF(DATOS!AI$5="Sí",(1/DATOS_[[% anualiz]:[% anualiz]]),1)*IF(DATOS!AI$4="Sí",1/DATOS_[[% normaliz]:[% normaliz]],1)*(DATOS_[Conc.Sal.05])))))))),
0)</f>
        <v>0</v>
      </c>
      <c r="O47" s="111">
        <f t="array" ref="O47">IFERROR(
(MEDIAN((IF(DATOS_[[Sexo]:[Sexo]]=$B47,IF(DATOS_[[AGRUP. VALOR. PTO.]:[AGRUP. VALOR. PTO.]]=$B45,IF(DATOS_[[Check Periodo Ref.]:[Check Periodo Ref.]]="Dentro",IF(DATOS_[[Check Equiparado]:[Check Equiparado]]="Sí",IF(DATOS!AJ$5="Sí",(1/DATOS_[[% anualiz]:[% anualiz]]),1)*IF(DATOS!AJ$4="Sí",1/DATOS_[[% normaliz]:[% normaliz]],1)*(DATOS_[Conc.Sal.06])))))))),
0)</f>
        <v>0</v>
      </c>
      <c r="P47" s="111">
        <f t="array" ref="P47">IFERROR(
(MEDIAN((IF(DATOS_[[Sexo]:[Sexo]]=$B47,IF(DATOS_[[AGRUP. VALOR. PTO.]:[AGRUP. VALOR. PTO.]]=$B45,IF(DATOS_[[Check Periodo Ref.]:[Check Periodo Ref.]]="Dentro",IF(DATOS_[[Check Equiparado]:[Check Equiparado]]="Sí",IF(DATOS!AK$5="Sí",(1/DATOS_[[% anualiz]:[% anualiz]]),1)*IF(DATOS!AK$4="Sí",1/DATOS_[[% normaliz]:[% normaliz]],1)*(DATOS_[Conc.Sal.07])))))))),
0)</f>
        <v>0</v>
      </c>
      <c r="Q47" s="111">
        <f t="array" ref="Q47">IFERROR(
(MEDIAN((IF(DATOS_[[Sexo]:[Sexo]]=$B47,IF(DATOS_[[AGRUP. VALOR. PTO.]:[AGRUP. VALOR. PTO.]]=$B45,IF(DATOS_[[Check Periodo Ref.]:[Check Periodo Ref.]]="Dentro",IF(DATOS_[[Check Equiparado]:[Check Equiparado]]="Sí",IF(DATOS!AL$5="Sí",(1/DATOS_[[% anualiz]:[% anualiz]]),1)*IF(DATOS!AL$4="Sí",1/DATOS_[[% normaliz]:[% normaliz]],1)*(DATOS_[Conc.Sal.08])))))))),
0)</f>
        <v>0</v>
      </c>
      <c r="R47" s="111">
        <f t="array" ref="R47">IFERROR(
(MEDIAN((IF(DATOS_[[Sexo]:[Sexo]]=$B47,IF(DATOS_[[AGRUP. VALOR. PTO.]:[AGRUP. VALOR. PTO.]]=$B45,IF(DATOS_[[Check Periodo Ref.]:[Check Periodo Ref.]]="Dentro",IF(DATOS_[[Check Equiparado]:[Check Equiparado]]="Sí",IF(DATOS!AM$5="Sí",(1/DATOS_[[% anualiz]:[% anualiz]]),1)*IF(DATOS!AM$4="Sí",1/DATOS_[[% normaliz]:[% normaliz]],1)*(DATOS_[Conc.Sal.09])))))))),
0)</f>
        <v>0</v>
      </c>
      <c r="S47" s="111">
        <f t="array" ref="S47">IFERROR(
(MEDIAN((IF(DATOS_[[Sexo]:[Sexo]]=$B47,IF(DATOS_[[AGRUP. VALOR. PTO.]:[AGRUP. VALOR. PTO.]]=$B45,IF(DATOS_[[Check Periodo Ref.]:[Check Periodo Ref.]]="Dentro",IF(DATOS_[[Check Equiparado]:[Check Equiparado]]="Sí",IF(DATOS!AN$5="Sí",(1/DATOS_[[% anualiz]:[% anualiz]]),1)*IF(DATOS!AN$4="Sí",1/DATOS_[[% normaliz]:[% normaliz]],1)*(DATOS_[Conc.Sal.10])))))))),
0)</f>
        <v>0</v>
      </c>
      <c r="T47" s="111">
        <f t="array" ref="T47">IFERROR(
(MEDIAN((IF(DATOS_[[Sexo]:[Sexo]]=$B47,IF(DATOS_[[AGRUP. VALOR. PTO.]:[AGRUP. VALOR. PTO.]]=$B45,IF(DATOS_[[Check Periodo Ref.]:[Check Periodo Ref.]]="Dentro",IF(DATOS_[[Check Equiparado]:[Check Equiparado]]="Sí",IF(DATOS!AO$5="Sí",(1/DATOS_[[% anualiz]:[% anualiz]]),1)*IF(DATOS!AO$4="Sí",1/DATOS_[[% normaliz]:[% normaliz]],1)*(DATOS_[Conc.Sal.11])))))))),
0)</f>
        <v>0</v>
      </c>
      <c r="U47" s="111">
        <f t="array" ref="U47">IFERROR(
(MEDIAN((IF(DATOS_[[Sexo]:[Sexo]]=$B47,IF(DATOS_[[AGRUP. VALOR. PTO.]:[AGRUP. VALOR. PTO.]]=$B45,IF(DATOS_[[Check Periodo Ref.]:[Check Periodo Ref.]]="Dentro",IF(DATOS_[[Check Equiparado]:[Check Equiparado]]="Sí",IF(DATOS!AP$5="Sí",(1/DATOS_[[% anualiz]:[% anualiz]]),1)*IF(DATOS!AP$4="Sí",1/DATOS_[[% normaliz]:[% normaliz]],1)*(DATOS_[Conc.Sal.12])))))))),
0)</f>
        <v>0</v>
      </c>
      <c r="V47" s="111">
        <f t="array" ref="V47">IFERROR(
(MEDIAN((IF(DATOS_[[Sexo]:[Sexo]]=$B47,IF(DATOS_[[AGRUP. VALOR. PTO.]:[AGRUP. VALOR. PTO.]]=$B45,IF(DATOS_[[Check Periodo Ref.]:[Check Periodo Ref.]]="Dentro",IF(DATOS_[[Check Equiparado]:[Check Equiparado]]="Sí",IF(DATOS!AQ$5="Sí",(1/DATOS_[[% anualiz]:[% anualiz]]),1)*IF(DATOS!AQ$4="Sí",1/DATOS_[[% normaliz]:[% normaliz]],1)*(DATOS_[Conc.Sal.13])))))))),
0)</f>
        <v>0</v>
      </c>
      <c r="W47" s="111">
        <f t="array" ref="W47">IFERROR(
(MEDIAN((IF(DATOS_[[Sexo]:[Sexo]]=$B47,IF(DATOS_[[AGRUP. VALOR. PTO.]:[AGRUP. VALOR. PTO.]]=$B45,IF(DATOS_[[Check Periodo Ref.]:[Check Periodo Ref.]]="Dentro",IF(DATOS_[[Check Equiparado]:[Check Equiparado]]="Sí",IF(DATOS!AR$5="Sí",(1/DATOS_[[% anualiz]:[% anualiz]]),1)*IF(DATOS!AR$4="Sí",1/DATOS_[[% normaliz]:[% normaliz]],1)*(DATOS_[Conc.Sal.14])))))))),
0)</f>
        <v>0</v>
      </c>
      <c r="X47" s="111">
        <f t="array" ref="X47">IFERROR(
(MEDIAN((IF(DATOS_[[Sexo]:[Sexo]]=$B47,IF(DATOS_[[AGRUP. VALOR. PTO.]:[AGRUP. VALOR. PTO.]]=$B45,IF(DATOS_[[Check Periodo Ref.]:[Check Periodo Ref.]]="Dentro",IF(DATOS_[[Check Equiparado]:[Check Equiparado]]="Sí",IF(DATOS!AS$5="Sí",(1/DATOS_[[% anualiz]:[% anualiz]]),1)*IF(DATOS!AS$4="Sí",1/DATOS_[[% normaliz]:[% normaliz]],1)*(DATOS_[Conc.Sal.15])))))))),
0)</f>
        <v>0</v>
      </c>
      <c r="Y47" s="111">
        <f t="array" ref="Y47">IFERROR(
(MEDIAN((IF(DATOS_[[Sexo]:[Sexo]]=$B47,IF(DATOS_[[AGRUP. VALOR. PTO.]:[AGRUP. VALOR. PTO.]]=$B45,IF(DATOS_[[Check Periodo Ref.]:[Check Periodo Ref.]]="Dentro",IF(DATOS_[[Check Equiparado]:[Check Equiparado]]="Sí",IF(DATOS!AT$5="Sí",(1/DATOS_[[% anualiz]:[% anualiz]]),1)*IF(DATOS!AT$4="Sí",1/DATOS_[[% normaliz]:[% normaliz]],1)*(DATOS_[Conc.Sal.16])))))))),
0)</f>
        <v>0</v>
      </c>
      <c r="Z47" s="111">
        <f t="array" ref="Z47">IFERROR(
(MEDIAN((IF(DATOS_[[Sexo]:[Sexo]]=$B47,IF(DATOS_[[AGRUP. VALOR. PTO.]:[AGRUP. VALOR. PTO.]]=$B45,IF(DATOS_[[Check Periodo Ref.]:[Check Periodo Ref.]]="Dentro",IF(DATOS_[[Check Equiparado]:[Check Equiparado]]="Sí",IF(DATOS!AU$5="Sí",(1/DATOS_[[% anualiz]:[% anualiz]]),1)*IF(DATOS!AU$4="Sí",1/DATOS_[[% normaliz]:[% normaliz]],1)*(DATOS_[Conc.Sal.17])))))))),
0)</f>
        <v>0</v>
      </c>
      <c r="AA47" s="111">
        <f t="array" ref="AA47">IFERROR(
(MEDIAN((IF(DATOS_[[Sexo]:[Sexo]]=$B47,IF(DATOS_[[AGRUP. VALOR. PTO.]:[AGRUP. VALOR. PTO.]]=$B45,IF(DATOS_[[Check Periodo Ref.]:[Check Periodo Ref.]]="Dentro",IF(DATOS_[[Check Equiparado]:[Check Equiparado]]="Sí",IF(DATOS!AV$5="Sí",(1/DATOS_[[% anualiz]:[% anualiz]]),1)*IF(DATOS!AV$4="Sí",1/DATOS_[[% normaliz]:[% normaliz]],1)*(DATOS_[Conc.Sal.18])))))))),
0)</f>
        <v>0</v>
      </c>
      <c r="AB47" s="111">
        <f t="array" ref="AB47">IFERROR(
(MEDIAN((IF(DATOS_[[Sexo]:[Sexo]]=$B47,IF(DATOS_[[AGRUP. VALOR. PTO.]:[AGRUP. VALOR. PTO.]]=$B45,IF(DATOS_[[Check Periodo Ref.]:[Check Periodo Ref.]]="Dentro",IF(DATOS_[[Check Equiparado]:[Check Equiparado]]="Sí",IF(DATOS!AW$5="Sí",(1/DATOS_[[% anualiz]:[% anualiz]]),1)*IF(DATOS!AW$4="Sí",1/DATOS_[[% normaliz]:[% normaliz]],1)*(DATOS_[Conc.Sal.19])))))))),
0)</f>
        <v>0</v>
      </c>
      <c r="AC47" s="111">
        <f t="array" ref="AC47">IFERROR(
(MEDIAN((IF(DATOS_[[Sexo]:[Sexo]]=$B47,IF(DATOS_[[AGRUP. VALOR. PTO.]:[AGRUP. VALOR. PTO.]]=$B45,IF(DATOS_[[Check Periodo Ref.]:[Check Periodo Ref.]]="Dentro",IF(DATOS_[[Check Equiparado]:[Check Equiparado]]="Sí",IF(DATOS!AX$5="Sí",(1/DATOS_[[% anualiz]:[% anualiz]]),1)*IF(DATOS!AX$4="Sí",1/DATOS_[[% normaliz]:[% normaliz]],1)*(DATOS_[Conc.Sal.20])))))))),
0)</f>
        <v>0</v>
      </c>
      <c r="AD47" s="111">
        <f t="array" ref="AD47">IFERROR(
(MEDIAN((IF(DATOS_[[Sexo]:[Sexo]]=$B47,IF(DATOS_[[AGRUP. VALOR. PTO.]:[AGRUP. VALOR. PTO.]]=$B45,IF(DATOS_[[Check Periodo Ref.]:[Check Periodo Ref.]]="Dentro",IF(DATOS_[[Check Equiparado]:[Check Equiparado]]="Sí",IF(DATOS!AY$5="Sí",(1/DATOS_[[% anualiz]:[% anualiz]]),1)*IF(DATOS!AY$4="Sí",1/DATOS_[[% normaliz]:[% normaliz]],1)*(DATOS_[Conc.Sal.21])))))))),
0)</f>
        <v>0</v>
      </c>
      <c r="AE47" s="111">
        <f t="array" ref="AE47">IFERROR(
(MEDIAN((IF(DATOS_[[Sexo]:[Sexo]]=$B47,IF(DATOS_[[AGRUP. VALOR. PTO.]:[AGRUP. VALOR. PTO.]]=$B45,IF(DATOS_[[Check Periodo Ref.]:[Check Periodo Ref.]]="Dentro",IF(DATOS_[[Check Equiparado]:[Check Equiparado]]="Sí",IF(DATOS!AZ$5="Sí",(1/DATOS_[[% anualiz]:[% anualiz]]),1)*IF(DATOS!AZ$4="Sí",1/DATOS_[[% normaliz]:[% normaliz]],1)*(DATOS_[Conc.Sal.22])))))))),
0)</f>
        <v>0</v>
      </c>
      <c r="AF47" s="111">
        <f t="array" ref="AF47">IFERROR(
(MEDIAN((IF(DATOS_[[Sexo]:[Sexo]]=$B47,IF(DATOS_[[AGRUP. VALOR. PTO.]:[AGRUP. VALOR. PTO.]]=$B45,IF(DATOS_[[Check Periodo Ref.]:[Check Periodo Ref.]]="Dentro",IF(DATOS_[[Check Equiparado]:[Check Equiparado]]="Sí",IF(DATOS!BA$5="Sí",(1/DATOS_[[% anualiz]:[% anualiz]]),1)*IF(DATOS!BA$4="Sí",1/DATOS_[[% normaliz]:[% normaliz]],1)*(DATOS_[Conc.Sal.23])))))))),
0)</f>
        <v>0</v>
      </c>
      <c r="AG47" s="111">
        <f t="array" ref="AG47">IFERROR(
(MEDIAN((IF(DATOS_[[Sexo]:[Sexo]]=$B47,IF(DATOS_[[AGRUP. VALOR. PTO.]:[AGRUP. VALOR. PTO.]]=$B45,IF(DATOS_[[Check Periodo Ref.]:[Check Periodo Ref.]]="Dentro",IF(DATOS_[[Check Equiparado]:[Check Equiparado]]="Sí",IF(DATOS!BB$5="Sí",(1/DATOS_[[% anualiz]:[% anualiz]]),1)*IF(DATOS!BB$4="Sí",1/DATOS_[[% normaliz]:[% normaliz]],1)*(DATOS_[Conc.Sal.24])))))))),
0)</f>
        <v>0</v>
      </c>
      <c r="AH47" s="111">
        <f t="array" ref="AH47">IFERROR(
(MEDIAN((IF(DATOS_[[Sexo]:[Sexo]]=$B47,IF(DATOS_[[AGRUP. VALOR. PTO.]:[AGRUP. VALOR. PTO.]]=$B45,IF(DATOS_[[Check Periodo Ref.]:[Check Periodo Ref.]]="Dentro",IF(DATOS_[[Check Equiparado]:[Check Equiparado]]="Sí",IF(DATOS!BC$5="Sí",(1/DATOS_[[% anualiz]:[% anualiz]]),1)*IF(DATOS!BC$4="Sí",1/DATOS_[[% normaliz]:[% normaliz]],1)*(DATOS_[Conc.Sal.25])))))))),
0)</f>
        <v>0</v>
      </c>
      <c r="AI47" s="111">
        <f t="array" ref="AI47">IFERROR(
(MEDIAN((IF(DATOS_[[Sexo]:[Sexo]]=$B47,IF(DATOS_[[AGRUP. VALOR. PTO.]:[AGRUP. VALOR. PTO.]]=$B45,IF(DATOS_[[Check Periodo Ref.]:[Check Periodo Ref.]]="Dentro",IF(DATOS_[[Check Equiparado]:[Check Equiparado]]="Sí",IF(DATOS!BD$5="Sí",(1/DATOS_[[% anualiz]:[% anualiz]]),1)*IF(DATOS!BD$4="Sí",1/DATOS_[[% normaliz]:[% normaliz]],1)*(DATOS_[Conc.Sal.26])))))))),
0)</f>
        <v>0</v>
      </c>
      <c r="AJ47" s="111">
        <f t="array" ref="AJ47">IFERROR(
(MEDIAN((IF(DATOS_[[Sexo]:[Sexo]]=$B47,IF(DATOS_[[AGRUP. VALOR. PTO.]:[AGRUP. VALOR. PTO.]]=$B45,IF(DATOS_[[Check Periodo Ref.]:[Check Periodo Ref.]]="Dentro",IF(DATOS_[[Check Equiparado]:[Check Equiparado]]="Sí",IF(DATOS!BE$5="Sí",(1/DATOS_[[% anualiz]:[% anualiz]]),1)*IF(DATOS!BE$4="Sí",1/DATOS_[[% normaliz]:[% normaliz]],1)*(DATOS_[Conc.Sal.27])))))))),
0)</f>
        <v>0</v>
      </c>
      <c r="AK47" s="111">
        <f t="array" ref="AK47">IFERROR(
(MEDIAN((IF(DATOS_[[Sexo]:[Sexo]]=$B47,IF(DATOS_[[AGRUP. VALOR. PTO.]:[AGRUP. VALOR. PTO.]]=$B45,IF(DATOS_[[Check Periodo Ref.]:[Check Periodo Ref.]]="Dentro",IF(DATOS_[[Check Equiparado]:[Check Equiparado]]="Sí",IF(DATOS!BF$5="Sí",(1/DATOS_[[% anualiz]:[% anualiz]]),1)*IF(DATOS!BF$4="Sí",1/DATOS_[[% normaliz]:[% normaliz]],1)*(DATOS_[Conc.Sal.28])))))))),
0)</f>
        <v>0</v>
      </c>
      <c r="AL47" s="111">
        <f t="array" ref="AL47">IFERROR(
(MEDIAN((IF(DATOS_[[Sexo]:[Sexo]]=$B47,IF(DATOS_[[AGRUP. VALOR. PTO.]:[AGRUP. VALOR. PTO.]]=$B45,IF(DATOS_[[Check Periodo Ref.]:[Check Periodo Ref.]]="Dentro",IF(DATOS_[[Check Equiparado]:[Check Equiparado]]="Sí",IF(DATOS!BG$5="Sí",(1/DATOS_[[% anualiz]:[% anualiz]]),1)*IF(DATOS!BG$4="Sí",1/DATOS_[[% normaliz]:[% normaliz]],1)*(DATOS_[Conc.Sal.29])))))))),
0)</f>
        <v>0</v>
      </c>
      <c r="AM47" s="111">
        <f t="array" ref="AM47">IFERROR(
(MEDIAN((IF(DATOS_[[Sexo]:[Sexo]]=$B47,IF(DATOS_[[AGRUP. VALOR. PTO.]:[AGRUP. VALOR. PTO.]]=$B45,IF(DATOS_[[Check Periodo Ref.]:[Check Periodo Ref.]]="Dentro",IF(DATOS_[[Check Equiparado]:[Check Equiparado]]="Sí",IF(DATOS!BH$5="Sí",(1/DATOS_[[% anualiz]:[% anualiz]]),1)*IF(DATOS!BH$4="Sí",1/DATOS_[[% normaliz]:[% normaliz]],1)*(DATOS_[Conc.Sal.30])))))))),
0)</f>
        <v>0</v>
      </c>
      <c r="AN47" s="112">
        <f t="array" ref="AN47">IFERROR(
MEDIAN(IF(DATOS_[Sexo]=$B47,IF(DATOS_[[AGRUP. VALOR. PTO.]:[AGRUP. VALOR. PTO.]]=$B45,IF(DATOS_[Check Equiparado]="Sí",IF(DATOS_[Check Periodo Ref.]="Dentro",DATOS_[Tot COMPL.SAL Eq],FALSE))))),
0)</f>
        <v>0</v>
      </c>
      <c r="AO47" s="113">
        <f t="array" ref="AO47">IFERROR(
MEDIAN(IF(DATOS_[Sexo]=$B47,IF(DATOS_[[AGRUP. VALOR. PTO.]:[AGRUP. VALOR. PTO.]]=$B45,IF(DATOS_[Check Equiparado]="Sí",IF(DATOS_[Check Periodo Ref.]="Dentro",DATOS_[TOTAL SALARIO Eq],FALSE))))),
0)</f>
        <v>0</v>
      </c>
      <c r="AP47" s="114">
        <f t="array" ref="AP47">IFERROR(
(MEDIAN((IF(DATOS_[[Sexo]:[Sexo]]=$B47,IF(DATOS_[[AGRUP. VALOR. PTO.]:[AGRUP. VALOR. PTO.]]=$B45,IF(DATOS_[[Check Periodo Ref.]:[Check Periodo Ref.]]="Dentro",IF(DATOS_[[Check Equiparado]:[Check Equiparado]]="Sí",IF(DATOS!BI$5="Sí",(1/DATOS_[[% anualiz]:[% anualiz]]),1)*IF(DATOS!BI$4="Sí",1/DATOS_[[% normaliz]:[% normaliz]],1)*(DATOS_[C.Extra.01])))))))),
0)</f>
        <v>0</v>
      </c>
      <c r="AQ47" s="114">
        <f t="array" ref="AQ47">IFERROR(
(MEDIAN((IF(DATOS_[[Sexo]:[Sexo]]=$B47,IF(DATOS_[[AGRUP. VALOR. PTO.]:[AGRUP. VALOR. PTO.]]=$B45,IF(DATOS_[[Check Periodo Ref.]:[Check Periodo Ref.]]="Dentro",IF(DATOS_[[Check Equiparado]:[Check Equiparado]]="Sí",IF(DATOS!BJ$5="Sí",(1/DATOS_[[% anualiz]:[% anualiz]]),1)*IF(DATOS!BJ$4="Sí",1/DATOS_[[% normaliz]:[% normaliz]],1)*(DATOS_[C.Extra.02])))))))),
0)</f>
        <v>0</v>
      </c>
      <c r="AR47" s="114">
        <f t="array" ref="AR47">IFERROR(
(MEDIAN((IF(DATOS_[[Sexo]:[Sexo]]=$B47,IF(DATOS_[[AGRUP. VALOR. PTO.]:[AGRUP. VALOR. PTO.]]=$B45,IF(DATOS_[[Check Periodo Ref.]:[Check Periodo Ref.]]="Dentro",IF(DATOS_[[Check Equiparado]:[Check Equiparado]]="Sí",IF(DATOS!BK$5="Sí",(1/DATOS_[[% anualiz]:[% anualiz]]),1)*IF(DATOS!BK$4="Sí",1/DATOS_[[% normaliz]:[% normaliz]],1)*(DATOS_[C.Extra.03])))))))),
0)</f>
        <v>0</v>
      </c>
      <c r="AS47" s="114">
        <f t="array" ref="AS47">IFERROR(
(MEDIAN((IF(DATOS_[[Sexo]:[Sexo]]=$B47,IF(DATOS_[[AGRUP. VALOR. PTO.]:[AGRUP. VALOR. PTO.]]=$B45,IF(DATOS_[[Check Periodo Ref.]:[Check Periodo Ref.]]="Dentro",IF(DATOS_[[Check Equiparado]:[Check Equiparado]]="Sí",IF(DATOS!BL$5="Sí",(1/DATOS_[[% anualiz]:[% anualiz]]),1)*IF(DATOS!BL$4="Sí",1/DATOS_[[% normaliz]:[% normaliz]],1)*(DATOS_[C.Extra.04])))))))),
0)</f>
        <v>0</v>
      </c>
      <c r="AT47" s="114">
        <f t="array" ref="AT47">IFERROR(
(MEDIAN((IF(DATOS_[[Sexo]:[Sexo]]=$B47,IF(DATOS_[[AGRUP. VALOR. PTO.]:[AGRUP. VALOR. PTO.]]=$B45,IF(DATOS_[[Check Periodo Ref.]:[Check Periodo Ref.]]="Dentro",IF(DATOS_[[Check Equiparado]:[Check Equiparado]]="Sí",IF(DATOS!BM$5="Sí",(1/DATOS_[[% anualiz]:[% anualiz]]),1)*IF(DATOS!BM$4="Sí",1/DATOS_[[% normaliz]:[% normaliz]],1)*(DATOS_[C.Extra.05])))))))),
0)</f>
        <v>0</v>
      </c>
      <c r="AU47" s="115">
        <f t="array" ref="AU47">IFERROR(
MEDIAN(IF(DATOS_[Sexo]=$B47,IF(DATOS_[[AGRUP. VALOR. PTO.]:[AGRUP. VALOR. PTO.]]=$B45,IF(DATOS_[Check Equiparado]="Sí",IF(DATOS_[Check Periodo Ref.]="Dentro",DATOS_[Tot Extrasalarial Eq],FALSE))))),
0)</f>
        <v>0</v>
      </c>
      <c r="AV47" s="116">
        <f t="array" ref="AV47">IFERROR(
MEDIAN(IF(DATOS_[Sexo]=$B47,IF(DATOS_[[AGRUP. VALOR. PTO.]:[AGRUP. VALOR. PTO.]]=$B45,IF(DATOS_[Check Equiparado]="Sí",IF(DATOS_[Check Periodo Ref.]="Dentro",DATOS_[TOTAL Retrib Eq],FALSE))))),
0)</f>
        <v>0</v>
      </c>
    </row>
    <row r="48" spans="1:48" ht="17.25" hidden="1" thickBot="1" x14ac:dyDescent="0.35">
      <c r="A48" s="42" t="str">
        <f t="shared" ref="A48" si="47">+A49</f>
        <v>[ocultar]</v>
      </c>
      <c r="B48" s="90" t="s">
        <v>271</v>
      </c>
      <c r="C48" s="109"/>
      <c r="D48" s="41"/>
      <c r="E48" s="41"/>
      <c r="F48" s="41"/>
      <c r="G48" s="41"/>
      <c r="H48" s="41"/>
      <c r="I48" s="119" t="str">
        <f t="shared" ref="I48:AV48" si="48">IFERROR((I49-I50)/I49,"")</f>
        <v/>
      </c>
      <c r="J48" s="123" t="str">
        <f t="shared" si="48"/>
        <v/>
      </c>
      <c r="K48" s="123" t="str">
        <f t="shared" si="48"/>
        <v/>
      </c>
      <c r="L48" s="123" t="str">
        <f t="shared" si="48"/>
        <v/>
      </c>
      <c r="M48" s="123" t="str">
        <f t="shared" si="48"/>
        <v/>
      </c>
      <c r="N48" s="123" t="str">
        <f t="shared" si="48"/>
        <v/>
      </c>
      <c r="O48" s="123" t="str">
        <f t="shared" si="48"/>
        <v/>
      </c>
      <c r="P48" s="123" t="str">
        <f t="shared" si="48"/>
        <v/>
      </c>
      <c r="Q48" s="123" t="str">
        <f t="shared" si="48"/>
        <v/>
      </c>
      <c r="R48" s="123" t="str">
        <f t="shared" si="48"/>
        <v/>
      </c>
      <c r="S48" s="123" t="str">
        <f t="shared" si="48"/>
        <v/>
      </c>
      <c r="T48" s="123" t="str">
        <f t="shared" si="48"/>
        <v/>
      </c>
      <c r="U48" s="123" t="str">
        <f t="shared" si="48"/>
        <v/>
      </c>
      <c r="V48" s="123" t="str">
        <f t="shared" si="48"/>
        <v/>
      </c>
      <c r="W48" s="123" t="str">
        <f t="shared" si="48"/>
        <v/>
      </c>
      <c r="X48" s="123" t="str">
        <f t="shared" si="48"/>
        <v/>
      </c>
      <c r="Y48" s="123" t="str">
        <f t="shared" si="48"/>
        <v/>
      </c>
      <c r="Z48" s="122" t="str">
        <f t="shared" si="48"/>
        <v/>
      </c>
      <c r="AA48" s="122" t="str">
        <f t="shared" si="48"/>
        <v/>
      </c>
      <c r="AB48" s="122" t="str">
        <f t="shared" si="48"/>
        <v/>
      </c>
      <c r="AC48" s="122" t="str">
        <f t="shared" si="48"/>
        <v/>
      </c>
      <c r="AD48" s="122" t="str">
        <f t="shared" si="48"/>
        <v/>
      </c>
      <c r="AE48" s="122" t="str">
        <f t="shared" si="48"/>
        <v/>
      </c>
      <c r="AF48" s="122" t="str">
        <f t="shared" si="48"/>
        <v/>
      </c>
      <c r="AG48" s="122" t="str">
        <f t="shared" si="48"/>
        <v/>
      </c>
      <c r="AH48" s="122" t="str">
        <f t="shared" si="48"/>
        <v/>
      </c>
      <c r="AI48" s="122" t="str">
        <f t="shared" si="48"/>
        <v/>
      </c>
      <c r="AJ48" s="122" t="str">
        <f t="shared" si="48"/>
        <v/>
      </c>
      <c r="AK48" s="122" t="str">
        <f t="shared" si="48"/>
        <v/>
      </c>
      <c r="AL48" s="122" t="str">
        <f t="shared" si="48"/>
        <v/>
      </c>
      <c r="AM48" s="122" t="str">
        <f t="shared" si="48"/>
        <v/>
      </c>
      <c r="AN48" s="124" t="str">
        <f t="shared" si="48"/>
        <v/>
      </c>
      <c r="AO48" s="128" t="str">
        <f t="shared" si="48"/>
        <v/>
      </c>
      <c r="AP48" s="125" t="str">
        <f t="shared" si="48"/>
        <v/>
      </c>
      <c r="AQ48" s="125" t="str">
        <f t="shared" si="48"/>
        <v/>
      </c>
      <c r="AR48" s="125" t="str">
        <f t="shared" si="48"/>
        <v/>
      </c>
      <c r="AS48" s="125" t="str">
        <f t="shared" si="48"/>
        <v/>
      </c>
      <c r="AT48" s="125" t="str">
        <f t="shared" si="48"/>
        <v/>
      </c>
      <c r="AU48" s="126" t="str">
        <f t="shared" si="48"/>
        <v/>
      </c>
      <c r="AV48" s="127" t="str">
        <f t="shared" si="48"/>
        <v/>
      </c>
    </row>
    <row r="49" spans="1:48" hidden="1" x14ac:dyDescent="0.3">
      <c r="A49" s="42" t="str">
        <f t="shared" ref="A49" si="49">+IF(C49+C50=0,"[ocultar]","")</f>
        <v>[ocultar]</v>
      </c>
      <c r="B49" s="86" t="s">
        <v>162</v>
      </c>
      <c r="C49" s="33">
        <f t="array" ref="C49">SUM(IF($B49=DATOS_[Sexo],
IF($B48=DATOS_[AGRUP. VALOR. PTO.],
IF("Dentro"=DATOS_[Check Periodo Ref.],
1/(COUNTIFS(DATOS_[Sexo],$B49,DATOS_[AGRUP. VALOR. PTO.],$B48,DATOS_[Check Periodo Ref.],"Dentro",DATOS_[id],DATOS_[id]))))))</f>
        <v>0</v>
      </c>
      <c r="D49" s="35">
        <f>COUNTIFS(DATOS_[AGRUP. VALOR. PTO.],$B48,DATOS_[Sexo],$B49,DATOS_[Check Periodo Ref.],"Dentro")</f>
        <v>0</v>
      </c>
      <c r="E49" s="35">
        <f>COUNTIFS(DATOS_[AGRUP. VALOR. PTO.],$B48,DATOS_[Sexo],$B49,DATOS_[Check Periodo Ref.],"Dentro",DATOS_[Check Nº SC Norm],"Sí")</f>
        <v>0</v>
      </c>
      <c r="F49" s="35">
        <f>COUNTIFS(DATOS_[AGRUP. VALOR. PTO.],$B48,DATOS_[Sexo],$B49,DATOS_[Check Periodo Ref.],"Dentro",DATOS_[Check Nº SC Anualiz],"Sí")</f>
        <v>0</v>
      </c>
      <c r="G49" s="35">
        <f>COUNTIFS(DATOS_[AGRUP. VALOR. PTO.],$B48,DATOS_[Sexo],$B49,DATOS_[Check Periodo Ref.],"Dentro",DATOS_[Check Nº SC Norm y Anualiz],"Sí")</f>
        <v>0</v>
      </c>
      <c r="H49" s="35">
        <f>COUNTIFS(DATOS_[AGRUP. VALOR. PTO.],$B48,DATOS_[Sexo],$B49,DATOS_[Check Periodo Ref.],"Dentro",DATOS_[Check Equiparación],"Sí")</f>
        <v>0</v>
      </c>
      <c r="I49" s="110">
        <f t="array" ref="I49">IFERROR(
MEDIAN(IF(DATOS_[Sexo]=$B49,IF(DATOS_[[AGRUP. VALOR. PTO.]:[AGRUP. VALOR. PTO.]]=$B48,IF(DATOS_[Check Equiparado]="Sí",IF(DATOS_[Check Periodo Ref.]="Dentro",DATOS_[SALARIO BASE Eq],FALSE))))),
0)</f>
        <v>0</v>
      </c>
      <c r="J49" s="111">
        <f t="array" ref="J49">IFERROR(
(MEDIAN((IF(DATOS_[[Sexo]:[Sexo]]=$B49,IF(DATOS_[[AGRUP. VALOR. PTO.]:[AGRUP. VALOR. PTO.]]=$B48,IF(DATOS_[[Check Periodo Ref.]:[Check Periodo Ref.]]="Dentro",IF(DATOS_[[Check Equiparado]:[Check Equiparado]]="Sí",IF(DATOS!AE$5="Sí",(1/DATOS_[[% anualiz]:[% anualiz]]),1)*IF(DATOS!AE$4="Sí",1/DATOS_[[% normaliz]:[% normaliz]],1)*(DATOS_[Conc.Sal.01])))))))),
0)</f>
        <v>0</v>
      </c>
      <c r="K49" s="111">
        <f t="array" ref="K49">IFERROR(
(MEDIAN((IF(DATOS_[[Sexo]:[Sexo]]=$B49,IF(DATOS_[[AGRUP. VALOR. PTO.]:[AGRUP. VALOR. PTO.]]=$B48,IF(DATOS_[[Check Periodo Ref.]:[Check Periodo Ref.]]="Dentro",IF(DATOS_[[Check Equiparado]:[Check Equiparado]]="Sí",IF(DATOS!AF$5="Sí",(1/DATOS_[[% anualiz]:[% anualiz]]),1)*IF(DATOS!AF$4="Sí",1/DATOS_[[% normaliz]:[% normaliz]],1)*(DATOS_[Conc.Sal.02])))))))),
0)</f>
        <v>0</v>
      </c>
      <c r="L49" s="111">
        <f t="array" ref="L49">IFERROR(
(MEDIAN((IF(DATOS_[[Sexo]:[Sexo]]=$B49,IF(DATOS_[[AGRUP. VALOR. PTO.]:[AGRUP. VALOR. PTO.]]=$B48,IF(DATOS_[[Check Periodo Ref.]:[Check Periodo Ref.]]="Dentro",IF(DATOS_[[Check Equiparado]:[Check Equiparado]]="Sí",IF(DATOS!AG$5="Sí",(1/DATOS_[[% anualiz]:[% anualiz]]),1)*IF(DATOS!AG$4="Sí",1/DATOS_[[% normaliz]:[% normaliz]],1)*(DATOS_[Conc.Sal.03])))))))),
0)</f>
        <v>0</v>
      </c>
      <c r="M49" s="111">
        <f t="array" ref="M49">IFERROR(
(MEDIAN((IF(DATOS_[[Sexo]:[Sexo]]=$B49,IF(DATOS_[[AGRUP. VALOR. PTO.]:[AGRUP. VALOR. PTO.]]=$B48,IF(DATOS_[[Check Periodo Ref.]:[Check Periodo Ref.]]="Dentro",IF(DATOS_[[Check Equiparado]:[Check Equiparado]]="Sí",IF(DATOS!AH$5="Sí",(1/DATOS_[[% anualiz]:[% anualiz]]),1)*IF(DATOS!AH$4="Sí",1/DATOS_[[% normaliz]:[% normaliz]],1)*(DATOS_[Conc.Sal.04])))))))),
0)</f>
        <v>0</v>
      </c>
      <c r="N49" s="111">
        <f t="array" ref="N49">IFERROR(
(MEDIAN((IF(DATOS_[[Sexo]:[Sexo]]=$B49,IF(DATOS_[[AGRUP. VALOR. PTO.]:[AGRUP. VALOR. PTO.]]=$B48,IF(DATOS_[[Check Periodo Ref.]:[Check Periodo Ref.]]="Dentro",IF(DATOS_[[Check Equiparado]:[Check Equiparado]]="Sí",IF(DATOS!AI$5="Sí",(1/DATOS_[[% anualiz]:[% anualiz]]),1)*IF(DATOS!AI$4="Sí",1/DATOS_[[% normaliz]:[% normaliz]],1)*(DATOS_[Conc.Sal.05])))))))),
0)</f>
        <v>0</v>
      </c>
      <c r="O49" s="111">
        <f t="array" ref="O49">IFERROR(
(MEDIAN((IF(DATOS_[[Sexo]:[Sexo]]=$B49,IF(DATOS_[[AGRUP. VALOR. PTO.]:[AGRUP. VALOR. PTO.]]=$B48,IF(DATOS_[[Check Periodo Ref.]:[Check Periodo Ref.]]="Dentro",IF(DATOS_[[Check Equiparado]:[Check Equiparado]]="Sí",IF(DATOS!AJ$5="Sí",(1/DATOS_[[% anualiz]:[% anualiz]]),1)*IF(DATOS!AJ$4="Sí",1/DATOS_[[% normaliz]:[% normaliz]],1)*(DATOS_[Conc.Sal.06])))))))),
0)</f>
        <v>0</v>
      </c>
      <c r="P49" s="111">
        <f t="array" ref="P49">IFERROR(
(MEDIAN((IF(DATOS_[[Sexo]:[Sexo]]=$B49,IF(DATOS_[[AGRUP. VALOR. PTO.]:[AGRUP. VALOR. PTO.]]=$B48,IF(DATOS_[[Check Periodo Ref.]:[Check Periodo Ref.]]="Dentro",IF(DATOS_[[Check Equiparado]:[Check Equiparado]]="Sí",IF(DATOS!AK$5="Sí",(1/DATOS_[[% anualiz]:[% anualiz]]),1)*IF(DATOS!AK$4="Sí",1/DATOS_[[% normaliz]:[% normaliz]],1)*(DATOS_[Conc.Sal.07])))))))),
0)</f>
        <v>0</v>
      </c>
      <c r="Q49" s="111">
        <f t="array" ref="Q49">IFERROR(
(MEDIAN((IF(DATOS_[[Sexo]:[Sexo]]=$B49,IF(DATOS_[[AGRUP. VALOR. PTO.]:[AGRUP. VALOR. PTO.]]=$B48,IF(DATOS_[[Check Periodo Ref.]:[Check Periodo Ref.]]="Dentro",IF(DATOS_[[Check Equiparado]:[Check Equiparado]]="Sí",IF(DATOS!AL$5="Sí",(1/DATOS_[[% anualiz]:[% anualiz]]),1)*IF(DATOS!AL$4="Sí",1/DATOS_[[% normaliz]:[% normaliz]],1)*(DATOS_[Conc.Sal.08])))))))),
0)</f>
        <v>0</v>
      </c>
      <c r="R49" s="111">
        <f t="array" ref="R49">IFERROR(
(MEDIAN((IF(DATOS_[[Sexo]:[Sexo]]=$B49,IF(DATOS_[[AGRUP. VALOR. PTO.]:[AGRUP. VALOR. PTO.]]=$B48,IF(DATOS_[[Check Periodo Ref.]:[Check Periodo Ref.]]="Dentro",IF(DATOS_[[Check Equiparado]:[Check Equiparado]]="Sí",IF(DATOS!AM$5="Sí",(1/DATOS_[[% anualiz]:[% anualiz]]),1)*IF(DATOS!AM$4="Sí",1/DATOS_[[% normaliz]:[% normaliz]],1)*(DATOS_[Conc.Sal.09])))))))),
0)</f>
        <v>0</v>
      </c>
      <c r="S49" s="111">
        <f t="array" ref="S49">IFERROR(
(MEDIAN((IF(DATOS_[[Sexo]:[Sexo]]=$B49,IF(DATOS_[[AGRUP. VALOR. PTO.]:[AGRUP. VALOR. PTO.]]=$B48,IF(DATOS_[[Check Periodo Ref.]:[Check Periodo Ref.]]="Dentro",IF(DATOS_[[Check Equiparado]:[Check Equiparado]]="Sí",IF(DATOS!AN$5="Sí",(1/DATOS_[[% anualiz]:[% anualiz]]),1)*IF(DATOS!AN$4="Sí",1/DATOS_[[% normaliz]:[% normaliz]],1)*(DATOS_[Conc.Sal.10])))))))),
0)</f>
        <v>0</v>
      </c>
      <c r="T49" s="111">
        <f t="array" ref="T49">IFERROR(
(MEDIAN((IF(DATOS_[[Sexo]:[Sexo]]=$B49,IF(DATOS_[[AGRUP. VALOR. PTO.]:[AGRUP. VALOR. PTO.]]=$B48,IF(DATOS_[[Check Periodo Ref.]:[Check Periodo Ref.]]="Dentro",IF(DATOS_[[Check Equiparado]:[Check Equiparado]]="Sí",IF(DATOS!AO$5="Sí",(1/DATOS_[[% anualiz]:[% anualiz]]),1)*IF(DATOS!AO$4="Sí",1/DATOS_[[% normaliz]:[% normaliz]],1)*(DATOS_[Conc.Sal.11])))))))),
0)</f>
        <v>0</v>
      </c>
      <c r="U49" s="111">
        <f t="array" ref="U49">IFERROR(
(MEDIAN((IF(DATOS_[[Sexo]:[Sexo]]=$B49,IF(DATOS_[[AGRUP. VALOR. PTO.]:[AGRUP. VALOR. PTO.]]=$B48,IF(DATOS_[[Check Periodo Ref.]:[Check Periodo Ref.]]="Dentro",IF(DATOS_[[Check Equiparado]:[Check Equiparado]]="Sí",IF(DATOS!AP$5="Sí",(1/DATOS_[[% anualiz]:[% anualiz]]),1)*IF(DATOS!AP$4="Sí",1/DATOS_[[% normaliz]:[% normaliz]],1)*(DATOS_[Conc.Sal.12])))))))),
0)</f>
        <v>0</v>
      </c>
      <c r="V49" s="111">
        <f t="array" ref="V49">IFERROR(
(MEDIAN((IF(DATOS_[[Sexo]:[Sexo]]=$B49,IF(DATOS_[[AGRUP. VALOR. PTO.]:[AGRUP. VALOR. PTO.]]=$B48,IF(DATOS_[[Check Periodo Ref.]:[Check Periodo Ref.]]="Dentro",IF(DATOS_[[Check Equiparado]:[Check Equiparado]]="Sí",IF(DATOS!AQ$5="Sí",(1/DATOS_[[% anualiz]:[% anualiz]]),1)*IF(DATOS!AQ$4="Sí",1/DATOS_[[% normaliz]:[% normaliz]],1)*(DATOS_[Conc.Sal.13])))))))),
0)</f>
        <v>0</v>
      </c>
      <c r="W49" s="111">
        <f t="array" ref="W49">IFERROR(
(MEDIAN((IF(DATOS_[[Sexo]:[Sexo]]=$B49,IF(DATOS_[[AGRUP. VALOR. PTO.]:[AGRUP. VALOR. PTO.]]=$B48,IF(DATOS_[[Check Periodo Ref.]:[Check Periodo Ref.]]="Dentro",IF(DATOS_[[Check Equiparado]:[Check Equiparado]]="Sí",IF(DATOS!AR$5="Sí",(1/DATOS_[[% anualiz]:[% anualiz]]),1)*IF(DATOS!AR$4="Sí",1/DATOS_[[% normaliz]:[% normaliz]],1)*(DATOS_[Conc.Sal.14])))))))),
0)</f>
        <v>0</v>
      </c>
      <c r="X49" s="111">
        <f t="array" ref="X49">IFERROR(
(MEDIAN((IF(DATOS_[[Sexo]:[Sexo]]=$B49,IF(DATOS_[[AGRUP. VALOR. PTO.]:[AGRUP. VALOR. PTO.]]=$B48,IF(DATOS_[[Check Periodo Ref.]:[Check Periodo Ref.]]="Dentro",IF(DATOS_[[Check Equiparado]:[Check Equiparado]]="Sí",IF(DATOS!AS$5="Sí",(1/DATOS_[[% anualiz]:[% anualiz]]),1)*IF(DATOS!AS$4="Sí",1/DATOS_[[% normaliz]:[% normaliz]],1)*(DATOS_[Conc.Sal.15])))))))),
0)</f>
        <v>0</v>
      </c>
      <c r="Y49" s="111">
        <f t="array" ref="Y49">IFERROR(
(MEDIAN((IF(DATOS_[[Sexo]:[Sexo]]=$B49,IF(DATOS_[[AGRUP. VALOR. PTO.]:[AGRUP. VALOR. PTO.]]=$B48,IF(DATOS_[[Check Periodo Ref.]:[Check Periodo Ref.]]="Dentro",IF(DATOS_[[Check Equiparado]:[Check Equiparado]]="Sí",IF(DATOS!AT$5="Sí",(1/DATOS_[[% anualiz]:[% anualiz]]),1)*IF(DATOS!AT$4="Sí",1/DATOS_[[% normaliz]:[% normaliz]],1)*(DATOS_[Conc.Sal.16])))))))),
0)</f>
        <v>0</v>
      </c>
      <c r="Z49" s="111">
        <f t="array" ref="Z49">IFERROR(
(MEDIAN((IF(DATOS_[[Sexo]:[Sexo]]=$B49,IF(DATOS_[[AGRUP. VALOR. PTO.]:[AGRUP. VALOR. PTO.]]=$B48,IF(DATOS_[[Check Periodo Ref.]:[Check Periodo Ref.]]="Dentro",IF(DATOS_[[Check Equiparado]:[Check Equiparado]]="Sí",IF(DATOS!AU$5="Sí",(1/DATOS_[[% anualiz]:[% anualiz]]),1)*IF(DATOS!AU$4="Sí",1/DATOS_[[% normaliz]:[% normaliz]],1)*(DATOS_[Conc.Sal.17])))))))),
0)</f>
        <v>0</v>
      </c>
      <c r="AA49" s="111">
        <f t="array" ref="AA49">IFERROR(
(MEDIAN((IF(DATOS_[[Sexo]:[Sexo]]=$B49,IF(DATOS_[[AGRUP. VALOR. PTO.]:[AGRUP. VALOR. PTO.]]=$B48,IF(DATOS_[[Check Periodo Ref.]:[Check Periodo Ref.]]="Dentro",IF(DATOS_[[Check Equiparado]:[Check Equiparado]]="Sí",IF(DATOS!AV$5="Sí",(1/DATOS_[[% anualiz]:[% anualiz]]),1)*IF(DATOS!AV$4="Sí",1/DATOS_[[% normaliz]:[% normaliz]],1)*(DATOS_[Conc.Sal.18])))))))),
0)</f>
        <v>0</v>
      </c>
      <c r="AB49" s="111">
        <f t="array" ref="AB49">IFERROR(
(MEDIAN((IF(DATOS_[[Sexo]:[Sexo]]=$B49,IF(DATOS_[[AGRUP. VALOR. PTO.]:[AGRUP. VALOR. PTO.]]=$B48,IF(DATOS_[[Check Periodo Ref.]:[Check Periodo Ref.]]="Dentro",IF(DATOS_[[Check Equiparado]:[Check Equiparado]]="Sí",IF(DATOS!AW$5="Sí",(1/DATOS_[[% anualiz]:[% anualiz]]),1)*IF(DATOS!AW$4="Sí",1/DATOS_[[% normaliz]:[% normaliz]],1)*(DATOS_[Conc.Sal.19])))))))),
0)</f>
        <v>0</v>
      </c>
      <c r="AC49" s="111">
        <f t="array" ref="AC49">IFERROR(
(MEDIAN((IF(DATOS_[[Sexo]:[Sexo]]=$B49,IF(DATOS_[[AGRUP. VALOR. PTO.]:[AGRUP. VALOR. PTO.]]=$B48,IF(DATOS_[[Check Periodo Ref.]:[Check Periodo Ref.]]="Dentro",IF(DATOS_[[Check Equiparado]:[Check Equiparado]]="Sí",IF(DATOS!AX$5="Sí",(1/DATOS_[[% anualiz]:[% anualiz]]),1)*IF(DATOS!AX$4="Sí",1/DATOS_[[% normaliz]:[% normaliz]],1)*(DATOS_[Conc.Sal.20])))))))),
0)</f>
        <v>0</v>
      </c>
      <c r="AD49" s="111">
        <f t="array" ref="AD49">IFERROR(
(MEDIAN((IF(DATOS_[[Sexo]:[Sexo]]=$B49,IF(DATOS_[[AGRUP. VALOR. PTO.]:[AGRUP. VALOR. PTO.]]=$B48,IF(DATOS_[[Check Periodo Ref.]:[Check Periodo Ref.]]="Dentro",IF(DATOS_[[Check Equiparado]:[Check Equiparado]]="Sí",IF(DATOS!AY$5="Sí",(1/DATOS_[[% anualiz]:[% anualiz]]),1)*IF(DATOS!AY$4="Sí",1/DATOS_[[% normaliz]:[% normaliz]],1)*(DATOS_[Conc.Sal.21])))))))),
0)</f>
        <v>0</v>
      </c>
      <c r="AE49" s="111">
        <f t="array" ref="AE49">IFERROR(
(MEDIAN((IF(DATOS_[[Sexo]:[Sexo]]=$B49,IF(DATOS_[[AGRUP. VALOR. PTO.]:[AGRUP. VALOR. PTO.]]=$B48,IF(DATOS_[[Check Periodo Ref.]:[Check Periodo Ref.]]="Dentro",IF(DATOS_[[Check Equiparado]:[Check Equiparado]]="Sí",IF(DATOS!AZ$5="Sí",(1/DATOS_[[% anualiz]:[% anualiz]]),1)*IF(DATOS!AZ$4="Sí",1/DATOS_[[% normaliz]:[% normaliz]],1)*(DATOS_[Conc.Sal.22])))))))),
0)</f>
        <v>0</v>
      </c>
      <c r="AF49" s="111">
        <f t="array" ref="AF49">IFERROR(
(MEDIAN((IF(DATOS_[[Sexo]:[Sexo]]=$B49,IF(DATOS_[[AGRUP. VALOR. PTO.]:[AGRUP. VALOR. PTO.]]=$B48,IF(DATOS_[[Check Periodo Ref.]:[Check Periodo Ref.]]="Dentro",IF(DATOS_[[Check Equiparado]:[Check Equiparado]]="Sí",IF(DATOS!BA$5="Sí",(1/DATOS_[[% anualiz]:[% anualiz]]),1)*IF(DATOS!BA$4="Sí",1/DATOS_[[% normaliz]:[% normaliz]],1)*(DATOS_[Conc.Sal.23])))))))),
0)</f>
        <v>0</v>
      </c>
      <c r="AG49" s="111">
        <f t="array" ref="AG49">IFERROR(
(MEDIAN((IF(DATOS_[[Sexo]:[Sexo]]=$B49,IF(DATOS_[[AGRUP. VALOR. PTO.]:[AGRUP. VALOR. PTO.]]=$B48,IF(DATOS_[[Check Periodo Ref.]:[Check Periodo Ref.]]="Dentro",IF(DATOS_[[Check Equiparado]:[Check Equiparado]]="Sí",IF(DATOS!BB$5="Sí",(1/DATOS_[[% anualiz]:[% anualiz]]),1)*IF(DATOS!BB$4="Sí",1/DATOS_[[% normaliz]:[% normaliz]],1)*(DATOS_[Conc.Sal.24])))))))),
0)</f>
        <v>0</v>
      </c>
      <c r="AH49" s="111">
        <f t="array" ref="AH49">IFERROR(
(MEDIAN((IF(DATOS_[[Sexo]:[Sexo]]=$B49,IF(DATOS_[[AGRUP. VALOR. PTO.]:[AGRUP. VALOR. PTO.]]=$B48,IF(DATOS_[[Check Periodo Ref.]:[Check Periodo Ref.]]="Dentro",IF(DATOS_[[Check Equiparado]:[Check Equiparado]]="Sí",IF(DATOS!BC$5="Sí",(1/DATOS_[[% anualiz]:[% anualiz]]),1)*IF(DATOS!BC$4="Sí",1/DATOS_[[% normaliz]:[% normaliz]],1)*(DATOS_[Conc.Sal.25])))))))),
0)</f>
        <v>0</v>
      </c>
      <c r="AI49" s="111">
        <f t="array" ref="AI49">IFERROR(
(MEDIAN((IF(DATOS_[[Sexo]:[Sexo]]=$B49,IF(DATOS_[[AGRUP. VALOR. PTO.]:[AGRUP. VALOR. PTO.]]=$B48,IF(DATOS_[[Check Periodo Ref.]:[Check Periodo Ref.]]="Dentro",IF(DATOS_[[Check Equiparado]:[Check Equiparado]]="Sí",IF(DATOS!BD$5="Sí",(1/DATOS_[[% anualiz]:[% anualiz]]),1)*IF(DATOS!BD$4="Sí",1/DATOS_[[% normaliz]:[% normaliz]],1)*(DATOS_[Conc.Sal.26])))))))),
0)</f>
        <v>0</v>
      </c>
      <c r="AJ49" s="111">
        <f t="array" ref="AJ49">IFERROR(
(MEDIAN((IF(DATOS_[[Sexo]:[Sexo]]=$B49,IF(DATOS_[[AGRUP. VALOR. PTO.]:[AGRUP. VALOR. PTO.]]=$B48,IF(DATOS_[[Check Periodo Ref.]:[Check Periodo Ref.]]="Dentro",IF(DATOS_[[Check Equiparado]:[Check Equiparado]]="Sí",IF(DATOS!BE$5="Sí",(1/DATOS_[[% anualiz]:[% anualiz]]),1)*IF(DATOS!BE$4="Sí",1/DATOS_[[% normaliz]:[% normaliz]],1)*(DATOS_[Conc.Sal.27])))))))),
0)</f>
        <v>0</v>
      </c>
      <c r="AK49" s="111">
        <f t="array" ref="AK49">IFERROR(
(MEDIAN((IF(DATOS_[[Sexo]:[Sexo]]=$B49,IF(DATOS_[[AGRUP. VALOR. PTO.]:[AGRUP. VALOR. PTO.]]=$B48,IF(DATOS_[[Check Periodo Ref.]:[Check Periodo Ref.]]="Dentro",IF(DATOS_[[Check Equiparado]:[Check Equiparado]]="Sí",IF(DATOS!BF$5="Sí",(1/DATOS_[[% anualiz]:[% anualiz]]),1)*IF(DATOS!BF$4="Sí",1/DATOS_[[% normaliz]:[% normaliz]],1)*(DATOS_[Conc.Sal.28])))))))),
0)</f>
        <v>0</v>
      </c>
      <c r="AL49" s="111">
        <f t="array" ref="AL49">IFERROR(
(MEDIAN((IF(DATOS_[[Sexo]:[Sexo]]=$B49,IF(DATOS_[[AGRUP. VALOR. PTO.]:[AGRUP. VALOR. PTO.]]=$B48,IF(DATOS_[[Check Periodo Ref.]:[Check Periodo Ref.]]="Dentro",IF(DATOS_[[Check Equiparado]:[Check Equiparado]]="Sí",IF(DATOS!BG$5="Sí",(1/DATOS_[[% anualiz]:[% anualiz]]),1)*IF(DATOS!BG$4="Sí",1/DATOS_[[% normaliz]:[% normaliz]],1)*(DATOS_[Conc.Sal.29])))))))),
0)</f>
        <v>0</v>
      </c>
      <c r="AM49" s="111">
        <f t="array" ref="AM49">IFERROR(
(MEDIAN((IF(DATOS_[[Sexo]:[Sexo]]=$B49,IF(DATOS_[[AGRUP. VALOR. PTO.]:[AGRUP. VALOR. PTO.]]=$B48,IF(DATOS_[[Check Periodo Ref.]:[Check Periodo Ref.]]="Dentro",IF(DATOS_[[Check Equiparado]:[Check Equiparado]]="Sí",IF(DATOS!BH$5="Sí",(1/DATOS_[[% anualiz]:[% anualiz]]),1)*IF(DATOS!BH$4="Sí",1/DATOS_[[% normaliz]:[% normaliz]],1)*(DATOS_[Conc.Sal.30])))))))),
0)</f>
        <v>0</v>
      </c>
      <c r="AN49" s="112">
        <f t="array" ref="AN49">IFERROR(
MEDIAN(IF(DATOS_[Sexo]=$B49,IF(DATOS_[[AGRUP. VALOR. PTO.]:[AGRUP. VALOR. PTO.]]=$B48,IF(DATOS_[Check Equiparado]="Sí",IF(DATOS_[Check Periodo Ref.]="Dentro",DATOS_[Tot COMPL.SAL Eq],FALSE))))),
0)</f>
        <v>0</v>
      </c>
      <c r="AO49" s="113">
        <f t="array" ref="AO49">IFERROR(
MEDIAN(IF(DATOS_[Sexo]=$B49,IF(DATOS_[[AGRUP. VALOR. PTO.]:[AGRUP. VALOR. PTO.]]=$B48,IF(DATOS_[Check Equiparado]="Sí",IF(DATOS_[Check Periodo Ref.]="Dentro",DATOS_[TOTAL SALARIO Eq],FALSE))))),
0)</f>
        <v>0</v>
      </c>
      <c r="AP49" s="114">
        <f t="array" ref="AP49">IFERROR(
(MEDIAN((IF(DATOS_[[Sexo]:[Sexo]]=$B49,IF(DATOS_[[AGRUP. VALOR. PTO.]:[AGRUP. VALOR. PTO.]]=$B48,IF(DATOS_[[Check Periodo Ref.]:[Check Periodo Ref.]]="Dentro",IF(DATOS_[[Check Equiparado]:[Check Equiparado]]="Sí",IF(DATOS!BI$5="Sí",(1/DATOS_[[% anualiz]:[% anualiz]]),1)*IF(DATOS!BI$4="Sí",1/DATOS_[[% normaliz]:[% normaliz]],1)*(DATOS_[C.Extra.01])))))))),
0)</f>
        <v>0</v>
      </c>
      <c r="AQ49" s="114">
        <f t="array" ref="AQ49">IFERROR(
(MEDIAN((IF(DATOS_[[Sexo]:[Sexo]]=$B49,IF(DATOS_[[AGRUP. VALOR. PTO.]:[AGRUP. VALOR. PTO.]]=$B48,IF(DATOS_[[Check Periodo Ref.]:[Check Periodo Ref.]]="Dentro",IF(DATOS_[[Check Equiparado]:[Check Equiparado]]="Sí",IF(DATOS!BJ$5="Sí",(1/DATOS_[[% anualiz]:[% anualiz]]),1)*IF(DATOS!BJ$4="Sí",1/DATOS_[[% normaliz]:[% normaliz]],1)*(DATOS_[C.Extra.02])))))))),
0)</f>
        <v>0</v>
      </c>
      <c r="AR49" s="114">
        <f t="array" ref="AR49">IFERROR(
(MEDIAN((IF(DATOS_[[Sexo]:[Sexo]]=$B49,IF(DATOS_[[AGRUP. VALOR. PTO.]:[AGRUP. VALOR. PTO.]]=$B48,IF(DATOS_[[Check Periodo Ref.]:[Check Periodo Ref.]]="Dentro",IF(DATOS_[[Check Equiparado]:[Check Equiparado]]="Sí",IF(DATOS!BK$5="Sí",(1/DATOS_[[% anualiz]:[% anualiz]]),1)*IF(DATOS!BK$4="Sí",1/DATOS_[[% normaliz]:[% normaliz]],1)*(DATOS_[C.Extra.03])))))))),
0)</f>
        <v>0</v>
      </c>
      <c r="AS49" s="114">
        <f t="array" ref="AS49">IFERROR(
(MEDIAN((IF(DATOS_[[Sexo]:[Sexo]]=$B49,IF(DATOS_[[AGRUP. VALOR. PTO.]:[AGRUP. VALOR. PTO.]]=$B48,IF(DATOS_[[Check Periodo Ref.]:[Check Periodo Ref.]]="Dentro",IF(DATOS_[[Check Equiparado]:[Check Equiparado]]="Sí",IF(DATOS!BL$5="Sí",(1/DATOS_[[% anualiz]:[% anualiz]]),1)*IF(DATOS!BL$4="Sí",1/DATOS_[[% normaliz]:[% normaliz]],1)*(DATOS_[C.Extra.04])))))))),
0)</f>
        <v>0</v>
      </c>
      <c r="AT49" s="114">
        <f t="array" ref="AT49">IFERROR(
(MEDIAN((IF(DATOS_[[Sexo]:[Sexo]]=$B49,IF(DATOS_[[AGRUP. VALOR. PTO.]:[AGRUP. VALOR. PTO.]]=$B48,IF(DATOS_[[Check Periodo Ref.]:[Check Periodo Ref.]]="Dentro",IF(DATOS_[[Check Equiparado]:[Check Equiparado]]="Sí",IF(DATOS!BM$5="Sí",(1/DATOS_[[% anualiz]:[% anualiz]]),1)*IF(DATOS!BM$4="Sí",1/DATOS_[[% normaliz]:[% normaliz]],1)*(DATOS_[C.Extra.05])))))))),
0)</f>
        <v>0</v>
      </c>
      <c r="AU49" s="115">
        <f t="array" ref="AU49">IFERROR(
MEDIAN(IF(DATOS_[Sexo]=$B49,IF(DATOS_[[AGRUP. VALOR. PTO.]:[AGRUP. VALOR. PTO.]]=$B48,IF(DATOS_[Check Equiparado]="Sí",IF(DATOS_[Check Periodo Ref.]="Dentro",DATOS_[Tot Extrasalarial Eq],FALSE))))),
0)</f>
        <v>0</v>
      </c>
      <c r="AV49" s="116">
        <f t="array" ref="AV49">IFERROR(
MEDIAN(IF(DATOS_[Sexo]=$B49,IF(DATOS_[[AGRUP. VALOR. PTO.]:[AGRUP. VALOR. PTO.]]=$B48,IF(DATOS_[Check Equiparado]="Sí",IF(DATOS_[Check Periodo Ref.]="Dentro",DATOS_[TOTAL Retrib Eq],FALSE))))),
0)</f>
        <v>0</v>
      </c>
    </row>
    <row r="50" spans="1:48" hidden="1" x14ac:dyDescent="0.3">
      <c r="A50" s="42" t="str">
        <f t="shared" ref="A50" si="50">+A49</f>
        <v>[ocultar]</v>
      </c>
      <c r="B50" s="86" t="s">
        <v>163</v>
      </c>
      <c r="C50" s="33">
        <f t="array" ref="C50">SUM(IF($B50=DATOS_[Sexo],
IF($B48=DATOS_[AGRUP. VALOR. PTO.],
IF("Dentro"=DATOS_[Check Periodo Ref.],
1/(COUNTIFS(DATOS_[Sexo],$B50,DATOS_[AGRUP. VALOR. PTO.],$B48,DATOS_[Check Periodo Ref.],"Dentro",DATOS_[id],DATOS_[id]))))))</f>
        <v>0</v>
      </c>
      <c r="D50" s="35">
        <f>COUNTIFS(DATOS_[AGRUP. VALOR. PTO.],$B48,DATOS_[Sexo],$B50,DATOS_[Check Periodo Ref.],"Dentro")</f>
        <v>0</v>
      </c>
      <c r="E50" s="35">
        <f>COUNTIFS(DATOS_[AGRUP. VALOR. PTO.],$B48,DATOS_[Sexo],$B50,DATOS_[Check Periodo Ref.],"Dentro",DATOS_[Check Nº SC Norm],"Sí")</f>
        <v>0</v>
      </c>
      <c r="F50" s="35">
        <f>COUNTIFS(DATOS_[AGRUP. VALOR. PTO.],$B48,DATOS_[Sexo],$B50,DATOS_[Check Periodo Ref.],"Dentro",DATOS_[Check Nº SC Anualiz],"Sí")</f>
        <v>0</v>
      </c>
      <c r="G50" s="35">
        <f>COUNTIFS(DATOS_[AGRUP. VALOR. PTO.],$B48,DATOS_[Sexo],$B50,DATOS_[Check Periodo Ref.],"Dentro",DATOS_[Check Nº SC Norm y Anualiz],"Sí")</f>
        <v>0</v>
      </c>
      <c r="H50" s="35">
        <f>COUNTIFS(DATOS_[AGRUP. VALOR. PTO.],$B48,DATOS_[Sexo],$B50,DATOS_[Check Periodo Ref.],"Dentro",DATOS_[Check Equiparación],"Sí")</f>
        <v>0</v>
      </c>
      <c r="I50" s="110" cm="1">
        <f t="array" ref="I50">IFERROR(
MEDIAN(IF(DATOS_[Sexo]=$B50,IF(DATOS_[[AGRUP. VALOR. PTO.]:[AGRUP. VALOR. PTO.]]=$B48,IF(DATOS_[Check Equiparado]="Sí",IF(DATOS_[Check Periodo Ref.]="Dentro",DATOS_[SALARIO BASE Eq],FALSE))))),
0)</f>
        <v>0</v>
      </c>
      <c r="J50" s="111">
        <f t="array" ref="J50">IFERROR(
(MEDIAN((IF(DATOS_[[Sexo]:[Sexo]]=$B50,IF(DATOS_[[AGRUP. VALOR. PTO.]:[AGRUP. VALOR. PTO.]]=$B48,IF(DATOS_[[Check Periodo Ref.]:[Check Periodo Ref.]]="Dentro",IF(DATOS_[[Check Equiparado]:[Check Equiparado]]="Sí",IF(DATOS!AE$5="Sí",(1/DATOS_[[% anualiz]:[% anualiz]]),1)*IF(DATOS!AE$4="Sí",1/DATOS_[[% normaliz]:[% normaliz]],1)*(DATOS_[Conc.Sal.01])))))))),
0)</f>
        <v>0</v>
      </c>
      <c r="K50" s="111">
        <f t="array" ref="K50">IFERROR(
(MEDIAN((IF(DATOS_[[Sexo]:[Sexo]]=$B50,IF(DATOS_[[AGRUP. VALOR. PTO.]:[AGRUP. VALOR. PTO.]]=$B48,IF(DATOS_[[Check Periodo Ref.]:[Check Periodo Ref.]]="Dentro",IF(DATOS_[[Check Equiparado]:[Check Equiparado]]="Sí",IF(DATOS!AF$5="Sí",(1/DATOS_[[% anualiz]:[% anualiz]]),1)*IF(DATOS!AF$4="Sí",1/DATOS_[[% normaliz]:[% normaliz]],1)*(DATOS_[Conc.Sal.02])))))))),
0)</f>
        <v>0</v>
      </c>
      <c r="L50" s="111">
        <f t="array" ref="L50">IFERROR(
(MEDIAN((IF(DATOS_[[Sexo]:[Sexo]]=$B50,IF(DATOS_[[AGRUP. VALOR. PTO.]:[AGRUP. VALOR. PTO.]]=$B48,IF(DATOS_[[Check Periodo Ref.]:[Check Periodo Ref.]]="Dentro",IF(DATOS_[[Check Equiparado]:[Check Equiparado]]="Sí",IF(DATOS!AG$5="Sí",(1/DATOS_[[% anualiz]:[% anualiz]]),1)*IF(DATOS!AG$4="Sí",1/DATOS_[[% normaliz]:[% normaliz]],1)*(DATOS_[Conc.Sal.03])))))))),
0)</f>
        <v>0</v>
      </c>
      <c r="M50" s="111">
        <f t="array" ref="M50">IFERROR(
(MEDIAN((IF(DATOS_[[Sexo]:[Sexo]]=$B50,IF(DATOS_[[AGRUP. VALOR. PTO.]:[AGRUP. VALOR. PTO.]]=$B48,IF(DATOS_[[Check Periodo Ref.]:[Check Periodo Ref.]]="Dentro",IF(DATOS_[[Check Equiparado]:[Check Equiparado]]="Sí",IF(DATOS!AH$5="Sí",(1/DATOS_[[% anualiz]:[% anualiz]]),1)*IF(DATOS!AH$4="Sí",1/DATOS_[[% normaliz]:[% normaliz]],1)*(DATOS_[Conc.Sal.04])))))))),
0)</f>
        <v>0</v>
      </c>
      <c r="N50" s="111">
        <f t="array" ref="N50">IFERROR(
(MEDIAN((IF(DATOS_[[Sexo]:[Sexo]]=$B50,IF(DATOS_[[AGRUP. VALOR. PTO.]:[AGRUP. VALOR. PTO.]]=$B48,IF(DATOS_[[Check Periodo Ref.]:[Check Periodo Ref.]]="Dentro",IF(DATOS_[[Check Equiparado]:[Check Equiparado]]="Sí",IF(DATOS!AI$5="Sí",(1/DATOS_[[% anualiz]:[% anualiz]]),1)*IF(DATOS!AI$4="Sí",1/DATOS_[[% normaliz]:[% normaliz]],1)*(DATOS_[Conc.Sal.05])))))))),
0)</f>
        <v>0</v>
      </c>
      <c r="O50" s="111">
        <f t="array" ref="O50">IFERROR(
(MEDIAN((IF(DATOS_[[Sexo]:[Sexo]]=$B50,IF(DATOS_[[AGRUP. VALOR. PTO.]:[AGRUP. VALOR. PTO.]]=$B48,IF(DATOS_[[Check Periodo Ref.]:[Check Periodo Ref.]]="Dentro",IF(DATOS_[[Check Equiparado]:[Check Equiparado]]="Sí",IF(DATOS!AJ$5="Sí",(1/DATOS_[[% anualiz]:[% anualiz]]),1)*IF(DATOS!AJ$4="Sí",1/DATOS_[[% normaliz]:[% normaliz]],1)*(DATOS_[Conc.Sal.06])))))))),
0)</f>
        <v>0</v>
      </c>
      <c r="P50" s="111">
        <f t="array" ref="P50">IFERROR(
(MEDIAN((IF(DATOS_[[Sexo]:[Sexo]]=$B50,IF(DATOS_[[AGRUP. VALOR. PTO.]:[AGRUP. VALOR. PTO.]]=$B48,IF(DATOS_[[Check Periodo Ref.]:[Check Periodo Ref.]]="Dentro",IF(DATOS_[[Check Equiparado]:[Check Equiparado]]="Sí",IF(DATOS!AK$5="Sí",(1/DATOS_[[% anualiz]:[% anualiz]]),1)*IF(DATOS!AK$4="Sí",1/DATOS_[[% normaliz]:[% normaliz]],1)*(DATOS_[Conc.Sal.07])))))))),
0)</f>
        <v>0</v>
      </c>
      <c r="Q50" s="111">
        <f t="array" ref="Q50">IFERROR(
(MEDIAN((IF(DATOS_[[Sexo]:[Sexo]]=$B50,IF(DATOS_[[AGRUP. VALOR. PTO.]:[AGRUP. VALOR. PTO.]]=$B48,IF(DATOS_[[Check Periodo Ref.]:[Check Periodo Ref.]]="Dentro",IF(DATOS_[[Check Equiparado]:[Check Equiparado]]="Sí",IF(DATOS!AL$5="Sí",(1/DATOS_[[% anualiz]:[% anualiz]]),1)*IF(DATOS!AL$4="Sí",1/DATOS_[[% normaliz]:[% normaliz]],1)*(DATOS_[Conc.Sal.08])))))))),
0)</f>
        <v>0</v>
      </c>
      <c r="R50" s="111">
        <f t="array" ref="R50">IFERROR(
(MEDIAN((IF(DATOS_[[Sexo]:[Sexo]]=$B50,IF(DATOS_[[AGRUP. VALOR. PTO.]:[AGRUP. VALOR. PTO.]]=$B48,IF(DATOS_[[Check Periodo Ref.]:[Check Periodo Ref.]]="Dentro",IF(DATOS_[[Check Equiparado]:[Check Equiparado]]="Sí",IF(DATOS!AM$5="Sí",(1/DATOS_[[% anualiz]:[% anualiz]]),1)*IF(DATOS!AM$4="Sí",1/DATOS_[[% normaliz]:[% normaliz]],1)*(DATOS_[Conc.Sal.09])))))))),
0)</f>
        <v>0</v>
      </c>
      <c r="S50" s="111">
        <f t="array" ref="S50">IFERROR(
(MEDIAN((IF(DATOS_[[Sexo]:[Sexo]]=$B50,IF(DATOS_[[AGRUP. VALOR. PTO.]:[AGRUP. VALOR. PTO.]]=$B48,IF(DATOS_[[Check Periodo Ref.]:[Check Periodo Ref.]]="Dentro",IF(DATOS_[[Check Equiparado]:[Check Equiparado]]="Sí",IF(DATOS!AN$5="Sí",(1/DATOS_[[% anualiz]:[% anualiz]]),1)*IF(DATOS!AN$4="Sí",1/DATOS_[[% normaliz]:[% normaliz]],1)*(DATOS_[Conc.Sal.10])))))))),
0)</f>
        <v>0</v>
      </c>
      <c r="T50" s="111">
        <f t="array" ref="T50">IFERROR(
(MEDIAN((IF(DATOS_[[Sexo]:[Sexo]]=$B50,IF(DATOS_[[AGRUP. VALOR. PTO.]:[AGRUP. VALOR. PTO.]]=$B48,IF(DATOS_[[Check Periodo Ref.]:[Check Periodo Ref.]]="Dentro",IF(DATOS_[[Check Equiparado]:[Check Equiparado]]="Sí",IF(DATOS!AO$5="Sí",(1/DATOS_[[% anualiz]:[% anualiz]]),1)*IF(DATOS!AO$4="Sí",1/DATOS_[[% normaliz]:[% normaliz]],1)*(DATOS_[Conc.Sal.11])))))))),
0)</f>
        <v>0</v>
      </c>
      <c r="U50" s="111">
        <f t="array" ref="U50">IFERROR(
(MEDIAN((IF(DATOS_[[Sexo]:[Sexo]]=$B50,IF(DATOS_[[AGRUP. VALOR. PTO.]:[AGRUP. VALOR. PTO.]]=$B48,IF(DATOS_[[Check Periodo Ref.]:[Check Periodo Ref.]]="Dentro",IF(DATOS_[[Check Equiparado]:[Check Equiparado]]="Sí",IF(DATOS!AP$5="Sí",(1/DATOS_[[% anualiz]:[% anualiz]]),1)*IF(DATOS!AP$4="Sí",1/DATOS_[[% normaliz]:[% normaliz]],1)*(DATOS_[Conc.Sal.12])))))))),
0)</f>
        <v>0</v>
      </c>
      <c r="V50" s="111">
        <f t="array" ref="V50">IFERROR(
(MEDIAN((IF(DATOS_[[Sexo]:[Sexo]]=$B50,IF(DATOS_[[AGRUP. VALOR. PTO.]:[AGRUP. VALOR. PTO.]]=$B48,IF(DATOS_[[Check Periodo Ref.]:[Check Periodo Ref.]]="Dentro",IF(DATOS_[[Check Equiparado]:[Check Equiparado]]="Sí",IF(DATOS!AQ$5="Sí",(1/DATOS_[[% anualiz]:[% anualiz]]),1)*IF(DATOS!AQ$4="Sí",1/DATOS_[[% normaliz]:[% normaliz]],1)*(DATOS_[Conc.Sal.13])))))))),
0)</f>
        <v>0</v>
      </c>
      <c r="W50" s="111">
        <f t="array" ref="W50">IFERROR(
(MEDIAN((IF(DATOS_[[Sexo]:[Sexo]]=$B50,IF(DATOS_[[AGRUP. VALOR. PTO.]:[AGRUP. VALOR. PTO.]]=$B48,IF(DATOS_[[Check Periodo Ref.]:[Check Periodo Ref.]]="Dentro",IF(DATOS_[[Check Equiparado]:[Check Equiparado]]="Sí",IF(DATOS!AR$5="Sí",(1/DATOS_[[% anualiz]:[% anualiz]]),1)*IF(DATOS!AR$4="Sí",1/DATOS_[[% normaliz]:[% normaliz]],1)*(DATOS_[Conc.Sal.14])))))))),
0)</f>
        <v>0</v>
      </c>
      <c r="X50" s="111">
        <f t="array" ref="X50">IFERROR(
(MEDIAN((IF(DATOS_[[Sexo]:[Sexo]]=$B50,IF(DATOS_[[AGRUP. VALOR. PTO.]:[AGRUP. VALOR. PTO.]]=$B48,IF(DATOS_[[Check Periodo Ref.]:[Check Periodo Ref.]]="Dentro",IF(DATOS_[[Check Equiparado]:[Check Equiparado]]="Sí",IF(DATOS!AS$5="Sí",(1/DATOS_[[% anualiz]:[% anualiz]]),1)*IF(DATOS!AS$4="Sí",1/DATOS_[[% normaliz]:[% normaliz]],1)*(DATOS_[Conc.Sal.15])))))))),
0)</f>
        <v>0</v>
      </c>
      <c r="Y50" s="111">
        <f t="array" ref="Y50">IFERROR(
(MEDIAN((IF(DATOS_[[Sexo]:[Sexo]]=$B50,IF(DATOS_[[AGRUP. VALOR. PTO.]:[AGRUP. VALOR. PTO.]]=$B48,IF(DATOS_[[Check Periodo Ref.]:[Check Periodo Ref.]]="Dentro",IF(DATOS_[[Check Equiparado]:[Check Equiparado]]="Sí",IF(DATOS!AT$5="Sí",(1/DATOS_[[% anualiz]:[% anualiz]]),1)*IF(DATOS!AT$4="Sí",1/DATOS_[[% normaliz]:[% normaliz]],1)*(DATOS_[Conc.Sal.16])))))))),
0)</f>
        <v>0</v>
      </c>
      <c r="Z50" s="111">
        <f t="array" ref="Z50">IFERROR(
(MEDIAN((IF(DATOS_[[Sexo]:[Sexo]]=$B50,IF(DATOS_[[AGRUP. VALOR. PTO.]:[AGRUP. VALOR. PTO.]]=$B48,IF(DATOS_[[Check Periodo Ref.]:[Check Periodo Ref.]]="Dentro",IF(DATOS_[[Check Equiparado]:[Check Equiparado]]="Sí",IF(DATOS!AU$5="Sí",(1/DATOS_[[% anualiz]:[% anualiz]]),1)*IF(DATOS!AU$4="Sí",1/DATOS_[[% normaliz]:[% normaliz]],1)*(DATOS_[Conc.Sal.17])))))))),
0)</f>
        <v>0</v>
      </c>
      <c r="AA50" s="111">
        <f t="array" ref="AA50">IFERROR(
(MEDIAN((IF(DATOS_[[Sexo]:[Sexo]]=$B50,IF(DATOS_[[AGRUP. VALOR. PTO.]:[AGRUP. VALOR. PTO.]]=$B48,IF(DATOS_[[Check Periodo Ref.]:[Check Periodo Ref.]]="Dentro",IF(DATOS_[[Check Equiparado]:[Check Equiparado]]="Sí",IF(DATOS!AV$5="Sí",(1/DATOS_[[% anualiz]:[% anualiz]]),1)*IF(DATOS!AV$4="Sí",1/DATOS_[[% normaliz]:[% normaliz]],1)*(DATOS_[Conc.Sal.18])))))))),
0)</f>
        <v>0</v>
      </c>
      <c r="AB50" s="111">
        <f t="array" ref="AB50">IFERROR(
(MEDIAN((IF(DATOS_[[Sexo]:[Sexo]]=$B50,IF(DATOS_[[AGRUP. VALOR. PTO.]:[AGRUP. VALOR. PTO.]]=$B48,IF(DATOS_[[Check Periodo Ref.]:[Check Periodo Ref.]]="Dentro",IF(DATOS_[[Check Equiparado]:[Check Equiparado]]="Sí",IF(DATOS!AW$5="Sí",(1/DATOS_[[% anualiz]:[% anualiz]]),1)*IF(DATOS!AW$4="Sí",1/DATOS_[[% normaliz]:[% normaliz]],1)*(DATOS_[Conc.Sal.19])))))))),
0)</f>
        <v>0</v>
      </c>
      <c r="AC50" s="111">
        <f t="array" ref="AC50">IFERROR(
(MEDIAN((IF(DATOS_[[Sexo]:[Sexo]]=$B50,IF(DATOS_[[AGRUP. VALOR. PTO.]:[AGRUP. VALOR. PTO.]]=$B48,IF(DATOS_[[Check Periodo Ref.]:[Check Periodo Ref.]]="Dentro",IF(DATOS_[[Check Equiparado]:[Check Equiparado]]="Sí",IF(DATOS!AX$5="Sí",(1/DATOS_[[% anualiz]:[% anualiz]]),1)*IF(DATOS!AX$4="Sí",1/DATOS_[[% normaliz]:[% normaliz]],1)*(DATOS_[Conc.Sal.20])))))))),
0)</f>
        <v>0</v>
      </c>
      <c r="AD50" s="111">
        <f t="array" ref="AD50">IFERROR(
(MEDIAN((IF(DATOS_[[Sexo]:[Sexo]]=$B50,IF(DATOS_[[AGRUP. VALOR. PTO.]:[AGRUP. VALOR. PTO.]]=$B48,IF(DATOS_[[Check Periodo Ref.]:[Check Periodo Ref.]]="Dentro",IF(DATOS_[[Check Equiparado]:[Check Equiparado]]="Sí",IF(DATOS!AY$5="Sí",(1/DATOS_[[% anualiz]:[% anualiz]]),1)*IF(DATOS!AY$4="Sí",1/DATOS_[[% normaliz]:[% normaliz]],1)*(DATOS_[Conc.Sal.21])))))))),
0)</f>
        <v>0</v>
      </c>
      <c r="AE50" s="111">
        <f t="array" ref="AE50">IFERROR(
(MEDIAN((IF(DATOS_[[Sexo]:[Sexo]]=$B50,IF(DATOS_[[AGRUP. VALOR. PTO.]:[AGRUP. VALOR. PTO.]]=$B48,IF(DATOS_[[Check Periodo Ref.]:[Check Periodo Ref.]]="Dentro",IF(DATOS_[[Check Equiparado]:[Check Equiparado]]="Sí",IF(DATOS!AZ$5="Sí",(1/DATOS_[[% anualiz]:[% anualiz]]),1)*IF(DATOS!AZ$4="Sí",1/DATOS_[[% normaliz]:[% normaliz]],1)*(DATOS_[Conc.Sal.22])))))))),
0)</f>
        <v>0</v>
      </c>
      <c r="AF50" s="111">
        <f t="array" ref="AF50">IFERROR(
(MEDIAN((IF(DATOS_[[Sexo]:[Sexo]]=$B50,IF(DATOS_[[AGRUP. VALOR. PTO.]:[AGRUP. VALOR. PTO.]]=$B48,IF(DATOS_[[Check Periodo Ref.]:[Check Periodo Ref.]]="Dentro",IF(DATOS_[[Check Equiparado]:[Check Equiparado]]="Sí",IF(DATOS!BA$5="Sí",(1/DATOS_[[% anualiz]:[% anualiz]]),1)*IF(DATOS!BA$4="Sí",1/DATOS_[[% normaliz]:[% normaliz]],1)*(DATOS_[Conc.Sal.23])))))))),
0)</f>
        <v>0</v>
      </c>
      <c r="AG50" s="111">
        <f t="array" ref="AG50">IFERROR(
(MEDIAN((IF(DATOS_[[Sexo]:[Sexo]]=$B50,IF(DATOS_[[AGRUP. VALOR. PTO.]:[AGRUP. VALOR. PTO.]]=$B48,IF(DATOS_[[Check Periodo Ref.]:[Check Periodo Ref.]]="Dentro",IF(DATOS_[[Check Equiparado]:[Check Equiparado]]="Sí",IF(DATOS!BB$5="Sí",(1/DATOS_[[% anualiz]:[% anualiz]]),1)*IF(DATOS!BB$4="Sí",1/DATOS_[[% normaliz]:[% normaliz]],1)*(DATOS_[Conc.Sal.24])))))))),
0)</f>
        <v>0</v>
      </c>
      <c r="AH50" s="111">
        <f t="array" ref="AH50">IFERROR(
(MEDIAN((IF(DATOS_[[Sexo]:[Sexo]]=$B50,IF(DATOS_[[AGRUP. VALOR. PTO.]:[AGRUP. VALOR. PTO.]]=$B48,IF(DATOS_[[Check Periodo Ref.]:[Check Periodo Ref.]]="Dentro",IF(DATOS_[[Check Equiparado]:[Check Equiparado]]="Sí",IF(DATOS!BC$5="Sí",(1/DATOS_[[% anualiz]:[% anualiz]]),1)*IF(DATOS!BC$4="Sí",1/DATOS_[[% normaliz]:[% normaliz]],1)*(DATOS_[Conc.Sal.25])))))))),
0)</f>
        <v>0</v>
      </c>
      <c r="AI50" s="111">
        <f t="array" ref="AI50">IFERROR(
(MEDIAN((IF(DATOS_[[Sexo]:[Sexo]]=$B50,IF(DATOS_[[AGRUP. VALOR. PTO.]:[AGRUP. VALOR. PTO.]]=$B48,IF(DATOS_[[Check Periodo Ref.]:[Check Periodo Ref.]]="Dentro",IF(DATOS_[[Check Equiparado]:[Check Equiparado]]="Sí",IF(DATOS!BD$5="Sí",(1/DATOS_[[% anualiz]:[% anualiz]]),1)*IF(DATOS!BD$4="Sí",1/DATOS_[[% normaliz]:[% normaliz]],1)*(DATOS_[Conc.Sal.26])))))))),
0)</f>
        <v>0</v>
      </c>
      <c r="AJ50" s="111">
        <f t="array" ref="AJ50">IFERROR(
(MEDIAN((IF(DATOS_[[Sexo]:[Sexo]]=$B50,IF(DATOS_[[AGRUP. VALOR. PTO.]:[AGRUP. VALOR. PTO.]]=$B48,IF(DATOS_[[Check Periodo Ref.]:[Check Periodo Ref.]]="Dentro",IF(DATOS_[[Check Equiparado]:[Check Equiparado]]="Sí",IF(DATOS!BE$5="Sí",(1/DATOS_[[% anualiz]:[% anualiz]]),1)*IF(DATOS!BE$4="Sí",1/DATOS_[[% normaliz]:[% normaliz]],1)*(DATOS_[Conc.Sal.27])))))))),
0)</f>
        <v>0</v>
      </c>
      <c r="AK50" s="111">
        <f t="array" ref="AK50">IFERROR(
(MEDIAN((IF(DATOS_[[Sexo]:[Sexo]]=$B50,IF(DATOS_[[AGRUP. VALOR. PTO.]:[AGRUP. VALOR. PTO.]]=$B48,IF(DATOS_[[Check Periodo Ref.]:[Check Periodo Ref.]]="Dentro",IF(DATOS_[[Check Equiparado]:[Check Equiparado]]="Sí",IF(DATOS!BF$5="Sí",(1/DATOS_[[% anualiz]:[% anualiz]]),1)*IF(DATOS!BF$4="Sí",1/DATOS_[[% normaliz]:[% normaliz]],1)*(DATOS_[Conc.Sal.28])))))))),
0)</f>
        <v>0</v>
      </c>
      <c r="AL50" s="111">
        <f t="array" ref="AL50">IFERROR(
(MEDIAN((IF(DATOS_[[Sexo]:[Sexo]]=$B50,IF(DATOS_[[AGRUP. VALOR. PTO.]:[AGRUP. VALOR. PTO.]]=$B48,IF(DATOS_[[Check Periodo Ref.]:[Check Periodo Ref.]]="Dentro",IF(DATOS_[[Check Equiparado]:[Check Equiparado]]="Sí",IF(DATOS!BG$5="Sí",(1/DATOS_[[% anualiz]:[% anualiz]]),1)*IF(DATOS!BG$4="Sí",1/DATOS_[[% normaliz]:[% normaliz]],1)*(DATOS_[Conc.Sal.29])))))))),
0)</f>
        <v>0</v>
      </c>
      <c r="AM50" s="111">
        <f t="array" ref="AM50">IFERROR(
(MEDIAN((IF(DATOS_[[Sexo]:[Sexo]]=$B50,IF(DATOS_[[AGRUP. VALOR. PTO.]:[AGRUP. VALOR. PTO.]]=$B48,IF(DATOS_[[Check Periodo Ref.]:[Check Periodo Ref.]]="Dentro",IF(DATOS_[[Check Equiparado]:[Check Equiparado]]="Sí",IF(DATOS!BH$5="Sí",(1/DATOS_[[% anualiz]:[% anualiz]]),1)*IF(DATOS!BH$4="Sí",1/DATOS_[[% normaliz]:[% normaliz]],1)*(DATOS_[Conc.Sal.30])))))))),
0)</f>
        <v>0</v>
      </c>
      <c r="AN50" s="112">
        <f t="array" ref="AN50">IFERROR(
MEDIAN(IF(DATOS_[Sexo]=$B50,IF(DATOS_[[AGRUP. VALOR. PTO.]:[AGRUP. VALOR. PTO.]]=$B48,IF(DATOS_[Check Equiparado]="Sí",IF(DATOS_[Check Periodo Ref.]="Dentro",DATOS_[Tot COMPL.SAL Eq],FALSE))))),
0)</f>
        <v>0</v>
      </c>
      <c r="AO50" s="113">
        <f t="array" ref="AO50">IFERROR(
MEDIAN(IF(DATOS_[Sexo]=$B50,IF(DATOS_[[AGRUP. VALOR. PTO.]:[AGRUP. VALOR. PTO.]]=$B48,IF(DATOS_[Check Equiparado]="Sí",IF(DATOS_[Check Periodo Ref.]="Dentro",DATOS_[TOTAL SALARIO Eq],FALSE))))),
0)</f>
        <v>0</v>
      </c>
      <c r="AP50" s="114">
        <f t="array" ref="AP50">IFERROR(
(MEDIAN((IF(DATOS_[[Sexo]:[Sexo]]=$B50,IF(DATOS_[[AGRUP. VALOR. PTO.]:[AGRUP. VALOR. PTO.]]=$B48,IF(DATOS_[[Check Periodo Ref.]:[Check Periodo Ref.]]="Dentro",IF(DATOS_[[Check Equiparado]:[Check Equiparado]]="Sí",IF(DATOS!BI$5="Sí",(1/DATOS_[[% anualiz]:[% anualiz]]),1)*IF(DATOS!BI$4="Sí",1/DATOS_[[% normaliz]:[% normaliz]],1)*(DATOS_[C.Extra.01])))))))),
0)</f>
        <v>0</v>
      </c>
      <c r="AQ50" s="114">
        <f t="array" ref="AQ50">IFERROR(
(MEDIAN((IF(DATOS_[[Sexo]:[Sexo]]=$B50,IF(DATOS_[[AGRUP. VALOR. PTO.]:[AGRUP. VALOR. PTO.]]=$B48,IF(DATOS_[[Check Periodo Ref.]:[Check Periodo Ref.]]="Dentro",IF(DATOS_[[Check Equiparado]:[Check Equiparado]]="Sí",IF(DATOS!BJ$5="Sí",(1/DATOS_[[% anualiz]:[% anualiz]]),1)*IF(DATOS!BJ$4="Sí",1/DATOS_[[% normaliz]:[% normaliz]],1)*(DATOS_[C.Extra.02])))))))),
0)</f>
        <v>0</v>
      </c>
      <c r="AR50" s="114">
        <f t="array" ref="AR50">IFERROR(
(MEDIAN((IF(DATOS_[[Sexo]:[Sexo]]=$B50,IF(DATOS_[[AGRUP. VALOR. PTO.]:[AGRUP. VALOR. PTO.]]=$B48,IF(DATOS_[[Check Periodo Ref.]:[Check Periodo Ref.]]="Dentro",IF(DATOS_[[Check Equiparado]:[Check Equiparado]]="Sí",IF(DATOS!BK$5="Sí",(1/DATOS_[[% anualiz]:[% anualiz]]),1)*IF(DATOS!BK$4="Sí",1/DATOS_[[% normaliz]:[% normaliz]],1)*(DATOS_[C.Extra.03])))))))),
0)</f>
        <v>0</v>
      </c>
      <c r="AS50" s="114">
        <f t="array" ref="AS50">IFERROR(
(MEDIAN((IF(DATOS_[[Sexo]:[Sexo]]=$B50,IF(DATOS_[[AGRUP. VALOR. PTO.]:[AGRUP. VALOR. PTO.]]=$B48,IF(DATOS_[[Check Periodo Ref.]:[Check Periodo Ref.]]="Dentro",IF(DATOS_[[Check Equiparado]:[Check Equiparado]]="Sí",IF(DATOS!BL$5="Sí",(1/DATOS_[[% anualiz]:[% anualiz]]),1)*IF(DATOS!BL$4="Sí",1/DATOS_[[% normaliz]:[% normaliz]],1)*(DATOS_[C.Extra.04])))))))),
0)</f>
        <v>0</v>
      </c>
      <c r="AT50" s="114">
        <f t="array" ref="AT50">IFERROR(
(MEDIAN((IF(DATOS_[[Sexo]:[Sexo]]=$B50,IF(DATOS_[[AGRUP. VALOR. PTO.]:[AGRUP. VALOR. PTO.]]=$B48,IF(DATOS_[[Check Periodo Ref.]:[Check Periodo Ref.]]="Dentro",IF(DATOS_[[Check Equiparado]:[Check Equiparado]]="Sí",IF(DATOS!BM$5="Sí",(1/DATOS_[[% anualiz]:[% anualiz]]),1)*IF(DATOS!BM$4="Sí",1/DATOS_[[% normaliz]:[% normaliz]],1)*(DATOS_[C.Extra.05])))))))),
0)</f>
        <v>0</v>
      </c>
      <c r="AU50" s="115">
        <f t="array" ref="AU50">IFERROR(
MEDIAN(IF(DATOS_[Sexo]=$B50,IF(DATOS_[[AGRUP. VALOR. PTO.]:[AGRUP. VALOR. PTO.]]=$B48,IF(DATOS_[Check Equiparado]="Sí",IF(DATOS_[Check Periodo Ref.]="Dentro",DATOS_[Tot Extrasalarial Eq],FALSE))))),
0)</f>
        <v>0</v>
      </c>
      <c r="AV50" s="116">
        <f t="array" ref="AV50">IFERROR(
MEDIAN(IF(DATOS_[Sexo]=$B50,IF(DATOS_[[AGRUP. VALOR. PTO.]:[AGRUP. VALOR. PTO.]]=$B48,IF(DATOS_[Check Equiparado]="Sí",IF(DATOS_[Check Periodo Ref.]="Dentro",DATOS_[TOTAL Retrib Eq],FALSE))))),
0)</f>
        <v>0</v>
      </c>
    </row>
    <row r="51" spans="1:48" ht="17.25" hidden="1" thickBot="1" x14ac:dyDescent="0.35">
      <c r="A51" s="42" t="str">
        <f t="shared" ref="A51" si="51">+A52</f>
        <v>[ocultar]</v>
      </c>
      <c r="B51" s="90" t="s">
        <v>272</v>
      </c>
      <c r="C51" s="109"/>
      <c r="D51" s="41"/>
      <c r="E51" s="41"/>
      <c r="F51" s="41"/>
      <c r="G51" s="41"/>
      <c r="H51" s="41"/>
      <c r="I51" s="119" t="str">
        <f t="shared" ref="I51:AV51" si="52">IFERROR((I52-I53)/I52,"")</f>
        <v/>
      </c>
      <c r="J51" s="123" t="str">
        <f t="shared" si="52"/>
        <v/>
      </c>
      <c r="K51" s="123" t="str">
        <f t="shared" si="52"/>
        <v/>
      </c>
      <c r="L51" s="123" t="str">
        <f t="shared" si="52"/>
        <v/>
      </c>
      <c r="M51" s="123" t="str">
        <f t="shared" si="52"/>
        <v/>
      </c>
      <c r="N51" s="123" t="str">
        <f t="shared" si="52"/>
        <v/>
      </c>
      <c r="O51" s="123" t="str">
        <f t="shared" si="52"/>
        <v/>
      </c>
      <c r="P51" s="123" t="str">
        <f t="shared" si="52"/>
        <v/>
      </c>
      <c r="Q51" s="123" t="str">
        <f t="shared" si="52"/>
        <v/>
      </c>
      <c r="R51" s="123" t="str">
        <f t="shared" si="52"/>
        <v/>
      </c>
      <c r="S51" s="123" t="str">
        <f t="shared" si="52"/>
        <v/>
      </c>
      <c r="T51" s="123" t="str">
        <f t="shared" si="52"/>
        <v/>
      </c>
      <c r="U51" s="123" t="str">
        <f t="shared" si="52"/>
        <v/>
      </c>
      <c r="V51" s="123" t="str">
        <f t="shared" si="52"/>
        <v/>
      </c>
      <c r="W51" s="123" t="str">
        <f t="shared" si="52"/>
        <v/>
      </c>
      <c r="X51" s="123" t="str">
        <f t="shared" si="52"/>
        <v/>
      </c>
      <c r="Y51" s="123" t="str">
        <f t="shared" si="52"/>
        <v/>
      </c>
      <c r="Z51" s="122" t="str">
        <f t="shared" si="52"/>
        <v/>
      </c>
      <c r="AA51" s="122" t="str">
        <f t="shared" si="52"/>
        <v/>
      </c>
      <c r="AB51" s="122" t="str">
        <f t="shared" si="52"/>
        <v/>
      </c>
      <c r="AC51" s="122" t="str">
        <f t="shared" si="52"/>
        <v/>
      </c>
      <c r="AD51" s="122" t="str">
        <f t="shared" si="52"/>
        <v/>
      </c>
      <c r="AE51" s="122" t="str">
        <f t="shared" si="52"/>
        <v/>
      </c>
      <c r="AF51" s="122" t="str">
        <f t="shared" si="52"/>
        <v/>
      </c>
      <c r="AG51" s="122" t="str">
        <f t="shared" si="52"/>
        <v/>
      </c>
      <c r="AH51" s="122" t="str">
        <f t="shared" si="52"/>
        <v/>
      </c>
      <c r="AI51" s="122" t="str">
        <f t="shared" si="52"/>
        <v/>
      </c>
      <c r="AJ51" s="122" t="str">
        <f t="shared" si="52"/>
        <v/>
      </c>
      <c r="AK51" s="122" t="str">
        <f t="shared" si="52"/>
        <v/>
      </c>
      <c r="AL51" s="122" t="str">
        <f t="shared" si="52"/>
        <v/>
      </c>
      <c r="AM51" s="122" t="str">
        <f t="shared" si="52"/>
        <v/>
      </c>
      <c r="AN51" s="124" t="str">
        <f t="shared" si="52"/>
        <v/>
      </c>
      <c r="AO51" s="128" t="str">
        <f t="shared" si="52"/>
        <v/>
      </c>
      <c r="AP51" s="125" t="str">
        <f t="shared" si="52"/>
        <v/>
      </c>
      <c r="AQ51" s="125" t="str">
        <f t="shared" si="52"/>
        <v/>
      </c>
      <c r="AR51" s="125" t="str">
        <f t="shared" si="52"/>
        <v/>
      </c>
      <c r="AS51" s="125" t="str">
        <f t="shared" si="52"/>
        <v/>
      </c>
      <c r="AT51" s="125" t="str">
        <f t="shared" si="52"/>
        <v/>
      </c>
      <c r="AU51" s="126" t="str">
        <f t="shared" si="52"/>
        <v/>
      </c>
      <c r="AV51" s="127" t="str">
        <f t="shared" si="52"/>
        <v/>
      </c>
    </row>
    <row r="52" spans="1:48" hidden="1" x14ac:dyDescent="0.3">
      <c r="A52" s="42" t="str">
        <f t="shared" ref="A52" si="53">+IF(C52+C53=0,"[ocultar]","")</f>
        <v>[ocultar]</v>
      </c>
      <c r="B52" s="86" t="s">
        <v>162</v>
      </c>
      <c r="C52" s="33">
        <f t="array" ref="C52">SUM(IF($B52=DATOS_[Sexo],
IF($B51=DATOS_[AGRUP. VALOR. PTO.],
IF("Dentro"=DATOS_[Check Periodo Ref.],
1/(COUNTIFS(DATOS_[Sexo],$B52,DATOS_[AGRUP. VALOR. PTO.],$B51,DATOS_[Check Periodo Ref.],"Dentro",DATOS_[id],DATOS_[id]))))))</f>
        <v>0</v>
      </c>
      <c r="D52" s="35">
        <f>COUNTIFS(DATOS_[AGRUP. VALOR. PTO.],$B51,DATOS_[Sexo],$B52,DATOS_[Check Periodo Ref.],"Dentro")</f>
        <v>0</v>
      </c>
      <c r="E52" s="35">
        <f>COUNTIFS(DATOS_[AGRUP. VALOR. PTO.],$B51,DATOS_[Sexo],$B52,DATOS_[Check Periodo Ref.],"Dentro",DATOS_[Check Nº SC Norm],"Sí")</f>
        <v>0</v>
      </c>
      <c r="F52" s="35">
        <f>COUNTIFS(DATOS_[AGRUP. VALOR. PTO.],$B51,DATOS_[Sexo],$B52,DATOS_[Check Periodo Ref.],"Dentro",DATOS_[Check Nº SC Anualiz],"Sí")</f>
        <v>0</v>
      </c>
      <c r="G52" s="35">
        <f>COUNTIFS(DATOS_[AGRUP. VALOR. PTO.],$B51,DATOS_[Sexo],$B52,DATOS_[Check Periodo Ref.],"Dentro",DATOS_[Check Nº SC Norm y Anualiz],"Sí")</f>
        <v>0</v>
      </c>
      <c r="H52" s="35">
        <f>COUNTIFS(DATOS_[AGRUP. VALOR. PTO.],$B51,DATOS_[Sexo],$B52,DATOS_[Check Periodo Ref.],"Dentro",DATOS_[Check Equiparación],"Sí")</f>
        <v>0</v>
      </c>
      <c r="I52" s="110">
        <f t="array" ref="I52">IFERROR(
MEDIAN(IF(DATOS_[Sexo]=$B52,IF(DATOS_[[AGRUP. VALOR. PTO.]:[AGRUP. VALOR. PTO.]]=$B51,IF(DATOS_[Check Equiparado]="Sí",IF(DATOS_[Check Periodo Ref.]="Dentro",DATOS_[SALARIO BASE Eq],FALSE))))),
0)</f>
        <v>0</v>
      </c>
      <c r="J52" s="111">
        <f t="array" ref="J52">IFERROR(
(MEDIAN((IF(DATOS_[[Sexo]:[Sexo]]=$B52,IF(DATOS_[[AGRUP. VALOR. PTO.]:[AGRUP. VALOR. PTO.]]=$B51,IF(DATOS_[[Check Periodo Ref.]:[Check Periodo Ref.]]="Dentro",IF(DATOS_[[Check Equiparado]:[Check Equiparado]]="Sí",IF(DATOS!AE$5="Sí",(1/DATOS_[[% anualiz]:[% anualiz]]),1)*IF(DATOS!AE$4="Sí",1/DATOS_[[% normaliz]:[% normaliz]],1)*(DATOS_[Conc.Sal.01])))))))),
0)</f>
        <v>0</v>
      </c>
      <c r="K52" s="111">
        <f t="array" ref="K52">IFERROR(
(MEDIAN((IF(DATOS_[[Sexo]:[Sexo]]=$B52,IF(DATOS_[[AGRUP. VALOR. PTO.]:[AGRUP. VALOR. PTO.]]=$B51,IF(DATOS_[[Check Periodo Ref.]:[Check Periodo Ref.]]="Dentro",IF(DATOS_[[Check Equiparado]:[Check Equiparado]]="Sí",IF(DATOS!AF$5="Sí",(1/DATOS_[[% anualiz]:[% anualiz]]),1)*IF(DATOS!AF$4="Sí",1/DATOS_[[% normaliz]:[% normaliz]],1)*(DATOS_[Conc.Sal.02])))))))),
0)</f>
        <v>0</v>
      </c>
      <c r="L52" s="111">
        <f t="array" ref="L52">IFERROR(
(MEDIAN((IF(DATOS_[[Sexo]:[Sexo]]=$B52,IF(DATOS_[[AGRUP. VALOR. PTO.]:[AGRUP. VALOR. PTO.]]=$B51,IF(DATOS_[[Check Periodo Ref.]:[Check Periodo Ref.]]="Dentro",IF(DATOS_[[Check Equiparado]:[Check Equiparado]]="Sí",IF(DATOS!AG$5="Sí",(1/DATOS_[[% anualiz]:[% anualiz]]),1)*IF(DATOS!AG$4="Sí",1/DATOS_[[% normaliz]:[% normaliz]],1)*(DATOS_[Conc.Sal.03])))))))),
0)</f>
        <v>0</v>
      </c>
      <c r="M52" s="111">
        <f t="array" ref="M52">IFERROR(
(MEDIAN((IF(DATOS_[[Sexo]:[Sexo]]=$B52,IF(DATOS_[[AGRUP. VALOR. PTO.]:[AGRUP. VALOR. PTO.]]=$B51,IF(DATOS_[[Check Periodo Ref.]:[Check Periodo Ref.]]="Dentro",IF(DATOS_[[Check Equiparado]:[Check Equiparado]]="Sí",IF(DATOS!AH$5="Sí",(1/DATOS_[[% anualiz]:[% anualiz]]),1)*IF(DATOS!AH$4="Sí",1/DATOS_[[% normaliz]:[% normaliz]],1)*(DATOS_[Conc.Sal.04])))))))),
0)</f>
        <v>0</v>
      </c>
      <c r="N52" s="111">
        <f t="array" ref="N52">IFERROR(
(MEDIAN((IF(DATOS_[[Sexo]:[Sexo]]=$B52,IF(DATOS_[[AGRUP. VALOR. PTO.]:[AGRUP. VALOR. PTO.]]=$B51,IF(DATOS_[[Check Periodo Ref.]:[Check Periodo Ref.]]="Dentro",IF(DATOS_[[Check Equiparado]:[Check Equiparado]]="Sí",IF(DATOS!AI$5="Sí",(1/DATOS_[[% anualiz]:[% anualiz]]),1)*IF(DATOS!AI$4="Sí",1/DATOS_[[% normaliz]:[% normaliz]],1)*(DATOS_[Conc.Sal.05])))))))),
0)</f>
        <v>0</v>
      </c>
      <c r="O52" s="111">
        <f t="array" ref="O52">IFERROR(
(MEDIAN((IF(DATOS_[[Sexo]:[Sexo]]=$B52,IF(DATOS_[[AGRUP. VALOR. PTO.]:[AGRUP. VALOR. PTO.]]=$B51,IF(DATOS_[[Check Periodo Ref.]:[Check Periodo Ref.]]="Dentro",IF(DATOS_[[Check Equiparado]:[Check Equiparado]]="Sí",IF(DATOS!AJ$5="Sí",(1/DATOS_[[% anualiz]:[% anualiz]]),1)*IF(DATOS!AJ$4="Sí",1/DATOS_[[% normaliz]:[% normaliz]],1)*(DATOS_[Conc.Sal.06])))))))),
0)</f>
        <v>0</v>
      </c>
      <c r="P52" s="111">
        <f t="array" ref="P52">IFERROR(
(MEDIAN((IF(DATOS_[[Sexo]:[Sexo]]=$B52,IF(DATOS_[[AGRUP. VALOR. PTO.]:[AGRUP. VALOR. PTO.]]=$B51,IF(DATOS_[[Check Periodo Ref.]:[Check Periodo Ref.]]="Dentro",IF(DATOS_[[Check Equiparado]:[Check Equiparado]]="Sí",IF(DATOS!AK$5="Sí",(1/DATOS_[[% anualiz]:[% anualiz]]),1)*IF(DATOS!AK$4="Sí",1/DATOS_[[% normaliz]:[% normaliz]],1)*(DATOS_[Conc.Sal.07])))))))),
0)</f>
        <v>0</v>
      </c>
      <c r="Q52" s="111">
        <f t="array" ref="Q52">IFERROR(
(MEDIAN((IF(DATOS_[[Sexo]:[Sexo]]=$B52,IF(DATOS_[[AGRUP. VALOR. PTO.]:[AGRUP. VALOR. PTO.]]=$B51,IF(DATOS_[[Check Periodo Ref.]:[Check Periodo Ref.]]="Dentro",IF(DATOS_[[Check Equiparado]:[Check Equiparado]]="Sí",IF(DATOS!AL$5="Sí",(1/DATOS_[[% anualiz]:[% anualiz]]),1)*IF(DATOS!AL$4="Sí",1/DATOS_[[% normaliz]:[% normaliz]],1)*(DATOS_[Conc.Sal.08])))))))),
0)</f>
        <v>0</v>
      </c>
      <c r="R52" s="111">
        <f t="array" ref="R52">IFERROR(
(MEDIAN((IF(DATOS_[[Sexo]:[Sexo]]=$B52,IF(DATOS_[[AGRUP. VALOR. PTO.]:[AGRUP. VALOR. PTO.]]=$B51,IF(DATOS_[[Check Periodo Ref.]:[Check Periodo Ref.]]="Dentro",IF(DATOS_[[Check Equiparado]:[Check Equiparado]]="Sí",IF(DATOS!AM$5="Sí",(1/DATOS_[[% anualiz]:[% anualiz]]),1)*IF(DATOS!AM$4="Sí",1/DATOS_[[% normaliz]:[% normaliz]],1)*(DATOS_[Conc.Sal.09])))))))),
0)</f>
        <v>0</v>
      </c>
      <c r="S52" s="111">
        <f t="array" ref="S52">IFERROR(
(MEDIAN((IF(DATOS_[[Sexo]:[Sexo]]=$B52,IF(DATOS_[[AGRUP. VALOR. PTO.]:[AGRUP. VALOR. PTO.]]=$B51,IF(DATOS_[[Check Periodo Ref.]:[Check Periodo Ref.]]="Dentro",IF(DATOS_[[Check Equiparado]:[Check Equiparado]]="Sí",IF(DATOS!AN$5="Sí",(1/DATOS_[[% anualiz]:[% anualiz]]),1)*IF(DATOS!AN$4="Sí",1/DATOS_[[% normaliz]:[% normaliz]],1)*(DATOS_[Conc.Sal.10])))))))),
0)</f>
        <v>0</v>
      </c>
      <c r="T52" s="111">
        <f t="array" ref="T52">IFERROR(
(MEDIAN((IF(DATOS_[[Sexo]:[Sexo]]=$B52,IF(DATOS_[[AGRUP. VALOR. PTO.]:[AGRUP. VALOR. PTO.]]=$B51,IF(DATOS_[[Check Periodo Ref.]:[Check Periodo Ref.]]="Dentro",IF(DATOS_[[Check Equiparado]:[Check Equiparado]]="Sí",IF(DATOS!AO$5="Sí",(1/DATOS_[[% anualiz]:[% anualiz]]),1)*IF(DATOS!AO$4="Sí",1/DATOS_[[% normaliz]:[% normaliz]],1)*(DATOS_[Conc.Sal.11])))))))),
0)</f>
        <v>0</v>
      </c>
      <c r="U52" s="111">
        <f t="array" ref="U52">IFERROR(
(MEDIAN((IF(DATOS_[[Sexo]:[Sexo]]=$B52,IF(DATOS_[[AGRUP. VALOR. PTO.]:[AGRUP. VALOR. PTO.]]=$B51,IF(DATOS_[[Check Periodo Ref.]:[Check Periodo Ref.]]="Dentro",IF(DATOS_[[Check Equiparado]:[Check Equiparado]]="Sí",IF(DATOS!AP$5="Sí",(1/DATOS_[[% anualiz]:[% anualiz]]),1)*IF(DATOS!AP$4="Sí",1/DATOS_[[% normaliz]:[% normaliz]],1)*(DATOS_[Conc.Sal.12])))))))),
0)</f>
        <v>0</v>
      </c>
      <c r="V52" s="111">
        <f t="array" ref="V52">IFERROR(
(MEDIAN((IF(DATOS_[[Sexo]:[Sexo]]=$B52,IF(DATOS_[[AGRUP. VALOR. PTO.]:[AGRUP. VALOR. PTO.]]=$B51,IF(DATOS_[[Check Periodo Ref.]:[Check Periodo Ref.]]="Dentro",IF(DATOS_[[Check Equiparado]:[Check Equiparado]]="Sí",IF(DATOS!AQ$5="Sí",(1/DATOS_[[% anualiz]:[% anualiz]]),1)*IF(DATOS!AQ$4="Sí",1/DATOS_[[% normaliz]:[% normaliz]],1)*(DATOS_[Conc.Sal.13])))))))),
0)</f>
        <v>0</v>
      </c>
      <c r="W52" s="111">
        <f t="array" ref="W52">IFERROR(
(MEDIAN((IF(DATOS_[[Sexo]:[Sexo]]=$B52,IF(DATOS_[[AGRUP. VALOR. PTO.]:[AGRUP. VALOR. PTO.]]=$B51,IF(DATOS_[[Check Periodo Ref.]:[Check Periodo Ref.]]="Dentro",IF(DATOS_[[Check Equiparado]:[Check Equiparado]]="Sí",IF(DATOS!AR$5="Sí",(1/DATOS_[[% anualiz]:[% anualiz]]),1)*IF(DATOS!AR$4="Sí",1/DATOS_[[% normaliz]:[% normaliz]],1)*(DATOS_[Conc.Sal.14])))))))),
0)</f>
        <v>0</v>
      </c>
      <c r="X52" s="111">
        <f t="array" ref="X52">IFERROR(
(MEDIAN((IF(DATOS_[[Sexo]:[Sexo]]=$B52,IF(DATOS_[[AGRUP. VALOR. PTO.]:[AGRUP. VALOR. PTO.]]=$B51,IF(DATOS_[[Check Periodo Ref.]:[Check Periodo Ref.]]="Dentro",IF(DATOS_[[Check Equiparado]:[Check Equiparado]]="Sí",IF(DATOS!AS$5="Sí",(1/DATOS_[[% anualiz]:[% anualiz]]),1)*IF(DATOS!AS$4="Sí",1/DATOS_[[% normaliz]:[% normaliz]],1)*(DATOS_[Conc.Sal.15])))))))),
0)</f>
        <v>0</v>
      </c>
      <c r="Y52" s="111">
        <f t="array" ref="Y52">IFERROR(
(MEDIAN((IF(DATOS_[[Sexo]:[Sexo]]=$B52,IF(DATOS_[[AGRUP. VALOR. PTO.]:[AGRUP. VALOR. PTO.]]=$B51,IF(DATOS_[[Check Periodo Ref.]:[Check Periodo Ref.]]="Dentro",IF(DATOS_[[Check Equiparado]:[Check Equiparado]]="Sí",IF(DATOS!AT$5="Sí",(1/DATOS_[[% anualiz]:[% anualiz]]),1)*IF(DATOS!AT$4="Sí",1/DATOS_[[% normaliz]:[% normaliz]],1)*(DATOS_[Conc.Sal.16])))))))),
0)</f>
        <v>0</v>
      </c>
      <c r="Z52" s="111">
        <f t="array" ref="Z52">IFERROR(
(MEDIAN((IF(DATOS_[[Sexo]:[Sexo]]=$B52,IF(DATOS_[[AGRUP. VALOR. PTO.]:[AGRUP. VALOR. PTO.]]=$B51,IF(DATOS_[[Check Periodo Ref.]:[Check Periodo Ref.]]="Dentro",IF(DATOS_[[Check Equiparado]:[Check Equiparado]]="Sí",IF(DATOS!AU$5="Sí",(1/DATOS_[[% anualiz]:[% anualiz]]),1)*IF(DATOS!AU$4="Sí",1/DATOS_[[% normaliz]:[% normaliz]],1)*(DATOS_[Conc.Sal.17])))))))),
0)</f>
        <v>0</v>
      </c>
      <c r="AA52" s="111">
        <f t="array" ref="AA52">IFERROR(
(MEDIAN((IF(DATOS_[[Sexo]:[Sexo]]=$B52,IF(DATOS_[[AGRUP. VALOR. PTO.]:[AGRUP. VALOR. PTO.]]=$B51,IF(DATOS_[[Check Periodo Ref.]:[Check Periodo Ref.]]="Dentro",IF(DATOS_[[Check Equiparado]:[Check Equiparado]]="Sí",IF(DATOS!AV$5="Sí",(1/DATOS_[[% anualiz]:[% anualiz]]),1)*IF(DATOS!AV$4="Sí",1/DATOS_[[% normaliz]:[% normaliz]],1)*(DATOS_[Conc.Sal.18])))))))),
0)</f>
        <v>0</v>
      </c>
      <c r="AB52" s="111">
        <f t="array" ref="AB52">IFERROR(
(MEDIAN((IF(DATOS_[[Sexo]:[Sexo]]=$B52,IF(DATOS_[[AGRUP. VALOR. PTO.]:[AGRUP. VALOR. PTO.]]=$B51,IF(DATOS_[[Check Periodo Ref.]:[Check Periodo Ref.]]="Dentro",IF(DATOS_[[Check Equiparado]:[Check Equiparado]]="Sí",IF(DATOS!AW$5="Sí",(1/DATOS_[[% anualiz]:[% anualiz]]),1)*IF(DATOS!AW$4="Sí",1/DATOS_[[% normaliz]:[% normaliz]],1)*(DATOS_[Conc.Sal.19])))))))),
0)</f>
        <v>0</v>
      </c>
      <c r="AC52" s="111">
        <f t="array" ref="AC52">IFERROR(
(MEDIAN((IF(DATOS_[[Sexo]:[Sexo]]=$B52,IF(DATOS_[[AGRUP. VALOR. PTO.]:[AGRUP. VALOR. PTO.]]=$B51,IF(DATOS_[[Check Periodo Ref.]:[Check Periodo Ref.]]="Dentro",IF(DATOS_[[Check Equiparado]:[Check Equiparado]]="Sí",IF(DATOS!AX$5="Sí",(1/DATOS_[[% anualiz]:[% anualiz]]),1)*IF(DATOS!AX$4="Sí",1/DATOS_[[% normaliz]:[% normaliz]],1)*(DATOS_[Conc.Sal.20])))))))),
0)</f>
        <v>0</v>
      </c>
      <c r="AD52" s="111">
        <f t="array" ref="AD52">IFERROR(
(MEDIAN((IF(DATOS_[[Sexo]:[Sexo]]=$B52,IF(DATOS_[[AGRUP. VALOR. PTO.]:[AGRUP. VALOR. PTO.]]=$B51,IF(DATOS_[[Check Periodo Ref.]:[Check Periodo Ref.]]="Dentro",IF(DATOS_[[Check Equiparado]:[Check Equiparado]]="Sí",IF(DATOS!AY$5="Sí",(1/DATOS_[[% anualiz]:[% anualiz]]),1)*IF(DATOS!AY$4="Sí",1/DATOS_[[% normaliz]:[% normaliz]],1)*(DATOS_[Conc.Sal.21])))))))),
0)</f>
        <v>0</v>
      </c>
      <c r="AE52" s="111">
        <f t="array" ref="AE52">IFERROR(
(MEDIAN((IF(DATOS_[[Sexo]:[Sexo]]=$B52,IF(DATOS_[[AGRUP. VALOR. PTO.]:[AGRUP. VALOR. PTO.]]=$B51,IF(DATOS_[[Check Periodo Ref.]:[Check Periodo Ref.]]="Dentro",IF(DATOS_[[Check Equiparado]:[Check Equiparado]]="Sí",IF(DATOS!AZ$5="Sí",(1/DATOS_[[% anualiz]:[% anualiz]]),1)*IF(DATOS!AZ$4="Sí",1/DATOS_[[% normaliz]:[% normaliz]],1)*(DATOS_[Conc.Sal.22])))))))),
0)</f>
        <v>0</v>
      </c>
      <c r="AF52" s="111">
        <f t="array" ref="AF52">IFERROR(
(MEDIAN((IF(DATOS_[[Sexo]:[Sexo]]=$B52,IF(DATOS_[[AGRUP. VALOR. PTO.]:[AGRUP. VALOR. PTO.]]=$B51,IF(DATOS_[[Check Periodo Ref.]:[Check Periodo Ref.]]="Dentro",IF(DATOS_[[Check Equiparado]:[Check Equiparado]]="Sí",IF(DATOS!BA$5="Sí",(1/DATOS_[[% anualiz]:[% anualiz]]),1)*IF(DATOS!BA$4="Sí",1/DATOS_[[% normaliz]:[% normaliz]],1)*(DATOS_[Conc.Sal.23])))))))),
0)</f>
        <v>0</v>
      </c>
      <c r="AG52" s="111">
        <f t="array" ref="AG52">IFERROR(
(MEDIAN((IF(DATOS_[[Sexo]:[Sexo]]=$B52,IF(DATOS_[[AGRUP. VALOR. PTO.]:[AGRUP. VALOR. PTO.]]=$B51,IF(DATOS_[[Check Periodo Ref.]:[Check Periodo Ref.]]="Dentro",IF(DATOS_[[Check Equiparado]:[Check Equiparado]]="Sí",IF(DATOS!BB$5="Sí",(1/DATOS_[[% anualiz]:[% anualiz]]),1)*IF(DATOS!BB$4="Sí",1/DATOS_[[% normaliz]:[% normaliz]],1)*(DATOS_[Conc.Sal.24])))))))),
0)</f>
        <v>0</v>
      </c>
      <c r="AH52" s="111">
        <f t="array" ref="AH52">IFERROR(
(MEDIAN((IF(DATOS_[[Sexo]:[Sexo]]=$B52,IF(DATOS_[[AGRUP. VALOR. PTO.]:[AGRUP. VALOR. PTO.]]=$B51,IF(DATOS_[[Check Periodo Ref.]:[Check Periodo Ref.]]="Dentro",IF(DATOS_[[Check Equiparado]:[Check Equiparado]]="Sí",IF(DATOS!BC$5="Sí",(1/DATOS_[[% anualiz]:[% anualiz]]),1)*IF(DATOS!BC$4="Sí",1/DATOS_[[% normaliz]:[% normaliz]],1)*(DATOS_[Conc.Sal.25])))))))),
0)</f>
        <v>0</v>
      </c>
      <c r="AI52" s="111">
        <f t="array" ref="AI52">IFERROR(
(MEDIAN((IF(DATOS_[[Sexo]:[Sexo]]=$B52,IF(DATOS_[[AGRUP. VALOR. PTO.]:[AGRUP. VALOR. PTO.]]=$B51,IF(DATOS_[[Check Periodo Ref.]:[Check Periodo Ref.]]="Dentro",IF(DATOS_[[Check Equiparado]:[Check Equiparado]]="Sí",IF(DATOS!BD$5="Sí",(1/DATOS_[[% anualiz]:[% anualiz]]),1)*IF(DATOS!BD$4="Sí",1/DATOS_[[% normaliz]:[% normaliz]],1)*(DATOS_[Conc.Sal.26])))))))),
0)</f>
        <v>0</v>
      </c>
      <c r="AJ52" s="111">
        <f t="array" ref="AJ52">IFERROR(
(MEDIAN((IF(DATOS_[[Sexo]:[Sexo]]=$B52,IF(DATOS_[[AGRUP. VALOR. PTO.]:[AGRUP. VALOR. PTO.]]=$B51,IF(DATOS_[[Check Periodo Ref.]:[Check Periodo Ref.]]="Dentro",IF(DATOS_[[Check Equiparado]:[Check Equiparado]]="Sí",IF(DATOS!BE$5="Sí",(1/DATOS_[[% anualiz]:[% anualiz]]),1)*IF(DATOS!BE$4="Sí",1/DATOS_[[% normaliz]:[% normaliz]],1)*(DATOS_[Conc.Sal.27])))))))),
0)</f>
        <v>0</v>
      </c>
      <c r="AK52" s="111">
        <f t="array" ref="AK52">IFERROR(
(MEDIAN((IF(DATOS_[[Sexo]:[Sexo]]=$B52,IF(DATOS_[[AGRUP. VALOR. PTO.]:[AGRUP. VALOR. PTO.]]=$B51,IF(DATOS_[[Check Periodo Ref.]:[Check Periodo Ref.]]="Dentro",IF(DATOS_[[Check Equiparado]:[Check Equiparado]]="Sí",IF(DATOS!BF$5="Sí",(1/DATOS_[[% anualiz]:[% anualiz]]),1)*IF(DATOS!BF$4="Sí",1/DATOS_[[% normaliz]:[% normaliz]],1)*(DATOS_[Conc.Sal.28])))))))),
0)</f>
        <v>0</v>
      </c>
      <c r="AL52" s="111">
        <f t="array" ref="AL52">IFERROR(
(MEDIAN((IF(DATOS_[[Sexo]:[Sexo]]=$B52,IF(DATOS_[[AGRUP. VALOR. PTO.]:[AGRUP. VALOR. PTO.]]=$B51,IF(DATOS_[[Check Periodo Ref.]:[Check Periodo Ref.]]="Dentro",IF(DATOS_[[Check Equiparado]:[Check Equiparado]]="Sí",IF(DATOS!BG$5="Sí",(1/DATOS_[[% anualiz]:[% anualiz]]),1)*IF(DATOS!BG$4="Sí",1/DATOS_[[% normaliz]:[% normaliz]],1)*(DATOS_[Conc.Sal.29])))))))),
0)</f>
        <v>0</v>
      </c>
      <c r="AM52" s="111">
        <f t="array" ref="AM52">IFERROR(
(MEDIAN((IF(DATOS_[[Sexo]:[Sexo]]=$B52,IF(DATOS_[[AGRUP. VALOR. PTO.]:[AGRUP. VALOR. PTO.]]=$B51,IF(DATOS_[[Check Periodo Ref.]:[Check Periodo Ref.]]="Dentro",IF(DATOS_[[Check Equiparado]:[Check Equiparado]]="Sí",IF(DATOS!BH$5="Sí",(1/DATOS_[[% anualiz]:[% anualiz]]),1)*IF(DATOS!BH$4="Sí",1/DATOS_[[% normaliz]:[% normaliz]],1)*(DATOS_[Conc.Sal.30])))))))),
0)</f>
        <v>0</v>
      </c>
      <c r="AN52" s="112">
        <f t="array" ref="AN52">IFERROR(
MEDIAN(IF(DATOS_[Sexo]=$B52,IF(DATOS_[[AGRUP. VALOR. PTO.]:[AGRUP. VALOR. PTO.]]=$B51,IF(DATOS_[Check Equiparado]="Sí",IF(DATOS_[Check Periodo Ref.]="Dentro",DATOS_[Tot COMPL.SAL Eq],FALSE))))),
0)</f>
        <v>0</v>
      </c>
      <c r="AO52" s="113">
        <f t="array" ref="AO52">IFERROR(
MEDIAN(IF(DATOS_[Sexo]=$B52,IF(DATOS_[[AGRUP. VALOR. PTO.]:[AGRUP. VALOR. PTO.]]=$B51,IF(DATOS_[Check Equiparado]="Sí",IF(DATOS_[Check Periodo Ref.]="Dentro",DATOS_[TOTAL SALARIO Eq],FALSE))))),
0)</f>
        <v>0</v>
      </c>
      <c r="AP52" s="114">
        <f t="array" ref="AP52">IFERROR(
(MEDIAN((IF(DATOS_[[Sexo]:[Sexo]]=$B52,IF(DATOS_[[AGRUP. VALOR. PTO.]:[AGRUP. VALOR. PTO.]]=$B51,IF(DATOS_[[Check Periodo Ref.]:[Check Periodo Ref.]]="Dentro",IF(DATOS_[[Check Equiparado]:[Check Equiparado]]="Sí",IF(DATOS!BI$5="Sí",(1/DATOS_[[% anualiz]:[% anualiz]]),1)*IF(DATOS!BI$4="Sí",1/DATOS_[[% normaliz]:[% normaliz]],1)*(DATOS_[C.Extra.01])))))))),
0)</f>
        <v>0</v>
      </c>
      <c r="AQ52" s="114">
        <f t="array" ref="AQ52">IFERROR(
(MEDIAN((IF(DATOS_[[Sexo]:[Sexo]]=$B52,IF(DATOS_[[AGRUP. VALOR. PTO.]:[AGRUP. VALOR. PTO.]]=$B51,IF(DATOS_[[Check Periodo Ref.]:[Check Periodo Ref.]]="Dentro",IF(DATOS_[[Check Equiparado]:[Check Equiparado]]="Sí",IF(DATOS!BJ$5="Sí",(1/DATOS_[[% anualiz]:[% anualiz]]),1)*IF(DATOS!BJ$4="Sí",1/DATOS_[[% normaliz]:[% normaliz]],1)*(DATOS_[C.Extra.02])))))))),
0)</f>
        <v>0</v>
      </c>
      <c r="AR52" s="114">
        <f t="array" ref="AR52">IFERROR(
(MEDIAN((IF(DATOS_[[Sexo]:[Sexo]]=$B52,IF(DATOS_[[AGRUP. VALOR. PTO.]:[AGRUP. VALOR. PTO.]]=$B51,IF(DATOS_[[Check Periodo Ref.]:[Check Periodo Ref.]]="Dentro",IF(DATOS_[[Check Equiparado]:[Check Equiparado]]="Sí",IF(DATOS!BK$5="Sí",(1/DATOS_[[% anualiz]:[% anualiz]]),1)*IF(DATOS!BK$4="Sí",1/DATOS_[[% normaliz]:[% normaliz]],1)*(DATOS_[C.Extra.03])))))))),
0)</f>
        <v>0</v>
      </c>
      <c r="AS52" s="114">
        <f t="array" ref="AS52">IFERROR(
(MEDIAN((IF(DATOS_[[Sexo]:[Sexo]]=$B52,IF(DATOS_[[AGRUP. VALOR. PTO.]:[AGRUP. VALOR. PTO.]]=$B51,IF(DATOS_[[Check Periodo Ref.]:[Check Periodo Ref.]]="Dentro",IF(DATOS_[[Check Equiparado]:[Check Equiparado]]="Sí",IF(DATOS!BL$5="Sí",(1/DATOS_[[% anualiz]:[% anualiz]]),1)*IF(DATOS!BL$4="Sí",1/DATOS_[[% normaliz]:[% normaliz]],1)*(DATOS_[C.Extra.04])))))))),
0)</f>
        <v>0</v>
      </c>
      <c r="AT52" s="114">
        <f t="array" ref="AT52">IFERROR(
(MEDIAN((IF(DATOS_[[Sexo]:[Sexo]]=$B52,IF(DATOS_[[AGRUP. VALOR. PTO.]:[AGRUP. VALOR. PTO.]]=$B51,IF(DATOS_[[Check Periodo Ref.]:[Check Periodo Ref.]]="Dentro",IF(DATOS_[[Check Equiparado]:[Check Equiparado]]="Sí",IF(DATOS!BM$5="Sí",(1/DATOS_[[% anualiz]:[% anualiz]]),1)*IF(DATOS!BM$4="Sí",1/DATOS_[[% normaliz]:[% normaliz]],1)*(DATOS_[C.Extra.05])))))))),
0)</f>
        <v>0</v>
      </c>
      <c r="AU52" s="115">
        <f t="array" ref="AU52">IFERROR(
MEDIAN(IF(DATOS_[Sexo]=$B52,IF(DATOS_[[AGRUP. VALOR. PTO.]:[AGRUP. VALOR. PTO.]]=$B51,IF(DATOS_[Check Equiparado]="Sí",IF(DATOS_[Check Periodo Ref.]="Dentro",DATOS_[Tot Extrasalarial Eq],FALSE))))),
0)</f>
        <v>0</v>
      </c>
      <c r="AV52" s="116">
        <f t="array" ref="AV52">IFERROR(
MEDIAN(IF(DATOS_[Sexo]=$B52,IF(DATOS_[[AGRUP. VALOR. PTO.]:[AGRUP. VALOR. PTO.]]=$B51,IF(DATOS_[Check Equiparado]="Sí",IF(DATOS_[Check Periodo Ref.]="Dentro",DATOS_[TOTAL Retrib Eq],FALSE))))),
0)</f>
        <v>0</v>
      </c>
    </row>
    <row r="53" spans="1:48" hidden="1" x14ac:dyDescent="0.3">
      <c r="A53" s="42" t="str">
        <f t="shared" ref="A53" si="54">+A52</f>
        <v>[ocultar]</v>
      </c>
      <c r="B53" s="86" t="s">
        <v>163</v>
      </c>
      <c r="C53" s="33">
        <f t="array" ref="C53">SUM(IF($B53=DATOS_[Sexo],
IF($B51=DATOS_[AGRUP. VALOR. PTO.],
IF("Dentro"=DATOS_[Check Periodo Ref.],
1/(COUNTIFS(DATOS_[Sexo],$B53,DATOS_[AGRUP. VALOR. PTO.],$B51,DATOS_[Check Periodo Ref.],"Dentro",DATOS_[id],DATOS_[id]))))))</f>
        <v>0</v>
      </c>
      <c r="D53" s="35">
        <f>COUNTIFS(DATOS_[AGRUP. VALOR. PTO.],$B51,DATOS_[Sexo],$B53,DATOS_[Check Periodo Ref.],"Dentro")</f>
        <v>0</v>
      </c>
      <c r="E53" s="35">
        <f>COUNTIFS(DATOS_[AGRUP. VALOR. PTO.],$B51,DATOS_[Sexo],$B53,DATOS_[Check Periodo Ref.],"Dentro",DATOS_[Check Nº SC Norm],"Sí")</f>
        <v>0</v>
      </c>
      <c r="F53" s="35">
        <f>COUNTIFS(DATOS_[AGRUP. VALOR. PTO.],$B51,DATOS_[Sexo],$B53,DATOS_[Check Periodo Ref.],"Dentro",DATOS_[Check Nº SC Anualiz],"Sí")</f>
        <v>0</v>
      </c>
      <c r="G53" s="35">
        <f>COUNTIFS(DATOS_[AGRUP. VALOR. PTO.],$B51,DATOS_[Sexo],$B53,DATOS_[Check Periodo Ref.],"Dentro",DATOS_[Check Nº SC Norm y Anualiz],"Sí")</f>
        <v>0</v>
      </c>
      <c r="H53" s="35">
        <f>COUNTIFS(DATOS_[AGRUP. VALOR. PTO.],$B51,DATOS_[Sexo],$B53,DATOS_[Check Periodo Ref.],"Dentro",DATOS_[Check Equiparación],"Sí")</f>
        <v>0</v>
      </c>
      <c r="I53" s="110" cm="1">
        <f t="array" ref="I53">IFERROR(
MEDIAN(IF(DATOS_[Sexo]=$B53,IF(DATOS_[[AGRUP. VALOR. PTO.]:[AGRUP. VALOR. PTO.]]=$B51,IF(DATOS_[Check Equiparado]="Sí",IF(DATOS_[Check Periodo Ref.]="Dentro",DATOS_[SALARIO BASE Eq],FALSE))))),
0)</f>
        <v>0</v>
      </c>
      <c r="J53" s="111">
        <f t="array" ref="J53">IFERROR(
(MEDIAN((IF(DATOS_[[Sexo]:[Sexo]]=$B53,IF(DATOS_[[AGRUP. VALOR. PTO.]:[AGRUP. VALOR. PTO.]]=$B51,IF(DATOS_[[Check Periodo Ref.]:[Check Periodo Ref.]]="Dentro",IF(DATOS_[[Check Equiparado]:[Check Equiparado]]="Sí",IF(DATOS!AE$5="Sí",(1/DATOS_[[% anualiz]:[% anualiz]]),1)*IF(DATOS!AE$4="Sí",1/DATOS_[[% normaliz]:[% normaliz]],1)*(DATOS_[Conc.Sal.01])))))))),
0)</f>
        <v>0</v>
      </c>
      <c r="K53" s="111">
        <f t="array" ref="K53">IFERROR(
(MEDIAN((IF(DATOS_[[Sexo]:[Sexo]]=$B53,IF(DATOS_[[AGRUP. VALOR. PTO.]:[AGRUP. VALOR. PTO.]]=$B51,IF(DATOS_[[Check Periodo Ref.]:[Check Periodo Ref.]]="Dentro",IF(DATOS_[[Check Equiparado]:[Check Equiparado]]="Sí",IF(DATOS!AF$5="Sí",(1/DATOS_[[% anualiz]:[% anualiz]]),1)*IF(DATOS!AF$4="Sí",1/DATOS_[[% normaliz]:[% normaliz]],1)*(DATOS_[Conc.Sal.02])))))))),
0)</f>
        <v>0</v>
      </c>
      <c r="L53" s="111">
        <f t="array" ref="L53">IFERROR(
(MEDIAN((IF(DATOS_[[Sexo]:[Sexo]]=$B53,IF(DATOS_[[AGRUP. VALOR. PTO.]:[AGRUP. VALOR. PTO.]]=$B51,IF(DATOS_[[Check Periodo Ref.]:[Check Periodo Ref.]]="Dentro",IF(DATOS_[[Check Equiparado]:[Check Equiparado]]="Sí",IF(DATOS!AG$5="Sí",(1/DATOS_[[% anualiz]:[% anualiz]]),1)*IF(DATOS!AG$4="Sí",1/DATOS_[[% normaliz]:[% normaliz]],1)*(DATOS_[Conc.Sal.03])))))))),
0)</f>
        <v>0</v>
      </c>
      <c r="M53" s="111">
        <f t="array" ref="M53">IFERROR(
(MEDIAN((IF(DATOS_[[Sexo]:[Sexo]]=$B53,IF(DATOS_[[AGRUP. VALOR. PTO.]:[AGRUP. VALOR. PTO.]]=$B51,IF(DATOS_[[Check Periodo Ref.]:[Check Periodo Ref.]]="Dentro",IF(DATOS_[[Check Equiparado]:[Check Equiparado]]="Sí",IF(DATOS!AH$5="Sí",(1/DATOS_[[% anualiz]:[% anualiz]]),1)*IF(DATOS!AH$4="Sí",1/DATOS_[[% normaliz]:[% normaliz]],1)*(DATOS_[Conc.Sal.04])))))))),
0)</f>
        <v>0</v>
      </c>
      <c r="N53" s="111">
        <f t="array" ref="N53">IFERROR(
(MEDIAN((IF(DATOS_[[Sexo]:[Sexo]]=$B53,IF(DATOS_[[AGRUP. VALOR. PTO.]:[AGRUP. VALOR. PTO.]]=$B51,IF(DATOS_[[Check Periodo Ref.]:[Check Periodo Ref.]]="Dentro",IF(DATOS_[[Check Equiparado]:[Check Equiparado]]="Sí",IF(DATOS!AI$5="Sí",(1/DATOS_[[% anualiz]:[% anualiz]]),1)*IF(DATOS!AI$4="Sí",1/DATOS_[[% normaliz]:[% normaliz]],1)*(DATOS_[Conc.Sal.05])))))))),
0)</f>
        <v>0</v>
      </c>
      <c r="O53" s="111">
        <f t="array" ref="O53">IFERROR(
(MEDIAN((IF(DATOS_[[Sexo]:[Sexo]]=$B53,IF(DATOS_[[AGRUP. VALOR. PTO.]:[AGRUP. VALOR. PTO.]]=$B51,IF(DATOS_[[Check Periodo Ref.]:[Check Periodo Ref.]]="Dentro",IF(DATOS_[[Check Equiparado]:[Check Equiparado]]="Sí",IF(DATOS!AJ$5="Sí",(1/DATOS_[[% anualiz]:[% anualiz]]),1)*IF(DATOS!AJ$4="Sí",1/DATOS_[[% normaliz]:[% normaliz]],1)*(DATOS_[Conc.Sal.06])))))))),
0)</f>
        <v>0</v>
      </c>
      <c r="P53" s="111">
        <f t="array" ref="P53">IFERROR(
(MEDIAN((IF(DATOS_[[Sexo]:[Sexo]]=$B53,IF(DATOS_[[AGRUP. VALOR. PTO.]:[AGRUP. VALOR. PTO.]]=$B51,IF(DATOS_[[Check Periodo Ref.]:[Check Periodo Ref.]]="Dentro",IF(DATOS_[[Check Equiparado]:[Check Equiparado]]="Sí",IF(DATOS!AK$5="Sí",(1/DATOS_[[% anualiz]:[% anualiz]]),1)*IF(DATOS!AK$4="Sí",1/DATOS_[[% normaliz]:[% normaliz]],1)*(DATOS_[Conc.Sal.07])))))))),
0)</f>
        <v>0</v>
      </c>
      <c r="Q53" s="111">
        <f t="array" ref="Q53">IFERROR(
(MEDIAN((IF(DATOS_[[Sexo]:[Sexo]]=$B53,IF(DATOS_[[AGRUP. VALOR. PTO.]:[AGRUP. VALOR. PTO.]]=$B51,IF(DATOS_[[Check Periodo Ref.]:[Check Periodo Ref.]]="Dentro",IF(DATOS_[[Check Equiparado]:[Check Equiparado]]="Sí",IF(DATOS!AL$5="Sí",(1/DATOS_[[% anualiz]:[% anualiz]]),1)*IF(DATOS!AL$4="Sí",1/DATOS_[[% normaliz]:[% normaliz]],1)*(DATOS_[Conc.Sal.08])))))))),
0)</f>
        <v>0</v>
      </c>
      <c r="R53" s="111">
        <f t="array" ref="R53">IFERROR(
(MEDIAN((IF(DATOS_[[Sexo]:[Sexo]]=$B53,IF(DATOS_[[AGRUP. VALOR. PTO.]:[AGRUP. VALOR. PTO.]]=$B51,IF(DATOS_[[Check Periodo Ref.]:[Check Periodo Ref.]]="Dentro",IF(DATOS_[[Check Equiparado]:[Check Equiparado]]="Sí",IF(DATOS!AM$5="Sí",(1/DATOS_[[% anualiz]:[% anualiz]]),1)*IF(DATOS!AM$4="Sí",1/DATOS_[[% normaliz]:[% normaliz]],1)*(DATOS_[Conc.Sal.09])))))))),
0)</f>
        <v>0</v>
      </c>
      <c r="S53" s="111">
        <f t="array" ref="S53">IFERROR(
(MEDIAN((IF(DATOS_[[Sexo]:[Sexo]]=$B53,IF(DATOS_[[AGRUP. VALOR. PTO.]:[AGRUP. VALOR. PTO.]]=$B51,IF(DATOS_[[Check Periodo Ref.]:[Check Periodo Ref.]]="Dentro",IF(DATOS_[[Check Equiparado]:[Check Equiparado]]="Sí",IF(DATOS!AN$5="Sí",(1/DATOS_[[% anualiz]:[% anualiz]]),1)*IF(DATOS!AN$4="Sí",1/DATOS_[[% normaliz]:[% normaliz]],1)*(DATOS_[Conc.Sal.10])))))))),
0)</f>
        <v>0</v>
      </c>
      <c r="T53" s="111">
        <f t="array" ref="T53">IFERROR(
(MEDIAN((IF(DATOS_[[Sexo]:[Sexo]]=$B53,IF(DATOS_[[AGRUP. VALOR. PTO.]:[AGRUP. VALOR. PTO.]]=$B51,IF(DATOS_[[Check Periodo Ref.]:[Check Periodo Ref.]]="Dentro",IF(DATOS_[[Check Equiparado]:[Check Equiparado]]="Sí",IF(DATOS!AO$5="Sí",(1/DATOS_[[% anualiz]:[% anualiz]]),1)*IF(DATOS!AO$4="Sí",1/DATOS_[[% normaliz]:[% normaliz]],1)*(DATOS_[Conc.Sal.11])))))))),
0)</f>
        <v>0</v>
      </c>
      <c r="U53" s="111">
        <f t="array" ref="U53">IFERROR(
(MEDIAN((IF(DATOS_[[Sexo]:[Sexo]]=$B53,IF(DATOS_[[AGRUP. VALOR. PTO.]:[AGRUP. VALOR. PTO.]]=$B51,IF(DATOS_[[Check Periodo Ref.]:[Check Periodo Ref.]]="Dentro",IF(DATOS_[[Check Equiparado]:[Check Equiparado]]="Sí",IF(DATOS!AP$5="Sí",(1/DATOS_[[% anualiz]:[% anualiz]]),1)*IF(DATOS!AP$4="Sí",1/DATOS_[[% normaliz]:[% normaliz]],1)*(DATOS_[Conc.Sal.12])))))))),
0)</f>
        <v>0</v>
      </c>
      <c r="V53" s="111">
        <f t="array" ref="V53">IFERROR(
(MEDIAN((IF(DATOS_[[Sexo]:[Sexo]]=$B53,IF(DATOS_[[AGRUP. VALOR. PTO.]:[AGRUP. VALOR. PTO.]]=$B51,IF(DATOS_[[Check Periodo Ref.]:[Check Periodo Ref.]]="Dentro",IF(DATOS_[[Check Equiparado]:[Check Equiparado]]="Sí",IF(DATOS!AQ$5="Sí",(1/DATOS_[[% anualiz]:[% anualiz]]),1)*IF(DATOS!AQ$4="Sí",1/DATOS_[[% normaliz]:[% normaliz]],1)*(DATOS_[Conc.Sal.13])))))))),
0)</f>
        <v>0</v>
      </c>
      <c r="W53" s="111">
        <f t="array" ref="W53">IFERROR(
(MEDIAN((IF(DATOS_[[Sexo]:[Sexo]]=$B53,IF(DATOS_[[AGRUP. VALOR. PTO.]:[AGRUP. VALOR. PTO.]]=$B51,IF(DATOS_[[Check Periodo Ref.]:[Check Periodo Ref.]]="Dentro",IF(DATOS_[[Check Equiparado]:[Check Equiparado]]="Sí",IF(DATOS!AR$5="Sí",(1/DATOS_[[% anualiz]:[% anualiz]]),1)*IF(DATOS!AR$4="Sí",1/DATOS_[[% normaliz]:[% normaliz]],1)*(DATOS_[Conc.Sal.14])))))))),
0)</f>
        <v>0</v>
      </c>
      <c r="X53" s="111">
        <f t="array" ref="X53">IFERROR(
(MEDIAN((IF(DATOS_[[Sexo]:[Sexo]]=$B53,IF(DATOS_[[AGRUP. VALOR. PTO.]:[AGRUP. VALOR. PTO.]]=$B51,IF(DATOS_[[Check Periodo Ref.]:[Check Periodo Ref.]]="Dentro",IF(DATOS_[[Check Equiparado]:[Check Equiparado]]="Sí",IF(DATOS!AS$5="Sí",(1/DATOS_[[% anualiz]:[% anualiz]]),1)*IF(DATOS!AS$4="Sí",1/DATOS_[[% normaliz]:[% normaliz]],1)*(DATOS_[Conc.Sal.15])))))))),
0)</f>
        <v>0</v>
      </c>
      <c r="Y53" s="111">
        <f t="array" ref="Y53">IFERROR(
(MEDIAN((IF(DATOS_[[Sexo]:[Sexo]]=$B53,IF(DATOS_[[AGRUP. VALOR. PTO.]:[AGRUP. VALOR. PTO.]]=$B51,IF(DATOS_[[Check Periodo Ref.]:[Check Periodo Ref.]]="Dentro",IF(DATOS_[[Check Equiparado]:[Check Equiparado]]="Sí",IF(DATOS!AT$5="Sí",(1/DATOS_[[% anualiz]:[% anualiz]]),1)*IF(DATOS!AT$4="Sí",1/DATOS_[[% normaliz]:[% normaliz]],1)*(DATOS_[Conc.Sal.16])))))))),
0)</f>
        <v>0</v>
      </c>
      <c r="Z53" s="111">
        <f t="array" ref="Z53">IFERROR(
(MEDIAN((IF(DATOS_[[Sexo]:[Sexo]]=$B53,IF(DATOS_[[AGRUP. VALOR. PTO.]:[AGRUP. VALOR. PTO.]]=$B51,IF(DATOS_[[Check Periodo Ref.]:[Check Periodo Ref.]]="Dentro",IF(DATOS_[[Check Equiparado]:[Check Equiparado]]="Sí",IF(DATOS!AU$5="Sí",(1/DATOS_[[% anualiz]:[% anualiz]]),1)*IF(DATOS!AU$4="Sí",1/DATOS_[[% normaliz]:[% normaliz]],1)*(DATOS_[Conc.Sal.17])))))))),
0)</f>
        <v>0</v>
      </c>
      <c r="AA53" s="111">
        <f t="array" ref="AA53">IFERROR(
(MEDIAN((IF(DATOS_[[Sexo]:[Sexo]]=$B53,IF(DATOS_[[AGRUP. VALOR. PTO.]:[AGRUP. VALOR. PTO.]]=$B51,IF(DATOS_[[Check Periodo Ref.]:[Check Periodo Ref.]]="Dentro",IF(DATOS_[[Check Equiparado]:[Check Equiparado]]="Sí",IF(DATOS!AV$5="Sí",(1/DATOS_[[% anualiz]:[% anualiz]]),1)*IF(DATOS!AV$4="Sí",1/DATOS_[[% normaliz]:[% normaliz]],1)*(DATOS_[Conc.Sal.18])))))))),
0)</f>
        <v>0</v>
      </c>
      <c r="AB53" s="111">
        <f t="array" ref="AB53">IFERROR(
(MEDIAN((IF(DATOS_[[Sexo]:[Sexo]]=$B53,IF(DATOS_[[AGRUP. VALOR. PTO.]:[AGRUP. VALOR. PTO.]]=$B51,IF(DATOS_[[Check Periodo Ref.]:[Check Periodo Ref.]]="Dentro",IF(DATOS_[[Check Equiparado]:[Check Equiparado]]="Sí",IF(DATOS!AW$5="Sí",(1/DATOS_[[% anualiz]:[% anualiz]]),1)*IF(DATOS!AW$4="Sí",1/DATOS_[[% normaliz]:[% normaliz]],1)*(DATOS_[Conc.Sal.19])))))))),
0)</f>
        <v>0</v>
      </c>
      <c r="AC53" s="111">
        <f t="array" ref="AC53">IFERROR(
(MEDIAN((IF(DATOS_[[Sexo]:[Sexo]]=$B53,IF(DATOS_[[AGRUP. VALOR. PTO.]:[AGRUP. VALOR. PTO.]]=$B51,IF(DATOS_[[Check Periodo Ref.]:[Check Periodo Ref.]]="Dentro",IF(DATOS_[[Check Equiparado]:[Check Equiparado]]="Sí",IF(DATOS!AX$5="Sí",(1/DATOS_[[% anualiz]:[% anualiz]]),1)*IF(DATOS!AX$4="Sí",1/DATOS_[[% normaliz]:[% normaliz]],1)*(DATOS_[Conc.Sal.20])))))))),
0)</f>
        <v>0</v>
      </c>
      <c r="AD53" s="111">
        <f t="array" ref="AD53">IFERROR(
(MEDIAN((IF(DATOS_[[Sexo]:[Sexo]]=$B53,IF(DATOS_[[AGRUP. VALOR. PTO.]:[AGRUP. VALOR. PTO.]]=$B51,IF(DATOS_[[Check Periodo Ref.]:[Check Periodo Ref.]]="Dentro",IF(DATOS_[[Check Equiparado]:[Check Equiparado]]="Sí",IF(DATOS!AY$5="Sí",(1/DATOS_[[% anualiz]:[% anualiz]]),1)*IF(DATOS!AY$4="Sí",1/DATOS_[[% normaliz]:[% normaliz]],1)*(DATOS_[Conc.Sal.21])))))))),
0)</f>
        <v>0</v>
      </c>
      <c r="AE53" s="111">
        <f t="array" ref="AE53">IFERROR(
(MEDIAN((IF(DATOS_[[Sexo]:[Sexo]]=$B53,IF(DATOS_[[AGRUP. VALOR. PTO.]:[AGRUP. VALOR. PTO.]]=$B51,IF(DATOS_[[Check Periodo Ref.]:[Check Periodo Ref.]]="Dentro",IF(DATOS_[[Check Equiparado]:[Check Equiparado]]="Sí",IF(DATOS!AZ$5="Sí",(1/DATOS_[[% anualiz]:[% anualiz]]),1)*IF(DATOS!AZ$4="Sí",1/DATOS_[[% normaliz]:[% normaliz]],1)*(DATOS_[Conc.Sal.22])))))))),
0)</f>
        <v>0</v>
      </c>
      <c r="AF53" s="111">
        <f t="array" ref="AF53">IFERROR(
(MEDIAN((IF(DATOS_[[Sexo]:[Sexo]]=$B53,IF(DATOS_[[AGRUP. VALOR. PTO.]:[AGRUP. VALOR. PTO.]]=$B51,IF(DATOS_[[Check Periodo Ref.]:[Check Periodo Ref.]]="Dentro",IF(DATOS_[[Check Equiparado]:[Check Equiparado]]="Sí",IF(DATOS!BA$5="Sí",(1/DATOS_[[% anualiz]:[% anualiz]]),1)*IF(DATOS!BA$4="Sí",1/DATOS_[[% normaliz]:[% normaliz]],1)*(DATOS_[Conc.Sal.23])))))))),
0)</f>
        <v>0</v>
      </c>
      <c r="AG53" s="111">
        <f t="array" ref="AG53">IFERROR(
(MEDIAN((IF(DATOS_[[Sexo]:[Sexo]]=$B53,IF(DATOS_[[AGRUP. VALOR. PTO.]:[AGRUP. VALOR. PTO.]]=$B51,IF(DATOS_[[Check Periodo Ref.]:[Check Periodo Ref.]]="Dentro",IF(DATOS_[[Check Equiparado]:[Check Equiparado]]="Sí",IF(DATOS!BB$5="Sí",(1/DATOS_[[% anualiz]:[% anualiz]]),1)*IF(DATOS!BB$4="Sí",1/DATOS_[[% normaliz]:[% normaliz]],1)*(DATOS_[Conc.Sal.24])))))))),
0)</f>
        <v>0</v>
      </c>
      <c r="AH53" s="111">
        <f t="array" ref="AH53">IFERROR(
(MEDIAN((IF(DATOS_[[Sexo]:[Sexo]]=$B53,IF(DATOS_[[AGRUP. VALOR. PTO.]:[AGRUP. VALOR. PTO.]]=$B51,IF(DATOS_[[Check Periodo Ref.]:[Check Periodo Ref.]]="Dentro",IF(DATOS_[[Check Equiparado]:[Check Equiparado]]="Sí",IF(DATOS!BC$5="Sí",(1/DATOS_[[% anualiz]:[% anualiz]]),1)*IF(DATOS!BC$4="Sí",1/DATOS_[[% normaliz]:[% normaliz]],1)*(DATOS_[Conc.Sal.25])))))))),
0)</f>
        <v>0</v>
      </c>
      <c r="AI53" s="111">
        <f t="array" ref="AI53">IFERROR(
(MEDIAN((IF(DATOS_[[Sexo]:[Sexo]]=$B53,IF(DATOS_[[AGRUP. VALOR. PTO.]:[AGRUP. VALOR. PTO.]]=$B51,IF(DATOS_[[Check Periodo Ref.]:[Check Periodo Ref.]]="Dentro",IF(DATOS_[[Check Equiparado]:[Check Equiparado]]="Sí",IF(DATOS!BD$5="Sí",(1/DATOS_[[% anualiz]:[% anualiz]]),1)*IF(DATOS!BD$4="Sí",1/DATOS_[[% normaliz]:[% normaliz]],1)*(DATOS_[Conc.Sal.26])))))))),
0)</f>
        <v>0</v>
      </c>
      <c r="AJ53" s="111">
        <f t="array" ref="AJ53">IFERROR(
(MEDIAN((IF(DATOS_[[Sexo]:[Sexo]]=$B53,IF(DATOS_[[AGRUP. VALOR. PTO.]:[AGRUP. VALOR. PTO.]]=$B51,IF(DATOS_[[Check Periodo Ref.]:[Check Periodo Ref.]]="Dentro",IF(DATOS_[[Check Equiparado]:[Check Equiparado]]="Sí",IF(DATOS!BE$5="Sí",(1/DATOS_[[% anualiz]:[% anualiz]]),1)*IF(DATOS!BE$4="Sí",1/DATOS_[[% normaliz]:[% normaliz]],1)*(DATOS_[Conc.Sal.27])))))))),
0)</f>
        <v>0</v>
      </c>
      <c r="AK53" s="111">
        <f t="array" ref="AK53">IFERROR(
(MEDIAN((IF(DATOS_[[Sexo]:[Sexo]]=$B53,IF(DATOS_[[AGRUP. VALOR. PTO.]:[AGRUP. VALOR. PTO.]]=$B51,IF(DATOS_[[Check Periodo Ref.]:[Check Periodo Ref.]]="Dentro",IF(DATOS_[[Check Equiparado]:[Check Equiparado]]="Sí",IF(DATOS!BF$5="Sí",(1/DATOS_[[% anualiz]:[% anualiz]]),1)*IF(DATOS!BF$4="Sí",1/DATOS_[[% normaliz]:[% normaliz]],1)*(DATOS_[Conc.Sal.28])))))))),
0)</f>
        <v>0</v>
      </c>
      <c r="AL53" s="111">
        <f t="array" ref="AL53">IFERROR(
(MEDIAN((IF(DATOS_[[Sexo]:[Sexo]]=$B53,IF(DATOS_[[AGRUP. VALOR. PTO.]:[AGRUP. VALOR. PTO.]]=$B51,IF(DATOS_[[Check Periodo Ref.]:[Check Periodo Ref.]]="Dentro",IF(DATOS_[[Check Equiparado]:[Check Equiparado]]="Sí",IF(DATOS!BG$5="Sí",(1/DATOS_[[% anualiz]:[% anualiz]]),1)*IF(DATOS!BG$4="Sí",1/DATOS_[[% normaliz]:[% normaliz]],1)*(DATOS_[Conc.Sal.29])))))))),
0)</f>
        <v>0</v>
      </c>
      <c r="AM53" s="111">
        <f t="array" ref="AM53">IFERROR(
(MEDIAN((IF(DATOS_[[Sexo]:[Sexo]]=$B53,IF(DATOS_[[AGRUP. VALOR. PTO.]:[AGRUP. VALOR. PTO.]]=$B51,IF(DATOS_[[Check Periodo Ref.]:[Check Periodo Ref.]]="Dentro",IF(DATOS_[[Check Equiparado]:[Check Equiparado]]="Sí",IF(DATOS!BH$5="Sí",(1/DATOS_[[% anualiz]:[% anualiz]]),1)*IF(DATOS!BH$4="Sí",1/DATOS_[[% normaliz]:[% normaliz]],1)*(DATOS_[Conc.Sal.30])))))))),
0)</f>
        <v>0</v>
      </c>
      <c r="AN53" s="112">
        <f t="array" ref="AN53">IFERROR(
MEDIAN(IF(DATOS_[Sexo]=$B53,IF(DATOS_[[AGRUP. VALOR. PTO.]:[AGRUP. VALOR. PTO.]]=$B51,IF(DATOS_[Check Equiparado]="Sí",IF(DATOS_[Check Periodo Ref.]="Dentro",DATOS_[Tot COMPL.SAL Eq],FALSE))))),
0)</f>
        <v>0</v>
      </c>
      <c r="AO53" s="113">
        <f t="array" ref="AO53">IFERROR(
MEDIAN(IF(DATOS_[Sexo]=$B53,IF(DATOS_[[AGRUP. VALOR. PTO.]:[AGRUP. VALOR. PTO.]]=$B51,IF(DATOS_[Check Equiparado]="Sí",IF(DATOS_[Check Periodo Ref.]="Dentro",DATOS_[TOTAL SALARIO Eq],FALSE))))),
0)</f>
        <v>0</v>
      </c>
      <c r="AP53" s="114">
        <f t="array" ref="AP53">IFERROR(
(MEDIAN((IF(DATOS_[[Sexo]:[Sexo]]=$B53,IF(DATOS_[[AGRUP. VALOR. PTO.]:[AGRUP. VALOR. PTO.]]=$B52,IF(DATOS_[[Check Periodo Ref.]:[Check Periodo Ref.]]="Dentro",IF(DATOS_[[Check Equiparado]:[Check Equiparado]]="Sí",IF(DATOS!BI$5="Sí",(1/DATOS_[[% anualiz]:[% anualiz]]),1)*IF(DATOS!BI$4="Sí",1/DATOS_[[% normaliz]:[% normaliz]],1)*(DATOS_[C.Extra.01])))))))),
0)</f>
        <v>0</v>
      </c>
      <c r="AQ53" s="114">
        <f t="array" ref="AQ53">IFERROR(
(MEDIAN((IF(DATOS_[[Sexo]:[Sexo]]=$B53,IF(DATOS_[[AGRUP. VALOR. PTO.]:[AGRUP. VALOR. PTO.]]=$B52,IF(DATOS_[[Check Periodo Ref.]:[Check Periodo Ref.]]="Dentro",IF(DATOS_[[Check Equiparado]:[Check Equiparado]]="Sí",IF(DATOS!BJ$5="Sí",(1/DATOS_[[% anualiz]:[% anualiz]]),1)*IF(DATOS!BJ$4="Sí",1/DATOS_[[% normaliz]:[% normaliz]],1)*(DATOS_[C.Extra.02])))))))),
0)</f>
        <v>0</v>
      </c>
      <c r="AR53" s="114">
        <f t="array" ref="AR53">IFERROR(
(MEDIAN((IF(DATOS_[[Sexo]:[Sexo]]=$B53,IF(DATOS_[[AGRUP. VALOR. PTO.]:[AGRUP. VALOR. PTO.]]=$B52,IF(DATOS_[[Check Periodo Ref.]:[Check Periodo Ref.]]="Dentro",IF(DATOS_[[Check Equiparado]:[Check Equiparado]]="Sí",IF(DATOS!BK$5="Sí",(1/DATOS_[[% anualiz]:[% anualiz]]),1)*IF(DATOS!BK$4="Sí",1/DATOS_[[% normaliz]:[% normaliz]],1)*(DATOS_[C.Extra.03])))))))),
0)</f>
        <v>0</v>
      </c>
      <c r="AS53" s="114">
        <f t="array" ref="AS53">IFERROR(
(MEDIAN((IF(DATOS_[[Sexo]:[Sexo]]=$B53,IF(DATOS_[[AGRUP. VALOR. PTO.]:[AGRUP. VALOR. PTO.]]=$B52,IF(DATOS_[[Check Periodo Ref.]:[Check Periodo Ref.]]="Dentro",IF(DATOS_[[Check Equiparado]:[Check Equiparado]]="Sí",IF(DATOS!BL$5="Sí",(1/DATOS_[[% anualiz]:[% anualiz]]),1)*IF(DATOS!BL$4="Sí",1/DATOS_[[% normaliz]:[% normaliz]],1)*(DATOS_[C.Extra.04])))))))),
0)</f>
        <v>0</v>
      </c>
      <c r="AT53" s="114">
        <f t="array" ref="AT53">IFERROR(
(MEDIAN((IF(DATOS_[[Sexo]:[Sexo]]=$B53,IF(DATOS_[[AGRUP. VALOR. PTO.]:[AGRUP. VALOR. PTO.]]=$B52,IF(DATOS_[[Check Periodo Ref.]:[Check Periodo Ref.]]="Dentro",IF(DATOS_[[Check Equiparado]:[Check Equiparado]]="Sí",IF(DATOS!BM$5="Sí",(1/DATOS_[[% anualiz]:[% anualiz]]),1)*IF(DATOS!BM$4="Sí",1/DATOS_[[% normaliz]:[% normaliz]],1)*(DATOS_[C.Extra.05])))))))),
0)</f>
        <v>0</v>
      </c>
      <c r="AU53" s="115">
        <f t="array" ref="AU53">IFERROR(
MEDIAN(IF(DATOS_[Sexo]=$B53,IF(DATOS_[[AGRUP. VALOR. PTO.]:[AGRUP. VALOR. PTO.]]=$B51,IF(DATOS_[Check Equiparado]="Sí",IF(DATOS_[Check Periodo Ref.]="Dentro",DATOS_[Tot Extrasalarial Eq],FALSE))))),
0)</f>
        <v>0</v>
      </c>
      <c r="AV53" s="116">
        <f t="array" ref="AV53">IFERROR(
MEDIAN(IF(DATOS_[Sexo]=$B53,IF(DATOS_[[AGRUP. VALOR. PTO.]:[AGRUP. VALOR. PTO.]]=$B51,IF(DATOS_[Check Equiparado]="Sí",IF(DATOS_[Check Periodo Ref.]="Dentro",DATOS_[TOTAL Retrib Eq],FALSE))))),
0)</f>
        <v>0</v>
      </c>
    </row>
    <row r="54" spans="1:48" ht="17.25" hidden="1" thickBot="1" x14ac:dyDescent="0.35">
      <c r="A54" s="42" t="str">
        <f t="shared" ref="A54" si="55">+A55</f>
        <v>[ocultar]</v>
      </c>
      <c r="B54" s="90" t="s">
        <v>273</v>
      </c>
      <c r="C54" s="109"/>
      <c r="D54" s="41"/>
      <c r="E54" s="41"/>
      <c r="F54" s="41"/>
      <c r="G54" s="41"/>
      <c r="H54" s="41"/>
      <c r="I54" s="119" t="str">
        <f t="shared" ref="I54:AV54" si="56">IFERROR((I55-I56)/I55,"")</f>
        <v/>
      </c>
      <c r="J54" s="123" t="str">
        <f t="shared" si="56"/>
        <v/>
      </c>
      <c r="K54" s="123" t="str">
        <f t="shared" si="56"/>
        <v/>
      </c>
      <c r="L54" s="123" t="str">
        <f t="shared" si="56"/>
        <v/>
      </c>
      <c r="M54" s="123" t="str">
        <f t="shared" si="56"/>
        <v/>
      </c>
      <c r="N54" s="123" t="str">
        <f t="shared" si="56"/>
        <v/>
      </c>
      <c r="O54" s="123" t="str">
        <f t="shared" si="56"/>
        <v/>
      </c>
      <c r="P54" s="123" t="str">
        <f t="shared" si="56"/>
        <v/>
      </c>
      <c r="Q54" s="123" t="str">
        <f t="shared" si="56"/>
        <v/>
      </c>
      <c r="R54" s="123" t="str">
        <f t="shared" si="56"/>
        <v/>
      </c>
      <c r="S54" s="123" t="str">
        <f t="shared" si="56"/>
        <v/>
      </c>
      <c r="T54" s="123" t="str">
        <f t="shared" si="56"/>
        <v/>
      </c>
      <c r="U54" s="123" t="str">
        <f t="shared" si="56"/>
        <v/>
      </c>
      <c r="V54" s="123" t="str">
        <f t="shared" si="56"/>
        <v/>
      </c>
      <c r="W54" s="123" t="str">
        <f t="shared" si="56"/>
        <v/>
      </c>
      <c r="X54" s="123" t="str">
        <f t="shared" si="56"/>
        <v/>
      </c>
      <c r="Y54" s="123" t="str">
        <f t="shared" si="56"/>
        <v/>
      </c>
      <c r="Z54" s="122" t="str">
        <f t="shared" si="56"/>
        <v/>
      </c>
      <c r="AA54" s="122" t="str">
        <f t="shared" si="56"/>
        <v/>
      </c>
      <c r="AB54" s="122" t="str">
        <f t="shared" si="56"/>
        <v/>
      </c>
      <c r="AC54" s="122" t="str">
        <f t="shared" si="56"/>
        <v/>
      </c>
      <c r="AD54" s="122" t="str">
        <f t="shared" si="56"/>
        <v/>
      </c>
      <c r="AE54" s="122" t="str">
        <f t="shared" si="56"/>
        <v/>
      </c>
      <c r="AF54" s="122" t="str">
        <f t="shared" si="56"/>
        <v/>
      </c>
      <c r="AG54" s="122" t="str">
        <f t="shared" si="56"/>
        <v/>
      </c>
      <c r="AH54" s="122" t="str">
        <f t="shared" si="56"/>
        <v/>
      </c>
      <c r="AI54" s="122" t="str">
        <f t="shared" si="56"/>
        <v/>
      </c>
      <c r="AJ54" s="122" t="str">
        <f t="shared" si="56"/>
        <v/>
      </c>
      <c r="AK54" s="122" t="str">
        <f t="shared" si="56"/>
        <v/>
      </c>
      <c r="AL54" s="122" t="str">
        <f t="shared" si="56"/>
        <v/>
      </c>
      <c r="AM54" s="122" t="str">
        <f t="shared" si="56"/>
        <v/>
      </c>
      <c r="AN54" s="124" t="str">
        <f t="shared" si="56"/>
        <v/>
      </c>
      <c r="AO54" s="128" t="str">
        <f t="shared" si="56"/>
        <v/>
      </c>
      <c r="AP54" s="125" t="str">
        <f t="shared" si="56"/>
        <v/>
      </c>
      <c r="AQ54" s="125" t="str">
        <f t="shared" si="56"/>
        <v/>
      </c>
      <c r="AR54" s="125" t="str">
        <f t="shared" si="56"/>
        <v/>
      </c>
      <c r="AS54" s="125" t="str">
        <f t="shared" si="56"/>
        <v/>
      </c>
      <c r="AT54" s="125" t="str">
        <f t="shared" si="56"/>
        <v/>
      </c>
      <c r="AU54" s="126" t="str">
        <f t="shared" si="56"/>
        <v/>
      </c>
      <c r="AV54" s="127" t="str">
        <f t="shared" si="56"/>
        <v/>
      </c>
    </row>
    <row r="55" spans="1:48" hidden="1" x14ac:dyDescent="0.3">
      <c r="A55" s="42" t="str">
        <f t="shared" ref="A55" si="57">+IF(C55+C56=0,"[ocultar]","")</f>
        <v>[ocultar]</v>
      </c>
      <c r="B55" s="86" t="s">
        <v>162</v>
      </c>
      <c r="C55" s="33">
        <f t="array" ref="C55">SUM(IF($B55=DATOS_[Sexo],
IF($B54=DATOS_[AGRUP. VALOR. PTO.],
IF("Dentro"=DATOS_[Check Periodo Ref.],
1/(COUNTIFS(DATOS_[Sexo],$B55,DATOS_[AGRUP. VALOR. PTO.],$B54,DATOS_[Check Periodo Ref.],"Dentro",DATOS_[id],DATOS_[id]))))))</f>
        <v>0</v>
      </c>
      <c r="D55" s="35">
        <f>COUNTIFS(DATOS_[AGRUP. VALOR. PTO.],$B54,DATOS_[Sexo],$B55,DATOS_[Check Periodo Ref.],"Dentro")</f>
        <v>0</v>
      </c>
      <c r="E55" s="35">
        <f>COUNTIFS(DATOS_[AGRUP. VALOR. PTO.],$B54,DATOS_[Sexo],$B55,DATOS_[Check Periodo Ref.],"Dentro",DATOS_[Check Nº SC Norm],"Sí")</f>
        <v>0</v>
      </c>
      <c r="F55" s="35">
        <f>COUNTIFS(DATOS_[AGRUP. VALOR. PTO.],$B54,DATOS_[Sexo],$B55,DATOS_[Check Periodo Ref.],"Dentro",DATOS_[Check Nº SC Anualiz],"Sí")</f>
        <v>0</v>
      </c>
      <c r="G55" s="35">
        <f>COUNTIFS(DATOS_[AGRUP. VALOR. PTO.],$B54,DATOS_[Sexo],$B55,DATOS_[Check Periodo Ref.],"Dentro",DATOS_[Check Nº SC Norm y Anualiz],"Sí")</f>
        <v>0</v>
      </c>
      <c r="H55" s="35">
        <f>COUNTIFS(DATOS_[AGRUP. VALOR. PTO.],$B54,DATOS_[Sexo],$B55,DATOS_[Check Periodo Ref.],"Dentro",DATOS_[Check Equiparación],"Sí")</f>
        <v>0</v>
      </c>
      <c r="I55" s="110">
        <f t="array" ref="I55">IFERROR(
MEDIAN(IF(DATOS_[Sexo]=$B55,IF(DATOS_[[AGRUP. VALOR. PTO.]:[AGRUP. VALOR. PTO.]]=$B54,IF(DATOS_[Check Equiparado]="Sí",IF(DATOS_[Check Periodo Ref.]="Dentro",DATOS_[SALARIO BASE Eq],FALSE))))),
0)</f>
        <v>0</v>
      </c>
      <c r="J55" s="111">
        <f t="array" ref="J55">IFERROR(
(MEDIAN((IF(DATOS_[[Sexo]:[Sexo]]=$B55,IF(DATOS_[[AGRUP. VALOR. PTO.]:[AGRUP. VALOR. PTO.]]=$B54,IF(DATOS_[[Check Periodo Ref.]:[Check Periodo Ref.]]="Dentro",IF(DATOS_[[Check Equiparado]:[Check Equiparado]]="Sí",IF(DATOS!AE$5="Sí",(1/DATOS_[[% anualiz]:[% anualiz]]),1)*IF(DATOS!AE$4="Sí",1/DATOS_[[% normaliz]:[% normaliz]],1)*(DATOS_[Conc.Sal.01])))))))),
0)</f>
        <v>0</v>
      </c>
      <c r="K55" s="111">
        <f t="array" ref="K55">IFERROR(
(MEDIAN((IF(DATOS_[[Sexo]:[Sexo]]=$B55,IF(DATOS_[[AGRUP. VALOR. PTO.]:[AGRUP. VALOR. PTO.]]=$B54,IF(DATOS_[[Check Periodo Ref.]:[Check Periodo Ref.]]="Dentro",IF(DATOS_[[Check Equiparado]:[Check Equiparado]]="Sí",IF(DATOS!AF$5="Sí",(1/DATOS_[[% anualiz]:[% anualiz]]),1)*IF(DATOS!AF$4="Sí",1/DATOS_[[% normaliz]:[% normaliz]],1)*(DATOS_[Conc.Sal.02])))))))),
0)</f>
        <v>0</v>
      </c>
      <c r="L55" s="111">
        <f t="array" ref="L55">IFERROR(
(MEDIAN((IF(DATOS_[[Sexo]:[Sexo]]=$B55,IF(DATOS_[[AGRUP. VALOR. PTO.]:[AGRUP. VALOR. PTO.]]=$B54,IF(DATOS_[[Check Periodo Ref.]:[Check Periodo Ref.]]="Dentro",IF(DATOS_[[Check Equiparado]:[Check Equiparado]]="Sí",IF(DATOS!AG$5="Sí",(1/DATOS_[[% anualiz]:[% anualiz]]),1)*IF(DATOS!AG$4="Sí",1/DATOS_[[% normaliz]:[% normaliz]],1)*(DATOS_[Conc.Sal.03])))))))),
0)</f>
        <v>0</v>
      </c>
      <c r="M55" s="111">
        <f t="array" ref="M55">IFERROR(
(MEDIAN((IF(DATOS_[[Sexo]:[Sexo]]=$B55,IF(DATOS_[[AGRUP. VALOR. PTO.]:[AGRUP. VALOR. PTO.]]=$B54,IF(DATOS_[[Check Periodo Ref.]:[Check Periodo Ref.]]="Dentro",IF(DATOS_[[Check Equiparado]:[Check Equiparado]]="Sí",IF(DATOS!AH$5="Sí",(1/DATOS_[[% anualiz]:[% anualiz]]),1)*IF(DATOS!AH$4="Sí",1/DATOS_[[% normaliz]:[% normaliz]],1)*(DATOS_[Conc.Sal.04])))))))),
0)</f>
        <v>0</v>
      </c>
      <c r="N55" s="111">
        <f t="array" ref="N55">IFERROR(
(MEDIAN((IF(DATOS_[[Sexo]:[Sexo]]=$B55,IF(DATOS_[[AGRUP. VALOR. PTO.]:[AGRUP. VALOR. PTO.]]=$B54,IF(DATOS_[[Check Periodo Ref.]:[Check Periodo Ref.]]="Dentro",IF(DATOS_[[Check Equiparado]:[Check Equiparado]]="Sí",IF(DATOS!AI$5="Sí",(1/DATOS_[[% anualiz]:[% anualiz]]),1)*IF(DATOS!AI$4="Sí",1/DATOS_[[% normaliz]:[% normaliz]],1)*(DATOS_[Conc.Sal.05])))))))),
0)</f>
        <v>0</v>
      </c>
      <c r="O55" s="111">
        <f t="array" ref="O55">IFERROR(
(MEDIAN((IF(DATOS_[[Sexo]:[Sexo]]=$B55,IF(DATOS_[[AGRUP. VALOR. PTO.]:[AGRUP. VALOR. PTO.]]=$B54,IF(DATOS_[[Check Periodo Ref.]:[Check Periodo Ref.]]="Dentro",IF(DATOS_[[Check Equiparado]:[Check Equiparado]]="Sí",IF(DATOS!AJ$5="Sí",(1/DATOS_[[% anualiz]:[% anualiz]]),1)*IF(DATOS!AJ$4="Sí",1/DATOS_[[% normaliz]:[% normaliz]],1)*(DATOS_[Conc.Sal.06])))))))),
0)</f>
        <v>0</v>
      </c>
      <c r="P55" s="111">
        <f t="array" ref="P55">IFERROR(
(MEDIAN((IF(DATOS_[[Sexo]:[Sexo]]=$B55,IF(DATOS_[[AGRUP. VALOR. PTO.]:[AGRUP. VALOR. PTO.]]=$B54,IF(DATOS_[[Check Periodo Ref.]:[Check Periodo Ref.]]="Dentro",IF(DATOS_[[Check Equiparado]:[Check Equiparado]]="Sí",IF(DATOS!AK$5="Sí",(1/DATOS_[[% anualiz]:[% anualiz]]),1)*IF(DATOS!AK$4="Sí",1/DATOS_[[% normaliz]:[% normaliz]],1)*(DATOS_[Conc.Sal.07])))))))),
0)</f>
        <v>0</v>
      </c>
      <c r="Q55" s="111">
        <f t="array" ref="Q55">IFERROR(
(MEDIAN((IF(DATOS_[[Sexo]:[Sexo]]=$B55,IF(DATOS_[[AGRUP. VALOR. PTO.]:[AGRUP. VALOR. PTO.]]=$B54,IF(DATOS_[[Check Periodo Ref.]:[Check Periodo Ref.]]="Dentro",IF(DATOS_[[Check Equiparado]:[Check Equiparado]]="Sí",IF(DATOS!AL$5="Sí",(1/DATOS_[[% anualiz]:[% anualiz]]),1)*IF(DATOS!AL$4="Sí",1/DATOS_[[% normaliz]:[% normaliz]],1)*(DATOS_[Conc.Sal.08])))))))),
0)</f>
        <v>0</v>
      </c>
      <c r="R55" s="111">
        <f t="array" ref="R55">IFERROR(
(MEDIAN((IF(DATOS_[[Sexo]:[Sexo]]=$B55,IF(DATOS_[[AGRUP. VALOR. PTO.]:[AGRUP. VALOR. PTO.]]=$B54,IF(DATOS_[[Check Periodo Ref.]:[Check Periodo Ref.]]="Dentro",IF(DATOS_[[Check Equiparado]:[Check Equiparado]]="Sí",IF(DATOS!AM$5="Sí",(1/DATOS_[[% anualiz]:[% anualiz]]),1)*IF(DATOS!AM$4="Sí",1/DATOS_[[% normaliz]:[% normaliz]],1)*(DATOS_[Conc.Sal.09])))))))),
0)</f>
        <v>0</v>
      </c>
      <c r="S55" s="111">
        <f t="array" ref="S55">IFERROR(
(MEDIAN((IF(DATOS_[[Sexo]:[Sexo]]=$B55,IF(DATOS_[[AGRUP. VALOR. PTO.]:[AGRUP. VALOR. PTO.]]=$B54,IF(DATOS_[[Check Periodo Ref.]:[Check Periodo Ref.]]="Dentro",IF(DATOS_[[Check Equiparado]:[Check Equiparado]]="Sí",IF(DATOS!AN$5="Sí",(1/DATOS_[[% anualiz]:[% anualiz]]),1)*IF(DATOS!AN$4="Sí",1/DATOS_[[% normaliz]:[% normaliz]],1)*(DATOS_[Conc.Sal.10])))))))),
0)</f>
        <v>0</v>
      </c>
      <c r="T55" s="111">
        <f t="array" ref="T55">IFERROR(
(MEDIAN((IF(DATOS_[[Sexo]:[Sexo]]=$B55,IF(DATOS_[[AGRUP. VALOR. PTO.]:[AGRUP. VALOR. PTO.]]=$B54,IF(DATOS_[[Check Periodo Ref.]:[Check Periodo Ref.]]="Dentro",IF(DATOS_[[Check Equiparado]:[Check Equiparado]]="Sí",IF(DATOS!AO$5="Sí",(1/DATOS_[[% anualiz]:[% anualiz]]),1)*IF(DATOS!AO$4="Sí",1/DATOS_[[% normaliz]:[% normaliz]],1)*(DATOS_[Conc.Sal.11])))))))),
0)</f>
        <v>0</v>
      </c>
      <c r="U55" s="111">
        <f t="array" ref="U55">IFERROR(
(MEDIAN((IF(DATOS_[[Sexo]:[Sexo]]=$B55,IF(DATOS_[[AGRUP. VALOR. PTO.]:[AGRUP. VALOR. PTO.]]=$B54,IF(DATOS_[[Check Periodo Ref.]:[Check Periodo Ref.]]="Dentro",IF(DATOS_[[Check Equiparado]:[Check Equiparado]]="Sí",IF(DATOS!AP$5="Sí",(1/DATOS_[[% anualiz]:[% anualiz]]),1)*IF(DATOS!AP$4="Sí",1/DATOS_[[% normaliz]:[% normaliz]],1)*(DATOS_[Conc.Sal.12])))))))),
0)</f>
        <v>0</v>
      </c>
      <c r="V55" s="111">
        <f t="array" ref="V55">IFERROR(
(MEDIAN((IF(DATOS_[[Sexo]:[Sexo]]=$B55,IF(DATOS_[[AGRUP. VALOR. PTO.]:[AGRUP. VALOR. PTO.]]=$B54,IF(DATOS_[[Check Periodo Ref.]:[Check Periodo Ref.]]="Dentro",IF(DATOS_[[Check Equiparado]:[Check Equiparado]]="Sí",IF(DATOS!AQ$5="Sí",(1/DATOS_[[% anualiz]:[% anualiz]]),1)*IF(DATOS!AQ$4="Sí",1/DATOS_[[% normaliz]:[% normaliz]],1)*(DATOS_[Conc.Sal.13])))))))),
0)</f>
        <v>0</v>
      </c>
      <c r="W55" s="111">
        <f t="array" ref="W55">IFERROR(
(MEDIAN((IF(DATOS_[[Sexo]:[Sexo]]=$B55,IF(DATOS_[[AGRUP. VALOR. PTO.]:[AGRUP. VALOR. PTO.]]=$B54,IF(DATOS_[[Check Periodo Ref.]:[Check Periodo Ref.]]="Dentro",IF(DATOS_[[Check Equiparado]:[Check Equiparado]]="Sí",IF(DATOS!AR$5="Sí",(1/DATOS_[[% anualiz]:[% anualiz]]),1)*IF(DATOS!AR$4="Sí",1/DATOS_[[% normaliz]:[% normaliz]],1)*(DATOS_[Conc.Sal.14])))))))),
0)</f>
        <v>0</v>
      </c>
      <c r="X55" s="111">
        <f t="array" ref="X55">IFERROR(
(MEDIAN((IF(DATOS_[[Sexo]:[Sexo]]=$B55,IF(DATOS_[[AGRUP. VALOR. PTO.]:[AGRUP. VALOR. PTO.]]=$B54,IF(DATOS_[[Check Periodo Ref.]:[Check Periodo Ref.]]="Dentro",IF(DATOS_[[Check Equiparado]:[Check Equiparado]]="Sí",IF(DATOS!AS$5="Sí",(1/DATOS_[[% anualiz]:[% anualiz]]),1)*IF(DATOS!AS$4="Sí",1/DATOS_[[% normaliz]:[% normaliz]],1)*(DATOS_[Conc.Sal.15])))))))),
0)</f>
        <v>0</v>
      </c>
      <c r="Y55" s="111">
        <f t="array" ref="Y55">IFERROR(
(MEDIAN((IF(DATOS_[[Sexo]:[Sexo]]=$B55,IF(DATOS_[[AGRUP. VALOR. PTO.]:[AGRUP. VALOR. PTO.]]=$B54,IF(DATOS_[[Check Periodo Ref.]:[Check Periodo Ref.]]="Dentro",IF(DATOS_[[Check Equiparado]:[Check Equiparado]]="Sí",IF(DATOS!AT$5="Sí",(1/DATOS_[[% anualiz]:[% anualiz]]),1)*IF(DATOS!AT$4="Sí",1/DATOS_[[% normaliz]:[% normaliz]],1)*(DATOS_[Conc.Sal.16])))))))),
0)</f>
        <v>0</v>
      </c>
      <c r="Z55" s="111">
        <f t="array" ref="Z55">IFERROR(
(MEDIAN((IF(DATOS_[[Sexo]:[Sexo]]=$B55,IF(DATOS_[[AGRUP. VALOR. PTO.]:[AGRUP. VALOR. PTO.]]=$B54,IF(DATOS_[[Check Periodo Ref.]:[Check Periodo Ref.]]="Dentro",IF(DATOS_[[Check Equiparado]:[Check Equiparado]]="Sí",IF(DATOS!AU$5="Sí",(1/DATOS_[[% anualiz]:[% anualiz]]),1)*IF(DATOS!AU$4="Sí",1/DATOS_[[% normaliz]:[% normaliz]],1)*(DATOS_[Conc.Sal.17])))))))),
0)</f>
        <v>0</v>
      </c>
      <c r="AA55" s="111">
        <f t="array" ref="AA55">IFERROR(
(MEDIAN((IF(DATOS_[[Sexo]:[Sexo]]=$B55,IF(DATOS_[[AGRUP. VALOR. PTO.]:[AGRUP. VALOR. PTO.]]=$B54,IF(DATOS_[[Check Periodo Ref.]:[Check Periodo Ref.]]="Dentro",IF(DATOS_[[Check Equiparado]:[Check Equiparado]]="Sí",IF(DATOS!AV$5="Sí",(1/DATOS_[[% anualiz]:[% anualiz]]),1)*IF(DATOS!AV$4="Sí",1/DATOS_[[% normaliz]:[% normaliz]],1)*(DATOS_[Conc.Sal.18])))))))),
0)</f>
        <v>0</v>
      </c>
      <c r="AB55" s="111">
        <f t="array" ref="AB55">IFERROR(
(MEDIAN((IF(DATOS_[[Sexo]:[Sexo]]=$B55,IF(DATOS_[[AGRUP. VALOR. PTO.]:[AGRUP. VALOR. PTO.]]=$B54,IF(DATOS_[[Check Periodo Ref.]:[Check Periodo Ref.]]="Dentro",IF(DATOS_[[Check Equiparado]:[Check Equiparado]]="Sí",IF(DATOS!AW$5="Sí",(1/DATOS_[[% anualiz]:[% anualiz]]),1)*IF(DATOS!AW$4="Sí",1/DATOS_[[% normaliz]:[% normaliz]],1)*(DATOS_[Conc.Sal.19])))))))),
0)</f>
        <v>0</v>
      </c>
      <c r="AC55" s="111">
        <f t="array" ref="AC55">IFERROR(
(MEDIAN((IF(DATOS_[[Sexo]:[Sexo]]=$B55,IF(DATOS_[[AGRUP. VALOR. PTO.]:[AGRUP. VALOR. PTO.]]=$B54,IF(DATOS_[[Check Periodo Ref.]:[Check Periodo Ref.]]="Dentro",IF(DATOS_[[Check Equiparado]:[Check Equiparado]]="Sí",IF(DATOS!AX$5="Sí",(1/DATOS_[[% anualiz]:[% anualiz]]),1)*IF(DATOS!AX$4="Sí",1/DATOS_[[% normaliz]:[% normaliz]],1)*(DATOS_[Conc.Sal.20])))))))),
0)</f>
        <v>0</v>
      </c>
      <c r="AD55" s="111">
        <f t="array" ref="AD55">IFERROR(
(MEDIAN((IF(DATOS_[[Sexo]:[Sexo]]=$B55,IF(DATOS_[[AGRUP. VALOR. PTO.]:[AGRUP. VALOR. PTO.]]=$B54,IF(DATOS_[[Check Periodo Ref.]:[Check Periodo Ref.]]="Dentro",IF(DATOS_[[Check Equiparado]:[Check Equiparado]]="Sí",IF(DATOS!AY$5="Sí",(1/DATOS_[[% anualiz]:[% anualiz]]),1)*IF(DATOS!AY$4="Sí",1/DATOS_[[% normaliz]:[% normaliz]],1)*(DATOS_[Conc.Sal.21])))))))),
0)</f>
        <v>0</v>
      </c>
      <c r="AE55" s="111">
        <f t="array" ref="AE55">IFERROR(
(MEDIAN((IF(DATOS_[[Sexo]:[Sexo]]=$B55,IF(DATOS_[[AGRUP. VALOR. PTO.]:[AGRUP. VALOR. PTO.]]=$B54,IF(DATOS_[[Check Periodo Ref.]:[Check Periodo Ref.]]="Dentro",IF(DATOS_[[Check Equiparado]:[Check Equiparado]]="Sí",IF(DATOS!AZ$5="Sí",(1/DATOS_[[% anualiz]:[% anualiz]]),1)*IF(DATOS!AZ$4="Sí",1/DATOS_[[% normaliz]:[% normaliz]],1)*(DATOS_[Conc.Sal.22])))))))),
0)</f>
        <v>0</v>
      </c>
      <c r="AF55" s="111">
        <f t="array" ref="AF55">IFERROR(
(MEDIAN((IF(DATOS_[[Sexo]:[Sexo]]=$B55,IF(DATOS_[[AGRUP. VALOR. PTO.]:[AGRUP. VALOR. PTO.]]=$B54,IF(DATOS_[[Check Periodo Ref.]:[Check Periodo Ref.]]="Dentro",IF(DATOS_[[Check Equiparado]:[Check Equiparado]]="Sí",IF(DATOS!BA$5="Sí",(1/DATOS_[[% anualiz]:[% anualiz]]),1)*IF(DATOS!BA$4="Sí",1/DATOS_[[% normaliz]:[% normaliz]],1)*(DATOS_[Conc.Sal.23])))))))),
0)</f>
        <v>0</v>
      </c>
      <c r="AG55" s="111">
        <f t="array" ref="AG55">IFERROR(
(MEDIAN((IF(DATOS_[[Sexo]:[Sexo]]=$B55,IF(DATOS_[[AGRUP. VALOR. PTO.]:[AGRUP. VALOR. PTO.]]=$B54,IF(DATOS_[[Check Periodo Ref.]:[Check Periodo Ref.]]="Dentro",IF(DATOS_[[Check Equiparado]:[Check Equiparado]]="Sí",IF(DATOS!BB$5="Sí",(1/DATOS_[[% anualiz]:[% anualiz]]),1)*IF(DATOS!BB$4="Sí",1/DATOS_[[% normaliz]:[% normaliz]],1)*(DATOS_[Conc.Sal.24])))))))),
0)</f>
        <v>0</v>
      </c>
      <c r="AH55" s="111">
        <f t="array" ref="AH55">IFERROR(
(MEDIAN((IF(DATOS_[[Sexo]:[Sexo]]=$B55,IF(DATOS_[[AGRUP. VALOR. PTO.]:[AGRUP. VALOR. PTO.]]=$B54,IF(DATOS_[[Check Periodo Ref.]:[Check Periodo Ref.]]="Dentro",IF(DATOS_[[Check Equiparado]:[Check Equiparado]]="Sí",IF(DATOS!BC$5="Sí",(1/DATOS_[[% anualiz]:[% anualiz]]),1)*IF(DATOS!BC$4="Sí",1/DATOS_[[% normaliz]:[% normaliz]],1)*(DATOS_[Conc.Sal.25])))))))),
0)</f>
        <v>0</v>
      </c>
      <c r="AI55" s="111">
        <f t="array" ref="AI55">IFERROR(
(MEDIAN((IF(DATOS_[[Sexo]:[Sexo]]=$B55,IF(DATOS_[[AGRUP. VALOR. PTO.]:[AGRUP. VALOR. PTO.]]=$B54,IF(DATOS_[[Check Periodo Ref.]:[Check Periodo Ref.]]="Dentro",IF(DATOS_[[Check Equiparado]:[Check Equiparado]]="Sí",IF(DATOS!BD$5="Sí",(1/DATOS_[[% anualiz]:[% anualiz]]),1)*IF(DATOS!BD$4="Sí",1/DATOS_[[% normaliz]:[% normaliz]],1)*(DATOS_[Conc.Sal.26])))))))),
0)</f>
        <v>0</v>
      </c>
      <c r="AJ55" s="111">
        <f t="array" ref="AJ55">IFERROR(
(MEDIAN((IF(DATOS_[[Sexo]:[Sexo]]=$B55,IF(DATOS_[[AGRUP. VALOR. PTO.]:[AGRUP. VALOR. PTO.]]=$B54,IF(DATOS_[[Check Periodo Ref.]:[Check Periodo Ref.]]="Dentro",IF(DATOS_[[Check Equiparado]:[Check Equiparado]]="Sí",IF(DATOS!BE$5="Sí",(1/DATOS_[[% anualiz]:[% anualiz]]),1)*IF(DATOS!BE$4="Sí",1/DATOS_[[% normaliz]:[% normaliz]],1)*(DATOS_[Conc.Sal.27])))))))),
0)</f>
        <v>0</v>
      </c>
      <c r="AK55" s="111">
        <f t="array" ref="AK55">IFERROR(
(MEDIAN((IF(DATOS_[[Sexo]:[Sexo]]=$B55,IF(DATOS_[[AGRUP. VALOR. PTO.]:[AGRUP. VALOR. PTO.]]=$B54,IF(DATOS_[[Check Periodo Ref.]:[Check Periodo Ref.]]="Dentro",IF(DATOS_[[Check Equiparado]:[Check Equiparado]]="Sí",IF(DATOS!BF$5="Sí",(1/DATOS_[[% anualiz]:[% anualiz]]),1)*IF(DATOS!BF$4="Sí",1/DATOS_[[% normaliz]:[% normaliz]],1)*(DATOS_[Conc.Sal.28])))))))),
0)</f>
        <v>0</v>
      </c>
      <c r="AL55" s="111">
        <f t="array" ref="AL55">IFERROR(
(MEDIAN((IF(DATOS_[[Sexo]:[Sexo]]=$B55,IF(DATOS_[[AGRUP. VALOR. PTO.]:[AGRUP. VALOR. PTO.]]=$B54,IF(DATOS_[[Check Periodo Ref.]:[Check Periodo Ref.]]="Dentro",IF(DATOS_[[Check Equiparado]:[Check Equiparado]]="Sí",IF(DATOS!BG$5="Sí",(1/DATOS_[[% anualiz]:[% anualiz]]),1)*IF(DATOS!BG$4="Sí",1/DATOS_[[% normaliz]:[% normaliz]],1)*(DATOS_[Conc.Sal.29])))))))),
0)</f>
        <v>0</v>
      </c>
      <c r="AM55" s="111">
        <f t="array" ref="AM55">IFERROR(
(MEDIAN((IF(DATOS_[[Sexo]:[Sexo]]=$B55,IF(DATOS_[[AGRUP. VALOR. PTO.]:[AGRUP. VALOR. PTO.]]=$B54,IF(DATOS_[[Check Periodo Ref.]:[Check Periodo Ref.]]="Dentro",IF(DATOS_[[Check Equiparado]:[Check Equiparado]]="Sí",IF(DATOS!BH$5="Sí",(1/DATOS_[[% anualiz]:[% anualiz]]),1)*IF(DATOS!BH$4="Sí",1/DATOS_[[% normaliz]:[% normaliz]],1)*(DATOS_[Conc.Sal.30])))))))),
0)</f>
        <v>0</v>
      </c>
      <c r="AN55" s="112">
        <f t="array" ref="AN55">IFERROR(
MEDIAN(IF(DATOS_[Sexo]=$B55,IF(DATOS_[[AGRUP. VALOR. PTO.]:[AGRUP. VALOR. PTO.]]=$B54,IF(DATOS_[Check Equiparado]="Sí",IF(DATOS_[Check Periodo Ref.]="Dentro",DATOS_[Tot COMPL.SAL Eq],FALSE))))),
0)</f>
        <v>0</v>
      </c>
      <c r="AO55" s="113">
        <f t="array" ref="AO55">IFERROR(
MEDIAN(IF(DATOS_[Sexo]=$B55,IF(DATOS_[[AGRUP. VALOR. PTO.]:[AGRUP. VALOR. PTO.]]=$B54,IF(DATOS_[Check Equiparado]="Sí",IF(DATOS_[Check Periodo Ref.]="Dentro",DATOS_[TOTAL SALARIO Eq],FALSE))))),
0)</f>
        <v>0</v>
      </c>
      <c r="AP55" s="114">
        <f t="array" ref="AP55">IFERROR(
(MEDIAN((IF(DATOS_[[Sexo]:[Sexo]]=$B55,IF(DATOS_[[AGRUP. VALOR. PTO.]:[AGRUP. VALOR. PTO.]]=$B54,IF(DATOS_[[Check Periodo Ref.]:[Check Periodo Ref.]]="Dentro",IF(DATOS_[[Check Equiparado]:[Check Equiparado]]="Sí",IF(DATOS!BI$5="Sí",(1/DATOS_[[% anualiz]:[% anualiz]]),1)*IF(DATOS!BI$4="Sí",1/DATOS_[[% normaliz]:[% normaliz]],1)*(DATOS_[C.Extra.01])))))))),
0)</f>
        <v>0</v>
      </c>
      <c r="AQ55" s="114">
        <f t="array" ref="AQ55">IFERROR(
(MEDIAN((IF(DATOS_[[Sexo]:[Sexo]]=$B55,IF(DATOS_[[AGRUP. VALOR. PTO.]:[AGRUP. VALOR. PTO.]]=$B54,IF(DATOS_[[Check Periodo Ref.]:[Check Periodo Ref.]]="Dentro",IF(DATOS_[[Check Equiparado]:[Check Equiparado]]="Sí",IF(DATOS!BJ$5="Sí",(1/DATOS_[[% anualiz]:[% anualiz]]),1)*IF(DATOS!BJ$4="Sí",1/DATOS_[[% normaliz]:[% normaliz]],1)*(DATOS_[C.Extra.02])))))))),
0)</f>
        <v>0</v>
      </c>
      <c r="AR55" s="114">
        <f t="array" ref="AR55">IFERROR(
(MEDIAN((IF(DATOS_[[Sexo]:[Sexo]]=$B55,IF(DATOS_[[AGRUP. VALOR. PTO.]:[AGRUP. VALOR. PTO.]]=$B54,IF(DATOS_[[Check Periodo Ref.]:[Check Periodo Ref.]]="Dentro",IF(DATOS_[[Check Equiparado]:[Check Equiparado]]="Sí",IF(DATOS!BK$5="Sí",(1/DATOS_[[% anualiz]:[% anualiz]]),1)*IF(DATOS!BK$4="Sí",1/DATOS_[[% normaliz]:[% normaliz]],1)*(DATOS_[C.Extra.03])))))))),
0)</f>
        <v>0</v>
      </c>
      <c r="AS55" s="114">
        <f t="array" ref="AS55">IFERROR(
(MEDIAN((IF(DATOS_[[Sexo]:[Sexo]]=$B55,IF(DATOS_[[AGRUP. VALOR. PTO.]:[AGRUP. VALOR. PTO.]]=$B54,IF(DATOS_[[Check Periodo Ref.]:[Check Periodo Ref.]]="Dentro",IF(DATOS_[[Check Equiparado]:[Check Equiparado]]="Sí",IF(DATOS!BL$5="Sí",(1/DATOS_[[% anualiz]:[% anualiz]]),1)*IF(DATOS!BL$4="Sí",1/DATOS_[[% normaliz]:[% normaliz]],1)*(DATOS_[C.Extra.04])))))))),
0)</f>
        <v>0</v>
      </c>
      <c r="AT55" s="114">
        <f t="array" ref="AT55">IFERROR(
(MEDIAN((IF(DATOS_[[Sexo]:[Sexo]]=$B55,IF(DATOS_[[AGRUP. VALOR. PTO.]:[AGRUP. VALOR. PTO.]]=$B54,IF(DATOS_[[Check Periodo Ref.]:[Check Periodo Ref.]]="Dentro",IF(DATOS_[[Check Equiparado]:[Check Equiparado]]="Sí",IF(DATOS!BM$5="Sí",(1/DATOS_[[% anualiz]:[% anualiz]]),1)*IF(DATOS!BM$4="Sí",1/DATOS_[[% normaliz]:[% normaliz]],1)*(DATOS_[C.Extra.05])))))))),
0)</f>
        <v>0</v>
      </c>
      <c r="AU55" s="115">
        <f t="array" ref="AU55">IFERROR(
MEDIAN(IF(DATOS_[Sexo]=$B55,IF(DATOS_[[AGRUP. VALOR. PTO.]:[AGRUP. VALOR. PTO.]]=$B54,IF(DATOS_[Check Equiparado]="Sí",IF(DATOS_[Check Periodo Ref.]="Dentro",DATOS_[Tot Extrasalarial Eq],FALSE))))),
0)</f>
        <v>0</v>
      </c>
      <c r="AV55" s="116">
        <f t="array" ref="AV55">IFERROR(
MEDIAN(IF(DATOS_[Sexo]=$B55,IF(DATOS_[[AGRUP. VALOR. PTO.]:[AGRUP. VALOR. PTO.]]=$B54,IF(DATOS_[Check Equiparado]="Sí",IF(DATOS_[Check Periodo Ref.]="Dentro",DATOS_[TOTAL Retrib Eq],FALSE))))),
0)</f>
        <v>0</v>
      </c>
    </row>
    <row r="56" spans="1:48" hidden="1" x14ac:dyDescent="0.3">
      <c r="A56" s="42" t="str">
        <f t="shared" ref="A56" si="58">+A55</f>
        <v>[ocultar]</v>
      </c>
      <c r="B56" s="86" t="s">
        <v>163</v>
      </c>
      <c r="C56" s="33">
        <f t="array" ref="C56">SUM(IF($B56=DATOS_[Sexo],
IF($B54=DATOS_[AGRUP. VALOR. PTO.],
IF("Dentro"=DATOS_[Check Periodo Ref.],
1/(COUNTIFS(DATOS_[Sexo],$B56,DATOS_[AGRUP. VALOR. PTO.],$B54,DATOS_[Check Periodo Ref.],"Dentro",DATOS_[id],DATOS_[id]))))))</f>
        <v>0</v>
      </c>
      <c r="D56" s="35">
        <f>COUNTIFS(DATOS_[AGRUP. VALOR. PTO.],$B54,DATOS_[Sexo],$B56,DATOS_[Check Periodo Ref.],"Dentro")</f>
        <v>0</v>
      </c>
      <c r="E56" s="35">
        <f>COUNTIFS(DATOS_[AGRUP. VALOR. PTO.],$B54,DATOS_[Sexo],$B56,DATOS_[Check Periodo Ref.],"Dentro",DATOS_[Check Nº SC Norm],"Sí")</f>
        <v>0</v>
      </c>
      <c r="F56" s="35">
        <f>COUNTIFS(DATOS_[AGRUP. VALOR. PTO.],$B54,DATOS_[Sexo],$B56,DATOS_[Check Periodo Ref.],"Dentro",DATOS_[Check Nº SC Anualiz],"Sí")</f>
        <v>0</v>
      </c>
      <c r="G56" s="35">
        <f>COUNTIFS(DATOS_[AGRUP. VALOR. PTO.],$B54,DATOS_[Sexo],$B56,DATOS_[Check Periodo Ref.],"Dentro",DATOS_[Check Nº SC Norm y Anualiz],"Sí")</f>
        <v>0</v>
      </c>
      <c r="H56" s="35">
        <f>COUNTIFS(DATOS_[AGRUP. VALOR. PTO.],$B54,DATOS_[Sexo],$B56,DATOS_[Check Periodo Ref.],"Dentro",DATOS_[Check Equiparación],"Sí")</f>
        <v>0</v>
      </c>
      <c r="I56" s="110" cm="1">
        <f t="array" ref="I56">IFERROR(
MEDIAN(IF(DATOS_[Sexo]=$B56,IF(DATOS_[[AGRUP. VALOR. PTO.]:[AGRUP. VALOR. PTO.]]=$B54,IF(DATOS_[Check Equiparado]="Sí",IF(DATOS_[Check Periodo Ref.]="Dentro",DATOS_[SALARIO BASE Eq],FALSE))))),
0)</f>
        <v>0</v>
      </c>
      <c r="J56" s="111">
        <f t="array" ref="J56">IFERROR(
(MEDIAN((IF(DATOS_[[Sexo]:[Sexo]]=$B56,IF(DATOS_[[AGRUP. VALOR. PTO.]:[AGRUP. VALOR. PTO.]]=$B54,IF(DATOS_[[Check Periodo Ref.]:[Check Periodo Ref.]]="Dentro",IF(DATOS_[[Check Equiparado]:[Check Equiparado]]="Sí",IF(DATOS!AE$5="Sí",(1/DATOS_[[% anualiz]:[% anualiz]]),1)*IF(DATOS!AE$4="Sí",1/DATOS_[[% normaliz]:[% normaliz]],1)*(DATOS_[Conc.Sal.01])))))))),
0)</f>
        <v>0</v>
      </c>
      <c r="K56" s="111">
        <f t="array" ref="K56">IFERROR(
(MEDIAN((IF(DATOS_[[Sexo]:[Sexo]]=$B56,IF(DATOS_[[AGRUP. VALOR. PTO.]:[AGRUP. VALOR. PTO.]]=$B54,IF(DATOS_[[Check Periodo Ref.]:[Check Periodo Ref.]]="Dentro",IF(DATOS_[[Check Equiparado]:[Check Equiparado]]="Sí",IF(DATOS!AF$5="Sí",(1/DATOS_[[% anualiz]:[% anualiz]]),1)*IF(DATOS!AF$4="Sí",1/DATOS_[[% normaliz]:[% normaliz]],1)*(DATOS_[Conc.Sal.02])))))))),
0)</f>
        <v>0</v>
      </c>
      <c r="L56" s="111">
        <f t="array" ref="L56">IFERROR(
(MEDIAN((IF(DATOS_[[Sexo]:[Sexo]]=$B56,IF(DATOS_[[AGRUP. VALOR. PTO.]:[AGRUP. VALOR. PTO.]]=$B54,IF(DATOS_[[Check Periodo Ref.]:[Check Periodo Ref.]]="Dentro",IF(DATOS_[[Check Equiparado]:[Check Equiparado]]="Sí",IF(DATOS!AG$5="Sí",(1/DATOS_[[% anualiz]:[% anualiz]]),1)*IF(DATOS!AG$4="Sí",1/DATOS_[[% normaliz]:[% normaliz]],1)*(DATOS_[Conc.Sal.03])))))))),
0)</f>
        <v>0</v>
      </c>
      <c r="M56" s="111">
        <f t="array" ref="M56">IFERROR(
(MEDIAN((IF(DATOS_[[Sexo]:[Sexo]]=$B56,IF(DATOS_[[AGRUP. VALOR. PTO.]:[AGRUP. VALOR. PTO.]]=$B54,IF(DATOS_[[Check Periodo Ref.]:[Check Periodo Ref.]]="Dentro",IF(DATOS_[[Check Equiparado]:[Check Equiparado]]="Sí",IF(DATOS!AH$5="Sí",(1/DATOS_[[% anualiz]:[% anualiz]]),1)*IF(DATOS!AH$4="Sí",1/DATOS_[[% normaliz]:[% normaliz]],1)*(DATOS_[Conc.Sal.04])))))))),
0)</f>
        <v>0</v>
      </c>
      <c r="N56" s="111">
        <f t="array" ref="N56">IFERROR(
(MEDIAN((IF(DATOS_[[Sexo]:[Sexo]]=$B56,IF(DATOS_[[AGRUP. VALOR. PTO.]:[AGRUP. VALOR. PTO.]]=$B54,IF(DATOS_[[Check Periodo Ref.]:[Check Periodo Ref.]]="Dentro",IF(DATOS_[[Check Equiparado]:[Check Equiparado]]="Sí",IF(DATOS!AI$5="Sí",(1/DATOS_[[% anualiz]:[% anualiz]]),1)*IF(DATOS!AI$4="Sí",1/DATOS_[[% normaliz]:[% normaliz]],1)*(DATOS_[Conc.Sal.05])))))))),
0)</f>
        <v>0</v>
      </c>
      <c r="O56" s="111">
        <f t="array" ref="O56">IFERROR(
(MEDIAN((IF(DATOS_[[Sexo]:[Sexo]]=$B56,IF(DATOS_[[AGRUP. VALOR. PTO.]:[AGRUP. VALOR. PTO.]]=$B54,IF(DATOS_[[Check Periodo Ref.]:[Check Periodo Ref.]]="Dentro",IF(DATOS_[[Check Equiparado]:[Check Equiparado]]="Sí",IF(DATOS!AJ$5="Sí",(1/DATOS_[[% anualiz]:[% anualiz]]),1)*IF(DATOS!AJ$4="Sí",1/DATOS_[[% normaliz]:[% normaliz]],1)*(DATOS_[Conc.Sal.06])))))))),
0)</f>
        <v>0</v>
      </c>
      <c r="P56" s="111">
        <f t="array" ref="P56">IFERROR(
(MEDIAN((IF(DATOS_[[Sexo]:[Sexo]]=$B56,IF(DATOS_[[AGRUP. VALOR. PTO.]:[AGRUP. VALOR. PTO.]]=$B54,IF(DATOS_[[Check Periodo Ref.]:[Check Periodo Ref.]]="Dentro",IF(DATOS_[[Check Equiparado]:[Check Equiparado]]="Sí",IF(DATOS!AK$5="Sí",(1/DATOS_[[% anualiz]:[% anualiz]]),1)*IF(DATOS!AK$4="Sí",1/DATOS_[[% normaliz]:[% normaliz]],1)*(DATOS_[Conc.Sal.07])))))))),
0)</f>
        <v>0</v>
      </c>
      <c r="Q56" s="111">
        <f t="array" ref="Q56">IFERROR(
(MEDIAN((IF(DATOS_[[Sexo]:[Sexo]]=$B56,IF(DATOS_[[AGRUP. VALOR. PTO.]:[AGRUP. VALOR. PTO.]]=$B54,IF(DATOS_[[Check Periodo Ref.]:[Check Periodo Ref.]]="Dentro",IF(DATOS_[[Check Equiparado]:[Check Equiparado]]="Sí",IF(DATOS!AL$5="Sí",(1/DATOS_[[% anualiz]:[% anualiz]]),1)*IF(DATOS!AL$4="Sí",1/DATOS_[[% normaliz]:[% normaliz]],1)*(DATOS_[Conc.Sal.08])))))))),
0)</f>
        <v>0</v>
      </c>
      <c r="R56" s="111">
        <f t="array" ref="R56">IFERROR(
(MEDIAN((IF(DATOS_[[Sexo]:[Sexo]]=$B56,IF(DATOS_[[AGRUP. VALOR. PTO.]:[AGRUP. VALOR. PTO.]]=$B54,IF(DATOS_[[Check Periodo Ref.]:[Check Periodo Ref.]]="Dentro",IF(DATOS_[[Check Equiparado]:[Check Equiparado]]="Sí",IF(DATOS!AM$5="Sí",(1/DATOS_[[% anualiz]:[% anualiz]]),1)*IF(DATOS!AM$4="Sí",1/DATOS_[[% normaliz]:[% normaliz]],1)*(DATOS_[Conc.Sal.09])))))))),
0)</f>
        <v>0</v>
      </c>
      <c r="S56" s="111">
        <f t="array" ref="S56">IFERROR(
(MEDIAN((IF(DATOS_[[Sexo]:[Sexo]]=$B56,IF(DATOS_[[AGRUP. VALOR. PTO.]:[AGRUP. VALOR. PTO.]]=$B54,IF(DATOS_[[Check Periodo Ref.]:[Check Periodo Ref.]]="Dentro",IF(DATOS_[[Check Equiparado]:[Check Equiparado]]="Sí",IF(DATOS!AN$5="Sí",(1/DATOS_[[% anualiz]:[% anualiz]]),1)*IF(DATOS!AN$4="Sí",1/DATOS_[[% normaliz]:[% normaliz]],1)*(DATOS_[Conc.Sal.10])))))))),
0)</f>
        <v>0</v>
      </c>
      <c r="T56" s="111">
        <f t="array" ref="T56">IFERROR(
(MEDIAN((IF(DATOS_[[Sexo]:[Sexo]]=$B56,IF(DATOS_[[AGRUP. VALOR. PTO.]:[AGRUP. VALOR. PTO.]]=$B54,IF(DATOS_[[Check Periodo Ref.]:[Check Periodo Ref.]]="Dentro",IF(DATOS_[[Check Equiparado]:[Check Equiparado]]="Sí",IF(DATOS!AO$5="Sí",(1/DATOS_[[% anualiz]:[% anualiz]]),1)*IF(DATOS!AO$4="Sí",1/DATOS_[[% normaliz]:[% normaliz]],1)*(DATOS_[Conc.Sal.11])))))))),
0)</f>
        <v>0</v>
      </c>
      <c r="U56" s="111">
        <f t="array" ref="U56">IFERROR(
(MEDIAN((IF(DATOS_[[Sexo]:[Sexo]]=$B56,IF(DATOS_[[AGRUP. VALOR. PTO.]:[AGRUP. VALOR. PTO.]]=$B54,IF(DATOS_[[Check Periodo Ref.]:[Check Periodo Ref.]]="Dentro",IF(DATOS_[[Check Equiparado]:[Check Equiparado]]="Sí",IF(DATOS!AP$5="Sí",(1/DATOS_[[% anualiz]:[% anualiz]]),1)*IF(DATOS!AP$4="Sí",1/DATOS_[[% normaliz]:[% normaliz]],1)*(DATOS_[Conc.Sal.12])))))))),
0)</f>
        <v>0</v>
      </c>
      <c r="V56" s="111">
        <f t="array" ref="V56">IFERROR(
(MEDIAN((IF(DATOS_[[Sexo]:[Sexo]]=$B56,IF(DATOS_[[AGRUP. VALOR. PTO.]:[AGRUP. VALOR. PTO.]]=$B54,IF(DATOS_[[Check Periodo Ref.]:[Check Periodo Ref.]]="Dentro",IF(DATOS_[[Check Equiparado]:[Check Equiparado]]="Sí",IF(DATOS!AQ$5="Sí",(1/DATOS_[[% anualiz]:[% anualiz]]),1)*IF(DATOS!AQ$4="Sí",1/DATOS_[[% normaliz]:[% normaliz]],1)*(DATOS_[Conc.Sal.13])))))))),
0)</f>
        <v>0</v>
      </c>
      <c r="W56" s="111">
        <f t="array" ref="W56">IFERROR(
(MEDIAN((IF(DATOS_[[Sexo]:[Sexo]]=$B56,IF(DATOS_[[AGRUP. VALOR. PTO.]:[AGRUP. VALOR. PTO.]]=$B54,IF(DATOS_[[Check Periodo Ref.]:[Check Periodo Ref.]]="Dentro",IF(DATOS_[[Check Equiparado]:[Check Equiparado]]="Sí",IF(DATOS!AR$5="Sí",(1/DATOS_[[% anualiz]:[% anualiz]]),1)*IF(DATOS!AR$4="Sí",1/DATOS_[[% normaliz]:[% normaliz]],1)*(DATOS_[Conc.Sal.14])))))))),
0)</f>
        <v>0</v>
      </c>
      <c r="X56" s="111">
        <f t="array" ref="X56">IFERROR(
(MEDIAN((IF(DATOS_[[Sexo]:[Sexo]]=$B56,IF(DATOS_[[AGRUP. VALOR. PTO.]:[AGRUP. VALOR. PTO.]]=$B54,IF(DATOS_[[Check Periodo Ref.]:[Check Periodo Ref.]]="Dentro",IF(DATOS_[[Check Equiparado]:[Check Equiparado]]="Sí",IF(DATOS!AS$5="Sí",(1/DATOS_[[% anualiz]:[% anualiz]]),1)*IF(DATOS!AS$4="Sí",1/DATOS_[[% normaliz]:[% normaliz]],1)*(DATOS_[Conc.Sal.15])))))))),
0)</f>
        <v>0</v>
      </c>
      <c r="Y56" s="111">
        <f t="array" ref="Y56">IFERROR(
(MEDIAN((IF(DATOS_[[Sexo]:[Sexo]]=$B56,IF(DATOS_[[AGRUP. VALOR. PTO.]:[AGRUP. VALOR. PTO.]]=$B54,IF(DATOS_[[Check Periodo Ref.]:[Check Periodo Ref.]]="Dentro",IF(DATOS_[[Check Equiparado]:[Check Equiparado]]="Sí",IF(DATOS!AT$5="Sí",(1/DATOS_[[% anualiz]:[% anualiz]]),1)*IF(DATOS!AT$4="Sí",1/DATOS_[[% normaliz]:[% normaliz]],1)*(DATOS_[Conc.Sal.16])))))))),
0)</f>
        <v>0</v>
      </c>
      <c r="Z56" s="111">
        <f t="array" ref="Z56">IFERROR(
(MEDIAN((IF(DATOS_[[Sexo]:[Sexo]]=$B56,IF(DATOS_[[AGRUP. VALOR. PTO.]:[AGRUP. VALOR. PTO.]]=$B54,IF(DATOS_[[Check Periodo Ref.]:[Check Periodo Ref.]]="Dentro",IF(DATOS_[[Check Equiparado]:[Check Equiparado]]="Sí",IF(DATOS!AU$5="Sí",(1/DATOS_[[% anualiz]:[% anualiz]]),1)*IF(DATOS!AU$4="Sí",1/DATOS_[[% normaliz]:[% normaliz]],1)*(DATOS_[Conc.Sal.17])))))))),
0)</f>
        <v>0</v>
      </c>
      <c r="AA56" s="111">
        <f t="array" ref="AA56">IFERROR(
(MEDIAN((IF(DATOS_[[Sexo]:[Sexo]]=$B56,IF(DATOS_[[AGRUP. VALOR. PTO.]:[AGRUP. VALOR. PTO.]]=$B54,IF(DATOS_[[Check Periodo Ref.]:[Check Periodo Ref.]]="Dentro",IF(DATOS_[[Check Equiparado]:[Check Equiparado]]="Sí",IF(DATOS!AV$5="Sí",(1/DATOS_[[% anualiz]:[% anualiz]]),1)*IF(DATOS!AV$4="Sí",1/DATOS_[[% normaliz]:[% normaliz]],1)*(DATOS_[Conc.Sal.18])))))))),
0)</f>
        <v>0</v>
      </c>
      <c r="AB56" s="111">
        <f t="array" ref="AB56">IFERROR(
(MEDIAN((IF(DATOS_[[Sexo]:[Sexo]]=$B56,IF(DATOS_[[AGRUP. VALOR. PTO.]:[AGRUP. VALOR. PTO.]]=$B54,IF(DATOS_[[Check Periodo Ref.]:[Check Periodo Ref.]]="Dentro",IF(DATOS_[[Check Equiparado]:[Check Equiparado]]="Sí",IF(DATOS!AW$5="Sí",(1/DATOS_[[% anualiz]:[% anualiz]]),1)*IF(DATOS!AW$4="Sí",1/DATOS_[[% normaliz]:[% normaliz]],1)*(DATOS_[Conc.Sal.19])))))))),
0)</f>
        <v>0</v>
      </c>
      <c r="AC56" s="111">
        <f t="array" ref="AC56">IFERROR(
(MEDIAN((IF(DATOS_[[Sexo]:[Sexo]]=$B56,IF(DATOS_[[AGRUP. VALOR. PTO.]:[AGRUP. VALOR. PTO.]]=$B54,IF(DATOS_[[Check Periodo Ref.]:[Check Periodo Ref.]]="Dentro",IF(DATOS_[[Check Equiparado]:[Check Equiparado]]="Sí",IF(DATOS!AX$5="Sí",(1/DATOS_[[% anualiz]:[% anualiz]]),1)*IF(DATOS!AX$4="Sí",1/DATOS_[[% normaliz]:[% normaliz]],1)*(DATOS_[Conc.Sal.20])))))))),
0)</f>
        <v>0</v>
      </c>
      <c r="AD56" s="111">
        <f t="array" ref="AD56">IFERROR(
(MEDIAN((IF(DATOS_[[Sexo]:[Sexo]]=$B56,IF(DATOS_[[AGRUP. VALOR. PTO.]:[AGRUP. VALOR. PTO.]]=$B54,IF(DATOS_[[Check Periodo Ref.]:[Check Periodo Ref.]]="Dentro",IF(DATOS_[[Check Equiparado]:[Check Equiparado]]="Sí",IF(DATOS!AY$5="Sí",(1/DATOS_[[% anualiz]:[% anualiz]]),1)*IF(DATOS!AY$4="Sí",1/DATOS_[[% normaliz]:[% normaliz]],1)*(DATOS_[Conc.Sal.21])))))))),
0)</f>
        <v>0</v>
      </c>
      <c r="AE56" s="111">
        <f t="array" ref="AE56">IFERROR(
(MEDIAN((IF(DATOS_[[Sexo]:[Sexo]]=$B56,IF(DATOS_[[AGRUP. VALOR. PTO.]:[AGRUP. VALOR. PTO.]]=$B54,IF(DATOS_[[Check Periodo Ref.]:[Check Periodo Ref.]]="Dentro",IF(DATOS_[[Check Equiparado]:[Check Equiparado]]="Sí",IF(DATOS!AZ$5="Sí",(1/DATOS_[[% anualiz]:[% anualiz]]),1)*IF(DATOS!AZ$4="Sí",1/DATOS_[[% normaliz]:[% normaliz]],1)*(DATOS_[Conc.Sal.22])))))))),
0)</f>
        <v>0</v>
      </c>
      <c r="AF56" s="111">
        <f t="array" ref="AF56">IFERROR(
(MEDIAN((IF(DATOS_[[Sexo]:[Sexo]]=$B56,IF(DATOS_[[AGRUP. VALOR. PTO.]:[AGRUP. VALOR. PTO.]]=$B54,IF(DATOS_[[Check Periodo Ref.]:[Check Periodo Ref.]]="Dentro",IF(DATOS_[[Check Equiparado]:[Check Equiparado]]="Sí",IF(DATOS!BA$5="Sí",(1/DATOS_[[% anualiz]:[% anualiz]]),1)*IF(DATOS!BA$4="Sí",1/DATOS_[[% normaliz]:[% normaliz]],1)*(DATOS_[Conc.Sal.23])))))))),
0)</f>
        <v>0</v>
      </c>
      <c r="AG56" s="111">
        <f t="array" ref="AG56">IFERROR(
(MEDIAN((IF(DATOS_[[Sexo]:[Sexo]]=$B56,IF(DATOS_[[AGRUP. VALOR. PTO.]:[AGRUP. VALOR. PTO.]]=$B54,IF(DATOS_[[Check Periodo Ref.]:[Check Periodo Ref.]]="Dentro",IF(DATOS_[[Check Equiparado]:[Check Equiparado]]="Sí",IF(DATOS!BB$5="Sí",(1/DATOS_[[% anualiz]:[% anualiz]]),1)*IF(DATOS!BB$4="Sí",1/DATOS_[[% normaliz]:[% normaliz]],1)*(DATOS_[Conc.Sal.24])))))))),
0)</f>
        <v>0</v>
      </c>
      <c r="AH56" s="111">
        <f t="array" ref="AH56">IFERROR(
(MEDIAN((IF(DATOS_[[Sexo]:[Sexo]]=$B56,IF(DATOS_[[AGRUP. VALOR. PTO.]:[AGRUP. VALOR. PTO.]]=$B54,IF(DATOS_[[Check Periodo Ref.]:[Check Periodo Ref.]]="Dentro",IF(DATOS_[[Check Equiparado]:[Check Equiparado]]="Sí",IF(DATOS!BC$5="Sí",(1/DATOS_[[% anualiz]:[% anualiz]]),1)*IF(DATOS!BC$4="Sí",1/DATOS_[[% normaliz]:[% normaliz]],1)*(DATOS_[Conc.Sal.25])))))))),
0)</f>
        <v>0</v>
      </c>
      <c r="AI56" s="111">
        <f t="array" ref="AI56">IFERROR(
(MEDIAN((IF(DATOS_[[Sexo]:[Sexo]]=$B56,IF(DATOS_[[AGRUP. VALOR. PTO.]:[AGRUP. VALOR. PTO.]]=$B54,IF(DATOS_[[Check Periodo Ref.]:[Check Periodo Ref.]]="Dentro",IF(DATOS_[[Check Equiparado]:[Check Equiparado]]="Sí",IF(DATOS!BD$5="Sí",(1/DATOS_[[% anualiz]:[% anualiz]]),1)*IF(DATOS!BD$4="Sí",1/DATOS_[[% normaliz]:[% normaliz]],1)*(DATOS_[Conc.Sal.26])))))))),
0)</f>
        <v>0</v>
      </c>
      <c r="AJ56" s="111">
        <f t="array" ref="AJ56">IFERROR(
(MEDIAN((IF(DATOS_[[Sexo]:[Sexo]]=$B56,IF(DATOS_[[AGRUP. VALOR. PTO.]:[AGRUP. VALOR. PTO.]]=$B54,IF(DATOS_[[Check Periodo Ref.]:[Check Periodo Ref.]]="Dentro",IF(DATOS_[[Check Equiparado]:[Check Equiparado]]="Sí",IF(DATOS!BE$5="Sí",(1/DATOS_[[% anualiz]:[% anualiz]]),1)*IF(DATOS!BE$4="Sí",1/DATOS_[[% normaliz]:[% normaliz]],1)*(DATOS_[Conc.Sal.27])))))))),
0)</f>
        <v>0</v>
      </c>
      <c r="AK56" s="111">
        <f t="array" ref="AK56">IFERROR(
(MEDIAN((IF(DATOS_[[Sexo]:[Sexo]]=$B56,IF(DATOS_[[AGRUP. VALOR. PTO.]:[AGRUP. VALOR. PTO.]]=$B54,IF(DATOS_[[Check Periodo Ref.]:[Check Periodo Ref.]]="Dentro",IF(DATOS_[[Check Equiparado]:[Check Equiparado]]="Sí",IF(DATOS!BF$5="Sí",(1/DATOS_[[% anualiz]:[% anualiz]]),1)*IF(DATOS!BF$4="Sí",1/DATOS_[[% normaliz]:[% normaliz]],1)*(DATOS_[Conc.Sal.28])))))))),
0)</f>
        <v>0</v>
      </c>
      <c r="AL56" s="111">
        <f t="array" ref="AL56">IFERROR(
(MEDIAN((IF(DATOS_[[Sexo]:[Sexo]]=$B56,IF(DATOS_[[AGRUP. VALOR. PTO.]:[AGRUP. VALOR. PTO.]]=$B54,IF(DATOS_[[Check Periodo Ref.]:[Check Periodo Ref.]]="Dentro",IF(DATOS_[[Check Equiparado]:[Check Equiparado]]="Sí",IF(DATOS!BG$5="Sí",(1/DATOS_[[% anualiz]:[% anualiz]]),1)*IF(DATOS!BG$4="Sí",1/DATOS_[[% normaliz]:[% normaliz]],1)*(DATOS_[Conc.Sal.29])))))))),
0)</f>
        <v>0</v>
      </c>
      <c r="AM56" s="111">
        <f t="array" ref="AM56">IFERROR(
(MEDIAN((IF(DATOS_[[Sexo]:[Sexo]]=$B56,IF(DATOS_[[AGRUP. VALOR. PTO.]:[AGRUP. VALOR. PTO.]]=$B54,IF(DATOS_[[Check Periodo Ref.]:[Check Periodo Ref.]]="Dentro",IF(DATOS_[[Check Equiparado]:[Check Equiparado]]="Sí",IF(DATOS!BH$5="Sí",(1/DATOS_[[% anualiz]:[% anualiz]]),1)*IF(DATOS!BH$4="Sí",1/DATOS_[[% normaliz]:[% normaliz]],1)*(DATOS_[Conc.Sal.30])))))))),
0)</f>
        <v>0</v>
      </c>
      <c r="AN56" s="112">
        <f t="array" ref="AN56">IFERROR(
MEDIAN(IF(DATOS_[Sexo]=$B56,IF(DATOS_[[AGRUP. VALOR. PTO.]:[AGRUP. VALOR. PTO.]]=$B54,IF(DATOS_[Check Equiparado]="Sí",IF(DATOS_[Check Periodo Ref.]="Dentro",DATOS_[Tot COMPL.SAL Eq],FALSE))))),
0)</f>
        <v>0</v>
      </c>
      <c r="AO56" s="113">
        <f t="array" ref="AO56">IFERROR(
MEDIAN(IF(DATOS_[Sexo]=$B56,IF(DATOS_[[AGRUP. VALOR. PTO.]:[AGRUP. VALOR. PTO.]]=$B54,IF(DATOS_[Check Equiparado]="Sí",IF(DATOS_[Check Periodo Ref.]="Dentro",DATOS_[TOTAL SALARIO Eq],FALSE))))),
0)</f>
        <v>0</v>
      </c>
      <c r="AP56" s="114">
        <f t="array" ref="AP56">IFERROR(
(MEDIAN((IF(DATOS_[[Sexo]:[Sexo]]=$B56,IF(DATOS_[[AGRUP. VALOR. PTO.]:[AGRUP. VALOR. PTO.]]=$B55,IF(DATOS_[[Check Periodo Ref.]:[Check Periodo Ref.]]="Dentro",IF(DATOS_[[Check Equiparado]:[Check Equiparado]]="Sí",IF(DATOS!BI$5="Sí",(1/DATOS_[[% anualiz]:[% anualiz]]),1)*IF(DATOS!BI$4="Sí",1/DATOS_[[% normaliz]:[% normaliz]],1)*(DATOS_[C.Extra.01])))))))),
0)</f>
        <v>0</v>
      </c>
      <c r="AQ56" s="114">
        <f t="array" ref="AQ56">IFERROR(
(MEDIAN((IF(DATOS_[[Sexo]:[Sexo]]=$B56,IF(DATOS_[[AGRUP. VALOR. PTO.]:[AGRUP. VALOR. PTO.]]=$B55,IF(DATOS_[[Check Periodo Ref.]:[Check Periodo Ref.]]="Dentro",IF(DATOS_[[Check Equiparado]:[Check Equiparado]]="Sí",IF(DATOS!BJ$5="Sí",(1/DATOS_[[% anualiz]:[% anualiz]]),1)*IF(DATOS!BJ$4="Sí",1/DATOS_[[% normaliz]:[% normaliz]],1)*(DATOS_[C.Extra.02])))))))),
0)</f>
        <v>0</v>
      </c>
      <c r="AR56" s="114">
        <f t="array" ref="AR56">IFERROR(
(MEDIAN((IF(DATOS_[[Sexo]:[Sexo]]=$B56,IF(DATOS_[[AGRUP. VALOR. PTO.]:[AGRUP. VALOR. PTO.]]=$B55,IF(DATOS_[[Check Periodo Ref.]:[Check Periodo Ref.]]="Dentro",IF(DATOS_[[Check Equiparado]:[Check Equiparado]]="Sí",IF(DATOS!BK$5="Sí",(1/DATOS_[[% anualiz]:[% anualiz]]),1)*IF(DATOS!BK$4="Sí",1/DATOS_[[% normaliz]:[% normaliz]],1)*(DATOS_[C.Extra.03])))))))),
0)</f>
        <v>0</v>
      </c>
      <c r="AS56" s="114">
        <f t="array" ref="AS56">IFERROR(
(MEDIAN((IF(DATOS_[[Sexo]:[Sexo]]=$B56,IF(DATOS_[[AGRUP. VALOR. PTO.]:[AGRUP. VALOR. PTO.]]=$B55,IF(DATOS_[[Check Periodo Ref.]:[Check Periodo Ref.]]="Dentro",IF(DATOS_[[Check Equiparado]:[Check Equiparado]]="Sí",IF(DATOS!BL$5="Sí",(1/DATOS_[[% anualiz]:[% anualiz]]),1)*IF(DATOS!BL$4="Sí",1/DATOS_[[% normaliz]:[% normaliz]],1)*(DATOS_[C.Extra.04])))))))),
0)</f>
        <v>0</v>
      </c>
      <c r="AT56" s="114">
        <f t="array" ref="AT56">IFERROR(
(MEDIAN((IF(DATOS_[[Sexo]:[Sexo]]=$B56,IF(DATOS_[[AGRUP. VALOR. PTO.]:[AGRUP. VALOR. PTO.]]=$B55,IF(DATOS_[[Check Periodo Ref.]:[Check Periodo Ref.]]="Dentro",IF(DATOS_[[Check Equiparado]:[Check Equiparado]]="Sí",IF(DATOS!BM$5="Sí",(1/DATOS_[[% anualiz]:[% anualiz]]),1)*IF(DATOS!BM$4="Sí",1/DATOS_[[% normaliz]:[% normaliz]],1)*(DATOS_[C.Extra.05])))))))),
0)</f>
        <v>0</v>
      </c>
      <c r="AU56" s="115">
        <f t="array" ref="AU56">IFERROR(
MEDIAN(IF(DATOS_[Sexo]=$B56,IF(DATOS_[[AGRUP. VALOR. PTO.]:[AGRUP. VALOR. PTO.]]=$B54,IF(DATOS_[Check Equiparado]="Sí",IF(DATOS_[Check Periodo Ref.]="Dentro",DATOS_[Tot Extrasalarial Eq],FALSE))))),
0)</f>
        <v>0</v>
      </c>
      <c r="AV56" s="116">
        <f t="array" ref="AV56">IFERROR(
MEDIAN(IF(DATOS_[Sexo]=$B56,IF(DATOS_[[AGRUP. VALOR. PTO.]:[AGRUP. VALOR. PTO.]]=$B54,IF(DATOS_[Check Equiparado]="Sí",IF(DATOS_[Check Periodo Ref.]="Dentro",DATOS_[TOTAL Retrib Eq],FALSE))))),
0)</f>
        <v>0</v>
      </c>
    </row>
    <row r="57" spans="1:48" ht="17.25" hidden="1" thickBot="1" x14ac:dyDescent="0.35">
      <c r="A57" s="42" t="str">
        <f t="shared" ref="A57" si="59">+A58</f>
        <v>[ocultar]</v>
      </c>
      <c r="B57" s="90" t="s">
        <v>274</v>
      </c>
      <c r="C57" s="109"/>
      <c r="D57" s="41"/>
      <c r="E57" s="41"/>
      <c r="F57" s="41"/>
      <c r="G57" s="41"/>
      <c r="H57" s="41"/>
      <c r="I57" s="119" t="str">
        <f t="shared" ref="I57:AV57" si="60">IFERROR((I58-I59)/I58,"")</f>
        <v/>
      </c>
      <c r="J57" s="123" t="str">
        <f t="shared" si="60"/>
        <v/>
      </c>
      <c r="K57" s="123" t="str">
        <f t="shared" si="60"/>
        <v/>
      </c>
      <c r="L57" s="123" t="str">
        <f t="shared" si="60"/>
        <v/>
      </c>
      <c r="M57" s="123" t="str">
        <f t="shared" si="60"/>
        <v/>
      </c>
      <c r="N57" s="123" t="str">
        <f t="shared" si="60"/>
        <v/>
      </c>
      <c r="O57" s="123" t="str">
        <f t="shared" si="60"/>
        <v/>
      </c>
      <c r="P57" s="123" t="str">
        <f t="shared" si="60"/>
        <v/>
      </c>
      <c r="Q57" s="123" t="str">
        <f t="shared" si="60"/>
        <v/>
      </c>
      <c r="R57" s="123" t="str">
        <f t="shared" si="60"/>
        <v/>
      </c>
      <c r="S57" s="123" t="str">
        <f t="shared" si="60"/>
        <v/>
      </c>
      <c r="T57" s="123" t="str">
        <f t="shared" si="60"/>
        <v/>
      </c>
      <c r="U57" s="123" t="str">
        <f t="shared" si="60"/>
        <v/>
      </c>
      <c r="V57" s="123" t="str">
        <f t="shared" si="60"/>
        <v/>
      </c>
      <c r="W57" s="123" t="str">
        <f t="shared" si="60"/>
        <v/>
      </c>
      <c r="X57" s="123" t="str">
        <f t="shared" si="60"/>
        <v/>
      </c>
      <c r="Y57" s="123" t="str">
        <f t="shared" si="60"/>
        <v/>
      </c>
      <c r="Z57" s="122" t="str">
        <f t="shared" si="60"/>
        <v/>
      </c>
      <c r="AA57" s="122" t="str">
        <f t="shared" si="60"/>
        <v/>
      </c>
      <c r="AB57" s="122" t="str">
        <f t="shared" si="60"/>
        <v/>
      </c>
      <c r="AC57" s="122" t="str">
        <f t="shared" si="60"/>
        <v/>
      </c>
      <c r="AD57" s="122" t="str">
        <f t="shared" si="60"/>
        <v/>
      </c>
      <c r="AE57" s="122" t="str">
        <f t="shared" si="60"/>
        <v/>
      </c>
      <c r="AF57" s="122" t="str">
        <f t="shared" si="60"/>
        <v/>
      </c>
      <c r="AG57" s="122" t="str">
        <f t="shared" si="60"/>
        <v/>
      </c>
      <c r="AH57" s="122" t="str">
        <f t="shared" si="60"/>
        <v/>
      </c>
      <c r="AI57" s="122" t="str">
        <f t="shared" si="60"/>
        <v/>
      </c>
      <c r="AJ57" s="122" t="str">
        <f t="shared" si="60"/>
        <v/>
      </c>
      <c r="AK57" s="122" t="str">
        <f t="shared" si="60"/>
        <v/>
      </c>
      <c r="AL57" s="122" t="str">
        <f t="shared" si="60"/>
        <v/>
      </c>
      <c r="AM57" s="122" t="str">
        <f t="shared" si="60"/>
        <v/>
      </c>
      <c r="AN57" s="124" t="str">
        <f t="shared" si="60"/>
        <v/>
      </c>
      <c r="AO57" s="128" t="str">
        <f t="shared" si="60"/>
        <v/>
      </c>
      <c r="AP57" s="125" t="str">
        <f t="shared" si="60"/>
        <v/>
      </c>
      <c r="AQ57" s="125" t="str">
        <f t="shared" si="60"/>
        <v/>
      </c>
      <c r="AR57" s="125" t="str">
        <f t="shared" si="60"/>
        <v/>
      </c>
      <c r="AS57" s="125" t="str">
        <f t="shared" si="60"/>
        <v/>
      </c>
      <c r="AT57" s="125" t="str">
        <f t="shared" si="60"/>
        <v/>
      </c>
      <c r="AU57" s="126" t="str">
        <f t="shared" si="60"/>
        <v/>
      </c>
      <c r="AV57" s="127" t="str">
        <f t="shared" si="60"/>
        <v/>
      </c>
    </row>
    <row r="58" spans="1:48" hidden="1" x14ac:dyDescent="0.3">
      <c r="A58" s="42" t="str">
        <f t="shared" ref="A58" si="61">+IF(C58+C59=0,"[ocultar]","")</f>
        <v>[ocultar]</v>
      </c>
      <c r="B58" s="86" t="s">
        <v>162</v>
      </c>
      <c r="C58" s="33">
        <f t="array" ref="C58">SUM(IF($B58=DATOS_[Sexo],
IF($B57=DATOS_[AGRUP. VALOR. PTO.],
IF("Dentro"=DATOS_[Check Periodo Ref.],
1/(COUNTIFS(DATOS_[Sexo],$B58,DATOS_[AGRUP. VALOR. PTO.],$B57,DATOS_[Check Periodo Ref.],"Dentro",DATOS_[id],DATOS_[id]))))))</f>
        <v>0</v>
      </c>
      <c r="D58" s="35">
        <f>COUNTIFS(DATOS_[AGRUP. VALOR. PTO.],$B57,DATOS_[Sexo],$B58,DATOS_[Check Periodo Ref.],"Dentro")</f>
        <v>0</v>
      </c>
      <c r="E58" s="35">
        <f>COUNTIFS(DATOS_[AGRUP. VALOR. PTO.],$B57,DATOS_[Sexo],$B58,DATOS_[Check Periodo Ref.],"Dentro",DATOS_[Check Nº SC Norm],"Sí")</f>
        <v>0</v>
      </c>
      <c r="F58" s="35">
        <f>COUNTIFS(DATOS_[AGRUP. VALOR. PTO.],$B57,DATOS_[Sexo],$B58,DATOS_[Check Periodo Ref.],"Dentro",DATOS_[Check Nº SC Anualiz],"Sí")</f>
        <v>0</v>
      </c>
      <c r="G58" s="35">
        <f>COUNTIFS(DATOS_[AGRUP. VALOR. PTO.],$B57,DATOS_[Sexo],$B58,DATOS_[Check Periodo Ref.],"Dentro",DATOS_[Check Nº SC Norm y Anualiz],"Sí")</f>
        <v>0</v>
      </c>
      <c r="H58" s="35">
        <f>COUNTIFS(DATOS_[AGRUP. VALOR. PTO.],$B57,DATOS_[Sexo],$B58,DATOS_[Check Periodo Ref.],"Dentro",DATOS_[Check Equiparación],"Sí")</f>
        <v>0</v>
      </c>
      <c r="I58" s="110">
        <f t="array" ref="I58">IFERROR(
MEDIAN(IF(DATOS_[Sexo]=$B58,IF(DATOS_[[AGRUP. VALOR. PTO.]:[AGRUP. VALOR. PTO.]]=$B57,IF(DATOS_[Check Equiparado]="Sí",IF(DATOS_[Check Periodo Ref.]="Dentro",DATOS_[SALARIO BASE Eq],FALSE))))),
0)</f>
        <v>0</v>
      </c>
      <c r="J58" s="111">
        <f t="array" ref="J58">IFERROR(
(MEDIAN((IF(DATOS_[[Sexo]:[Sexo]]=$B58,IF(DATOS_[[AGRUP. VALOR. PTO.]:[AGRUP. VALOR. PTO.]]=$B57,IF(DATOS_[[Check Periodo Ref.]:[Check Periodo Ref.]]="Dentro",IF(DATOS_[[Check Equiparado]:[Check Equiparado]]="Sí",IF(DATOS!AE$5="Sí",(1/DATOS_[[% anualiz]:[% anualiz]]),1)*IF(DATOS!AE$4="Sí",1/DATOS_[[% normaliz]:[% normaliz]],1)*(DATOS_[Conc.Sal.01])))))))),
0)</f>
        <v>0</v>
      </c>
      <c r="K58" s="111">
        <f t="array" ref="K58">IFERROR(
(MEDIAN((IF(DATOS_[[Sexo]:[Sexo]]=$B58,IF(DATOS_[[AGRUP. VALOR. PTO.]:[AGRUP. VALOR. PTO.]]=$B57,IF(DATOS_[[Check Periodo Ref.]:[Check Periodo Ref.]]="Dentro",IF(DATOS_[[Check Equiparado]:[Check Equiparado]]="Sí",IF(DATOS!AF$5="Sí",(1/DATOS_[[% anualiz]:[% anualiz]]),1)*IF(DATOS!AF$4="Sí",1/DATOS_[[% normaliz]:[% normaliz]],1)*(DATOS_[Conc.Sal.02])))))))),
0)</f>
        <v>0</v>
      </c>
      <c r="L58" s="111">
        <f t="array" ref="L58">IFERROR(
(MEDIAN((IF(DATOS_[[Sexo]:[Sexo]]=$B58,IF(DATOS_[[AGRUP. VALOR. PTO.]:[AGRUP. VALOR. PTO.]]=$B57,IF(DATOS_[[Check Periodo Ref.]:[Check Periodo Ref.]]="Dentro",IF(DATOS_[[Check Equiparado]:[Check Equiparado]]="Sí",IF(DATOS!AG$5="Sí",(1/DATOS_[[% anualiz]:[% anualiz]]),1)*IF(DATOS!AG$4="Sí",1/DATOS_[[% normaliz]:[% normaliz]],1)*(DATOS_[Conc.Sal.03])))))))),
0)</f>
        <v>0</v>
      </c>
      <c r="M58" s="111">
        <f t="array" ref="M58">IFERROR(
(MEDIAN((IF(DATOS_[[Sexo]:[Sexo]]=$B58,IF(DATOS_[[AGRUP. VALOR. PTO.]:[AGRUP. VALOR. PTO.]]=$B57,IF(DATOS_[[Check Periodo Ref.]:[Check Periodo Ref.]]="Dentro",IF(DATOS_[[Check Equiparado]:[Check Equiparado]]="Sí",IF(DATOS!AH$5="Sí",(1/DATOS_[[% anualiz]:[% anualiz]]),1)*IF(DATOS!AH$4="Sí",1/DATOS_[[% normaliz]:[% normaliz]],1)*(DATOS_[Conc.Sal.04])))))))),
0)</f>
        <v>0</v>
      </c>
      <c r="N58" s="111">
        <f t="array" ref="N58">IFERROR(
(MEDIAN((IF(DATOS_[[Sexo]:[Sexo]]=$B58,IF(DATOS_[[AGRUP. VALOR. PTO.]:[AGRUP. VALOR. PTO.]]=$B57,IF(DATOS_[[Check Periodo Ref.]:[Check Periodo Ref.]]="Dentro",IF(DATOS_[[Check Equiparado]:[Check Equiparado]]="Sí",IF(DATOS!AI$5="Sí",(1/DATOS_[[% anualiz]:[% anualiz]]),1)*IF(DATOS!AI$4="Sí",1/DATOS_[[% normaliz]:[% normaliz]],1)*(DATOS_[Conc.Sal.05])))))))),
0)</f>
        <v>0</v>
      </c>
      <c r="O58" s="111">
        <f t="array" ref="O58">IFERROR(
(MEDIAN((IF(DATOS_[[Sexo]:[Sexo]]=$B58,IF(DATOS_[[AGRUP. VALOR. PTO.]:[AGRUP. VALOR. PTO.]]=$B57,IF(DATOS_[[Check Periodo Ref.]:[Check Periodo Ref.]]="Dentro",IF(DATOS_[[Check Equiparado]:[Check Equiparado]]="Sí",IF(DATOS!AJ$5="Sí",(1/DATOS_[[% anualiz]:[% anualiz]]),1)*IF(DATOS!AJ$4="Sí",1/DATOS_[[% normaliz]:[% normaliz]],1)*(DATOS_[Conc.Sal.06])))))))),
0)</f>
        <v>0</v>
      </c>
      <c r="P58" s="111">
        <f t="array" ref="P58">IFERROR(
(MEDIAN((IF(DATOS_[[Sexo]:[Sexo]]=$B58,IF(DATOS_[[AGRUP. VALOR. PTO.]:[AGRUP. VALOR. PTO.]]=$B57,IF(DATOS_[[Check Periodo Ref.]:[Check Periodo Ref.]]="Dentro",IF(DATOS_[[Check Equiparado]:[Check Equiparado]]="Sí",IF(DATOS!AK$5="Sí",(1/DATOS_[[% anualiz]:[% anualiz]]),1)*IF(DATOS!AK$4="Sí",1/DATOS_[[% normaliz]:[% normaliz]],1)*(DATOS_[Conc.Sal.07])))))))),
0)</f>
        <v>0</v>
      </c>
      <c r="Q58" s="111">
        <f t="array" ref="Q58">IFERROR(
(MEDIAN((IF(DATOS_[[Sexo]:[Sexo]]=$B58,IF(DATOS_[[AGRUP. VALOR. PTO.]:[AGRUP. VALOR. PTO.]]=$B57,IF(DATOS_[[Check Periodo Ref.]:[Check Periodo Ref.]]="Dentro",IF(DATOS_[[Check Equiparado]:[Check Equiparado]]="Sí",IF(DATOS!AL$5="Sí",(1/DATOS_[[% anualiz]:[% anualiz]]),1)*IF(DATOS!AL$4="Sí",1/DATOS_[[% normaliz]:[% normaliz]],1)*(DATOS_[Conc.Sal.08])))))))),
0)</f>
        <v>0</v>
      </c>
      <c r="R58" s="111">
        <f t="array" ref="R58">IFERROR(
(MEDIAN((IF(DATOS_[[Sexo]:[Sexo]]=$B58,IF(DATOS_[[AGRUP. VALOR. PTO.]:[AGRUP. VALOR. PTO.]]=$B57,IF(DATOS_[[Check Periodo Ref.]:[Check Periodo Ref.]]="Dentro",IF(DATOS_[[Check Equiparado]:[Check Equiparado]]="Sí",IF(DATOS!AM$5="Sí",(1/DATOS_[[% anualiz]:[% anualiz]]),1)*IF(DATOS!AM$4="Sí",1/DATOS_[[% normaliz]:[% normaliz]],1)*(DATOS_[Conc.Sal.09])))))))),
0)</f>
        <v>0</v>
      </c>
      <c r="S58" s="111">
        <f t="array" ref="S58">IFERROR(
(MEDIAN((IF(DATOS_[[Sexo]:[Sexo]]=$B58,IF(DATOS_[[AGRUP. VALOR. PTO.]:[AGRUP. VALOR. PTO.]]=$B57,IF(DATOS_[[Check Periodo Ref.]:[Check Periodo Ref.]]="Dentro",IF(DATOS_[[Check Equiparado]:[Check Equiparado]]="Sí",IF(DATOS!AN$5="Sí",(1/DATOS_[[% anualiz]:[% anualiz]]),1)*IF(DATOS!AN$4="Sí",1/DATOS_[[% normaliz]:[% normaliz]],1)*(DATOS_[Conc.Sal.10])))))))),
0)</f>
        <v>0</v>
      </c>
      <c r="T58" s="111">
        <f t="array" ref="T58">IFERROR(
(MEDIAN((IF(DATOS_[[Sexo]:[Sexo]]=$B58,IF(DATOS_[[AGRUP. VALOR. PTO.]:[AGRUP. VALOR. PTO.]]=$B57,IF(DATOS_[[Check Periodo Ref.]:[Check Periodo Ref.]]="Dentro",IF(DATOS_[[Check Equiparado]:[Check Equiparado]]="Sí",IF(DATOS!AO$5="Sí",(1/DATOS_[[% anualiz]:[% anualiz]]),1)*IF(DATOS!AO$4="Sí",1/DATOS_[[% normaliz]:[% normaliz]],1)*(DATOS_[Conc.Sal.11])))))))),
0)</f>
        <v>0</v>
      </c>
      <c r="U58" s="111">
        <f t="array" ref="U58">IFERROR(
(MEDIAN((IF(DATOS_[[Sexo]:[Sexo]]=$B58,IF(DATOS_[[AGRUP. VALOR. PTO.]:[AGRUP. VALOR. PTO.]]=$B57,IF(DATOS_[[Check Periodo Ref.]:[Check Periodo Ref.]]="Dentro",IF(DATOS_[[Check Equiparado]:[Check Equiparado]]="Sí",IF(DATOS!AP$5="Sí",(1/DATOS_[[% anualiz]:[% anualiz]]),1)*IF(DATOS!AP$4="Sí",1/DATOS_[[% normaliz]:[% normaliz]],1)*(DATOS_[Conc.Sal.12])))))))),
0)</f>
        <v>0</v>
      </c>
      <c r="V58" s="111">
        <f t="array" ref="V58">IFERROR(
(MEDIAN((IF(DATOS_[[Sexo]:[Sexo]]=$B58,IF(DATOS_[[AGRUP. VALOR. PTO.]:[AGRUP. VALOR. PTO.]]=$B57,IF(DATOS_[[Check Periodo Ref.]:[Check Periodo Ref.]]="Dentro",IF(DATOS_[[Check Equiparado]:[Check Equiparado]]="Sí",IF(DATOS!AQ$5="Sí",(1/DATOS_[[% anualiz]:[% anualiz]]),1)*IF(DATOS!AQ$4="Sí",1/DATOS_[[% normaliz]:[% normaliz]],1)*(DATOS_[Conc.Sal.13])))))))),
0)</f>
        <v>0</v>
      </c>
      <c r="W58" s="111">
        <f t="array" ref="W58">IFERROR(
(MEDIAN((IF(DATOS_[[Sexo]:[Sexo]]=$B58,IF(DATOS_[[AGRUP. VALOR. PTO.]:[AGRUP. VALOR. PTO.]]=$B57,IF(DATOS_[[Check Periodo Ref.]:[Check Periodo Ref.]]="Dentro",IF(DATOS_[[Check Equiparado]:[Check Equiparado]]="Sí",IF(DATOS!AR$5="Sí",(1/DATOS_[[% anualiz]:[% anualiz]]),1)*IF(DATOS!AR$4="Sí",1/DATOS_[[% normaliz]:[% normaliz]],1)*(DATOS_[Conc.Sal.14])))))))),
0)</f>
        <v>0</v>
      </c>
      <c r="X58" s="111">
        <f t="array" ref="X58">IFERROR(
(MEDIAN((IF(DATOS_[[Sexo]:[Sexo]]=$B58,IF(DATOS_[[AGRUP. VALOR. PTO.]:[AGRUP. VALOR. PTO.]]=$B57,IF(DATOS_[[Check Periodo Ref.]:[Check Periodo Ref.]]="Dentro",IF(DATOS_[[Check Equiparado]:[Check Equiparado]]="Sí",IF(DATOS!AS$5="Sí",(1/DATOS_[[% anualiz]:[% anualiz]]),1)*IF(DATOS!AS$4="Sí",1/DATOS_[[% normaliz]:[% normaliz]],1)*(DATOS_[Conc.Sal.15])))))))),
0)</f>
        <v>0</v>
      </c>
      <c r="Y58" s="111">
        <f t="array" ref="Y58">IFERROR(
(MEDIAN((IF(DATOS_[[Sexo]:[Sexo]]=$B58,IF(DATOS_[[AGRUP. VALOR. PTO.]:[AGRUP. VALOR. PTO.]]=$B57,IF(DATOS_[[Check Periodo Ref.]:[Check Periodo Ref.]]="Dentro",IF(DATOS_[[Check Equiparado]:[Check Equiparado]]="Sí",IF(DATOS!AT$5="Sí",(1/DATOS_[[% anualiz]:[% anualiz]]),1)*IF(DATOS!AT$4="Sí",1/DATOS_[[% normaliz]:[% normaliz]],1)*(DATOS_[Conc.Sal.16])))))))),
0)</f>
        <v>0</v>
      </c>
      <c r="Z58" s="111">
        <f t="array" ref="Z58">IFERROR(
(MEDIAN((IF(DATOS_[[Sexo]:[Sexo]]=$B58,IF(DATOS_[[AGRUP. VALOR. PTO.]:[AGRUP. VALOR. PTO.]]=$B57,IF(DATOS_[[Check Periodo Ref.]:[Check Periodo Ref.]]="Dentro",IF(DATOS_[[Check Equiparado]:[Check Equiparado]]="Sí",IF(DATOS!AU$5="Sí",(1/DATOS_[[% anualiz]:[% anualiz]]),1)*IF(DATOS!AU$4="Sí",1/DATOS_[[% normaliz]:[% normaliz]],1)*(DATOS_[Conc.Sal.17])))))))),
0)</f>
        <v>0</v>
      </c>
      <c r="AA58" s="111">
        <f t="array" ref="AA58">IFERROR(
(MEDIAN((IF(DATOS_[[Sexo]:[Sexo]]=$B58,IF(DATOS_[[AGRUP. VALOR. PTO.]:[AGRUP. VALOR. PTO.]]=$B57,IF(DATOS_[[Check Periodo Ref.]:[Check Periodo Ref.]]="Dentro",IF(DATOS_[[Check Equiparado]:[Check Equiparado]]="Sí",IF(DATOS!AV$5="Sí",(1/DATOS_[[% anualiz]:[% anualiz]]),1)*IF(DATOS!AV$4="Sí",1/DATOS_[[% normaliz]:[% normaliz]],1)*(DATOS_[Conc.Sal.18])))))))),
0)</f>
        <v>0</v>
      </c>
      <c r="AB58" s="111">
        <f t="array" ref="AB58">IFERROR(
(MEDIAN((IF(DATOS_[[Sexo]:[Sexo]]=$B58,IF(DATOS_[[AGRUP. VALOR. PTO.]:[AGRUP. VALOR. PTO.]]=$B57,IF(DATOS_[[Check Periodo Ref.]:[Check Periodo Ref.]]="Dentro",IF(DATOS_[[Check Equiparado]:[Check Equiparado]]="Sí",IF(DATOS!AW$5="Sí",(1/DATOS_[[% anualiz]:[% anualiz]]),1)*IF(DATOS!AW$4="Sí",1/DATOS_[[% normaliz]:[% normaliz]],1)*(DATOS_[Conc.Sal.19])))))))),
0)</f>
        <v>0</v>
      </c>
      <c r="AC58" s="111">
        <f t="array" ref="AC58">IFERROR(
(MEDIAN((IF(DATOS_[[Sexo]:[Sexo]]=$B58,IF(DATOS_[[AGRUP. VALOR. PTO.]:[AGRUP. VALOR. PTO.]]=$B57,IF(DATOS_[[Check Periodo Ref.]:[Check Periodo Ref.]]="Dentro",IF(DATOS_[[Check Equiparado]:[Check Equiparado]]="Sí",IF(DATOS!AX$5="Sí",(1/DATOS_[[% anualiz]:[% anualiz]]),1)*IF(DATOS!AX$4="Sí",1/DATOS_[[% normaliz]:[% normaliz]],1)*(DATOS_[Conc.Sal.20])))))))),
0)</f>
        <v>0</v>
      </c>
      <c r="AD58" s="111">
        <f t="array" ref="AD58">IFERROR(
(MEDIAN((IF(DATOS_[[Sexo]:[Sexo]]=$B58,IF(DATOS_[[AGRUP. VALOR. PTO.]:[AGRUP. VALOR. PTO.]]=$B57,IF(DATOS_[[Check Periodo Ref.]:[Check Periodo Ref.]]="Dentro",IF(DATOS_[[Check Equiparado]:[Check Equiparado]]="Sí",IF(DATOS!AY$5="Sí",(1/DATOS_[[% anualiz]:[% anualiz]]),1)*IF(DATOS!AY$4="Sí",1/DATOS_[[% normaliz]:[% normaliz]],1)*(DATOS_[Conc.Sal.21])))))))),
0)</f>
        <v>0</v>
      </c>
      <c r="AE58" s="111">
        <f t="array" ref="AE58">IFERROR(
(MEDIAN((IF(DATOS_[[Sexo]:[Sexo]]=$B58,IF(DATOS_[[AGRUP. VALOR. PTO.]:[AGRUP. VALOR. PTO.]]=$B57,IF(DATOS_[[Check Periodo Ref.]:[Check Periodo Ref.]]="Dentro",IF(DATOS_[[Check Equiparado]:[Check Equiparado]]="Sí",IF(DATOS!AZ$5="Sí",(1/DATOS_[[% anualiz]:[% anualiz]]),1)*IF(DATOS!AZ$4="Sí",1/DATOS_[[% normaliz]:[% normaliz]],1)*(DATOS_[Conc.Sal.22])))))))),
0)</f>
        <v>0</v>
      </c>
      <c r="AF58" s="111">
        <f t="array" ref="AF58">IFERROR(
(MEDIAN((IF(DATOS_[[Sexo]:[Sexo]]=$B58,IF(DATOS_[[AGRUP. VALOR. PTO.]:[AGRUP. VALOR. PTO.]]=$B57,IF(DATOS_[[Check Periodo Ref.]:[Check Periodo Ref.]]="Dentro",IF(DATOS_[[Check Equiparado]:[Check Equiparado]]="Sí",IF(DATOS!BA$5="Sí",(1/DATOS_[[% anualiz]:[% anualiz]]),1)*IF(DATOS!BA$4="Sí",1/DATOS_[[% normaliz]:[% normaliz]],1)*(DATOS_[Conc.Sal.23])))))))),
0)</f>
        <v>0</v>
      </c>
      <c r="AG58" s="111">
        <f t="array" ref="AG58">IFERROR(
(MEDIAN((IF(DATOS_[[Sexo]:[Sexo]]=$B58,IF(DATOS_[[AGRUP. VALOR. PTO.]:[AGRUP. VALOR. PTO.]]=$B57,IF(DATOS_[[Check Periodo Ref.]:[Check Periodo Ref.]]="Dentro",IF(DATOS_[[Check Equiparado]:[Check Equiparado]]="Sí",IF(DATOS!BB$5="Sí",(1/DATOS_[[% anualiz]:[% anualiz]]),1)*IF(DATOS!BB$4="Sí",1/DATOS_[[% normaliz]:[% normaliz]],1)*(DATOS_[Conc.Sal.24])))))))),
0)</f>
        <v>0</v>
      </c>
      <c r="AH58" s="111">
        <f t="array" ref="AH58">IFERROR(
(MEDIAN((IF(DATOS_[[Sexo]:[Sexo]]=$B58,IF(DATOS_[[AGRUP. VALOR. PTO.]:[AGRUP. VALOR. PTO.]]=$B57,IF(DATOS_[[Check Periodo Ref.]:[Check Periodo Ref.]]="Dentro",IF(DATOS_[[Check Equiparado]:[Check Equiparado]]="Sí",IF(DATOS!BC$5="Sí",(1/DATOS_[[% anualiz]:[% anualiz]]),1)*IF(DATOS!BC$4="Sí",1/DATOS_[[% normaliz]:[% normaliz]],1)*(DATOS_[Conc.Sal.25])))))))),
0)</f>
        <v>0</v>
      </c>
      <c r="AI58" s="111">
        <f t="array" ref="AI58">IFERROR(
(MEDIAN((IF(DATOS_[[Sexo]:[Sexo]]=$B58,IF(DATOS_[[AGRUP. VALOR. PTO.]:[AGRUP. VALOR. PTO.]]=$B57,IF(DATOS_[[Check Periodo Ref.]:[Check Periodo Ref.]]="Dentro",IF(DATOS_[[Check Equiparado]:[Check Equiparado]]="Sí",IF(DATOS!BD$5="Sí",(1/DATOS_[[% anualiz]:[% anualiz]]),1)*IF(DATOS!BD$4="Sí",1/DATOS_[[% normaliz]:[% normaliz]],1)*(DATOS_[Conc.Sal.26])))))))),
0)</f>
        <v>0</v>
      </c>
      <c r="AJ58" s="111">
        <f t="array" ref="AJ58">IFERROR(
(MEDIAN((IF(DATOS_[[Sexo]:[Sexo]]=$B58,IF(DATOS_[[AGRUP. VALOR. PTO.]:[AGRUP. VALOR. PTO.]]=$B57,IF(DATOS_[[Check Periodo Ref.]:[Check Periodo Ref.]]="Dentro",IF(DATOS_[[Check Equiparado]:[Check Equiparado]]="Sí",IF(DATOS!BE$5="Sí",(1/DATOS_[[% anualiz]:[% anualiz]]),1)*IF(DATOS!BE$4="Sí",1/DATOS_[[% normaliz]:[% normaliz]],1)*(DATOS_[Conc.Sal.27])))))))),
0)</f>
        <v>0</v>
      </c>
      <c r="AK58" s="111">
        <f t="array" ref="AK58">IFERROR(
(MEDIAN((IF(DATOS_[[Sexo]:[Sexo]]=$B58,IF(DATOS_[[AGRUP. VALOR. PTO.]:[AGRUP. VALOR. PTO.]]=$B57,IF(DATOS_[[Check Periodo Ref.]:[Check Periodo Ref.]]="Dentro",IF(DATOS_[[Check Equiparado]:[Check Equiparado]]="Sí",IF(DATOS!BF$5="Sí",(1/DATOS_[[% anualiz]:[% anualiz]]),1)*IF(DATOS!BF$4="Sí",1/DATOS_[[% normaliz]:[% normaliz]],1)*(DATOS_[Conc.Sal.28])))))))),
0)</f>
        <v>0</v>
      </c>
      <c r="AL58" s="111">
        <f t="array" ref="AL58">IFERROR(
(MEDIAN((IF(DATOS_[[Sexo]:[Sexo]]=$B58,IF(DATOS_[[AGRUP. VALOR. PTO.]:[AGRUP. VALOR. PTO.]]=$B57,IF(DATOS_[[Check Periodo Ref.]:[Check Periodo Ref.]]="Dentro",IF(DATOS_[[Check Equiparado]:[Check Equiparado]]="Sí",IF(DATOS!BG$5="Sí",(1/DATOS_[[% anualiz]:[% anualiz]]),1)*IF(DATOS!BG$4="Sí",1/DATOS_[[% normaliz]:[% normaliz]],1)*(DATOS_[Conc.Sal.29])))))))),
0)</f>
        <v>0</v>
      </c>
      <c r="AM58" s="111">
        <f t="array" ref="AM58">IFERROR(
(MEDIAN((IF(DATOS_[[Sexo]:[Sexo]]=$B58,IF(DATOS_[[AGRUP. VALOR. PTO.]:[AGRUP. VALOR. PTO.]]=$B57,IF(DATOS_[[Check Periodo Ref.]:[Check Periodo Ref.]]="Dentro",IF(DATOS_[[Check Equiparado]:[Check Equiparado]]="Sí",IF(DATOS!BH$5="Sí",(1/DATOS_[[% anualiz]:[% anualiz]]),1)*IF(DATOS!BH$4="Sí",1/DATOS_[[% normaliz]:[% normaliz]],1)*(DATOS_[Conc.Sal.30])))))))),
0)</f>
        <v>0</v>
      </c>
      <c r="AN58" s="112">
        <f t="array" ref="AN58">IFERROR(
MEDIAN(IF(DATOS_[Sexo]=$B58,IF(DATOS_[[AGRUP. VALOR. PTO.]:[AGRUP. VALOR. PTO.]]=$B57,IF(DATOS_[Check Equiparado]="Sí",IF(DATOS_[Check Periodo Ref.]="Dentro",DATOS_[Tot COMPL.SAL Eq],FALSE))))),
0)</f>
        <v>0</v>
      </c>
      <c r="AO58" s="113">
        <f t="array" ref="AO58">IFERROR(
MEDIAN(IF(DATOS_[Sexo]=$B58,IF(DATOS_[[AGRUP. VALOR. PTO.]:[AGRUP. VALOR. PTO.]]=$B57,IF(DATOS_[Check Equiparado]="Sí",IF(DATOS_[Check Periodo Ref.]="Dentro",DATOS_[TOTAL SALARIO Eq],FALSE))))),
0)</f>
        <v>0</v>
      </c>
      <c r="AP58" s="114">
        <f t="array" ref="AP58">IFERROR(
(MEDIAN((IF(DATOS_[[Sexo]:[Sexo]]=$B58,IF(DATOS_[[AGRUP. VALOR. PTO.]:[AGRUP. VALOR. PTO.]]=$B57,IF(DATOS_[[Check Periodo Ref.]:[Check Periodo Ref.]]="Dentro",IF(DATOS_[[Check Equiparado]:[Check Equiparado]]="Sí",IF(DATOS!BI$5="Sí",(1/DATOS_[[% anualiz]:[% anualiz]]),1)*IF(DATOS!BI$4="Sí",1/DATOS_[[% normaliz]:[% normaliz]],1)*(DATOS_[C.Extra.01])))))))),
0)</f>
        <v>0</v>
      </c>
      <c r="AQ58" s="114">
        <f t="array" ref="AQ58">IFERROR(
(MEDIAN((IF(DATOS_[[Sexo]:[Sexo]]=$B58,IF(DATOS_[[AGRUP. VALOR. PTO.]:[AGRUP. VALOR. PTO.]]=$B57,IF(DATOS_[[Check Periodo Ref.]:[Check Periodo Ref.]]="Dentro",IF(DATOS_[[Check Equiparado]:[Check Equiparado]]="Sí",IF(DATOS!BJ$5="Sí",(1/DATOS_[[% anualiz]:[% anualiz]]),1)*IF(DATOS!BJ$4="Sí",1/DATOS_[[% normaliz]:[% normaliz]],1)*(DATOS_[C.Extra.02])))))))),
0)</f>
        <v>0</v>
      </c>
      <c r="AR58" s="114">
        <f t="array" ref="AR58">IFERROR(
(MEDIAN((IF(DATOS_[[Sexo]:[Sexo]]=$B58,IF(DATOS_[[AGRUP. VALOR. PTO.]:[AGRUP. VALOR. PTO.]]=$B57,IF(DATOS_[[Check Periodo Ref.]:[Check Periodo Ref.]]="Dentro",IF(DATOS_[[Check Equiparado]:[Check Equiparado]]="Sí",IF(DATOS!BK$5="Sí",(1/DATOS_[[% anualiz]:[% anualiz]]),1)*IF(DATOS!BK$4="Sí",1/DATOS_[[% normaliz]:[% normaliz]],1)*(DATOS_[C.Extra.03])))))))),
0)</f>
        <v>0</v>
      </c>
      <c r="AS58" s="114">
        <f t="array" ref="AS58">IFERROR(
(MEDIAN((IF(DATOS_[[Sexo]:[Sexo]]=$B58,IF(DATOS_[[AGRUP. VALOR. PTO.]:[AGRUP. VALOR. PTO.]]=$B57,IF(DATOS_[[Check Periodo Ref.]:[Check Periodo Ref.]]="Dentro",IF(DATOS_[[Check Equiparado]:[Check Equiparado]]="Sí",IF(DATOS!BL$5="Sí",(1/DATOS_[[% anualiz]:[% anualiz]]),1)*IF(DATOS!BL$4="Sí",1/DATOS_[[% normaliz]:[% normaliz]],1)*(DATOS_[C.Extra.04])))))))),
0)</f>
        <v>0</v>
      </c>
      <c r="AT58" s="114">
        <f t="array" ref="AT58">IFERROR(
(MEDIAN((IF(DATOS_[[Sexo]:[Sexo]]=$B58,IF(DATOS_[[AGRUP. VALOR. PTO.]:[AGRUP. VALOR. PTO.]]=$B57,IF(DATOS_[[Check Periodo Ref.]:[Check Periodo Ref.]]="Dentro",IF(DATOS_[[Check Equiparado]:[Check Equiparado]]="Sí",IF(DATOS!BM$5="Sí",(1/DATOS_[[% anualiz]:[% anualiz]]),1)*IF(DATOS!BM$4="Sí",1/DATOS_[[% normaliz]:[% normaliz]],1)*(DATOS_[C.Extra.05])))))))),
0)</f>
        <v>0</v>
      </c>
      <c r="AU58" s="115">
        <f t="array" ref="AU58">IFERROR(
MEDIAN(IF(DATOS_[Sexo]=$B58,IF(DATOS_[[AGRUP. VALOR. PTO.]:[AGRUP. VALOR. PTO.]]=$B57,IF(DATOS_[Check Equiparado]="Sí",IF(DATOS_[Check Periodo Ref.]="Dentro",DATOS_[Tot Extrasalarial Eq],FALSE))))),
0)</f>
        <v>0</v>
      </c>
      <c r="AV58" s="116">
        <f t="array" ref="AV58">IFERROR(
MEDIAN(IF(DATOS_[Sexo]=$B58,IF(DATOS_[[AGRUP. VALOR. PTO.]:[AGRUP. VALOR. PTO.]]=$B57,IF(DATOS_[Check Equiparado]="Sí",IF(DATOS_[Check Periodo Ref.]="Dentro",DATOS_[TOTAL Retrib Eq],FALSE))))),
0)</f>
        <v>0</v>
      </c>
    </row>
    <row r="59" spans="1:48" hidden="1" x14ac:dyDescent="0.3">
      <c r="A59" s="42" t="str">
        <f t="shared" ref="A59" si="62">+A58</f>
        <v>[ocultar]</v>
      </c>
      <c r="B59" s="86" t="s">
        <v>163</v>
      </c>
      <c r="C59" s="33">
        <f t="array" ref="C59">SUM(IF($B59=DATOS_[Sexo],
IF($B57=DATOS_[AGRUP. VALOR. PTO.],
IF("Dentro"=DATOS_[Check Periodo Ref.],
1/(COUNTIFS(DATOS_[Sexo],$B59,DATOS_[AGRUP. VALOR. PTO.],$B57,DATOS_[Check Periodo Ref.],"Dentro",DATOS_[id],DATOS_[id]))))))</f>
        <v>0</v>
      </c>
      <c r="D59" s="35">
        <f>COUNTIFS(DATOS_[AGRUP. VALOR. PTO.],$B57,DATOS_[Sexo],$B59,DATOS_[Check Periodo Ref.],"Dentro")</f>
        <v>0</v>
      </c>
      <c r="E59" s="35">
        <f>COUNTIFS(DATOS_[AGRUP. VALOR. PTO.],$B57,DATOS_[Sexo],$B59,DATOS_[Check Periodo Ref.],"Dentro",DATOS_[Check Nº SC Norm],"Sí")</f>
        <v>0</v>
      </c>
      <c r="F59" s="35">
        <f>COUNTIFS(DATOS_[AGRUP. VALOR. PTO.],$B57,DATOS_[Sexo],$B59,DATOS_[Check Periodo Ref.],"Dentro",DATOS_[Check Nº SC Anualiz],"Sí")</f>
        <v>0</v>
      </c>
      <c r="G59" s="35">
        <f>COUNTIFS(DATOS_[AGRUP. VALOR. PTO.],$B57,DATOS_[Sexo],$B59,DATOS_[Check Periodo Ref.],"Dentro",DATOS_[Check Nº SC Norm y Anualiz],"Sí")</f>
        <v>0</v>
      </c>
      <c r="H59" s="35">
        <f>COUNTIFS(DATOS_[AGRUP. VALOR. PTO.],$B57,DATOS_[Sexo],$B59,DATOS_[Check Periodo Ref.],"Dentro",DATOS_[Check Equiparación],"Sí")</f>
        <v>0</v>
      </c>
      <c r="I59" s="110" cm="1">
        <f t="array" ref="I59">IFERROR(
MEDIAN(IF(DATOS_[Sexo]=$B59,IF(DATOS_[[AGRUP. VALOR. PTO.]:[AGRUP. VALOR. PTO.]]=$B57,IF(DATOS_[Check Equiparado]="Sí",IF(DATOS_[Check Periodo Ref.]="Dentro",DATOS_[SALARIO BASE Eq],FALSE))))),
0)</f>
        <v>0</v>
      </c>
      <c r="J59" s="111">
        <f t="array" ref="J59">IFERROR(
(MEDIAN((IF(DATOS_[[Sexo]:[Sexo]]=$B59,IF(DATOS_[[AGRUP. VALOR. PTO.]:[AGRUP. VALOR. PTO.]]=$B57,IF(DATOS_[[Check Periodo Ref.]:[Check Periodo Ref.]]="Dentro",IF(DATOS_[[Check Equiparado]:[Check Equiparado]]="Sí",IF(DATOS!AE$5="Sí",(1/DATOS_[[% anualiz]:[% anualiz]]),1)*IF(DATOS!AE$4="Sí",1/DATOS_[[% normaliz]:[% normaliz]],1)*(DATOS_[Conc.Sal.01])))))))),
0)</f>
        <v>0</v>
      </c>
      <c r="K59" s="111">
        <f t="array" ref="K59">IFERROR(
(MEDIAN((IF(DATOS_[[Sexo]:[Sexo]]=$B59,IF(DATOS_[[AGRUP. VALOR. PTO.]:[AGRUP. VALOR. PTO.]]=$B57,IF(DATOS_[[Check Periodo Ref.]:[Check Periodo Ref.]]="Dentro",IF(DATOS_[[Check Equiparado]:[Check Equiparado]]="Sí",IF(DATOS!AF$5="Sí",(1/DATOS_[[% anualiz]:[% anualiz]]),1)*IF(DATOS!AF$4="Sí",1/DATOS_[[% normaliz]:[% normaliz]],1)*(DATOS_[Conc.Sal.02])))))))),
0)</f>
        <v>0</v>
      </c>
      <c r="L59" s="111">
        <f t="array" ref="L59">IFERROR(
(MEDIAN((IF(DATOS_[[Sexo]:[Sexo]]=$B59,IF(DATOS_[[AGRUP. VALOR. PTO.]:[AGRUP. VALOR. PTO.]]=$B57,IF(DATOS_[[Check Periodo Ref.]:[Check Periodo Ref.]]="Dentro",IF(DATOS_[[Check Equiparado]:[Check Equiparado]]="Sí",IF(DATOS!AG$5="Sí",(1/DATOS_[[% anualiz]:[% anualiz]]),1)*IF(DATOS!AG$4="Sí",1/DATOS_[[% normaliz]:[% normaliz]],1)*(DATOS_[Conc.Sal.03])))))))),
0)</f>
        <v>0</v>
      </c>
      <c r="M59" s="111">
        <f t="array" ref="M59">IFERROR(
(MEDIAN((IF(DATOS_[[Sexo]:[Sexo]]=$B59,IF(DATOS_[[AGRUP. VALOR. PTO.]:[AGRUP. VALOR. PTO.]]=$B57,IF(DATOS_[[Check Periodo Ref.]:[Check Periodo Ref.]]="Dentro",IF(DATOS_[[Check Equiparado]:[Check Equiparado]]="Sí",IF(DATOS!AH$5="Sí",(1/DATOS_[[% anualiz]:[% anualiz]]),1)*IF(DATOS!AH$4="Sí",1/DATOS_[[% normaliz]:[% normaliz]],1)*(DATOS_[Conc.Sal.04])))))))),
0)</f>
        <v>0</v>
      </c>
      <c r="N59" s="111">
        <f t="array" ref="N59">IFERROR(
(MEDIAN((IF(DATOS_[[Sexo]:[Sexo]]=$B59,IF(DATOS_[[AGRUP. VALOR. PTO.]:[AGRUP. VALOR. PTO.]]=$B57,IF(DATOS_[[Check Periodo Ref.]:[Check Periodo Ref.]]="Dentro",IF(DATOS_[[Check Equiparado]:[Check Equiparado]]="Sí",IF(DATOS!AI$5="Sí",(1/DATOS_[[% anualiz]:[% anualiz]]),1)*IF(DATOS!AI$4="Sí",1/DATOS_[[% normaliz]:[% normaliz]],1)*(DATOS_[Conc.Sal.05])))))))),
0)</f>
        <v>0</v>
      </c>
      <c r="O59" s="111">
        <f t="array" ref="O59">IFERROR(
(MEDIAN((IF(DATOS_[[Sexo]:[Sexo]]=$B59,IF(DATOS_[[AGRUP. VALOR. PTO.]:[AGRUP. VALOR. PTO.]]=$B57,IF(DATOS_[[Check Periodo Ref.]:[Check Periodo Ref.]]="Dentro",IF(DATOS_[[Check Equiparado]:[Check Equiparado]]="Sí",IF(DATOS!AJ$5="Sí",(1/DATOS_[[% anualiz]:[% anualiz]]),1)*IF(DATOS!AJ$4="Sí",1/DATOS_[[% normaliz]:[% normaliz]],1)*(DATOS_[Conc.Sal.06])))))))),
0)</f>
        <v>0</v>
      </c>
      <c r="P59" s="111">
        <f t="array" ref="P59">IFERROR(
(MEDIAN((IF(DATOS_[[Sexo]:[Sexo]]=$B59,IF(DATOS_[[AGRUP. VALOR. PTO.]:[AGRUP. VALOR. PTO.]]=$B57,IF(DATOS_[[Check Periodo Ref.]:[Check Periodo Ref.]]="Dentro",IF(DATOS_[[Check Equiparado]:[Check Equiparado]]="Sí",IF(DATOS!AK$5="Sí",(1/DATOS_[[% anualiz]:[% anualiz]]),1)*IF(DATOS!AK$4="Sí",1/DATOS_[[% normaliz]:[% normaliz]],1)*(DATOS_[Conc.Sal.07])))))))),
0)</f>
        <v>0</v>
      </c>
      <c r="Q59" s="111">
        <f t="array" ref="Q59">IFERROR(
(MEDIAN((IF(DATOS_[[Sexo]:[Sexo]]=$B59,IF(DATOS_[[AGRUP. VALOR. PTO.]:[AGRUP. VALOR. PTO.]]=$B57,IF(DATOS_[[Check Periodo Ref.]:[Check Periodo Ref.]]="Dentro",IF(DATOS_[[Check Equiparado]:[Check Equiparado]]="Sí",IF(DATOS!AL$5="Sí",(1/DATOS_[[% anualiz]:[% anualiz]]),1)*IF(DATOS!AL$4="Sí",1/DATOS_[[% normaliz]:[% normaliz]],1)*(DATOS_[Conc.Sal.08])))))))),
0)</f>
        <v>0</v>
      </c>
      <c r="R59" s="111">
        <f t="array" ref="R59">IFERROR(
(MEDIAN((IF(DATOS_[[Sexo]:[Sexo]]=$B59,IF(DATOS_[[AGRUP. VALOR. PTO.]:[AGRUP. VALOR. PTO.]]=$B57,IF(DATOS_[[Check Periodo Ref.]:[Check Periodo Ref.]]="Dentro",IF(DATOS_[[Check Equiparado]:[Check Equiparado]]="Sí",IF(DATOS!AM$5="Sí",(1/DATOS_[[% anualiz]:[% anualiz]]),1)*IF(DATOS!AM$4="Sí",1/DATOS_[[% normaliz]:[% normaliz]],1)*(DATOS_[Conc.Sal.09])))))))),
0)</f>
        <v>0</v>
      </c>
      <c r="S59" s="111">
        <f t="array" ref="S59">IFERROR(
(MEDIAN((IF(DATOS_[[Sexo]:[Sexo]]=$B59,IF(DATOS_[[AGRUP. VALOR. PTO.]:[AGRUP. VALOR. PTO.]]=$B57,IF(DATOS_[[Check Periodo Ref.]:[Check Periodo Ref.]]="Dentro",IF(DATOS_[[Check Equiparado]:[Check Equiparado]]="Sí",IF(DATOS!AN$5="Sí",(1/DATOS_[[% anualiz]:[% anualiz]]),1)*IF(DATOS!AN$4="Sí",1/DATOS_[[% normaliz]:[% normaliz]],1)*(DATOS_[Conc.Sal.10])))))))),
0)</f>
        <v>0</v>
      </c>
      <c r="T59" s="111">
        <f t="array" ref="T59">IFERROR(
(MEDIAN((IF(DATOS_[[Sexo]:[Sexo]]=$B59,IF(DATOS_[[AGRUP. VALOR. PTO.]:[AGRUP. VALOR. PTO.]]=$B57,IF(DATOS_[[Check Periodo Ref.]:[Check Periodo Ref.]]="Dentro",IF(DATOS_[[Check Equiparado]:[Check Equiparado]]="Sí",IF(DATOS!AO$5="Sí",(1/DATOS_[[% anualiz]:[% anualiz]]),1)*IF(DATOS!AO$4="Sí",1/DATOS_[[% normaliz]:[% normaliz]],1)*(DATOS_[Conc.Sal.11])))))))),
0)</f>
        <v>0</v>
      </c>
      <c r="U59" s="111">
        <f t="array" ref="U59">IFERROR(
(MEDIAN((IF(DATOS_[[Sexo]:[Sexo]]=$B59,IF(DATOS_[[AGRUP. VALOR. PTO.]:[AGRUP. VALOR. PTO.]]=$B57,IF(DATOS_[[Check Periodo Ref.]:[Check Periodo Ref.]]="Dentro",IF(DATOS_[[Check Equiparado]:[Check Equiparado]]="Sí",IF(DATOS!AP$5="Sí",(1/DATOS_[[% anualiz]:[% anualiz]]),1)*IF(DATOS!AP$4="Sí",1/DATOS_[[% normaliz]:[% normaliz]],1)*(DATOS_[Conc.Sal.12])))))))),
0)</f>
        <v>0</v>
      </c>
      <c r="V59" s="111">
        <f t="array" ref="V59">IFERROR(
(MEDIAN((IF(DATOS_[[Sexo]:[Sexo]]=$B59,IF(DATOS_[[AGRUP. VALOR. PTO.]:[AGRUP. VALOR. PTO.]]=$B57,IF(DATOS_[[Check Periodo Ref.]:[Check Periodo Ref.]]="Dentro",IF(DATOS_[[Check Equiparado]:[Check Equiparado]]="Sí",IF(DATOS!AQ$5="Sí",(1/DATOS_[[% anualiz]:[% anualiz]]),1)*IF(DATOS!AQ$4="Sí",1/DATOS_[[% normaliz]:[% normaliz]],1)*(DATOS_[Conc.Sal.13])))))))),
0)</f>
        <v>0</v>
      </c>
      <c r="W59" s="111">
        <f t="array" ref="W59">IFERROR(
(MEDIAN((IF(DATOS_[[Sexo]:[Sexo]]=$B59,IF(DATOS_[[AGRUP. VALOR. PTO.]:[AGRUP. VALOR. PTO.]]=$B57,IF(DATOS_[[Check Periodo Ref.]:[Check Periodo Ref.]]="Dentro",IF(DATOS_[[Check Equiparado]:[Check Equiparado]]="Sí",IF(DATOS!AR$5="Sí",(1/DATOS_[[% anualiz]:[% anualiz]]),1)*IF(DATOS!AR$4="Sí",1/DATOS_[[% normaliz]:[% normaliz]],1)*(DATOS_[Conc.Sal.14])))))))),
0)</f>
        <v>0</v>
      </c>
      <c r="X59" s="111">
        <f t="array" ref="X59">IFERROR(
(MEDIAN((IF(DATOS_[[Sexo]:[Sexo]]=$B59,IF(DATOS_[[AGRUP. VALOR. PTO.]:[AGRUP. VALOR. PTO.]]=$B57,IF(DATOS_[[Check Periodo Ref.]:[Check Periodo Ref.]]="Dentro",IF(DATOS_[[Check Equiparado]:[Check Equiparado]]="Sí",IF(DATOS!AS$5="Sí",(1/DATOS_[[% anualiz]:[% anualiz]]),1)*IF(DATOS!AS$4="Sí",1/DATOS_[[% normaliz]:[% normaliz]],1)*(DATOS_[Conc.Sal.15])))))))),
0)</f>
        <v>0</v>
      </c>
      <c r="Y59" s="111">
        <f t="array" ref="Y59">IFERROR(
(MEDIAN((IF(DATOS_[[Sexo]:[Sexo]]=$B59,IF(DATOS_[[AGRUP. VALOR. PTO.]:[AGRUP. VALOR. PTO.]]=$B57,IF(DATOS_[[Check Periodo Ref.]:[Check Periodo Ref.]]="Dentro",IF(DATOS_[[Check Equiparado]:[Check Equiparado]]="Sí",IF(DATOS!AT$5="Sí",(1/DATOS_[[% anualiz]:[% anualiz]]),1)*IF(DATOS!AT$4="Sí",1/DATOS_[[% normaliz]:[% normaliz]],1)*(DATOS_[Conc.Sal.16])))))))),
0)</f>
        <v>0</v>
      </c>
      <c r="Z59" s="111">
        <f t="array" ref="Z59">IFERROR(
(MEDIAN((IF(DATOS_[[Sexo]:[Sexo]]=$B59,IF(DATOS_[[AGRUP. VALOR. PTO.]:[AGRUP. VALOR. PTO.]]=$B57,IF(DATOS_[[Check Periodo Ref.]:[Check Periodo Ref.]]="Dentro",IF(DATOS_[[Check Equiparado]:[Check Equiparado]]="Sí",IF(DATOS!AU$5="Sí",(1/DATOS_[[% anualiz]:[% anualiz]]),1)*IF(DATOS!AU$4="Sí",1/DATOS_[[% normaliz]:[% normaliz]],1)*(DATOS_[Conc.Sal.17])))))))),
0)</f>
        <v>0</v>
      </c>
      <c r="AA59" s="111">
        <f t="array" ref="AA59">IFERROR(
(MEDIAN((IF(DATOS_[[Sexo]:[Sexo]]=$B59,IF(DATOS_[[AGRUP. VALOR. PTO.]:[AGRUP. VALOR. PTO.]]=$B57,IF(DATOS_[[Check Periodo Ref.]:[Check Periodo Ref.]]="Dentro",IF(DATOS_[[Check Equiparado]:[Check Equiparado]]="Sí",IF(DATOS!AV$5="Sí",(1/DATOS_[[% anualiz]:[% anualiz]]),1)*IF(DATOS!AV$4="Sí",1/DATOS_[[% normaliz]:[% normaliz]],1)*(DATOS_[Conc.Sal.18])))))))),
0)</f>
        <v>0</v>
      </c>
      <c r="AB59" s="111">
        <f t="array" ref="AB59">IFERROR(
(MEDIAN((IF(DATOS_[[Sexo]:[Sexo]]=$B59,IF(DATOS_[[AGRUP. VALOR. PTO.]:[AGRUP. VALOR. PTO.]]=$B57,IF(DATOS_[[Check Periodo Ref.]:[Check Periodo Ref.]]="Dentro",IF(DATOS_[[Check Equiparado]:[Check Equiparado]]="Sí",IF(DATOS!AW$5="Sí",(1/DATOS_[[% anualiz]:[% anualiz]]),1)*IF(DATOS!AW$4="Sí",1/DATOS_[[% normaliz]:[% normaliz]],1)*(DATOS_[Conc.Sal.19])))))))),
0)</f>
        <v>0</v>
      </c>
      <c r="AC59" s="111">
        <f t="array" ref="AC59">IFERROR(
(MEDIAN((IF(DATOS_[[Sexo]:[Sexo]]=$B59,IF(DATOS_[[AGRUP. VALOR. PTO.]:[AGRUP. VALOR. PTO.]]=$B57,IF(DATOS_[[Check Periodo Ref.]:[Check Periodo Ref.]]="Dentro",IF(DATOS_[[Check Equiparado]:[Check Equiparado]]="Sí",IF(DATOS!AX$5="Sí",(1/DATOS_[[% anualiz]:[% anualiz]]),1)*IF(DATOS!AX$4="Sí",1/DATOS_[[% normaliz]:[% normaliz]],1)*(DATOS_[Conc.Sal.20])))))))),
0)</f>
        <v>0</v>
      </c>
      <c r="AD59" s="111">
        <f t="array" ref="AD59">IFERROR(
(MEDIAN((IF(DATOS_[[Sexo]:[Sexo]]=$B59,IF(DATOS_[[AGRUP. VALOR. PTO.]:[AGRUP. VALOR. PTO.]]=$B57,IF(DATOS_[[Check Periodo Ref.]:[Check Periodo Ref.]]="Dentro",IF(DATOS_[[Check Equiparado]:[Check Equiparado]]="Sí",IF(DATOS!AY$5="Sí",(1/DATOS_[[% anualiz]:[% anualiz]]),1)*IF(DATOS!AY$4="Sí",1/DATOS_[[% normaliz]:[% normaliz]],1)*(DATOS_[Conc.Sal.21])))))))),
0)</f>
        <v>0</v>
      </c>
      <c r="AE59" s="111">
        <f t="array" ref="AE59">IFERROR(
(MEDIAN((IF(DATOS_[[Sexo]:[Sexo]]=$B59,IF(DATOS_[[AGRUP. VALOR. PTO.]:[AGRUP. VALOR. PTO.]]=$B57,IF(DATOS_[[Check Periodo Ref.]:[Check Periodo Ref.]]="Dentro",IF(DATOS_[[Check Equiparado]:[Check Equiparado]]="Sí",IF(DATOS!AZ$5="Sí",(1/DATOS_[[% anualiz]:[% anualiz]]),1)*IF(DATOS!AZ$4="Sí",1/DATOS_[[% normaliz]:[% normaliz]],1)*(DATOS_[Conc.Sal.22])))))))),
0)</f>
        <v>0</v>
      </c>
      <c r="AF59" s="111">
        <f t="array" ref="AF59">IFERROR(
(MEDIAN((IF(DATOS_[[Sexo]:[Sexo]]=$B59,IF(DATOS_[[AGRUP. VALOR. PTO.]:[AGRUP. VALOR. PTO.]]=$B57,IF(DATOS_[[Check Periodo Ref.]:[Check Periodo Ref.]]="Dentro",IF(DATOS_[[Check Equiparado]:[Check Equiparado]]="Sí",IF(DATOS!BA$5="Sí",(1/DATOS_[[% anualiz]:[% anualiz]]),1)*IF(DATOS!BA$4="Sí",1/DATOS_[[% normaliz]:[% normaliz]],1)*(DATOS_[Conc.Sal.23])))))))),
0)</f>
        <v>0</v>
      </c>
      <c r="AG59" s="111">
        <f t="array" ref="AG59">IFERROR(
(MEDIAN((IF(DATOS_[[Sexo]:[Sexo]]=$B59,IF(DATOS_[[AGRUP. VALOR. PTO.]:[AGRUP. VALOR. PTO.]]=$B57,IF(DATOS_[[Check Periodo Ref.]:[Check Periodo Ref.]]="Dentro",IF(DATOS_[[Check Equiparado]:[Check Equiparado]]="Sí",IF(DATOS!BB$5="Sí",(1/DATOS_[[% anualiz]:[% anualiz]]),1)*IF(DATOS!BB$4="Sí",1/DATOS_[[% normaliz]:[% normaliz]],1)*(DATOS_[Conc.Sal.24])))))))),
0)</f>
        <v>0</v>
      </c>
      <c r="AH59" s="111">
        <f t="array" ref="AH59">IFERROR(
(MEDIAN((IF(DATOS_[[Sexo]:[Sexo]]=$B59,IF(DATOS_[[AGRUP. VALOR. PTO.]:[AGRUP. VALOR. PTO.]]=$B57,IF(DATOS_[[Check Periodo Ref.]:[Check Periodo Ref.]]="Dentro",IF(DATOS_[[Check Equiparado]:[Check Equiparado]]="Sí",IF(DATOS!BC$5="Sí",(1/DATOS_[[% anualiz]:[% anualiz]]),1)*IF(DATOS!BC$4="Sí",1/DATOS_[[% normaliz]:[% normaliz]],1)*(DATOS_[Conc.Sal.25])))))))),
0)</f>
        <v>0</v>
      </c>
      <c r="AI59" s="111">
        <f t="array" ref="AI59">IFERROR(
(MEDIAN((IF(DATOS_[[Sexo]:[Sexo]]=$B59,IF(DATOS_[[AGRUP. VALOR. PTO.]:[AGRUP. VALOR. PTO.]]=$B57,IF(DATOS_[[Check Periodo Ref.]:[Check Periodo Ref.]]="Dentro",IF(DATOS_[[Check Equiparado]:[Check Equiparado]]="Sí",IF(DATOS!BD$5="Sí",(1/DATOS_[[% anualiz]:[% anualiz]]),1)*IF(DATOS!BD$4="Sí",1/DATOS_[[% normaliz]:[% normaliz]],1)*(DATOS_[Conc.Sal.26])))))))),
0)</f>
        <v>0</v>
      </c>
      <c r="AJ59" s="111">
        <f t="array" ref="AJ59">IFERROR(
(MEDIAN((IF(DATOS_[[Sexo]:[Sexo]]=$B59,IF(DATOS_[[AGRUP. VALOR. PTO.]:[AGRUP. VALOR. PTO.]]=$B57,IF(DATOS_[[Check Periodo Ref.]:[Check Periodo Ref.]]="Dentro",IF(DATOS_[[Check Equiparado]:[Check Equiparado]]="Sí",IF(DATOS!BE$5="Sí",(1/DATOS_[[% anualiz]:[% anualiz]]),1)*IF(DATOS!BE$4="Sí",1/DATOS_[[% normaliz]:[% normaliz]],1)*(DATOS_[Conc.Sal.27])))))))),
0)</f>
        <v>0</v>
      </c>
      <c r="AK59" s="111">
        <f t="array" ref="AK59">IFERROR(
(MEDIAN((IF(DATOS_[[Sexo]:[Sexo]]=$B59,IF(DATOS_[[AGRUP. VALOR. PTO.]:[AGRUP. VALOR. PTO.]]=$B57,IF(DATOS_[[Check Periodo Ref.]:[Check Periodo Ref.]]="Dentro",IF(DATOS_[[Check Equiparado]:[Check Equiparado]]="Sí",IF(DATOS!BF$5="Sí",(1/DATOS_[[% anualiz]:[% anualiz]]),1)*IF(DATOS!BF$4="Sí",1/DATOS_[[% normaliz]:[% normaliz]],1)*(DATOS_[Conc.Sal.28])))))))),
0)</f>
        <v>0</v>
      </c>
      <c r="AL59" s="111">
        <f t="array" ref="AL59">IFERROR(
(MEDIAN((IF(DATOS_[[Sexo]:[Sexo]]=$B59,IF(DATOS_[[AGRUP. VALOR. PTO.]:[AGRUP. VALOR. PTO.]]=$B57,IF(DATOS_[[Check Periodo Ref.]:[Check Periodo Ref.]]="Dentro",IF(DATOS_[[Check Equiparado]:[Check Equiparado]]="Sí",IF(DATOS!BG$5="Sí",(1/DATOS_[[% anualiz]:[% anualiz]]),1)*IF(DATOS!BG$4="Sí",1/DATOS_[[% normaliz]:[% normaliz]],1)*(DATOS_[Conc.Sal.29])))))))),
0)</f>
        <v>0</v>
      </c>
      <c r="AM59" s="111">
        <f t="array" ref="AM59">IFERROR(
(MEDIAN((IF(DATOS_[[Sexo]:[Sexo]]=$B59,IF(DATOS_[[AGRUP. VALOR. PTO.]:[AGRUP. VALOR. PTO.]]=$B57,IF(DATOS_[[Check Periodo Ref.]:[Check Periodo Ref.]]="Dentro",IF(DATOS_[[Check Equiparado]:[Check Equiparado]]="Sí",IF(DATOS!BH$5="Sí",(1/DATOS_[[% anualiz]:[% anualiz]]),1)*IF(DATOS!BH$4="Sí",1/DATOS_[[% normaliz]:[% normaliz]],1)*(DATOS_[Conc.Sal.30])))))))),
0)</f>
        <v>0</v>
      </c>
      <c r="AN59" s="112">
        <f t="array" ref="AN59">IFERROR(
MEDIAN(IF(DATOS_[Sexo]=$B59,IF(DATOS_[[AGRUP. VALOR. PTO.]:[AGRUP. VALOR. PTO.]]=$B57,IF(DATOS_[Check Equiparado]="Sí",IF(DATOS_[Check Periodo Ref.]="Dentro",DATOS_[Tot COMPL.SAL Eq],FALSE))))),
0)</f>
        <v>0</v>
      </c>
      <c r="AO59" s="113">
        <f t="array" ref="AO59">IFERROR(
MEDIAN(IF(DATOS_[Sexo]=$B59,IF(DATOS_[[AGRUP. VALOR. PTO.]:[AGRUP. VALOR. PTO.]]=$B57,IF(DATOS_[Check Equiparado]="Sí",IF(DATOS_[Check Periodo Ref.]="Dentro",DATOS_[TOTAL SALARIO Eq],FALSE))))),
0)</f>
        <v>0</v>
      </c>
      <c r="AP59" s="114">
        <f t="array" ref="AP59">IFERROR(
(MEDIAN((IF(DATOS_[[Sexo]:[Sexo]]=$B59,IF(DATOS_[[AGRUP. VALOR. PTO.]:[AGRUP. VALOR. PTO.]]=$B58,IF(DATOS_[[Check Periodo Ref.]:[Check Periodo Ref.]]="Dentro",IF(DATOS_[[Check Equiparado]:[Check Equiparado]]="Sí",IF(DATOS!BI$5="Sí",(1/DATOS_[[% anualiz]:[% anualiz]]),1)*IF(DATOS!BI$4="Sí",1/DATOS_[[% normaliz]:[% normaliz]],1)*(DATOS_[C.Extra.01])))))))),
0)</f>
        <v>0</v>
      </c>
      <c r="AQ59" s="114">
        <f t="array" ref="AQ59">IFERROR(
(MEDIAN((IF(DATOS_[[Sexo]:[Sexo]]=$B59,IF(DATOS_[[AGRUP. VALOR. PTO.]:[AGRUP. VALOR. PTO.]]=$B58,IF(DATOS_[[Check Periodo Ref.]:[Check Periodo Ref.]]="Dentro",IF(DATOS_[[Check Equiparado]:[Check Equiparado]]="Sí",IF(DATOS!BJ$5="Sí",(1/DATOS_[[% anualiz]:[% anualiz]]),1)*IF(DATOS!BJ$4="Sí",1/DATOS_[[% normaliz]:[% normaliz]],1)*(DATOS_[C.Extra.02])))))))),
0)</f>
        <v>0</v>
      </c>
      <c r="AR59" s="114">
        <f t="array" ref="AR59">IFERROR(
(MEDIAN((IF(DATOS_[[Sexo]:[Sexo]]=$B59,IF(DATOS_[[AGRUP. VALOR. PTO.]:[AGRUP. VALOR. PTO.]]=$B58,IF(DATOS_[[Check Periodo Ref.]:[Check Periodo Ref.]]="Dentro",IF(DATOS_[[Check Equiparado]:[Check Equiparado]]="Sí",IF(DATOS!BK$5="Sí",(1/DATOS_[[% anualiz]:[% anualiz]]),1)*IF(DATOS!BK$4="Sí",1/DATOS_[[% normaliz]:[% normaliz]],1)*(DATOS_[C.Extra.03])))))))),
0)</f>
        <v>0</v>
      </c>
      <c r="AS59" s="114">
        <f t="array" ref="AS59">IFERROR(
(MEDIAN((IF(DATOS_[[Sexo]:[Sexo]]=$B59,IF(DATOS_[[AGRUP. VALOR. PTO.]:[AGRUP. VALOR. PTO.]]=$B58,IF(DATOS_[[Check Periodo Ref.]:[Check Periodo Ref.]]="Dentro",IF(DATOS_[[Check Equiparado]:[Check Equiparado]]="Sí",IF(DATOS!BL$5="Sí",(1/DATOS_[[% anualiz]:[% anualiz]]),1)*IF(DATOS!BL$4="Sí",1/DATOS_[[% normaliz]:[% normaliz]],1)*(DATOS_[C.Extra.04])))))))),
0)</f>
        <v>0</v>
      </c>
      <c r="AT59" s="114">
        <f t="array" ref="AT59">IFERROR(
(MEDIAN((IF(DATOS_[[Sexo]:[Sexo]]=$B59,IF(DATOS_[[AGRUP. VALOR. PTO.]:[AGRUP. VALOR. PTO.]]=$B58,IF(DATOS_[[Check Periodo Ref.]:[Check Periodo Ref.]]="Dentro",IF(DATOS_[[Check Equiparado]:[Check Equiparado]]="Sí",IF(DATOS!BM$5="Sí",(1/DATOS_[[% anualiz]:[% anualiz]]),1)*IF(DATOS!BM$4="Sí",1/DATOS_[[% normaliz]:[% normaliz]],1)*(DATOS_[C.Extra.05])))))))),
0)</f>
        <v>0</v>
      </c>
      <c r="AU59" s="115">
        <f t="array" ref="AU59">IFERROR(
MEDIAN(IF(DATOS_[Sexo]=$B59,IF(DATOS_[[AGRUP. VALOR. PTO.]:[AGRUP. VALOR. PTO.]]=$B57,IF(DATOS_[Check Equiparado]="Sí",IF(DATOS_[Check Periodo Ref.]="Dentro",DATOS_[Tot Extrasalarial Eq],FALSE))))),
0)</f>
        <v>0</v>
      </c>
      <c r="AV59" s="116">
        <f t="array" ref="AV59">IFERROR(
MEDIAN(IF(DATOS_[Sexo]=$B59,IF(DATOS_[[AGRUP. VALOR. PTO.]:[AGRUP. VALOR. PTO.]]=$B57,IF(DATOS_[Check Equiparado]="Sí",IF(DATOS_[Check Periodo Ref.]="Dentro",DATOS_[TOTAL Retrib Eq],FALSE))))),
0)</f>
        <v>0</v>
      </c>
    </row>
    <row r="60" spans="1:48" ht="17.25" hidden="1" thickBot="1" x14ac:dyDescent="0.35">
      <c r="A60" s="42" t="str">
        <f t="shared" ref="A60" si="63">+A61</f>
        <v>[ocultar]</v>
      </c>
      <c r="B60" s="90" t="s">
        <v>275</v>
      </c>
      <c r="C60" s="109"/>
      <c r="D60" s="41"/>
      <c r="E60" s="41"/>
      <c r="F60" s="41"/>
      <c r="G60" s="41"/>
      <c r="H60" s="41"/>
      <c r="I60" s="119" t="str">
        <f t="shared" ref="I60:AV60" si="64">IFERROR((I61-I62)/I61,"")</f>
        <v/>
      </c>
      <c r="J60" s="123" t="str">
        <f t="shared" si="64"/>
        <v/>
      </c>
      <c r="K60" s="123" t="str">
        <f t="shared" si="64"/>
        <v/>
      </c>
      <c r="L60" s="123" t="str">
        <f t="shared" si="64"/>
        <v/>
      </c>
      <c r="M60" s="123" t="str">
        <f t="shared" si="64"/>
        <v/>
      </c>
      <c r="N60" s="123" t="str">
        <f t="shared" si="64"/>
        <v/>
      </c>
      <c r="O60" s="123" t="str">
        <f t="shared" si="64"/>
        <v/>
      </c>
      <c r="P60" s="123" t="str">
        <f t="shared" si="64"/>
        <v/>
      </c>
      <c r="Q60" s="123" t="str">
        <f t="shared" si="64"/>
        <v/>
      </c>
      <c r="R60" s="123" t="str">
        <f t="shared" si="64"/>
        <v/>
      </c>
      <c r="S60" s="123" t="str">
        <f t="shared" si="64"/>
        <v/>
      </c>
      <c r="T60" s="123" t="str">
        <f t="shared" si="64"/>
        <v/>
      </c>
      <c r="U60" s="123" t="str">
        <f t="shared" si="64"/>
        <v/>
      </c>
      <c r="V60" s="123" t="str">
        <f t="shared" si="64"/>
        <v/>
      </c>
      <c r="W60" s="123" t="str">
        <f t="shared" si="64"/>
        <v/>
      </c>
      <c r="X60" s="123" t="str">
        <f t="shared" si="64"/>
        <v/>
      </c>
      <c r="Y60" s="123" t="str">
        <f t="shared" si="64"/>
        <v/>
      </c>
      <c r="Z60" s="122" t="str">
        <f t="shared" si="64"/>
        <v/>
      </c>
      <c r="AA60" s="122" t="str">
        <f t="shared" si="64"/>
        <v/>
      </c>
      <c r="AB60" s="122" t="str">
        <f t="shared" si="64"/>
        <v/>
      </c>
      <c r="AC60" s="122" t="str">
        <f t="shared" si="64"/>
        <v/>
      </c>
      <c r="AD60" s="122" t="str">
        <f t="shared" si="64"/>
        <v/>
      </c>
      <c r="AE60" s="122" t="str">
        <f t="shared" si="64"/>
        <v/>
      </c>
      <c r="AF60" s="122" t="str">
        <f t="shared" si="64"/>
        <v/>
      </c>
      <c r="AG60" s="122" t="str">
        <f t="shared" si="64"/>
        <v/>
      </c>
      <c r="AH60" s="122" t="str">
        <f t="shared" si="64"/>
        <v/>
      </c>
      <c r="AI60" s="122" t="str">
        <f t="shared" si="64"/>
        <v/>
      </c>
      <c r="AJ60" s="122" t="str">
        <f t="shared" si="64"/>
        <v/>
      </c>
      <c r="AK60" s="122" t="str">
        <f t="shared" si="64"/>
        <v/>
      </c>
      <c r="AL60" s="122" t="str">
        <f t="shared" si="64"/>
        <v/>
      </c>
      <c r="AM60" s="122" t="str">
        <f t="shared" si="64"/>
        <v/>
      </c>
      <c r="AN60" s="124" t="str">
        <f t="shared" si="64"/>
        <v/>
      </c>
      <c r="AO60" s="128" t="str">
        <f t="shared" si="64"/>
        <v/>
      </c>
      <c r="AP60" s="125" t="str">
        <f t="shared" si="64"/>
        <v/>
      </c>
      <c r="AQ60" s="125" t="str">
        <f t="shared" si="64"/>
        <v/>
      </c>
      <c r="AR60" s="125" t="str">
        <f t="shared" si="64"/>
        <v/>
      </c>
      <c r="AS60" s="125" t="str">
        <f t="shared" si="64"/>
        <v/>
      </c>
      <c r="AT60" s="125" t="str">
        <f t="shared" si="64"/>
        <v/>
      </c>
      <c r="AU60" s="126" t="str">
        <f t="shared" si="64"/>
        <v/>
      </c>
      <c r="AV60" s="127" t="str">
        <f t="shared" si="64"/>
        <v/>
      </c>
    </row>
    <row r="61" spans="1:48" hidden="1" x14ac:dyDescent="0.3">
      <c r="A61" s="42" t="str">
        <f t="shared" ref="A61" si="65">+IF(C61+C62=0,"[ocultar]","")</f>
        <v>[ocultar]</v>
      </c>
      <c r="B61" s="86" t="s">
        <v>162</v>
      </c>
      <c r="C61" s="33">
        <f t="array" ref="C61">SUM(IF($B61=DATOS_[Sexo],
IF($B60=DATOS_[AGRUP. VALOR. PTO.],
IF("Dentro"=DATOS_[Check Periodo Ref.],
1/(COUNTIFS(DATOS_[Sexo],$B61,DATOS_[AGRUP. VALOR. PTO.],$B60,DATOS_[Check Periodo Ref.],"Dentro",DATOS_[id],DATOS_[id]))))))</f>
        <v>0</v>
      </c>
      <c r="D61" s="35">
        <f>COUNTIFS(DATOS_[AGRUP. VALOR. PTO.],$B60,DATOS_[Sexo],$B61,DATOS_[Check Periodo Ref.],"Dentro")</f>
        <v>0</v>
      </c>
      <c r="E61" s="35">
        <f>COUNTIFS(DATOS_[AGRUP. VALOR. PTO.],$B60,DATOS_[Sexo],$B61,DATOS_[Check Periodo Ref.],"Dentro",DATOS_[Check Nº SC Norm],"Sí")</f>
        <v>0</v>
      </c>
      <c r="F61" s="35">
        <f>COUNTIFS(DATOS_[AGRUP. VALOR. PTO.],$B60,DATOS_[Sexo],$B61,DATOS_[Check Periodo Ref.],"Dentro",DATOS_[Check Nº SC Anualiz],"Sí")</f>
        <v>0</v>
      </c>
      <c r="G61" s="35">
        <f>COUNTIFS(DATOS_[AGRUP. VALOR. PTO.],$B60,DATOS_[Sexo],$B61,DATOS_[Check Periodo Ref.],"Dentro",DATOS_[Check Nº SC Norm y Anualiz],"Sí")</f>
        <v>0</v>
      </c>
      <c r="H61" s="35">
        <f>COUNTIFS(DATOS_[AGRUP. VALOR. PTO.],$B60,DATOS_[Sexo],$B61,DATOS_[Check Periodo Ref.],"Dentro",DATOS_[Check Equiparación],"Sí")</f>
        <v>0</v>
      </c>
      <c r="I61" s="110">
        <f t="array" ref="I61">IFERROR(
MEDIAN(IF(DATOS_[Sexo]=$B61,IF(DATOS_[[AGRUP. VALOR. PTO.]:[AGRUP. VALOR. PTO.]]=$B60,IF(DATOS_[Check Equiparado]="Sí",IF(DATOS_[Check Periodo Ref.]="Dentro",DATOS_[SALARIO BASE Eq],FALSE))))),
0)</f>
        <v>0</v>
      </c>
      <c r="J61" s="111">
        <f t="array" ref="J61">IFERROR(
(MEDIAN((IF(DATOS_[[Sexo]:[Sexo]]=$B61,IF(DATOS_[[AGRUP. VALOR. PTO.]:[AGRUP. VALOR. PTO.]]=$B60,IF(DATOS_[[Check Periodo Ref.]:[Check Periodo Ref.]]="Dentro",IF(DATOS_[[Check Equiparado]:[Check Equiparado]]="Sí",IF(DATOS!AE$5="Sí",(1/DATOS_[[% anualiz]:[% anualiz]]),1)*IF(DATOS!AE$4="Sí",1/DATOS_[[% normaliz]:[% normaliz]],1)*(DATOS_[Conc.Sal.01])))))))),
0)</f>
        <v>0</v>
      </c>
      <c r="K61" s="111">
        <f t="array" ref="K61">IFERROR(
(MEDIAN((IF(DATOS_[[Sexo]:[Sexo]]=$B61,IF(DATOS_[[AGRUP. VALOR. PTO.]:[AGRUP. VALOR. PTO.]]=$B60,IF(DATOS_[[Check Periodo Ref.]:[Check Periodo Ref.]]="Dentro",IF(DATOS_[[Check Equiparado]:[Check Equiparado]]="Sí",IF(DATOS!AF$5="Sí",(1/DATOS_[[% anualiz]:[% anualiz]]),1)*IF(DATOS!AF$4="Sí",1/DATOS_[[% normaliz]:[% normaliz]],1)*(DATOS_[Conc.Sal.02])))))))),
0)</f>
        <v>0</v>
      </c>
      <c r="L61" s="111">
        <f t="array" ref="L61">IFERROR(
(MEDIAN((IF(DATOS_[[Sexo]:[Sexo]]=$B61,IF(DATOS_[[AGRUP. VALOR. PTO.]:[AGRUP. VALOR. PTO.]]=$B60,IF(DATOS_[[Check Periodo Ref.]:[Check Periodo Ref.]]="Dentro",IF(DATOS_[[Check Equiparado]:[Check Equiparado]]="Sí",IF(DATOS!AG$5="Sí",(1/DATOS_[[% anualiz]:[% anualiz]]),1)*IF(DATOS!AG$4="Sí",1/DATOS_[[% normaliz]:[% normaliz]],1)*(DATOS_[Conc.Sal.03])))))))),
0)</f>
        <v>0</v>
      </c>
      <c r="M61" s="111">
        <f t="array" ref="M61">IFERROR(
(MEDIAN((IF(DATOS_[[Sexo]:[Sexo]]=$B61,IF(DATOS_[[AGRUP. VALOR. PTO.]:[AGRUP. VALOR. PTO.]]=$B60,IF(DATOS_[[Check Periodo Ref.]:[Check Periodo Ref.]]="Dentro",IF(DATOS_[[Check Equiparado]:[Check Equiparado]]="Sí",IF(DATOS!AH$5="Sí",(1/DATOS_[[% anualiz]:[% anualiz]]),1)*IF(DATOS!AH$4="Sí",1/DATOS_[[% normaliz]:[% normaliz]],1)*(DATOS_[Conc.Sal.04])))))))),
0)</f>
        <v>0</v>
      </c>
      <c r="N61" s="111">
        <f t="array" ref="N61">IFERROR(
(MEDIAN((IF(DATOS_[[Sexo]:[Sexo]]=$B61,IF(DATOS_[[AGRUP. VALOR. PTO.]:[AGRUP. VALOR. PTO.]]=$B60,IF(DATOS_[[Check Periodo Ref.]:[Check Periodo Ref.]]="Dentro",IF(DATOS_[[Check Equiparado]:[Check Equiparado]]="Sí",IF(DATOS!AI$5="Sí",(1/DATOS_[[% anualiz]:[% anualiz]]),1)*IF(DATOS!AI$4="Sí",1/DATOS_[[% normaliz]:[% normaliz]],1)*(DATOS_[Conc.Sal.05])))))))),
0)</f>
        <v>0</v>
      </c>
      <c r="O61" s="111">
        <f t="array" ref="O61">IFERROR(
(MEDIAN((IF(DATOS_[[Sexo]:[Sexo]]=$B61,IF(DATOS_[[AGRUP. VALOR. PTO.]:[AGRUP. VALOR. PTO.]]=$B60,IF(DATOS_[[Check Periodo Ref.]:[Check Periodo Ref.]]="Dentro",IF(DATOS_[[Check Equiparado]:[Check Equiparado]]="Sí",IF(DATOS!AJ$5="Sí",(1/DATOS_[[% anualiz]:[% anualiz]]),1)*IF(DATOS!AJ$4="Sí",1/DATOS_[[% normaliz]:[% normaliz]],1)*(DATOS_[Conc.Sal.06])))))))),
0)</f>
        <v>0</v>
      </c>
      <c r="P61" s="111">
        <f t="array" ref="P61">IFERROR(
(MEDIAN((IF(DATOS_[[Sexo]:[Sexo]]=$B61,IF(DATOS_[[AGRUP. VALOR. PTO.]:[AGRUP. VALOR. PTO.]]=$B60,IF(DATOS_[[Check Periodo Ref.]:[Check Periodo Ref.]]="Dentro",IF(DATOS_[[Check Equiparado]:[Check Equiparado]]="Sí",IF(DATOS!AK$5="Sí",(1/DATOS_[[% anualiz]:[% anualiz]]),1)*IF(DATOS!AK$4="Sí",1/DATOS_[[% normaliz]:[% normaliz]],1)*(DATOS_[Conc.Sal.07])))))))),
0)</f>
        <v>0</v>
      </c>
      <c r="Q61" s="111">
        <f t="array" ref="Q61">IFERROR(
(MEDIAN((IF(DATOS_[[Sexo]:[Sexo]]=$B61,IF(DATOS_[[AGRUP. VALOR. PTO.]:[AGRUP. VALOR. PTO.]]=$B60,IF(DATOS_[[Check Periodo Ref.]:[Check Periodo Ref.]]="Dentro",IF(DATOS_[[Check Equiparado]:[Check Equiparado]]="Sí",IF(DATOS!AL$5="Sí",(1/DATOS_[[% anualiz]:[% anualiz]]),1)*IF(DATOS!AL$4="Sí",1/DATOS_[[% normaliz]:[% normaliz]],1)*(DATOS_[Conc.Sal.08])))))))),
0)</f>
        <v>0</v>
      </c>
      <c r="R61" s="111">
        <f t="array" ref="R61">IFERROR(
(MEDIAN((IF(DATOS_[[Sexo]:[Sexo]]=$B61,IF(DATOS_[[AGRUP. VALOR. PTO.]:[AGRUP. VALOR. PTO.]]=$B60,IF(DATOS_[[Check Periodo Ref.]:[Check Periodo Ref.]]="Dentro",IF(DATOS_[[Check Equiparado]:[Check Equiparado]]="Sí",IF(DATOS!AM$5="Sí",(1/DATOS_[[% anualiz]:[% anualiz]]),1)*IF(DATOS!AM$4="Sí",1/DATOS_[[% normaliz]:[% normaliz]],1)*(DATOS_[Conc.Sal.09])))))))),
0)</f>
        <v>0</v>
      </c>
      <c r="S61" s="111">
        <f t="array" ref="S61">IFERROR(
(MEDIAN((IF(DATOS_[[Sexo]:[Sexo]]=$B61,IF(DATOS_[[AGRUP. VALOR. PTO.]:[AGRUP. VALOR. PTO.]]=$B60,IF(DATOS_[[Check Periodo Ref.]:[Check Periodo Ref.]]="Dentro",IF(DATOS_[[Check Equiparado]:[Check Equiparado]]="Sí",IF(DATOS!AN$5="Sí",(1/DATOS_[[% anualiz]:[% anualiz]]),1)*IF(DATOS!AN$4="Sí",1/DATOS_[[% normaliz]:[% normaliz]],1)*(DATOS_[Conc.Sal.10])))))))),
0)</f>
        <v>0</v>
      </c>
      <c r="T61" s="111">
        <f t="array" ref="T61">IFERROR(
(MEDIAN((IF(DATOS_[[Sexo]:[Sexo]]=$B61,IF(DATOS_[[AGRUP. VALOR. PTO.]:[AGRUP. VALOR. PTO.]]=$B60,IF(DATOS_[[Check Periodo Ref.]:[Check Periodo Ref.]]="Dentro",IF(DATOS_[[Check Equiparado]:[Check Equiparado]]="Sí",IF(DATOS!AO$5="Sí",(1/DATOS_[[% anualiz]:[% anualiz]]),1)*IF(DATOS!AO$4="Sí",1/DATOS_[[% normaliz]:[% normaliz]],1)*(DATOS_[Conc.Sal.11])))))))),
0)</f>
        <v>0</v>
      </c>
      <c r="U61" s="111">
        <f t="array" ref="U61">IFERROR(
(MEDIAN((IF(DATOS_[[Sexo]:[Sexo]]=$B61,IF(DATOS_[[AGRUP. VALOR. PTO.]:[AGRUP. VALOR. PTO.]]=$B60,IF(DATOS_[[Check Periodo Ref.]:[Check Periodo Ref.]]="Dentro",IF(DATOS_[[Check Equiparado]:[Check Equiparado]]="Sí",IF(DATOS!AP$5="Sí",(1/DATOS_[[% anualiz]:[% anualiz]]),1)*IF(DATOS!AP$4="Sí",1/DATOS_[[% normaliz]:[% normaliz]],1)*(DATOS_[Conc.Sal.12])))))))),
0)</f>
        <v>0</v>
      </c>
      <c r="V61" s="111">
        <f t="array" ref="V61">IFERROR(
(MEDIAN((IF(DATOS_[[Sexo]:[Sexo]]=$B61,IF(DATOS_[[AGRUP. VALOR. PTO.]:[AGRUP. VALOR. PTO.]]=$B60,IF(DATOS_[[Check Periodo Ref.]:[Check Periodo Ref.]]="Dentro",IF(DATOS_[[Check Equiparado]:[Check Equiparado]]="Sí",IF(DATOS!AQ$5="Sí",(1/DATOS_[[% anualiz]:[% anualiz]]),1)*IF(DATOS!AQ$4="Sí",1/DATOS_[[% normaliz]:[% normaliz]],1)*(DATOS_[Conc.Sal.13])))))))),
0)</f>
        <v>0</v>
      </c>
      <c r="W61" s="111">
        <f t="array" ref="W61">IFERROR(
(MEDIAN((IF(DATOS_[[Sexo]:[Sexo]]=$B61,IF(DATOS_[[AGRUP. VALOR. PTO.]:[AGRUP. VALOR. PTO.]]=$B60,IF(DATOS_[[Check Periodo Ref.]:[Check Periodo Ref.]]="Dentro",IF(DATOS_[[Check Equiparado]:[Check Equiparado]]="Sí",IF(DATOS!AR$5="Sí",(1/DATOS_[[% anualiz]:[% anualiz]]),1)*IF(DATOS!AR$4="Sí",1/DATOS_[[% normaliz]:[% normaliz]],1)*(DATOS_[Conc.Sal.14])))))))),
0)</f>
        <v>0</v>
      </c>
      <c r="X61" s="111">
        <f t="array" ref="X61">IFERROR(
(MEDIAN((IF(DATOS_[[Sexo]:[Sexo]]=$B61,IF(DATOS_[[AGRUP. VALOR. PTO.]:[AGRUP. VALOR. PTO.]]=$B60,IF(DATOS_[[Check Periodo Ref.]:[Check Periodo Ref.]]="Dentro",IF(DATOS_[[Check Equiparado]:[Check Equiparado]]="Sí",IF(DATOS!AS$5="Sí",(1/DATOS_[[% anualiz]:[% anualiz]]),1)*IF(DATOS!AS$4="Sí",1/DATOS_[[% normaliz]:[% normaliz]],1)*(DATOS_[Conc.Sal.15])))))))),
0)</f>
        <v>0</v>
      </c>
      <c r="Y61" s="111">
        <f t="array" ref="Y61">IFERROR(
(MEDIAN((IF(DATOS_[[Sexo]:[Sexo]]=$B61,IF(DATOS_[[AGRUP. VALOR. PTO.]:[AGRUP. VALOR. PTO.]]=$B60,IF(DATOS_[[Check Periodo Ref.]:[Check Periodo Ref.]]="Dentro",IF(DATOS_[[Check Equiparado]:[Check Equiparado]]="Sí",IF(DATOS!AT$5="Sí",(1/DATOS_[[% anualiz]:[% anualiz]]),1)*IF(DATOS!AT$4="Sí",1/DATOS_[[% normaliz]:[% normaliz]],1)*(DATOS_[Conc.Sal.16])))))))),
0)</f>
        <v>0</v>
      </c>
      <c r="Z61" s="111">
        <f t="array" ref="Z61">IFERROR(
(MEDIAN((IF(DATOS_[[Sexo]:[Sexo]]=$B61,IF(DATOS_[[AGRUP. VALOR. PTO.]:[AGRUP. VALOR. PTO.]]=$B60,IF(DATOS_[[Check Periodo Ref.]:[Check Periodo Ref.]]="Dentro",IF(DATOS_[[Check Equiparado]:[Check Equiparado]]="Sí",IF(DATOS!AU$5="Sí",(1/DATOS_[[% anualiz]:[% anualiz]]),1)*IF(DATOS!AU$4="Sí",1/DATOS_[[% normaliz]:[% normaliz]],1)*(DATOS_[Conc.Sal.17])))))))),
0)</f>
        <v>0</v>
      </c>
      <c r="AA61" s="111">
        <f t="array" ref="AA61">IFERROR(
(MEDIAN((IF(DATOS_[[Sexo]:[Sexo]]=$B61,IF(DATOS_[[AGRUP. VALOR. PTO.]:[AGRUP. VALOR. PTO.]]=$B60,IF(DATOS_[[Check Periodo Ref.]:[Check Periodo Ref.]]="Dentro",IF(DATOS_[[Check Equiparado]:[Check Equiparado]]="Sí",IF(DATOS!AV$5="Sí",(1/DATOS_[[% anualiz]:[% anualiz]]),1)*IF(DATOS!AV$4="Sí",1/DATOS_[[% normaliz]:[% normaliz]],1)*(DATOS_[Conc.Sal.18])))))))),
0)</f>
        <v>0</v>
      </c>
      <c r="AB61" s="111">
        <f t="array" ref="AB61">IFERROR(
(MEDIAN((IF(DATOS_[[Sexo]:[Sexo]]=$B61,IF(DATOS_[[AGRUP. VALOR. PTO.]:[AGRUP. VALOR. PTO.]]=$B60,IF(DATOS_[[Check Periodo Ref.]:[Check Periodo Ref.]]="Dentro",IF(DATOS_[[Check Equiparado]:[Check Equiparado]]="Sí",IF(DATOS!AW$5="Sí",(1/DATOS_[[% anualiz]:[% anualiz]]),1)*IF(DATOS!AW$4="Sí",1/DATOS_[[% normaliz]:[% normaliz]],1)*(DATOS_[Conc.Sal.19])))))))),
0)</f>
        <v>0</v>
      </c>
      <c r="AC61" s="111">
        <f t="array" ref="AC61">IFERROR(
(MEDIAN((IF(DATOS_[[Sexo]:[Sexo]]=$B61,IF(DATOS_[[AGRUP. VALOR. PTO.]:[AGRUP. VALOR. PTO.]]=$B60,IF(DATOS_[[Check Periodo Ref.]:[Check Periodo Ref.]]="Dentro",IF(DATOS_[[Check Equiparado]:[Check Equiparado]]="Sí",IF(DATOS!AX$5="Sí",(1/DATOS_[[% anualiz]:[% anualiz]]),1)*IF(DATOS!AX$4="Sí",1/DATOS_[[% normaliz]:[% normaliz]],1)*(DATOS_[Conc.Sal.20])))))))),
0)</f>
        <v>0</v>
      </c>
      <c r="AD61" s="111">
        <f t="array" ref="AD61">IFERROR(
(MEDIAN((IF(DATOS_[[Sexo]:[Sexo]]=$B61,IF(DATOS_[[AGRUP. VALOR. PTO.]:[AGRUP. VALOR. PTO.]]=$B60,IF(DATOS_[[Check Periodo Ref.]:[Check Periodo Ref.]]="Dentro",IF(DATOS_[[Check Equiparado]:[Check Equiparado]]="Sí",IF(DATOS!AY$5="Sí",(1/DATOS_[[% anualiz]:[% anualiz]]),1)*IF(DATOS!AY$4="Sí",1/DATOS_[[% normaliz]:[% normaliz]],1)*(DATOS_[Conc.Sal.21])))))))),
0)</f>
        <v>0</v>
      </c>
      <c r="AE61" s="111">
        <f t="array" ref="AE61">IFERROR(
(MEDIAN((IF(DATOS_[[Sexo]:[Sexo]]=$B61,IF(DATOS_[[AGRUP. VALOR. PTO.]:[AGRUP. VALOR. PTO.]]=$B60,IF(DATOS_[[Check Periodo Ref.]:[Check Periodo Ref.]]="Dentro",IF(DATOS_[[Check Equiparado]:[Check Equiparado]]="Sí",IF(DATOS!AZ$5="Sí",(1/DATOS_[[% anualiz]:[% anualiz]]),1)*IF(DATOS!AZ$4="Sí",1/DATOS_[[% normaliz]:[% normaliz]],1)*(DATOS_[Conc.Sal.22])))))))),
0)</f>
        <v>0</v>
      </c>
      <c r="AF61" s="111">
        <f t="array" ref="AF61">IFERROR(
(MEDIAN((IF(DATOS_[[Sexo]:[Sexo]]=$B61,IF(DATOS_[[AGRUP. VALOR. PTO.]:[AGRUP. VALOR. PTO.]]=$B60,IF(DATOS_[[Check Periodo Ref.]:[Check Periodo Ref.]]="Dentro",IF(DATOS_[[Check Equiparado]:[Check Equiparado]]="Sí",IF(DATOS!BA$5="Sí",(1/DATOS_[[% anualiz]:[% anualiz]]),1)*IF(DATOS!BA$4="Sí",1/DATOS_[[% normaliz]:[% normaliz]],1)*(DATOS_[Conc.Sal.23])))))))),
0)</f>
        <v>0</v>
      </c>
      <c r="AG61" s="111">
        <f t="array" ref="AG61">IFERROR(
(MEDIAN((IF(DATOS_[[Sexo]:[Sexo]]=$B61,IF(DATOS_[[AGRUP. VALOR. PTO.]:[AGRUP. VALOR. PTO.]]=$B60,IF(DATOS_[[Check Periodo Ref.]:[Check Periodo Ref.]]="Dentro",IF(DATOS_[[Check Equiparado]:[Check Equiparado]]="Sí",IF(DATOS!BB$5="Sí",(1/DATOS_[[% anualiz]:[% anualiz]]),1)*IF(DATOS!BB$4="Sí",1/DATOS_[[% normaliz]:[% normaliz]],1)*(DATOS_[Conc.Sal.24])))))))),
0)</f>
        <v>0</v>
      </c>
      <c r="AH61" s="111">
        <f t="array" ref="AH61">IFERROR(
(MEDIAN((IF(DATOS_[[Sexo]:[Sexo]]=$B61,IF(DATOS_[[AGRUP. VALOR. PTO.]:[AGRUP. VALOR. PTO.]]=$B60,IF(DATOS_[[Check Periodo Ref.]:[Check Periodo Ref.]]="Dentro",IF(DATOS_[[Check Equiparado]:[Check Equiparado]]="Sí",IF(DATOS!BC$5="Sí",(1/DATOS_[[% anualiz]:[% anualiz]]),1)*IF(DATOS!BC$4="Sí",1/DATOS_[[% normaliz]:[% normaliz]],1)*(DATOS_[Conc.Sal.25])))))))),
0)</f>
        <v>0</v>
      </c>
      <c r="AI61" s="111">
        <f t="array" ref="AI61">IFERROR(
(MEDIAN((IF(DATOS_[[Sexo]:[Sexo]]=$B61,IF(DATOS_[[AGRUP. VALOR. PTO.]:[AGRUP. VALOR. PTO.]]=$B60,IF(DATOS_[[Check Periodo Ref.]:[Check Periodo Ref.]]="Dentro",IF(DATOS_[[Check Equiparado]:[Check Equiparado]]="Sí",IF(DATOS!BD$5="Sí",(1/DATOS_[[% anualiz]:[% anualiz]]),1)*IF(DATOS!BD$4="Sí",1/DATOS_[[% normaliz]:[% normaliz]],1)*(DATOS_[Conc.Sal.26])))))))),
0)</f>
        <v>0</v>
      </c>
      <c r="AJ61" s="111">
        <f t="array" ref="AJ61">IFERROR(
(MEDIAN((IF(DATOS_[[Sexo]:[Sexo]]=$B61,IF(DATOS_[[AGRUP. VALOR. PTO.]:[AGRUP. VALOR. PTO.]]=$B60,IF(DATOS_[[Check Periodo Ref.]:[Check Periodo Ref.]]="Dentro",IF(DATOS_[[Check Equiparado]:[Check Equiparado]]="Sí",IF(DATOS!BE$5="Sí",(1/DATOS_[[% anualiz]:[% anualiz]]),1)*IF(DATOS!BE$4="Sí",1/DATOS_[[% normaliz]:[% normaliz]],1)*(DATOS_[Conc.Sal.27])))))))),
0)</f>
        <v>0</v>
      </c>
      <c r="AK61" s="111">
        <f t="array" ref="AK61">IFERROR(
(MEDIAN((IF(DATOS_[[Sexo]:[Sexo]]=$B61,IF(DATOS_[[AGRUP. VALOR. PTO.]:[AGRUP. VALOR. PTO.]]=$B60,IF(DATOS_[[Check Periodo Ref.]:[Check Periodo Ref.]]="Dentro",IF(DATOS_[[Check Equiparado]:[Check Equiparado]]="Sí",IF(DATOS!BF$5="Sí",(1/DATOS_[[% anualiz]:[% anualiz]]),1)*IF(DATOS!BF$4="Sí",1/DATOS_[[% normaliz]:[% normaliz]],1)*(DATOS_[Conc.Sal.28])))))))),
0)</f>
        <v>0</v>
      </c>
      <c r="AL61" s="111">
        <f t="array" ref="AL61">IFERROR(
(MEDIAN((IF(DATOS_[[Sexo]:[Sexo]]=$B61,IF(DATOS_[[AGRUP. VALOR. PTO.]:[AGRUP. VALOR. PTO.]]=$B60,IF(DATOS_[[Check Periodo Ref.]:[Check Periodo Ref.]]="Dentro",IF(DATOS_[[Check Equiparado]:[Check Equiparado]]="Sí",IF(DATOS!BG$5="Sí",(1/DATOS_[[% anualiz]:[% anualiz]]),1)*IF(DATOS!BG$4="Sí",1/DATOS_[[% normaliz]:[% normaliz]],1)*(DATOS_[Conc.Sal.29])))))))),
0)</f>
        <v>0</v>
      </c>
      <c r="AM61" s="111">
        <f t="array" ref="AM61">IFERROR(
(MEDIAN((IF(DATOS_[[Sexo]:[Sexo]]=$B61,IF(DATOS_[[AGRUP. VALOR. PTO.]:[AGRUP. VALOR. PTO.]]=$B60,IF(DATOS_[[Check Periodo Ref.]:[Check Periodo Ref.]]="Dentro",IF(DATOS_[[Check Equiparado]:[Check Equiparado]]="Sí",IF(DATOS!BH$5="Sí",(1/DATOS_[[% anualiz]:[% anualiz]]),1)*IF(DATOS!BH$4="Sí",1/DATOS_[[% normaliz]:[% normaliz]],1)*(DATOS_[Conc.Sal.30])))))))),
0)</f>
        <v>0</v>
      </c>
      <c r="AN61" s="112">
        <f t="array" ref="AN61">IFERROR(
MEDIAN(IF(DATOS_[Sexo]=$B61,IF(DATOS_[[AGRUP. VALOR. PTO.]:[AGRUP. VALOR. PTO.]]=$B60,IF(DATOS_[Check Equiparado]="Sí",IF(DATOS_[Check Periodo Ref.]="Dentro",DATOS_[Tot COMPL.SAL Eq],FALSE))))),
0)</f>
        <v>0</v>
      </c>
      <c r="AO61" s="113">
        <f t="array" ref="AO61">IFERROR(
MEDIAN(IF(DATOS_[Sexo]=$B61,IF(DATOS_[[AGRUP. VALOR. PTO.]:[AGRUP. VALOR. PTO.]]=$B60,IF(DATOS_[Check Equiparado]="Sí",IF(DATOS_[Check Periodo Ref.]="Dentro",DATOS_[TOTAL SALARIO Eq],FALSE))))),
0)</f>
        <v>0</v>
      </c>
      <c r="AP61" s="114">
        <f t="array" ref="AP61">IFERROR(
(MEDIAN((IF(DATOS_[[Sexo]:[Sexo]]=$B61,IF(DATOS_[[AGRUP. VALOR. PTO.]:[AGRUP. VALOR. PTO.]]=$B60,IF(DATOS_[[Check Periodo Ref.]:[Check Periodo Ref.]]="Dentro",IF(DATOS_[[Check Equiparado]:[Check Equiparado]]="Sí",IF(DATOS!BI$5="Sí",(1/DATOS_[[% anualiz]:[% anualiz]]),1)*IF(DATOS!BI$4="Sí",1/DATOS_[[% normaliz]:[% normaliz]],1)*(DATOS_[C.Extra.01])))))))),
0)</f>
        <v>0</v>
      </c>
      <c r="AQ61" s="114">
        <f t="array" ref="AQ61">IFERROR(
(MEDIAN((IF(DATOS_[[Sexo]:[Sexo]]=$B61,IF(DATOS_[[AGRUP. VALOR. PTO.]:[AGRUP. VALOR. PTO.]]=$B60,IF(DATOS_[[Check Periodo Ref.]:[Check Periodo Ref.]]="Dentro",IF(DATOS_[[Check Equiparado]:[Check Equiparado]]="Sí",IF(DATOS!BJ$5="Sí",(1/DATOS_[[% anualiz]:[% anualiz]]),1)*IF(DATOS!BJ$4="Sí",1/DATOS_[[% normaliz]:[% normaliz]],1)*(DATOS_[C.Extra.02])))))))),
0)</f>
        <v>0</v>
      </c>
      <c r="AR61" s="114">
        <f t="array" ref="AR61">IFERROR(
(MEDIAN((IF(DATOS_[[Sexo]:[Sexo]]=$B61,IF(DATOS_[[AGRUP. VALOR. PTO.]:[AGRUP. VALOR. PTO.]]=$B60,IF(DATOS_[[Check Periodo Ref.]:[Check Periodo Ref.]]="Dentro",IF(DATOS_[[Check Equiparado]:[Check Equiparado]]="Sí",IF(DATOS!BK$5="Sí",(1/DATOS_[[% anualiz]:[% anualiz]]),1)*IF(DATOS!BK$4="Sí",1/DATOS_[[% normaliz]:[% normaliz]],1)*(DATOS_[C.Extra.03])))))))),
0)</f>
        <v>0</v>
      </c>
      <c r="AS61" s="114">
        <f t="array" ref="AS61">IFERROR(
(MEDIAN((IF(DATOS_[[Sexo]:[Sexo]]=$B61,IF(DATOS_[[AGRUP. VALOR. PTO.]:[AGRUP. VALOR. PTO.]]=$B60,IF(DATOS_[[Check Periodo Ref.]:[Check Periodo Ref.]]="Dentro",IF(DATOS_[[Check Equiparado]:[Check Equiparado]]="Sí",IF(DATOS!BL$5="Sí",(1/DATOS_[[% anualiz]:[% anualiz]]),1)*IF(DATOS!BL$4="Sí",1/DATOS_[[% normaliz]:[% normaliz]],1)*(DATOS_[C.Extra.04])))))))),
0)</f>
        <v>0</v>
      </c>
      <c r="AT61" s="114">
        <f t="array" ref="AT61">IFERROR(
(MEDIAN((IF(DATOS_[[Sexo]:[Sexo]]=$B61,IF(DATOS_[[AGRUP. VALOR. PTO.]:[AGRUP. VALOR. PTO.]]=$B60,IF(DATOS_[[Check Periodo Ref.]:[Check Periodo Ref.]]="Dentro",IF(DATOS_[[Check Equiparado]:[Check Equiparado]]="Sí",IF(DATOS!BM$5="Sí",(1/DATOS_[[% anualiz]:[% anualiz]]),1)*IF(DATOS!BM$4="Sí",1/DATOS_[[% normaliz]:[% normaliz]],1)*(DATOS_[C.Extra.05])))))))),
0)</f>
        <v>0</v>
      </c>
      <c r="AU61" s="115">
        <f t="array" ref="AU61">IFERROR(
MEDIAN(IF(DATOS_[Sexo]=$B61,IF(DATOS_[[AGRUP. VALOR. PTO.]:[AGRUP. VALOR. PTO.]]=$B60,IF(DATOS_[Check Equiparado]="Sí",IF(DATOS_[Check Periodo Ref.]="Dentro",DATOS_[Tot Extrasalarial Eq],FALSE))))),
0)</f>
        <v>0</v>
      </c>
      <c r="AV61" s="116">
        <f t="array" ref="AV61">IFERROR(
MEDIAN(IF(DATOS_[Sexo]=$B61,IF(DATOS_[[AGRUP. VALOR. PTO.]:[AGRUP. VALOR. PTO.]]=$B60,IF(DATOS_[Check Equiparado]="Sí",IF(DATOS_[Check Periodo Ref.]="Dentro",DATOS_[TOTAL Retrib Eq],FALSE))))),
0)</f>
        <v>0</v>
      </c>
    </row>
    <row r="62" spans="1:48" hidden="1" x14ac:dyDescent="0.3">
      <c r="A62" s="42" t="str">
        <f t="shared" ref="A62" si="66">+A61</f>
        <v>[ocultar]</v>
      </c>
      <c r="B62" s="86" t="s">
        <v>163</v>
      </c>
      <c r="C62" s="33">
        <f t="array" ref="C62">SUM(IF($B62=DATOS_[Sexo],
IF($B60=DATOS_[AGRUP. VALOR. PTO.],
IF("Dentro"=DATOS_[Check Periodo Ref.],
1/(COUNTIFS(DATOS_[Sexo],$B62,DATOS_[AGRUP. VALOR. PTO.],$B60,DATOS_[Check Periodo Ref.],"Dentro",DATOS_[id],DATOS_[id]))))))</f>
        <v>0</v>
      </c>
      <c r="D62" s="35">
        <f>COUNTIFS(DATOS_[AGRUP. VALOR. PTO.],$B60,DATOS_[Sexo],$B62,DATOS_[Check Periodo Ref.],"Dentro")</f>
        <v>0</v>
      </c>
      <c r="E62" s="35">
        <f>COUNTIFS(DATOS_[AGRUP. VALOR. PTO.],$B60,DATOS_[Sexo],$B62,DATOS_[Check Periodo Ref.],"Dentro",DATOS_[Check Nº SC Norm],"Sí")</f>
        <v>0</v>
      </c>
      <c r="F62" s="35">
        <f>COUNTIFS(DATOS_[AGRUP. VALOR. PTO.],$B60,DATOS_[Sexo],$B62,DATOS_[Check Periodo Ref.],"Dentro",DATOS_[Check Nº SC Anualiz],"Sí")</f>
        <v>0</v>
      </c>
      <c r="G62" s="35">
        <f>COUNTIFS(DATOS_[AGRUP. VALOR. PTO.],$B60,DATOS_[Sexo],$B62,DATOS_[Check Periodo Ref.],"Dentro",DATOS_[Check Nº SC Norm y Anualiz],"Sí")</f>
        <v>0</v>
      </c>
      <c r="H62" s="35">
        <f>COUNTIFS(DATOS_[AGRUP. VALOR. PTO.],$B60,DATOS_[Sexo],$B62,DATOS_[Check Periodo Ref.],"Dentro",DATOS_[Check Equiparación],"Sí")</f>
        <v>0</v>
      </c>
      <c r="I62" s="110" cm="1">
        <f t="array" ref="I62">IFERROR(
MEDIAN(IF(DATOS_[Sexo]=$B62,IF(DATOS_[[AGRUP. VALOR. PTO.]:[AGRUP. VALOR. PTO.]]=$B60,IF(DATOS_[Check Equiparado]="Sí",IF(DATOS_[Check Periodo Ref.]="Dentro",DATOS_[SALARIO BASE Eq],FALSE))))),
0)</f>
        <v>0</v>
      </c>
      <c r="J62" s="111">
        <f t="array" ref="J62">IFERROR(
(MEDIAN((IF(DATOS_[[Sexo]:[Sexo]]=$B62,IF(DATOS_[[AGRUP. VALOR. PTO.]:[AGRUP. VALOR. PTO.]]=$B60,IF(DATOS_[[Check Periodo Ref.]:[Check Periodo Ref.]]="Dentro",IF(DATOS_[[Check Equiparado]:[Check Equiparado]]="Sí",IF(DATOS!AE$5="Sí",(1/DATOS_[[% anualiz]:[% anualiz]]),1)*IF(DATOS!AE$4="Sí",1/DATOS_[[% normaliz]:[% normaliz]],1)*(DATOS_[Conc.Sal.01])))))))),
0)</f>
        <v>0</v>
      </c>
      <c r="K62" s="111">
        <f t="array" ref="K62">IFERROR(
(MEDIAN((IF(DATOS_[[Sexo]:[Sexo]]=$B62,IF(DATOS_[[AGRUP. VALOR. PTO.]:[AGRUP. VALOR. PTO.]]=$B60,IF(DATOS_[[Check Periodo Ref.]:[Check Periodo Ref.]]="Dentro",IF(DATOS_[[Check Equiparado]:[Check Equiparado]]="Sí",IF(DATOS!AF$5="Sí",(1/DATOS_[[% anualiz]:[% anualiz]]),1)*IF(DATOS!AF$4="Sí",1/DATOS_[[% normaliz]:[% normaliz]],1)*(DATOS_[Conc.Sal.02])))))))),
0)</f>
        <v>0</v>
      </c>
      <c r="L62" s="111">
        <f t="array" ref="L62">IFERROR(
(MEDIAN((IF(DATOS_[[Sexo]:[Sexo]]=$B62,IF(DATOS_[[AGRUP. VALOR. PTO.]:[AGRUP. VALOR. PTO.]]=$B60,IF(DATOS_[[Check Periodo Ref.]:[Check Periodo Ref.]]="Dentro",IF(DATOS_[[Check Equiparado]:[Check Equiparado]]="Sí",IF(DATOS!AG$5="Sí",(1/DATOS_[[% anualiz]:[% anualiz]]),1)*IF(DATOS!AG$4="Sí",1/DATOS_[[% normaliz]:[% normaliz]],1)*(DATOS_[Conc.Sal.03])))))))),
0)</f>
        <v>0</v>
      </c>
      <c r="M62" s="111">
        <f t="array" ref="M62">IFERROR(
(MEDIAN((IF(DATOS_[[Sexo]:[Sexo]]=$B62,IF(DATOS_[[AGRUP. VALOR. PTO.]:[AGRUP. VALOR. PTO.]]=$B60,IF(DATOS_[[Check Periodo Ref.]:[Check Periodo Ref.]]="Dentro",IF(DATOS_[[Check Equiparado]:[Check Equiparado]]="Sí",IF(DATOS!AH$5="Sí",(1/DATOS_[[% anualiz]:[% anualiz]]),1)*IF(DATOS!AH$4="Sí",1/DATOS_[[% normaliz]:[% normaliz]],1)*(DATOS_[Conc.Sal.04])))))))),
0)</f>
        <v>0</v>
      </c>
      <c r="N62" s="111">
        <f t="array" ref="N62">IFERROR(
(MEDIAN((IF(DATOS_[[Sexo]:[Sexo]]=$B62,IF(DATOS_[[AGRUP. VALOR. PTO.]:[AGRUP. VALOR. PTO.]]=$B60,IF(DATOS_[[Check Periodo Ref.]:[Check Periodo Ref.]]="Dentro",IF(DATOS_[[Check Equiparado]:[Check Equiparado]]="Sí",IF(DATOS!AI$5="Sí",(1/DATOS_[[% anualiz]:[% anualiz]]),1)*IF(DATOS!AI$4="Sí",1/DATOS_[[% normaliz]:[% normaliz]],1)*(DATOS_[Conc.Sal.05])))))))),
0)</f>
        <v>0</v>
      </c>
      <c r="O62" s="111">
        <f t="array" ref="O62">IFERROR(
(MEDIAN((IF(DATOS_[[Sexo]:[Sexo]]=$B62,IF(DATOS_[[AGRUP. VALOR. PTO.]:[AGRUP. VALOR. PTO.]]=$B60,IF(DATOS_[[Check Periodo Ref.]:[Check Periodo Ref.]]="Dentro",IF(DATOS_[[Check Equiparado]:[Check Equiparado]]="Sí",IF(DATOS!AJ$5="Sí",(1/DATOS_[[% anualiz]:[% anualiz]]),1)*IF(DATOS!AJ$4="Sí",1/DATOS_[[% normaliz]:[% normaliz]],1)*(DATOS_[Conc.Sal.06])))))))),
0)</f>
        <v>0</v>
      </c>
      <c r="P62" s="111">
        <f t="array" ref="P62">IFERROR(
(MEDIAN((IF(DATOS_[[Sexo]:[Sexo]]=$B62,IF(DATOS_[[AGRUP. VALOR. PTO.]:[AGRUP. VALOR. PTO.]]=$B60,IF(DATOS_[[Check Periodo Ref.]:[Check Periodo Ref.]]="Dentro",IF(DATOS_[[Check Equiparado]:[Check Equiparado]]="Sí",IF(DATOS!AK$5="Sí",(1/DATOS_[[% anualiz]:[% anualiz]]),1)*IF(DATOS!AK$4="Sí",1/DATOS_[[% normaliz]:[% normaliz]],1)*(DATOS_[Conc.Sal.07])))))))),
0)</f>
        <v>0</v>
      </c>
      <c r="Q62" s="111">
        <f t="array" ref="Q62">IFERROR(
(MEDIAN((IF(DATOS_[[Sexo]:[Sexo]]=$B62,IF(DATOS_[[AGRUP. VALOR. PTO.]:[AGRUP. VALOR. PTO.]]=$B60,IF(DATOS_[[Check Periodo Ref.]:[Check Periodo Ref.]]="Dentro",IF(DATOS_[[Check Equiparado]:[Check Equiparado]]="Sí",IF(DATOS!AL$5="Sí",(1/DATOS_[[% anualiz]:[% anualiz]]),1)*IF(DATOS!AL$4="Sí",1/DATOS_[[% normaliz]:[% normaliz]],1)*(DATOS_[Conc.Sal.08])))))))),
0)</f>
        <v>0</v>
      </c>
      <c r="R62" s="111">
        <f t="array" ref="R62">IFERROR(
(MEDIAN((IF(DATOS_[[Sexo]:[Sexo]]=$B62,IF(DATOS_[[AGRUP. VALOR. PTO.]:[AGRUP. VALOR. PTO.]]=$B60,IF(DATOS_[[Check Periodo Ref.]:[Check Periodo Ref.]]="Dentro",IF(DATOS_[[Check Equiparado]:[Check Equiparado]]="Sí",IF(DATOS!AM$5="Sí",(1/DATOS_[[% anualiz]:[% anualiz]]),1)*IF(DATOS!AM$4="Sí",1/DATOS_[[% normaliz]:[% normaliz]],1)*(DATOS_[Conc.Sal.09])))))))),
0)</f>
        <v>0</v>
      </c>
      <c r="S62" s="111">
        <f t="array" ref="S62">IFERROR(
(MEDIAN((IF(DATOS_[[Sexo]:[Sexo]]=$B62,IF(DATOS_[[AGRUP. VALOR. PTO.]:[AGRUP. VALOR. PTO.]]=$B60,IF(DATOS_[[Check Periodo Ref.]:[Check Periodo Ref.]]="Dentro",IF(DATOS_[[Check Equiparado]:[Check Equiparado]]="Sí",IF(DATOS!AN$5="Sí",(1/DATOS_[[% anualiz]:[% anualiz]]),1)*IF(DATOS!AN$4="Sí",1/DATOS_[[% normaliz]:[% normaliz]],1)*(DATOS_[Conc.Sal.10])))))))),
0)</f>
        <v>0</v>
      </c>
      <c r="T62" s="111">
        <f t="array" ref="T62">IFERROR(
(MEDIAN((IF(DATOS_[[Sexo]:[Sexo]]=$B62,IF(DATOS_[[AGRUP. VALOR. PTO.]:[AGRUP. VALOR. PTO.]]=$B60,IF(DATOS_[[Check Periodo Ref.]:[Check Periodo Ref.]]="Dentro",IF(DATOS_[[Check Equiparado]:[Check Equiparado]]="Sí",IF(DATOS!AO$5="Sí",(1/DATOS_[[% anualiz]:[% anualiz]]),1)*IF(DATOS!AO$4="Sí",1/DATOS_[[% normaliz]:[% normaliz]],1)*(DATOS_[Conc.Sal.11])))))))),
0)</f>
        <v>0</v>
      </c>
      <c r="U62" s="111">
        <f t="array" ref="U62">IFERROR(
(MEDIAN((IF(DATOS_[[Sexo]:[Sexo]]=$B62,IF(DATOS_[[AGRUP. VALOR. PTO.]:[AGRUP. VALOR. PTO.]]=$B60,IF(DATOS_[[Check Periodo Ref.]:[Check Periodo Ref.]]="Dentro",IF(DATOS_[[Check Equiparado]:[Check Equiparado]]="Sí",IF(DATOS!AP$5="Sí",(1/DATOS_[[% anualiz]:[% anualiz]]),1)*IF(DATOS!AP$4="Sí",1/DATOS_[[% normaliz]:[% normaliz]],1)*(DATOS_[Conc.Sal.12])))))))),
0)</f>
        <v>0</v>
      </c>
      <c r="V62" s="111">
        <f t="array" ref="V62">IFERROR(
(MEDIAN((IF(DATOS_[[Sexo]:[Sexo]]=$B62,IF(DATOS_[[AGRUP. VALOR. PTO.]:[AGRUP. VALOR. PTO.]]=$B60,IF(DATOS_[[Check Periodo Ref.]:[Check Periodo Ref.]]="Dentro",IF(DATOS_[[Check Equiparado]:[Check Equiparado]]="Sí",IF(DATOS!AQ$5="Sí",(1/DATOS_[[% anualiz]:[% anualiz]]),1)*IF(DATOS!AQ$4="Sí",1/DATOS_[[% normaliz]:[% normaliz]],1)*(DATOS_[Conc.Sal.13])))))))),
0)</f>
        <v>0</v>
      </c>
      <c r="W62" s="111">
        <f t="array" ref="W62">IFERROR(
(MEDIAN((IF(DATOS_[[Sexo]:[Sexo]]=$B62,IF(DATOS_[[AGRUP. VALOR. PTO.]:[AGRUP. VALOR. PTO.]]=$B60,IF(DATOS_[[Check Periodo Ref.]:[Check Periodo Ref.]]="Dentro",IF(DATOS_[[Check Equiparado]:[Check Equiparado]]="Sí",IF(DATOS!AR$5="Sí",(1/DATOS_[[% anualiz]:[% anualiz]]),1)*IF(DATOS!AR$4="Sí",1/DATOS_[[% normaliz]:[% normaliz]],1)*(DATOS_[Conc.Sal.14])))))))),
0)</f>
        <v>0</v>
      </c>
      <c r="X62" s="111">
        <f t="array" ref="X62">IFERROR(
(MEDIAN((IF(DATOS_[[Sexo]:[Sexo]]=$B62,IF(DATOS_[[AGRUP. VALOR. PTO.]:[AGRUP. VALOR. PTO.]]=$B60,IF(DATOS_[[Check Periodo Ref.]:[Check Periodo Ref.]]="Dentro",IF(DATOS_[[Check Equiparado]:[Check Equiparado]]="Sí",IF(DATOS!AS$5="Sí",(1/DATOS_[[% anualiz]:[% anualiz]]),1)*IF(DATOS!AS$4="Sí",1/DATOS_[[% normaliz]:[% normaliz]],1)*(DATOS_[Conc.Sal.15])))))))),
0)</f>
        <v>0</v>
      </c>
      <c r="Y62" s="111">
        <f t="array" ref="Y62">IFERROR(
(MEDIAN((IF(DATOS_[[Sexo]:[Sexo]]=$B62,IF(DATOS_[[AGRUP. VALOR. PTO.]:[AGRUP. VALOR. PTO.]]=$B60,IF(DATOS_[[Check Periodo Ref.]:[Check Periodo Ref.]]="Dentro",IF(DATOS_[[Check Equiparado]:[Check Equiparado]]="Sí",IF(DATOS!AT$5="Sí",(1/DATOS_[[% anualiz]:[% anualiz]]),1)*IF(DATOS!AT$4="Sí",1/DATOS_[[% normaliz]:[% normaliz]],1)*(DATOS_[Conc.Sal.16])))))))),
0)</f>
        <v>0</v>
      </c>
      <c r="Z62" s="111">
        <f t="array" ref="Z62">IFERROR(
(MEDIAN((IF(DATOS_[[Sexo]:[Sexo]]=$B62,IF(DATOS_[[AGRUP. VALOR. PTO.]:[AGRUP. VALOR. PTO.]]=$B60,IF(DATOS_[[Check Periodo Ref.]:[Check Periodo Ref.]]="Dentro",IF(DATOS_[[Check Equiparado]:[Check Equiparado]]="Sí",IF(DATOS!AU$5="Sí",(1/DATOS_[[% anualiz]:[% anualiz]]),1)*IF(DATOS!AU$4="Sí",1/DATOS_[[% normaliz]:[% normaliz]],1)*(DATOS_[Conc.Sal.17])))))))),
0)</f>
        <v>0</v>
      </c>
      <c r="AA62" s="111">
        <f t="array" ref="AA62">IFERROR(
(MEDIAN((IF(DATOS_[[Sexo]:[Sexo]]=$B62,IF(DATOS_[[AGRUP. VALOR. PTO.]:[AGRUP. VALOR. PTO.]]=$B60,IF(DATOS_[[Check Periodo Ref.]:[Check Periodo Ref.]]="Dentro",IF(DATOS_[[Check Equiparado]:[Check Equiparado]]="Sí",IF(DATOS!AV$5="Sí",(1/DATOS_[[% anualiz]:[% anualiz]]),1)*IF(DATOS!AV$4="Sí",1/DATOS_[[% normaliz]:[% normaliz]],1)*(DATOS_[Conc.Sal.18])))))))),
0)</f>
        <v>0</v>
      </c>
      <c r="AB62" s="111">
        <f t="array" ref="AB62">IFERROR(
(MEDIAN((IF(DATOS_[[Sexo]:[Sexo]]=$B62,IF(DATOS_[[AGRUP. VALOR. PTO.]:[AGRUP. VALOR. PTO.]]=$B60,IF(DATOS_[[Check Periodo Ref.]:[Check Periodo Ref.]]="Dentro",IF(DATOS_[[Check Equiparado]:[Check Equiparado]]="Sí",IF(DATOS!AW$5="Sí",(1/DATOS_[[% anualiz]:[% anualiz]]),1)*IF(DATOS!AW$4="Sí",1/DATOS_[[% normaliz]:[% normaliz]],1)*(DATOS_[Conc.Sal.19])))))))),
0)</f>
        <v>0</v>
      </c>
      <c r="AC62" s="111">
        <f t="array" ref="AC62">IFERROR(
(MEDIAN((IF(DATOS_[[Sexo]:[Sexo]]=$B62,IF(DATOS_[[AGRUP. VALOR. PTO.]:[AGRUP. VALOR. PTO.]]=$B60,IF(DATOS_[[Check Periodo Ref.]:[Check Periodo Ref.]]="Dentro",IF(DATOS_[[Check Equiparado]:[Check Equiparado]]="Sí",IF(DATOS!AX$5="Sí",(1/DATOS_[[% anualiz]:[% anualiz]]),1)*IF(DATOS!AX$4="Sí",1/DATOS_[[% normaliz]:[% normaliz]],1)*(DATOS_[Conc.Sal.20])))))))),
0)</f>
        <v>0</v>
      </c>
      <c r="AD62" s="111">
        <f t="array" ref="AD62">IFERROR(
(MEDIAN((IF(DATOS_[[Sexo]:[Sexo]]=$B62,IF(DATOS_[[AGRUP. VALOR. PTO.]:[AGRUP. VALOR. PTO.]]=$B60,IF(DATOS_[[Check Periodo Ref.]:[Check Periodo Ref.]]="Dentro",IF(DATOS_[[Check Equiparado]:[Check Equiparado]]="Sí",IF(DATOS!AY$5="Sí",(1/DATOS_[[% anualiz]:[% anualiz]]),1)*IF(DATOS!AY$4="Sí",1/DATOS_[[% normaliz]:[% normaliz]],1)*(DATOS_[Conc.Sal.21])))))))),
0)</f>
        <v>0</v>
      </c>
      <c r="AE62" s="111">
        <f t="array" ref="AE62">IFERROR(
(MEDIAN((IF(DATOS_[[Sexo]:[Sexo]]=$B62,IF(DATOS_[[AGRUP. VALOR. PTO.]:[AGRUP. VALOR. PTO.]]=$B60,IF(DATOS_[[Check Periodo Ref.]:[Check Periodo Ref.]]="Dentro",IF(DATOS_[[Check Equiparado]:[Check Equiparado]]="Sí",IF(DATOS!AZ$5="Sí",(1/DATOS_[[% anualiz]:[% anualiz]]),1)*IF(DATOS!AZ$4="Sí",1/DATOS_[[% normaliz]:[% normaliz]],1)*(DATOS_[Conc.Sal.22])))))))),
0)</f>
        <v>0</v>
      </c>
      <c r="AF62" s="111">
        <f t="array" ref="AF62">IFERROR(
(MEDIAN((IF(DATOS_[[Sexo]:[Sexo]]=$B62,IF(DATOS_[[AGRUP. VALOR. PTO.]:[AGRUP. VALOR. PTO.]]=$B60,IF(DATOS_[[Check Periodo Ref.]:[Check Periodo Ref.]]="Dentro",IF(DATOS_[[Check Equiparado]:[Check Equiparado]]="Sí",IF(DATOS!BA$5="Sí",(1/DATOS_[[% anualiz]:[% anualiz]]),1)*IF(DATOS!BA$4="Sí",1/DATOS_[[% normaliz]:[% normaliz]],1)*(DATOS_[Conc.Sal.23])))))))),
0)</f>
        <v>0</v>
      </c>
      <c r="AG62" s="111">
        <f t="array" ref="AG62">IFERROR(
(MEDIAN((IF(DATOS_[[Sexo]:[Sexo]]=$B62,IF(DATOS_[[AGRUP. VALOR. PTO.]:[AGRUP. VALOR. PTO.]]=$B60,IF(DATOS_[[Check Periodo Ref.]:[Check Periodo Ref.]]="Dentro",IF(DATOS_[[Check Equiparado]:[Check Equiparado]]="Sí",IF(DATOS!BB$5="Sí",(1/DATOS_[[% anualiz]:[% anualiz]]),1)*IF(DATOS!BB$4="Sí",1/DATOS_[[% normaliz]:[% normaliz]],1)*(DATOS_[Conc.Sal.24])))))))),
0)</f>
        <v>0</v>
      </c>
      <c r="AH62" s="111">
        <f t="array" ref="AH62">IFERROR(
(MEDIAN((IF(DATOS_[[Sexo]:[Sexo]]=$B62,IF(DATOS_[[AGRUP. VALOR. PTO.]:[AGRUP. VALOR. PTO.]]=$B60,IF(DATOS_[[Check Periodo Ref.]:[Check Periodo Ref.]]="Dentro",IF(DATOS_[[Check Equiparado]:[Check Equiparado]]="Sí",IF(DATOS!BC$5="Sí",(1/DATOS_[[% anualiz]:[% anualiz]]),1)*IF(DATOS!BC$4="Sí",1/DATOS_[[% normaliz]:[% normaliz]],1)*(DATOS_[Conc.Sal.25])))))))),
0)</f>
        <v>0</v>
      </c>
      <c r="AI62" s="111">
        <f t="array" ref="AI62">IFERROR(
(MEDIAN((IF(DATOS_[[Sexo]:[Sexo]]=$B62,IF(DATOS_[[AGRUP. VALOR. PTO.]:[AGRUP. VALOR. PTO.]]=$B60,IF(DATOS_[[Check Periodo Ref.]:[Check Periodo Ref.]]="Dentro",IF(DATOS_[[Check Equiparado]:[Check Equiparado]]="Sí",IF(DATOS!BD$5="Sí",(1/DATOS_[[% anualiz]:[% anualiz]]),1)*IF(DATOS!BD$4="Sí",1/DATOS_[[% normaliz]:[% normaliz]],1)*(DATOS_[Conc.Sal.26])))))))),
0)</f>
        <v>0</v>
      </c>
      <c r="AJ62" s="111">
        <f t="array" ref="AJ62">IFERROR(
(MEDIAN((IF(DATOS_[[Sexo]:[Sexo]]=$B62,IF(DATOS_[[AGRUP. VALOR. PTO.]:[AGRUP. VALOR. PTO.]]=$B60,IF(DATOS_[[Check Periodo Ref.]:[Check Periodo Ref.]]="Dentro",IF(DATOS_[[Check Equiparado]:[Check Equiparado]]="Sí",IF(DATOS!BE$5="Sí",(1/DATOS_[[% anualiz]:[% anualiz]]),1)*IF(DATOS!BE$4="Sí",1/DATOS_[[% normaliz]:[% normaliz]],1)*(DATOS_[Conc.Sal.27])))))))),
0)</f>
        <v>0</v>
      </c>
      <c r="AK62" s="111">
        <f t="array" ref="AK62">IFERROR(
(MEDIAN((IF(DATOS_[[Sexo]:[Sexo]]=$B62,IF(DATOS_[[AGRUP. VALOR. PTO.]:[AGRUP. VALOR. PTO.]]=$B60,IF(DATOS_[[Check Periodo Ref.]:[Check Periodo Ref.]]="Dentro",IF(DATOS_[[Check Equiparado]:[Check Equiparado]]="Sí",IF(DATOS!BF$5="Sí",(1/DATOS_[[% anualiz]:[% anualiz]]),1)*IF(DATOS!BF$4="Sí",1/DATOS_[[% normaliz]:[% normaliz]],1)*(DATOS_[Conc.Sal.28])))))))),
0)</f>
        <v>0</v>
      </c>
      <c r="AL62" s="111">
        <f t="array" ref="AL62">IFERROR(
(MEDIAN((IF(DATOS_[[Sexo]:[Sexo]]=$B62,IF(DATOS_[[AGRUP. VALOR. PTO.]:[AGRUP. VALOR. PTO.]]=$B60,IF(DATOS_[[Check Periodo Ref.]:[Check Periodo Ref.]]="Dentro",IF(DATOS_[[Check Equiparado]:[Check Equiparado]]="Sí",IF(DATOS!BG$5="Sí",(1/DATOS_[[% anualiz]:[% anualiz]]),1)*IF(DATOS!BG$4="Sí",1/DATOS_[[% normaliz]:[% normaliz]],1)*(DATOS_[Conc.Sal.29])))))))),
0)</f>
        <v>0</v>
      </c>
      <c r="AM62" s="111">
        <f t="array" ref="AM62">IFERROR(
(MEDIAN((IF(DATOS_[[Sexo]:[Sexo]]=$B62,IF(DATOS_[[AGRUP. VALOR. PTO.]:[AGRUP. VALOR. PTO.]]=$B60,IF(DATOS_[[Check Periodo Ref.]:[Check Periodo Ref.]]="Dentro",IF(DATOS_[[Check Equiparado]:[Check Equiparado]]="Sí",IF(DATOS!BH$5="Sí",(1/DATOS_[[% anualiz]:[% anualiz]]),1)*IF(DATOS!BH$4="Sí",1/DATOS_[[% normaliz]:[% normaliz]],1)*(DATOS_[Conc.Sal.30])))))))),
0)</f>
        <v>0</v>
      </c>
      <c r="AN62" s="112">
        <f t="array" ref="AN62">IFERROR(
MEDIAN(IF(DATOS_[Sexo]=$B62,IF(DATOS_[[AGRUP. VALOR. PTO.]:[AGRUP. VALOR. PTO.]]=$B60,IF(DATOS_[Check Equiparado]="Sí",IF(DATOS_[Check Periodo Ref.]="Dentro",DATOS_[Tot COMPL.SAL Eq],FALSE))))),
0)</f>
        <v>0</v>
      </c>
      <c r="AO62" s="113">
        <f t="array" ref="AO62">IFERROR(
MEDIAN(IF(DATOS_[Sexo]=$B62,IF(DATOS_[[AGRUP. VALOR. PTO.]:[AGRUP. VALOR. PTO.]]=$B60,IF(DATOS_[Check Equiparado]="Sí",IF(DATOS_[Check Periodo Ref.]="Dentro",DATOS_[TOTAL SALARIO Eq],FALSE))))),
0)</f>
        <v>0</v>
      </c>
      <c r="AP62" s="114">
        <f t="array" ref="AP62">IFERROR(
(MEDIAN((IF(DATOS_[[Sexo]:[Sexo]]=$B62,IF(DATOS_[[AGRUP. VALOR. PTO.]:[AGRUP. VALOR. PTO.]]=$B61,IF(DATOS_[[Check Periodo Ref.]:[Check Periodo Ref.]]="Dentro",IF(DATOS_[[Check Equiparado]:[Check Equiparado]]="Sí",IF(DATOS!BI$5="Sí",(1/DATOS_[[% anualiz]:[% anualiz]]),1)*IF(DATOS!BI$4="Sí",1/DATOS_[[% normaliz]:[% normaliz]],1)*(DATOS_[C.Extra.01])))))))),
0)</f>
        <v>0</v>
      </c>
      <c r="AQ62" s="114">
        <f t="array" ref="AQ62">IFERROR(
(MEDIAN((IF(DATOS_[[Sexo]:[Sexo]]=$B62,IF(DATOS_[[AGRUP. VALOR. PTO.]:[AGRUP. VALOR. PTO.]]=$B61,IF(DATOS_[[Check Periodo Ref.]:[Check Periodo Ref.]]="Dentro",IF(DATOS_[[Check Equiparado]:[Check Equiparado]]="Sí",IF(DATOS!BJ$5="Sí",(1/DATOS_[[% anualiz]:[% anualiz]]),1)*IF(DATOS!BJ$4="Sí",1/DATOS_[[% normaliz]:[% normaliz]],1)*(DATOS_[C.Extra.02])))))))),
0)</f>
        <v>0</v>
      </c>
      <c r="AR62" s="114">
        <f t="array" ref="AR62">IFERROR(
(MEDIAN((IF(DATOS_[[Sexo]:[Sexo]]=$B62,IF(DATOS_[[AGRUP. VALOR. PTO.]:[AGRUP. VALOR. PTO.]]=$B61,IF(DATOS_[[Check Periodo Ref.]:[Check Periodo Ref.]]="Dentro",IF(DATOS_[[Check Equiparado]:[Check Equiparado]]="Sí",IF(DATOS!BK$5="Sí",(1/DATOS_[[% anualiz]:[% anualiz]]),1)*IF(DATOS!BK$4="Sí",1/DATOS_[[% normaliz]:[% normaliz]],1)*(DATOS_[C.Extra.03])))))))),
0)</f>
        <v>0</v>
      </c>
      <c r="AS62" s="114">
        <f t="array" ref="AS62">IFERROR(
(MEDIAN((IF(DATOS_[[Sexo]:[Sexo]]=$B62,IF(DATOS_[[AGRUP. VALOR. PTO.]:[AGRUP. VALOR. PTO.]]=$B61,IF(DATOS_[[Check Periodo Ref.]:[Check Periodo Ref.]]="Dentro",IF(DATOS_[[Check Equiparado]:[Check Equiparado]]="Sí",IF(DATOS!BL$5="Sí",(1/DATOS_[[% anualiz]:[% anualiz]]),1)*IF(DATOS!BL$4="Sí",1/DATOS_[[% normaliz]:[% normaliz]],1)*(DATOS_[C.Extra.04])))))))),
0)</f>
        <v>0</v>
      </c>
      <c r="AT62" s="114">
        <f t="array" ref="AT62">IFERROR(
(MEDIAN((IF(DATOS_[[Sexo]:[Sexo]]=$B62,IF(DATOS_[[AGRUP. VALOR. PTO.]:[AGRUP. VALOR. PTO.]]=$B61,IF(DATOS_[[Check Periodo Ref.]:[Check Periodo Ref.]]="Dentro",IF(DATOS_[[Check Equiparado]:[Check Equiparado]]="Sí",IF(DATOS!BM$5="Sí",(1/DATOS_[[% anualiz]:[% anualiz]]),1)*IF(DATOS!BM$4="Sí",1/DATOS_[[% normaliz]:[% normaliz]],1)*(DATOS_[C.Extra.05])))))))),
0)</f>
        <v>0</v>
      </c>
      <c r="AU62" s="115">
        <f t="array" ref="AU62">IFERROR(
MEDIAN(IF(DATOS_[Sexo]=$B62,IF(DATOS_[[AGRUP. VALOR. PTO.]:[AGRUP. VALOR. PTO.]]=$B60,IF(DATOS_[Check Equiparado]="Sí",IF(DATOS_[Check Periodo Ref.]="Dentro",DATOS_[Tot Extrasalarial Eq],FALSE))))),
0)</f>
        <v>0</v>
      </c>
      <c r="AV62" s="116">
        <f t="array" ref="AV62">IFERROR(
MEDIAN(IF(DATOS_[Sexo]=$B62,IF(DATOS_[[AGRUP. VALOR. PTO.]:[AGRUP. VALOR. PTO.]]=$B60,IF(DATOS_[Check Equiparado]="Sí",IF(DATOS_[Check Periodo Ref.]="Dentro",DATOS_[TOTAL Retrib Eq],FALSE))))),
0)</f>
        <v>0</v>
      </c>
    </row>
    <row r="63" spans="1:48" ht="17.25" hidden="1" thickBot="1" x14ac:dyDescent="0.35">
      <c r="A63" s="42" t="str">
        <f t="shared" ref="A63" si="67">+A64</f>
        <v>[ocultar]</v>
      </c>
      <c r="B63" s="90" t="s">
        <v>276</v>
      </c>
      <c r="C63" s="109"/>
      <c r="D63" s="41"/>
      <c r="E63" s="41"/>
      <c r="F63" s="41"/>
      <c r="G63" s="41"/>
      <c r="H63" s="41"/>
      <c r="I63" s="119" t="str">
        <f t="shared" ref="I63:AV63" si="68">IFERROR((I64-I65)/I64,"")</f>
        <v/>
      </c>
      <c r="J63" s="123" t="str">
        <f t="shared" si="68"/>
        <v/>
      </c>
      <c r="K63" s="123" t="str">
        <f t="shared" si="68"/>
        <v/>
      </c>
      <c r="L63" s="123" t="str">
        <f t="shared" si="68"/>
        <v/>
      </c>
      <c r="M63" s="123" t="str">
        <f t="shared" si="68"/>
        <v/>
      </c>
      <c r="N63" s="123" t="str">
        <f t="shared" si="68"/>
        <v/>
      </c>
      <c r="O63" s="123" t="str">
        <f t="shared" si="68"/>
        <v/>
      </c>
      <c r="P63" s="123" t="str">
        <f t="shared" si="68"/>
        <v/>
      </c>
      <c r="Q63" s="123" t="str">
        <f t="shared" si="68"/>
        <v/>
      </c>
      <c r="R63" s="123" t="str">
        <f t="shared" si="68"/>
        <v/>
      </c>
      <c r="S63" s="123" t="str">
        <f t="shared" si="68"/>
        <v/>
      </c>
      <c r="T63" s="123" t="str">
        <f t="shared" si="68"/>
        <v/>
      </c>
      <c r="U63" s="123" t="str">
        <f t="shared" si="68"/>
        <v/>
      </c>
      <c r="V63" s="123" t="str">
        <f t="shared" si="68"/>
        <v/>
      </c>
      <c r="W63" s="123" t="str">
        <f t="shared" si="68"/>
        <v/>
      </c>
      <c r="X63" s="123" t="str">
        <f t="shared" si="68"/>
        <v/>
      </c>
      <c r="Y63" s="123" t="str">
        <f t="shared" si="68"/>
        <v/>
      </c>
      <c r="Z63" s="122" t="str">
        <f t="shared" si="68"/>
        <v/>
      </c>
      <c r="AA63" s="122" t="str">
        <f t="shared" si="68"/>
        <v/>
      </c>
      <c r="AB63" s="122" t="str">
        <f t="shared" si="68"/>
        <v/>
      </c>
      <c r="AC63" s="122" t="str">
        <f t="shared" si="68"/>
        <v/>
      </c>
      <c r="AD63" s="122" t="str">
        <f t="shared" si="68"/>
        <v/>
      </c>
      <c r="AE63" s="122" t="str">
        <f t="shared" si="68"/>
        <v/>
      </c>
      <c r="AF63" s="122" t="str">
        <f t="shared" si="68"/>
        <v/>
      </c>
      <c r="AG63" s="122" t="str">
        <f t="shared" si="68"/>
        <v/>
      </c>
      <c r="AH63" s="122" t="str">
        <f t="shared" si="68"/>
        <v/>
      </c>
      <c r="AI63" s="122" t="str">
        <f t="shared" si="68"/>
        <v/>
      </c>
      <c r="AJ63" s="122" t="str">
        <f t="shared" si="68"/>
        <v/>
      </c>
      <c r="AK63" s="122" t="str">
        <f t="shared" si="68"/>
        <v/>
      </c>
      <c r="AL63" s="122" t="str">
        <f t="shared" si="68"/>
        <v/>
      </c>
      <c r="AM63" s="122" t="str">
        <f t="shared" si="68"/>
        <v/>
      </c>
      <c r="AN63" s="124" t="str">
        <f t="shared" si="68"/>
        <v/>
      </c>
      <c r="AO63" s="128" t="str">
        <f t="shared" si="68"/>
        <v/>
      </c>
      <c r="AP63" s="125" t="str">
        <f t="shared" si="68"/>
        <v/>
      </c>
      <c r="AQ63" s="125" t="str">
        <f t="shared" si="68"/>
        <v/>
      </c>
      <c r="AR63" s="125" t="str">
        <f t="shared" si="68"/>
        <v/>
      </c>
      <c r="AS63" s="125" t="str">
        <f t="shared" si="68"/>
        <v/>
      </c>
      <c r="AT63" s="125" t="str">
        <f t="shared" si="68"/>
        <v/>
      </c>
      <c r="AU63" s="126" t="str">
        <f t="shared" si="68"/>
        <v/>
      </c>
      <c r="AV63" s="127" t="str">
        <f t="shared" si="68"/>
        <v/>
      </c>
    </row>
    <row r="64" spans="1:48" hidden="1" x14ac:dyDescent="0.3">
      <c r="A64" s="42" t="str">
        <f t="shared" ref="A64" si="69">+IF(C64+C65=0,"[ocultar]","")</f>
        <v>[ocultar]</v>
      </c>
      <c r="B64" s="86" t="s">
        <v>162</v>
      </c>
      <c r="C64" s="33">
        <f t="array" ref="C64">SUM(IF($B64=DATOS_[Sexo],
IF($B63=DATOS_[AGRUP. VALOR. PTO.],
IF("Dentro"=DATOS_[Check Periodo Ref.],
1/(COUNTIFS(DATOS_[Sexo],$B64,DATOS_[AGRUP. VALOR. PTO.],$B63,DATOS_[Check Periodo Ref.],"Dentro",DATOS_[id],DATOS_[id]))))))</f>
        <v>0</v>
      </c>
      <c r="D64" s="35">
        <f>COUNTIFS(DATOS_[AGRUP. VALOR. PTO.],$B63,DATOS_[Sexo],$B64,DATOS_[Check Periodo Ref.],"Dentro")</f>
        <v>0</v>
      </c>
      <c r="E64" s="35">
        <f>COUNTIFS(DATOS_[AGRUP. VALOR. PTO.],$B63,DATOS_[Sexo],$B64,DATOS_[Check Periodo Ref.],"Dentro",DATOS_[Check Nº SC Norm],"Sí")</f>
        <v>0</v>
      </c>
      <c r="F64" s="35">
        <f>COUNTIFS(DATOS_[AGRUP. VALOR. PTO.],$B63,DATOS_[Sexo],$B64,DATOS_[Check Periodo Ref.],"Dentro",DATOS_[Check Nº SC Anualiz],"Sí")</f>
        <v>0</v>
      </c>
      <c r="G64" s="35">
        <f>COUNTIFS(DATOS_[AGRUP. VALOR. PTO.],$B63,DATOS_[Sexo],$B64,DATOS_[Check Periodo Ref.],"Dentro",DATOS_[Check Nº SC Norm y Anualiz],"Sí")</f>
        <v>0</v>
      </c>
      <c r="H64" s="35">
        <f>COUNTIFS(DATOS_[AGRUP. VALOR. PTO.],$B63,DATOS_[Sexo],$B64,DATOS_[Check Periodo Ref.],"Dentro",DATOS_[Check Equiparación],"Sí")</f>
        <v>0</v>
      </c>
      <c r="I64" s="110">
        <f t="array" ref="I64">IFERROR(
MEDIAN(IF(DATOS_[Sexo]=$B64,IF(DATOS_[[AGRUP. VALOR. PTO.]:[AGRUP. VALOR. PTO.]]=$B63,IF(DATOS_[Check Equiparado]="Sí",IF(DATOS_[Check Periodo Ref.]="Dentro",DATOS_[SALARIO BASE Eq],FALSE))))),
0)</f>
        <v>0</v>
      </c>
      <c r="J64" s="111">
        <f t="array" ref="J64">IFERROR(
(MEDIAN((IF(DATOS_[[Sexo]:[Sexo]]=$B64,IF(DATOS_[[AGRUP. VALOR. PTO.]:[AGRUP. VALOR. PTO.]]=$B63,IF(DATOS_[[Check Periodo Ref.]:[Check Periodo Ref.]]="Dentro",IF(DATOS_[[Check Equiparado]:[Check Equiparado]]="Sí",IF(DATOS!AE$5="Sí",(1/DATOS_[[% anualiz]:[% anualiz]]),1)*IF(DATOS!AE$4="Sí",1/DATOS_[[% normaliz]:[% normaliz]],1)*(DATOS_[Conc.Sal.01])))))))),
0)</f>
        <v>0</v>
      </c>
      <c r="K64" s="111">
        <f t="array" ref="K64">IFERROR(
(MEDIAN((IF(DATOS_[[Sexo]:[Sexo]]=$B64,IF(DATOS_[[AGRUP. VALOR. PTO.]:[AGRUP. VALOR. PTO.]]=$B63,IF(DATOS_[[Check Periodo Ref.]:[Check Periodo Ref.]]="Dentro",IF(DATOS_[[Check Equiparado]:[Check Equiparado]]="Sí",IF(DATOS!AF$5="Sí",(1/DATOS_[[% anualiz]:[% anualiz]]),1)*IF(DATOS!AF$4="Sí",1/DATOS_[[% normaliz]:[% normaliz]],1)*(DATOS_[Conc.Sal.02])))))))),
0)</f>
        <v>0</v>
      </c>
      <c r="L64" s="111">
        <f t="array" ref="L64">IFERROR(
(MEDIAN((IF(DATOS_[[Sexo]:[Sexo]]=$B64,IF(DATOS_[[AGRUP. VALOR. PTO.]:[AGRUP. VALOR. PTO.]]=$B63,IF(DATOS_[[Check Periodo Ref.]:[Check Periodo Ref.]]="Dentro",IF(DATOS_[[Check Equiparado]:[Check Equiparado]]="Sí",IF(DATOS!AG$5="Sí",(1/DATOS_[[% anualiz]:[% anualiz]]),1)*IF(DATOS!AG$4="Sí",1/DATOS_[[% normaliz]:[% normaliz]],1)*(DATOS_[Conc.Sal.03])))))))),
0)</f>
        <v>0</v>
      </c>
      <c r="M64" s="111">
        <f t="array" ref="M64">IFERROR(
(MEDIAN((IF(DATOS_[[Sexo]:[Sexo]]=$B64,IF(DATOS_[[AGRUP. VALOR. PTO.]:[AGRUP. VALOR. PTO.]]=$B63,IF(DATOS_[[Check Periodo Ref.]:[Check Periodo Ref.]]="Dentro",IF(DATOS_[[Check Equiparado]:[Check Equiparado]]="Sí",IF(DATOS!AH$5="Sí",(1/DATOS_[[% anualiz]:[% anualiz]]),1)*IF(DATOS!AH$4="Sí",1/DATOS_[[% normaliz]:[% normaliz]],1)*(DATOS_[Conc.Sal.04])))))))),
0)</f>
        <v>0</v>
      </c>
      <c r="N64" s="111">
        <f t="array" ref="N64">IFERROR(
(MEDIAN((IF(DATOS_[[Sexo]:[Sexo]]=$B64,IF(DATOS_[[AGRUP. VALOR. PTO.]:[AGRUP. VALOR. PTO.]]=$B63,IF(DATOS_[[Check Periodo Ref.]:[Check Periodo Ref.]]="Dentro",IF(DATOS_[[Check Equiparado]:[Check Equiparado]]="Sí",IF(DATOS!AI$5="Sí",(1/DATOS_[[% anualiz]:[% anualiz]]),1)*IF(DATOS!AI$4="Sí",1/DATOS_[[% normaliz]:[% normaliz]],1)*(DATOS_[Conc.Sal.05])))))))),
0)</f>
        <v>0</v>
      </c>
      <c r="O64" s="111">
        <f t="array" ref="O64">IFERROR(
(MEDIAN((IF(DATOS_[[Sexo]:[Sexo]]=$B64,IF(DATOS_[[AGRUP. VALOR. PTO.]:[AGRUP. VALOR. PTO.]]=$B63,IF(DATOS_[[Check Periodo Ref.]:[Check Periodo Ref.]]="Dentro",IF(DATOS_[[Check Equiparado]:[Check Equiparado]]="Sí",IF(DATOS!AJ$5="Sí",(1/DATOS_[[% anualiz]:[% anualiz]]),1)*IF(DATOS!AJ$4="Sí",1/DATOS_[[% normaliz]:[% normaliz]],1)*(DATOS_[Conc.Sal.06])))))))),
0)</f>
        <v>0</v>
      </c>
      <c r="P64" s="111">
        <f t="array" ref="P64">IFERROR(
(MEDIAN((IF(DATOS_[[Sexo]:[Sexo]]=$B64,IF(DATOS_[[AGRUP. VALOR. PTO.]:[AGRUP. VALOR. PTO.]]=$B63,IF(DATOS_[[Check Periodo Ref.]:[Check Periodo Ref.]]="Dentro",IF(DATOS_[[Check Equiparado]:[Check Equiparado]]="Sí",IF(DATOS!AK$5="Sí",(1/DATOS_[[% anualiz]:[% anualiz]]),1)*IF(DATOS!AK$4="Sí",1/DATOS_[[% normaliz]:[% normaliz]],1)*(DATOS_[Conc.Sal.07])))))))),
0)</f>
        <v>0</v>
      </c>
      <c r="Q64" s="111">
        <f t="array" ref="Q64">IFERROR(
(MEDIAN((IF(DATOS_[[Sexo]:[Sexo]]=$B64,IF(DATOS_[[AGRUP. VALOR. PTO.]:[AGRUP. VALOR. PTO.]]=$B63,IF(DATOS_[[Check Periodo Ref.]:[Check Periodo Ref.]]="Dentro",IF(DATOS_[[Check Equiparado]:[Check Equiparado]]="Sí",IF(DATOS!AL$5="Sí",(1/DATOS_[[% anualiz]:[% anualiz]]),1)*IF(DATOS!AL$4="Sí",1/DATOS_[[% normaliz]:[% normaliz]],1)*(DATOS_[Conc.Sal.08])))))))),
0)</f>
        <v>0</v>
      </c>
      <c r="R64" s="111">
        <f t="array" ref="R64">IFERROR(
(MEDIAN((IF(DATOS_[[Sexo]:[Sexo]]=$B64,IF(DATOS_[[AGRUP. VALOR. PTO.]:[AGRUP. VALOR. PTO.]]=$B63,IF(DATOS_[[Check Periodo Ref.]:[Check Periodo Ref.]]="Dentro",IF(DATOS_[[Check Equiparado]:[Check Equiparado]]="Sí",IF(DATOS!AM$5="Sí",(1/DATOS_[[% anualiz]:[% anualiz]]),1)*IF(DATOS!AM$4="Sí",1/DATOS_[[% normaliz]:[% normaliz]],1)*(DATOS_[Conc.Sal.09])))))))),
0)</f>
        <v>0</v>
      </c>
      <c r="S64" s="111">
        <f t="array" ref="S64">IFERROR(
(MEDIAN((IF(DATOS_[[Sexo]:[Sexo]]=$B64,IF(DATOS_[[AGRUP. VALOR. PTO.]:[AGRUP. VALOR. PTO.]]=$B63,IF(DATOS_[[Check Periodo Ref.]:[Check Periodo Ref.]]="Dentro",IF(DATOS_[[Check Equiparado]:[Check Equiparado]]="Sí",IF(DATOS!AN$5="Sí",(1/DATOS_[[% anualiz]:[% anualiz]]),1)*IF(DATOS!AN$4="Sí",1/DATOS_[[% normaliz]:[% normaliz]],1)*(DATOS_[Conc.Sal.10])))))))),
0)</f>
        <v>0</v>
      </c>
      <c r="T64" s="111">
        <f t="array" ref="T64">IFERROR(
(MEDIAN((IF(DATOS_[[Sexo]:[Sexo]]=$B64,IF(DATOS_[[AGRUP. VALOR. PTO.]:[AGRUP. VALOR. PTO.]]=$B63,IF(DATOS_[[Check Periodo Ref.]:[Check Periodo Ref.]]="Dentro",IF(DATOS_[[Check Equiparado]:[Check Equiparado]]="Sí",IF(DATOS!AO$5="Sí",(1/DATOS_[[% anualiz]:[% anualiz]]),1)*IF(DATOS!AO$4="Sí",1/DATOS_[[% normaliz]:[% normaliz]],1)*(DATOS_[Conc.Sal.11])))))))),
0)</f>
        <v>0</v>
      </c>
      <c r="U64" s="111">
        <f t="array" ref="U64">IFERROR(
(MEDIAN((IF(DATOS_[[Sexo]:[Sexo]]=$B64,IF(DATOS_[[AGRUP. VALOR. PTO.]:[AGRUP. VALOR. PTO.]]=$B63,IF(DATOS_[[Check Periodo Ref.]:[Check Periodo Ref.]]="Dentro",IF(DATOS_[[Check Equiparado]:[Check Equiparado]]="Sí",IF(DATOS!AP$5="Sí",(1/DATOS_[[% anualiz]:[% anualiz]]),1)*IF(DATOS!AP$4="Sí",1/DATOS_[[% normaliz]:[% normaliz]],1)*(DATOS_[Conc.Sal.12])))))))),
0)</f>
        <v>0</v>
      </c>
      <c r="V64" s="111">
        <f t="array" ref="V64">IFERROR(
(MEDIAN((IF(DATOS_[[Sexo]:[Sexo]]=$B64,IF(DATOS_[[AGRUP. VALOR. PTO.]:[AGRUP. VALOR. PTO.]]=$B63,IF(DATOS_[[Check Periodo Ref.]:[Check Periodo Ref.]]="Dentro",IF(DATOS_[[Check Equiparado]:[Check Equiparado]]="Sí",IF(DATOS!AQ$5="Sí",(1/DATOS_[[% anualiz]:[% anualiz]]),1)*IF(DATOS!AQ$4="Sí",1/DATOS_[[% normaliz]:[% normaliz]],1)*(DATOS_[Conc.Sal.13])))))))),
0)</f>
        <v>0</v>
      </c>
      <c r="W64" s="111">
        <f t="array" ref="W64">IFERROR(
(MEDIAN((IF(DATOS_[[Sexo]:[Sexo]]=$B64,IF(DATOS_[[AGRUP. VALOR. PTO.]:[AGRUP. VALOR. PTO.]]=$B63,IF(DATOS_[[Check Periodo Ref.]:[Check Periodo Ref.]]="Dentro",IF(DATOS_[[Check Equiparado]:[Check Equiparado]]="Sí",IF(DATOS!AR$5="Sí",(1/DATOS_[[% anualiz]:[% anualiz]]),1)*IF(DATOS!AR$4="Sí",1/DATOS_[[% normaliz]:[% normaliz]],1)*(DATOS_[Conc.Sal.14])))))))),
0)</f>
        <v>0</v>
      </c>
      <c r="X64" s="111">
        <f t="array" ref="X64">IFERROR(
(MEDIAN((IF(DATOS_[[Sexo]:[Sexo]]=$B64,IF(DATOS_[[AGRUP. VALOR. PTO.]:[AGRUP. VALOR. PTO.]]=$B63,IF(DATOS_[[Check Periodo Ref.]:[Check Periodo Ref.]]="Dentro",IF(DATOS_[[Check Equiparado]:[Check Equiparado]]="Sí",IF(DATOS!AS$5="Sí",(1/DATOS_[[% anualiz]:[% anualiz]]),1)*IF(DATOS!AS$4="Sí",1/DATOS_[[% normaliz]:[% normaliz]],1)*(DATOS_[Conc.Sal.15])))))))),
0)</f>
        <v>0</v>
      </c>
      <c r="Y64" s="111">
        <f t="array" ref="Y64">IFERROR(
(MEDIAN((IF(DATOS_[[Sexo]:[Sexo]]=$B64,IF(DATOS_[[AGRUP. VALOR. PTO.]:[AGRUP. VALOR. PTO.]]=$B63,IF(DATOS_[[Check Periodo Ref.]:[Check Periodo Ref.]]="Dentro",IF(DATOS_[[Check Equiparado]:[Check Equiparado]]="Sí",IF(DATOS!AT$5="Sí",(1/DATOS_[[% anualiz]:[% anualiz]]),1)*IF(DATOS!AT$4="Sí",1/DATOS_[[% normaliz]:[% normaliz]],1)*(DATOS_[Conc.Sal.16])))))))),
0)</f>
        <v>0</v>
      </c>
      <c r="Z64" s="111">
        <f t="array" ref="Z64">IFERROR(
(MEDIAN((IF(DATOS_[[Sexo]:[Sexo]]=$B64,IF(DATOS_[[AGRUP. VALOR. PTO.]:[AGRUP. VALOR. PTO.]]=$B63,IF(DATOS_[[Check Periodo Ref.]:[Check Periodo Ref.]]="Dentro",IF(DATOS_[[Check Equiparado]:[Check Equiparado]]="Sí",IF(DATOS!AU$5="Sí",(1/DATOS_[[% anualiz]:[% anualiz]]),1)*IF(DATOS!AU$4="Sí",1/DATOS_[[% normaliz]:[% normaliz]],1)*(DATOS_[Conc.Sal.17])))))))),
0)</f>
        <v>0</v>
      </c>
      <c r="AA64" s="111">
        <f t="array" ref="AA64">IFERROR(
(MEDIAN((IF(DATOS_[[Sexo]:[Sexo]]=$B64,IF(DATOS_[[AGRUP. VALOR. PTO.]:[AGRUP. VALOR. PTO.]]=$B63,IF(DATOS_[[Check Periodo Ref.]:[Check Periodo Ref.]]="Dentro",IF(DATOS_[[Check Equiparado]:[Check Equiparado]]="Sí",IF(DATOS!AV$5="Sí",(1/DATOS_[[% anualiz]:[% anualiz]]),1)*IF(DATOS!AV$4="Sí",1/DATOS_[[% normaliz]:[% normaliz]],1)*(DATOS_[Conc.Sal.18])))))))),
0)</f>
        <v>0</v>
      </c>
      <c r="AB64" s="111">
        <f t="array" ref="AB64">IFERROR(
(MEDIAN((IF(DATOS_[[Sexo]:[Sexo]]=$B64,IF(DATOS_[[AGRUP. VALOR. PTO.]:[AGRUP. VALOR. PTO.]]=$B63,IF(DATOS_[[Check Periodo Ref.]:[Check Periodo Ref.]]="Dentro",IF(DATOS_[[Check Equiparado]:[Check Equiparado]]="Sí",IF(DATOS!AW$5="Sí",(1/DATOS_[[% anualiz]:[% anualiz]]),1)*IF(DATOS!AW$4="Sí",1/DATOS_[[% normaliz]:[% normaliz]],1)*(DATOS_[Conc.Sal.19])))))))),
0)</f>
        <v>0</v>
      </c>
      <c r="AC64" s="111">
        <f t="array" ref="AC64">IFERROR(
(MEDIAN((IF(DATOS_[[Sexo]:[Sexo]]=$B64,IF(DATOS_[[AGRUP. VALOR. PTO.]:[AGRUP. VALOR. PTO.]]=$B63,IF(DATOS_[[Check Periodo Ref.]:[Check Periodo Ref.]]="Dentro",IF(DATOS_[[Check Equiparado]:[Check Equiparado]]="Sí",IF(DATOS!AX$5="Sí",(1/DATOS_[[% anualiz]:[% anualiz]]),1)*IF(DATOS!AX$4="Sí",1/DATOS_[[% normaliz]:[% normaliz]],1)*(DATOS_[Conc.Sal.20])))))))),
0)</f>
        <v>0</v>
      </c>
      <c r="AD64" s="111">
        <f t="array" ref="AD64">IFERROR(
(MEDIAN((IF(DATOS_[[Sexo]:[Sexo]]=$B64,IF(DATOS_[[AGRUP. VALOR. PTO.]:[AGRUP. VALOR. PTO.]]=$B63,IF(DATOS_[[Check Periodo Ref.]:[Check Periodo Ref.]]="Dentro",IF(DATOS_[[Check Equiparado]:[Check Equiparado]]="Sí",IF(DATOS!AY$5="Sí",(1/DATOS_[[% anualiz]:[% anualiz]]),1)*IF(DATOS!AY$4="Sí",1/DATOS_[[% normaliz]:[% normaliz]],1)*(DATOS_[Conc.Sal.21])))))))),
0)</f>
        <v>0</v>
      </c>
      <c r="AE64" s="111">
        <f t="array" ref="AE64">IFERROR(
(MEDIAN((IF(DATOS_[[Sexo]:[Sexo]]=$B64,IF(DATOS_[[AGRUP. VALOR. PTO.]:[AGRUP. VALOR. PTO.]]=$B63,IF(DATOS_[[Check Periodo Ref.]:[Check Periodo Ref.]]="Dentro",IF(DATOS_[[Check Equiparado]:[Check Equiparado]]="Sí",IF(DATOS!AZ$5="Sí",(1/DATOS_[[% anualiz]:[% anualiz]]),1)*IF(DATOS!AZ$4="Sí",1/DATOS_[[% normaliz]:[% normaliz]],1)*(DATOS_[Conc.Sal.22])))))))),
0)</f>
        <v>0</v>
      </c>
      <c r="AF64" s="111">
        <f t="array" ref="AF64">IFERROR(
(MEDIAN((IF(DATOS_[[Sexo]:[Sexo]]=$B64,IF(DATOS_[[AGRUP. VALOR. PTO.]:[AGRUP. VALOR. PTO.]]=$B63,IF(DATOS_[[Check Periodo Ref.]:[Check Periodo Ref.]]="Dentro",IF(DATOS_[[Check Equiparado]:[Check Equiparado]]="Sí",IF(DATOS!BA$5="Sí",(1/DATOS_[[% anualiz]:[% anualiz]]),1)*IF(DATOS!BA$4="Sí",1/DATOS_[[% normaliz]:[% normaliz]],1)*(DATOS_[Conc.Sal.23])))))))),
0)</f>
        <v>0</v>
      </c>
      <c r="AG64" s="111">
        <f t="array" ref="AG64">IFERROR(
(MEDIAN((IF(DATOS_[[Sexo]:[Sexo]]=$B64,IF(DATOS_[[AGRUP. VALOR. PTO.]:[AGRUP. VALOR. PTO.]]=$B63,IF(DATOS_[[Check Periodo Ref.]:[Check Periodo Ref.]]="Dentro",IF(DATOS_[[Check Equiparado]:[Check Equiparado]]="Sí",IF(DATOS!BB$5="Sí",(1/DATOS_[[% anualiz]:[% anualiz]]),1)*IF(DATOS!BB$4="Sí",1/DATOS_[[% normaliz]:[% normaliz]],1)*(DATOS_[Conc.Sal.24])))))))),
0)</f>
        <v>0</v>
      </c>
      <c r="AH64" s="111">
        <f t="array" ref="AH64">IFERROR(
(MEDIAN((IF(DATOS_[[Sexo]:[Sexo]]=$B64,IF(DATOS_[[AGRUP. VALOR. PTO.]:[AGRUP. VALOR. PTO.]]=$B63,IF(DATOS_[[Check Periodo Ref.]:[Check Periodo Ref.]]="Dentro",IF(DATOS_[[Check Equiparado]:[Check Equiparado]]="Sí",IF(DATOS!BC$5="Sí",(1/DATOS_[[% anualiz]:[% anualiz]]),1)*IF(DATOS!BC$4="Sí",1/DATOS_[[% normaliz]:[% normaliz]],1)*(DATOS_[Conc.Sal.25])))))))),
0)</f>
        <v>0</v>
      </c>
      <c r="AI64" s="111">
        <f t="array" ref="AI64">IFERROR(
(MEDIAN((IF(DATOS_[[Sexo]:[Sexo]]=$B64,IF(DATOS_[[AGRUP. VALOR. PTO.]:[AGRUP. VALOR. PTO.]]=$B63,IF(DATOS_[[Check Periodo Ref.]:[Check Periodo Ref.]]="Dentro",IF(DATOS_[[Check Equiparado]:[Check Equiparado]]="Sí",IF(DATOS!BD$5="Sí",(1/DATOS_[[% anualiz]:[% anualiz]]),1)*IF(DATOS!BD$4="Sí",1/DATOS_[[% normaliz]:[% normaliz]],1)*(DATOS_[Conc.Sal.26])))))))),
0)</f>
        <v>0</v>
      </c>
      <c r="AJ64" s="111">
        <f t="array" ref="AJ64">IFERROR(
(MEDIAN((IF(DATOS_[[Sexo]:[Sexo]]=$B64,IF(DATOS_[[AGRUP. VALOR. PTO.]:[AGRUP. VALOR. PTO.]]=$B63,IF(DATOS_[[Check Periodo Ref.]:[Check Periodo Ref.]]="Dentro",IF(DATOS_[[Check Equiparado]:[Check Equiparado]]="Sí",IF(DATOS!BE$5="Sí",(1/DATOS_[[% anualiz]:[% anualiz]]),1)*IF(DATOS!BE$4="Sí",1/DATOS_[[% normaliz]:[% normaliz]],1)*(DATOS_[Conc.Sal.27])))))))),
0)</f>
        <v>0</v>
      </c>
      <c r="AK64" s="111">
        <f t="array" ref="AK64">IFERROR(
(MEDIAN((IF(DATOS_[[Sexo]:[Sexo]]=$B64,IF(DATOS_[[AGRUP. VALOR. PTO.]:[AGRUP. VALOR. PTO.]]=$B63,IF(DATOS_[[Check Periodo Ref.]:[Check Periodo Ref.]]="Dentro",IF(DATOS_[[Check Equiparado]:[Check Equiparado]]="Sí",IF(DATOS!BF$5="Sí",(1/DATOS_[[% anualiz]:[% anualiz]]),1)*IF(DATOS!BF$4="Sí",1/DATOS_[[% normaliz]:[% normaliz]],1)*(DATOS_[Conc.Sal.28])))))))),
0)</f>
        <v>0</v>
      </c>
      <c r="AL64" s="111">
        <f t="array" ref="AL64">IFERROR(
(MEDIAN((IF(DATOS_[[Sexo]:[Sexo]]=$B64,IF(DATOS_[[AGRUP. VALOR. PTO.]:[AGRUP. VALOR. PTO.]]=$B63,IF(DATOS_[[Check Periodo Ref.]:[Check Periodo Ref.]]="Dentro",IF(DATOS_[[Check Equiparado]:[Check Equiparado]]="Sí",IF(DATOS!BG$5="Sí",(1/DATOS_[[% anualiz]:[% anualiz]]),1)*IF(DATOS!BG$4="Sí",1/DATOS_[[% normaliz]:[% normaliz]],1)*(DATOS_[Conc.Sal.29])))))))),
0)</f>
        <v>0</v>
      </c>
      <c r="AM64" s="111">
        <f t="array" ref="AM64">IFERROR(
(MEDIAN((IF(DATOS_[[Sexo]:[Sexo]]=$B64,IF(DATOS_[[AGRUP. VALOR. PTO.]:[AGRUP. VALOR. PTO.]]=$B63,IF(DATOS_[[Check Periodo Ref.]:[Check Periodo Ref.]]="Dentro",IF(DATOS_[[Check Equiparado]:[Check Equiparado]]="Sí",IF(DATOS!BH$5="Sí",(1/DATOS_[[% anualiz]:[% anualiz]]),1)*IF(DATOS!BH$4="Sí",1/DATOS_[[% normaliz]:[% normaliz]],1)*(DATOS_[Conc.Sal.30])))))))),
0)</f>
        <v>0</v>
      </c>
      <c r="AN64" s="112">
        <f t="array" ref="AN64">IFERROR(
MEDIAN(IF(DATOS_[Sexo]=$B64,IF(DATOS_[[AGRUP. VALOR. PTO.]:[AGRUP. VALOR. PTO.]]=$B63,IF(DATOS_[Check Equiparado]="Sí",IF(DATOS_[Check Periodo Ref.]="Dentro",DATOS_[Tot COMPL.SAL Eq],FALSE))))),
0)</f>
        <v>0</v>
      </c>
      <c r="AO64" s="113">
        <f t="array" ref="AO64">IFERROR(
MEDIAN(IF(DATOS_[Sexo]=$B64,IF(DATOS_[[AGRUP. VALOR. PTO.]:[AGRUP. VALOR. PTO.]]=$B63,IF(DATOS_[Check Equiparado]="Sí",IF(DATOS_[Check Periodo Ref.]="Dentro",DATOS_[TOTAL SALARIO Eq],FALSE))))),
0)</f>
        <v>0</v>
      </c>
      <c r="AP64" s="114">
        <f t="array" ref="AP64">IFERROR(
(MEDIAN((IF(DATOS_[[Sexo]:[Sexo]]=$B64,IF(DATOS_[[AGRUP. VALOR. PTO.]:[AGRUP. VALOR. PTO.]]=$B63,IF(DATOS_[[Check Periodo Ref.]:[Check Periodo Ref.]]="Dentro",IF(DATOS_[[Check Equiparado]:[Check Equiparado]]="Sí",IF(DATOS!BI$5="Sí",(1/DATOS_[[% anualiz]:[% anualiz]]),1)*IF(DATOS!BI$4="Sí",1/DATOS_[[% normaliz]:[% normaliz]],1)*(DATOS_[C.Extra.01])))))))),
0)</f>
        <v>0</v>
      </c>
      <c r="AQ64" s="114">
        <f t="array" ref="AQ64">IFERROR(
(MEDIAN((IF(DATOS_[[Sexo]:[Sexo]]=$B64,IF(DATOS_[[AGRUP. VALOR. PTO.]:[AGRUP. VALOR. PTO.]]=$B63,IF(DATOS_[[Check Periodo Ref.]:[Check Periodo Ref.]]="Dentro",IF(DATOS_[[Check Equiparado]:[Check Equiparado]]="Sí",IF(DATOS!BJ$5="Sí",(1/DATOS_[[% anualiz]:[% anualiz]]),1)*IF(DATOS!BJ$4="Sí",1/DATOS_[[% normaliz]:[% normaliz]],1)*(DATOS_[C.Extra.02])))))))),
0)</f>
        <v>0</v>
      </c>
      <c r="AR64" s="114">
        <f t="array" ref="AR64">IFERROR(
(MEDIAN((IF(DATOS_[[Sexo]:[Sexo]]=$B64,IF(DATOS_[[AGRUP. VALOR. PTO.]:[AGRUP. VALOR. PTO.]]=$B63,IF(DATOS_[[Check Periodo Ref.]:[Check Periodo Ref.]]="Dentro",IF(DATOS_[[Check Equiparado]:[Check Equiparado]]="Sí",IF(DATOS!BK$5="Sí",(1/DATOS_[[% anualiz]:[% anualiz]]),1)*IF(DATOS!BK$4="Sí",1/DATOS_[[% normaliz]:[% normaliz]],1)*(DATOS_[C.Extra.03])))))))),
0)</f>
        <v>0</v>
      </c>
      <c r="AS64" s="114">
        <f t="array" ref="AS64">IFERROR(
(MEDIAN((IF(DATOS_[[Sexo]:[Sexo]]=$B64,IF(DATOS_[[AGRUP. VALOR. PTO.]:[AGRUP. VALOR. PTO.]]=$B63,IF(DATOS_[[Check Periodo Ref.]:[Check Periodo Ref.]]="Dentro",IF(DATOS_[[Check Equiparado]:[Check Equiparado]]="Sí",IF(DATOS!BL$5="Sí",(1/DATOS_[[% anualiz]:[% anualiz]]),1)*IF(DATOS!BL$4="Sí",1/DATOS_[[% normaliz]:[% normaliz]],1)*(DATOS_[C.Extra.04])))))))),
0)</f>
        <v>0</v>
      </c>
      <c r="AT64" s="114">
        <f t="array" ref="AT64">IFERROR(
(MEDIAN((IF(DATOS_[[Sexo]:[Sexo]]=$B64,IF(DATOS_[[AGRUP. VALOR. PTO.]:[AGRUP. VALOR. PTO.]]=$B63,IF(DATOS_[[Check Periodo Ref.]:[Check Periodo Ref.]]="Dentro",IF(DATOS_[[Check Equiparado]:[Check Equiparado]]="Sí",IF(DATOS!BM$5="Sí",(1/DATOS_[[% anualiz]:[% anualiz]]),1)*IF(DATOS!BM$4="Sí",1/DATOS_[[% normaliz]:[% normaliz]],1)*(DATOS_[C.Extra.05])))))))),
0)</f>
        <v>0</v>
      </c>
      <c r="AU64" s="115">
        <f t="array" ref="AU64">IFERROR(
MEDIAN(IF(DATOS_[Sexo]=$B64,IF(DATOS_[[AGRUP. VALOR. PTO.]:[AGRUP. VALOR. PTO.]]=$B63,IF(DATOS_[Check Equiparado]="Sí",IF(DATOS_[Check Periodo Ref.]="Dentro",DATOS_[Tot Extrasalarial Eq],FALSE))))),
0)</f>
        <v>0</v>
      </c>
      <c r="AV64" s="116">
        <f t="array" ref="AV64">IFERROR(
MEDIAN(IF(DATOS_[Sexo]=$B64,IF(DATOS_[[AGRUP. VALOR. PTO.]:[AGRUP. VALOR. PTO.]]=$B63,IF(DATOS_[Check Equiparado]="Sí",IF(DATOS_[Check Periodo Ref.]="Dentro",DATOS_[TOTAL Retrib Eq],FALSE))))),
0)</f>
        <v>0</v>
      </c>
    </row>
    <row r="65" spans="1:48" hidden="1" x14ac:dyDescent="0.3">
      <c r="A65" s="42" t="str">
        <f t="shared" ref="A65" si="70">+A64</f>
        <v>[ocultar]</v>
      </c>
      <c r="B65" s="86" t="s">
        <v>163</v>
      </c>
      <c r="C65" s="33">
        <f t="array" ref="C65">SUM(IF($B65=DATOS_[Sexo],
IF($B63=DATOS_[AGRUP. VALOR. PTO.],
IF("Dentro"=DATOS_[Check Periodo Ref.],
1/(COUNTIFS(DATOS_[Sexo],$B65,DATOS_[AGRUP. VALOR. PTO.],$B63,DATOS_[Check Periodo Ref.],"Dentro",DATOS_[id],DATOS_[id]))))))</f>
        <v>0</v>
      </c>
      <c r="D65" s="35">
        <f>COUNTIFS(DATOS_[AGRUP. VALOR. PTO.],$B63,DATOS_[Sexo],$B65,DATOS_[Check Periodo Ref.],"Dentro")</f>
        <v>0</v>
      </c>
      <c r="E65" s="35">
        <f>COUNTIFS(DATOS_[AGRUP. VALOR. PTO.],$B63,DATOS_[Sexo],$B65,DATOS_[Check Periodo Ref.],"Dentro",DATOS_[Check Nº SC Norm],"Sí")</f>
        <v>0</v>
      </c>
      <c r="F65" s="35">
        <f>COUNTIFS(DATOS_[AGRUP. VALOR. PTO.],$B63,DATOS_[Sexo],$B65,DATOS_[Check Periodo Ref.],"Dentro",DATOS_[Check Nº SC Anualiz],"Sí")</f>
        <v>0</v>
      </c>
      <c r="G65" s="35">
        <f>COUNTIFS(DATOS_[AGRUP. VALOR. PTO.],$B63,DATOS_[Sexo],$B65,DATOS_[Check Periodo Ref.],"Dentro",DATOS_[Check Nº SC Norm y Anualiz],"Sí")</f>
        <v>0</v>
      </c>
      <c r="H65" s="35">
        <f>COUNTIFS(DATOS_[AGRUP. VALOR. PTO.],$B63,DATOS_[Sexo],$B65,DATOS_[Check Periodo Ref.],"Dentro",DATOS_[Check Equiparación],"Sí")</f>
        <v>0</v>
      </c>
      <c r="I65" s="110" cm="1">
        <f t="array" ref="I65">IFERROR(
MEDIAN(IF(DATOS_[Sexo]=$B65,IF(DATOS_[[AGRUP. VALOR. PTO.]:[AGRUP. VALOR. PTO.]]=$B63,IF(DATOS_[Check Equiparado]="Sí",IF(DATOS_[Check Periodo Ref.]="Dentro",DATOS_[SALARIO BASE Eq],FALSE))))),
0)</f>
        <v>0</v>
      </c>
      <c r="J65" s="111">
        <f t="array" ref="J65">IFERROR(
(MEDIAN((IF(DATOS_[[Sexo]:[Sexo]]=$B65,IF(DATOS_[[AGRUP. VALOR. PTO.]:[AGRUP. VALOR. PTO.]]=$B63,IF(DATOS_[[Check Periodo Ref.]:[Check Periodo Ref.]]="Dentro",IF(DATOS_[[Check Equiparado]:[Check Equiparado]]="Sí",IF(DATOS!AE$5="Sí",(1/DATOS_[[% anualiz]:[% anualiz]]),1)*IF(DATOS!AE$4="Sí",1/DATOS_[[% normaliz]:[% normaliz]],1)*(DATOS_[Conc.Sal.01])))))))),
0)</f>
        <v>0</v>
      </c>
      <c r="K65" s="111">
        <f t="array" ref="K65">IFERROR(
(MEDIAN((IF(DATOS_[[Sexo]:[Sexo]]=$B65,IF(DATOS_[[AGRUP. VALOR. PTO.]:[AGRUP. VALOR. PTO.]]=$B63,IF(DATOS_[[Check Periodo Ref.]:[Check Periodo Ref.]]="Dentro",IF(DATOS_[[Check Equiparado]:[Check Equiparado]]="Sí",IF(DATOS!AF$5="Sí",(1/DATOS_[[% anualiz]:[% anualiz]]),1)*IF(DATOS!AF$4="Sí",1/DATOS_[[% normaliz]:[% normaliz]],1)*(DATOS_[Conc.Sal.02])))))))),
0)</f>
        <v>0</v>
      </c>
      <c r="L65" s="111">
        <f t="array" ref="L65">IFERROR(
(MEDIAN((IF(DATOS_[[Sexo]:[Sexo]]=$B65,IF(DATOS_[[AGRUP. VALOR. PTO.]:[AGRUP. VALOR. PTO.]]=$B63,IF(DATOS_[[Check Periodo Ref.]:[Check Periodo Ref.]]="Dentro",IF(DATOS_[[Check Equiparado]:[Check Equiparado]]="Sí",IF(DATOS!AG$5="Sí",(1/DATOS_[[% anualiz]:[% anualiz]]),1)*IF(DATOS!AG$4="Sí",1/DATOS_[[% normaliz]:[% normaliz]],1)*(DATOS_[Conc.Sal.03])))))))),
0)</f>
        <v>0</v>
      </c>
      <c r="M65" s="111">
        <f t="array" ref="M65">IFERROR(
(MEDIAN((IF(DATOS_[[Sexo]:[Sexo]]=$B65,IF(DATOS_[[AGRUP. VALOR. PTO.]:[AGRUP. VALOR. PTO.]]=$B63,IF(DATOS_[[Check Periodo Ref.]:[Check Periodo Ref.]]="Dentro",IF(DATOS_[[Check Equiparado]:[Check Equiparado]]="Sí",IF(DATOS!AH$5="Sí",(1/DATOS_[[% anualiz]:[% anualiz]]),1)*IF(DATOS!AH$4="Sí",1/DATOS_[[% normaliz]:[% normaliz]],1)*(DATOS_[Conc.Sal.04])))))))),
0)</f>
        <v>0</v>
      </c>
      <c r="N65" s="111">
        <f t="array" ref="N65">IFERROR(
(MEDIAN((IF(DATOS_[[Sexo]:[Sexo]]=$B65,IF(DATOS_[[AGRUP. VALOR. PTO.]:[AGRUP. VALOR. PTO.]]=$B63,IF(DATOS_[[Check Periodo Ref.]:[Check Periodo Ref.]]="Dentro",IF(DATOS_[[Check Equiparado]:[Check Equiparado]]="Sí",IF(DATOS!AI$5="Sí",(1/DATOS_[[% anualiz]:[% anualiz]]),1)*IF(DATOS!AI$4="Sí",1/DATOS_[[% normaliz]:[% normaliz]],1)*(DATOS_[Conc.Sal.05])))))))),
0)</f>
        <v>0</v>
      </c>
      <c r="O65" s="111">
        <f t="array" ref="O65">IFERROR(
(MEDIAN((IF(DATOS_[[Sexo]:[Sexo]]=$B65,IF(DATOS_[[AGRUP. VALOR. PTO.]:[AGRUP. VALOR. PTO.]]=$B63,IF(DATOS_[[Check Periodo Ref.]:[Check Periodo Ref.]]="Dentro",IF(DATOS_[[Check Equiparado]:[Check Equiparado]]="Sí",IF(DATOS!AJ$5="Sí",(1/DATOS_[[% anualiz]:[% anualiz]]),1)*IF(DATOS!AJ$4="Sí",1/DATOS_[[% normaliz]:[% normaliz]],1)*(DATOS_[Conc.Sal.06])))))))),
0)</f>
        <v>0</v>
      </c>
      <c r="P65" s="111">
        <f t="array" ref="P65">IFERROR(
(MEDIAN((IF(DATOS_[[Sexo]:[Sexo]]=$B65,IF(DATOS_[[AGRUP. VALOR. PTO.]:[AGRUP. VALOR. PTO.]]=$B63,IF(DATOS_[[Check Periodo Ref.]:[Check Periodo Ref.]]="Dentro",IF(DATOS_[[Check Equiparado]:[Check Equiparado]]="Sí",IF(DATOS!AK$5="Sí",(1/DATOS_[[% anualiz]:[% anualiz]]),1)*IF(DATOS!AK$4="Sí",1/DATOS_[[% normaliz]:[% normaliz]],1)*(DATOS_[Conc.Sal.07])))))))),
0)</f>
        <v>0</v>
      </c>
      <c r="Q65" s="111">
        <f t="array" ref="Q65">IFERROR(
(MEDIAN((IF(DATOS_[[Sexo]:[Sexo]]=$B65,IF(DATOS_[[AGRUP. VALOR. PTO.]:[AGRUP. VALOR. PTO.]]=$B63,IF(DATOS_[[Check Periodo Ref.]:[Check Periodo Ref.]]="Dentro",IF(DATOS_[[Check Equiparado]:[Check Equiparado]]="Sí",IF(DATOS!AL$5="Sí",(1/DATOS_[[% anualiz]:[% anualiz]]),1)*IF(DATOS!AL$4="Sí",1/DATOS_[[% normaliz]:[% normaliz]],1)*(DATOS_[Conc.Sal.08])))))))),
0)</f>
        <v>0</v>
      </c>
      <c r="R65" s="111">
        <f t="array" ref="R65">IFERROR(
(MEDIAN((IF(DATOS_[[Sexo]:[Sexo]]=$B65,IF(DATOS_[[AGRUP. VALOR. PTO.]:[AGRUP. VALOR. PTO.]]=$B63,IF(DATOS_[[Check Periodo Ref.]:[Check Periodo Ref.]]="Dentro",IF(DATOS_[[Check Equiparado]:[Check Equiparado]]="Sí",IF(DATOS!AM$5="Sí",(1/DATOS_[[% anualiz]:[% anualiz]]),1)*IF(DATOS!AM$4="Sí",1/DATOS_[[% normaliz]:[% normaliz]],1)*(DATOS_[Conc.Sal.09])))))))),
0)</f>
        <v>0</v>
      </c>
      <c r="S65" s="111">
        <f t="array" ref="S65">IFERROR(
(MEDIAN((IF(DATOS_[[Sexo]:[Sexo]]=$B65,IF(DATOS_[[AGRUP. VALOR. PTO.]:[AGRUP. VALOR. PTO.]]=$B63,IF(DATOS_[[Check Periodo Ref.]:[Check Periodo Ref.]]="Dentro",IF(DATOS_[[Check Equiparado]:[Check Equiparado]]="Sí",IF(DATOS!AN$5="Sí",(1/DATOS_[[% anualiz]:[% anualiz]]),1)*IF(DATOS!AN$4="Sí",1/DATOS_[[% normaliz]:[% normaliz]],1)*(DATOS_[Conc.Sal.10])))))))),
0)</f>
        <v>0</v>
      </c>
      <c r="T65" s="111">
        <f t="array" ref="T65">IFERROR(
(MEDIAN((IF(DATOS_[[Sexo]:[Sexo]]=$B65,IF(DATOS_[[AGRUP. VALOR. PTO.]:[AGRUP. VALOR. PTO.]]=$B63,IF(DATOS_[[Check Periodo Ref.]:[Check Periodo Ref.]]="Dentro",IF(DATOS_[[Check Equiparado]:[Check Equiparado]]="Sí",IF(DATOS!AO$5="Sí",(1/DATOS_[[% anualiz]:[% anualiz]]),1)*IF(DATOS!AO$4="Sí",1/DATOS_[[% normaliz]:[% normaliz]],1)*(DATOS_[Conc.Sal.11])))))))),
0)</f>
        <v>0</v>
      </c>
      <c r="U65" s="111">
        <f t="array" ref="U65">IFERROR(
(MEDIAN((IF(DATOS_[[Sexo]:[Sexo]]=$B65,IF(DATOS_[[AGRUP. VALOR. PTO.]:[AGRUP. VALOR. PTO.]]=$B63,IF(DATOS_[[Check Periodo Ref.]:[Check Periodo Ref.]]="Dentro",IF(DATOS_[[Check Equiparado]:[Check Equiparado]]="Sí",IF(DATOS!AP$5="Sí",(1/DATOS_[[% anualiz]:[% anualiz]]),1)*IF(DATOS!AP$4="Sí",1/DATOS_[[% normaliz]:[% normaliz]],1)*(DATOS_[Conc.Sal.12])))))))),
0)</f>
        <v>0</v>
      </c>
      <c r="V65" s="111">
        <f t="array" ref="V65">IFERROR(
(MEDIAN((IF(DATOS_[[Sexo]:[Sexo]]=$B65,IF(DATOS_[[AGRUP. VALOR. PTO.]:[AGRUP. VALOR. PTO.]]=$B63,IF(DATOS_[[Check Periodo Ref.]:[Check Periodo Ref.]]="Dentro",IF(DATOS_[[Check Equiparado]:[Check Equiparado]]="Sí",IF(DATOS!AQ$5="Sí",(1/DATOS_[[% anualiz]:[% anualiz]]),1)*IF(DATOS!AQ$4="Sí",1/DATOS_[[% normaliz]:[% normaliz]],1)*(DATOS_[Conc.Sal.13])))))))),
0)</f>
        <v>0</v>
      </c>
      <c r="W65" s="111">
        <f t="array" ref="W65">IFERROR(
(MEDIAN((IF(DATOS_[[Sexo]:[Sexo]]=$B65,IF(DATOS_[[AGRUP. VALOR. PTO.]:[AGRUP. VALOR. PTO.]]=$B63,IF(DATOS_[[Check Periodo Ref.]:[Check Periodo Ref.]]="Dentro",IF(DATOS_[[Check Equiparado]:[Check Equiparado]]="Sí",IF(DATOS!AR$5="Sí",(1/DATOS_[[% anualiz]:[% anualiz]]),1)*IF(DATOS!AR$4="Sí",1/DATOS_[[% normaliz]:[% normaliz]],1)*(DATOS_[Conc.Sal.14])))))))),
0)</f>
        <v>0</v>
      </c>
      <c r="X65" s="111">
        <f t="array" ref="X65">IFERROR(
(MEDIAN((IF(DATOS_[[Sexo]:[Sexo]]=$B65,IF(DATOS_[[AGRUP. VALOR. PTO.]:[AGRUP. VALOR. PTO.]]=$B63,IF(DATOS_[[Check Periodo Ref.]:[Check Periodo Ref.]]="Dentro",IF(DATOS_[[Check Equiparado]:[Check Equiparado]]="Sí",IF(DATOS!AS$5="Sí",(1/DATOS_[[% anualiz]:[% anualiz]]),1)*IF(DATOS!AS$4="Sí",1/DATOS_[[% normaliz]:[% normaliz]],1)*(DATOS_[Conc.Sal.15])))))))),
0)</f>
        <v>0</v>
      </c>
      <c r="Y65" s="111">
        <f t="array" ref="Y65">IFERROR(
(MEDIAN((IF(DATOS_[[Sexo]:[Sexo]]=$B65,IF(DATOS_[[AGRUP. VALOR. PTO.]:[AGRUP. VALOR. PTO.]]=$B63,IF(DATOS_[[Check Periodo Ref.]:[Check Periodo Ref.]]="Dentro",IF(DATOS_[[Check Equiparado]:[Check Equiparado]]="Sí",IF(DATOS!AT$5="Sí",(1/DATOS_[[% anualiz]:[% anualiz]]),1)*IF(DATOS!AT$4="Sí",1/DATOS_[[% normaliz]:[% normaliz]],1)*(DATOS_[Conc.Sal.16])))))))),
0)</f>
        <v>0</v>
      </c>
      <c r="Z65" s="111">
        <f t="array" ref="Z65">IFERROR(
(MEDIAN((IF(DATOS_[[Sexo]:[Sexo]]=$B65,IF(DATOS_[[AGRUP. VALOR. PTO.]:[AGRUP. VALOR. PTO.]]=$B63,IF(DATOS_[[Check Periodo Ref.]:[Check Periodo Ref.]]="Dentro",IF(DATOS_[[Check Equiparado]:[Check Equiparado]]="Sí",IF(DATOS!AU$5="Sí",(1/DATOS_[[% anualiz]:[% anualiz]]),1)*IF(DATOS!AU$4="Sí",1/DATOS_[[% normaliz]:[% normaliz]],1)*(DATOS_[Conc.Sal.17])))))))),
0)</f>
        <v>0</v>
      </c>
      <c r="AA65" s="111">
        <f t="array" ref="AA65">IFERROR(
(MEDIAN((IF(DATOS_[[Sexo]:[Sexo]]=$B65,IF(DATOS_[[AGRUP. VALOR. PTO.]:[AGRUP. VALOR. PTO.]]=$B63,IF(DATOS_[[Check Periodo Ref.]:[Check Periodo Ref.]]="Dentro",IF(DATOS_[[Check Equiparado]:[Check Equiparado]]="Sí",IF(DATOS!AV$5="Sí",(1/DATOS_[[% anualiz]:[% anualiz]]),1)*IF(DATOS!AV$4="Sí",1/DATOS_[[% normaliz]:[% normaliz]],1)*(DATOS_[Conc.Sal.18])))))))),
0)</f>
        <v>0</v>
      </c>
      <c r="AB65" s="111">
        <f t="array" ref="AB65">IFERROR(
(MEDIAN((IF(DATOS_[[Sexo]:[Sexo]]=$B65,IF(DATOS_[[AGRUP. VALOR. PTO.]:[AGRUP. VALOR. PTO.]]=$B63,IF(DATOS_[[Check Periodo Ref.]:[Check Periodo Ref.]]="Dentro",IF(DATOS_[[Check Equiparado]:[Check Equiparado]]="Sí",IF(DATOS!AW$5="Sí",(1/DATOS_[[% anualiz]:[% anualiz]]),1)*IF(DATOS!AW$4="Sí",1/DATOS_[[% normaliz]:[% normaliz]],1)*(DATOS_[Conc.Sal.19])))))))),
0)</f>
        <v>0</v>
      </c>
      <c r="AC65" s="111">
        <f t="array" ref="AC65">IFERROR(
(MEDIAN((IF(DATOS_[[Sexo]:[Sexo]]=$B65,IF(DATOS_[[AGRUP. VALOR. PTO.]:[AGRUP. VALOR. PTO.]]=$B63,IF(DATOS_[[Check Periodo Ref.]:[Check Periodo Ref.]]="Dentro",IF(DATOS_[[Check Equiparado]:[Check Equiparado]]="Sí",IF(DATOS!AX$5="Sí",(1/DATOS_[[% anualiz]:[% anualiz]]),1)*IF(DATOS!AX$4="Sí",1/DATOS_[[% normaliz]:[% normaliz]],1)*(DATOS_[Conc.Sal.20])))))))),
0)</f>
        <v>0</v>
      </c>
      <c r="AD65" s="111">
        <f t="array" ref="AD65">IFERROR(
(MEDIAN((IF(DATOS_[[Sexo]:[Sexo]]=$B65,IF(DATOS_[[AGRUP. VALOR. PTO.]:[AGRUP. VALOR. PTO.]]=$B63,IF(DATOS_[[Check Periodo Ref.]:[Check Periodo Ref.]]="Dentro",IF(DATOS_[[Check Equiparado]:[Check Equiparado]]="Sí",IF(DATOS!AY$5="Sí",(1/DATOS_[[% anualiz]:[% anualiz]]),1)*IF(DATOS!AY$4="Sí",1/DATOS_[[% normaliz]:[% normaliz]],1)*(DATOS_[Conc.Sal.21])))))))),
0)</f>
        <v>0</v>
      </c>
      <c r="AE65" s="111">
        <f t="array" ref="AE65">IFERROR(
(MEDIAN((IF(DATOS_[[Sexo]:[Sexo]]=$B65,IF(DATOS_[[AGRUP. VALOR. PTO.]:[AGRUP. VALOR. PTO.]]=$B63,IF(DATOS_[[Check Periodo Ref.]:[Check Periodo Ref.]]="Dentro",IF(DATOS_[[Check Equiparado]:[Check Equiparado]]="Sí",IF(DATOS!AZ$5="Sí",(1/DATOS_[[% anualiz]:[% anualiz]]),1)*IF(DATOS!AZ$4="Sí",1/DATOS_[[% normaliz]:[% normaliz]],1)*(DATOS_[Conc.Sal.22])))))))),
0)</f>
        <v>0</v>
      </c>
      <c r="AF65" s="111">
        <f t="array" ref="AF65">IFERROR(
(MEDIAN((IF(DATOS_[[Sexo]:[Sexo]]=$B65,IF(DATOS_[[AGRUP. VALOR. PTO.]:[AGRUP. VALOR. PTO.]]=$B63,IF(DATOS_[[Check Periodo Ref.]:[Check Periodo Ref.]]="Dentro",IF(DATOS_[[Check Equiparado]:[Check Equiparado]]="Sí",IF(DATOS!BA$5="Sí",(1/DATOS_[[% anualiz]:[% anualiz]]),1)*IF(DATOS!BA$4="Sí",1/DATOS_[[% normaliz]:[% normaliz]],1)*(DATOS_[Conc.Sal.23])))))))),
0)</f>
        <v>0</v>
      </c>
      <c r="AG65" s="111">
        <f t="array" ref="AG65">IFERROR(
(MEDIAN((IF(DATOS_[[Sexo]:[Sexo]]=$B65,IF(DATOS_[[AGRUP. VALOR. PTO.]:[AGRUP. VALOR. PTO.]]=$B63,IF(DATOS_[[Check Periodo Ref.]:[Check Periodo Ref.]]="Dentro",IF(DATOS_[[Check Equiparado]:[Check Equiparado]]="Sí",IF(DATOS!BB$5="Sí",(1/DATOS_[[% anualiz]:[% anualiz]]),1)*IF(DATOS!BB$4="Sí",1/DATOS_[[% normaliz]:[% normaliz]],1)*(DATOS_[Conc.Sal.24])))))))),
0)</f>
        <v>0</v>
      </c>
      <c r="AH65" s="111">
        <f t="array" ref="AH65">IFERROR(
(MEDIAN((IF(DATOS_[[Sexo]:[Sexo]]=$B65,IF(DATOS_[[AGRUP. VALOR. PTO.]:[AGRUP. VALOR. PTO.]]=$B63,IF(DATOS_[[Check Periodo Ref.]:[Check Periodo Ref.]]="Dentro",IF(DATOS_[[Check Equiparado]:[Check Equiparado]]="Sí",IF(DATOS!BC$5="Sí",(1/DATOS_[[% anualiz]:[% anualiz]]),1)*IF(DATOS!BC$4="Sí",1/DATOS_[[% normaliz]:[% normaliz]],1)*(DATOS_[Conc.Sal.25])))))))),
0)</f>
        <v>0</v>
      </c>
      <c r="AI65" s="111">
        <f t="array" ref="AI65">IFERROR(
(MEDIAN((IF(DATOS_[[Sexo]:[Sexo]]=$B65,IF(DATOS_[[AGRUP. VALOR. PTO.]:[AGRUP. VALOR. PTO.]]=$B63,IF(DATOS_[[Check Periodo Ref.]:[Check Periodo Ref.]]="Dentro",IF(DATOS_[[Check Equiparado]:[Check Equiparado]]="Sí",IF(DATOS!BD$5="Sí",(1/DATOS_[[% anualiz]:[% anualiz]]),1)*IF(DATOS!BD$4="Sí",1/DATOS_[[% normaliz]:[% normaliz]],1)*(DATOS_[Conc.Sal.26])))))))),
0)</f>
        <v>0</v>
      </c>
      <c r="AJ65" s="111">
        <f t="array" ref="AJ65">IFERROR(
(MEDIAN((IF(DATOS_[[Sexo]:[Sexo]]=$B65,IF(DATOS_[[AGRUP. VALOR. PTO.]:[AGRUP. VALOR. PTO.]]=$B63,IF(DATOS_[[Check Periodo Ref.]:[Check Periodo Ref.]]="Dentro",IF(DATOS_[[Check Equiparado]:[Check Equiparado]]="Sí",IF(DATOS!BE$5="Sí",(1/DATOS_[[% anualiz]:[% anualiz]]),1)*IF(DATOS!BE$4="Sí",1/DATOS_[[% normaliz]:[% normaliz]],1)*(DATOS_[Conc.Sal.27])))))))),
0)</f>
        <v>0</v>
      </c>
      <c r="AK65" s="111">
        <f t="array" ref="AK65">IFERROR(
(MEDIAN((IF(DATOS_[[Sexo]:[Sexo]]=$B65,IF(DATOS_[[AGRUP. VALOR. PTO.]:[AGRUP. VALOR. PTO.]]=$B63,IF(DATOS_[[Check Periodo Ref.]:[Check Periodo Ref.]]="Dentro",IF(DATOS_[[Check Equiparado]:[Check Equiparado]]="Sí",IF(DATOS!BF$5="Sí",(1/DATOS_[[% anualiz]:[% anualiz]]),1)*IF(DATOS!BF$4="Sí",1/DATOS_[[% normaliz]:[% normaliz]],1)*(DATOS_[Conc.Sal.28])))))))),
0)</f>
        <v>0</v>
      </c>
      <c r="AL65" s="111">
        <f t="array" ref="AL65">IFERROR(
(MEDIAN((IF(DATOS_[[Sexo]:[Sexo]]=$B65,IF(DATOS_[[AGRUP. VALOR. PTO.]:[AGRUP. VALOR. PTO.]]=$B63,IF(DATOS_[[Check Periodo Ref.]:[Check Periodo Ref.]]="Dentro",IF(DATOS_[[Check Equiparado]:[Check Equiparado]]="Sí",IF(DATOS!BG$5="Sí",(1/DATOS_[[% anualiz]:[% anualiz]]),1)*IF(DATOS!BG$4="Sí",1/DATOS_[[% normaliz]:[% normaliz]],1)*(DATOS_[Conc.Sal.29])))))))),
0)</f>
        <v>0</v>
      </c>
      <c r="AM65" s="111">
        <f t="array" ref="AM65">IFERROR(
(MEDIAN((IF(DATOS_[[Sexo]:[Sexo]]=$B65,IF(DATOS_[[AGRUP. VALOR. PTO.]:[AGRUP. VALOR. PTO.]]=$B63,IF(DATOS_[[Check Periodo Ref.]:[Check Periodo Ref.]]="Dentro",IF(DATOS_[[Check Equiparado]:[Check Equiparado]]="Sí",IF(DATOS!BH$5="Sí",(1/DATOS_[[% anualiz]:[% anualiz]]),1)*IF(DATOS!BH$4="Sí",1/DATOS_[[% normaliz]:[% normaliz]],1)*(DATOS_[Conc.Sal.30])))))))),
0)</f>
        <v>0</v>
      </c>
      <c r="AN65" s="112">
        <f t="array" ref="AN65">IFERROR(
MEDIAN(IF(DATOS_[Sexo]=$B65,IF(DATOS_[[AGRUP. VALOR. PTO.]:[AGRUP. VALOR. PTO.]]=$B63,IF(DATOS_[Check Equiparado]="Sí",IF(DATOS_[Check Periodo Ref.]="Dentro",DATOS_[Tot COMPL.SAL Eq],FALSE))))),
0)</f>
        <v>0</v>
      </c>
      <c r="AO65" s="113">
        <f t="array" ref="AO65">IFERROR(
MEDIAN(IF(DATOS_[Sexo]=$B65,IF(DATOS_[[AGRUP. VALOR. PTO.]:[AGRUP. VALOR. PTO.]]=$B63,IF(DATOS_[Check Equiparado]="Sí",IF(DATOS_[Check Periodo Ref.]="Dentro",DATOS_[TOTAL SALARIO Eq],FALSE))))),
0)</f>
        <v>0</v>
      </c>
      <c r="AP65" s="114">
        <f t="array" ref="AP65">IFERROR(
(MEDIAN((IF(DATOS_[[Sexo]:[Sexo]]=$B65,IF(DATOS_[[AGRUP. VALOR. PTO.]:[AGRUP. VALOR. PTO.]]=$B64,IF(DATOS_[[Check Periodo Ref.]:[Check Periodo Ref.]]="Dentro",IF(DATOS_[[Check Equiparado]:[Check Equiparado]]="Sí",IF(DATOS!BI$5="Sí",(1/DATOS_[[% anualiz]:[% anualiz]]),1)*IF(DATOS!BI$4="Sí",1/DATOS_[[% normaliz]:[% normaliz]],1)*(DATOS_[C.Extra.01])))))))),
0)</f>
        <v>0</v>
      </c>
      <c r="AQ65" s="114">
        <f t="array" ref="AQ65">IFERROR(
(MEDIAN((IF(DATOS_[[Sexo]:[Sexo]]=$B65,IF(DATOS_[[AGRUP. VALOR. PTO.]:[AGRUP. VALOR. PTO.]]=$B64,IF(DATOS_[[Check Periodo Ref.]:[Check Periodo Ref.]]="Dentro",IF(DATOS_[[Check Equiparado]:[Check Equiparado]]="Sí",IF(DATOS!BJ$5="Sí",(1/DATOS_[[% anualiz]:[% anualiz]]),1)*IF(DATOS!BJ$4="Sí",1/DATOS_[[% normaliz]:[% normaliz]],1)*(DATOS_[C.Extra.02])))))))),
0)</f>
        <v>0</v>
      </c>
      <c r="AR65" s="114">
        <f t="array" ref="AR65">IFERROR(
(MEDIAN((IF(DATOS_[[Sexo]:[Sexo]]=$B65,IF(DATOS_[[AGRUP. VALOR. PTO.]:[AGRUP. VALOR. PTO.]]=$B64,IF(DATOS_[[Check Periodo Ref.]:[Check Periodo Ref.]]="Dentro",IF(DATOS_[[Check Equiparado]:[Check Equiparado]]="Sí",IF(DATOS!BK$5="Sí",(1/DATOS_[[% anualiz]:[% anualiz]]),1)*IF(DATOS!BK$4="Sí",1/DATOS_[[% normaliz]:[% normaliz]],1)*(DATOS_[C.Extra.03])))))))),
0)</f>
        <v>0</v>
      </c>
      <c r="AS65" s="114">
        <f t="array" ref="AS65">IFERROR(
(MEDIAN((IF(DATOS_[[Sexo]:[Sexo]]=$B65,IF(DATOS_[[AGRUP. VALOR. PTO.]:[AGRUP. VALOR. PTO.]]=$B64,IF(DATOS_[[Check Periodo Ref.]:[Check Periodo Ref.]]="Dentro",IF(DATOS_[[Check Equiparado]:[Check Equiparado]]="Sí",IF(DATOS!BL$5="Sí",(1/DATOS_[[% anualiz]:[% anualiz]]),1)*IF(DATOS!BL$4="Sí",1/DATOS_[[% normaliz]:[% normaliz]],1)*(DATOS_[C.Extra.04])))))))),
0)</f>
        <v>0</v>
      </c>
      <c r="AT65" s="114">
        <f t="array" ref="AT65">IFERROR(
(MEDIAN((IF(DATOS_[[Sexo]:[Sexo]]=$B65,IF(DATOS_[[AGRUP. VALOR. PTO.]:[AGRUP. VALOR. PTO.]]=$B64,IF(DATOS_[[Check Periodo Ref.]:[Check Periodo Ref.]]="Dentro",IF(DATOS_[[Check Equiparado]:[Check Equiparado]]="Sí",IF(DATOS!BM$5="Sí",(1/DATOS_[[% anualiz]:[% anualiz]]),1)*IF(DATOS!BM$4="Sí",1/DATOS_[[% normaliz]:[% normaliz]],1)*(DATOS_[C.Extra.05])))))))),
0)</f>
        <v>0</v>
      </c>
      <c r="AU65" s="115">
        <f t="array" ref="AU65">IFERROR(
MEDIAN(IF(DATOS_[Sexo]=$B65,IF(DATOS_[[AGRUP. VALOR. PTO.]:[AGRUP. VALOR. PTO.]]=$B63,IF(DATOS_[Check Equiparado]="Sí",IF(DATOS_[Check Periodo Ref.]="Dentro",DATOS_[Tot Extrasalarial Eq],FALSE))))),
0)</f>
        <v>0</v>
      </c>
      <c r="AV65" s="116">
        <f t="array" ref="AV65">IFERROR(
MEDIAN(IF(DATOS_[Sexo]=$B65,IF(DATOS_[[AGRUP. VALOR. PTO.]:[AGRUP. VALOR. PTO.]]=$B63,IF(DATOS_[Check Equiparado]="Sí",IF(DATOS_[Check Periodo Ref.]="Dentro",DATOS_[TOTAL Retrib Eq],FALSE))))),
0)</f>
        <v>0</v>
      </c>
    </row>
    <row r="66" spans="1:48" ht="17.25" hidden="1" thickBot="1" x14ac:dyDescent="0.35">
      <c r="A66" s="42" t="str">
        <f t="shared" ref="A66" si="71">+A67</f>
        <v>[ocultar]</v>
      </c>
      <c r="B66" s="90" t="s">
        <v>277</v>
      </c>
      <c r="C66" s="109"/>
      <c r="D66" s="41"/>
      <c r="E66" s="41"/>
      <c r="F66" s="41"/>
      <c r="G66" s="41"/>
      <c r="H66" s="41"/>
      <c r="I66" s="119" t="str">
        <f t="shared" ref="I66:AV66" si="72">IFERROR((I67-I68)/I67,"")</f>
        <v/>
      </c>
      <c r="J66" s="123" t="str">
        <f t="shared" si="72"/>
        <v/>
      </c>
      <c r="K66" s="123" t="str">
        <f t="shared" si="72"/>
        <v/>
      </c>
      <c r="L66" s="123" t="str">
        <f t="shared" si="72"/>
        <v/>
      </c>
      <c r="M66" s="123" t="str">
        <f t="shared" si="72"/>
        <v/>
      </c>
      <c r="N66" s="123" t="str">
        <f t="shared" si="72"/>
        <v/>
      </c>
      <c r="O66" s="123" t="str">
        <f t="shared" si="72"/>
        <v/>
      </c>
      <c r="P66" s="123" t="str">
        <f t="shared" si="72"/>
        <v/>
      </c>
      <c r="Q66" s="123" t="str">
        <f t="shared" si="72"/>
        <v/>
      </c>
      <c r="R66" s="123" t="str">
        <f t="shared" si="72"/>
        <v/>
      </c>
      <c r="S66" s="123" t="str">
        <f t="shared" si="72"/>
        <v/>
      </c>
      <c r="T66" s="123" t="str">
        <f t="shared" si="72"/>
        <v/>
      </c>
      <c r="U66" s="123" t="str">
        <f t="shared" si="72"/>
        <v/>
      </c>
      <c r="V66" s="123" t="str">
        <f t="shared" si="72"/>
        <v/>
      </c>
      <c r="W66" s="123" t="str">
        <f t="shared" si="72"/>
        <v/>
      </c>
      <c r="X66" s="123" t="str">
        <f t="shared" si="72"/>
        <v/>
      </c>
      <c r="Y66" s="123" t="str">
        <f t="shared" si="72"/>
        <v/>
      </c>
      <c r="Z66" s="122" t="str">
        <f t="shared" si="72"/>
        <v/>
      </c>
      <c r="AA66" s="122" t="str">
        <f t="shared" si="72"/>
        <v/>
      </c>
      <c r="AB66" s="122" t="str">
        <f t="shared" si="72"/>
        <v/>
      </c>
      <c r="AC66" s="122" t="str">
        <f t="shared" si="72"/>
        <v/>
      </c>
      <c r="AD66" s="122" t="str">
        <f t="shared" si="72"/>
        <v/>
      </c>
      <c r="AE66" s="122" t="str">
        <f t="shared" si="72"/>
        <v/>
      </c>
      <c r="AF66" s="122" t="str">
        <f t="shared" si="72"/>
        <v/>
      </c>
      <c r="AG66" s="122" t="str">
        <f t="shared" si="72"/>
        <v/>
      </c>
      <c r="AH66" s="122" t="str">
        <f t="shared" si="72"/>
        <v/>
      </c>
      <c r="AI66" s="122" t="str">
        <f t="shared" si="72"/>
        <v/>
      </c>
      <c r="AJ66" s="122" t="str">
        <f t="shared" si="72"/>
        <v/>
      </c>
      <c r="AK66" s="122" t="str">
        <f t="shared" si="72"/>
        <v/>
      </c>
      <c r="AL66" s="122" t="str">
        <f t="shared" si="72"/>
        <v/>
      </c>
      <c r="AM66" s="122" t="str">
        <f t="shared" si="72"/>
        <v/>
      </c>
      <c r="AN66" s="124" t="str">
        <f t="shared" si="72"/>
        <v/>
      </c>
      <c r="AO66" s="128" t="str">
        <f t="shared" si="72"/>
        <v/>
      </c>
      <c r="AP66" s="125" t="str">
        <f t="shared" si="72"/>
        <v/>
      </c>
      <c r="AQ66" s="125" t="str">
        <f t="shared" si="72"/>
        <v/>
      </c>
      <c r="AR66" s="125" t="str">
        <f t="shared" si="72"/>
        <v/>
      </c>
      <c r="AS66" s="125" t="str">
        <f t="shared" si="72"/>
        <v/>
      </c>
      <c r="AT66" s="125" t="str">
        <f t="shared" si="72"/>
        <v/>
      </c>
      <c r="AU66" s="126" t="str">
        <f t="shared" si="72"/>
        <v/>
      </c>
      <c r="AV66" s="127" t="str">
        <f t="shared" si="72"/>
        <v/>
      </c>
    </row>
    <row r="67" spans="1:48" hidden="1" x14ac:dyDescent="0.3">
      <c r="A67" s="42" t="str">
        <f t="shared" ref="A67" si="73">+IF(C67+C68=0,"[ocultar]","")</f>
        <v>[ocultar]</v>
      </c>
      <c r="B67" s="86" t="s">
        <v>162</v>
      </c>
      <c r="C67" s="33">
        <f t="array" ref="C67">SUM(IF($B67=DATOS_[Sexo],
IF($B66=DATOS_[AGRUP. VALOR. PTO.],
IF("Dentro"=DATOS_[Check Periodo Ref.],
1/(COUNTIFS(DATOS_[Sexo],$B67,DATOS_[AGRUP. VALOR. PTO.],$B66,DATOS_[Check Periodo Ref.],"Dentro",DATOS_[id],DATOS_[id]))))))</f>
        <v>0</v>
      </c>
      <c r="D67" s="35">
        <f>COUNTIFS(DATOS_[AGRUP. VALOR. PTO.],$B66,DATOS_[Sexo],$B67,DATOS_[Check Periodo Ref.],"Dentro")</f>
        <v>0</v>
      </c>
      <c r="E67" s="35">
        <f>COUNTIFS(DATOS_[AGRUP. VALOR. PTO.],$B66,DATOS_[Sexo],$B67,DATOS_[Check Periodo Ref.],"Dentro",DATOS_[Check Nº SC Norm],"Sí")</f>
        <v>0</v>
      </c>
      <c r="F67" s="35">
        <f>COUNTIFS(DATOS_[AGRUP. VALOR. PTO.],$B66,DATOS_[Sexo],$B67,DATOS_[Check Periodo Ref.],"Dentro",DATOS_[Check Nº SC Anualiz],"Sí")</f>
        <v>0</v>
      </c>
      <c r="G67" s="35">
        <f>COUNTIFS(DATOS_[AGRUP. VALOR. PTO.],$B66,DATOS_[Sexo],$B67,DATOS_[Check Periodo Ref.],"Dentro",DATOS_[Check Nº SC Norm y Anualiz],"Sí")</f>
        <v>0</v>
      </c>
      <c r="H67" s="35">
        <f>COUNTIFS(DATOS_[AGRUP. VALOR. PTO.],$B66,DATOS_[Sexo],$B67,DATOS_[Check Periodo Ref.],"Dentro",DATOS_[Check Equiparación],"Sí")</f>
        <v>0</v>
      </c>
      <c r="I67" s="110">
        <f t="array" ref="I67">IFERROR(
MEDIAN(IF(DATOS_[Sexo]=$B67,IF(DATOS_[[AGRUP. VALOR. PTO.]:[AGRUP. VALOR. PTO.]]=$B66,IF(DATOS_[Check Equiparado]="Sí",IF(DATOS_[Check Periodo Ref.]="Dentro",DATOS_[SALARIO BASE Eq],FALSE))))),
0)</f>
        <v>0</v>
      </c>
      <c r="J67" s="111">
        <f t="array" ref="J67">IFERROR(
(MEDIAN((IF(DATOS_[[Sexo]:[Sexo]]=$B67,IF(DATOS_[[AGRUP. VALOR. PTO.]:[AGRUP. VALOR. PTO.]]=$B66,IF(DATOS_[[Check Periodo Ref.]:[Check Periodo Ref.]]="Dentro",IF(DATOS_[[Check Equiparado]:[Check Equiparado]]="Sí",IF(DATOS!AE$5="Sí",(1/DATOS_[[% anualiz]:[% anualiz]]),1)*IF(DATOS!AE$4="Sí",1/DATOS_[[% normaliz]:[% normaliz]],1)*(DATOS_[Conc.Sal.01])))))))),
0)</f>
        <v>0</v>
      </c>
      <c r="K67" s="111">
        <f t="array" ref="K67">IFERROR(
(MEDIAN((IF(DATOS_[[Sexo]:[Sexo]]=$B67,IF(DATOS_[[AGRUP. VALOR. PTO.]:[AGRUP. VALOR. PTO.]]=$B66,IF(DATOS_[[Check Periodo Ref.]:[Check Periodo Ref.]]="Dentro",IF(DATOS_[[Check Equiparado]:[Check Equiparado]]="Sí",IF(DATOS!AF$5="Sí",(1/DATOS_[[% anualiz]:[% anualiz]]),1)*IF(DATOS!AF$4="Sí",1/DATOS_[[% normaliz]:[% normaliz]],1)*(DATOS_[Conc.Sal.02])))))))),
0)</f>
        <v>0</v>
      </c>
      <c r="L67" s="111">
        <f t="array" ref="L67">IFERROR(
(MEDIAN((IF(DATOS_[[Sexo]:[Sexo]]=$B67,IF(DATOS_[[AGRUP. VALOR. PTO.]:[AGRUP. VALOR. PTO.]]=$B66,IF(DATOS_[[Check Periodo Ref.]:[Check Periodo Ref.]]="Dentro",IF(DATOS_[[Check Equiparado]:[Check Equiparado]]="Sí",IF(DATOS!AG$5="Sí",(1/DATOS_[[% anualiz]:[% anualiz]]),1)*IF(DATOS!AG$4="Sí",1/DATOS_[[% normaliz]:[% normaliz]],1)*(DATOS_[Conc.Sal.03])))))))),
0)</f>
        <v>0</v>
      </c>
      <c r="M67" s="111">
        <f t="array" ref="M67">IFERROR(
(MEDIAN((IF(DATOS_[[Sexo]:[Sexo]]=$B67,IF(DATOS_[[AGRUP. VALOR. PTO.]:[AGRUP. VALOR. PTO.]]=$B66,IF(DATOS_[[Check Periodo Ref.]:[Check Periodo Ref.]]="Dentro",IF(DATOS_[[Check Equiparado]:[Check Equiparado]]="Sí",IF(DATOS!AH$5="Sí",(1/DATOS_[[% anualiz]:[% anualiz]]),1)*IF(DATOS!AH$4="Sí",1/DATOS_[[% normaliz]:[% normaliz]],1)*(DATOS_[Conc.Sal.04])))))))),
0)</f>
        <v>0</v>
      </c>
      <c r="N67" s="111">
        <f t="array" ref="N67">IFERROR(
(MEDIAN((IF(DATOS_[[Sexo]:[Sexo]]=$B67,IF(DATOS_[[AGRUP. VALOR. PTO.]:[AGRUP. VALOR. PTO.]]=$B66,IF(DATOS_[[Check Periodo Ref.]:[Check Periodo Ref.]]="Dentro",IF(DATOS_[[Check Equiparado]:[Check Equiparado]]="Sí",IF(DATOS!AI$5="Sí",(1/DATOS_[[% anualiz]:[% anualiz]]),1)*IF(DATOS!AI$4="Sí",1/DATOS_[[% normaliz]:[% normaliz]],1)*(DATOS_[Conc.Sal.05])))))))),
0)</f>
        <v>0</v>
      </c>
      <c r="O67" s="111">
        <f t="array" ref="O67">IFERROR(
(MEDIAN((IF(DATOS_[[Sexo]:[Sexo]]=$B67,IF(DATOS_[[AGRUP. VALOR. PTO.]:[AGRUP. VALOR. PTO.]]=$B66,IF(DATOS_[[Check Periodo Ref.]:[Check Periodo Ref.]]="Dentro",IF(DATOS_[[Check Equiparado]:[Check Equiparado]]="Sí",IF(DATOS!AJ$5="Sí",(1/DATOS_[[% anualiz]:[% anualiz]]),1)*IF(DATOS!AJ$4="Sí",1/DATOS_[[% normaliz]:[% normaliz]],1)*(DATOS_[Conc.Sal.06])))))))),
0)</f>
        <v>0</v>
      </c>
      <c r="P67" s="111">
        <f t="array" ref="P67">IFERROR(
(MEDIAN((IF(DATOS_[[Sexo]:[Sexo]]=$B67,IF(DATOS_[[AGRUP. VALOR. PTO.]:[AGRUP. VALOR. PTO.]]=$B66,IF(DATOS_[[Check Periodo Ref.]:[Check Periodo Ref.]]="Dentro",IF(DATOS_[[Check Equiparado]:[Check Equiparado]]="Sí",IF(DATOS!AK$5="Sí",(1/DATOS_[[% anualiz]:[% anualiz]]),1)*IF(DATOS!AK$4="Sí",1/DATOS_[[% normaliz]:[% normaliz]],1)*(DATOS_[Conc.Sal.07])))))))),
0)</f>
        <v>0</v>
      </c>
      <c r="Q67" s="111">
        <f t="array" ref="Q67">IFERROR(
(MEDIAN((IF(DATOS_[[Sexo]:[Sexo]]=$B67,IF(DATOS_[[AGRUP. VALOR. PTO.]:[AGRUP. VALOR. PTO.]]=$B66,IF(DATOS_[[Check Periodo Ref.]:[Check Periodo Ref.]]="Dentro",IF(DATOS_[[Check Equiparado]:[Check Equiparado]]="Sí",IF(DATOS!AL$5="Sí",(1/DATOS_[[% anualiz]:[% anualiz]]),1)*IF(DATOS!AL$4="Sí",1/DATOS_[[% normaliz]:[% normaliz]],1)*(DATOS_[Conc.Sal.08])))))))),
0)</f>
        <v>0</v>
      </c>
      <c r="R67" s="111">
        <f t="array" ref="R67">IFERROR(
(MEDIAN((IF(DATOS_[[Sexo]:[Sexo]]=$B67,IF(DATOS_[[AGRUP. VALOR. PTO.]:[AGRUP. VALOR. PTO.]]=$B66,IF(DATOS_[[Check Periodo Ref.]:[Check Periodo Ref.]]="Dentro",IF(DATOS_[[Check Equiparado]:[Check Equiparado]]="Sí",IF(DATOS!AM$5="Sí",(1/DATOS_[[% anualiz]:[% anualiz]]),1)*IF(DATOS!AM$4="Sí",1/DATOS_[[% normaliz]:[% normaliz]],1)*(DATOS_[Conc.Sal.09])))))))),
0)</f>
        <v>0</v>
      </c>
      <c r="S67" s="111">
        <f t="array" ref="S67">IFERROR(
(MEDIAN((IF(DATOS_[[Sexo]:[Sexo]]=$B67,IF(DATOS_[[AGRUP. VALOR. PTO.]:[AGRUP. VALOR. PTO.]]=$B66,IF(DATOS_[[Check Periodo Ref.]:[Check Periodo Ref.]]="Dentro",IF(DATOS_[[Check Equiparado]:[Check Equiparado]]="Sí",IF(DATOS!AN$5="Sí",(1/DATOS_[[% anualiz]:[% anualiz]]),1)*IF(DATOS!AN$4="Sí",1/DATOS_[[% normaliz]:[% normaliz]],1)*(DATOS_[Conc.Sal.10])))))))),
0)</f>
        <v>0</v>
      </c>
      <c r="T67" s="111">
        <f t="array" ref="T67">IFERROR(
(MEDIAN((IF(DATOS_[[Sexo]:[Sexo]]=$B67,IF(DATOS_[[AGRUP. VALOR. PTO.]:[AGRUP. VALOR. PTO.]]=$B66,IF(DATOS_[[Check Periodo Ref.]:[Check Periodo Ref.]]="Dentro",IF(DATOS_[[Check Equiparado]:[Check Equiparado]]="Sí",IF(DATOS!AO$5="Sí",(1/DATOS_[[% anualiz]:[% anualiz]]),1)*IF(DATOS!AO$4="Sí",1/DATOS_[[% normaliz]:[% normaliz]],1)*(DATOS_[Conc.Sal.11])))))))),
0)</f>
        <v>0</v>
      </c>
      <c r="U67" s="111">
        <f t="array" ref="U67">IFERROR(
(MEDIAN((IF(DATOS_[[Sexo]:[Sexo]]=$B67,IF(DATOS_[[AGRUP. VALOR. PTO.]:[AGRUP. VALOR. PTO.]]=$B66,IF(DATOS_[[Check Periodo Ref.]:[Check Periodo Ref.]]="Dentro",IF(DATOS_[[Check Equiparado]:[Check Equiparado]]="Sí",IF(DATOS!AP$5="Sí",(1/DATOS_[[% anualiz]:[% anualiz]]),1)*IF(DATOS!AP$4="Sí",1/DATOS_[[% normaliz]:[% normaliz]],1)*(DATOS_[Conc.Sal.12])))))))),
0)</f>
        <v>0</v>
      </c>
      <c r="V67" s="111">
        <f t="array" ref="V67">IFERROR(
(MEDIAN((IF(DATOS_[[Sexo]:[Sexo]]=$B67,IF(DATOS_[[AGRUP. VALOR. PTO.]:[AGRUP. VALOR. PTO.]]=$B66,IF(DATOS_[[Check Periodo Ref.]:[Check Periodo Ref.]]="Dentro",IF(DATOS_[[Check Equiparado]:[Check Equiparado]]="Sí",IF(DATOS!AQ$5="Sí",(1/DATOS_[[% anualiz]:[% anualiz]]),1)*IF(DATOS!AQ$4="Sí",1/DATOS_[[% normaliz]:[% normaliz]],1)*(DATOS_[Conc.Sal.13])))))))),
0)</f>
        <v>0</v>
      </c>
      <c r="W67" s="111">
        <f t="array" ref="W67">IFERROR(
(MEDIAN((IF(DATOS_[[Sexo]:[Sexo]]=$B67,IF(DATOS_[[AGRUP. VALOR. PTO.]:[AGRUP. VALOR. PTO.]]=$B66,IF(DATOS_[[Check Periodo Ref.]:[Check Periodo Ref.]]="Dentro",IF(DATOS_[[Check Equiparado]:[Check Equiparado]]="Sí",IF(DATOS!AR$5="Sí",(1/DATOS_[[% anualiz]:[% anualiz]]),1)*IF(DATOS!AR$4="Sí",1/DATOS_[[% normaliz]:[% normaliz]],1)*(DATOS_[Conc.Sal.14])))))))),
0)</f>
        <v>0</v>
      </c>
      <c r="X67" s="111">
        <f t="array" ref="X67">IFERROR(
(MEDIAN((IF(DATOS_[[Sexo]:[Sexo]]=$B67,IF(DATOS_[[AGRUP. VALOR. PTO.]:[AGRUP. VALOR. PTO.]]=$B66,IF(DATOS_[[Check Periodo Ref.]:[Check Periodo Ref.]]="Dentro",IF(DATOS_[[Check Equiparado]:[Check Equiparado]]="Sí",IF(DATOS!AS$5="Sí",(1/DATOS_[[% anualiz]:[% anualiz]]),1)*IF(DATOS!AS$4="Sí",1/DATOS_[[% normaliz]:[% normaliz]],1)*(DATOS_[Conc.Sal.15])))))))),
0)</f>
        <v>0</v>
      </c>
      <c r="Y67" s="111">
        <f t="array" ref="Y67">IFERROR(
(MEDIAN((IF(DATOS_[[Sexo]:[Sexo]]=$B67,IF(DATOS_[[AGRUP. VALOR. PTO.]:[AGRUP. VALOR. PTO.]]=$B66,IF(DATOS_[[Check Periodo Ref.]:[Check Periodo Ref.]]="Dentro",IF(DATOS_[[Check Equiparado]:[Check Equiparado]]="Sí",IF(DATOS!AT$5="Sí",(1/DATOS_[[% anualiz]:[% anualiz]]),1)*IF(DATOS!AT$4="Sí",1/DATOS_[[% normaliz]:[% normaliz]],1)*(DATOS_[Conc.Sal.16])))))))),
0)</f>
        <v>0</v>
      </c>
      <c r="Z67" s="111">
        <f t="array" ref="Z67">IFERROR(
(MEDIAN((IF(DATOS_[[Sexo]:[Sexo]]=$B67,IF(DATOS_[[AGRUP. VALOR. PTO.]:[AGRUP. VALOR. PTO.]]=$B66,IF(DATOS_[[Check Periodo Ref.]:[Check Periodo Ref.]]="Dentro",IF(DATOS_[[Check Equiparado]:[Check Equiparado]]="Sí",IF(DATOS!AU$5="Sí",(1/DATOS_[[% anualiz]:[% anualiz]]),1)*IF(DATOS!AU$4="Sí",1/DATOS_[[% normaliz]:[% normaliz]],1)*(DATOS_[Conc.Sal.17])))))))),
0)</f>
        <v>0</v>
      </c>
      <c r="AA67" s="111">
        <f t="array" ref="AA67">IFERROR(
(MEDIAN((IF(DATOS_[[Sexo]:[Sexo]]=$B67,IF(DATOS_[[AGRUP. VALOR. PTO.]:[AGRUP. VALOR. PTO.]]=$B66,IF(DATOS_[[Check Periodo Ref.]:[Check Periodo Ref.]]="Dentro",IF(DATOS_[[Check Equiparado]:[Check Equiparado]]="Sí",IF(DATOS!AV$5="Sí",(1/DATOS_[[% anualiz]:[% anualiz]]),1)*IF(DATOS!AV$4="Sí",1/DATOS_[[% normaliz]:[% normaliz]],1)*(DATOS_[Conc.Sal.18])))))))),
0)</f>
        <v>0</v>
      </c>
      <c r="AB67" s="111">
        <f t="array" ref="AB67">IFERROR(
(MEDIAN((IF(DATOS_[[Sexo]:[Sexo]]=$B67,IF(DATOS_[[AGRUP. VALOR. PTO.]:[AGRUP. VALOR. PTO.]]=$B66,IF(DATOS_[[Check Periodo Ref.]:[Check Periodo Ref.]]="Dentro",IF(DATOS_[[Check Equiparado]:[Check Equiparado]]="Sí",IF(DATOS!AW$5="Sí",(1/DATOS_[[% anualiz]:[% anualiz]]),1)*IF(DATOS!AW$4="Sí",1/DATOS_[[% normaliz]:[% normaliz]],1)*(DATOS_[Conc.Sal.19])))))))),
0)</f>
        <v>0</v>
      </c>
      <c r="AC67" s="111">
        <f t="array" ref="AC67">IFERROR(
(MEDIAN((IF(DATOS_[[Sexo]:[Sexo]]=$B67,IF(DATOS_[[AGRUP. VALOR. PTO.]:[AGRUP. VALOR. PTO.]]=$B66,IF(DATOS_[[Check Periodo Ref.]:[Check Periodo Ref.]]="Dentro",IF(DATOS_[[Check Equiparado]:[Check Equiparado]]="Sí",IF(DATOS!AX$5="Sí",(1/DATOS_[[% anualiz]:[% anualiz]]),1)*IF(DATOS!AX$4="Sí",1/DATOS_[[% normaliz]:[% normaliz]],1)*(DATOS_[Conc.Sal.20])))))))),
0)</f>
        <v>0</v>
      </c>
      <c r="AD67" s="111">
        <f t="array" ref="AD67">IFERROR(
(MEDIAN((IF(DATOS_[[Sexo]:[Sexo]]=$B67,IF(DATOS_[[AGRUP. VALOR. PTO.]:[AGRUP. VALOR. PTO.]]=$B66,IF(DATOS_[[Check Periodo Ref.]:[Check Periodo Ref.]]="Dentro",IF(DATOS_[[Check Equiparado]:[Check Equiparado]]="Sí",IF(DATOS!AY$5="Sí",(1/DATOS_[[% anualiz]:[% anualiz]]),1)*IF(DATOS!AY$4="Sí",1/DATOS_[[% normaliz]:[% normaliz]],1)*(DATOS_[Conc.Sal.21])))))))),
0)</f>
        <v>0</v>
      </c>
      <c r="AE67" s="111">
        <f t="array" ref="AE67">IFERROR(
(MEDIAN((IF(DATOS_[[Sexo]:[Sexo]]=$B67,IF(DATOS_[[AGRUP. VALOR. PTO.]:[AGRUP. VALOR. PTO.]]=$B66,IF(DATOS_[[Check Periodo Ref.]:[Check Periodo Ref.]]="Dentro",IF(DATOS_[[Check Equiparado]:[Check Equiparado]]="Sí",IF(DATOS!AZ$5="Sí",(1/DATOS_[[% anualiz]:[% anualiz]]),1)*IF(DATOS!AZ$4="Sí",1/DATOS_[[% normaliz]:[% normaliz]],1)*(DATOS_[Conc.Sal.22])))))))),
0)</f>
        <v>0</v>
      </c>
      <c r="AF67" s="111">
        <f t="array" ref="AF67">IFERROR(
(MEDIAN((IF(DATOS_[[Sexo]:[Sexo]]=$B67,IF(DATOS_[[AGRUP. VALOR. PTO.]:[AGRUP. VALOR. PTO.]]=$B66,IF(DATOS_[[Check Periodo Ref.]:[Check Periodo Ref.]]="Dentro",IF(DATOS_[[Check Equiparado]:[Check Equiparado]]="Sí",IF(DATOS!BA$5="Sí",(1/DATOS_[[% anualiz]:[% anualiz]]),1)*IF(DATOS!BA$4="Sí",1/DATOS_[[% normaliz]:[% normaliz]],1)*(DATOS_[Conc.Sal.23])))))))),
0)</f>
        <v>0</v>
      </c>
      <c r="AG67" s="111">
        <f t="array" ref="AG67">IFERROR(
(MEDIAN((IF(DATOS_[[Sexo]:[Sexo]]=$B67,IF(DATOS_[[AGRUP. VALOR. PTO.]:[AGRUP. VALOR. PTO.]]=$B66,IF(DATOS_[[Check Periodo Ref.]:[Check Periodo Ref.]]="Dentro",IF(DATOS_[[Check Equiparado]:[Check Equiparado]]="Sí",IF(DATOS!BB$5="Sí",(1/DATOS_[[% anualiz]:[% anualiz]]),1)*IF(DATOS!BB$4="Sí",1/DATOS_[[% normaliz]:[% normaliz]],1)*(DATOS_[Conc.Sal.24])))))))),
0)</f>
        <v>0</v>
      </c>
      <c r="AH67" s="111">
        <f t="array" ref="AH67">IFERROR(
(MEDIAN((IF(DATOS_[[Sexo]:[Sexo]]=$B67,IF(DATOS_[[AGRUP. VALOR. PTO.]:[AGRUP. VALOR. PTO.]]=$B66,IF(DATOS_[[Check Periodo Ref.]:[Check Periodo Ref.]]="Dentro",IF(DATOS_[[Check Equiparado]:[Check Equiparado]]="Sí",IF(DATOS!BC$5="Sí",(1/DATOS_[[% anualiz]:[% anualiz]]),1)*IF(DATOS!BC$4="Sí",1/DATOS_[[% normaliz]:[% normaliz]],1)*(DATOS_[Conc.Sal.25])))))))),
0)</f>
        <v>0</v>
      </c>
      <c r="AI67" s="111">
        <f t="array" ref="AI67">IFERROR(
(MEDIAN((IF(DATOS_[[Sexo]:[Sexo]]=$B67,IF(DATOS_[[AGRUP. VALOR. PTO.]:[AGRUP. VALOR. PTO.]]=$B66,IF(DATOS_[[Check Periodo Ref.]:[Check Periodo Ref.]]="Dentro",IF(DATOS_[[Check Equiparado]:[Check Equiparado]]="Sí",IF(DATOS!BD$5="Sí",(1/DATOS_[[% anualiz]:[% anualiz]]),1)*IF(DATOS!BD$4="Sí",1/DATOS_[[% normaliz]:[% normaliz]],1)*(DATOS_[Conc.Sal.26])))))))),
0)</f>
        <v>0</v>
      </c>
      <c r="AJ67" s="111">
        <f t="array" ref="AJ67">IFERROR(
(MEDIAN((IF(DATOS_[[Sexo]:[Sexo]]=$B67,IF(DATOS_[[AGRUP. VALOR. PTO.]:[AGRUP. VALOR. PTO.]]=$B66,IF(DATOS_[[Check Periodo Ref.]:[Check Periodo Ref.]]="Dentro",IF(DATOS_[[Check Equiparado]:[Check Equiparado]]="Sí",IF(DATOS!BE$5="Sí",(1/DATOS_[[% anualiz]:[% anualiz]]),1)*IF(DATOS!BE$4="Sí",1/DATOS_[[% normaliz]:[% normaliz]],1)*(DATOS_[Conc.Sal.27])))))))),
0)</f>
        <v>0</v>
      </c>
      <c r="AK67" s="111">
        <f t="array" ref="AK67">IFERROR(
(MEDIAN((IF(DATOS_[[Sexo]:[Sexo]]=$B67,IF(DATOS_[[AGRUP. VALOR. PTO.]:[AGRUP. VALOR. PTO.]]=$B66,IF(DATOS_[[Check Periodo Ref.]:[Check Periodo Ref.]]="Dentro",IF(DATOS_[[Check Equiparado]:[Check Equiparado]]="Sí",IF(DATOS!BF$5="Sí",(1/DATOS_[[% anualiz]:[% anualiz]]),1)*IF(DATOS!BF$4="Sí",1/DATOS_[[% normaliz]:[% normaliz]],1)*(DATOS_[Conc.Sal.28])))))))),
0)</f>
        <v>0</v>
      </c>
      <c r="AL67" s="111">
        <f t="array" ref="AL67">IFERROR(
(MEDIAN((IF(DATOS_[[Sexo]:[Sexo]]=$B67,IF(DATOS_[[AGRUP. VALOR. PTO.]:[AGRUP. VALOR. PTO.]]=$B66,IF(DATOS_[[Check Periodo Ref.]:[Check Periodo Ref.]]="Dentro",IF(DATOS_[[Check Equiparado]:[Check Equiparado]]="Sí",IF(DATOS!BG$5="Sí",(1/DATOS_[[% anualiz]:[% anualiz]]),1)*IF(DATOS!BG$4="Sí",1/DATOS_[[% normaliz]:[% normaliz]],1)*(DATOS_[Conc.Sal.29])))))))),
0)</f>
        <v>0</v>
      </c>
      <c r="AM67" s="111">
        <f t="array" ref="AM67">IFERROR(
(MEDIAN((IF(DATOS_[[Sexo]:[Sexo]]=$B67,IF(DATOS_[[AGRUP. VALOR. PTO.]:[AGRUP. VALOR. PTO.]]=$B66,IF(DATOS_[[Check Periodo Ref.]:[Check Periodo Ref.]]="Dentro",IF(DATOS_[[Check Equiparado]:[Check Equiparado]]="Sí",IF(DATOS!BH$5="Sí",(1/DATOS_[[% anualiz]:[% anualiz]]),1)*IF(DATOS!BH$4="Sí",1/DATOS_[[% normaliz]:[% normaliz]],1)*(DATOS_[Conc.Sal.30])))))))),
0)</f>
        <v>0</v>
      </c>
      <c r="AN67" s="112">
        <f t="array" ref="AN67">IFERROR(
MEDIAN(IF(DATOS_[Sexo]=$B67,IF(DATOS_[[AGRUP. VALOR. PTO.]:[AGRUP. VALOR. PTO.]]=$B66,IF(DATOS_[Check Equiparado]="Sí",IF(DATOS_[Check Periodo Ref.]="Dentro",DATOS_[Tot COMPL.SAL Eq],FALSE))))),
0)</f>
        <v>0</v>
      </c>
      <c r="AO67" s="113">
        <f t="array" ref="AO67">IFERROR(
MEDIAN(IF(DATOS_[Sexo]=$B67,IF(DATOS_[[AGRUP. VALOR. PTO.]:[AGRUP. VALOR. PTO.]]=$B66,IF(DATOS_[Check Equiparado]="Sí",IF(DATOS_[Check Periodo Ref.]="Dentro",DATOS_[TOTAL SALARIO Eq],FALSE))))),
0)</f>
        <v>0</v>
      </c>
      <c r="AP67" s="114">
        <f t="array" ref="AP67">IFERROR(
(MEDIAN((IF(DATOS_[[Sexo]:[Sexo]]=$B67,IF(DATOS_[[AGRUP. VALOR. PTO.]:[AGRUP. VALOR. PTO.]]=$B66,IF(DATOS_[[Check Periodo Ref.]:[Check Periodo Ref.]]="Dentro",IF(DATOS_[[Check Equiparado]:[Check Equiparado]]="Sí",IF(DATOS!BI$5="Sí",(1/DATOS_[[% anualiz]:[% anualiz]]),1)*IF(DATOS!BI$4="Sí",1/DATOS_[[% normaliz]:[% normaliz]],1)*(DATOS_[C.Extra.01])))))))),
0)</f>
        <v>0</v>
      </c>
      <c r="AQ67" s="114">
        <f t="array" ref="AQ67">IFERROR(
(MEDIAN((IF(DATOS_[[Sexo]:[Sexo]]=$B67,IF(DATOS_[[AGRUP. VALOR. PTO.]:[AGRUP. VALOR. PTO.]]=$B66,IF(DATOS_[[Check Periodo Ref.]:[Check Periodo Ref.]]="Dentro",IF(DATOS_[[Check Equiparado]:[Check Equiparado]]="Sí",IF(DATOS!BJ$5="Sí",(1/DATOS_[[% anualiz]:[% anualiz]]),1)*IF(DATOS!BJ$4="Sí",1/DATOS_[[% normaliz]:[% normaliz]],1)*(DATOS_[C.Extra.02])))))))),
0)</f>
        <v>0</v>
      </c>
      <c r="AR67" s="114">
        <f t="array" ref="AR67">IFERROR(
(MEDIAN((IF(DATOS_[[Sexo]:[Sexo]]=$B67,IF(DATOS_[[AGRUP. VALOR. PTO.]:[AGRUP. VALOR. PTO.]]=$B66,IF(DATOS_[[Check Periodo Ref.]:[Check Periodo Ref.]]="Dentro",IF(DATOS_[[Check Equiparado]:[Check Equiparado]]="Sí",IF(DATOS!BK$5="Sí",(1/DATOS_[[% anualiz]:[% anualiz]]),1)*IF(DATOS!BK$4="Sí",1/DATOS_[[% normaliz]:[% normaliz]],1)*(DATOS_[C.Extra.03])))))))),
0)</f>
        <v>0</v>
      </c>
      <c r="AS67" s="114">
        <f t="array" ref="AS67">IFERROR(
(MEDIAN((IF(DATOS_[[Sexo]:[Sexo]]=$B67,IF(DATOS_[[AGRUP. VALOR. PTO.]:[AGRUP. VALOR. PTO.]]=$B66,IF(DATOS_[[Check Periodo Ref.]:[Check Periodo Ref.]]="Dentro",IF(DATOS_[[Check Equiparado]:[Check Equiparado]]="Sí",IF(DATOS!BL$5="Sí",(1/DATOS_[[% anualiz]:[% anualiz]]),1)*IF(DATOS!BL$4="Sí",1/DATOS_[[% normaliz]:[% normaliz]],1)*(DATOS_[C.Extra.04])))))))),
0)</f>
        <v>0</v>
      </c>
      <c r="AT67" s="114">
        <f t="array" ref="AT67">IFERROR(
(MEDIAN((IF(DATOS_[[Sexo]:[Sexo]]=$B67,IF(DATOS_[[AGRUP. VALOR. PTO.]:[AGRUP. VALOR. PTO.]]=$B66,IF(DATOS_[[Check Periodo Ref.]:[Check Periodo Ref.]]="Dentro",IF(DATOS_[[Check Equiparado]:[Check Equiparado]]="Sí",IF(DATOS!BM$5="Sí",(1/DATOS_[[% anualiz]:[% anualiz]]),1)*IF(DATOS!BM$4="Sí",1/DATOS_[[% normaliz]:[% normaliz]],1)*(DATOS_[C.Extra.05])))))))),
0)</f>
        <v>0</v>
      </c>
      <c r="AU67" s="115">
        <f t="array" ref="AU67">IFERROR(
MEDIAN(IF(DATOS_[Sexo]=$B67,IF(DATOS_[[AGRUP. VALOR. PTO.]:[AGRUP. VALOR. PTO.]]=$B66,IF(DATOS_[Check Equiparado]="Sí",IF(DATOS_[Check Periodo Ref.]="Dentro",DATOS_[Tot Extrasalarial Eq],FALSE))))),
0)</f>
        <v>0</v>
      </c>
      <c r="AV67" s="116">
        <f t="array" ref="AV67">IFERROR(
MEDIAN(IF(DATOS_[Sexo]=$B67,IF(DATOS_[[AGRUP. VALOR. PTO.]:[AGRUP. VALOR. PTO.]]=$B66,IF(DATOS_[Check Equiparado]="Sí",IF(DATOS_[Check Periodo Ref.]="Dentro",DATOS_[TOTAL Retrib Eq],FALSE))))),
0)</f>
        <v>0</v>
      </c>
    </row>
    <row r="68" spans="1:48" hidden="1" x14ac:dyDescent="0.3">
      <c r="A68" s="42" t="str">
        <f t="shared" ref="A68" si="74">+A67</f>
        <v>[ocultar]</v>
      </c>
      <c r="B68" s="86" t="s">
        <v>163</v>
      </c>
      <c r="C68" s="33">
        <f t="array" ref="C68">SUM(IF($B68=DATOS_[Sexo],
IF($B66=DATOS_[AGRUP. VALOR. PTO.],
IF("Dentro"=DATOS_[Check Periodo Ref.],
1/(COUNTIFS(DATOS_[Sexo],$B68,DATOS_[AGRUP. VALOR. PTO.],$B66,DATOS_[Check Periodo Ref.],"Dentro",DATOS_[id],DATOS_[id]))))))</f>
        <v>0</v>
      </c>
      <c r="D68" s="35">
        <f>COUNTIFS(DATOS_[AGRUP. VALOR. PTO.],$B66,DATOS_[Sexo],$B68,DATOS_[Check Periodo Ref.],"Dentro")</f>
        <v>0</v>
      </c>
      <c r="E68" s="35">
        <f>COUNTIFS(DATOS_[AGRUP. VALOR. PTO.],$B66,DATOS_[Sexo],$B68,DATOS_[Check Periodo Ref.],"Dentro",DATOS_[Check Nº SC Norm],"Sí")</f>
        <v>0</v>
      </c>
      <c r="F68" s="35">
        <f>COUNTIFS(DATOS_[AGRUP. VALOR. PTO.],$B66,DATOS_[Sexo],$B68,DATOS_[Check Periodo Ref.],"Dentro",DATOS_[Check Nº SC Anualiz],"Sí")</f>
        <v>0</v>
      </c>
      <c r="G68" s="35">
        <f>COUNTIFS(DATOS_[AGRUP. VALOR. PTO.],$B66,DATOS_[Sexo],$B68,DATOS_[Check Periodo Ref.],"Dentro",DATOS_[Check Nº SC Norm y Anualiz],"Sí")</f>
        <v>0</v>
      </c>
      <c r="H68" s="35">
        <f>COUNTIFS(DATOS_[AGRUP. VALOR. PTO.],$B66,DATOS_[Sexo],$B68,DATOS_[Check Periodo Ref.],"Dentro",DATOS_[Check Equiparación],"Sí")</f>
        <v>0</v>
      </c>
      <c r="I68" s="110" cm="1">
        <f t="array" ref="I68">IFERROR(
MEDIAN(IF(DATOS_[Sexo]=$B68,IF(DATOS_[[AGRUP. VALOR. PTO.]:[AGRUP. VALOR. PTO.]]=$B66,IF(DATOS_[Check Equiparado]="Sí",IF(DATOS_[Check Periodo Ref.]="Dentro",DATOS_[SALARIO BASE Eq],FALSE))))),
0)</f>
        <v>0</v>
      </c>
      <c r="J68" s="111">
        <f t="array" ref="J68">IFERROR(
(MEDIAN((IF(DATOS_[[Sexo]:[Sexo]]=$B68,IF(DATOS_[[AGRUP. VALOR. PTO.]:[AGRUP. VALOR. PTO.]]=$B66,IF(DATOS_[[Check Periodo Ref.]:[Check Periodo Ref.]]="Dentro",IF(DATOS_[[Check Equiparado]:[Check Equiparado]]="Sí",IF(DATOS!AE$5="Sí",(1/DATOS_[[% anualiz]:[% anualiz]]),1)*IF(DATOS!AE$4="Sí",1/DATOS_[[% normaliz]:[% normaliz]],1)*(DATOS_[Conc.Sal.01])))))))),
0)</f>
        <v>0</v>
      </c>
      <c r="K68" s="111">
        <f t="array" ref="K68">IFERROR(
(MEDIAN((IF(DATOS_[[Sexo]:[Sexo]]=$B68,IF(DATOS_[[AGRUP. VALOR. PTO.]:[AGRUP. VALOR. PTO.]]=$B66,IF(DATOS_[[Check Periodo Ref.]:[Check Periodo Ref.]]="Dentro",IF(DATOS_[[Check Equiparado]:[Check Equiparado]]="Sí",IF(DATOS!AF$5="Sí",(1/DATOS_[[% anualiz]:[% anualiz]]),1)*IF(DATOS!AF$4="Sí",1/DATOS_[[% normaliz]:[% normaliz]],1)*(DATOS_[Conc.Sal.02])))))))),
0)</f>
        <v>0</v>
      </c>
      <c r="L68" s="111">
        <f t="array" ref="L68">IFERROR(
(MEDIAN((IF(DATOS_[[Sexo]:[Sexo]]=$B68,IF(DATOS_[[AGRUP. VALOR. PTO.]:[AGRUP. VALOR. PTO.]]=$B66,IF(DATOS_[[Check Periodo Ref.]:[Check Periodo Ref.]]="Dentro",IF(DATOS_[[Check Equiparado]:[Check Equiparado]]="Sí",IF(DATOS!AG$5="Sí",(1/DATOS_[[% anualiz]:[% anualiz]]),1)*IF(DATOS!AG$4="Sí",1/DATOS_[[% normaliz]:[% normaliz]],1)*(DATOS_[Conc.Sal.03])))))))),
0)</f>
        <v>0</v>
      </c>
      <c r="M68" s="111">
        <f t="array" ref="M68">IFERROR(
(MEDIAN((IF(DATOS_[[Sexo]:[Sexo]]=$B68,IF(DATOS_[[AGRUP. VALOR. PTO.]:[AGRUP. VALOR. PTO.]]=$B66,IF(DATOS_[[Check Periodo Ref.]:[Check Periodo Ref.]]="Dentro",IF(DATOS_[[Check Equiparado]:[Check Equiparado]]="Sí",IF(DATOS!AH$5="Sí",(1/DATOS_[[% anualiz]:[% anualiz]]),1)*IF(DATOS!AH$4="Sí",1/DATOS_[[% normaliz]:[% normaliz]],1)*(DATOS_[Conc.Sal.04])))))))),
0)</f>
        <v>0</v>
      </c>
      <c r="N68" s="111">
        <f t="array" ref="N68">IFERROR(
(MEDIAN((IF(DATOS_[[Sexo]:[Sexo]]=$B68,IF(DATOS_[[AGRUP. VALOR. PTO.]:[AGRUP. VALOR. PTO.]]=$B66,IF(DATOS_[[Check Periodo Ref.]:[Check Periodo Ref.]]="Dentro",IF(DATOS_[[Check Equiparado]:[Check Equiparado]]="Sí",IF(DATOS!AI$5="Sí",(1/DATOS_[[% anualiz]:[% anualiz]]),1)*IF(DATOS!AI$4="Sí",1/DATOS_[[% normaliz]:[% normaliz]],1)*(DATOS_[Conc.Sal.05])))))))),
0)</f>
        <v>0</v>
      </c>
      <c r="O68" s="111">
        <f t="array" ref="O68">IFERROR(
(MEDIAN((IF(DATOS_[[Sexo]:[Sexo]]=$B68,IF(DATOS_[[AGRUP. VALOR. PTO.]:[AGRUP. VALOR. PTO.]]=$B66,IF(DATOS_[[Check Periodo Ref.]:[Check Periodo Ref.]]="Dentro",IF(DATOS_[[Check Equiparado]:[Check Equiparado]]="Sí",IF(DATOS!AJ$5="Sí",(1/DATOS_[[% anualiz]:[% anualiz]]),1)*IF(DATOS!AJ$4="Sí",1/DATOS_[[% normaliz]:[% normaliz]],1)*(DATOS_[Conc.Sal.06])))))))),
0)</f>
        <v>0</v>
      </c>
      <c r="P68" s="111">
        <f t="array" ref="P68">IFERROR(
(MEDIAN((IF(DATOS_[[Sexo]:[Sexo]]=$B68,IF(DATOS_[[AGRUP. VALOR. PTO.]:[AGRUP. VALOR. PTO.]]=$B66,IF(DATOS_[[Check Periodo Ref.]:[Check Periodo Ref.]]="Dentro",IF(DATOS_[[Check Equiparado]:[Check Equiparado]]="Sí",IF(DATOS!AK$5="Sí",(1/DATOS_[[% anualiz]:[% anualiz]]),1)*IF(DATOS!AK$4="Sí",1/DATOS_[[% normaliz]:[% normaliz]],1)*(DATOS_[Conc.Sal.07])))))))),
0)</f>
        <v>0</v>
      </c>
      <c r="Q68" s="111">
        <f t="array" ref="Q68">IFERROR(
(MEDIAN((IF(DATOS_[[Sexo]:[Sexo]]=$B68,IF(DATOS_[[AGRUP. VALOR. PTO.]:[AGRUP. VALOR. PTO.]]=$B66,IF(DATOS_[[Check Periodo Ref.]:[Check Periodo Ref.]]="Dentro",IF(DATOS_[[Check Equiparado]:[Check Equiparado]]="Sí",IF(DATOS!AL$5="Sí",(1/DATOS_[[% anualiz]:[% anualiz]]),1)*IF(DATOS!AL$4="Sí",1/DATOS_[[% normaliz]:[% normaliz]],1)*(DATOS_[Conc.Sal.08])))))))),
0)</f>
        <v>0</v>
      </c>
      <c r="R68" s="111">
        <f t="array" ref="R68">IFERROR(
(MEDIAN((IF(DATOS_[[Sexo]:[Sexo]]=$B68,IF(DATOS_[[AGRUP. VALOR. PTO.]:[AGRUP. VALOR. PTO.]]=$B66,IF(DATOS_[[Check Periodo Ref.]:[Check Periodo Ref.]]="Dentro",IF(DATOS_[[Check Equiparado]:[Check Equiparado]]="Sí",IF(DATOS!AM$5="Sí",(1/DATOS_[[% anualiz]:[% anualiz]]),1)*IF(DATOS!AM$4="Sí",1/DATOS_[[% normaliz]:[% normaliz]],1)*(DATOS_[Conc.Sal.09])))))))),
0)</f>
        <v>0</v>
      </c>
      <c r="S68" s="111">
        <f t="array" ref="S68">IFERROR(
(MEDIAN((IF(DATOS_[[Sexo]:[Sexo]]=$B68,IF(DATOS_[[AGRUP. VALOR. PTO.]:[AGRUP. VALOR. PTO.]]=$B66,IF(DATOS_[[Check Periodo Ref.]:[Check Periodo Ref.]]="Dentro",IF(DATOS_[[Check Equiparado]:[Check Equiparado]]="Sí",IF(DATOS!AN$5="Sí",(1/DATOS_[[% anualiz]:[% anualiz]]),1)*IF(DATOS!AN$4="Sí",1/DATOS_[[% normaliz]:[% normaliz]],1)*(DATOS_[Conc.Sal.10])))))))),
0)</f>
        <v>0</v>
      </c>
      <c r="T68" s="111">
        <f t="array" ref="T68">IFERROR(
(MEDIAN((IF(DATOS_[[Sexo]:[Sexo]]=$B68,IF(DATOS_[[AGRUP. VALOR. PTO.]:[AGRUP. VALOR. PTO.]]=$B66,IF(DATOS_[[Check Periodo Ref.]:[Check Periodo Ref.]]="Dentro",IF(DATOS_[[Check Equiparado]:[Check Equiparado]]="Sí",IF(DATOS!AO$5="Sí",(1/DATOS_[[% anualiz]:[% anualiz]]),1)*IF(DATOS!AO$4="Sí",1/DATOS_[[% normaliz]:[% normaliz]],1)*(DATOS_[Conc.Sal.11])))))))),
0)</f>
        <v>0</v>
      </c>
      <c r="U68" s="111">
        <f t="array" ref="U68">IFERROR(
(MEDIAN((IF(DATOS_[[Sexo]:[Sexo]]=$B68,IF(DATOS_[[AGRUP. VALOR. PTO.]:[AGRUP. VALOR. PTO.]]=$B66,IF(DATOS_[[Check Periodo Ref.]:[Check Periodo Ref.]]="Dentro",IF(DATOS_[[Check Equiparado]:[Check Equiparado]]="Sí",IF(DATOS!AP$5="Sí",(1/DATOS_[[% anualiz]:[% anualiz]]),1)*IF(DATOS!AP$4="Sí",1/DATOS_[[% normaliz]:[% normaliz]],1)*(DATOS_[Conc.Sal.12])))))))),
0)</f>
        <v>0</v>
      </c>
      <c r="V68" s="111">
        <f t="array" ref="V68">IFERROR(
(MEDIAN((IF(DATOS_[[Sexo]:[Sexo]]=$B68,IF(DATOS_[[AGRUP. VALOR. PTO.]:[AGRUP. VALOR. PTO.]]=$B66,IF(DATOS_[[Check Periodo Ref.]:[Check Periodo Ref.]]="Dentro",IF(DATOS_[[Check Equiparado]:[Check Equiparado]]="Sí",IF(DATOS!AQ$5="Sí",(1/DATOS_[[% anualiz]:[% anualiz]]),1)*IF(DATOS!AQ$4="Sí",1/DATOS_[[% normaliz]:[% normaliz]],1)*(DATOS_[Conc.Sal.13])))))))),
0)</f>
        <v>0</v>
      </c>
      <c r="W68" s="111">
        <f t="array" ref="W68">IFERROR(
(MEDIAN((IF(DATOS_[[Sexo]:[Sexo]]=$B68,IF(DATOS_[[AGRUP. VALOR. PTO.]:[AGRUP. VALOR. PTO.]]=$B66,IF(DATOS_[[Check Periodo Ref.]:[Check Periodo Ref.]]="Dentro",IF(DATOS_[[Check Equiparado]:[Check Equiparado]]="Sí",IF(DATOS!AR$5="Sí",(1/DATOS_[[% anualiz]:[% anualiz]]),1)*IF(DATOS!AR$4="Sí",1/DATOS_[[% normaliz]:[% normaliz]],1)*(DATOS_[Conc.Sal.14])))))))),
0)</f>
        <v>0</v>
      </c>
      <c r="X68" s="111">
        <f t="array" ref="X68">IFERROR(
(MEDIAN((IF(DATOS_[[Sexo]:[Sexo]]=$B68,IF(DATOS_[[AGRUP. VALOR. PTO.]:[AGRUP. VALOR. PTO.]]=$B66,IF(DATOS_[[Check Periodo Ref.]:[Check Periodo Ref.]]="Dentro",IF(DATOS_[[Check Equiparado]:[Check Equiparado]]="Sí",IF(DATOS!AS$5="Sí",(1/DATOS_[[% anualiz]:[% anualiz]]),1)*IF(DATOS!AS$4="Sí",1/DATOS_[[% normaliz]:[% normaliz]],1)*(DATOS_[Conc.Sal.15])))))))),
0)</f>
        <v>0</v>
      </c>
      <c r="Y68" s="111">
        <f t="array" ref="Y68">IFERROR(
(MEDIAN((IF(DATOS_[[Sexo]:[Sexo]]=$B68,IF(DATOS_[[AGRUP. VALOR. PTO.]:[AGRUP. VALOR. PTO.]]=$B66,IF(DATOS_[[Check Periodo Ref.]:[Check Periodo Ref.]]="Dentro",IF(DATOS_[[Check Equiparado]:[Check Equiparado]]="Sí",IF(DATOS!AT$5="Sí",(1/DATOS_[[% anualiz]:[% anualiz]]),1)*IF(DATOS!AT$4="Sí",1/DATOS_[[% normaliz]:[% normaliz]],1)*(DATOS_[Conc.Sal.16])))))))),
0)</f>
        <v>0</v>
      </c>
      <c r="Z68" s="111">
        <f t="array" ref="Z68">IFERROR(
(MEDIAN((IF(DATOS_[[Sexo]:[Sexo]]=$B68,IF(DATOS_[[AGRUP. VALOR. PTO.]:[AGRUP. VALOR. PTO.]]=$B66,IF(DATOS_[[Check Periodo Ref.]:[Check Periodo Ref.]]="Dentro",IF(DATOS_[[Check Equiparado]:[Check Equiparado]]="Sí",IF(DATOS!AU$5="Sí",(1/DATOS_[[% anualiz]:[% anualiz]]),1)*IF(DATOS!AU$4="Sí",1/DATOS_[[% normaliz]:[% normaliz]],1)*(DATOS_[Conc.Sal.17])))))))),
0)</f>
        <v>0</v>
      </c>
      <c r="AA68" s="111">
        <f t="array" ref="AA68">IFERROR(
(MEDIAN((IF(DATOS_[[Sexo]:[Sexo]]=$B68,IF(DATOS_[[AGRUP. VALOR. PTO.]:[AGRUP. VALOR. PTO.]]=$B66,IF(DATOS_[[Check Periodo Ref.]:[Check Periodo Ref.]]="Dentro",IF(DATOS_[[Check Equiparado]:[Check Equiparado]]="Sí",IF(DATOS!AV$5="Sí",(1/DATOS_[[% anualiz]:[% anualiz]]),1)*IF(DATOS!AV$4="Sí",1/DATOS_[[% normaliz]:[% normaliz]],1)*(DATOS_[Conc.Sal.18])))))))),
0)</f>
        <v>0</v>
      </c>
      <c r="AB68" s="111">
        <f t="array" ref="AB68">IFERROR(
(MEDIAN((IF(DATOS_[[Sexo]:[Sexo]]=$B68,IF(DATOS_[[AGRUP. VALOR. PTO.]:[AGRUP. VALOR. PTO.]]=$B66,IF(DATOS_[[Check Periodo Ref.]:[Check Periodo Ref.]]="Dentro",IF(DATOS_[[Check Equiparado]:[Check Equiparado]]="Sí",IF(DATOS!AW$5="Sí",(1/DATOS_[[% anualiz]:[% anualiz]]),1)*IF(DATOS!AW$4="Sí",1/DATOS_[[% normaliz]:[% normaliz]],1)*(DATOS_[Conc.Sal.19])))))))),
0)</f>
        <v>0</v>
      </c>
      <c r="AC68" s="111">
        <f t="array" ref="AC68">IFERROR(
(MEDIAN((IF(DATOS_[[Sexo]:[Sexo]]=$B68,IF(DATOS_[[AGRUP. VALOR. PTO.]:[AGRUP. VALOR. PTO.]]=$B66,IF(DATOS_[[Check Periodo Ref.]:[Check Periodo Ref.]]="Dentro",IF(DATOS_[[Check Equiparado]:[Check Equiparado]]="Sí",IF(DATOS!AX$5="Sí",(1/DATOS_[[% anualiz]:[% anualiz]]),1)*IF(DATOS!AX$4="Sí",1/DATOS_[[% normaliz]:[% normaliz]],1)*(DATOS_[Conc.Sal.20])))))))),
0)</f>
        <v>0</v>
      </c>
      <c r="AD68" s="111">
        <f t="array" ref="AD68">IFERROR(
(MEDIAN((IF(DATOS_[[Sexo]:[Sexo]]=$B68,IF(DATOS_[[AGRUP. VALOR. PTO.]:[AGRUP. VALOR. PTO.]]=$B66,IF(DATOS_[[Check Periodo Ref.]:[Check Periodo Ref.]]="Dentro",IF(DATOS_[[Check Equiparado]:[Check Equiparado]]="Sí",IF(DATOS!AY$5="Sí",(1/DATOS_[[% anualiz]:[% anualiz]]),1)*IF(DATOS!AY$4="Sí",1/DATOS_[[% normaliz]:[% normaliz]],1)*(DATOS_[Conc.Sal.21])))))))),
0)</f>
        <v>0</v>
      </c>
      <c r="AE68" s="111">
        <f t="array" ref="AE68">IFERROR(
(MEDIAN((IF(DATOS_[[Sexo]:[Sexo]]=$B68,IF(DATOS_[[AGRUP. VALOR. PTO.]:[AGRUP. VALOR. PTO.]]=$B66,IF(DATOS_[[Check Periodo Ref.]:[Check Periodo Ref.]]="Dentro",IF(DATOS_[[Check Equiparado]:[Check Equiparado]]="Sí",IF(DATOS!AZ$5="Sí",(1/DATOS_[[% anualiz]:[% anualiz]]),1)*IF(DATOS!AZ$4="Sí",1/DATOS_[[% normaliz]:[% normaliz]],1)*(DATOS_[Conc.Sal.22])))))))),
0)</f>
        <v>0</v>
      </c>
      <c r="AF68" s="111">
        <f t="array" ref="AF68">IFERROR(
(MEDIAN((IF(DATOS_[[Sexo]:[Sexo]]=$B68,IF(DATOS_[[AGRUP. VALOR. PTO.]:[AGRUP. VALOR. PTO.]]=$B66,IF(DATOS_[[Check Periodo Ref.]:[Check Periodo Ref.]]="Dentro",IF(DATOS_[[Check Equiparado]:[Check Equiparado]]="Sí",IF(DATOS!BA$5="Sí",(1/DATOS_[[% anualiz]:[% anualiz]]),1)*IF(DATOS!BA$4="Sí",1/DATOS_[[% normaliz]:[% normaliz]],1)*(DATOS_[Conc.Sal.23])))))))),
0)</f>
        <v>0</v>
      </c>
      <c r="AG68" s="111">
        <f t="array" ref="AG68">IFERROR(
(MEDIAN((IF(DATOS_[[Sexo]:[Sexo]]=$B68,IF(DATOS_[[AGRUP. VALOR. PTO.]:[AGRUP. VALOR. PTO.]]=$B66,IF(DATOS_[[Check Periodo Ref.]:[Check Periodo Ref.]]="Dentro",IF(DATOS_[[Check Equiparado]:[Check Equiparado]]="Sí",IF(DATOS!BB$5="Sí",(1/DATOS_[[% anualiz]:[% anualiz]]),1)*IF(DATOS!BB$4="Sí",1/DATOS_[[% normaliz]:[% normaliz]],1)*(DATOS_[Conc.Sal.24])))))))),
0)</f>
        <v>0</v>
      </c>
      <c r="AH68" s="111">
        <f t="array" ref="AH68">IFERROR(
(MEDIAN((IF(DATOS_[[Sexo]:[Sexo]]=$B68,IF(DATOS_[[AGRUP. VALOR. PTO.]:[AGRUP. VALOR. PTO.]]=$B66,IF(DATOS_[[Check Periodo Ref.]:[Check Periodo Ref.]]="Dentro",IF(DATOS_[[Check Equiparado]:[Check Equiparado]]="Sí",IF(DATOS!BC$5="Sí",(1/DATOS_[[% anualiz]:[% anualiz]]),1)*IF(DATOS!BC$4="Sí",1/DATOS_[[% normaliz]:[% normaliz]],1)*(DATOS_[Conc.Sal.25])))))))),
0)</f>
        <v>0</v>
      </c>
      <c r="AI68" s="111">
        <f t="array" ref="AI68">IFERROR(
(MEDIAN((IF(DATOS_[[Sexo]:[Sexo]]=$B68,IF(DATOS_[[AGRUP. VALOR. PTO.]:[AGRUP. VALOR. PTO.]]=$B66,IF(DATOS_[[Check Periodo Ref.]:[Check Periodo Ref.]]="Dentro",IF(DATOS_[[Check Equiparado]:[Check Equiparado]]="Sí",IF(DATOS!BD$5="Sí",(1/DATOS_[[% anualiz]:[% anualiz]]),1)*IF(DATOS!BD$4="Sí",1/DATOS_[[% normaliz]:[% normaliz]],1)*(DATOS_[Conc.Sal.26])))))))),
0)</f>
        <v>0</v>
      </c>
      <c r="AJ68" s="111">
        <f t="array" ref="AJ68">IFERROR(
(MEDIAN((IF(DATOS_[[Sexo]:[Sexo]]=$B68,IF(DATOS_[[AGRUP. VALOR. PTO.]:[AGRUP. VALOR. PTO.]]=$B66,IF(DATOS_[[Check Periodo Ref.]:[Check Periodo Ref.]]="Dentro",IF(DATOS_[[Check Equiparado]:[Check Equiparado]]="Sí",IF(DATOS!BE$5="Sí",(1/DATOS_[[% anualiz]:[% anualiz]]),1)*IF(DATOS!BE$4="Sí",1/DATOS_[[% normaliz]:[% normaliz]],1)*(DATOS_[Conc.Sal.27])))))))),
0)</f>
        <v>0</v>
      </c>
      <c r="AK68" s="111">
        <f t="array" ref="AK68">IFERROR(
(MEDIAN((IF(DATOS_[[Sexo]:[Sexo]]=$B68,IF(DATOS_[[AGRUP. VALOR. PTO.]:[AGRUP. VALOR. PTO.]]=$B66,IF(DATOS_[[Check Periodo Ref.]:[Check Periodo Ref.]]="Dentro",IF(DATOS_[[Check Equiparado]:[Check Equiparado]]="Sí",IF(DATOS!BF$5="Sí",(1/DATOS_[[% anualiz]:[% anualiz]]),1)*IF(DATOS!BF$4="Sí",1/DATOS_[[% normaliz]:[% normaliz]],1)*(DATOS_[Conc.Sal.28])))))))),
0)</f>
        <v>0</v>
      </c>
      <c r="AL68" s="111">
        <f t="array" ref="AL68">IFERROR(
(MEDIAN((IF(DATOS_[[Sexo]:[Sexo]]=$B68,IF(DATOS_[[AGRUP. VALOR. PTO.]:[AGRUP. VALOR. PTO.]]=$B66,IF(DATOS_[[Check Periodo Ref.]:[Check Periodo Ref.]]="Dentro",IF(DATOS_[[Check Equiparado]:[Check Equiparado]]="Sí",IF(DATOS!BG$5="Sí",(1/DATOS_[[% anualiz]:[% anualiz]]),1)*IF(DATOS!BG$4="Sí",1/DATOS_[[% normaliz]:[% normaliz]],1)*(DATOS_[Conc.Sal.29])))))))),
0)</f>
        <v>0</v>
      </c>
      <c r="AM68" s="111">
        <f t="array" ref="AM68">IFERROR(
(MEDIAN((IF(DATOS_[[Sexo]:[Sexo]]=$B68,IF(DATOS_[[AGRUP. VALOR. PTO.]:[AGRUP. VALOR. PTO.]]=$B66,IF(DATOS_[[Check Periodo Ref.]:[Check Periodo Ref.]]="Dentro",IF(DATOS_[[Check Equiparado]:[Check Equiparado]]="Sí",IF(DATOS!BH$5="Sí",(1/DATOS_[[% anualiz]:[% anualiz]]),1)*IF(DATOS!BH$4="Sí",1/DATOS_[[% normaliz]:[% normaliz]],1)*(DATOS_[Conc.Sal.30])))))))),
0)</f>
        <v>0</v>
      </c>
      <c r="AN68" s="112">
        <f t="array" ref="AN68">IFERROR(
MEDIAN(IF(DATOS_[Sexo]=$B68,IF(DATOS_[[AGRUP. VALOR. PTO.]:[AGRUP. VALOR. PTO.]]=$B66,IF(DATOS_[Check Equiparado]="Sí",IF(DATOS_[Check Periodo Ref.]="Dentro",DATOS_[Tot COMPL.SAL Eq],FALSE))))),
0)</f>
        <v>0</v>
      </c>
      <c r="AO68" s="113">
        <f t="array" ref="AO68">IFERROR(
MEDIAN(IF(DATOS_[Sexo]=$B68,IF(DATOS_[[AGRUP. VALOR. PTO.]:[AGRUP. VALOR. PTO.]]=$B66,IF(DATOS_[Check Equiparado]="Sí",IF(DATOS_[Check Periodo Ref.]="Dentro",DATOS_[TOTAL SALARIO Eq],FALSE))))),
0)</f>
        <v>0</v>
      </c>
      <c r="AP68" s="114">
        <f t="array" ref="AP68">IFERROR(
(MEDIAN((IF(DATOS_[[Sexo]:[Sexo]]=$B68,IF(DATOS_[[AGRUP. VALOR. PTO.]:[AGRUP. VALOR. PTO.]]=$B67,IF(DATOS_[[Check Periodo Ref.]:[Check Periodo Ref.]]="Dentro",IF(DATOS_[[Check Equiparado]:[Check Equiparado]]="Sí",IF(DATOS!BI$5="Sí",(1/DATOS_[[% anualiz]:[% anualiz]]),1)*IF(DATOS!BI$4="Sí",1/DATOS_[[% normaliz]:[% normaliz]],1)*(DATOS_[C.Extra.01])))))))),
0)</f>
        <v>0</v>
      </c>
      <c r="AQ68" s="114">
        <f t="array" ref="AQ68">IFERROR(
(MEDIAN((IF(DATOS_[[Sexo]:[Sexo]]=$B68,IF(DATOS_[[AGRUP. VALOR. PTO.]:[AGRUP. VALOR. PTO.]]=$B67,IF(DATOS_[[Check Periodo Ref.]:[Check Periodo Ref.]]="Dentro",IF(DATOS_[[Check Equiparado]:[Check Equiparado]]="Sí",IF(DATOS!BJ$5="Sí",(1/DATOS_[[% anualiz]:[% anualiz]]),1)*IF(DATOS!BJ$4="Sí",1/DATOS_[[% normaliz]:[% normaliz]],1)*(DATOS_[C.Extra.02])))))))),
0)</f>
        <v>0</v>
      </c>
      <c r="AR68" s="114">
        <f t="array" ref="AR68">IFERROR(
(MEDIAN((IF(DATOS_[[Sexo]:[Sexo]]=$B68,IF(DATOS_[[AGRUP. VALOR. PTO.]:[AGRUP. VALOR. PTO.]]=$B67,IF(DATOS_[[Check Periodo Ref.]:[Check Periodo Ref.]]="Dentro",IF(DATOS_[[Check Equiparado]:[Check Equiparado]]="Sí",IF(DATOS!BK$5="Sí",(1/DATOS_[[% anualiz]:[% anualiz]]),1)*IF(DATOS!BK$4="Sí",1/DATOS_[[% normaliz]:[% normaliz]],1)*(DATOS_[C.Extra.03])))))))),
0)</f>
        <v>0</v>
      </c>
      <c r="AS68" s="114">
        <f t="array" ref="AS68">IFERROR(
(MEDIAN((IF(DATOS_[[Sexo]:[Sexo]]=$B68,IF(DATOS_[[AGRUP. VALOR. PTO.]:[AGRUP. VALOR. PTO.]]=$B67,IF(DATOS_[[Check Periodo Ref.]:[Check Periodo Ref.]]="Dentro",IF(DATOS_[[Check Equiparado]:[Check Equiparado]]="Sí",IF(DATOS!BL$5="Sí",(1/DATOS_[[% anualiz]:[% anualiz]]),1)*IF(DATOS!BL$4="Sí",1/DATOS_[[% normaliz]:[% normaliz]],1)*(DATOS_[C.Extra.04])))))))),
0)</f>
        <v>0</v>
      </c>
      <c r="AT68" s="114">
        <f t="array" ref="AT68">IFERROR(
(MEDIAN((IF(DATOS_[[Sexo]:[Sexo]]=$B68,IF(DATOS_[[AGRUP. VALOR. PTO.]:[AGRUP. VALOR. PTO.]]=$B67,IF(DATOS_[[Check Periodo Ref.]:[Check Periodo Ref.]]="Dentro",IF(DATOS_[[Check Equiparado]:[Check Equiparado]]="Sí",IF(DATOS!BM$5="Sí",(1/DATOS_[[% anualiz]:[% anualiz]]),1)*IF(DATOS!BM$4="Sí",1/DATOS_[[% normaliz]:[% normaliz]],1)*(DATOS_[C.Extra.05])))))))),
0)</f>
        <v>0</v>
      </c>
      <c r="AU68" s="115">
        <f t="array" ref="AU68">IFERROR(
MEDIAN(IF(DATOS_[Sexo]=$B68,IF(DATOS_[[AGRUP. VALOR. PTO.]:[AGRUP. VALOR. PTO.]]=$B66,IF(DATOS_[Check Equiparado]="Sí",IF(DATOS_[Check Periodo Ref.]="Dentro",DATOS_[Tot Extrasalarial Eq],FALSE))))),
0)</f>
        <v>0</v>
      </c>
      <c r="AV68" s="116">
        <f t="array" ref="AV68">IFERROR(
MEDIAN(IF(DATOS_[Sexo]=$B68,IF(DATOS_[[AGRUP. VALOR. PTO.]:[AGRUP. VALOR. PTO.]]=$B66,IF(DATOS_[Check Equiparado]="Sí",IF(DATOS_[Check Periodo Ref.]="Dentro",DATOS_[TOTAL Retrib Eq],FALSE))))),
0)</f>
        <v>0</v>
      </c>
    </row>
    <row r="69" spans="1:48" ht="17.25" hidden="1" thickBot="1" x14ac:dyDescent="0.35">
      <c r="A69" s="42" t="str">
        <f t="shared" ref="A69" si="75">+A70</f>
        <v>[ocultar]</v>
      </c>
      <c r="B69" s="90" t="s">
        <v>278</v>
      </c>
      <c r="C69" s="109"/>
      <c r="D69" s="41"/>
      <c r="E69" s="41"/>
      <c r="F69" s="41"/>
      <c r="G69" s="41"/>
      <c r="H69" s="41"/>
      <c r="I69" s="119" t="str">
        <f t="shared" ref="I69:AV69" si="76">IFERROR((I70-I71)/I70,"")</f>
        <v/>
      </c>
      <c r="J69" s="123" t="str">
        <f t="shared" si="76"/>
        <v/>
      </c>
      <c r="K69" s="123" t="str">
        <f t="shared" si="76"/>
        <v/>
      </c>
      <c r="L69" s="123" t="str">
        <f t="shared" si="76"/>
        <v/>
      </c>
      <c r="M69" s="123" t="str">
        <f t="shared" si="76"/>
        <v/>
      </c>
      <c r="N69" s="123" t="str">
        <f t="shared" si="76"/>
        <v/>
      </c>
      <c r="O69" s="123" t="str">
        <f t="shared" si="76"/>
        <v/>
      </c>
      <c r="P69" s="123" t="str">
        <f t="shared" si="76"/>
        <v/>
      </c>
      <c r="Q69" s="123" t="str">
        <f t="shared" si="76"/>
        <v/>
      </c>
      <c r="R69" s="123" t="str">
        <f t="shared" si="76"/>
        <v/>
      </c>
      <c r="S69" s="123" t="str">
        <f t="shared" si="76"/>
        <v/>
      </c>
      <c r="T69" s="123" t="str">
        <f t="shared" si="76"/>
        <v/>
      </c>
      <c r="U69" s="123" t="str">
        <f t="shared" si="76"/>
        <v/>
      </c>
      <c r="V69" s="123" t="str">
        <f t="shared" si="76"/>
        <v/>
      </c>
      <c r="W69" s="123" t="str">
        <f t="shared" si="76"/>
        <v/>
      </c>
      <c r="X69" s="123" t="str">
        <f t="shared" si="76"/>
        <v/>
      </c>
      <c r="Y69" s="123" t="str">
        <f t="shared" si="76"/>
        <v/>
      </c>
      <c r="Z69" s="122" t="str">
        <f t="shared" si="76"/>
        <v/>
      </c>
      <c r="AA69" s="122" t="str">
        <f t="shared" si="76"/>
        <v/>
      </c>
      <c r="AB69" s="122" t="str">
        <f t="shared" si="76"/>
        <v/>
      </c>
      <c r="AC69" s="122" t="str">
        <f t="shared" si="76"/>
        <v/>
      </c>
      <c r="AD69" s="122" t="str">
        <f t="shared" si="76"/>
        <v/>
      </c>
      <c r="AE69" s="122" t="str">
        <f t="shared" si="76"/>
        <v/>
      </c>
      <c r="AF69" s="122" t="str">
        <f t="shared" si="76"/>
        <v/>
      </c>
      <c r="AG69" s="122" t="str">
        <f t="shared" si="76"/>
        <v/>
      </c>
      <c r="AH69" s="122" t="str">
        <f t="shared" si="76"/>
        <v/>
      </c>
      <c r="AI69" s="122" t="str">
        <f t="shared" si="76"/>
        <v/>
      </c>
      <c r="AJ69" s="122" t="str">
        <f t="shared" si="76"/>
        <v/>
      </c>
      <c r="AK69" s="122" t="str">
        <f t="shared" si="76"/>
        <v/>
      </c>
      <c r="AL69" s="122" t="str">
        <f t="shared" si="76"/>
        <v/>
      </c>
      <c r="AM69" s="122" t="str">
        <f t="shared" si="76"/>
        <v/>
      </c>
      <c r="AN69" s="124" t="str">
        <f t="shared" si="76"/>
        <v/>
      </c>
      <c r="AO69" s="128" t="str">
        <f t="shared" si="76"/>
        <v/>
      </c>
      <c r="AP69" s="125" t="str">
        <f t="shared" si="76"/>
        <v/>
      </c>
      <c r="AQ69" s="125" t="str">
        <f t="shared" si="76"/>
        <v/>
      </c>
      <c r="AR69" s="125" t="str">
        <f t="shared" si="76"/>
        <v/>
      </c>
      <c r="AS69" s="125" t="str">
        <f t="shared" si="76"/>
        <v/>
      </c>
      <c r="AT69" s="125" t="str">
        <f t="shared" si="76"/>
        <v/>
      </c>
      <c r="AU69" s="126" t="str">
        <f t="shared" si="76"/>
        <v/>
      </c>
      <c r="AV69" s="127" t="str">
        <f t="shared" si="76"/>
        <v/>
      </c>
    </row>
    <row r="70" spans="1:48" hidden="1" x14ac:dyDescent="0.3">
      <c r="A70" s="42" t="str">
        <f t="shared" ref="A70" si="77">+IF(C70+C71=0,"[ocultar]","")</f>
        <v>[ocultar]</v>
      </c>
      <c r="B70" s="86" t="s">
        <v>162</v>
      </c>
      <c r="C70" s="33">
        <f t="array" ref="C70">SUM(IF($B70=DATOS_[Sexo],
IF($B69=DATOS_[AGRUP. VALOR. PTO.],
IF("Dentro"=DATOS_[Check Periodo Ref.],
1/(COUNTIFS(DATOS_[Sexo],$B70,DATOS_[AGRUP. VALOR. PTO.],$B69,DATOS_[Check Periodo Ref.],"Dentro",DATOS_[id],DATOS_[id]))))))</f>
        <v>0</v>
      </c>
      <c r="D70" s="35">
        <f>COUNTIFS(DATOS_[AGRUP. VALOR. PTO.],$B69,DATOS_[Sexo],$B70,DATOS_[Check Periodo Ref.],"Dentro")</f>
        <v>0</v>
      </c>
      <c r="E70" s="35">
        <f>COUNTIFS(DATOS_[AGRUP. VALOR. PTO.],$B69,DATOS_[Sexo],$B70,DATOS_[Check Periodo Ref.],"Dentro",DATOS_[Check Nº SC Norm],"Sí")</f>
        <v>0</v>
      </c>
      <c r="F70" s="35">
        <f>COUNTIFS(DATOS_[AGRUP. VALOR. PTO.],$B69,DATOS_[Sexo],$B70,DATOS_[Check Periodo Ref.],"Dentro",DATOS_[Check Nº SC Anualiz],"Sí")</f>
        <v>0</v>
      </c>
      <c r="G70" s="35">
        <f>COUNTIFS(DATOS_[AGRUP. VALOR. PTO.],$B69,DATOS_[Sexo],$B70,DATOS_[Check Periodo Ref.],"Dentro",DATOS_[Check Nº SC Norm y Anualiz],"Sí")</f>
        <v>0</v>
      </c>
      <c r="H70" s="35">
        <f>COUNTIFS(DATOS_[AGRUP. VALOR. PTO.],$B69,DATOS_[Sexo],$B70,DATOS_[Check Periodo Ref.],"Dentro",DATOS_[Check Equiparación],"Sí")</f>
        <v>0</v>
      </c>
      <c r="I70" s="110">
        <f t="array" ref="I70">IFERROR(
MEDIAN(IF(DATOS_[Sexo]=$B70,IF(DATOS_[[AGRUP. VALOR. PTO.]:[AGRUP. VALOR. PTO.]]=$B69,IF(DATOS_[Check Equiparado]="Sí",IF(DATOS_[Check Periodo Ref.]="Dentro",DATOS_[SALARIO BASE Eq],FALSE))))),
0)</f>
        <v>0</v>
      </c>
      <c r="J70" s="111">
        <f t="array" ref="J70">IFERROR(
(MEDIAN((IF(DATOS_[[Sexo]:[Sexo]]=$B70,IF(DATOS_[[AGRUP. VALOR. PTO.]:[AGRUP. VALOR. PTO.]]=$B69,IF(DATOS_[[Check Periodo Ref.]:[Check Periodo Ref.]]="Dentro",IF(DATOS_[[Check Equiparado]:[Check Equiparado]]="Sí",IF(DATOS!AE$5="Sí",(1/DATOS_[[% anualiz]:[% anualiz]]),1)*IF(DATOS!AE$4="Sí",1/DATOS_[[% normaliz]:[% normaliz]],1)*(DATOS_[Conc.Sal.01])))))))),
0)</f>
        <v>0</v>
      </c>
      <c r="K70" s="111">
        <f t="array" ref="K70">IFERROR(
(MEDIAN((IF(DATOS_[[Sexo]:[Sexo]]=$B70,IF(DATOS_[[AGRUP. VALOR. PTO.]:[AGRUP. VALOR. PTO.]]=$B69,IF(DATOS_[[Check Periodo Ref.]:[Check Periodo Ref.]]="Dentro",IF(DATOS_[[Check Equiparado]:[Check Equiparado]]="Sí",IF(DATOS!AF$5="Sí",(1/DATOS_[[% anualiz]:[% anualiz]]),1)*IF(DATOS!AF$4="Sí",1/DATOS_[[% normaliz]:[% normaliz]],1)*(DATOS_[Conc.Sal.02])))))))),
0)</f>
        <v>0</v>
      </c>
      <c r="L70" s="111">
        <f t="array" ref="L70">IFERROR(
(MEDIAN((IF(DATOS_[[Sexo]:[Sexo]]=$B70,IF(DATOS_[[AGRUP. VALOR. PTO.]:[AGRUP. VALOR. PTO.]]=$B69,IF(DATOS_[[Check Periodo Ref.]:[Check Periodo Ref.]]="Dentro",IF(DATOS_[[Check Equiparado]:[Check Equiparado]]="Sí",IF(DATOS!AG$5="Sí",(1/DATOS_[[% anualiz]:[% anualiz]]),1)*IF(DATOS!AG$4="Sí",1/DATOS_[[% normaliz]:[% normaliz]],1)*(DATOS_[Conc.Sal.03])))))))),
0)</f>
        <v>0</v>
      </c>
      <c r="M70" s="111">
        <f t="array" ref="M70">IFERROR(
(MEDIAN((IF(DATOS_[[Sexo]:[Sexo]]=$B70,IF(DATOS_[[AGRUP. VALOR. PTO.]:[AGRUP. VALOR. PTO.]]=$B69,IF(DATOS_[[Check Periodo Ref.]:[Check Periodo Ref.]]="Dentro",IF(DATOS_[[Check Equiparado]:[Check Equiparado]]="Sí",IF(DATOS!AH$5="Sí",(1/DATOS_[[% anualiz]:[% anualiz]]),1)*IF(DATOS!AH$4="Sí",1/DATOS_[[% normaliz]:[% normaliz]],1)*(DATOS_[Conc.Sal.04])))))))),
0)</f>
        <v>0</v>
      </c>
      <c r="N70" s="111">
        <f t="array" ref="N70">IFERROR(
(MEDIAN((IF(DATOS_[[Sexo]:[Sexo]]=$B70,IF(DATOS_[[AGRUP. VALOR. PTO.]:[AGRUP. VALOR. PTO.]]=$B69,IF(DATOS_[[Check Periodo Ref.]:[Check Periodo Ref.]]="Dentro",IF(DATOS_[[Check Equiparado]:[Check Equiparado]]="Sí",IF(DATOS!AI$5="Sí",(1/DATOS_[[% anualiz]:[% anualiz]]),1)*IF(DATOS!AI$4="Sí",1/DATOS_[[% normaliz]:[% normaliz]],1)*(DATOS_[Conc.Sal.05])))))))),
0)</f>
        <v>0</v>
      </c>
      <c r="O70" s="111">
        <f t="array" ref="O70">IFERROR(
(MEDIAN((IF(DATOS_[[Sexo]:[Sexo]]=$B70,IF(DATOS_[[AGRUP. VALOR. PTO.]:[AGRUP. VALOR. PTO.]]=$B69,IF(DATOS_[[Check Periodo Ref.]:[Check Periodo Ref.]]="Dentro",IF(DATOS_[[Check Equiparado]:[Check Equiparado]]="Sí",IF(DATOS!AJ$5="Sí",(1/DATOS_[[% anualiz]:[% anualiz]]),1)*IF(DATOS!AJ$4="Sí",1/DATOS_[[% normaliz]:[% normaliz]],1)*(DATOS_[Conc.Sal.06])))))))),
0)</f>
        <v>0</v>
      </c>
      <c r="P70" s="111">
        <f t="array" ref="P70">IFERROR(
(MEDIAN((IF(DATOS_[[Sexo]:[Sexo]]=$B70,IF(DATOS_[[AGRUP. VALOR. PTO.]:[AGRUP. VALOR. PTO.]]=$B69,IF(DATOS_[[Check Periodo Ref.]:[Check Periodo Ref.]]="Dentro",IF(DATOS_[[Check Equiparado]:[Check Equiparado]]="Sí",IF(DATOS!AK$5="Sí",(1/DATOS_[[% anualiz]:[% anualiz]]),1)*IF(DATOS!AK$4="Sí",1/DATOS_[[% normaliz]:[% normaliz]],1)*(DATOS_[Conc.Sal.07])))))))),
0)</f>
        <v>0</v>
      </c>
      <c r="Q70" s="111">
        <f t="array" ref="Q70">IFERROR(
(MEDIAN((IF(DATOS_[[Sexo]:[Sexo]]=$B70,IF(DATOS_[[AGRUP. VALOR. PTO.]:[AGRUP. VALOR. PTO.]]=$B69,IF(DATOS_[[Check Periodo Ref.]:[Check Periodo Ref.]]="Dentro",IF(DATOS_[[Check Equiparado]:[Check Equiparado]]="Sí",IF(DATOS!AL$5="Sí",(1/DATOS_[[% anualiz]:[% anualiz]]),1)*IF(DATOS!AL$4="Sí",1/DATOS_[[% normaliz]:[% normaliz]],1)*(DATOS_[Conc.Sal.08])))))))),
0)</f>
        <v>0</v>
      </c>
      <c r="R70" s="111">
        <f t="array" ref="R70">IFERROR(
(MEDIAN((IF(DATOS_[[Sexo]:[Sexo]]=$B70,IF(DATOS_[[AGRUP. VALOR. PTO.]:[AGRUP. VALOR. PTO.]]=$B69,IF(DATOS_[[Check Periodo Ref.]:[Check Periodo Ref.]]="Dentro",IF(DATOS_[[Check Equiparado]:[Check Equiparado]]="Sí",IF(DATOS!AM$5="Sí",(1/DATOS_[[% anualiz]:[% anualiz]]),1)*IF(DATOS!AM$4="Sí",1/DATOS_[[% normaliz]:[% normaliz]],1)*(DATOS_[Conc.Sal.09])))))))),
0)</f>
        <v>0</v>
      </c>
      <c r="S70" s="111">
        <f t="array" ref="S70">IFERROR(
(MEDIAN((IF(DATOS_[[Sexo]:[Sexo]]=$B70,IF(DATOS_[[AGRUP. VALOR. PTO.]:[AGRUP. VALOR. PTO.]]=$B69,IF(DATOS_[[Check Periodo Ref.]:[Check Periodo Ref.]]="Dentro",IF(DATOS_[[Check Equiparado]:[Check Equiparado]]="Sí",IF(DATOS!AN$5="Sí",(1/DATOS_[[% anualiz]:[% anualiz]]),1)*IF(DATOS!AN$4="Sí",1/DATOS_[[% normaliz]:[% normaliz]],1)*(DATOS_[Conc.Sal.10])))))))),
0)</f>
        <v>0</v>
      </c>
      <c r="T70" s="111">
        <f t="array" ref="T70">IFERROR(
(MEDIAN((IF(DATOS_[[Sexo]:[Sexo]]=$B70,IF(DATOS_[[AGRUP. VALOR. PTO.]:[AGRUP. VALOR. PTO.]]=$B69,IF(DATOS_[[Check Periodo Ref.]:[Check Periodo Ref.]]="Dentro",IF(DATOS_[[Check Equiparado]:[Check Equiparado]]="Sí",IF(DATOS!AO$5="Sí",(1/DATOS_[[% anualiz]:[% anualiz]]),1)*IF(DATOS!AO$4="Sí",1/DATOS_[[% normaliz]:[% normaliz]],1)*(DATOS_[Conc.Sal.11])))))))),
0)</f>
        <v>0</v>
      </c>
      <c r="U70" s="111">
        <f t="array" ref="U70">IFERROR(
(MEDIAN((IF(DATOS_[[Sexo]:[Sexo]]=$B70,IF(DATOS_[[AGRUP. VALOR. PTO.]:[AGRUP. VALOR. PTO.]]=$B69,IF(DATOS_[[Check Periodo Ref.]:[Check Periodo Ref.]]="Dentro",IF(DATOS_[[Check Equiparado]:[Check Equiparado]]="Sí",IF(DATOS!AP$5="Sí",(1/DATOS_[[% anualiz]:[% anualiz]]),1)*IF(DATOS!AP$4="Sí",1/DATOS_[[% normaliz]:[% normaliz]],1)*(DATOS_[Conc.Sal.12])))))))),
0)</f>
        <v>0</v>
      </c>
      <c r="V70" s="111">
        <f t="array" ref="V70">IFERROR(
(MEDIAN((IF(DATOS_[[Sexo]:[Sexo]]=$B70,IF(DATOS_[[AGRUP. VALOR. PTO.]:[AGRUP. VALOR. PTO.]]=$B69,IF(DATOS_[[Check Periodo Ref.]:[Check Periodo Ref.]]="Dentro",IF(DATOS_[[Check Equiparado]:[Check Equiparado]]="Sí",IF(DATOS!AQ$5="Sí",(1/DATOS_[[% anualiz]:[% anualiz]]),1)*IF(DATOS!AQ$4="Sí",1/DATOS_[[% normaliz]:[% normaliz]],1)*(DATOS_[Conc.Sal.13])))))))),
0)</f>
        <v>0</v>
      </c>
      <c r="W70" s="111">
        <f t="array" ref="W70">IFERROR(
(MEDIAN((IF(DATOS_[[Sexo]:[Sexo]]=$B70,IF(DATOS_[[AGRUP. VALOR. PTO.]:[AGRUP. VALOR. PTO.]]=$B69,IF(DATOS_[[Check Periodo Ref.]:[Check Periodo Ref.]]="Dentro",IF(DATOS_[[Check Equiparado]:[Check Equiparado]]="Sí",IF(DATOS!AR$5="Sí",(1/DATOS_[[% anualiz]:[% anualiz]]),1)*IF(DATOS!AR$4="Sí",1/DATOS_[[% normaliz]:[% normaliz]],1)*(DATOS_[Conc.Sal.14])))))))),
0)</f>
        <v>0</v>
      </c>
      <c r="X70" s="111">
        <f t="array" ref="X70">IFERROR(
(MEDIAN((IF(DATOS_[[Sexo]:[Sexo]]=$B70,IF(DATOS_[[AGRUP. VALOR. PTO.]:[AGRUP. VALOR. PTO.]]=$B69,IF(DATOS_[[Check Periodo Ref.]:[Check Periodo Ref.]]="Dentro",IF(DATOS_[[Check Equiparado]:[Check Equiparado]]="Sí",IF(DATOS!AS$5="Sí",(1/DATOS_[[% anualiz]:[% anualiz]]),1)*IF(DATOS!AS$4="Sí",1/DATOS_[[% normaliz]:[% normaliz]],1)*(DATOS_[Conc.Sal.15])))))))),
0)</f>
        <v>0</v>
      </c>
      <c r="Y70" s="111">
        <f t="array" ref="Y70">IFERROR(
(MEDIAN((IF(DATOS_[[Sexo]:[Sexo]]=$B70,IF(DATOS_[[AGRUP. VALOR. PTO.]:[AGRUP. VALOR. PTO.]]=$B69,IF(DATOS_[[Check Periodo Ref.]:[Check Periodo Ref.]]="Dentro",IF(DATOS_[[Check Equiparado]:[Check Equiparado]]="Sí",IF(DATOS!AT$5="Sí",(1/DATOS_[[% anualiz]:[% anualiz]]),1)*IF(DATOS!AT$4="Sí",1/DATOS_[[% normaliz]:[% normaliz]],1)*(DATOS_[Conc.Sal.16])))))))),
0)</f>
        <v>0</v>
      </c>
      <c r="Z70" s="111">
        <f t="array" ref="Z70">IFERROR(
(MEDIAN((IF(DATOS_[[Sexo]:[Sexo]]=$B70,IF(DATOS_[[AGRUP. VALOR. PTO.]:[AGRUP. VALOR. PTO.]]=$B69,IF(DATOS_[[Check Periodo Ref.]:[Check Periodo Ref.]]="Dentro",IF(DATOS_[[Check Equiparado]:[Check Equiparado]]="Sí",IF(DATOS!AU$5="Sí",(1/DATOS_[[% anualiz]:[% anualiz]]),1)*IF(DATOS!AU$4="Sí",1/DATOS_[[% normaliz]:[% normaliz]],1)*(DATOS_[Conc.Sal.17])))))))),
0)</f>
        <v>0</v>
      </c>
      <c r="AA70" s="111">
        <f t="array" ref="AA70">IFERROR(
(MEDIAN((IF(DATOS_[[Sexo]:[Sexo]]=$B70,IF(DATOS_[[AGRUP. VALOR. PTO.]:[AGRUP. VALOR. PTO.]]=$B69,IF(DATOS_[[Check Periodo Ref.]:[Check Periodo Ref.]]="Dentro",IF(DATOS_[[Check Equiparado]:[Check Equiparado]]="Sí",IF(DATOS!AV$5="Sí",(1/DATOS_[[% anualiz]:[% anualiz]]),1)*IF(DATOS!AV$4="Sí",1/DATOS_[[% normaliz]:[% normaliz]],1)*(DATOS_[Conc.Sal.18])))))))),
0)</f>
        <v>0</v>
      </c>
      <c r="AB70" s="111">
        <f t="array" ref="AB70">IFERROR(
(MEDIAN((IF(DATOS_[[Sexo]:[Sexo]]=$B70,IF(DATOS_[[AGRUP. VALOR. PTO.]:[AGRUP. VALOR. PTO.]]=$B69,IF(DATOS_[[Check Periodo Ref.]:[Check Periodo Ref.]]="Dentro",IF(DATOS_[[Check Equiparado]:[Check Equiparado]]="Sí",IF(DATOS!AW$5="Sí",(1/DATOS_[[% anualiz]:[% anualiz]]),1)*IF(DATOS!AW$4="Sí",1/DATOS_[[% normaliz]:[% normaliz]],1)*(DATOS_[Conc.Sal.19])))))))),
0)</f>
        <v>0</v>
      </c>
      <c r="AC70" s="111">
        <f t="array" ref="AC70">IFERROR(
(MEDIAN((IF(DATOS_[[Sexo]:[Sexo]]=$B70,IF(DATOS_[[AGRUP. VALOR. PTO.]:[AGRUP. VALOR. PTO.]]=$B69,IF(DATOS_[[Check Periodo Ref.]:[Check Periodo Ref.]]="Dentro",IF(DATOS_[[Check Equiparado]:[Check Equiparado]]="Sí",IF(DATOS!AX$5="Sí",(1/DATOS_[[% anualiz]:[% anualiz]]),1)*IF(DATOS!AX$4="Sí",1/DATOS_[[% normaliz]:[% normaliz]],1)*(DATOS_[Conc.Sal.20])))))))),
0)</f>
        <v>0</v>
      </c>
      <c r="AD70" s="111">
        <f t="array" ref="AD70">IFERROR(
(MEDIAN((IF(DATOS_[[Sexo]:[Sexo]]=$B70,IF(DATOS_[[AGRUP. VALOR. PTO.]:[AGRUP. VALOR. PTO.]]=$B69,IF(DATOS_[[Check Periodo Ref.]:[Check Periodo Ref.]]="Dentro",IF(DATOS_[[Check Equiparado]:[Check Equiparado]]="Sí",IF(DATOS!AY$5="Sí",(1/DATOS_[[% anualiz]:[% anualiz]]),1)*IF(DATOS!AY$4="Sí",1/DATOS_[[% normaliz]:[% normaliz]],1)*(DATOS_[Conc.Sal.21])))))))),
0)</f>
        <v>0</v>
      </c>
      <c r="AE70" s="111">
        <f t="array" ref="AE70">IFERROR(
(MEDIAN((IF(DATOS_[[Sexo]:[Sexo]]=$B70,IF(DATOS_[[AGRUP. VALOR. PTO.]:[AGRUP. VALOR. PTO.]]=$B69,IF(DATOS_[[Check Periodo Ref.]:[Check Periodo Ref.]]="Dentro",IF(DATOS_[[Check Equiparado]:[Check Equiparado]]="Sí",IF(DATOS!AZ$5="Sí",(1/DATOS_[[% anualiz]:[% anualiz]]),1)*IF(DATOS!AZ$4="Sí",1/DATOS_[[% normaliz]:[% normaliz]],1)*(DATOS_[Conc.Sal.22])))))))),
0)</f>
        <v>0</v>
      </c>
      <c r="AF70" s="111">
        <f t="array" ref="AF70">IFERROR(
(MEDIAN((IF(DATOS_[[Sexo]:[Sexo]]=$B70,IF(DATOS_[[AGRUP. VALOR. PTO.]:[AGRUP. VALOR. PTO.]]=$B69,IF(DATOS_[[Check Periodo Ref.]:[Check Periodo Ref.]]="Dentro",IF(DATOS_[[Check Equiparado]:[Check Equiparado]]="Sí",IF(DATOS!BA$5="Sí",(1/DATOS_[[% anualiz]:[% anualiz]]),1)*IF(DATOS!BA$4="Sí",1/DATOS_[[% normaliz]:[% normaliz]],1)*(DATOS_[Conc.Sal.23])))))))),
0)</f>
        <v>0</v>
      </c>
      <c r="AG70" s="111">
        <f t="array" ref="AG70">IFERROR(
(MEDIAN((IF(DATOS_[[Sexo]:[Sexo]]=$B70,IF(DATOS_[[AGRUP. VALOR. PTO.]:[AGRUP. VALOR. PTO.]]=$B69,IF(DATOS_[[Check Periodo Ref.]:[Check Periodo Ref.]]="Dentro",IF(DATOS_[[Check Equiparado]:[Check Equiparado]]="Sí",IF(DATOS!BB$5="Sí",(1/DATOS_[[% anualiz]:[% anualiz]]),1)*IF(DATOS!BB$4="Sí",1/DATOS_[[% normaliz]:[% normaliz]],1)*(DATOS_[Conc.Sal.24])))))))),
0)</f>
        <v>0</v>
      </c>
      <c r="AH70" s="111">
        <f t="array" ref="AH70">IFERROR(
(MEDIAN((IF(DATOS_[[Sexo]:[Sexo]]=$B70,IF(DATOS_[[AGRUP. VALOR. PTO.]:[AGRUP. VALOR. PTO.]]=$B69,IF(DATOS_[[Check Periodo Ref.]:[Check Periodo Ref.]]="Dentro",IF(DATOS_[[Check Equiparado]:[Check Equiparado]]="Sí",IF(DATOS!BC$5="Sí",(1/DATOS_[[% anualiz]:[% anualiz]]),1)*IF(DATOS!BC$4="Sí",1/DATOS_[[% normaliz]:[% normaliz]],1)*(DATOS_[Conc.Sal.25])))))))),
0)</f>
        <v>0</v>
      </c>
      <c r="AI70" s="111">
        <f t="array" ref="AI70">IFERROR(
(MEDIAN((IF(DATOS_[[Sexo]:[Sexo]]=$B70,IF(DATOS_[[AGRUP. VALOR. PTO.]:[AGRUP. VALOR. PTO.]]=$B69,IF(DATOS_[[Check Periodo Ref.]:[Check Periodo Ref.]]="Dentro",IF(DATOS_[[Check Equiparado]:[Check Equiparado]]="Sí",IF(DATOS!BD$5="Sí",(1/DATOS_[[% anualiz]:[% anualiz]]),1)*IF(DATOS!BD$4="Sí",1/DATOS_[[% normaliz]:[% normaliz]],1)*(DATOS_[Conc.Sal.26])))))))),
0)</f>
        <v>0</v>
      </c>
      <c r="AJ70" s="111">
        <f t="array" ref="AJ70">IFERROR(
(MEDIAN((IF(DATOS_[[Sexo]:[Sexo]]=$B70,IF(DATOS_[[AGRUP. VALOR. PTO.]:[AGRUP. VALOR. PTO.]]=$B69,IF(DATOS_[[Check Periodo Ref.]:[Check Periodo Ref.]]="Dentro",IF(DATOS_[[Check Equiparado]:[Check Equiparado]]="Sí",IF(DATOS!BE$5="Sí",(1/DATOS_[[% anualiz]:[% anualiz]]),1)*IF(DATOS!BE$4="Sí",1/DATOS_[[% normaliz]:[% normaliz]],1)*(DATOS_[Conc.Sal.27])))))))),
0)</f>
        <v>0</v>
      </c>
      <c r="AK70" s="111">
        <f t="array" ref="AK70">IFERROR(
(MEDIAN((IF(DATOS_[[Sexo]:[Sexo]]=$B70,IF(DATOS_[[AGRUP. VALOR. PTO.]:[AGRUP. VALOR. PTO.]]=$B69,IF(DATOS_[[Check Periodo Ref.]:[Check Periodo Ref.]]="Dentro",IF(DATOS_[[Check Equiparado]:[Check Equiparado]]="Sí",IF(DATOS!BF$5="Sí",(1/DATOS_[[% anualiz]:[% anualiz]]),1)*IF(DATOS!BF$4="Sí",1/DATOS_[[% normaliz]:[% normaliz]],1)*(DATOS_[Conc.Sal.28])))))))),
0)</f>
        <v>0</v>
      </c>
      <c r="AL70" s="111">
        <f t="array" ref="AL70">IFERROR(
(MEDIAN((IF(DATOS_[[Sexo]:[Sexo]]=$B70,IF(DATOS_[[AGRUP. VALOR. PTO.]:[AGRUP. VALOR. PTO.]]=$B69,IF(DATOS_[[Check Periodo Ref.]:[Check Periodo Ref.]]="Dentro",IF(DATOS_[[Check Equiparado]:[Check Equiparado]]="Sí",IF(DATOS!BG$5="Sí",(1/DATOS_[[% anualiz]:[% anualiz]]),1)*IF(DATOS!BG$4="Sí",1/DATOS_[[% normaliz]:[% normaliz]],1)*(DATOS_[Conc.Sal.29])))))))),
0)</f>
        <v>0</v>
      </c>
      <c r="AM70" s="111">
        <f t="array" ref="AM70">IFERROR(
(MEDIAN((IF(DATOS_[[Sexo]:[Sexo]]=$B70,IF(DATOS_[[AGRUP. VALOR. PTO.]:[AGRUP. VALOR. PTO.]]=$B69,IF(DATOS_[[Check Periodo Ref.]:[Check Periodo Ref.]]="Dentro",IF(DATOS_[[Check Equiparado]:[Check Equiparado]]="Sí",IF(DATOS!BH$5="Sí",(1/DATOS_[[% anualiz]:[% anualiz]]),1)*IF(DATOS!BH$4="Sí",1/DATOS_[[% normaliz]:[% normaliz]],1)*(DATOS_[Conc.Sal.30])))))))),
0)</f>
        <v>0</v>
      </c>
      <c r="AN70" s="112">
        <f t="array" ref="AN70">IFERROR(
MEDIAN(IF(DATOS_[Sexo]=$B70,IF(DATOS_[[AGRUP. VALOR. PTO.]:[AGRUP. VALOR. PTO.]]=$B69,IF(DATOS_[Check Equiparado]="Sí",IF(DATOS_[Check Periodo Ref.]="Dentro",DATOS_[Tot COMPL.SAL Eq],FALSE))))),
0)</f>
        <v>0</v>
      </c>
      <c r="AO70" s="113">
        <f t="array" ref="AO70">IFERROR(
MEDIAN(IF(DATOS_[Sexo]=$B70,IF(DATOS_[[AGRUP. VALOR. PTO.]:[AGRUP. VALOR. PTO.]]=$B69,IF(DATOS_[Check Equiparado]="Sí",IF(DATOS_[Check Periodo Ref.]="Dentro",DATOS_[TOTAL SALARIO Eq],FALSE))))),
0)</f>
        <v>0</v>
      </c>
      <c r="AP70" s="114">
        <f t="array" ref="AP70">IFERROR(
(MEDIAN((IF(DATOS_[[Sexo]:[Sexo]]=$B70,IF(DATOS_[[AGRUP. VALOR. PTO.]:[AGRUP. VALOR. PTO.]]=$B69,IF(DATOS_[[Check Periodo Ref.]:[Check Periodo Ref.]]="Dentro",IF(DATOS_[[Check Equiparado]:[Check Equiparado]]="Sí",IF(DATOS!BI$5="Sí",(1/DATOS_[[% anualiz]:[% anualiz]]),1)*IF(DATOS!BI$4="Sí",1/DATOS_[[% normaliz]:[% normaliz]],1)*(DATOS_[C.Extra.01])))))))),
0)</f>
        <v>0</v>
      </c>
      <c r="AQ70" s="114">
        <f t="array" ref="AQ70">IFERROR(
(MEDIAN((IF(DATOS_[[Sexo]:[Sexo]]=$B70,IF(DATOS_[[AGRUP. VALOR. PTO.]:[AGRUP. VALOR. PTO.]]=$B69,IF(DATOS_[[Check Periodo Ref.]:[Check Periodo Ref.]]="Dentro",IF(DATOS_[[Check Equiparado]:[Check Equiparado]]="Sí",IF(DATOS!BJ$5="Sí",(1/DATOS_[[% anualiz]:[% anualiz]]),1)*IF(DATOS!BJ$4="Sí",1/DATOS_[[% normaliz]:[% normaliz]],1)*(DATOS_[C.Extra.02])))))))),
0)</f>
        <v>0</v>
      </c>
      <c r="AR70" s="114">
        <f t="array" ref="AR70">IFERROR(
(MEDIAN((IF(DATOS_[[Sexo]:[Sexo]]=$B70,IF(DATOS_[[AGRUP. VALOR. PTO.]:[AGRUP. VALOR. PTO.]]=$B69,IF(DATOS_[[Check Periodo Ref.]:[Check Periodo Ref.]]="Dentro",IF(DATOS_[[Check Equiparado]:[Check Equiparado]]="Sí",IF(DATOS!BK$5="Sí",(1/DATOS_[[% anualiz]:[% anualiz]]),1)*IF(DATOS!BK$4="Sí",1/DATOS_[[% normaliz]:[% normaliz]],1)*(DATOS_[C.Extra.03])))))))),
0)</f>
        <v>0</v>
      </c>
      <c r="AS70" s="114">
        <f t="array" ref="AS70">IFERROR(
(MEDIAN((IF(DATOS_[[Sexo]:[Sexo]]=$B70,IF(DATOS_[[AGRUP. VALOR. PTO.]:[AGRUP. VALOR. PTO.]]=$B69,IF(DATOS_[[Check Periodo Ref.]:[Check Periodo Ref.]]="Dentro",IF(DATOS_[[Check Equiparado]:[Check Equiparado]]="Sí",IF(DATOS!BL$5="Sí",(1/DATOS_[[% anualiz]:[% anualiz]]),1)*IF(DATOS!BL$4="Sí",1/DATOS_[[% normaliz]:[% normaliz]],1)*(DATOS_[C.Extra.04])))))))),
0)</f>
        <v>0</v>
      </c>
      <c r="AT70" s="114">
        <f t="array" ref="AT70">IFERROR(
(MEDIAN((IF(DATOS_[[Sexo]:[Sexo]]=$B70,IF(DATOS_[[AGRUP. VALOR. PTO.]:[AGRUP. VALOR. PTO.]]=$B69,IF(DATOS_[[Check Periodo Ref.]:[Check Periodo Ref.]]="Dentro",IF(DATOS_[[Check Equiparado]:[Check Equiparado]]="Sí",IF(DATOS!BM$5="Sí",(1/DATOS_[[% anualiz]:[% anualiz]]),1)*IF(DATOS!BM$4="Sí",1/DATOS_[[% normaliz]:[% normaliz]],1)*(DATOS_[C.Extra.05])))))))),
0)</f>
        <v>0</v>
      </c>
      <c r="AU70" s="115">
        <f t="array" ref="AU70">IFERROR(
MEDIAN(IF(DATOS_[Sexo]=$B70,IF(DATOS_[[AGRUP. VALOR. PTO.]:[AGRUP. VALOR. PTO.]]=$B69,IF(DATOS_[Check Equiparado]="Sí",IF(DATOS_[Check Periodo Ref.]="Dentro",DATOS_[Tot Extrasalarial Eq],FALSE))))),
0)</f>
        <v>0</v>
      </c>
      <c r="AV70" s="116">
        <f t="array" ref="AV70">IFERROR(
MEDIAN(IF(DATOS_[Sexo]=$B70,IF(DATOS_[[AGRUP. VALOR. PTO.]:[AGRUP. VALOR. PTO.]]=$B69,IF(DATOS_[Check Equiparado]="Sí",IF(DATOS_[Check Periodo Ref.]="Dentro",DATOS_[TOTAL Retrib Eq],FALSE))))),
0)</f>
        <v>0</v>
      </c>
    </row>
    <row r="71" spans="1:48" hidden="1" x14ac:dyDescent="0.3">
      <c r="A71" s="42" t="str">
        <f t="shared" ref="A71" si="78">+A70</f>
        <v>[ocultar]</v>
      </c>
      <c r="B71" s="86" t="s">
        <v>163</v>
      </c>
      <c r="C71" s="33">
        <f t="array" ref="C71">SUM(IF($B71=DATOS_[Sexo],
IF($B69=DATOS_[AGRUP. VALOR. PTO.],
IF("Dentro"=DATOS_[Check Periodo Ref.],
1/(COUNTIFS(DATOS_[Sexo],$B71,DATOS_[AGRUP. VALOR. PTO.],$B69,DATOS_[Check Periodo Ref.],"Dentro",DATOS_[id],DATOS_[id]))))))</f>
        <v>0</v>
      </c>
      <c r="D71" s="35">
        <f>COUNTIFS(DATOS_[AGRUP. VALOR. PTO.],$B69,DATOS_[Sexo],$B71,DATOS_[Check Periodo Ref.],"Dentro")</f>
        <v>0</v>
      </c>
      <c r="E71" s="35">
        <f>COUNTIFS(DATOS_[AGRUP. VALOR. PTO.],$B69,DATOS_[Sexo],$B71,DATOS_[Check Periodo Ref.],"Dentro",DATOS_[Check Nº SC Norm],"Sí")</f>
        <v>0</v>
      </c>
      <c r="F71" s="35">
        <f>COUNTIFS(DATOS_[AGRUP. VALOR. PTO.],$B69,DATOS_[Sexo],$B71,DATOS_[Check Periodo Ref.],"Dentro",DATOS_[Check Nº SC Anualiz],"Sí")</f>
        <v>0</v>
      </c>
      <c r="G71" s="35">
        <f>COUNTIFS(DATOS_[AGRUP. VALOR. PTO.],$B69,DATOS_[Sexo],$B71,DATOS_[Check Periodo Ref.],"Dentro",DATOS_[Check Nº SC Norm y Anualiz],"Sí")</f>
        <v>0</v>
      </c>
      <c r="H71" s="35">
        <f>COUNTIFS(DATOS_[AGRUP. VALOR. PTO.],$B69,DATOS_[Sexo],$B71,DATOS_[Check Periodo Ref.],"Dentro",DATOS_[Check Equiparación],"Sí")</f>
        <v>0</v>
      </c>
      <c r="I71" s="110" cm="1">
        <f t="array" ref="I71">IFERROR(
MEDIAN(IF(DATOS_[Sexo]=$B71,IF(DATOS_[[AGRUP. VALOR. PTO.]:[AGRUP. VALOR. PTO.]]=$B69,IF(DATOS_[Check Equiparado]="Sí",IF(DATOS_[Check Periodo Ref.]="Dentro",DATOS_[SALARIO BASE Eq],FALSE))))),
0)</f>
        <v>0</v>
      </c>
      <c r="J71" s="111">
        <f t="array" ref="J71">IFERROR(
(MEDIAN((IF(DATOS_[[Sexo]:[Sexo]]=$B71,IF(DATOS_[[AGRUP. VALOR. PTO.]:[AGRUP. VALOR. PTO.]]=$B69,IF(DATOS_[[Check Periodo Ref.]:[Check Periodo Ref.]]="Dentro",IF(DATOS_[[Check Equiparado]:[Check Equiparado]]="Sí",IF(DATOS!AE$5="Sí",(1/DATOS_[[% anualiz]:[% anualiz]]),1)*IF(DATOS!AE$4="Sí",1/DATOS_[[% normaliz]:[% normaliz]],1)*(DATOS_[Conc.Sal.01])))))))),
0)</f>
        <v>0</v>
      </c>
      <c r="K71" s="111">
        <f t="array" ref="K71">IFERROR(
(MEDIAN((IF(DATOS_[[Sexo]:[Sexo]]=$B71,IF(DATOS_[[AGRUP. VALOR. PTO.]:[AGRUP. VALOR. PTO.]]=$B69,IF(DATOS_[[Check Periodo Ref.]:[Check Periodo Ref.]]="Dentro",IF(DATOS_[[Check Equiparado]:[Check Equiparado]]="Sí",IF(DATOS!AF$5="Sí",(1/DATOS_[[% anualiz]:[% anualiz]]),1)*IF(DATOS!AF$4="Sí",1/DATOS_[[% normaliz]:[% normaliz]],1)*(DATOS_[Conc.Sal.02])))))))),
0)</f>
        <v>0</v>
      </c>
      <c r="L71" s="111">
        <f t="array" ref="L71">IFERROR(
(MEDIAN((IF(DATOS_[[Sexo]:[Sexo]]=$B71,IF(DATOS_[[AGRUP. VALOR. PTO.]:[AGRUP. VALOR. PTO.]]=$B69,IF(DATOS_[[Check Periodo Ref.]:[Check Periodo Ref.]]="Dentro",IF(DATOS_[[Check Equiparado]:[Check Equiparado]]="Sí",IF(DATOS!AG$5="Sí",(1/DATOS_[[% anualiz]:[% anualiz]]),1)*IF(DATOS!AG$4="Sí",1/DATOS_[[% normaliz]:[% normaliz]],1)*(DATOS_[Conc.Sal.03])))))))),
0)</f>
        <v>0</v>
      </c>
      <c r="M71" s="111">
        <f t="array" ref="M71">IFERROR(
(MEDIAN((IF(DATOS_[[Sexo]:[Sexo]]=$B71,IF(DATOS_[[AGRUP. VALOR. PTO.]:[AGRUP. VALOR. PTO.]]=$B69,IF(DATOS_[[Check Periodo Ref.]:[Check Periodo Ref.]]="Dentro",IF(DATOS_[[Check Equiparado]:[Check Equiparado]]="Sí",IF(DATOS!AH$5="Sí",(1/DATOS_[[% anualiz]:[% anualiz]]),1)*IF(DATOS!AH$4="Sí",1/DATOS_[[% normaliz]:[% normaliz]],1)*(DATOS_[Conc.Sal.04])))))))),
0)</f>
        <v>0</v>
      </c>
      <c r="N71" s="111">
        <f t="array" ref="N71">IFERROR(
(MEDIAN((IF(DATOS_[[Sexo]:[Sexo]]=$B71,IF(DATOS_[[AGRUP. VALOR. PTO.]:[AGRUP. VALOR. PTO.]]=$B69,IF(DATOS_[[Check Periodo Ref.]:[Check Periodo Ref.]]="Dentro",IF(DATOS_[[Check Equiparado]:[Check Equiparado]]="Sí",IF(DATOS!AI$5="Sí",(1/DATOS_[[% anualiz]:[% anualiz]]),1)*IF(DATOS!AI$4="Sí",1/DATOS_[[% normaliz]:[% normaliz]],1)*(DATOS_[Conc.Sal.05])))))))),
0)</f>
        <v>0</v>
      </c>
      <c r="O71" s="111">
        <f t="array" ref="O71">IFERROR(
(MEDIAN((IF(DATOS_[[Sexo]:[Sexo]]=$B71,IF(DATOS_[[AGRUP. VALOR. PTO.]:[AGRUP. VALOR. PTO.]]=$B69,IF(DATOS_[[Check Periodo Ref.]:[Check Periodo Ref.]]="Dentro",IF(DATOS_[[Check Equiparado]:[Check Equiparado]]="Sí",IF(DATOS!AJ$5="Sí",(1/DATOS_[[% anualiz]:[% anualiz]]),1)*IF(DATOS!AJ$4="Sí",1/DATOS_[[% normaliz]:[% normaliz]],1)*(DATOS_[Conc.Sal.06])))))))),
0)</f>
        <v>0</v>
      </c>
      <c r="P71" s="111">
        <f t="array" ref="P71">IFERROR(
(MEDIAN((IF(DATOS_[[Sexo]:[Sexo]]=$B71,IF(DATOS_[[AGRUP. VALOR. PTO.]:[AGRUP. VALOR. PTO.]]=$B69,IF(DATOS_[[Check Periodo Ref.]:[Check Periodo Ref.]]="Dentro",IF(DATOS_[[Check Equiparado]:[Check Equiparado]]="Sí",IF(DATOS!AK$5="Sí",(1/DATOS_[[% anualiz]:[% anualiz]]),1)*IF(DATOS!AK$4="Sí",1/DATOS_[[% normaliz]:[% normaliz]],1)*(DATOS_[Conc.Sal.07])))))))),
0)</f>
        <v>0</v>
      </c>
      <c r="Q71" s="111">
        <f t="array" ref="Q71">IFERROR(
(MEDIAN((IF(DATOS_[[Sexo]:[Sexo]]=$B71,IF(DATOS_[[AGRUP. VALOR. PTO.]:[AGRUP. VALOR. PTO.]]=$B69,IF(DATOS_[[Check Periodo Ref.]:[Check Periodo Ref.]]="Dentro",IF(DATOS_[[Check Equiparado]:[Check Equiparado]]="Sí",IF(DATOS!AL$5="Sí",(1/DATOS_[[% anualiz]:[% anualiz]]),1)*IF(DATOS!AL$4="Sí",1/DATOS_[[% normaliz]:[% normaliz]],1)*(DATOS_[Conc.Sal.08])))))))),
0)</f>
        <v>0</v>
      </c>
      <c r="R71" s="111">
        <f t="array" ref="R71">IFERROR(
(MEDIAN((IF(DATOS_[[Sexo]:[Sexo]]=$B71,IF(DATOS_[[AGRUP. VALOR. PTO.]:[AGRUP. VALOR. PTO.]]=$B69,IF(DATOS_[[Check Periodo Ref.]:[Check Periodo Ref.]]="Dentro",IF(DATOS_[[Check Equiparado]:[Check Equiparado]]="Sí",IF(DATOS!AM$5="Sí",(1/DATOS_[[% anualiz]:[% anualiz]]),1)*IF(DATOS!AM$4="Sí",1/DATOS_[[% normaliz]:[% normaliz]],1)*(DATOS_[Conc.Sal.09])))))))),
0)</f>
        <v>0</v>
      </c>
      <c r="S71" s="111">
        <f t="array" ref="S71">IFERROR(
(MEDIAN((IF(DATOS_[[Sexo]:[Sexo]]=$B71,IF(DATOS_[[AGRUP. VALOR. PTO.]:[AGRUP. VALOR. PTO.]]=$B69,IF(DATOS_[[Check Periodo Ref.]:[Check Periodo Ref.]]="Dentro",IF(DATOS_[[Check Equiparado]:[Check Equiparado]]="Sí",IF(DATOS!AN$5="Sí",(1/DATOS_[[% anualiz]:[% anualiz]]),1)*IF(DATOS!AN$4="Sí",1/DATOS_[[% normaliz]:[% normaliz]],1)*(DATOS_[Conc.Sal.10])))))))),
0)</f>
        <v>0</v>
      </c>
      <c r="T71" s="111">
        <f t="array" ref="T71">IFERROR(
(MEDIAN((IF(DATOS_[[Sexo]:[Sexo]]=$B71,IF(DATOS_[[AGRUP. VALOR. PTO.]:[AGRUP. VALOR. PTO.]]=$B69,IF(DATOS_[[Check Periodo Ref.]:[Check Periodo Ref.]]="Dentro",IF(DATOS_[[Check Equiparado]:[Check Equiparado]]="Sí",IF(DATOS!AO$5="Sí",(1/DATOS_[[% anualiz]:[% anualiz]]),1)*IF(DATOS!AO$4="Sí",1/DATOS_[[% normaliz]:[% normaliz]],1)*(DATOS_[Conc.Sal.11])))))))),
0)</f>
        <v>0</v>
      </c>
      <c r="U71" s="111">
        <f t="array" ref="U71">IFERROR(
(MEDIAN((IF(DATOS_[[Sexo]:[Sexo]]=$B71,IF(DATOS_[[AGRUP. VALOR. PTO.]:[AGRUP. VALOR. PTO.]]=$B69,IF(DATOS_[[Check Periodo Ref.]:[Check Periodo Ref.]]="Dentro",IF(DATOS_[[Check Equiparado]:[Check Equiparado]]="Sí",IF(DATOS!AP$5="Sí",(1/DATOS_[[% anualiz]:[% anualiz]]),1)*IF(DATOS!AP$4="Sí",1/DATOS_[[% normaliz]:[% normaliz]],1)*(DATOS_[Conc.Sal.12])))))))),
0)</f>
        <v>0</v>
      </c>
      <c r="V71" s="111">
        <f t="array" ref="V71">IFERROR(
(MEDIAN((IF(DATOS_[[Sexo]:[Sexo]]=$B71,IF(DATOS_[[AGRUP. VALOR. PTO.]:[AGRUP. VALOR. PTO.]]=$B69,IF(DATOS_[[Check Periodo Ref.]:[Check Periodo Ref.]]="Dentro",IF(DATOS_[[Check Equiparado]:[Check Equiparado]]="Sí",IF(DATOS!AQ$5="Sí",(1/DATOS_[[% anualiz]:[% anualiz]]),1)*IF(DATOS!AQ$4="Sí",1/DATOS_[[% normaliz]:[% normaliz]],1)*(DATOS_[Conc.Sal.13])))))))),
0)</f>
        <v>0</v>
      </c>
      <c r="W71" s="111">
        <f t="array" ref="W71">IFERROR(
(MEDIAN((IF(DATOS_[[Sexo]:[Sexo]]=$B71,IF(DATOS_[[AGRUP. VALOR. PTO.]:[AGRUP. VALOR. PTO.]]=$B69,IF(DATOS_[[Check Periodo Ref.]:[Check Periodo Ref.]]="Dentro",IF(DATOS_[[Check Equiparado]:[Check Equiparado]]="Sí",IF(DATOS!AR$5="Sí",(1/DATOS_[[% anualiz]:[% anualiz]]),1)*IF(DATOS!AR$4="Sí",1/DATOS_[[% normaliz]:[% normaliz]],1)*(DATOS_[Conc.Sal.14])))))))),
0)</f>
        <v>0</v>
      </c>
      <c r="X71" s="111">
        <f t="array" ref="X71">IFERROR(
(MEDIAN((IF(DATOS_[[Sexo]:[Sexo]]=$B71,IF(DATOS_[[AGRUP. VALOR. PTO.]:[AGRUP. VALOR. PTO.]]=$B69,IF(DATOS_[[Check Periodo Ref.]:[Check Periodo Ref.]]="Dentro",IF(DATOS_[[Check Equiparado]:[Check Equiparado]]="Sí",IF(DATOS!AS$5="Sí",(1/DATOS_[[% anualiz]:[% anualiz]]),1)*IF(DATOS!AS$4="Sí",1/DATOS_[[% normaliz]:[% normaliz]],1)*(DATOS_[Conc.Sal.15])))))))),
0)</f>
        <v>0</v>
      </c>
      <c r="Y71" s="111">
        <f t="array" ref="Y71">IFERROR(
(MEDIAN((IF(DATOS_[[Sexo]:[Sexo]]=$B71,IF(DATOS_[[AGRUP. VALOR. PTO.]:[AGRUP. VALOR. PTO.]]=$B69,IF(DATOS_[[Check Periodo Ref.]:[Check Periodo Ref.]]="Dentro",IF(DATOS_[[Check Equiparado]:[Check Equiparado]]="Sí",IF(DATOS!AT$5="Sí",(1/DATOS_[[% anualiz]:[% anualiz]]),1)*IF(DATOS!AT$4="Sí",1/DATOS_[[% normaliz]:[% normaliz]],1)*(DATOS_[Conc.Sal.16])))))))),
0)</f>
        <v>0</v>
      </c>
      <c r="Z71" s="111">
        <f t="array" ref="Z71">IFERROR(
(MEDIAN((IF(DATOS_[[Sexo]:[Sexo]]=$B71,IF(DATOS_[[AGRUP. VALOR. PTO.]:[AGRUP. VALOR. PTO.]]=$B69,IF(DATOS_[[Check Periodo Ref.]:[Check Periodo Ref.]]="Dentro",IF(DATOS_[[Check Equiparado]:[Check Equiparado]]="Sí",IF(DATOS!AU$5="Sí",(1/DATOS_[[% anualiz]:[% anualiz]]),1)*IF(DATOS!AU$4="Sí",1/DATOS_[[% normaliz]:[% normaliz]],1)*(DATOS_[Conc.Sal.17])))))))),
0)</f>
        <v>0</v>
      </c>
      <c r="AA71" s="111">
        <f t="array" ref="AA71">IFERROR(
(MEDIAN((IF(DATOS_[[Sexo]:[Sexo]]=$B71,IF(DATOS_[[AGRUP. VALOR. PTO.]:[AGRUP. VALOR. PTO.]]=$B69,IF(DATOS_[[Check Periodo Ref.]:[Check Periodo Ref.]]="Dentro",IF(DATOS_[[Check Equiparado]:[Check Equiparado]]="Sí",IF(DATOS!AV$5="Sí",(1/DATOS_[[% anualiz]:[% anualiz]]),1)*IF(DATOS!AV$4="Sí",1/DATOS_[[% normaliz]:[% normaliz]],1)*(DATOS_[Conc.Sal.18])))))))),
0)</f>
        <v>0</v>
      </c>
      <c r="AB71" s="111">
        <f t="array" ref="AB71">IFERROR(
(MEDIAN((IF(DATOS_[[Sexo]:[Sexo]]=$B71,IF(DATOS_[[AGRUP. VALOR. PTO.]:[AGRUP. VALOR. PTO.]]=$B69,IF(DATOS_[[Check Periodo Ref.]:[Check Periodo Ref.]]="Dentro",IF(DATOS_[[Check Equiparado]:[Check Equiparado]]="Sí",IF(DATOS!AW$5="Sí",(1/DATOS_[[% anualiz]:[% anualiz]]),1)*IF(DATOS!AW$4="Sí",1/DATOS_[[% normaliz]:[% normaliz]],1)*(DATOS_[Conc.Sal.19])))))))),
0)</f>
        <v>0</v>
      </c>
      <c r="AC71" s="111">
        <f t="array" ref="AC71">IFERROR(
(MEDIAN((IF(DATOS_[[Sexo]:[Sexo]]=$B71,IF(DATOS_[[AGRUP. VALOR. PTO.]:[AGRUP. VALOR. PTO.]]=$B69,IF(DATOS_[[Check Periodo Ref.]:[Check Periodo Ref.]]="Dentro",IF(DATOS_[[Check Equiparado]:[Check Equiparado]]="Sí",IF(DATOS!AX$5="Sí",(1/DATOS_[[% anualiz]:[% anualiz]]),1)*IF(DATOS!AX$4="Sí",1/DATOS_[[% normaliz]:[% normaliz]],1)*(DATOS_[Conc.Sal.20])))))))),
0)</f>
        <v>0</v>
      </c>
      <c r="AD71" s="111">
        <f t="array" ref="AD71">IFERROR(
(MEDIAN((IF(DATOS_[[Sexo]:[Sexo]]=$B71,IF(DATOS_[[AGRUP. VALOR. PTO.]:[AGRUP. VALOR. PTO.]]=$B69,IF(DATOS_[[Check Periodo Ref.]:[Check Periodo Ref.]]="Dentro",IF(DATOS_[[Check Equiparado]:[Check Equiparado]]="Sí",IF(DATOS!AY$5="Sí",(1/DATOS_[[% anualiz]:[% anualiz]]),1)*IF(DATOS!AY$4="Sí",1/DATOS_[[% normaliz]:[% normaliz]],1)*(DATOS_[Conc.Sal.21])))))))),
0)</f>
        <v>0</v>
      </c>
      <c r="AE71" s="111">
        <f t="array" ref="AE71">IFERROR(
(MEDIAN((IF(DATOS_[[Sexo]:[Sexo]]=$B71,IF(DATOS_[[AGRUP. VALOR. PTO.]:[AGRUP. VALOR. PTO.]]=$B69,IF(DATOS_[[Check Periodo Ref.]:[Check Periodo Ref.]]="Dentro",IF(DATOS_[[Check Equiparado]:[Check Equiparado]]="Sí",IF(DATOS!AZ$5="Sí",(1/DATOS_[[% anualiz]:[% anualiz]]),1)*IF(DATOS!AZ$4="Sí",1/DATOS_[[% normaliz]:[% normaliz]],1)*(DATOS_[Conc.Sal.22])))))))),
0)</f>
        <v>0</v>
      </c>
      <c r="AF71" s="111">
        <f t="array" ref="AF71">IFERROR(
(MEDIAN((IF(DATOS_[[Sexo]:[Sexo]]=$B71,IF(DATOS_[[AGRUP. VALOR. PTO.]:[AGRUP. VALOR. PTO.]]=$B69,IF(DATOS_[[Check Periodo Ref.]:[Check Periodo Ref.]]="Dentro",IF(DATOS_[[Check Equiparado]:[Check Equiparado]]="Sí",IF(DATOS!BA$5="Sí",(1/DATOS_[[% anualiz]:[% anualiz]]),1)*IF(DATOS!BA$4="Sí",1/DATOS_[[% normaliz]:[% normaliz]],1)*(DATOS_[Conc.Sal.23])))))))),
0)</f>
        <v>0</v>
      </c>
      <c r="AG71" s="111">
        <f t="array" ref="AG71">IFERROR(
(MEDIAN((IF(DATOS_[[Sexo]:[Sexo]]=$B71,IF(DATOS_[[AGRUP. VALOR. PTO.]:[AGRUP. VALOR. PTO.]]=$B69,IF(DATOS_[[Check Periodo Ref.]:[Check Periodo Ref.]]="Dentro",IF(DATOS_[[Check Equiparado]:[Check Equiparado]]="Sí",IF(DATOS!BB$5="Sí",(1/DATOS_[[% anualiz]:[% anualiz]]),1)*IF(DATOS!BB$4="Sí",1/DATOS_[[% normaliz]:[% normaliz]],1)*(DATOS_[Conc.Sal.24])))))))),
0)</f>
        <v>0</v>
      </c>
      <c r="AH71" s="111">
        <f t="array" ref="AH71">IFERROR(
(MEDIAN((IF(DATOS_[[Sexo]:[Sexo]]=$B71,IF(DATOS_[[AGRUP. VALOR. PTO.]:[AGRUP. VALOR. PTO.]]=$B69,IF(DATOS_[[Check Periodo Ref.]:[Check Periodo Ref.]]="Dentro",IF(DATOS_[[Check Equiparado]:[Check Equiparado]]="Sí",IF(DATOS!BC$5="Sí",(1/DATOS_[[% anualiz]:[% anualiz]]),1)*IF(DATOS!BC$4="Sí",1/DATOS_[[% normaliz]:[% normaliz]],1)*(DATOS_[Conc.Sal.25])))))))),
0)</f>
        <v>0</v>
      </c>
      <c r="AI71" s="111">
        <f t="array" ref="AI71">IFERROR(
(MEDIAN((IF(DATOS_[[Sexo]:[Sexo]]=$B71,IF(DATOS_[[AGRUP. VALOR. PTO.]:[AGRUP. VALOR. PTO.]]=$B69,IF(DATOS_[[Check Periodo Ref.]:[Check Periodo Ref.]]="Dentro",IF(DATOS_[[Check Equiparado]:[Check Equiparado]]="Sí",IF(DATOS!BD$5="Sí",(1/DATOS_[[% anualiz]:[% anualiz]]),1)*IF(DATOS!BD$4="Sí",1/DATOS_[[% normaliz]:[% normaliz]],1)*(DATOS_[Conc.Sal.26])))))))),
0)</f>
        <v>0</v>
      </c>
      <c r="AJ71" s="111">
        <f t="array" ref="AJ71">IFERROR(
(MEDIAN((IF(DATOS_[[Sexo]:[Sexo]]=$B71,IF(DATOS_[[AGRUP. VALOR. PTO.]:[AGRUP. VALOR. PTO.]]=$B69,IF(DATOS_[[Check Periodo Ref.]:[Check Periodo Ref.]]="Dentro",IF(DATOS_[[Check Equiparado]:[Check Equiparado]]="Sí",IF(DATOS!BE$5="Sí",(1/DATOS_[[% anualiz]:[% anualiz]]),1)*IF(DATOS!BE$4="Sí",1/DATOS_[[% normaliz]:[% normaliz]],1)*(DATOS_[Conc.Sal.27])))))))),
0)</f>
        <v>0</v>
      </c>
      <c r="AK71" s="111">
        <f t="array" ref="AK71">IFERROR(
(MEDIAN((IF(DATOS_[[Sexo]:[Sexo]]=$B71,IF(DATOS_[[AGRUP. VALOR. PTO.]:[AGRUP. VALOR. PTO.]]=$B69,IF(DATOS_[[Check Periodo Ref.]:[Check Periodo Ref.]]="Dentro",IF(DATOS_[[Check Equiparado]:[Check Equiparado]]="Sí",IF(DATOS!BF$5="Sí",(1/DATOS_[[% anualiz]:[% anualiz]]),1)*IF(DATOS!BF$4="Sí",1/DATOS_[[% normaliz]:[% normaliz]],1)*(DATOS_[Conc.Sal.28])))))))),
0)</f>
        <v>0</v>
      </c>
      <c r="AL71" s="111">
        <f t="array" ref="AL71">IFERROR(
(MEDIAN((IF(DATOS_[[Sexo]:[Sexo]]=$B71,IF(DATOS_[[AGRUP. VALOR. PTO.]:[AGRUP. VALOR. PTO.]]=$B69,IF(DATOS_[[Check Periodo Ref.]:[Check Periodo Ref.]]="Dentro",IF(DATOS_[[Check Equiparado]:[Check Equiparado]]="Sí",IF(DATOS!BG$5="Sí",(1/DATOS_[[% anualiz]:[% anualiz]]),1)*IF(DATOS!BG$4="Sí",1/DATOS_[[% normaliz]:[% normaliz]],1)*(DATOS_[Conc.Sal.29])))))))),
0)</f>
        <v>0</v>
      </c>
      <c r="AM71" s="111">
        <f t="array" ref="AM71">IFERROR(
(MEDIAN((IF(DATOS_[[Sexo]:[Sexo]]=$B71,IF(DATOS_[[AGRUP. VALOR. PTO.]:[AGRUP. VALOR. PTO.]]=$B69,IF(DATOS_[[Check Periodo Ref.]:[Check Periodo Ref.]]="Dentro",IF(DATOS_[[Check Equiparado]:[Check Equiparado]]="Sí",IF(DATOS!BH$5="Sí",(1/DATOS_[[% anualiz]:[% anualiz]]),1)*IF(DATOS!BH$4="Sí",1/DATOS_[[% normaliz]:[% normaliz]],1)*(DATOS_[Conc.Sal.30])))))))),
0)</f>
        <v>0</v>
      </c>
      <c r="AN71" s="112">
        <f t="array" ref="AN71">IFERROR(
MEDIAN(IF(DATOS_[Sexo]=$B71,IF(DATOS_[[AGRUP. VALOR. PTO.]:[AGRUP. VALOR. PTO.]]=$B69,IF(DATOS_[Check Equiparado]="Sí",IF(DATOS_[Check Periodo Ref.]="Dentro",DATOS_[Tot COMPL.SAL Eq],FALSE))))),
0)</f>
        <v>0</v>
      </c>
      <c r="AO71" s="113">
        <f t="array" ref="AO71">IFERROR(
MEDIAN(IF(DATOS_[Sexo]=$B71,IF(DATOS_[[AGRUP. VALOR. PTO.]:[AGRUP. VALOR. PTO.]]=$B69,IF(DATOS_[Check Equiparado]="Sí",IF(DATOS_[Check Periodo Ref.]="Dentro",DATOS_[TOTAL SALARIO Eq],FALSE))))),
0)</f>
        <v>0</v>
      </c>
      <c r="AP71" s="114">
        <f t="array" ref="AP71">IFERROR(
(MEDIAN((IF(DATOS_[[Sexo]:[Sexo]]=$B71,IF(DATOS_[[AGRUP. VALOR. PTO.]:[AGRUP. VALOR. PTO.]]=$B70,IF(DATOS_[[Check Periodo Ref.]:[Check Periodo Ref.]]="Dentro",IF(DATOS_[[Check Equiparado]:[Check Equiparado]]="Sí",IF(DATOS!BI$5="Sí",(1/DATOS_[[% anualiz]:[% anualiz]]),1)*IF(DATOS!BI$4="Sí",1/DATOS_[[% normaliz]:[% normaliz]],1)*(DATOS_[C.Extra.01])))))))),
0)</f>
        <v>0</v>
      </c>
      <c r="AQ71" s="114">
        <f t="array" ref="AQ71">IFERROR(
(MEDIAN((IF(DATOS_[[Sexo]:[Sexo]]=$B71,IF(DATOS_[[AGRUP. VALOR. PTO.]:[AGRUP. VALOR. PTO.]]=$B70,IF(DATOS_[[Check Periodo Ref.]:[Check Periodo Ref.]]="Dentro",IF(DATOS_[[Check Equiparado]:[Check Equiparado]]="Sí",IF(DATOS!BJ$5="Sí",(1/DATOS_[[% anualiz]:[% anualiz]]),1)*IF(DATOS!BJ$4="Sí",1/DATOS_[[% normaliz]:[% normaliz]],1)*(DATOS_[C.Extra.02])))))))),
0)</f>
        <v>0</v>
      </c>
      <c r="AR71" s="114">
        <f t="array" ref="AR71">IFERROR(
(MEDIAN((IF(DATOS_[[Sexo]:[Sexo]]=$B71,IF(DATOS_[[AGRUP. VALOR. PTO.]:[AGRUP. VALOR. PTO.]]=$B70,IF(DATOS_[[Check Periodo Ref.]:[Check Periodo Ref.]]="Dentro",IF(DATOS_[[Check Equiparado]:[Check Equiparado]]="Sí",IF(DATOS!BK$5="Sí",(1/DATOS_[[% anualiz]:[% anualiz]]),1)*IF(DATOS!BK$4="Sí",1/DATOS_[[% normaliz]:[% normaliz]],1)*(DATOS_[C.Extra.03])))))))),
0)</f>
        <v>0</v>
      </c>
      <c r="AS71" s="114">
        <f t="array" ref="AS71">IFERROR(
(MEDIAN((IF(DATOS_[[Sexo]:[Sexo]]=$B71,IF(DATOS_[[AGRUP. VALOR. PTO.]:[AGRUP. VALOR. PTO.]]=$B70,IF(DATOS_[[Check Periodo Ref.]:[Check Periodo Ref.]]="Dentro",IF(DATOS_[[Check Equiparado]:[Check Equiparado]]="Sí",IF(DATOS!BL$5="Sí",(1/DATOS_[[% anualiz]:[% anualiz]]),1)*IF(DATOS!BL$4="Sí",1/DATOS_[[% normaliz]:[% normaliz]],1)*(DATOS_[C.Extra.04])))))))),
0)</f>
        <v>0</v>
      </c>
      <c r="AT71" s="114">
        <f t="array" ref="AT71">IFERROR(
(MEDIAN((IF(DATOS_[[Sexo]:[Sexo]]=$B71,IF(DATOS_[[AGRUP. VALOR. PTO.]:[AGRUP. VALOR. PTO.]]=$B70,IF(DATOS_[[Check Periodo Ref.]:[Check Periodo Ref.]]="Dentro",IF(DATOS_[[Check Equiparado]:[Check Equiparado]]="Sí",IF(DATOS!BM$5="Sí",(1/DATOS_[[% anualiz]:[% anualiz]]),1)*IF(DATOS!BM$4="Sí",1/DATOS_[[% normaliz]:[% normaliz]],1)*(DATOS_[C.Extra.05])))))))),
0)</f>
        <v>0</v>
      </c>
      <c r="AU71" s="115">
        <f t="array" ref="AU71">IFERROR(
MEDIAN(IF(DATOS_[Sexo]=$B71,IF(DATOS_[[AGRUP. VALOR. PTO.]:[AGRUP. VALOR. PTO.]]=$B69,IF(DATOS_[Check Equiparado]="Sí",IF(DATOS_[Check Periodo Ref.]="Dentro",DATOS_[Tot Extrasalarial Eq],FALSE))))),
0)</f>
        <v>0</v>
      </c>
      <c r="AV71" s="116">
        <f t="array" ref="AV71">IFERROR(
MEDIAN(IF(DATOS_[Sexo]=$B71,IF(DATOS_[[AGRUP. VALOR. PTO.]:[AGRUP. VALOR. PTO.]]=$B69,IF(DATOS_[Check Equiparado]="Sí",IF(DATOS_[Check Periodo Ref.]="Dentro",DATOS_[TOTAL Retrib Eq],FALSE))))),
0)</f>
        <v>0</v>
      </c>
    </row>
    <row r="72" spans="1:48" ht="17.25" hidden="1" thickBot="1" x14ac:dyDescent="0.35">
      <c r="A72" s="42" t="str">
        <f t="shared" ref="A72" si="79">+A73</f>
        <v>[ocultar]</v>
      </c>
      <c r="B72" s="90" t="s">
        <v>279</v>
      </c>
      <c r="C72" s="109"/>
      <c r="D72" s="41"/>
      <c r="E72" s="41"/>
      <c r="F72" s="41"/>
      <c r="G72" s="41"/>
      <c r="H72" s="41"/>
      <c r="I72" s="119" t="str">
        <f t="shared" ref="I72:AV72" si="80">IFERROR((I73-I74)/I73,"")</f>
        <v/>
      </c>
      <c r="J72" s="123" t="str">
        <f t="shared" si="80"/>
        <v/>
      </c>
      <c r="K72" s="123" t="str">
        <f t="shared" si="80"/>
        <v/>
      </c>
      <c r="L72" s="123" t="str">
        <f t="shared" si="80"/>
        <v/>
      </c>
      <c r="M72" s="123" t="str">
        <f t="shared" si="80"/>
        <v/>
      </c>
      <c r="N72" s="123" t="str">
        <f t="shared" si="80"/>
        <v/>
      </c>
      <c r="O72" s="123" t="str">
        <f t="shared" si="80"/>
        <v/>
      </c>
      <c r="P72" s="123" t="str">
        <f t="shared" si="80"/>
        <v/>
      </c>
      <c r="Q72" s="123" t="str">
        <f t="shared" si="80"/>
        <v/>
      </c>
      <c r="R72" s="123" t="str">
        <f t="shared" si="80"/>
        <v/>
      </c>
      <c r="S72" s="123" t="str">
        <f t="shared" si="80"/>
        <v/>
      </c>
      <c r="T72" s="123" t="str">
        <f t="shared" si="80"/>
        <v/>
      </c>
      <c r="U72" s="123" t="str">
        <f t="shared" si="80"/>
        <v/>
      </c>
      <c r="V72" s="123" t="str">
        <f t="shared" si="80"/>
        <v/>
      </c>
      <c r="W72" s="123" t="str">
        <f t="shared" si="80"/>
        <v/>
      </c>
      <c r="X72" s="123" t="str">
        <f t="shared" si="80"/>
        <v/>
      </c>
      <c r="Y72" s="123" t="str">
        <f t="shared" si="80"/>
        <v/>
      </c>
      <c r="Z72" s="122" t="str">
        <f t="shared" si="80"/>
        <v/>
      </c>
      <c r="AA72" s="122" t="str">
        <f t="shared" si="80"/>
        <v/>
      </c>
      <c r="AB72" s="122" t="str">
        <f t="shared" si="80"/>
        <v/>
      </c>
      <c r="AC72" s="122" t="str">
        <f t="shared" si="80"/>
        <v/>
      </c>
      <c r="AD72" s="122" t="str">
        <f t="shared" si="80"/>
        <v/>
      </c>
      <c r="AE72" s="122" t="str">
        <f t="shared" si="80"/>
        <v/>
      </c>
      <c r="AF72" s="122" t="str">
        <f t="shared" si="80"/>
        <v/>
      </c>
      <c r="AG72" s="122" t="str">
        <f t="shared" si="80"/>
        <v/>
      </c>
      <c r="AH72" s="122" t="str">
        <f t="shared" si="80"/>
        <v/>
      </c>
      <c r="AI72" s="122" t="str">
        <f t="shared" si="80"/>
        <v/>
      </c>
      <c r="AJ72" s="122" t="str">
        <f t="shared" si="80"/>
        <v/>
      </c>
      <c r="AK72" s="122" t="str">
        <f t="shared" si="80"/>
        <v/>
      </c>
      <c r="AL72" s="122" t="str">
        <f t="shared" si="80"/>
        <v/>
      </c>
      <c r="AM72" s="122" t="str">
        <f t="shared" si="80"/>
        <v/>
      </c>
      <c r="AN72" s="124" t="str">
        <f t="shared" si="80"/>
        <v/>
      </c>
      <c r="AO72" s="128" t="str">
        <f t="shared" si="80"/>
        <v/>
      </c>
      <c r="AP72" s="125" t="str">
        <f t="shared" si="80"/>
        <v/>
      </c>
      <c r="AQ72" s="125" t="str">
        <f t="shared" si="80"/>
        <v/>
      </c>
      <c r="AR72" s="125" t="str">
        <f t="shared" si="80"/>
        <v/>
      </c>
      <c r="AS72" s="125" t="str">
        <f t="shared" si="80"/>
        <v/>
      </c>
      <c r="AT72" s="125" t="str">
        <f t="shared" si="80"/>
        <v/>
      </c>
      <c r="AU72" s="126" t="str">
        <f t="shared" si="80"/>
        <v/>
      </c>
      <c r="AV72" s="127" t="str">
        <f t="shared" si="80"/>
        <v/>
      </c>
    </row>
    <row r="73" spans="1:48" hidden="1" x14ac:dyDescent="0.3">
      <c r="A73" s="42" t="str">
        <f t="shared" ref="A73" si="81">+IF(C73+C74=0,"[ocultar]","")</f>
        <v>[ocultar]</v>
      </c>
      <c r="B73" s="86" t="s">
        <v>162</v>
      </c>
      <c r="C73" s="33">
        <f t="array" ref="C73">SUM(IF($B73=DATOS_[Sexo],
IF($B72=DATOS_[AGRUP. VALOR. PTO.],
IF("Dentro"=DATOS_[Check Periodo Ref.],
1/(COUNTIFS(DATOS_[Sexo],$B73,DATOS_[AGRUP. VALOR. PTO.],$B72,DATOS_[Check Periodo Ref.],"Dentro",DATOS_[id],DATOS_[id]))))))</f>
        <v>0</v>
      </c>
      <c r="D73" s="35">
        <f>COUNTIFS(DATOS_[AGRUP. VALOR. PTO.],$B72,DATOS_[Sexo],$B73,DATOS_[Check Periodo Ref.],"Dentro")</f>
        <v>0</v>
      </c>
      <c r="E73" s="35">
        <f>COUNTIFS(DATOS_[AGRUP. VALOR. PTO.],$B72,DATOS_[Sexo],$B73,DATOS_[Check Periodo Ref.],"Dentro",DATOS_[Check Nº SC Norm],"Sí")</f>
        <v>0</v>
      </c>
      <c r="F73" s="35">
        <f>COUNTIFS(DATOS_[AGRUP. VALOR. PTO.],$B72,DATOS_[Sexo],$B73,DATOS_[Check Periodo Ref.],"Dentro",DATOS_[Check Nº SC Anualiz],"Sí")</f>
        <v>0</v>
      </c>
      <c r="G73" s="35">
        <f>COUNTIFS(DATOS_[AGRUP. VALOR. PTO.],$B72,DATOS_[Sexo],$B73,DATOS_[Check Periodo Ref.],"Dentro",DATOS_[Check Nº SC Norm y Anualiz],"Sí")</f>
        <v>0</v>
      </c>
      <c r="H73" s="35">
        <f>COUNTIFS(DATOS_[AGRUP. VALOR. PTO.],$B72,DATOS_[Sexo],$B73,DATOS_[Check Periodo Ref.],"Dentro",DATOS_[Check Equiparación],"Sí")</f>
        <v>0</v>
      </c>
      <c r="I73" s="110">
        <f t="array" ref="I73">IFERROR(
MEDIAN(IF(DATOS_[Sexo]=$B73,IF(DATOS_[[AGRUP. VALOR. PTO.]:[AGRUP. VALOR. PTO.]]=$B72,IF(DATOS_[Check Equiparado]="Sí",IF(DATOS_[Check Periodo Ref.]="Dentro",DATOS_[SALARIO BASE Eq],FALSE))))),
0)</f>
        <v>0</v>
      </c>
      <c r="J73" s="111">
        <f t="array" ref="J73">IFERROR(
(MEDIAN((IF(DATOS_[[Sexo]:[Sexo]]=$B73,IF(DATOS_[[AGRUP. VALOR. PTO.]:[AGRUP. VALOR. PTO.]]=$B72,IF(DATOS_[[Check Periodo Ref.]:[Check Periodo Ref.]]="Dentro",IF(DATOS_[[Check Equiparado]:[Check Equiparado]]="Sí",IF(DATOS!AE$5="Sí",(1/DATOS_[[% anualiz]:[% anualiz]]),1)*IF(DATOS!AE$4="Sí",1/DATOS_[[% normaliz]:[% normaliz]],1)*(DATOS_[Conc.Sal.01])))))))),
0)</f>
        <v>0</v>
      </c>
      <c r="K73" s="111">
        <f t="array" ref="K73">IFERROR(
(MEDIAN((IF(DATOS_[[Sexo]:[Sexo]]=$B73,IF(DATOS_[[AGRUP. VALOR. PTO.]:[AGRUP. VALOR. PTO.]]=$B72,IF(DATOS_[[Check Periodo Ref.]:[Check Periodo Ref.]]="Dentro",IF(DATOS_[[Check Equiparado]:[Check Equiparado]]="Sí",IF(DATOS!AF$5="Sí",(1/DATOS_[[% anualiz]:[% anualiz]]),1)*IF(DATOS!AF$4="Sí",1/DATOS_[[% normaliz]:[% normaliz]],1)*(DATOS_[Conc.Sal.02])))))))),
0)</f>
        <v>0</v>
      </c>
      <c r="L73" s="111">
        <f t="array" ref="L73">IFERROR(
(MEDIAN((IF(DATOS_[[Sexo]:[Sexo]]=$B73,IF(DATOS_[[AGRUP. VALOR. PTO.]:[AGRUP. VALOR. PTO.]]=$B72,IF(DATOS_[[Check Periodo Ref.]:[Check Periodo Ref.]]="Dentro",IF(DATOS_[[Check Equiparado]:[Check Equiparado]]="Sí",IF(DATOS!AG$5="Sí",(1/DATOS_[[% anualiz]:[% anualiz]]),1)*IF(DATOS!AG$4="Sí",1/DATOS_[[% normaliz]:[% normaliz]],1)*(DATOS_[Conc.Sal.03])))))))),
0)</f>
        <v>0</v>
      </c>
      <c r="M73" s="111">
        <f t="array" ref="M73">IFERROR(
(MEDIAN((IF(DATOS_[[Sexo]:[Sexo]]=$B73,IF(DATOS_[[AGRUP. VALOR. PTO.]:[AGRUP. VALOR. PTO.]]=$B72,IF(DATOS_[[Check Periodo Ref.]:[Check Periodo Ref.]]="Dentro",IF(DATOS_[[Check Equiparado]:[Check Equiparado]]="Sí",IF(DATOS!AH$5="Sí",(1/DATOS_[[% anualiz]:[% anualiz]]),1)*IF(DATOS!AH$4="Sí",1/DATOS_[[% normaliz]:[% normaliz]],1)*(DATOS_[Conc.Sal.04])))))))),
0)</f>
        <v>0</v>
      </c>
      <c r="N73" s="111">
        <f t="array" ref="N73">IFERROR(
(MEDIAN((IF(DATOS_[[Sexo]:[Sexo]]=$B73,IF(DATOS_[[AGRUP. VALOR. PTO.]:[AGRUP. VALOR. PTO.]]=$B72,IF(DATOS_[[Check Periodo Ref.]:[Check Periodo Ref.]]="Dentro",IF(DATOS_[[Check Equiparado]:[Check Equiparado]]="Sí",IF(DATOS!AI$5="Sí",(1/DATOS_[[% anualiz]:[% anualiz]]),1)*IF(DATOS!AI$4="Sí",1/DATOS_[[% normaliz]:[% normaliz]],1)*(DATOS_[Conc.Sal.05])))))))),
0)</f>
        <v>0</v>
      </c>
      <c r="O73" s="111">
        <f t="array" ref="O73">IFERROR(
(MEDIAN((IF(DATOS_[[Sexo]:[Sexo]]=$B73,IF(DATOS_[[AGRUP. VALOR. PTO.]:[AGRUP. VALOR. PTO.]]=$B72,IF(DATOS_[[Check Periodo Ref.]:[Check Periodo Ref.]]="Dentro",IF(DATOS_[[Check Equiparado]:[Check Equiparado]]="Sí",IF(DATOS!AJ$5="Sí",(1/DATOS_[[% anualiz]:[% anualiz]]),1)*IF(DATOS!AJ$4="Sí",1/DATOS_[[% normaliz]:[% normaliz]],1)*(DATOS_[Conc.Sal.06])))))))),
0)</f>
        <v>0</v>
      </c>
      <c r="P73" s="111">
        <f t="array" ref="P73">IFERROR(
(MEDIAN((IF(DATOS_[[Sexo]:[Sexo]]=$B73,IF(DATOS_[[AGRUP. VALOR. PTO.]:[AGRUP. VALOR. PTO.]]=$B72,IF(DATOS_[[Check Periodo Ref.]:[Check Periodo Ref.]]="Dentro",IF(DATOS_[[Check Equiparado]:[Check Equiparado]]="Sí",IF(DATOS!AK$5="Sí",(1/DATOS_[[% anualiz]:[% anualiz]]),1)*IF(DATOS!AK$4="Sí",1/DATOS_[[% normaliz]:[% normaliz]],1)*(DATOS_[Conc.Sal.07])))))))),
0)</f>
        <v>0</v>
      </c>
      <c r="Q73" s="111">
        <f t="array" ref="Q73">IFERROR(
(MEDIAN((IF(DATOS_[[Sexo]:[Sexo]]=$B73,IF(DATOS_[[AGRUP. VALOR. PTO.]:[AGRUP. VALOR. PTO.]]=$B72,IF(DATOS_[[Check Periodo Ref.]:[Check Periodo Ref.]]="Dentro",IF(DATOS_[[Check Equiparado]:[Check Equiparado]]="Sí",IF(DATOS!AL$5="Sí",(1/DATOS_[[% anualiz]:[% anualiz]]),1)*IF(DATOS!AL$4="Sí",1/DATOS_[[% normaliz]:[% normaliz]],1)*(DATOS_[Conc.Sal.08])))))))),
0)</f>
        <v>0</v>
      </c>
      <c r="R73" s="111">
        <f t="array" ref="R73">IFERROR(
(MEDIAN((IF(DATOS_[[Sexo]:[Sexo]]=$B73,IF(DATOS_[[AGRUP. VALOR. PTO.]:[AGRUP. VALOR. PTO.]]=$B72,IF(DATOS_[[Check Periodo Ref.]:[Check Periodo Ref.]]="Dentro",IF(DATOS_[[Check Equiparado]:[Check Equiparado]]="Sí",IF(DATOS!AM$5="Sí",(1/DATOS_[[% anualiz]:[% anualiz]]),1)*IF(DATOS!AM$4="Sí",1/DATOS_[[% normaliz]:[% normaliz]],1)*(DATOS_[Conc.Sal.09])))))))),
0)</f>
        <v>0</v>
      </c>
      <c r="S73" s="111">
        <f t="array" ref="S73">IFERROR(
(MEDIAN((IF(DATOS_[[Sexo]:[Sexo]]=$B73,IF(DATOS_[[AGRUP. VALOR. PTO.]:[AGRUP. VALOR. PTO.]]=$B72,IF(DATOS_[[Check Periodo Ref.]:[Check Periodo Ref.]]="Dentro",IF(DATOS_[[Check Equiparado]:[Check Equiparado]]="Sí",IF(DATOS!AN$5="Sí",(1/DATOS_[[% anualiz]:[% anualiz]]),1)*IF(DATOS!AN$4="Sí",1/DATOS_[[% normaliz]:[% normaliz]],1)*(DATOS_[Conc.Sal.10])))))))),
0)</f>
        <v>0</v>
      </c>
      <c r="T73" s="111">
        <f t="array" ref="T73">IFERROR(
(MEDIAN((IF(DATOS_[[Sexo]:[Sexo]]=$B73,IF(DATOS_[[AGRUP. VALOR. PTO.]:[AGRUP. VALOR. PTO.]]=$B72,IF(DATOS_[[Check Periodo Ref.]:[Check Periodo Ref.]]="Dentro",IF(DATOS_[[Check Equiparado]:[Check Equiparado]]="Sí",IF(DATOS!AO$5="Sí",(1/DATOS_[[% anualiz]:[% anualiz]]),1)*IF(DATOS!AO$4="Sí",1/DATOS_[[% normaliz]:[% normaliz]],1)*(DATOS_[Conc.Sal.11])))))))),
0)</f>
        <v>0</v>
      </c>
      <c r="U73" s="111">
        <f t="array" ref="U73">IFERROR(
(MEDIAN((IF(DATOS_[[Sexo]:[Sexo]]=$B73,IF(DATOS_[[AGRUP. VALOR. PTO.]:[AGRUP. VALOR. PTO.]]=$B72,IF(DATOS_[[Check Periodo Ref.]:[Check Periodo Ref.]]="Dentro",IF(DATOS_[[Check Equiparado]:[Check Equiparado]]="Sí",IF(DATOS!AP$5="Sí",(1/DATOS_[[% anualiz]:[% anualiz]]),1)*IF(DATOS!AP$4="Sí",1/DATOS_[[% normaliz]:[% normaliz]],1)*(DATOS_[Conc.Sal.12])))))))),
0)</f>
        <v>0</v>
      </c>
      <c r="V73" s="111">
        <f t="array" ref="V73">IFERROR(
(MEDIAN((IF(DATOS_[[Sexo]:[Sexo]]=$B73,IF(DATOS_[[AGRUP. VALOR. PTO.]:[AGRUP. VALOR. PTO.]]=$B72,IF(DATOS_[[Check Periodo Ref.]:[Check Periodo Ref.]]="Dentro",IF(DATOS_[[Check Equiparado]:[Check Equiparado]]="Sí",IF(DATOS!AQ$5="Sí",(1/DATOS_[[% anualiz]:[% anualiz]]),1)*IF(DATOS!AQ$4="Sí",1/DATOS_[[% normaliz]:[% normaliz]],1)*(DATOS_[Conc.Sal.13])))))))),
0)</f>
        <v>0</v>
      </c>
      <c r="W73" s="111">
        <f t="array" ref="W73">IFERROR(
(MEDIAN((IF(DATOS_[[Sexo]:[Sexo]]=$B73,IF(DATOS_[[AGRUP. VALOR. PTO.]:[AGRUP. VALOR. PTO.]]=$B72,IF(DATOS_[[Check Periodo Ref.]:[Check Periodo Ref.]]="Dentro",IF(DATOS_[[Check Equiparado]:[Check Equiparado]]="Sí",IF(DATOS!AR$5="Sí",(1/DATOS_[[% anualiz]:[% anualiz]]),1)*IF(DATOS!AR$4="Sí",1/DATOS_[[% normaliz]:[% normaliz]],1)*(DATOS_[Conc.Sal.14])))))))),
0)</f>
        <v>0</v>
      </c>
      <c r="X73" s="111">
        <f t="array" ref="X73">IFERROR(
(MEDIAN((IF(DATOS_[[Sexo]:[Sexo]]=$B73,IF(DATOS_[[AGRUP. VALOR. PTO.]:[AGRUP. VALOR. PTO.]]=$B72,IF(DATOS_[[Check Periodo Ref.]:[Check Periodo Ref.]]="Dentro",IF(DATOS_[[Check Equiparado]:[Check Equiparado]]="Sí",IF(DATOS!AS$5="Sí",(1/DATOS_[[% anualiz]:[% anualiz]]),1)*IF(DATOS!AS$4="Sí",1/DATOS_[[% normaliz]:[% normaliz]],1)*(DATOS_[Conc.Sal.15])))))))),
0)</f>
        <v>0</v>
      </c>
      <c r="Y73" s="111">
        <f t="array" ref="Y73">IFERROR(
(MEDIAN((IF(DATOS_[[Sexo]:[Sexo]]=$B73,IF(DATOS_[[AGRUP. VALOR. PTO.]:[AGRUP. VALOR. PTO.]]=$B72,IF(DATOS_[[Check Periodo Ref.]:[Check Periodo Ref.]]="Dentro",IF(DATOS_[[Check Equiparado]:[Check Equiparado]]="Sí",IF(DATOS!AT$5="Sí",(1/DATOS_[[% anualiz]:[% anualiz]]),1)*IF(DATOS!AT$4="Sí",1/DATOS_[[% normaliz]:[% normaliz]],1)*(DATOS_[Conc.Sal.16])))))))),
0)</f>
        <v>0</v>
      </c>
      <c r="Z73" s="111">
        <f t="array" ref="Z73">IFERROR(
(MEDIAN((IF(DATOS_[[Sexo]:[Sexo]]=$B73,IF(DATOS_[[AGRUP. VALOR. PTO.]:[AGRUP. VALOR. PTO.]]=$B72,IF(DATOS_[[Check Periodo Ref.]:[Check Periodo Ref.]]="Dentro",IF(DATOS_[[Check Equiparado]:[Check Equiparado]]="Sí",IF(DATOS!AU$5="Sí",(1/DATOS_[[% anualiz]:[% anualiz]]),1)*IF(DATOS!AU$4="Sí",1/DATOS_[[% normaliz]:[% normaliz]],1)*(DATOS_[Conc.Sal.17])))))))),
0)</f>
        <v>0</v>
      </c>
      <c r="AA73" s="111">
        <f t="array" ref="AA73">IFERROR(
(MEDIAN((IF(DATOS_[[Sexo]:[Sexo]]=$B73,IF(DATOS_[[AGRUP. VALOR. PTO.]:[AGRUP. VALOR. PTO.]]=$B72,IF(DATOS_[[Check Periodo Ref.]:[Check Periodo Ref.]]="Dentro",IF(DATOS_[[Check Equiparado]:[Check Equiparado]]="Sí",IF(DATOS!AV$5="Sí",(1/DATOS_[[% anualiz]:[% anualiz]]),1)*IF(DATOS!AV$4="Sí",1/DATOS_[[% normaliz]:[% normaliz]],1)*(DATOS_[Conc.Sal.18])))))))),
0)</f>
        <v>0</v>
      </c>
      <c r="AB73" s="111">
        <f t="array" ref="AB73">IFERROR(
(MEDIAN((IF(DATOS_[[Sexo]:[Sexo]]=$B73,IF(DATOS_[[AGRUP. VALOR. PTO.]:[AGRUP. VALOR. PTO.]]=$B72,IF(DATOS_[[Check Periodo Ref.]:[Check Periodo Ref.]]="Dentro",IF(DATOS_[[Check Equiparado]:[Check Equiparado]]="Sí",IF(DATOS!AW$5="Sí",(1/DATOS_[[% anualiz]:[% anualiz]]),1)*IF(DATOS!AW$4="Sí",1/DATOS_[[% normaliz]:[% normaliz]],1)*(DATOS_[Conc.Sal.19])))))))),
0)</f>
        <v>0</v>
      </c>
      <c r="AC73" s="111">
        <f t="array" ref="AC73">IFERROR(
(MEDIAN((IF(DATOS_[[Sexo]:[Sexo]]=$B73,IF(DATOS_[[AGRUP. VALOR. PTO.]:[AGRUP. VALOR. PTO.]]=$B72,IF(DATOS_[[Check Periodo Ref.]:[Check Periodo Ref.]]="Dentro",IF(DATOS_[[Check Equiparado]:[Check Equiparado]]="Sí",IF(DATOS!AX$5="Sí",(1/DATOS_[[% anualiz]:[% anualiz]]),1)*IF(DATOS!AX$4="Sí",1/DATOS_[[% normaliz]:[% normaliz]],1)*(DATOS_[Conc.Sal.20])))))))),
0)</f>
        <v>0</v>
      </c>
      <c r="AD73" s="111">
        <f t="array" ref="AD73">IFERROR(
(MEDIAN((IF(DATOS_[[Sexo]:[Sexo]]=$B73,IF(DATOS_[[AGRUP. VALOR. PTO.]:[AGRUP. VALOR. PTO.]]=$B72,IF(DATOS_[[Check Periodo Ref.]:[Check Periodo Ref.]]="Dentro",IF(DATOS_[[Check Equiparado]:[Check Equiparado]]="Sí",IF(DATOS!AY$5="Sí",(1/DATOS_[[% anualiz]:[% anualiz]]),1)*IF(DATOS!AY$4="Sí",1/DATOS_[[% normaliz]:[% normaliz]],1)*(DATOS_[Conc.Sal.21])))))))),
0)</f>
        <v>0</v>
      </c>
      <c r="AE73" s="111">
        <f t="array" ref="AE73">IFERROR(
(MEDIAN((IF(DATOS_[[Sexo]:[Sexo]]=$B73,IF(DATOS_[[AGRUP. VALOR. PTO.]:[AGRUP. VALOR. PTO.]]=$B72,IF(DATOS_[[Check Periodo Ref.]:[Check Periodo Ref.]]="Dentro",IF(DATOS_[[Check Equiparado]:[Check Equiparado]]="Sí",IF(DATOS!AZ$5="Sí",(1/DATOS_[[% anualiz]:[% anualiz]]),1)*IF(DATOS!AZ$4="Sí",1/DATOS_[[% normaliz]:[% normaliz]],1)*(DATOS_[Conc.Sal.22])))))))),
0)</f>
        <v>0</v>
      </c>
      <c r="AF73" s="111">
        <f t="array" ref="AF73">IFERROR(
(MEDIAN((IF(DATOS_[[Sexo]:[Sexo]]=$B73,IF(DATOS_[[AGRUP. VALOR. PTO.]:[AGRUP. VALOR. PTO.]]=$B72,IF(DATOS_[[Check Periodo Ref.]:[Check Periodo Ref.]]="Dentro",IF(DATOS_[[Check Equiparado]:[Check Equiparado]]="Sí",IF(DATOS!BA$5="Sí",(1/DATOS_[[% anualiz]:[% anualiz]]),1)*IF(DATOS!BA$4="Sí",1/DATOS_[[% normaliz]:[% normaliz]],1)*(DATOS_[Conc.Sal.23])))))))),
0)</f>
        <v>0</v>
      </c>
      <c r="AG73" s="111">
        <f t="array" ref="AG73">IFERROR(
(MEDIAN((IF(DATOS_[[Sexo]:[Sexo]]=$B73,IF(DATOS_[[AGRUP. VALOR. PTO.]:[AGRUP. VALOR. PTO.]]=$B72,IF(DATOS_[[Check Periodo Ref.]:[Check Periodo Ref.]]="Dentro",IF(DATOS_[[Check Equiparado]:[Check Equiparado]]="Sí",IF(DATOS!BB$5="Sí",(1/DATOS_[[% anualiz]:[% anualiz]]),1)*IF(DATOS!BB$4="Sí",1/DATOS_[[% normaliz]:[% normaliz]],1)*(DATOS_[Conc.Sal.24])))))))),
0)</f>
        <v>0</v>
      </c>
      <c r="AH73" s="111">
        <f t="array" ref="AH73">IFERROR(
(MEDIAN((IF(DATOS_[[Sexo]:[Sexo]]=$B73,IF(DATOS_[[AGRUP. VALOR. PTO.]:[AGRUP. VALOR. PTO.]]=$B72,IF(DATOS_[[Check Periodo Ref.]:[Check Periodo Ref.]]="Dentro",IF(DATOS_[[Check Equiparado]:[Check Equiparado]]="Sí",IF(DATOS!BC$5="Sí",(1/DATOS_[[% anualiz]:[% anualiz]]),1)*IF(DATOS!BC$4="Sí",1/DATOS_[[% normaliz]:[% normaliz]],1)*(DATOS_[Conc.Sal.25])))))))),
0)</f>
        <v>0</v>
      </c>
      <c r="AI73" s="111">
        <f t="array" ref="AI73">IFERROR(
(MEDIAN((IF(DATOS_[[Sexo]:[Sexo]]=$B73,IF(DATOS_[[AGRUP. VALOR. PTO.]:[AGRUP. VALOR. PTO.]]=$B72,IF(DATOS_[[Check Periodo Ref.]:[Check Periodo Ref.]]="Dentro",IF(DATOS_[[Check Equiparado]:[Check Equiparado]]="Sí",IF(DATOS!BD$5="Sí",(1/DATOS_[[% anualiz]:[% anualiz]]),1)*IF(DATOS!BD$4="Sí",1/DATOS_[[% normaliz]:[% normaliz]],1)*(DATOS_[Conc.Sal.26])))))))),
0)</f>
        <v>0</v>
      </c>
      <c r="AJ73" s="111">
        <f t="array" ref="AJ73">IFERROR(
(MEDIAN((IF(DATOS_[[Sexo]:[Sexo]]=$B73,IF(DATOS_[[AGRUP. VALOR. PTO.]:[AGRUP. VALOR. PTO.]]=$B72,IF(DATOS_[[Check Periodo Ref.]:[Check Periodo Ref.]]="Dentro",IF(DATOS_[[Check Equiparado]:[Check Equiparado]]="Sí",IF(DATOS!BE$5="Sí",(1/DATOS_[[% anualiz]:[% anualiz]]),1)*IF(DATOS!BE$4="Sí",1/DATOS_[[% normaliz]:[% normaliz]],1)*(DATOS_[Conc.Sal.27])))))))),
0)</f>
        <v>0</v>
      </c>
      <c r="AK73" s="111">
        <f t="array" ref="AK73">IFERROR(
(MEDIAN((IF(DATOS_[[Sexo]:[Sexo]]=$B73,IF(DATOS_[[AGRUP. VALOR. PTO.]:[AGRUP. VALOR. PTO.]]=$B72,IF(DATOS_[[Check Periodo Ref.]:[Check Periodo Ref.]]="Dentro",IF(DATOS_[[Check Equiparado]:[Check Equiparado]]="Sí",IF(DATOS!BF$5="Sí",(1/DATOS_[[% anualiz]:[% anualiz]]),1)*IF(DATOS!BF$4="Sí",1/DATOS_[[% normaliz]:[% normaliz]],1)*(DATOS_[Conc.Sal.28])))))))),
0)</f>
        <v>0</v>
      </c>
      <c r="AL73" s="111">
        <f t="array" ref="AL73">IFERROR(
(MEDIAN((IF(DATOS_[[Sexo]:[Sexo]]=$B73,IF(DATOS_[[AGRUP. VALOR. PTO.]:[AGRUP. VALOR. PTO.]]=$B72,IF(DATOS_[[Check Periodo Ref.]:[Check Periodo Ref.]]="Dentro",IF(DATOS_[[Check Equiparado]:[Check Equiparado]]="Sí",IF(DATOS!BG$5="Sí",(1/DATOS_[[% anualiz]:[% anualiz]]),1)*IF(DATOS!BG$4="Sí",1/DATOS_[[% normaliz]:[% normaliz]],1)*(DATOS_[Conc.Sal.29])))))))),
0)</f>
        <v>0</v>
      </c>
      <c r="AM73" s="111">
        <f t="array" ref="AM73">IFERROR(
(MEDIAN((IF(DATOS_[[Sexo]:[Sexo]]=$B73,IF(DATOS_[[AGRUP. VALOR. PTO.]:[AGRUP. VALOR. PTO.]]=$B72,IF(DATOS_[[Check Periodo Ref.]:[Check Periodo Ref.]]="Dentro",IF(DATOS_[[Check Equiparado]:[Check Equiparado]]="Sí",IF(DATOS!BH$5="Sí",(1/DATOS_[[% anualiz]:[% anualiz]]),1)*IF(DATOS!BH$4="Sí",1/DATOS_[[% normaliz]:[% normaliz]],1)*(DATOS_[Conc.Sal.30])))))))),
0)</f>
        <v>0</v>
      </c>
      <c r="AN73" s="112">
        <f t="array" ref="AN73">IFERROR(
MEDIAN(IF(DATOS_[Sexo]=$B73,IF(DATOS_[[AGRUP. VALOR. PTO.]:[AGRUP. VALOR. PTO.]]=$B72,IF(DATOS_[Check Equiparado]="Sí",IF(DATOS_[Check Periodo Ref.]="Dentro",DATOS_[Tot COMPL.SAL Eq],FALSE))))),
0)</f>
        <v>0</v>
      </c>
      <c r="AO73" s="113">
        <f t="array" ref="AO73">IFERROR(
MEDIAN(IF(DATOS_[Sexo]=$B73,IF(DATOS_[[AGRUP. VALOR. PTO.]:[AGRUP. VALOR. PTO.]]=$B72,IF(DATOS_[Check Equiparado]="Sí",IF(DATOS_[Check Periodo Ref.]="Dentro",DATOS_[TOTAL SALARIO Eq],FALSE))))),
0)</f>
        <v>0</v>
      </c>
      <c r="AP73" s="114">
        <f t="array" ref="AP73">IFERROR(
(MEDIAN((IF(DATOS_[[Sexo]:[Sexo]]=$B73,IF(DATOS_[[AGRUP. VALOR. PTO.]:[AGRUP. VALOR. PTO.]]=$B72,IF(DATOS_[[Check Periodo Ref.]:[Check Periodo Ref.]]="Dentro",IF(DATOS_[[Check Equiparado]:[Check Equiparado]]="Sí",IF(DATOS!BI$5="Sí",(1/DATOS_[[% anualiz]:[% anualiz]]),1)*IF(DATOS!BI$4="Sí",1/DATOS_[[% normaliz]:[% normaliz]],1)*(DATOS_[C.Extra.01])))))))),
0)</f>
        <v>0</v>
      </c>
      <c r="AQ73" s="114">
        <f t="array" ref="AQ73">IFERROR(
(MEDIAN((IF(DATOS_[[Sexo]:[Sexo]]=$B73,IF(DATOS_[[AGRUP. VALOR. PTO.]:[AGRUP. VALOR. PTO.]]=$B72,IF(DATOS_[[Check Periodo Ref.]:[Check Periodo Ref.]]="Dentro",IF(DATOS_[[Check Equiparado]:[Check Equiparado]]="Sí",IF(DATOS!BJ$5="Sí",(1/DATOS_[[% anualiz]:[% anualiz]]),1)*IF(DATOS!BJ$4="Sí",1/DATOS_[[% normaliz]:[% normaliz]],1)*(DATOS_[C.Extra.02])))))))),
0)</f>
        <v>0</v>
      </c>
      <c r="AR73" s="114">
        <f t="array" ref="AR73">IFERROR(
(MEDIAN((IF(DATOS_[[Sexo]:[Sexo]]=$B73,IF(DATOS_[[AGRUP. VALOR. PTO.]:[AGRUP. VALOR. PTO.]]=$B72,IF(DATOS_[[Check Periodo Ref.]:[Check Periodo Ref.]]="Dentro",IF(DATOS_[[Check Equiparado]:[Check Equiparado]]="Sí",IF(DATOS!BK$5="Sí",(1/DATOS_[[% anualiz]:[% anualiz]]),1)*IF(DATOS!BK$4="Sí",1/DATOS_[[% normaliz]:[% normaliz]],1)*(DATOS_[C.Extra.03])))))))),
0)</f>
        <v>0</v>
      </c>
      <c r="AS73" s="114">
        <f t="array" ref="AS73">IFERROR(
(MEDIAN((IF(DATOS_[[Sexo]:[Sexo]]=$B73,IF(DATOS_[[AGRUP. VALOR. PTO.]:[AGRUP. VALOR. PTO.]]=$B72,IF(DATOS_[[Check Periodo Ref.]:[Check Periodo Ref.]]="Dentro",IF(DATOS_[[Check Equiparado]:[Check Equiparado]]="Sí",IF(DATOS!BL$5="Sí",(1/DATOS_[[% anualiz]:[% anualiz]]),1)*IF(DATOS!BL$4="Sí",1/DATOS_[[% normaliz]:[% normaliz]],1)*(DATOS_[C.Extra.04])))))))),
0)</f>
        <v>0</v>
      </c>
      <c r="AT73" s="114">
        <f t="array" ref="AT73">IFERROR(
(MEDIAN((IF(DATOS_[[Sexo]:[Sexo]]=$B73,IF(DATOS_[[AGRUP. VALOR. PTO.]:[AGRUP. VALOR. PTO.]]=$B72,IF(DATOS_[[Check Periodo Ref.]:[Check Periodo Ref.]]="Dentro",IF(DATOS_[[Check Equiparado]:[Check Equiparado]]="Sí",IF(DATOS!BM$5="Sí",(1/DATOS_[[% anualiz]:[% anualiz]]),1)*IF(DATOS!BM$4="Sí",1/DATOS_[[% normaliz]:[% normaliz]],1)*(DATOS_[C.Extra.05])))))))),
0)</f>
        <v>0</v>
      </c>
      <c r="AU73" s="115">
        <f t="array" ref="AU73">IFERROR(
MEDIAN(IF(DATOS_[Sexo]=$B73,IF(DATOS_[[AGRUP. VALOR. PTO.]:[AGRUP. VALOR. PTO.]]=$B72,IF(DATOS_[Check Equiparado]="Sí",IF(DATOS_[Check Periodo Ref.]="Dentro",DATOS_[Tot Extrasalarial Eq],FALSE))))),
0)</f>
        <v>0</v>
      </c>
      <c r="AV73" s="116">
        <f t="array" ref="AV73">IFERROR(
MEDIAN(IF(DATOS_[Sexo]=$B73,IF(DATOS_[[AGRUP. VALOR. PTO.]:[AGRUP. VALOR. PTO.]]=$B72,IF(DATOS_[Check Equiparado]="Sí",IF(DATOS_[Check Periodo Ref.]="Dentro",DATOS_[TOTAL Retrib Eq],FALSE))))),
0)</f>
        <v>0</v>
      </c>
    </row>
    <row r="74" spans="1:48" hidden="1" x14ac:dyDescent="0.3">
      <c r="A74" s="42" t="str">
        <f t="shared" ref="A74" si="82">+A73</f>
        <v>[ocultar]</v>
      </c>
      <c r="B74" s="86" t="s">
        <v>163</v>
      </c>
      <c r="C74" s="33">
        <f t="array" ref="C74">SUM(IF($B74=DATOS_[Sexo],
IF($B72=DATOS_[AGRUP. VALOR. PTO.],
IF("Dentro"=DATOS_[Check Periodo Ref.],
1/(COUNTIFS(DATOS_[Sexo],$B74,DATOS_[AGRUP. VALOR. PTO.],$B72,DATOS_[Check Periodo Ref.],"Dentro",DATOS_[id],DATOS_[id]))))))</f>
        <v>0</v>
      </c>
      <c r="D74" s="35">
        <f>COUNTIFS(DATOS_[AGRUP. VALOR. PTO.],$B72,DATOS_[Sexo],$B74,DATOS_[Check Periodo Ref.],"Dentro")</f>
        <v>0</v>
      </c>
      <c r="E74" s="35">
        <f>COUNTIFS(DATOS_[AGRUP. VALOR. PTO.],$B72,DATOS_[Sexo],$B74,DATOS_[Check Periodo Ref.],"Dentro",DATOS_[Check Nº SC Norm],"Sí")</f>
        <v>0</v>
      </c>
      <c r="F74" s="35">
        <f>COUNTIFS(DATOS_[AGRUP. VALOR. PTO.],$B72,DATOS_[Sexo],$B74,DATOS_[Check Periodo Ref.],"Dentro",DATOS_[Check Nº SC Anualiz],"Sí")</f>
        <v>0</v>
      </c>
      <c r="G74" s="35">
        <f>COUNTIFS(DATOS_[AGRUP. VALOR. PTO.],$B72,DATOS_[Sexo],$B74,DATOS_[Check Periodo Ref.],"Dentro",DATOS_[Check Nº SC Norm y Anualiz],"Sí")</f>
        <v>0</v>
      </c>
      <c r="H74" s="35">
        <f>COUNTIFS(DATOS_[AGRUP. VALOR. PTO.],$B72,DATOS_[Sexo],$B74,DATOS_[Check Periodo Ref.],"Dentro",DATOS_[Check Equiparación],"Sí")</f>
        <v>0</v>
      </c>
      <c r="I74" s="110" cm="1">
        <f t="array" ref="I74">IFERROR(
MEDIAN(IF(DATOS_[Sexo]=$B74,IF(DATOS_[[AGRUP. VALOR. PTO.]:[AGRUP. VALOR. PTO.]]=$B72,IF(DATOS_[Check Equiparado]="Sí",IF(DATOS_[Check Periodo Ref.]="Dentro",DATOS_[SALARIO BASE Eq],FALSE))))),
0)</f>
        <v>0</v>
      </c>
      <c r="J74" s="111">
        <f t="array" ref="J74">IFERROR(
(MEDIAN((IF(DATOS_[[Sexo]:[Sexo]]=$B74,IF(DATOS_[[AGRUP. VALOR. PTO.]:[AGRUP. VALOR. PTO.]]=$B72,IF(DATOS_[[Check Periodo Ref.]:[Check Periodo Ref.]]="Dentro",IF(DATOS_[[Check Equiparado]:[Check Equiparado]]="Sí",IF(DATOS!AE$5="Sí",(1/DATOS_[[% anualiz]:[% anualiz]]),1)*IF(DATOS!AE$4="Sí",1/DATOS_[[% normaliz]:[% normaliz]],1)*(DATOS_[Conc.Sal.01])))))))),
0)</f>
        <v>0</v>
      </c>
      <c r="K74" s="111">
        <f t="array" ref="K74">IFERROR(
(MEDIAN((IF(DATOS_[[Sexo]:[Sexo]]=$B74,IF(DATOS_[[AGRUP. VALOR. PTO.]:[AGRUP. VALOR. PTO.]]=$B72,IF(DATOS_[[Check Periodo Ref.]:[Check Periodo Ref.]]="Dentro",IF(DATOS_[[Check Equiparado]:[Check Equiparado]]="Sí",IF(DATOS!AF$5="Sí",(1/DATOS_[[% anualiz]:[% anualiz]]),1)*IF(DATOS!AF$4="Sí",1/DATOS_[[% normaliz]:[% normaliz]],1)*(DATOS_[Conc.Sal.02])))))))),
0)</f>
        <v>0</v>
      </c>
      <c r="L74" s="111">
        <f t="array" ref="L74">IFERROR(
(MEDIAN((IF(DATOS_[[Sexo]:[Sexo]]=$B74,IF(DATOS_[[AGRUP. VALOR. PTO.]:[AGRUP. VALOR. PTO.]]=$B72,IF(DATOS_[[Check Periodo Ref.]:[Check Periodo Ref.]]="Dentro",IF(DATOS_[[Check Equiparado]:[Check Equiparado]]="Sí",IF(DATOS!AG$5="Sí",(1/DATOS_[[% anualiz]:[% anualiz]]),1)*IF(DATOS!AG$4="Sí",1/DATOS_[[% normaliz]:[% normaliz]],1)*(DATOS_[Conc.Sal.03])))))))),
0)</f>
        <v>0</v>
      </c>
      <c r="M74" s="111">
        <f t="array" ref="M74">IFERROR(
(MEDIAN((IF(DATOS_[[Sexo]:[Sexo]]=$B74,IF(DATOS_[[AGRUP. VALOR. PTO.]:[AGRUP. VALOR. PTO.]]=$B72,IF(DATOS_[[Check Periodo Ref.]:[Check Periodo Ref.]]="Dentro",IF(DATOS_[[Check Equiparado]:[Check Equiparado]]="Sí",IF(DATOS!AH$5="Sí",(1/DATOS_[[% anualiz]:[% anualiz]]),1)*IF(DATOS!AH$4="Sí",1/DATOS_[[% normaliz]:[% normaliz]],1)*(DATOS_[Conc.Sal.04])))))))),
0)</f>
        <v>0</v>
      </c>
      <c r="N74" s="111">
        <f t="array" ref="N74">IFERROR(
(MEDIAN((IF(DATOS_[[Sexo]:[Sexo]]=$B74,IF(DATOS_[[AGRUP. VALOR. PTO.]:[AGRUP. VALOR. PTO.]]=$B72,IF(DATOS_[[Check Periodo Ref.]:[Check Periodo Ref.]]="Dentro",IF(DATOS_[[Check Equiparado]:[Check Equiparado]]="Sí",IF(DATOS!AI$5="Sí",(1/DATOS_[[% anualiz]:[% anualiz]]),1)*IF(DATOS!AI$4="Sí",1/DATOS_[[% normaliz]:[% normaliz]],1)*(DATOS_[Conc.Sal.05])))))))),
0)</f>
        <v>0</v>
      </c>
      <c r="O74" s="111">
        <f t="array" ref="O74">IFERROR(
(MEDIAN((IF(DATOS_[[Sexo]:[Sexo]]=$B74,IF(DATOS_[[AGRUP. VALOR. PTO.]:[AGRUP. VALOR. PTO.]]=$B72,IF(DATOS_[[Check Periodo Ref.]:[Check Periodo Ref.]]="Dentro",IF(DATOS_[[Check Equiparado]:[Check Equiparado]]="Sí",IF(DATOS!AJ$5="Sí",(1/DATOS_[[% anualiz]:[% anualiz]]),1)*IF(DATOS!AJ$4="Sí",1/DATOS_[[% normaliz]:[% normaliz]],1)*(DATOS_[Conc.Sal.06])))))))),
0)</f>
        <v>0</v>
      </c>
      <c r="P74" s="111">
        <f t="array" ref="P74">IFERROR(
(MEDIAN((IF(DATOS_[[Sexo]:[Sexo]]=$B74,IF(DATOS_[[AGRUP. VALOR. PTO.]:[AGRUP. VALOR. PTO.]]=$B72,IF(DATOS_[[Check Periodo Ref.]:[Check Periodo Ref.]]="Dentro",IF(DATOS_[[Check Equiparado]:[Check Equiparado]]="Sí",IF(DATOS!AK$5="Sí",(1/DATOS_[[% anualiz]:[% anualiz]]),1)*IF(DATOS!AK$4="Sí",1/DATOS_[[% normaliz]:[% normaliz]],1)*(DATOS_[Conc.Sal.07])))))))),
0)</f>
        <v>0</v>
      </c>
      <c r="Q74" s="111">
        <f t="array" ref="Q74">IFERROR(
(MEDIAN((IF(DATOS_[[Sexo]:[Sexo]]=$B74,IF(DATOS_[[AGRUP. VALOR. PTO.]:[AGRUP. VALOR. PTO.]]=$B72,IF(DATOS_[[Check Periodo Ref.]:[Check Periodo Ref.]]="Dentro",IF(DATOS_[[Check Equiparado]:[Check Equiparado]]="Sí",IF(DATOS!AL$5="Sí",(1/DATOS_[[% anualiz]:[% anualiz]]),1)*IF(DATOS!AL$4="Sí",1/DATOS_[[% normaliz]:[% normaliz]],1)*(DATOS_[Conc.Sal.08])))))))),
0)</f>
        <v>0</v>
      </c>
      <c r="R74" s="111">
        <f t="array" ref="R74">IFERROR(
(MEDIAN((IF(DATOS_[[Sexo]:[Sexo]]=$B74,IF(DATOS_[[AGRUP. VALOR. PTO.]:[AGRUP. VALOR. PTO.]]=$B72,IF(DATOS_[[Check Periodo Ref.]:[Check Periodo Ref.]]="Dentro",IF(DATOS_[[Check Equiparado]:[Check Equiparado]]="Sí",IF(DATOS!AM$5="Sí",(1/DATOS_[[% anualiz]:[% anualiz]]),1)*IF(DATOS!AM$4="Sí",1/DATOS_[[% normaliz]:[% normaliz]],1)*(DATOS_[Conc.Sal.09])))))))),
0)</f>
        <v>0</v>
      </c>
      <c r="S74" s="111">
        <f t="array" ref="S74">IFERROR(
(MEDIAN((IF(DATOS_[[Sexo]:[Sexo]]=$B74,IF(DATOS_[[AGRUP. VALOR. PTO.]:[AGRUP. VALOR. PTO.]]=$B72,IF(DATOS_[[Check Periodo Ref.]:[Check Periodo Ref.]]="Dentro",IF(DATOS_[[Check Equiparado]:[Check Equiparado]]="Sí",IF(DATOS!AN$5="Sí",(1/DATOS_[[% anualiz]:[% anualiz]]),1)*IF(DATOS!AN$4="Sí",1/DATOS_[[% normaliz]:[% normaliz]],1)*(DATOS_[Conc.Sal.10])))))))),
0)</f>
        <v>0</v>
      </c>
      <c r="T74" s="111">
        <f t="array" ref="T74">IFERROR(
(MEDIAN((IF(DATOS_[[Sexo]:[Sexo]]=$B74,IF(DATOS_[[AGRUP. VALOR. PTO.]:[AGRUP. VALOR. PTO.]]=$B72,IF(DATOS_[[Check Periodo Ref.]:[Check Periodo Ref.]]="Dentro",IF(DATOS_[[Check Equiparado]:[Check Equiparado]]="Sí",IF(DATOS!AO$5="Sí",(1/DATOS_[[% anualiz]:[% anualiz]]),1)*IF(DATOS!AO$4="Sí",1/DATOS_[[% normaliz]:[% normaliz]],1)*(DATOS_[Conc.Sal.11])))))))),
0)</f>
        <v>0</v>
      </c>
      <c r="U74" s="111">
        <f t="array" ref="U74">IFERROR(
(MEDIAN((IF(DATOS_[[Sexo]:[Sexo]]=$B74,IF(DATOS_[[AGRUP. VALOR. PTO.]:[AGRUP. VALOR. PTO.]]=$B72,IF(DATOS_[[Check Periodo Ref.]:[Check Periodo Ref.]]="Dentro",IF(DATOS_[[Check Equiparado]:[Check Equiparado]]="Sí",IF(DATOS!AP$5="Sí",(1/DATOS_[[% anualiz]:[% anualiz]]),1)*IF(DATOS!AP$4="Sí",1/DATOS_[[% normaliz]:[% normaliz]],1)*(DATOS_[Conc.Sal.12])))))))),
0)</f>
        <v>0</v>
      </c>
      <c r="V74" s="111">
        <f t="array" ref="V74">IFERROR(
(MEDIAN((IF(DATOS_[[Sexo]:[Sexo]]=$B74,IF(DATOS_[[AGRUP. VALOR. PTO.]:[AGRUP. VALOR. PTO.]]=$B72,IF(DATOS_[[Check Periodo Ref.]:[Check Periodo Ref.]]="Dentro",IF(DATOS_[[Check Equiparado]:[Check Equiparado]]="Sí",IF(DATOS!AQ$5="Sí",(1/DATOS_[[% anualiz]:[% anualiz]]),1)*IF(DATOS!AQ$4="Sí",1/DATOS_[[% normaliz]:[% normaliz]],1)*(DATOS_[Conc.Sal.13])))))))),
0)</f>
        <v>0</v>
      </c>
      <c r="W74" s="111">
        <f t="array" ref="W74">IFERROR(
(MEDIAN((IF(DATOS_[[Sexo]:[Sexo]]=$B74,IF(DATOS_[[AGRUP. VALOR. PTO.]:[AGRUP. VALOR. PTO.]]=$B72,IF(DATOS_[[Check Periodo Ref.]:[Check Periodo Ref.]]="Dentro",IF(DATOS_[[Check Equiparado]:[Check Equiparado]]="Sí",IF(DATOS!AR$5="Sí",(1/DATOS_[[% anualiz]:[% anualiz]]),1)*IF(DATOS!AR$4="Sí",1/DATOS_[[% normaliz]:[% normaliz]],1)*(DATOS_[Conc.Sal.14])))))))),
0)</f>
        <v>0</v>
      </c>
      <c r="X74" s="111">
        <f t="array" ref="X74">IFERROR(
(MEDIAN((IF(DATOS_[[Sexo]:[Sexo]]=$B74,IF(DATOS_[[AGRUP. VALOR. PTO.]:[AGRUP. VALOR. PTO.]]=$B72,IF(DATOS_[[Check Periodo Ref.]:[Check Periodo Ref.]]="Dentro",IF(DATOS_[[Check Equiparado]:[Check Equiparado]]="Sí",IF(DATOS!AS$5="Sí",(1/DATOS_[[% anualiz]:[% anualiz]]),1)*IF(DATOS!AS$4="Sí",1/DATOS_[[% normaliz]:[% normaliz]],1)*(DATOS_[Conc.Sal.15])))))))),
0)</f>
        <v>0</v>
      </c>
      <c r="Y74" s="111">
        <f t="array" ref="Y74">IFERROR(
(MEDIAN((IF(DATOS_[[Sexo]:[Sexo]]=$B74,IF(DATOS_[[AGRUP. VALOR. PTO.]:[AGRUP. VALOR. PTO.]]=$B72,IF(DATOS_[[Check Periodo Ref.]:[Check Periodo Ref.]]="Dentro",IF(DATOS_[[Check Equiparado]:[Check Equiparado]]="Sí",IF(DATOS!AT$5="Sí",(1/DATOS_[[% anualiz]:[% anualiz]]),1)*IF(DATOS!AT$4="Sí",1/DATOS_[[% normaliz]:[% normaliz]],1)*(DATOS_[Conc.Sal.16])))))))),
0)</f>
        <v>0</v>
      </c>
      <c r="Z74" s="111">
        <f t="array" ref="Z74">IFERROR(
(MEDIAN((IF(DATOS_[[Sexo]:[Sexo]]=$B74,IF(DATOS_[[AGRUP. VALOR. PTO.]:[AGRUP. VALOR. PTO.]]=$B72,IF(DATOS_[[Check Periodo Ref.]:[Check Periodo Ref.]]="Dentro",IF(DATOS_[[Check Equiparado]:[Check Equiparado]]="Sí",IF(DATOS!AU$5="Sí",(1/DATOS_[[% anualiz]:[% anualiz]]),1)*IF(DATOS!AU$4="Sí",1/DATOS_[[% normaliz]:[% normaliz]],1)*(DATOS_[Conc.Sal.17])))))))),
0)</f>
        <v>0</v>
      </c>
      <c r="AA74" s="111">
        <f t="array" ref="AA74">IFERROR(
(MEDIAN((IF(DATOS_[[Sexo]:[Sexo]]=$B74,IF(DATOS_[[AGRUP. VALOR. PTO.]:[AGRUP. VALOR. PTO.]]=$B72,IF(DATOS_[[Check Periodo Ref.]:[Check Periodo Ref.]]="Dentro",IF(DATOS_[[Check Equiparado]:[Check Equiparado]]="Sí",IF(DATOS!AV$5="Sí",(1/DATOS_[[% anualiz]:[% anualiz]]),1)*IF(DATOS!AV$4="Sí",1/DATOS_[[% normaliz]:[% normaliz]],1)*(DATOS_[Conc.Sal.18])))))))),
0)</f>
        <v>0</v>
      </c>
      <c r="AB74" s="111">
        <f t="array" ref="AB74">IFERROR(
(MEDIAN((IF(DATOS_[[Sexo]:[Sexo]]=$B74,IF(DATOS_[[AGRUP. VALOR. PTO.]:[AGRUP. VALOR. PTO.]]=$B72,IF(DATOS_[[Check Periodo Ref.]:[Check Periodo Ref.]]="Dentro",IF(DATOS_[[Check Equiparado]:[Check Equiparado]]="Sí",IF(DATOS!AW$5="Sí",(1/DATOS_[[% anualiz]:[% anualiz]]),1)*IF(DATOS!AW$4="Sí",1/DATOS_[[% normaliz]:[% normaliz]],1)*(DATOS_[Conc.Sal.19])))))))),
0)</f>
        <v>0</v>
      </c>
      <c r="AC74" s="111">
        <f t="array" ref="AC74">IFERROR(
(MEDIAN((IF(DATOS_[[Sexo]:[Sexo]]=$B74,IF(DATOS_[[AGRUP. VALOR. PTO.]:[AGRUP. VALOR. PTO.]]=$B72,IF(DATOS_[[Check Periodo Ref.]:[Check Periodo Ref.]]="Dentro",IF(DATOS_[[Check Equiparado]:[Check Equiparado]]="Sí",IF(DATOS!AX$5="Sí",(1/DATOS_[[% anualiz]:[% anualiz]]),1)*IF(DATOS!AX$4="Sí",1/DATOS_[[% normaliz]:[% normaliz]],1)*(DATOS_[Conc.Sal.20])))))))),
0)</f>
        <v>0</v>
      </c>
      <c r="AD74" s="111">
        <f t="array" ref="AD74">IFERROR(
(MEDIAN((IF(DATOS_[[Sexo]:[Sexo]]=$B74,IF(DATOS_[[AGRUP. VALOR. PTO.]:[AGRUP. VALOR. PTO.]]=$B72,IF(DATOS_[[Check Periodo Ref.]:[Check Periodo Ref.]]="Dentro",IF(DATOS_[[Check Equiparado]:[Check Equiparado]]="Sí",IF(DATOS!AY$5="Sí",(1/DATOS_[[% anualiz]:[% anualiz]]),1)*IF(DATOS!AY$4="Sí",1/DATOS_[[% normaliz]:[% normaliz]],1)*(DATOS_[Conc.Sal.21])))))))),
0)</f>
        <v>0</v>
      </c>
      <c r="AE74" s="111">
        <f t="array" ref="AE74">IFERROR(
(MEDIAN((IF(DATOS_[[Sexo]:[Sexo]]=$B74,IF(DATOS_[[AGRUP. VALOR. PTO.]:[AGRUP. VALOR. PTO.]]=$B72,IF(DATOS_[[Check Periodo Ref.]:[Check Periodo Ref.]]="Dentro",IF(DATOS_[[Check Equiparado]:[Check Equiparado]]="Sí",IF(DATOS!AZ$5="Sí",(1/DATOS_[[% anualiz]:[% anualiz]]),1)*IF(DATOS!AZ$4="Sí",1/DATOS_[[% normaliz]:[% normaliz]],1)*(DATOS_[Conc.Sal.22])))))))),
0)</f>
        <v>0</v>
      </c>
      <c r="AF74" s="111">
        <f t="array" ref="AF74">IFERROR(
(MEDIAN((IF(DATOS_[[Sexo]:[Sexo]]=$B74,IF(DATOS_[[AGRUP. VALOR. PTO.]:[AGRUP. VALOR. PTO.]]=$B72,IF(DATOS_[[Check Periodo Ref.]:[Check Periodo Ref.]]="Dentro",IF(DATOS_[[Check Equiparado]:[Check Equiparado]]="Sí",IF(DATOS!BA$5="Sí",(1/DATOS_[[% anualiz]:[% anualiz]]),1)*IF(DATOS!BA$4="Sí",1/DATOS_[[% normaliz]:[% normaliz]],1)*(DATOS_[Conc.Sal.23])))))))),
0)</f>
        <v>0</v>
      </c>
      <c r="AG74" s="111">
        <f t="array" ref="AG74">IFERROR(
(MEDIAN((IF(DATOS_[[Sexo]:[Sexo]]=$B74,IF(DATOS_[[AGRUP. VALOR. PTO.]:[AGRUP. VALOR. PTO.]]=$B72,IF(DATOS_[[Check Periodo Ref.]:[Check Periodo Ref.]]="Dentro",IF(DATOS_[[Check Equiparado]:[Check Equiparado]]="Sí",IF(DATOS!BB$5="Sí",(1/DATOS_[[% anualiz]:[% anualiz]]),1)*IF(DATOS!BB$4="Sí",1/DATOS_[[% normaliz]:[% normaliz]],1)*(DATOS_[Conc.Sal.24])))))))),
0)</f>
        <v>0</v>
      </c>
      <c r="AH74" s="111">
        <f t="array" ref="AH74">IFERROR(
(MEDIAN((IF(DATOS_[[Sexo]:[Sexo]]=$B74,IF(DATOS_[[AGRUP. VALOR. PTO.]:[AGRUP. VALOR. PTO.]]=$B72,IF(DATOS_[[Check Periodo Ref.]:[Check Periodo Ref.]]="Dentro",IF(DATOS_[[Check Equiparado]:[Check Equiparado]]="Sí",IF(DATOS!BC$5="Sí",(1/DATOS_[[% anualiz]:[% anualiz]]),1)*IF(DATOS!BC$4="Sí",1/DATOS_[[% normaliz]:[% normaliz]],1)*(DATOS_[Conc.Sal.25])))))))),
0)</f>
        <v>0</v>
      </c>
      <c r="AI74" s="111">
        <f t="array" ref="AI74">IFERROR(
(MEDIAN((IF(DATOS_[[Sexo]:[Sexo]]=$B74,IF(DATOS_[[AGRUP. VALOR. PTO.]:[AGRUP. VALOR. PTO.]]=$B72,IF(DATOS_[[Check Periodo Ref.]:[Check Periodo Ref.]]="Dentro",IF(DATOS_[[Check Equiparado]:[Check Equiparado]]="Sí",IF(DATOS!BD$5="Sí",(1/DATOS_[[% anualiz]:[% anualiz]]),1)*IF(DATOS!BD$4="Sí",1/DATOS_[[% normaliz]:[% normaliz]],1)*(DATOS_[Conc.Sal.26])))))))),
0)</f>
        <v>0</v>
      </c>
      <c r="AJ74" s="111">
        <f t="array" ref="AJ74">IFERROR(
(MEDIAN((IF(DATOS_[[Sexo]:[Sexo]]=$B74,IF(DATOS_[[AGRUP. VALOR. PTO.]:[AGRUP. VALOR. PTO.]]=$B72,IF(DATOS_[[Check Periodo Ref.]:[Check Periodo Ref.]]="Dentro",IF(DATOS_[[Check Equiparado]:[Check Equiparado]]="Sí",IF(DATOS!BE$5="Sí",(1/DATOS_[[% anualiz]:[% anualiz]]),1)*IF(DATOS!BE$4="Sí",1/DATOS_[[% normaliz]:[% normaliz]],1)*(DATOS_[Conc.Sal.27])))))))),
0)</f>
        <v>0</v>
      </c>
      <c r="AK74" s="111">
        <f t="array" ref="AK74">IFERROR(
(MEDIAN((IF(DATOS_[[Sexo]:[Sexo]]=$B74,IF(DATOS_[[AGRUP. VALOR. PTO.]:[AGRUP. VALOR. PTO.]]=$B72,IF(DATOS_[[Check Periodo Ref.]:[Check Periodo Ref.]]="Dentro",IF(DATOS_[[Check Equiparado]:[Check Equiparado]]="Sí",IF(DATOS!BF$5="Sí",(1/DATOS_[[% anualiz]:[% anualiz]]),1)*IF(DATOS!BF$4="Sí",1/DATOS_[[% normaliz]:[% normaliz]],1)*(DATOS_[Conc.Sal.28])))))))),
0)</f>
        <v>0</v>
      </c>
      <c r="AL74" s="111">
        <f t="array" ref="AL74">IFERROR(
(MEDIAN((IF(DATOS_[[Sexo]:[Sexo]]=$B74,IF(DATOS_[[AGRUP. VALOR. PTO.]:[AGRUP. VALOR. PTO.]]=$B72,IF(DATOS_[[Check Periodo Ref.]:[Check Periodo Ref.]]="Dentro",IF(DATOS_[[Check Equiparado]:[Check Equiparado]]="Sí",IF(DATOS!BG$5="Sí",(1/DATOS_[[% anualiz]:[% anualiz]]),1)*IF(DATOS!BG$4="Sí",1/DATOS_[[% normaliz]:[% normaliz]],1)*(DATOS_[Conc.Sal.29])))))))),
0)</f>
        <v>0</v>
      </c>
      <c r="AM74" s="111">
        <f t="array" ref="AM74">IFERROR(
(MEDIAN((IF(DATOS_[[Sexo]:[Sexo]]=$B74,IF(DATOS_[[AGRUP. VALOR. PTO.]:[AGRUP. VALOR. PTO.]]=$B72,IF(DATOS_[[Check Periodo Ref.]:[Check Periodo Ref.]]="Dentro",IF(DATOS_[[Check Equiparado]:[Check Equiparado]]="Sí",IF(DATOS!BH$5="Sí",(1/DATOS_[[% anualiz]:[% anualiz]]),1)*IF(DATOS!BH$4="Sí",1/DATOS_[[% normaliz]:[% normaliz]],1)*(DATOS_[Conc.Sal.30])))))))),
0)</f>
        <v>0</v>
      </c>
      <c r="AN74" s="112">
        <f t="array" ref="AN74">IFERROR(
MEDIAN(IF(DATOS_[Sexo]=$B74,IF(DATOS_[[AGRUP. VALOR. PTO.]:[AGRUP. VALOR. PTO.]]=$B72,IF(DATOS_[Check Equiparado]="Sí",IF(DATOS_[Check Periodo Ref.]="Dentro",DATOS_[Tot COMPL.SAL Eq],FALSE))))),
0)</f>
        <v>0</v>
      </c>
      <c r="AO74" s="113">
        <f t="array" ref="AO74">IFERROR(
MEDIAN(IF(DATOS_[Sexo]=$B74,IF(DATOS_[[AGRUP. VALOR. PTO.]:[AGRUP. VALOR. PTO.]]=$B72,IF(DATOS_[Check Equiparado]="Sí",IF(DATOS_[Check Periodo Ref.]="Dentro",DATOS_[TOTAL SALARIO Eq],FALSE))))),
0)</f>
        <v>0</v>
      </c>
      <c r="AP74" s="114">
        <f t="array" ref="AP74">IFERROR(
(MEDIAN((IF(DATOS_[[Sexo]:[Sexo]]=$B74,IF(DATOS_[[AGRUP. VALOR. PTO.]:[AGRUP. VALOR. PTO.]]=$B73,IF(DATOS_[[Check Periodo Ref.]:[Check Periodo Ref.]]="Dentro",IF(DATOS_[[Check Equiparado]:[Check Equiparado]]="Sí",IF(DATOS!BI$5="Sí",(1/DATOS_[[% anualiz]:[% anualiz]]),1)*IF(DATOS!BI$4="Sí",1/DATOS_[[% normaliz]:[% normaliz]],1)*(DATOS_[C.Extra.01])))))))),
0)</f>
        <v>0</v>
      </c>
      <c r="AQ74" s="114">
        <f t="array" ref="AQ74">IFERROR(
(MEDIAN((IF(DATOS_[[Sexo]:[Sexo]]=$B74,IF(DATOS_[[AGRUP. VALOR. PTO.]:[AGRUP. VALOR. PTO.]]=$B73,IF(DATOS_[[Check Periodo Ref.]:[Check Periodo Ref.]]="Dentro",IF(DATOS_[[Check Equiparado]:[Check Equiparado]]="Sí",IF(DATOS!BJ$5="Sí",(1/DATOS_[[% anualiz]:[% anualiz]]),1)*IF(DATOS!BJ$4="Sí",1/DATOS_[[% normaliz]:[% normaliz]],1)*(DATOS_[C.Extra.02])))))))),
0)</f>
        <v>0</v>
      </c>
      <c r="AR74" s="114">
        <f t="array" ref="AR74">IFERROR(
(MEDIAN((IF(DATOS_[[Sexo]:[Sexo]]=$B74,IF(DATOS_[[AGRUP. VALOR. PTO.]:[AGRUP. VALOR. PTO.]]=$B73,IF(DATOS_[[Check Periodo Ref.]:[Check Periodo Ref.]]="Dentro",IF(DATOS_[[Check Equiparado]:[Check Equiparado]]="Sí",IF(DATOS!BK$5="Sí",(1/DATOS_[[% anualiz]:[% anualiz]]),1)*IF(DATOS!BK$4="Sí",1/DATOS_[[% normaliz]:[% normaliz]],1)*(DATOS_[C.Extra.03])))))))),
0)</f>
        <v>0</v>
      </c>
      <c r="AS74" s="114">
        <f t="array" ref="AS74">IFERROR(
(MEDIAN((IF(DATOS_[[Sexo]:[Sexo]]=$B74,IF(DATOS_[[AGRUP. VALOR. PTO.]:[AGRUP. VALOR. PTO.]]=$B73,IF(DATOS_[[Check Periodo Ref.]:[Check Periodo Ref.]]="Dentro",IF(DATOS_[[Check Equiparado]:[Check Equiparado]]="Sí",IF(DATOS!BL$5="Sí",(1/DATOS_[[% anualiz]:[% anualiz]]),1)*IF(DATOS!BL$4="Sí",1/DATOS_[[% normaliz]:[% normaliz]],1)*(DATOS_[C.Extra.04])))))))),
0)</f>
        <v>0</v>
      </c>
      <c r="AT74" s="114">
        <f t="array" ref="AT74">IFERROR(
(MEDIAN((IF(DATOS_[[Sexo]:[Sexo]]=$B74,IF(DATOS_[[AGRUP. VALOR. PTO.]:[AGRUP. VALOR. PTO.]]=$B73,IF(DATOS_[[Check Periodo Ref.]:[Check Periodo Ref.]]="Dentro",IF(DATOS_[[Check Equiparado]:[Check Equiparado]]="Sí",IF(DATOS!BM$5="Sí",(1/DATOS_[[% anualiz]:[% anualiz]]),1)*IF(DATOS!BM$4="Sí",1/DATOS_[[% normaliz]:[% normaliz]],1)*(DATOS_[C.Extra.05])))))))),
0)</f>
        <v>0</v>
      </c>
      <c r="AU74" s="115">
        <f t="array" ref="AU74">IFERROR(
MEDIAN(IF(DATOS_[Sexo]=$B74,IF(DATOS_[[AGRUP. VALOR. PTO.]:[AGRUP. VALOR. PTO.]]=$B72,IF(DATOS_[Check Equiparado]="Sí",IF(DATOS_[Check Periodo Ref.]="Dentro",DATOS_[Tot Extrasalarial Eq],FALSE))))),
0)</f>
        <v>0</v>
      </c>
      <c r="AV74" s="116">
        <f t="array" ref="AV74">IFERROR(
MEDIAN(IF(DATOS_[Sexo]=$B74,IF(DATOS_[[AGRUP. VALOR. PTO.]:[AGRUP. VALOR. PTO.]]=$B72,IF(DATOS_[Check Equiparado]="Sí",IF(DATOS_[Check Periodo Ref.]="Dentro",DATOS_[TOTAL Retrib Eq],FALSE))))),
0)</f>
        <v>0</v>
      </c>
    </row>
    <row r="75" spans="1:48" ht="17.25" hidden="1" thickBot="1" x14ac:dyDescent="0.35">
      <c r="A75" s="42" t="str">
        <f t="shared" ref="A75" si="83">+A76</f>
        <v>[ocultar]</v>
      </c>
      <c r="B75" s="90" t="s">
        <v>280</v>
      </c>
      <c r="C75" s="109"/>
      <c r="D75" s="41"/>
      <c r="E75" s="41"/>
      <c r="F75" s="41"/>
      <c r="G75" s="41"/>
      <c r="H75" s="41"/>
      <c r="I75" s="119" t="str">
        <f t="shared" ref="I75:AV75" si="84">IFERROR((I76-I77)/I76,"")</f>
        <v/>
      </c>
      <c r="J75" s="123" t="str">
        <f t="shared" si="84"/>
        <v/>
      </c>
      <c r="K75" s="123" t="str">
        <f t="shared" si="84"/>
        <v/>
      </c>
      <c r="L75" s="123" t="str">
        <f t="shared" si="84"/>
        <v/>
      </c>
      <c r="M75" s="123" t="str">
        <f t="shared" si="84"/>
        <v/>
      </c>
      <c r="N75" s="123" t="str">
        <f t="shared" si="84"/>
        <v/>
      </c>
      <c r="O75" s="123" t="str">
        <f t="shared" si="84"/>
        <v/>
      </c>
      <c r="P75" s="123" t="str">
        <f t="shared" si="84"/>
        <v/>
      </c>
      <c r="Q75" s="123" t="str">
        <f t="shared" si="84"/>
        <v/>
      </c>
      <c r="R75" s="123" t="str">
        <f t="shared" si="84"/>
        <v/>
      </c>
      <c r="S75" s="123" t="str">
        <f t="shared" si="84"/>
        <v/>
      </c>
      <c r="T75" s="123" t="str">
        <f t="shared" si="84"/>
        <v/>
      </c>
      <c r="U75" s="123" t="str">
        <f t="shared" si="84"/>
        <v/>
      </c>
      <c r="V75" s="123" t="str">
        <f t="shared" si="84"/>
        <v/>
      </c>
      <c r="W75" s="123" t="str">
        <f t="shared" si="84"/>
        <v/>
      </c>
      <c r="X75" s="123" t="str">
        <f t="shared" si="84"/>
        <v/>
      </c>
      <c r="Y75" s="123" t="str">
        <f t="shared" si="84"/>
        <v/>
      </c>
      <c r="Z75" s="122" t="str">
        <f t="shared" si="84"/>
        <v/>
      </c>
      <c r="AA75" s="122" t="str">
        <f t="shared" si="84"/>
        <v/>
      </c>
      <c r="AB75" s="122" t="str">
        <f t="shared" si="84"/>
        <v/>
      </c>
      <c r="AC75" s="122" t="str">
        <f t="shared" si="84"/>
        <v/>
      </c>
      <c r="AD75" s="122" t="str">
        <f t="shared" si="84"/>
        <v/>
      </c>
      <c r="AE75" s="122" t="str">
        <f t="shared" si="84"/>
        <v/>
      </c>
      <c r="AF75" s="122" t="str">
        <f t="shared" si="84"/>
        <v/>
      </c>
      <c r="AG75" s="122" t="str">
        <f t="shared" si="84"/>
        <v/>
      </c>
      <c r="AH75" s="122" t="str">
        <f t="shared" si="84"/>
        <v/>
      </c>
      <c r="AI75" s="122" t="str">
        <f t="shared" si="84"/>
        <v/>
      </c>
      <c r="AJ75" s="122" t="str">
        <f t="shared" si="84"/>
        <v/>
      </c>
      <c r="AK75" s="122" t="str">
        <f t="shared" si="84"/>
        <v/>
      </c>
      <c r="AL75" s="122" t="str">
        <f t="shared" si="84"/>
        <v/>
      </c>
      <c r="AM75" s="122" t="str">
        <f t="shared" si="84"/>
        <v/>
      </c>
      <c r="AN75" s="124" t="str">
        <f t="shared" si="84"/>
        <v/>
      </c>
      <c r="AO75" s="128" t="str">
        <f t="shared" si="84"/>
        <v/>
      </c>
      <c r="AP75" s="125" t="str">
        <f t="shared" si="84"/>
        <v/>
      </c>
      <c r="AQ75" s="125" t="str">
        <f t="shared" si="84"/>
        <v/>
      </c>
      <c r="AR75" s="125" t="str">
        <f t="shared" si="84"/>
        <v/>
      </c>
      <c r="AS75" s="125" t="str">
        <f t="shared" si="84"/>
        <v/>
      </c>
      <c r="AT75" s="125" t="str">
        <f t="shared" si="84"/>
        <v/>
      </c>
      <c r="AU75" s="126" t="str">
        <f t="shared" si="84"/>
        <v/>
      </c>
      <c r="AV75" s="127" t="str">
        <f t="shared" si="84"/>
        <v/>
      </c>
    </row>
    <row r="76" spans="1:48" hidden="1" x14ac:dyDescent="0.3">
      <c r="A76" s="42" t="str">
        <f t="shared" ref="A76" si="85">+IF(C76+C77=0,"[ocultar]","")</f>
        <v>[ocultar]</v>
      </c>
      <c r="B76" s="86" t="s">
        <v>162</v>
      </c>
      <c r="C76" s="33">
        <f t="array" ref="C76">SUM(IF($B76=DATOS_[Sexo],
IF($B75=DATOS_[AGRUP. VALOR. PTO.],
IF("Dentro"=DATOS_[Check Periodo Ref.],
1/(COUNTIFS(DATOS_[Sexo],$B76,DATOS_[AGRUP. VALOR. PTO.],$B75,DATOS_[Check Periodo Ref.],"Dentro",DATOS_[id],DATOS_[id]))))))</f>
        <v>0</v>
      </c>
      <c r="D76" s="35">
        <f>COUNTIFS(DATOS_[AGRUP. VALOR. PTO.],$B75,DATOS_[Sexo],$B76,DATOS_[Check Periodo Ref.],"Dentro")</f>
        <v>0</v>
      </c>
      <c r="E76" s="35">
        <f>COUNTIFS(DATOS_[AGRUP. VALOR. PTO.],$B75,DATOS_[Sexo],$B76,DATOS_[Check Periodo Ref.],"Dentro",DATOS_[Check Nº SC Norm],"Sí")</f>
        <v>0</v>
      </c>
      <c r="F76" s="35">
        <f>COUNTIFS(DATOS_[AGRUP. VALOR. PTO.],$B75,DATOS_[Sexo],$B76,DATOS_[Check Periodo Ref.],"Dentro",DATOS_[Check Nº SC Anualiz],"Sí")</f>
        <v>0</v>
      </c>
      <c r="G76" s="35">
        <f>COUNTIFS(DATOS_[AGRUP. VALOR. PTO.],$B75,DATOS_[Sexo],$B76,DATOS_[Check Periodo Ref.],"Dentro",DATOS_[Check Nº SC Norm y Anualiz],"Sí")</f>
        <v>0</v>
      </c>
      <c r="H76" s="35">
        <f>COUNTIFS(DATOS_[AGRUP. VALOR. PTO.],$B75,DATOS_[Sexo],$B76,DATOS_[Check Periodo Ref.],"Dentro",DATOS_[Check Equiparación],"Sí")</f>
        <v>0</v>
      </c>
      <c r="I76" s="110">
        <f t="array" ref="I76">IFERROR(
MEDIAN(IF(DATOS_[Sexo]=$B76,IF(DATOS_[[AGRUP. VALOR. PTO.]:[AGRUP. VALOR. PTO.]]=$B75,IF(DATOS_[Check Equiparado]="Sí",IF(DATOS_[Check Periodo Ref.]="Dentro",DATOS_[SALARIO BASE Eq],FALSE))))),
0)</f>
        <v>0</v>
      </c>
      <c r="J76" s="111">
        <f t="array" ref="J76">IFERROR(
(MEDIAN((IF(DATOS_[[Sexo]:[Sexo]]=$B76,IF(DATOS_[[AGRUP. VALOR. PTO.]:[AGRUP. VALOR. PTO.]]=$B75,IF(DATOS_[[Check Periodo Ref.]:[Check Periodo Ref.]]="Dentro",IF(DATOS_[[Check Equiparado]:[Check Equiparado]]="Sí",IF(DATOS!AE$5="Sí",(1/DATOS_[[% anualiz]:[% anualiz]]),1)*IF(DATOS!AE$4="Sí",1/DATOS_[[% normaliz]:[% normaliz]],1)*(DATOS_[Conc.Sal.01])))))))),
0)</f>
        <v>0</v>
      </c>
      <c r="K76" s="111">
        <f t="array" ref="K76">IFERROR(
(MEDIAN((IF(DATOS_[[Sexo]:[Sexo]]=$B76,IF(DATOS_[[AGRUP. VALOR. PTO.]:[AGRUP. VALOR. PTO.]]=$B75,IF(DATOS_[[Check Periodo Ref.]:[Check Periodo Ref.]]="Dentro",IF(DATOS_[[Check Equiparado]:[Check Equiparado]]="Sí",IF(DATOS!AF$5="Sí",(1/DATOS_[[% anualiz]:[% anualiz]]),1)*IF(DATOS!AF$4="Sí",1/DATOS_[[% normaliz]:[% normaliz]],1)*(DATOS_[Conc.Sal.02])))))))),
0)</f>
        <v>0</v>
      </c>
      <c r="L76" s="111">
        <f t="array" ref="L76">IFERROR(
(MEDIAN((IF(DATOS_[[Sexo]:[Sexo]]=$B76,IF(DATOS_[[AGRUP. VALOR. PTO.]:[AGRUP. VALOR. PTO.]]=$B75,IF(DATOS_[[Check Periodo Ref.]:[Check Periodo Ref.]]="Dentro",IF(DATOS_[[Check Equiparado]:[Check Equiparado]]="Sí",IF(DATOS!AG$5="Sí",(1/DATOS_[[% anualiz]:[% anualiz]]),1)*IF(DATOS!AG$4="Sí",1/DATOS_[[% normaliz]:[% normaliz]],1)*(DATOS_[Conc.Sal.03])))))))),
0)</f>
        <v>0</v>
      </c>
      <c r="M76" s="111">
        <f t="array" ref="M76">IFERROR(
(MEDIAN((IF(DATOS_[[Sexo]:[Sexo]]=$B76,IF(DATOS_[[AGRUP. VALOR. PTO.]:[AGRUP. VALOR. PTO.]]=$B75,IF(DATOS_[[Check Periodo Ref.]:[Check Periodo Ref.]]="Dentro",IF(DATOS_[[Check Equiparado]:[Check Equiparado]]="Sí",IF(DATOS!AH$5="Sí",(1/DATOS_[[% anualiz]:[% anualiz]]),1)*IF(DATOS!AH$4="Sí",1/DATOS_[[% normaliz]:[% normaliz]],1)*(DATOS_[Conc.Sal.04])))))))),
0)</f>
        <v>0</v>
      </c>
      <c r="N76" s="111">
        <f t="array" ref="N76">IFERROR(
(MEDIAN((IF(DATOS_[[Sexo]:[Sexo]]=$B76,IF(DATOS_[[AGRUP. VALOR. PTO.]:[AGRUP. VALOR. PTO.]]=$B75,IF(DATOS_[[Check Periodo Ref.]:[Check Periodo Ref.]]="Dentro",IF(DATOS_[[Check Equiparado]:[Check Equiparado]]="Sí",IF(DATOS!AI$5="Sí",(1/DATOS_[[% anualiz]:[% anualiz]]),1)*IF(DATOS!AI$4="Sí",1/DATOS_[[% normaliz]:[% normaliz]],1)*(DATOS_[Conc.Sal.05])))))))),
0)</f>
        <v>0</v>
      </c>
      <c r="O76" s="111">
        <f t="array" ref="O76">IFERROR(
(MEDIAN((IF(DATOS_[[Sexo]:[Sexo]]=$B76,IF(DATOS_[[AGRUP. VALOR. PTO.]:[AGRUP. VALOR. PTO.]]=$B75,IF(DATOS_[[Check Periodo Ref.]:[Check Periodo Ref.]]="Dentro",IF(DATOS_[[Check Equiparado]:[Check Equiparado]]="Sí",IF(DATOS!AJ$5="Sí",(1/DATOS_[[% anualiz]:[% anualiz]]),1)*IF(DATOS!AJ$4="Sí",1/DATOS_[[% normaliz]:[% normaliz]],1)*(DATOS_[Conc.Sal.06])))))))),
0)</f>
        <v>0</v>
      </c>
      <c r="P76" s="111">
        <f t="array" ref="P76">IFERROR(
(MEDIAN((IF(DATOS_[[Sexo]:[Sexo]]=$B76,IF(DATOS_[[AGRUP. VALOR. PTO.]:[AGRUP. VALOR. PTO.]]=$B75,IF(DATOS_[[Check Periodo Ref.]:[Check Periodo Ref.]]="Dentro",IF(DATOS_[[Check Equiparado]:[Check Equiparado]]="Sí",IF(DATOS!AK$5="Sí",(1/DATOS_[[% anualiz]:[% anualiz]]),1)*IF(DATOS!AK$4="Sí",1/DATOS_[[% normaliz]:[% normaliz]],1)*(DATOS_[Conc.Sal.07])))))))),
0)</f>
        <v>0</v>
      </c>
      <c r="Q76" s="111">
        <f t="array" ref="Q76">IFERROR(
(MEDIAN((IF(DATOS_[[Sexo]:[Sexo]]=$B76,IF(DATOS_[[AGRUP. VALOR. PTO.]:[AGRUP. VALOR. PTO.]]=$B75,IF(DATOS_[[Check Periodo Ref.]:[Check Periodo Ref.]]="Dentro",IF(DATOS_[[Check Equiparado]:[Check Equiparado]]="Sí",IF(DATOS!AL$5="Sí",(1/DATOS_[[% anualiz]:[% anualiz]]),1)*IF(DATOS!AL$4="Sí",1/DATOS_[[% normaliz]:[% normaliz]],1)*(DATOS_[Conc.Sal.08])))))))),
0)</f>
        <v>0</v>
      </c>
      <c r="R76" s="111">
        <f t="array" ref="R76">IFERROR(
(MEDIAN((IF(DATOS_[[Sexo]:[Sexo]]=$B76,IF(DATOS_[[AGRUP. VALOR. PTO.]:[AGRUP. VALOR. PTO.]]=$B75,IF(DATOS_[[Check Periodo Ref.]:[Check Periodo Ref.]]="Dentro",IF(DATOS_[[Check Equiparado]:[Check Equiparado]]="Sí",IF(DATOS!AM$5="Sí",(1/DATOS_[[% anualiz]:[% anualiz]]),1)*IF(DATOS!AM$4="Sí",1/DATOS_[[% normaliz]:[% normaliz]],1)*(DATOS_[Conc.Sal.09])))))))),
0)</f>
        <v>0</v>
      </c>
      <c r="S76" s="111">
        <f t="array" ref="S76">IFERROR(
(MEDIAN((IF(DATOS_[[Sexo]:[Sexo]]=$B76,IF(DATOS_[[AGRUP. VALOR. PTO.]:[AGRUP. VALOR. PTO.]]=$B75,IF(DATOS_[[Check Periodo Ref.]:[Check Periodo Ref.]]="Dentro",IF(DATOS_[[Check Equiparado]:[Check Equiparado]]="Sí",IF(DATOS!AN$5="Sí",(1/DATOS_[[% anualiz]:[% anualiz]]),1)*IF(DATOS!AN$4="Sí",1/DATOS_[[% normaliz]:[% normaliz]],1)*(DATOS_[Conc.Sal.10])))))))),
0)</f>
        <v>0</v>
      </c>
      <c r="T76" s="111">
        <f t="array" ref="T76">IFERROR(
(MEDIAN((IF(DATOS_[[Sexo]:[Sexo]]=$B76,IF(DATOS_[[AGRUP. VALOR. PTO.]:[AGRUP. VALOR. PTO.]]=$B75,IF(DATOS_[[Check Periodo Ref.]:[Check Periodo Ref.]]="Dentro",IF(DATOS_[[Check Equiparado]:[Check Equiparado]]="Sí",IF(DATOS!AO$5="Sí",(1/DATOS_[[% anualiz]:[% anualiz]]),1)*IF(DATOS!AO$4="Sí",1/DATOS_[[% normaliz]:[% normaliz]],1)*(DATOS_[Conc.Sal.11])))))))),
0)</f>
        <v>0</v>
      </c>
      <c r="U76" s="111">
        <f t="array" ref="U76">IFERROR(
(MEDIAN((IF(DATOS_[[Sexo]:[Sexo]]=$B76,IF(DATOS_[[AGRUP. VALOR. PTO.]:[AGRUP. VALOR. PTO.]]=$B75,IF(DATOS_[[Check Periodo Ref.]:[Check Periodo Ref.]]="Dentro",IF(DATOS_[[Check Equiparado]:[Check Equiparado]]="Sí",IF(DATOS!AP$5="Sí",(1/DATOS_[[% anualiz]:[% anualiz]]),1)*IF(DATOS!AP$4="Sí",1/DATOS_[[% normaliz]:[% normaliz]],1)*(DATOS_[Conc.Sal.12])))))))),
0)</f>
        <v>0</v>
      </c>
      <c r="V76" s="111">
        <f t="array" ref="V76">IFERROR(
(MEDIAN((IF(DATOS_[[Sexo]:[Sexo]]=$B76,IF(DATOS_[[AGRUP. VALOR. PTO.]:[AGRUP. VALOR. PTO.]]=$B75,IF(DATOS_[[Check Periodo Ref.]:[Check Periodo Ref.]]="Dentro",IF(DATOS_[[Check Equiparado]:[Check Equiparado]]="Sí",IF(DATOS!AQ$5="Sí",(1/DATOS_[[% anualiz]:[% anualiz]]),1)*IF(DATOS!AQ$4="Sí",1/DATOS_[[% normaliz]:[% normaliz]],1)*(DATOS_[Conc.Sal.13])))))))),
0)</f>
        <v>0</v>
      </c>
      <c r="W76" s="111">
        <f t="array" ref="W76">IFERROR(
(MEDIAN((IF(DATOS_[[Sexo]:[Sexo]]=$B76,IF(DATOS_[[AGRUP. VALOR. PTO.]:[AGRUP. VALOR. PTO.]]=$B75,IF(DATOS_[[Check Periodo Ref.]:[Check Periodo Ref.]]="Dentro",IF(DATOS_[[Check Equiparado]:[Check Equiparado]]="Sí",IF(DATOS!AR$5="Sí",(1/DATOS_[[% anualiz]:[% anualiz]]),1)*IF(DATOS!AR$4="Sí",1/DATOS_[[% normaliz]:[% normaliz]],1)*(DATOS_[Conc.Sal.14])))))))),
0)</f>
        <v>0</v>
      </c>
      <c r="X76" s="111">
        <f t="array" ref="X76">IFERROR(
(MEDIAN((IF(DATOS_[[Sexo]:[Sexo]]=$B76,IF(DATOS_[[AGRUP. VALOR. PTO.]:[AGRUP. VALOR. PTO.]]=$B75,IF(DATOS_[[Check Periodo Ref.]:[Check Periodo Ref.]]="Dentro",IF(DATOS_[[Check Equiparado]:[Check Equiparado]]="Sí",IF(DATOS!AS$5="Sí",(1/DATOS_[[% anualiz]:[% anualiz]]),1)*IF(DATOS!AS$4="Sí",1/DATOS_[[% normaliz]:[% normaliz]],1)*(DATOS_[Conc.Sal.15])))))))),
0)</f>
        <v>0</v>
      </c>
      <c r="Y76" s="111">
        <f t="array" ref="Y76">IFERROR(
(MEDIAN((IF(DATOS_[[Sexo]:[Sexo]]=$B76,IF(DATOS_[[AGRUP. VALOR. PTO.]:[AGRUP. VALOR. PTO.]]=$B75,IF(DATOS_[[Check Periodo Ref.]:[Check Periodo Ref.]]="Dentro",IF(DATOS_[[Check Equiparado]:[Check Equiparado]]="Sí",IF(DATOS!AT$5="Sí",(1/DATOS_[[% anualiz]:[% anualiz]]),1)*IF(DATOS!AT$4="Sí",1/DATOS_[[% normaliz]:[% normaliz]],1)*(DATOS_[Conc.Sal.16])))))))),
0)</f>
        <v>0</v>
      </c>
      <c r="Z76" s="111">
        <f t="array" ref="Z76">IFERROR(
(MEDIAN((IF(DATOS_[[Sexo]:[Sexo]]=$B76,IF(DATOS_[[AGRUP. VALOR. PTO.]:[AGRUP. VALOR. PTO.]]=$B75,IF(DATOS_[[Check Periodo Ref.]:[Check Periodo Ref.]]="Dentro",IF(DATOS_[[Check Equiparado]:[Check Equiparado]]="Sí",IF(DATOS!AU$5="Sí",(1/DATOS_[[% anualiz]:[% anualiz]]),1)*IF(DATOS!AU$4="Sí",1/DATOS_[[% normaliz]:[% normaliz]],1)*(DATOS_[Conc.Sal.17])))))))),
0)</f>
        <v>0</v>
      </c>
      <c r="AA76" s="111">
        <f t="array" ref="AA76">IFERROR(
(MEDIAN((IF(DATOS_[[Sexo]:[Sexo]]=$B76,IF(DATOS_[[AGRUP. VALOR. PTO.]:[AGRUP. VALOR. PTO.]]=$B75,IF(DATOS_[[Check Periodo Ref.]:[Check Periodo Ref.]]="Dentro",IF(DATOS_[[Check Equiparado]:[Check Equiparado]]="Sí",IF(DATOS!AV$5="Sí",(1/DATOS_[[% anualiz]:[% anualiz]]),1)*IF(DATOS!AV$4="Sí",1/DATOS_[[% normaliz]:[% normaliz]],1)*(DATOS_[Conc.Sal.18])))))))),
0)</f>
        <v>0</v>
      </c>
      <c r="AB76" s="111">
        <f t="array" ref="AB76">IFERROR(
(MEDIAN((IF(DATOS_[[Sexo]:[Sexo]]=$B76,IF(DATOS_[[AGRUP. VALOR. PTO.]:[AGRUP. VALOR. PTO.]]=$B75,IF(DATOS_[[Check Periodo Ref.]:[Check Periodo Ref.]]="Dentro",IF(DATOS_[[Check Equiparado]:[Check Equiparado]]="Sí",IF(DATOS!AW$5="Sí",(1/DATOS_[[% anualiz]:[% anualiz]]),1)*IF(DATOS!AW$4="Sí",1/DATOS_[[% normaliz]:[% normaliz]],1)*(DATOS_[Conc.Sal.19])))))))),
0)</f>
        <v>0</v>
      </c>
      <c r="AC76" s="111">
        <f t="array" ref="AC76">IFERROR(
(MEDIAN((IF(DATOS_[[Sexo]:[Sexo]]=$B76,IF(DATOS_[[AGRUP. VALOR. PTO.]:[AGRUP. VALOR. PTO.]]=$B75,IF(DATOS_[[Check Periodo Ref.]:[Check Periodo Ref.]]="Dentro",IF(DATOS_[[Check Equiparado]:[Check Equiparado]]="Sí",IF(DATOS!AX$5="Sí",(1/DATOS_[[% anualiz]:[% anualiz]]),1)*IF(DATOS!AX$4="Sí",1/DATOS_[[% normaliz]:[% normaliz]],1)*(DATOS_[Conc.Sal.20])))))))),
0)</f>
        <v>0</v>
      </c>
      <c r="AD76" s="111">
        <f t="array" ref="AD76">IFERROR(
(MEDIAN((IF(DATOS_[[Sexo]:[Sexo]]=$B76,IF(DATOS_[[AGRUP. VALOR. PTO.]:[AGRUP. VALOR. PTO.]]=$B75,IF(DATOS_[[Check Periodo Ref.]:[Check Periodo Ref.]]="Dentro",IF(DATOS_[[Check Equiparado]:[Check Equiparado]]="Sí",IF(DATOS!AY$5="Sí",(1/DATOS_[[% anualiz]:[% anualiz]]),1)*IF(DATOS!AY$4="Sí",1/DATOS_[[% normaliz]:[% normaliz]],1)*(DATOS_[Conc.Sal.21])))))))),
0)</f>
        <v>0</v>
      </c>
      <c r="AE76" s="111">
        <f t="array" ref="AE76">IFERROR(
(MEDIAN((IF(DATOS_[[Sexo]:[Sexo]]=$B76,IF(DATOS_[[AGRUP. VALOR. PTO.]:[AGRUP. VALOR. PTO.]]=$B75,IF(DATOS_[[Check Periodo Ref.]:[Check Periodo Ref.]]="Dentro",IF(DATOS_[[Check Equiparado]:[Check Equiparado]]="Sí",IF(DATOS!AZ$5="Sí",(1/DATOS_[[% anualiz]:[% anualiz]]),1)*IF(DATOS!AZ$4="Sí",1/DATOS_[[% normaliz]:[% normaliz]],1)*(DATOS_[Conc.Sal.22])))))))),
0)</f>
        <v>0</v>
      </c>
      <c r="AF76" s="111">
        <f t="array" ref="AF76">IFERROR(
(MEDIAN((IF(DATOS_[[Sexo]:[Sexo]]=$B76,IF(DATOS_[[AGRUP. VALOR. PTO.]:[AGRUP. VALOR. PTO.]]=$B75,IF(DATOS_[[Check Periodo Ref.]:[Check Periodo Ref.]]="Dentro",IF(DATOS_[[Check Equiparado]:[Check Equiparado]]="Sí",IF(DATOS!BA$5="Sí",(1/DATOS_[[% anualiz]:[% anualiz]]),1)*IF(DATOS!BA$4="Sí",1/DATOS_[[% normaliz]:[% normaliz]],1)*(DATOS_[Conc.Sal.23])))))))),
0)</f>
        <v>0</v>
      </c>
      <c r="AG76" s="111">
        <f t="array" ref="AG76">IFERROR(
(MEDIAN((IF(DATOS_[[Sexo]:[Sexo]]=$B76,IF(DATOS_[[AGRUP. VALOR. PTO.]:[AGRUP. VALOR. PTO.]]=$B75,IF(DATOS_[[Check Periodo Ref.]:[Check Periodo Ref.]]="Dentro",IF(DATOS_[[Check Equiparado]:[Check Equiparado]]="Sí",IF(DATOS!BB$5="Sí",(1/DATOS_[[% anualiz]:[% anualiz]]),1)*IF(DATOS!BB$4="Sí",1/DATOS_[[% normaliz]:[% normaliz]],1)*(DATOS_[Conc.Sal.24])))))))),
0)</f>
        <v>0</v>
      </c>
      <c r="AH76" s="111">
        <f t="array" ref="AH76">IFERROR(
(MEDIAN((IF(DATOS_[[Sexo]:[Sexo]]=$B76,IF(DATOS_[[AGRUP. VALOR. PTO.]:[AGRUP. VALOR. PTO.]]=$B75,IF(DATOS_[[Check Periodo Ref.]:[Check Periodo Ref.]]="Dentro",IF(DATOS_[[Check Equiparado]:[Check Equiparado]]="Sí",IF(DATOS!BC$5="Sí",(1/DATOS_[[% anualiz]:[% anualiz]]),1)*IF(DATOS!BC$4="Sí",1/DATOS_[[% normaliz]:[% normaliz]],1)*(DATOS_[Conc.Sal.25])))))))),
0)</f>
        <v>0</v>
      </c>
      <c r="AI76" s="111">
        <f t="array" ref="AI76">IFERROR(
(MEDIAN((IF(DATOS_[[Sexo]:[Sexo]]=$B76,IF(DATOS_[[AGRUP. VALOR. PTO.]:[AGRUP. VALOR. PTO.]]=$B75,IF(DATOS_[[Check Periodo Ref.]:[Check Periodo Ref.]]="Dentro",IF(DATOS_[[Check Equiparado]:[Check Equiparado]]="Sí",IF(DATOS!BD$5="Sí",(1/DATOS_[[% anualiz]:[% anualiz]]),1)*IF(DATOS!BD$4="Sí",1/DATOS_[[% normaliz]:[% normaliz]],1)*(DATOS_[Conc.Sal.26])))))))),
0)</f>
        <v>0</v>
      </c>
      <c r="AJ76" s="111">
        <f t="array" ref="AJ76">IFERROR(
(MEDIAN((IF(DATOS_[[Sexo]:[Sexo]]=$B76,IF(DATOS_[[AGRUP. VALOR. PTO.]:[AGRUP. VALOR. PTO.]]=$B75,IF(DATOS_[[Check Periodo Ref.]:[Check Periodo Ref.]]="Dentro",IF(DATOS_[[Check Equiparado]:[Check Equiparado]]="Sí",IF(DATOS!BE$5="Sí",(1/DATOS_[[% anualiz]:[% anualiz]]),1)*IF(DATOS!BE$4="Sí",1/DATOS_[[% normaliz]:[% normaliz]],1)*(DATOS_[Conc.Sal.27])))))))),
0)</f>
        <v>0</v>
      </c>
      <c r="AK76" s="111">
        <f t="array" ref="AK76">IFERROR(
(MEDIAN((IF(DATOS_[[Sexo]:[Sexo]]=$B76,IF(DATOS_[[AGRUP. VALOR. PTO.]:[AGRUP. VALOR. PTO.]]=$B75,IF(DATOS_[[Check Periodo Ref.]:[Check Periodo Ref.]]="Dentro",IF(DATOS_[[Check Equiparado]:[Check Equiparado]]="Sí",IF(DATOS!BF$5="Sí",(1/DATOS_[[% anualiz]:[% anualiz]]),1)*IF(DATOS!BF$4="Sí",1/DATOS_[[% normaliz]:[% normaliz]],1)*(DATOS_[Conc.Sal.28])))))))),
0)</f>
        <v>0</v>
      </c>
      <c r="AL76" s="111">
        <f t="array" ref="AL76">IFERROR(
(MEDIAN((IF(DATOS_[[Sexo]:[Sexo]]=$B76,IF(DATOS_[[AGRUP. VALOR. PTO.]:[AGRUP. VALOR. PTO.]]=$B75,IF(DATOS_[[Check Periodo Ref.]:[Check Periodo Ref.]]="Dentro",IF(DATOS_[[Check Equiparado]:[Check Equiparado]]="Sí",IF(DATOS!BG$5="Sí",(1/DATOS_[[% anualiz]:[% anualiz]]),1)*IF(DATOS!BG$4="Sí",1/DATOS_[[% normaliz]:[% normaliz]],1)*(DATOS_[Conc.Sal.29])))))))),
0)</f>
        <v>0</v>
      </c>
      <c r="AM76" s="111">
        <f t="array" ref="AM76">IFERROR(
(MEDIAN((IF(DATOS_[[Sexo]:[Sexo]]=$B76,IF(DATOS_[[AGRUP. VALOR. PTO.]:[AGRUP. VALOR. PTO.]]=$B75,IF(DATOS_[[Check Periodo Ref.]:[Check Periodo Ref.]]="Dentro",IF(DATOS_[[Check Equiparado]:[Check Equiparado]]="Sí",IF(DATOS!BH$5="Sí",(1/DATOS_[[% anualiz]:[% anualiz]]),1)*IF(DATOS!BH$4="Sí",1/DATOS_[[% normaliz]:[% normaliz]],1)*(DATOS_[Conc.Sal.30])))))))),
0)</f>
        <v>0</v>
      </c>
      <c r="AN76" s="112">
        <f t="array" ref="AN76">IFERROR(
MEDIAN(IF(DATOS_[Sexo]=$B76,IF(DATOS_[[AGRUP. VALOR. PTO.]:[AGRUP. VALOR. PTO.]]=$B75,IF(DATOS_[Check Equiparado]="Sí",IF(DATOS_[Check Periodo Ref.]="Dentro",DATOS_[Tot COMPL.SAL Eq],FALSE))))),
0)</f>
        <v>0</v>
      </c>
      <c r="AO76" s="113">
        <f t="array" ref="AO76">IFERROR(
MEDIAN(IF(DATOS_[Sexo]=$B76,IF(DATOS_[[AGRUP. VALOR. PTO.]:[AGRUP. VALOR. PTO.]]=$B75,IF(DATOS_[Check Equiparado]="Sí",IF(DATOS_[Check Periodo Ref.]="Dentro",DATOS_[TOTAL SALARIO Eq],FALSE))))),
0)</f>
        <v>0</v>
      </c>
      <c r="AP76" s="114">
        <f t="array" ref="AP76">IFERROR(
(MEDIAN((IF(DATOS_[[Sexo]:[Sexo]]=$B76,IF(DATOS_[[AGRUP. VALOR. PTO.]:[AGRUP. VALOR. PTO.]]=$B75,IF(DATOS_[[Check Periodo Ref.]:[Check Periodo Ref.]]="Dentro",IF(DATOS_[[Check Equiparado]:[Check Equiparado]]="Sí",IF(DATOS!BI$5="Sí",(1/DATOS_[[% anualiz]:[% anualiz]]),1)*IF(DATOS!BI$4="Sí",1/DATOS_[[% normaliz]:[% normaliz]],1)*(DATOS_[C.Extra.01])))))))),
0)</f>
        <v>0</v>
      </c>
      <c r="AQ76" s="114">
        <f t="array" ref="AQ76">IFERROR(
(MEDIAN((IF(DATOS_[[Sexo]:[Sexo]]=$B76,IF(DATOS_[[AGRUP. VALOR. PTO.]:[AGRUP. VALOR. PTO.]]=$B75,IF(DATOS_[[Check Periodo Ref.]:[Check Periodo Ref.]]="Dentro",IF(DATOS_[[Check Equiparado]:[Check Equiparado]]="Sí",IF(DATOS!BJ$5="Sí",(1/DATOS_[[% anualiz]:[% anualiz]]),1)*IF(DATOS!BJ$4="Sí",1/DATOS_[[% normaliz]:[% normaliz]],1)*(DATOS_[C.Extra.02])))))))),
0)</f>
        <v>0</v>
      </c>
      <c r="AR76" s="114">
        <f t="array" ref="AR76">IFERROR(
(MEDIAN((IF(DATOS_[[Sexo]:[Sexo]]=$B76,IF(DATOS_[[AGRUP. VALOR. PTO.]:[AGRUP. VALOR. PTO.]]=$B75,IF(DATOS_[[Check Periodo Ref.]:[Check Periodo Ref.]]="Dentro",IF(DATOS_[[Check Equiparado]:[Check Equiparado]]="Sí",IF(DATOS!BK$5="Sí",(1/DATOS_[[% anualiz]:[% anualiz]]),1)*IF(DATOS!BK$4="Sí",1/DATOS_[[% normaliz]:[% normaliz]],1)*(DATOS_[C.Extra.03])))))))),
0)</f>
        <v>0</v>
      </c>
      <c r="AS76" s="114">
        <f t="array" ref="AS76">IFERROR(
(MEDIAN((IF(DATOS_[[Sexo]:[Sexo]]=$B76,IF(DATOS_[[AGRUP. VALOR. PTO.]:[AGRUP. VALOR. PTO.]]=$B75,IF(DATOS_[[Check Periodo Ref.]:[Check Periodo Ref.]]="Dentro",IF(DATOS_[[Check Equiparado]:[Check Equiparado]]="Sí",IF(DATOS!BL$5="Sí",(1/DATOS_[[% anualiz]:[% anualiz]]),1)*IF(DATOS!BL$4="Sí",1/DATOS_[[% normaliz]:[% normaliz]],1)*(DATOS_[C.Extra.04])))))))),
0)</f>
        <v>0</v>
      </c>
      <c r="AT76" s="114">
        <f t="array" ref="AT76">IFERROR(
(MEDIAN((IF(DATOS_[[Sexo]:[Sexo]]=$B76,IF(DATOS_[[AGRUP. VALOR. PTO.]:[AGRUP. VALOR. PTO.]]=$B75,IF(DATOS_[[Check Periodo Ref.]:[Check Periodo Ref.]]="Dentro",IF(DATOS_[[Check Equiparado]:[Check Equiparado]]="Sí",IF(DATOS!BM$5="Sí",(1/DATOS_[[% anualiz]:[% anualiz]]),1)*IF(DATOS!BM$4="Sí",1/DATOS_[[% normaliz]:[% normaliz]],1)*(DATOS_[C.Extra.05])))))))),
0)</f>
        <v>0</v>
      </c>
      <c r="AU76" s="115">
        <f t="array" ref="AU76">IFERROR(
MEDIAN(IF(DATOS_[Sexo]=$B76,IF(DATOS_[[AGRUP. VALOR. PTO.]:[AGRUP. VALOR. PTO.]]=$B75,IF(DATOS_[Check Equiparado]="Sí",IF(DATOS_[Check Periodo Ref.]="Dentro",DATOS_[Tot Extrasalarial Eq],FALSE))))),
0)</f>
        <v>0</v>
      </c>
      <c r="AV76" s="116">
        <f t="array" ref="AV76">IFERROR(
MEDIAN(IF(DATOS_[Sexo]=$B76,IF(DATOS_[[AGRUP. VALOR. PTO.]:[AGRUP. VALOR. PTO.]]=$B75,IF(DATOS_[Check Equiparado]="Sí",IF(DATOS_[Check Periodo Ref.]="Dentro",DATOS_[TOTAL Retrib Eq],FALSE))))),
0)</f>
        <v>0</v>
      </c>
    </row>
    <row r="77" spans="1:48" hidden="1" x14ac:dyDescent="0.3">
      <c r="A77" s="42" t="str">
        <f t="shared" ref="A77" si="86">+A76</f>
        <v>[ocultar]</v>
      </c>
      <c r="B77" s="86" t="s">
        <v>163</v>
      </c>
      <c r="C77" s="33">
        <f t="array" ref="C77">SUM(IF($B77=DATOS_[Sexo],
IF($B75=DATOS_[AGRUP. VALOR. PTO.],
IF("Dentro"=DATOS_[Check Periodo Ref.],
1/(COUNTIFS(DATOS_[Sexo],$B77,DATOS_[AGRUP. VALOR. PTO.],$B75,DATOS_[Check Periodo Ref.],"Dentro",DATOS_[id],DATOS_[id]))))))</f>
        <v>0</v>
      </c>
      <c r="D77" s="35">
        <f>COUNTIFS(DATOS_[AGRUP. VALOR. PTO.],$B75,DATOS_[Sexo],$B77,DATOS_[Check Periodo Ref.],"Dentro")</f>
        <v>0</v>
      </c>
      <c r="E77" s="35">
        <f>COUNTIFS(DATOS_[AGRUP. VALOR. PTO.],$B75,DATOS_[Sexo],$B77,DATOS_[Check Periodo Ref.],"Dentro",DATOS_[Check Nº SC Norm],"Sí")</f>
        <v>0</v>
      </c>
      <c r="F77" s="35">
        <f>COUNTIFS(DATOS_[AGRUP. VALOR. PTO.],$B75,DATOS_[Sexo],$B77,DATOS_[Check Periodo Ref.],"Dentro",DATOS_[Check Nº SC Anualiz],"Sí")</f>
        <v>0</v>
      </c>
      <c r="G77" s="35">
        <f>COUNTIFS(DATOS_[AGRUP. VALOR. PTO.],$B75,DATOS_[Sexo],$B77,DATOS_[Check Periodo Ref.],"Dentro",DATOS_[Check Nº SC Norm y Anualiz],"Sí")</f>
        <v>0</v>
      </c>
      <c r="H77" s="35">
        <f>COUNTIFS(DATOS_[AGRUP. VALOR. PTO.],$B75,DATOS_[Sexo],$B77,DATOS_[Check Periodo Ref.],"Dentro",DATOS_[Check Equiparación],"Sí")</f>
        <v>0</v>
      </c>
      <c r="I77" s="110" cm="1">
        <f t="array" ref="I77">IFERROR(
MEDIAN(IF(DATOS_[Sexo]=$B77,IF(DATOS_[[AGRUP. VALOR. PTO.]:[AGRUP. VALOR. PTO.]]=$B75,IF(DATOS_[Check Equiparado]="Sí",IF(DATOS_[Check Periodo Ref.]="Dentro",DATOS_[SALARIO BASE Eq],FALSE))))),
0)</f>
        <v>0</v>
      </c>
      <c r="J77" s="111">
        <f t="array" ref="J77">IFERROR(
(MEDIAN((IF(DATOS_[[Sexo]:[Sexo]]=$B77,IF(DATOS_[[AGRUP. VALOR. PTO.]:[AGRUP. VALOR. PTO.]]=$B75,IF(DATOS_[[Check Periodo Ref.]:[Check Periodo Ref.]]="Dentro",IF(DATOS_[[Check Equiparado]:[Check Equiparado]]="Sí",IF(DATOS!AE$5="Sí",(1/DATOS_[[% anualiz]:[% anualiz]]),1)*IF(DATOS!AE$4="Sí",1/DATOS_[[% normaliz]:[% normaliz]],1)*(DATOS_[Conc.Sal.01])))))))),
0)</f>
        <v>0</v>
      </c>
      <c r="K77" s="111">
        <f t="array" ref="K77">IFERROR(
(MEDIAN((IF(DATOS_[[Sexo]:[Sexo]]=$B77,IF(DATOS_[[AGRUP. VALOR. PTO.]:[AGRUP. VALOR. PTO.]]=$B75,IF(DATOS_[[Check Periodo Ref.]:[Check Periodo Ref.]]="Dentro",IF(DATOS_[[Check Equiparado]:[Check Equiparado]]="Sí",IF(DATOS!AF$5="Sí",(1/DATOS_[[% anualiz]:[% anualiz]]),1)*IF(DATOS!AF$4="Sí",1/DATOS_[[% normaliz]:[% normaliz]],1)*(DATOS_[Conc.Sal.02])))))))),
0)</f>
        <v>0</v>
      </c>
      <c r="L77" s="111">
        <f t="array" ref="L77">IFERROR(
(MEDIAN((IF(DATOS_[[Sexo]:[Sexo]]=$B77,IF(DATOS_[[AGRUP. VALOR. PTO.]:[AGRUP. VALOR. PTO.]]=$B75,IF(DATOS_[[Check Periodo Ref.]:[Check Periodo Ref.]]="Dentro",IF(DATOS_[[Check Equiparado]:[Check Equiparado]]="Sí",IF(DATOS!AG$5="Sí",(1/DATOS_[[% anualiz]:[% anualiz]]),1)*IF(DATOS!AG$4="Sí",1/DATOS_[[% normaliz]:[% normaliz]],1)*(DATOS_[Conc.Sal.03])))))))),
0)</f>
        <v>0</v>
      </c>
      <c r="M77" s="111">
        <f t="array" ref="M77">IFERROR(
(MEDIAN((IF(DATOS_[[Sexo]:[Sexo]]=$B77,IF(DATOS_[[AGRUP. VALOR. PTO.]:[AGRUP. VALOR. PTO.]]=$B75,IF(DATOS_[[Check Periodo Ref.]:[Check Periodo Ref.]]="Dentro",IF(DATOS_[[Check Equiparado]:[Check Equiparado]]="Sí",IF(DATOS!AH$5="Sí",(1/DATOS_[[% anualiz]:[% anualiz]]),1)*IF(DATOS!AH$4="Sí",1/DATOS_[[% normaliz]:[% normaliz]],1)*(DATOS_[Conc.Sal.04])))))))),
0)</f>
        <v>0</v>
      </c>
      <c r="N77" s="111">
        <f t="array" ref="N77">IFERROR(
(MEDIAN((IF(DATOS_[[Sexo]:[Sexo]]=$B77,IF(DATOS_[[AGRUP. VALOR. PTO.]:[AGRUP. VALOR. PTO.]]=$B75,IF(DATOS_[[Check Periodo Ref.]:[Check Periodo Ref.]]="Dentro",IF(DATOS_[[Check Equiparado]:[Check Equiparado]]="Sí",IF(DATOS!AI$5="Sí",(1/DATOS_[[% anualiz]:[% anualiz]]),1)*IF(DATOS!AI$4="Sí",1/DATOS_[[% normaliz]:[% normaliz]],1)*(DATOS_[Conc.Sal.05])))))))),
0)</f>
        <v>0</v>
      </c>
      <c r="O77" s="111">
        <f t="array" ref="O77">IFERROR(
(MEDIAN((IF(DATOS_[[Sexo]:[Sexo]]=$B77,IF(DATOS_[[AGRUP. VALOR. PTO.]:[AGRUP. VALOR. PTO.]]=$B75,IF(DATOS_[[Check Periodo Ref.]:[Check Periodo Ref.]]="Dentro",IF(DATOS_[[Check Equiparado]:[Check Equiparado]]="Sí",IF(DATOS!AJ$5="Sí",(1/DATOS_[[% anualiz]:[% anualiz]]),1)*IF(DATOS!AJ$4="Sí",1/DATOS_[[% normaliz]:[% normaliz]],1)*(DATOS_[Conc.Sal.06])))))))),
0)</f>
        <v>0</v>
      </c>
      <c r="P77" s="111">
        <f t="array" ref="P77">IFERROR(
(MEDIAN((IF(DATOS_[[Sexo]:[Sexo]]=$B77,IF(DATOS_[[AGRUP. VALOR. PTO.]:[AGRUP. VALOR. PTO.]]=$B75,IF(DATOS_[[Check Periodo Ref.]:[Check Periodo Ref.]]="Dentro",IF(DATOS_[[Check Equiparado]:[Check Equiparado]]="Sí",IF(DATOS!AK$5="Sí",(1/DATOS_[[% anualiz]:[% anualiz]]),1)*IF(DATOS!AK$4="Sí",1/DATOS_[[% normaliz]:[% normaliz]],1)*(DATOS_[Conc.Sal.07])))))))),
0)</f>
        <v>0</v>
      </c>
      <c r="Q77" s="111">
        <f t="array" ref="Q77">IFERROR(
(MEDIAN((IF(DATOS_[[Sexo]:[Sexo]]=$B77,IF(DATOS_[[AGRUP. VALOR. PTO.]:[AGRUP. VALOR. PTO.]]=$B75,IF(DATOS_[[Check Periodo Ref.]:[Check Periodo Ref.]]="Dentro",IF(DATOS_[[Check Equiparado]:[Check Equiparado]]="Sí",IF(DATOS!AL$5="Sí",(1/DATOS_[[% anualiz]:[% anualiz]]),1)*IF(DATOS!AL$4="Sí",1/DATOS_[[% normaliz]:[% normaliz]],1)*(DATOS_[Conc.Sal.08])))))))),
0)</f>
        <v>0</v>
      </c>
      <c r="R77" s="111">
        <f t="array" ref="R77">IFERROR(
(MEDIAN((IF(DATOS_[[Sexo]:[Sexo]]=$B77,IF(DATOS_[[AGRUP. VALOR. PTO.]:[AGRUP. VALOR. PTO.]]=$B75,IF(DATOS_[[Check Periodo Ref.]:[Check Periodo Ref.]]="Dentro",IF(DATOS_[[Check Equiparado]:[Check Equiparado]]="Sí",IF(DATOS!AM$5="Sí",(1/DATOS_[[% anualiz]:[% anualiz]]),1)*IF(DATOS!AM$4="Sí",1/DATOS_[[% normaliz]:[% normaliz]],1)*(DATOS_[Conc.Sal.09])))))))),
0)</f>
        <v>0</v>
      </c>
      <c r="S77" s="111">
        <f t="array" ref="S77">IFERROR(
(MEDIAN((IF(DATOS_[[Sexo]:[Sexo]]=$B77,IF(DATOS_[[AGRUP. VALOR. PTO.]:[AGRUP. VALOR. PTO.]]=$B75,IF(DATOS_[[Check Periodo Ref.]:[Check Periodo Ref.]]="Dentro",IF(DATOS_[[Check Equiparado]:[Check Equiparado]]="Sí",IF(DATOS!AN$5="Sí",(1/DATOS_[[% anualiz]:[% anualiz]]),1)*IF(DATOS!AN$4="Sí",1/DATOS_[[% normaliz]:[% normaliz]],1)*(DATOS_[Conc.Sal.10])))))))),
0)</f>
        <v>0</v>
      </c>
      <c r="T77" s="111">
        <f t="array" ref="T77">IFERROR(
(MEDIAN((IF(DATOS_[[Sexo]:[Sexo]]=$B77,IF(DATOS_[[AGRUP. VALOR. PTO.]:[AGRUP. VALOR. PTO.]]=$B75,IF(DATOS_[[Check Periodo Ref.]:[Check Periodo Ref.]]="Dentro",IF(DATOS_[[Check Equiparado]:[Check Equiparado]]="Sí",IF(DATOS!AO$5="Sí",(1/DATOS_[[% anualiz]:[% anualiz]]),1)*IF(DATOS!AO$4="Sí",1/DATOS_[[% normaliz]:[% normaliz]],1)*(DATOS_[Conc.Sal.11])))))))),
0)</f>
        <v>0</v>
      </c>
      <c r="U77" s="111">
        <f t="array" ref="U77">IFERROR(
(MEDIAN((IF(DATOS_[[Sexo]:[Sexo]]=$B77,IF(DATOS_[[AGRUP. VALOR. PTO.]:[AGRUP. VALOR. PTO.]]=$B75,IF(DATOS_[[Check Periodo Ref.]:[Check Periodo Ref.]]="Dentro",IF(DATOS_[[Check Equiparado]:[Check Equiparado]]="Sí",IF(DATOS!AP$5="Sí",(1/DATOS_[[% anualiz]:[% anualiz]]),1)*IF(DATOS!AP$4="Sí",1/DATOS_[[% normaliz]:[% normaliz]],1)*(DATOS_[Conc.Sal.12])))))))),
0)</f>
        <v>0</v>
      </c>
      <c r="V77" s="111">
        <f t="array" ref="V77">IFERROR(
(MEDIAN((IF(DATOS_[[Sexo]:[Sexo]]=$B77,IF(DATOS_[[AGRUP. VALOR. PTO.]:[AGRUP. VALOR. PTO.]]=$B75,IF(DATOS_[[Check Periodo Ref.]:[Check Periodo Ref.]]="Dentro",IF(DATOS_[[Check Equiparado]:[Check Equiparado]]="Sí",IF(DATOS!AQ$5="Sí",(1/DATOS_[[% anualiz]:[% anualiz]]),1)*IF(DATOS!AQ$4="Sí",1/DATOS_[[% normaliz]:[% normaliz]],1)*(DATOS_[Conc.Sal.13])))))))),
0)</f>
        <v>0</v>
      </c>
      <c r="W77" s="111">
        <f t="array" ref="W77">IFERROR(
(MEDIAN((IF(DATOS_[[Sexo]:[Sexo]]=$B77,IF(DATOS_[[AGRUP. VALOR. PTO.]:[AGRUP. VALOR. PTO.]]=$B75,IF(DATOS_[[Check Periodo Ref.]:[Check Periodo Ref.]]="Dentro",IF(DATOS_[[Check Equiparado]:[Check Equiparado]]="Sí",IF(DATOS!AR$5="Sí",(1/DATOS_[[% anualiz]:[% anualiz]]),1)*IF(DATOS!AR$4="Sí",1/DATOS_[[% normaliz]:[% normaliz]],1)*(DATOS_[Conc.Sal.14])))))))),
0)</f>
        <v>0</v>
      </c>
      <c r="X77" s="111">
        <f t="array" ref="X77">IFERROR(
(MEDIAN((IF(DATOS_[[Sexo]:[Sexo]]=$B77,IF(DATOS_[[AGRUP. VALOR. PTO.]:[AGRUP. VALOR. PTO.]]=$B75,IF(DATOS_[[Check Periodo Ref.]:[Check Periodo Ref.]]="Dentro",IF(DATOS_[[Check Equiparado]:[Check Equiparado]]="Sí",IF(DATOS!AS$5="Sí",(1/DATOS_[[% anualiz]:[% anualiz]]),1)*IF(DATOS!AS$4="Sí",1/DATOS_[[% normaliz]:[% normaliz]],1)*(DATOS_[Conc.Sal.15])))))))),
0)</f>
        <v>0</v>
      </c>
      <c r="Y77" s="111">
        <f t="array" ref="Y77">IFERROR(
(MEDIAN((IF(DATOS_[[Sexo]:[Sexo]]=$B77,IF(DATOS_[[AGRUP. VALOR. PTO.]:[AGRUP. VALOR. PTO.]]=$B75,IF(DATOS_[[Check Periodo Ref.]:[Check Periodo Ref.]]="Dentro",IF(DATOS_[[Check Equiparado]:[Check Equiparado]]="Sí",IF(DATOS!AT$5="Sí",(1/DATOS_[[% anualiz]:[% anualiz]]),1)*IF(DATOS!AT$4="Sí",1/DATOS_[[% normaliz]:[% normaliz]],1)*(DATOS_[Conc.Sal.16])))))))),
0)</f>
        <v>0</v>
      </c>
      <c r="Z77" s="111">
        <f t="array" ref="Z77">IFERROR(
(MEDIAN((IF(DATOS_[[Sexo]:[Sexo]]=$B77,IF(DATOS_[[AGRUP. VALOR. PTO.]:[AGRUP. VALOR. PTO.]]=$B75,IF(DATOS_[[Check Periodo Ref.]:[Check Periodo Ref.]]="Dentro",IF(DATOS_[[Check Equiparado]:[Check Equiparado]]="Sí",IF(DATOS!AU$5="Sí",(1/DATOS_[[% anualiz]:[% anualiz]]),1)*IF(DATOS!AU$4="Sí",1/DATOS_[[% normaliz]:[% normaliz]],1)*(DATOS_[Conc.Sal.17])))))))),
0)</f>
        <v>0</v>
      </c>
      <c r="AA77" s="111">
        <f t="array" ref="AA77">IFERROR(
(MEDIAN((IF(DATOS_[[Sexo]:[Sexo]]=$B77,IF(DATOS_[[AGRUP. VALOR. PTO.]:[AGRUP. VALOR. PTO.]]=$B75,IF(DATOS_[[Check Periodo Ref.]:[Check Periodo Ref.]]="Dentro",IF(DATOS_[[Check Equiparado]:[Check Equiparado]]="Sí",IF(DATOS!AV$5="Sí",(1/DATOS_[[% anualiz]:[% anualiz]]),1)*IF(DATOS!AV$4="Sí",1/DATOS_[[% normaliz]:[% normaliz]],1)*(DATOS_[Conc.Sal.18])))))))),
0)</f>
        <v>0</v>
      </c>
      <c r="AB77" s="111">
        <f t="array" ref="AB77">IFERROR(
(MEDIAN((IF(DATOS_[[Sexo]:[Sexo]]=$B77,IF(DATOS_[[AGRUP. VALOR. PTO.]:[AGRUP. VALOR. PTO.]]=$B75,IF(DATOS_[[Check Periodo Ref.]:[Check Periodo Ref.]]="Dentro",IF(DATOS_[[Check Equiparado]:[Check Equiparado]]="Sí",IF(DATOS!AW$5="Sí",(1/DATOS_[[% anualiz]:[% anualiz]]),1)*IF(DATOS!AW$4="Sí",1/DATOS_[[% normaliz]:[% normaliz]],1)*(DATOS_[Conc.Sal.19])))))))),
0)</f>
        <v>0</v>
      </c>
      <c r="AC77" s="111">
        <f t="array" ref="AC77">IFERROR(
(MEDIAN((IF(DATOS_[[Sexo]:[Sexo]]=$B77,IF(DATOS_[[AGRUP. VALOR. PTO.]:[AGRUP. VALOR. PTO.]]=$B75,IF(DATOS_[[Check Periodo Ref.]:[Check Periodo Ref.]]="Dentro",IF(DATOS_[[Check Equiparado]:[Check Equiparado]]="Sí",IF(DATOS!AX$5="Sí",(1/DATOS_[[% anualiz]:[% anualiz]]),1)*IF(DATOS!AX$4="Sí",1/DATOS_[[% normaliz]:[% normaliz]],1)*(DATOS_[Conc.Sal.20])))))))),
0)</f>
        <v>0</v>
      </c>
      <c r="AD77" s="111">
        <f t="array" ref="AD77">IFERROR(
(MEDIAN((IF(DATOS_[[Sexo]:[Sexo]]=$B77,IF(DATOS_[[AGRUP. VALOR. PTO.]:[AGRUP. VALOR. PTO.]]=$B75,IF(DATOS_[[Check Periodo Ref.]:[Check Periodo Ref.]]="Dentro",IF(DATOS_[[Check Equiparado]:[Check Equiparado]]="Sí",IF(DATOS!AY$5="Sí",(1/DATOS_[[% anualiz]:[% anualiz]]),1)*IF(DATOS!AY$4="Sí",1/DATOS_[[% normaliz]:[% normaliz]],1)*(DATOS_[Conc.Sal.21])))))))),
0)</f>
        <v>0</v>
      </c>
      <c r="AE77" s="111">
        <f t="array" ref="AE77">IFERROR(
(MEDIAN((IF(DATOS_[[Sexo]:[Sexo]]=$B77,IF(DATOS_[[AGRUP. VALOR. PTO.]:[AGRUP. VALOR. PTO.]]=$B75,IF(DATOS_[[Check Periodo Ref.]:[Check Periodo Ref.]]="Dentro",IF(DATOS_[[Check Equiparado]:[Check Equiparado]]="Sí",IF(DATOS!AZ$5="Sí",(1/DATOS_[[% anualiz]:[% anualiz]]),1)*IF(DATOS!AZ$4="Sí",1/DATOS_[[% normaliz]:[% normaliz]],1)*(DATOS_[Conc.Sal.22])))))))),
0)</f>
        <v>0</v>
      </c>
      <c r="AF77" s="111">
        <f t="array" ref="AF77">IFERROR(
(MEDIAN((IF(DATOS_[[Sexo]:[Sexo]]=$B77,IF(DATOS_[[AGRUP. VALOR. PTO.]:[AGRUP. VALOR. PTO.]]=$B75,IF(DATOS_[[Check Periodo Ref.]:[Check Periodo Ref.]]="Dentro",IF(DATOS_[[Check Equiparado]:[Check Equiparado]]="Sí",IF(DATOS!BA$5="Sí",(1/DATOS_[[% anualiz]:[% anualiz]]),1)*IF(DATOS!BA$4="Sí",1/DATOS_[[% normaliz]:[% normaliz]],1)*(DATOS_[Conc.Sal.23])))))))),
0)</f>
        <v>0</v>
      </c>
      <c r="AG77" s="111">
        <f t="array" ref="AG77">IFERROR(
(MEDIAN((IF(DATOS_[[Sexo]:[Sexo]]=$B77,IF(DATOS_[[AGRUP. VALOR. PTO.]:[AGRUP. VALOR. PTO.]]=$B75,IF(DATOS_[[Check Periodo Ref.]:[Check Periodo Ref.]]="Dentro",IF(DATOS_[[Check Equiparado]:[Check Equiparado]]="Sí",IF(DATOS!BB$5="Sí",(1/DATOS_[[% anualiz]:[% anualiz]]),1)*IF(DATOS!BB$4="Sí",1/DATOS_[[% normaliz]:[% normaliz]],1)*(DATOS_[Conc.Sal.24])))))))),
0)</f>
        <v>0</v>
      </c>
      <c r="AH77" s="111">
        <f t="array" ref="AH77">IFERROR(
(MEDIAN((IF(DATOS_[[Sexo]:[Sexo]]=$B77,IF(DATOS_[[AGRUP. VALOR. PTO.]:[AGRUP. VALOR. PTO.]]=$B75,IF(DATOS_[[Check Periodo Ref.]:[Check Periodo Ref.]]="Dentro",IF(DATOS_[[Check Equiparado]:[Check Equiparado]]="Sí",IF(DATOS!BC$5="Sí",(1/DATOS_[[% anualiz]:[% anualiz]]),1)*IF(DATOS!BC$4="Sí",1/DATOS_[[% normaliz]:[% normaliz]],1)*(DATOS_[Conc.Sal.25])))))))),
0)</f>
        <v>0</v>
      </c>
      <c r="AI77" s="111">
        <f t="array" ref="AI77">IFERROR(
(MEDIAN((IF(DATOS_[[Sexo]:[Sexo]]=$B77,IF(DATOS_[[AGRUP. VALOR. PTO.]:[AGRUP. VALOR. PTO.]]=$B75,IF(DATOS_[[Check Periodo Ref.]:[Check Periodo Ref.]]="Dentro",IF(DATOS_[[Check Equiparado]:[Check Equiparado]]="Sí",IF(DATOS!BD$5="Sí",(1/DATOS_[[% anualiz]:[% anualiz]]),1)*IF(DATOS!BD$4="Sí",1/DATOS_[[% normaliz]:[% normaliz]],1)*(DATOS_[Conc.Sal.26])))))))),
0)</f>
        <v>0</v>
      </c>
      <c r="AJ77" s="111">
        <f t="array" ref="AJ77">IFERROR(
(MEDIAN((IF(DATOS_[[Sexo]:[Sexo]]=$B77,IF(DATOS_[[AGRUP. VALOR. PTO.]:[AGRUP. VALOR. PTO.]]=$B75,IF(DATOS_[[Check Periodo Ref.]:[Check Periodo Ref.]]="Dentro",IF(DATOS_[[Check Equiparado]:[Check Equiparado]]="Sí",IF(DATOS!BE$5="Sí",(1/DATOS_[[% anualiz]:[% anualiz]]),1)*IF(DATOS!BE$4="Sí",1/DATOS_[[% normaliz]:[% normaliz]],1)*(DATOS_[Conc.Sal.27])))))))),
0)</f>
        <v>0</v>
      </c>
      <c r="AK77" s="111">
        <f t="array" ref="AK77">IFERROR(
(MEDIAN((IF(DATOS_[[Sexo]:[Sexo]]=$B77,IF(DATOS_[[AGRUP. VALOR. PTO.]:[AGRUP. VALOR. PTO.]]=$B75,IF(DATOS_[[Check Periodo Ref.]:[Check Periodo Ref.]]="Dentro",IF(DATOS_[[Check Equiparado]:[Check Equiparado]]="Sí",IF(DATOS!BF$5="Sí",(1/DATOS_[[% anualiz]:[% anualiz]]),1)*IF(DATOS!BF$4="Sí",1/DATOS_[[% normaliz]:[% normaliz]],1)*(DATOS_[Conc.Sal.28])))))))),
0)</f>
        <v>0</v>
      </c>
      <c r="AL77" s="111">
        <f t="array" ref="AL77">IFERROR(
(MEDIAN((IF(DATOS_[[Sexo]:[Sexo]]=$B77,IF(DATOS_[[AGRUP. VALOR. PTO.]:[AGRUP. VALOR. PTO.]]=$B75,IF(DATOS_[[Check Periodo Ref.]:[Check Periodo Ref.]]="Dentro",IF(DATOS_[[Check Equiparado]:[Check Equiparado]]="Sí",IF(DATOS!BG$5="Sí",(1/DATOS_[[% anualiz]:[% anualiz]]),1)*IF(DATOS!BG$4="Sí",1/DATOS_[[% normaliz]:[% normaliz]],1)*(DATOS_[Conc.Sal.29])))))))),
0)</f>
        <v>0</v>
      </c>
      <c r="AM77" s="111">
        <f t="array" ref="AM77">IFERROR(
(MEDIAN((IF(DATOS_[[Sexo]:[Sexo]]=$B77,IF(DATOS_[[AGRUP. VALOR. PTO.]:[AGRUP. VALOR. PTO.]]=$B75,IF(DATOS_[[Check Periodo Ref.]:[Check Periodo Ref.]]="Dentro",IF(DATOS_[[Check Equiparado]:[Check Equiparado]]="Sí",IF(DATOS!BH$5="Sí",(1/DATOS_[[% anualiz]:[% anualiz]]),1)*IF(DATOS!BH$4="Sí",1/DATOS_[[% normaliz]:[% normaliz]],1)*(DATOS_[Conc.Sal.30])))))))),
0)</f>
        <v>0</v>
      </c>
      <c r="AN77" s="112">
        <f t="array" ref="AN77">IFERROR(
MEDIAN(IF(DATOS_[Sexo]=$B77,IF(DATOS_[[AGRUP. VALOR. PTO.]:[AGRUP. VALOR. PTO.]]=$B75,IF(DATOS_[Check Equiparado]="Sí",IF(DATOS_[Check Periodo Ref.]="Dentro",DATOS_[Tot COMPL.SAL Eq],FALSE))))),
0)</f>
        <v>0</v>
      </c>
      <c r="AO77" s="113">
        <f t="array" ref="AO77">IFERROR(
MEDIAN(IF(DATOS_[Sexo]=$B77,IF(DATOS_[[AGRUP. VALOR. PTO.]:[AGRUP. VALOR. PTO.]]=$B75,IF(DATOS_[Check Equiparado]="Sí",IF(DATOS_[Check Periodo Ref.]="Dentro",DATOS_[TOTAL SALARIO Eq],FALSE))))),
0)</f>
        <v>0</v>
      </c>
      <c r="AP77" s="114">
        <f t="array" ref="AP77">IFERROR(
(MEDIAN((IF(DATOS_[[Sexo]:[Sexo]]=$B77,IF(DATOS_[[AGRUP. VALOR. PTO.]:[AGRUP. VALOR. PTO.]]=$B76,IF(DATOS_[[Check Periodo Ref.]:[Check Periodo Ref.]]="Dentro",IF(DATOS_[[Check Equiparado]:[Check Equiparado]]="Sí",IF(DATOS!BI$5="Sí",(1/DATOS_[[% anualiz]:[% anualiz]]),1)*IF(DATOS!BI$4="Sí",1/DATOS_[[% normaliz]:[% normaliz]],1)*(DATOS_[C.Extra.01])))))))),
0)</f>
        <v>0</v>
      </c>
      <c r="AQ77" s="114">
        <f t="array" ref="AQ77">IFERROR(
(MEDIAN((IF(DATOS_[[Sexo]:[Sexo]]=$B77,IF(DATOS_[[AGRUP. VALOR. PTO.]:[AGRUP. VALOR. PTO.]]=$B76,IF(DATOS_[[Check Periodo Ref.]:[Check Periodo Ref.]]="Dentro",IF(DATOS_[[Check Equiparado]:[Check Equiparado]]="Sí",IF(DATOS!BJ$5="Sí",(1/DATOS_[[% anualiz]:[% anualiz]]),1)*IF(DATOS!BJ$4="Sí",1/DATOS_[[% normaliz]:[% normaliz]],1)*(DATOS_[C.Extra.02])))))))),
0)</f>
        <v>0</v>
      </c>
      <c r="AR77" s="114">
        <f t="array" ref="AR77">IFERROR(
(MEDIAN((IF(DATOS_[[Sexo]:[Sexo]]=$B77,IF(DATOS_[[AGRUP. VALOR. PTO.]:[AGRUP. VALOR. PTO.]]=$B76,IF(DATOS_[[Check Periodo Ref.]:[Check Periodo Ref.]]="Dentro",IF(DATOS_[[Check Equiparado]:[Check Equiparado]]="Sí",IF(DATOS!BK$5="Sí",(1/DATOS_[[% anualiz]:[% anualiz]]),1)*IF(DATOS!BK$4="Sí",1/DATOS_[[% normaliz]:[% normaliz]],1)*(DATOS_[C.Extra.03])))))))),
0)</f>
        <v>0</v>
      </c>
      <c r="AS77" s="114">
        <f t="array" ref="AS77">IFERROR(
(MEDIAN((IF(DATOS_[[Sexo]:[Sexo]]=$B77,IF(DATOS_[[AGRUP. VALOR. PTO.]:[AGRUP. VALOR. PTO.]]=$B76,IF(DATOS_[[Check Periodo Ref.]:[Check Periodo Ref.]]="Dentro",IF(DATOS_[[Check Equiparado]:[Check Equiparado]]="Sí",IF(DATOS!BL$5="Sí",(1/DATOS_[[% anualiz]:[% anualiz]]),1)*IF(DATOS!BL$4="Sí",1/DATOS_[[% normaliz]:[% normaliz]],1)*(DATOS_[C.Extra.04])))))))),
0)</f>
        <v>0</v>
      </c>
      <c r="AT77" s="114">
        <f t="array" ref="AT77">IFERROR(
(MEDIAN((IF(DATOS_[[Sexo]:[Sexo]]=$B77,IF(DATOS_[[AGRUP. VALOR. PTO.]:[AGRUP. VALOR. PTO.]]=$B76,IF(DATOS_[[Check Periodo Ref.]:[Check Periodo Ref.]]="Dentro",IF(DATOS_[[Check Equiparado]:[Check Equiparado]]="Sí",IF(DATOS!BM$5="Sí",(1/DATOS_[[% anualiz]:[% anualiz]]),1)*IF(DATOS!BM$4="Sí",1/DATOS_[[% normaliz]:[% normaliz]],1)*(DATOS_[C.Extra.05])))))))),
0)</f>
        <v>0</v>
      </c>
      <c r="AU77" s="115">
        <f t="array" ref="AU77">IFERROR(
MEDIAN(IF(DATOS_[Sexo]=$B77,IF(DATOS_[[AGRUP. VALOR. PTO.]:[AGRUP. VALOR. PTO.]]=$B75,IF(DATOS_[Check Equiparado]="Sí",IF(DATOS_[Check Periodo Ref.]="Dentro",DATOS_[Tot Extrasalarial Eq],FALSE))))),
0)</f>
        <v>0</v>
      </c>
      <c r="AV77" s="116">
        <f t="array" ref="AV77">IFERROR(
MEDIAN(IF(DATOS_[Sexo]=$B77,IF(DATOS_[[AGRUP. VALOR. PTO.]:[AGRUP. VALOR. PTO.]]=$B75,IF(DATOS_[Check Equiparado]="Sí",IF(DATOS_[Check Periodo Ref.]="Dentro",DATOS_[TOTAL Retrib Eq],FALSE))))),
0)</f>
        <v>0</v>
      </c>
    </row>
    <row r="78" spans="1:48" ht="17.25" hidden="1" thickBot="1" x14ac:dyDescent="0.35">
      <c r="A78" s="42" t="str">
        <f t="shared" ref="A78" si="87">+A79</f>
        <v>[ocultar]</v>
      </c>
      <c r="B78" s="90" t="s">
        <v>281</v>
      </c>
      <c r="C78" s="109"/>
      <c r="D78" s="41"/>
      <c r="E78" s="41"/>
      <c r="F78" s="41"/>
      <c r="G78" s="41"/>
      <c r="H78" s="41"/>
      <c r="I78" s="119" t="str">
        <f t="shared" ref="I78:AV78" si="88">IFERROR((I79-I80)/I79,"")</f>
        <v/>
      </c>
      <c r="J78" s="123" t="str">
        <f t="shared" si="88"/>
        <v/>
      </c>
      <c r="K78" s="123" t="str">
        <f t="shared" si="88"/>
        <v/>
      </c>
      <c r="L78" s="123" t="str">
        <f t="shared" si="88"/>
        <v/>
      </c>
      <c r="M78" s="123" t="str">
        <f t="shared" si="88"/>
        <v/>
      </c>
      <c r="N78" s="123" t="str">
        <f t="shared" si="88"/>
        <v/>
      </c>
      <c r="O78" s="123" t="str">
        <f t="shared" si="88"/>
        <v/>
      </c>
      <c r="P78" s="123" t="str">
        <f t="shared" si="88"/>
        <v/>
      </c>
      <c r="Q78" s="123" t="str">
        <f t="shared" si="88"/>
        <v/>
      </c>
      <c r="R78" s="123" t="str">
        <f t="shared" si="88"/>
        <v/>
      </c>
      <c r="S78" s="123" t="str">
        <f t="shared" si="88"/>
        <v/>
      </c>
      <c r="T78" s="123" t="str">
        <f t="shared" si="88"/>
        <v/>
      </c>
      <c r="U78" s="123" t="str">
        <f t="shared" si="88"/>
        <v/>
      </c>
      <c r="V78" s="123" t="str">
        <f t="shared" si="88"/>
        <v/>
      </c>
      <c r="W78" s="123" t="str">
        <f t="shared" si="88"/>
        <v/>
      </c>
      <c r="X78" s="123" t="str">
        <f t="shared" si="88"/>
        <v/>
      </c>
      <c r="Y78" s="123" t="str">
        <f t="shared" si="88"/>
        <v/>
      </c>
      <c r="Z78" s="122" t="str">
        <f t="shared" si="88"/>
        <v/>
      </c>
      <c r="AA78" s="122" t="str">
        <f t="shared" si="88"/>
        <v/>
      </c>
      <c r="AB78" s="122" t="str">
        <f t="shared" si="88"/>
        <v/>
      </c>
      <c r="AC78" s="122" t="str">
        <f t="shared" si="88"/>
        <v/>
      </c>
      <c r="AD78" s="122" t="str">
        <f t="shared" si="88"/>
        <v/>
      </c>
      <c r="AE78" s="122" t="str">
        <f t="shared" si="88"/>
        <v/>
      </c>
      <c r="AF78" s="122" t="str">
        <f t="shared" si="88"/>
        <v/>
      </c>
      <c r="AG78" s="122" t="str">
        <f t="shared" si="88"/>
        <v/>
      </c>
      <c r="AH78" s="122" t="str">
        <f t="shared" si="88"/>
        <v/>
      </c>
      <c r="AI78" s="122" t="str">
        <f t="shared" si="88"/>
        <v/>
      </c>
      <c r="AJ78" s="122" t="str">
        <f t="shared" si="88"/>
        <v/>
      </c>
      <c r="AK78" s="122" t="str">
        <f t="shared" si="88"/>
        <v/>
      </c>
      <c r="AL78" s="122" t="str">
        <f t="shared" si="88"/>
        <v/>
      </c>
      <c r="AM78" s="122" t="str">
        <f t="shared" si="88"/>
        <v/>
      </c>
      <c r="AN78" s="124" t="str">
        <f t="shared" si="88"/>
        <v/>
      </c>
      <c r="AO78" s="128" t="str">
        <f t="shared" si="88"/>
        <v/>
      </c>
      <c r="AP78" s="125" t="str">
        <f t="shared" si="88"/>
        <v/>
      </c>
      <c r="AQ78" s="125" t="str">
        <f t="shared" si="88"/>
        <v/>
      </c>
      <c r="AR78" s="125" t="str">
        <f t="shared" si="88"/>
        <v/>
      </c>
      <c r="AS78" s="125" t="str">
        <f t="shared" si="88"/>
        <v/>
      </c>
      <c r="AT78" s="125" t="str">
        <f t="shared" si="88"/>
        <v/>
      </c>
      <c r="AU78" s="126" t="str">
        <f t="shared" si="88"/>
        <v/>
      </c>
      <c r="AV78" s="127" t="str">
        <f t="shared" si="88"/>
        <v/>
      </c>
    </row>
    <row r="79" spans="1:48" hidden="1" x14ac:dyDescent="0.3">
      <c r="A79" s="42" t="str">
        <f t="shared" ref="A79" si="89">+IF(C79+C80=0,"[ocultar]","")</f>
        <v>[ocultar]</v>
      </c>
      <c r="B79" s="86" t="s">
        <v>162</v>
      </c>
      <c r="C79" s="33">
        <f t="array" ref="C79">SUM(IF($B79=DATOS_[Sexo],
IF($B78=DATOS_[AGRUP. VALOR. PTO.],
IF("Dentro"=DATOS_[Check Periodo Ref.],
1/(COUNTIFS(DATOS_[Sexo],$B79,DATOS_[AGRUP. VALOR. PTO.],$B78,DATOS_[Check Periodo Ref.],"Dentro",DATOS_[id],DATOS_[id]))))))</f>
        <v>0</v>
      </c>
      <c r="D79" s="35">
        <f>COUNTIFS(DATOS_[AGRUP. VALOR. PTO.],$B78,DATOS_[Sexo],$B79,DATOS_[Check Periodo Ref.],"Dentro")</f>
        <v>0</v>
      </c>
      <c r="E79" s="35">
        <f>COUNTIFS(DATOS_[AGRUP. VALOR. PTO.],$B78,DATOS_[Sexo],$B79,DATOS_[Check Periodo Ref.],"Dentro",DATOS_[Check Nº SC Norm],"Sí")</f>
        <v>0</v>
      </c>
      <c r="F79" s="35">
        <f>COUNTIFS(DATOS_[AGRUP. VALOR. PTO.],$B78,DATOS_[Sexo],$B79,DATOS_[Check Periodo Ref.],"Dentro",DATOS_[Check Nº SC Anualiz],"Sí")</f>
        <v>0</v>
      </c>
      <c r="G79" s="35">
        <f>COUNTIFS(DATOS_[AGRUP. VALOR. PTO.],$B78,DATOS_[Sexo],$B79,DATOS_[Check Periodo Ref.],"Dentro",DATOS_[Check Nº SC Norm y Anualiz],"Sí")</f>
        <v>0</v>
      </c>
      <c r="H79" s="35">
        <f>COUNTIFS(DATOS_[AGRUP. VALOR. PTO.],$B78,DATOS_[Sexo],$B79,DATOS_[Check Periodo Ref.],"Dentro",DATOS_[Check Equiparación],"Sí")</f>
        <v>0</v>
      </c>
      <c r="I79" s="110">
        <f t="array" ref="I79">IFERROR(
MEDIAN(IF(DATOS_[Sexo]=$B79,IF(DATOS_[[AGRUP. VALOR. PTO.]:[AGRUP. VALOR. PTO.]]=$B78,IF(DATOS_[Check Equiparado]="Sí",IF(DATOS_[Check Periodo Ref.]="Dentro",DATOS_[SALARIO BASE Eq],FALSE))))),
0)</f>
        <v>0</v>
      </c>
      <c r="J79" s="111">
        <f t="array" ref="J79">IFERROR(
(MEDIAN((IF(DATOS_[[Sexo]:[Sexo]]=$B79,IF(DATOS_[[AGRUP. VALOR. PTO.]:[AGRUP. VALOR. PTO.]]=$B78,IF(DATOS_[[Check Periodo Ref.]:[Check Periodo Ref.]]="Dentro",IF(DATOS_[[Check Equiparado]:[Check Equiparado]]="Sí",IF(DATOS!AE$5="Sí",(1/DATOS_[[% anualiz]:[% anualiz]]),1)*IF(DATOS!AE$4="Sí",1/DATOS_[[% normaliz]:[% normaliz]],1)*(DATOS_[Conc.Sal.01])))))))),
0)</f>
        <v>0</v>
      </c>
      <c r="K79" s="111">
        <f t="array" ref="K79">IFERROR(
(MEDIAN((IF(DATOS_[[Sexo]:[Sexo]]=$B79,IF(DATOS_[[AGRUP. VALOR. PTO.]:[AGRUP. VALOR. PTO.]]=$B78,IF(DATOS_[[Check Periodo Ref.]:[Check Periodo Ref.]]="Dentro",IF(DATOS_[[Check Equiparado]:[Check Equiparado]]="Sí",IF(DATOS!AF$5="Sí",(1/DATOS_[[% anualiz]:[% anualiz]]),1)*IF(DATOS!AF$4="Sí",1/DATOS_[[% normaliz]:[% normaliz]],1)*(DATOS_[Conc.Sal.02])))))))),
0)</f>
        <v>0</v>
      </c>
      <c r="L79" s="111">
        <f t="array" ref="L79">IFERROR(
(MEDIAN((IF(DATOS_[[Sexo]:[Sexo]]=$B79,IF(DATOS_[[AGRUP. VALOR. PTO.]:[AGRUP. VALOR. PTO.]]=$B78,IF(DATOS_[[Check Periodo Ref.]:[Check Periodo Ref.]]="Dentro",IF(DATOS_[[Check Equiparado]:[Check Equiparado]]="Sí",IF(DATOS!AG$5="Sí",(1/DATOS_[[% anualiz]:[% anualiz]]),1)*IF(DATOS!AG$4="Sí",1/DATOS_[[% normaliz]:[% normaliz]],1)*(DATOS_[Conc.Sal.03])))))))),
0)</f>
        <v>0</v>
      </c>
      <c r="M79" s="111">
        <f t="array" ref="M79">IFERROR(
(MEDIAN((IF(DATOS_[[Sexo]:[Sexo]]=$B79,IF(DATOS_[[AGRUP. VALOR. PTO.]:[AGRUP. VALOR. PTO.]]=$B78,IF(DATOS_[[Check Periodo Ref.]:[Check Periodo Ref.]]="Dentro",IF(DATOS_[[Check Equiparado]:[Check Equiparado]]="Sí",IF(DATOS!AH$5="Sí",(1/DATOS_[[% anualiz]:[% anualiz]]),1)*IF(DATOS!AH$4="Sí",1/DATOS_[[% normaliz]:[% normaliz]],1)*(DATOS_[Conc.Sal.04])))))))),
0)</f>
        <v>0</v>
      </c>
      <c r="N79" s="111">
        <f t="array" ref="N79">IFERROR(
(MEDIAN((IF(DATOS_[[Sexo]:[Sexo]]=$B79,IF(DATOS_[[AGRUP. VALOR. PTO.]:[AGRUP. VALOR. PTO.]]=$B78,IF(DATOS_[[Check Periodo Ref.]:[Check Periodo Ref.]]="Dentro",IF(DATOS_[[Check Equiparado]:[Check Equiparado]]="Sí",IF(DATOS!AI$5="Sí",(1/DATOS_[[% anualiz]:[% anualiz]]),1)*IF(DATOS!AI$4="Sí",1/DATOS_[[% normaliz]:[% normaliz]],1)*(DATOS_[Conc.Sal.05])))))))),
0)</f>
        <v>0</v>
      </c>
      <c r="O79" s="111">
        <f t="array" ref="O79">IFERROR(
(MEDIAN((IF(DATOS_[[Sexo]:[Sexo]]=$B79,IF(DATOS_[[AGRUP. VALOR. PTO.]:[AGRUP. VALOR. PTO.]]=$B78,IF(DATOS_[[Check Periodo Ref.]:[Check Periodo Ref.]]="Dentro",IF(DATOS_[[Check Equiparado]:[Check Equiparado]]="Sí",IF(DATOS!AJ$5="Sí",(1/DATOS_[[% anualiz]:[% anualiz]]),1)*IF(DATOS!AJ$4="Sí",1/DATOS_[[% normaliz]:[% normaliz]],1)*(DATOS_[Conc.Sal.06])))))))),
0)</f>
        <v>0</v>
      </c>
      <c r="P79" s="111">
        <f t="array" ref="P79">IFERROR(
(MEDIAN((IF(DATOS_[[Sexo]:[Sexo]]=$B79,IF(DATOS_[[AGRUP. VALOR. PTO.]:[AGRUP. VALOR. PTO.]]=$B78,IF(DATOS_[[Check Periodo Ref.]:[Check Periodo Ref.]]="Dentro",IF(DATOS_[[Check Equiparado]:[Check Equiparado]]="Sí",IF(DATOS!AK$5="Sí",(1/DATOS_[[% anualiz]:[% anualiz]]),1)*IF(DATOS!AK$4="Sí",1/DATOS_[[% normaliz]:[% normaliz]],1)*(DATOS_[Conc.Sal.07])))))))),
0)</f>
        <v>0</v>
      </c>
      <c r="Q79" s="111">
        <f t="array" ref="Q79">IFERROR(
(MEDIAN((IF(DATOS_[[Sexo]:[Sexo]]=$B79,IF(DATOS_[[AGRUP. VALOR. PTO.]:[AGRUP. VALOR. PTO.]]=$B78,IF(DATOS_[[Check Periodo Ref.]:[Check Periodo Ref.]]="Dentro",IF(DATOS_[[Check Equiparado]:[Check Equiparado]]="Sí",IF(DATOS!AL$5="Sí",(1/DATOS_[[% anualiz]:[% anualiz]]),1)*IF(DATOS!AL$4="Sí",1/DATOS_[[% normaliz]:[% normaliz]],1)*(DATOS_[Conc.Sal.08])))))))),
0)</f>
        <v>0</v>
      </c>
      <c r="R79" s="111">
        <f t="array" ref="R79">IFERROR(
(MEDIAN((IF(DATOS_[[Sexo]:[Sexo]]=$B79,IF(DATOS_[[AGRUP. VALOR. PTO.]:[AGRUP. VALOR. PTO.]]=$B78,IF(DATOS_[[Check Periodo Ref.]:[Check Periodo Ref.]]="Dentro",IF(DATOS_[[Check Equiparado]:[Check Equiparado]]="Sí",IF(DATOS!AM$5="Sí",(1/DATOS_[[% anualiz]:[% anualiz]]),1)*IF(DATOS!AM$4="Sí",1/DATOS_[[% normaliz]:[% normaliz]],1)*(DATOS_[Conc.Sal.09])))))))),
0)</f>
        <v>0</v>
      </c>
      <c r="S79" s="111">
        <f t="array" ref="S79">IFERROR(
(MEDIAN((IF(DATOS_[[Sexo]:[Sexo]]=$B79,IF(DATOS_[[AGRUP. VALOR. PTO.]:[AGRUP. VALOR. PTO.]]=$B78,IF(DATOS_[[Check Periodo Ref.]:[Check Periodo Ref.]]="Dentro",IF(DATOS_[[Check Equiparado]:[Check Equiparado]]="Sí",IF(DATOS!AN$5="Sí",(1/DATOS_[[% anualiz]:[% anualiz]]),1)*IF(DATOS!AN$4="Sí",1/DATOS_[[% normaliz]:[% normaliz]],1)*(DATOS_[Conc.Sal.10])))))))),
0)</f>
        <v>0</v>
      </c>
      <c r="T79" s="111">
        <f t="array" ref="T79">IFERROR(
(MEDIAN((IF(DATOS_[[Sexo]:[Sexo]]=$B79,IF(DATOS_[[AGRUP. VALOR. PTO.]:[AGRUP. VALOR. PTO.]]=$B78,IF(DATOS_[[Check Periodo Ref.]:[Check Periodo Ref.]]="Dentro",IF(DATOS_[[Check Equiparado]:[Check Equiparado]]="Sí",IF(DATOS!AO$5="Sí",(1/DATOS_[[% anualiz]:[% anualiz]]),1)*IF(DATOS!AO$4="Sí",1/DATOS_[[% normaliz]:[% normaliz]],1)*(DATOS_[Conc.Sal.11])))))))),
0)</f>
        <v>0</v>
      </c>
      <c r="U79" s="111">
        <f t="array" ref="U79">IFERROR(
(MEDIAN((IF(DATOS_[[Sexo]:[Sexo]]=$B79,IF(DATOS_[[AGRUP. VALOR. PTO.]:[AGRUP. VALOR. PTO.]]=$B78,IF(DATOS_[[Check Periodo Ref.]:[Check Periodo Ref.]]="Dentro",IF(DATOS_[[Check Equiparado]:[Check Equiparado]]="Sí",IF(DATOS!AP$5="Sí",(1/DATOS_[[% anualiz]:[% anualiz]]),1)*IF(DATOS!AP$4="Sí",1/DATOS_[[% normaliz]:[% normaliz]],1)*(DATOS_[Conc.Sal.12])))))))),
0)</f>
        <v>0</v>
      </c>
      <c r="V79" s="111">
        <f t="array" ref="V79">IFERROR(
(MEDIAN((IF(DATOS_[[Sexo]:[Sexo]]=$B79,IF(DATOS_[[AGRUP. VALOR. PTO.]:[AGRUP. VALOR. PTO.]]=$B78,IF(DATOS_[[Check Periodo Ref.]:[Check Periodo Ref.]]="Dentro",IF(DATOS_[[Check Equiparado]:[Check Equiparado]]="Sí",IF(DATOS!AQ$5="Sí",(1/DATOS_[[% anualiz]:[% anualiz]]),1)*IF(DATOS!AQ$4="Sí",1/DATOS_[[% normaliz]:[% normaliz]],1)*(DATOS_[Conc.Sal.13])))))))),
0)</f>
        <v>0</v>
      </c>
      <c r="W79" s="111">
        <f t="array" ref="W79">IFERROR(
(MEDIAN((IF(DATOS_[[Sexo]:[Sexo]]=$B79,IF(DATOS_[[AGRUP. VALOR. PTO.]:[AGRUP. VALOR. PTO.]]=$B78,IF(DATOS_[[Check Periodo Ref.]:[Check Periodo Ref.]]="Dentro",IF(DATOS_[[Check Equiparado]:[Check Equiparado]]="Sí",IF(DATOS!AR$5="Sí",(1/DATOS_[[% anualiz]:[% anualiz]]),1)*IF(DATOS!AR$4="Sí",1/DATOS_[[% normaliz]:[% normaliz]],1)*(DATOS_[Conc.Sal.14])))))))),
0)</f>
        <v>0</v>
      </c>
      <c r="X79" s="111">
        <f t="array" ref="X79">IFERROR(
(MEDIAN((IF(DATOS_[[Sexo]:[Sexo]]=$B79,IF(DATOS_[[AGRUP. VALOR. PTO.]:[AGRUP. VALOR. PTO.]]=$B78,IF(DATOS_[[Check Periodo Ref.]:[Check Periodo Ref.]]="Dentro",IF(DATOS_[[Check Equiparado]:[Check Equiparado]]="Sí",IF(DATOS!AS$5="Sí",(1/DATOS_[[% anualiz]:[% anualiz]]),1)*IF(DATOS!AS$4="Sí",1/DATOS_[[% normaliz]:[% normaliz]],1)*(DATOS_[Conc.Sal.15])))))))),
0)</f>
        <v>0</v>
      </c>
      <c r="Y79" s="111">
        <f t="array" ref="Y79">IFERROR(
(MEDIAN((IF(DATOS_[[Sexo]:[Sexo]]=$B79,IF(DATOS_[[AGRUP. VALOR. PTO.]:[AGRUP. VALOR. PTO.]]=$B78,IF(DATOS_[[Check Periodo Ref.]:[Check Periodo Ref.]]="Dentro",IF(DATOS_[[Check Equiparado]:[Check Equiparado]]="Sí",IF(DATOS!AT$5="Sí",(1/DATOS_[[% anualiz]:[% anualiz]]),1)*IF(DATOS!AT$4="Sí",1/DATOS_[[% normaliz]:[% normaliz]],1)*(DATOS_[Conc.Sal.16])))))))),
0)</f>
        <v>0</v>
      </c>
      <c r="Z79" s="111">
        <f t="array" ref="Z79">IFERROR(
(MEDIAN((IF(DATOS_[[Sexo]:[Sexo]]=$B79,IF(DATOS_[[AGRUP. VALOR. PTO.]:[AGRUP. VALOR. PTO.]]=$B78,IF(DATOS_[[Check Periodo Ref.]:[Check Periodo Ref.]]="Dentro",IF(DATOS_[[Check Equiparado]:[Check Equiparado]]="Sí",IF(DATOS!AU$5="Sí",(1/DATOS_[[% anualiz]:[% anualiz]]),1)*IF(DATOS!AU$4="Sí",1/DATOS_[[% normaliz]:[% normaliz]],1)*(DATOS_[Conc.Sal.17])))))))),
0)</f>
        <v>0</v>
      </c>
      <c r="AA79" s="111">
        <f t="array" ref="AA79">IFERROR(
(MEDIAN((IF(DATOS_[[Sexo]:[Sexo]]=$B79,IF(DATOS_[[AGRUP. VALOR. PTO.]:[AGRUP. VALOR. PTO.]]=$B78,IF(DATOS_[[Check Periodo Ref.]:[Check Periodo Ref.]]="Dentro",IF(DATOS_[[Check Equiparado]:[Check Equiparado]]="Sí",IF(DATOS!AV$5="Sí",(1/DATOS_[[% anualiz]:[% anualiz]]),1)*IF(DATOS!AV$4="Sí",1/DATOS_[[% normaliz]:[% normaliz]],1)*(DATOS_[Conc.Sal.18])))))))),
0)</f>
        <v>0</v>
      </c>
      <c r="AB79" s="111">
        <f t="array" ref="AB79">IFERROR(
(MEDIAN((IF(DATOS_[[Sexo]:[Sexo]]=$B79,IF(DATOS_[[AGRUP. VALOR. PTO.]:[AGRUP. VALOR. PTO.]]=$B78,IF(DATOS_[[Check Periodo Ref.]:[Check Periodo Ref.]]="Dentro",IF(DATOS_[[Check Equiparado]:[Check Equiparado]]="Sí",IF(DATOS!AW$5="Sí",(1/DATOS_[[% anualiz]:[% anualiz]]),1)*IF(DATOS!AW$4="Sí",1/DATOS_[[% normaliz]:[% normaliz]],1)*(DATOS_[Conc.Sal.19])))))))),
0)</f>
        <v>0</v>
      </c>
      <c r="AC79" s="111">
        <f t="array" ref="AC79">IFERROR(
(MEDIAN((IF(DATOS_[[Sexo]:[Sexo]]=$B79,IF(DATOS_[[AGRUP. VALOR. PTO.]:[AGRUP. VALOR. PTO.]]=$B78,IF(DATOS_[[Check Periodo Ref.]:[Check Periodo Ref.]]="Dentro",IF(DATOS_[[Check Equiparado]:[Check Equiparado]]="Sí",IF(DATOS!AX$5="Sí",(1/DATOS_[[% anualiz]:[% anualiz]]),1)*IF(DATOS!AX$4="Sí",1/DATOS_[[% normaliz]:[% normaliz]],1)*(DATOS_[Conc.Sal.20])))))))),
0)</f>
        <v>0</v>
      </c>
      <c r="AD79" s="111">
        <f t="array" ref="AD79">IFERROR(
(MEDIAN((IF(DATOS_[[Sexo]:[Sexo]]=$B79,IF(DATOS_[[AGRUP. VALOR. PTO.]:[AGRUP. VALOR. PTO.]]=$B78,IF(DATOS_[[Check Periodo Ref.]:[Check Periodo Ref.]]="Dentro",IF(DATOS_[[Check Equiparado]:[Check Equiparado]]="Sí",IF(DATOS!AY$5="Sí",(1/DATOS_[[% anualiz]:[% anualiz]]),1)*IF(DATOS!AY$4="Sí",1/DATOS_[[% normaliz]:[% normaliz]],1)*(DATOS_[Conc.Sal.21])))))))),
0)</f>
        <v>0</v>
      </c>
      <c r="AE79" s="111">
        <f t="array" ref="AE79">IFERROR(
(MEDIAN((IF(DATOS_[[Sexo]:[Sexo]]=$B79,IF(DATOS_[[AGRUP. VALOR. PTO.]:[AGRUP. VALOR. PTO.]]=$B78,IF(DATOS_[[Check Periodo Ref.]:[Check Periodo Ref.]]="Dentro",IF(DATOS_[[Check Equiparado]:[Check Equiparado]]="Sí",IF(DATOS!AZ$5="Sí",(1/DATOS_[[% anualiz]:[% anualiz]]),1)*IF(DATOS!AZ$4="Sí",1/DATOS_[[% normaliz]:[% normaliz]],1)*(DATOS_[Conc.Sal.22])))))))),
0)</f>
        <v>0</v>
      </c>
      <c r="AF79" s="111">
        <f t="array" ref="AF79">IFERROR(
(MEDIAN((IF(DATOS_[[Sexo]:[Sexo]]=$B79,IF(DATOS_[[AGRUP. VALOR. PTO.]:[AGRUP. VALOR. PTO.]]=$B78,IF(DATOS_[[Check Periodo Ref.]:[Check Periodo Ref.]]="Dentro",IF(DATOS_[[Check Equiparado]:[Check Equiparado]]="Sí",IF(DATOS!BA$5="Sí",(1/DATOS_[[% anualiz]:[% anualiz]]),1)*IF(DATOS!BA$4="Sí",1/DATOS_[[% normaliz]:[% normaliz]],1)*(DATOS_[Conc.Sal.23])))))))),
0)</f>
        <v>0</v>
      </c>
      <c r="AG79" s="111">
        <f t="array" ref="AG79">IFERROR(
(MEDIAN((IF(DATOS_[[Sexo]:[Sexo]]=$B79,IF(DATOS_[[AGRUP. VALOR. PTO.]:[AGRUP. VALOR. PTO.]]=$B78,IF(DATOS_[[Check Periodo Ref.]:[Check Periodo Ref.]]="Dentro",IF(DATOS_[[Check Equiparado]:[Check Equiparado]]="Sí",IF(DATOS!BB$5="Sí",(1/DATOS_[[% anualiz]:[% anualiz]]),1)*IF(DATOS!BB$4="Sí",1/DATOS_[[% normaliz]:[% normaliz]],1)*(DATOS_[Conc.Sal.24])))))))),
0)</f>
        <v>0</v>
      </c>
      <c r="AH79" s="111">
        <f t="array" ref="AH79">IFERROR(
(MEDIAN((IF(DATOS_[[Sexo]:[Sexo]]=$B79,IF(DATOS_[[AGRUP. VALOR. PTO.]:[AGRUP. VALOR. PTO.]]=$B78,IF(DATOS_[[Check Periodo Ref.]:[Check Periodo Ref.]]="Dentro",IF(DATOS_[[Check Equiparado]:[Check Equiparado]]="Sí",IF(DATOS!BC$5="Sí",(1/DATOS_[[% anualiz]:[% anualiz]]),1)*IF(DATOS!BC$4="Sí",1/DATOS_[[% normaliz]:[% normaliz]],1)*(DATOS_[Conc.Sal.25])))))))),
0)</f>
        <v>0</v>
      </c>
      <c r="AI79" s="111">
        <f t="array" ref="AI79">IFERROR(
(MEDIAN((IF(DATOS_[[Sexo]:[Sexo]]=$B79,IF(DATOS_[[AGRUP. VALOR. PTO.]:[AGRUP. VALOR. PTO.]]=$B78,IF(DATOS_[[Check Periodo Ref.]:[Check Periodo Ref.]]="Dentro",IF(DATOS_[[Check Equiparado]:[Check Equiparado]]="Sí",IF(DATOS!BD$5="Sí",(1/DATOS_[[% anualiz]:[% anualiz]]),1)*IF(DATOS!BD$4="Sí",1/DATOS_[[% normaliz]:[% normaliz]],1)*(DATOS_[Conc.Sal.26])))))))),
0)</f>
        <v>0</v>
      </c>
      <c r="AJ79" s="111">
        <f t="array" ref="AJ79">IFERROR(
(MEDIAN((IF(DATOS_[[Sexo]:[Sexo]]=$B79,IF(DATOS_[[AGRUP. VALOR. PTO.]:[AGRUP. VALOR. PTO.]]=$B78,IF(DATOS_[[Check Periodo Ref.]:[Check Periodo Ref.]]="Dentro",IF(DATOS_[[Check Equiparado]:[Check Equiparado]]="Sí",IF(DATOS!BE$5="Sí",(1/DATOS_[[% anualiz]:[% anualiz]]),1)*IF(DATOS!BE$4="Sí",1/DATOS_[[% normaliz]:[% normaliz]],1)*(DATOS_[Conc.Sal.27])))))))),
0)</f>
        <v>0</v>
      </c>
      <c r="AK79" s="111">
        <f t="array" ref="AK79">IFERROR(
(MEDIAN((IF(DATOS_[[Sexo]:[Sexo]]=$B79,IF(DATOS_[[AGRUP. VALOR. PTO.]:[AGRUP. VALOR. PTO.]]=$B78,IF(DATOS_[[Check Periodo Ref.]:[Check Periodo Ref.]]="Dentro",IF(DATOS_[[Check Equiparado]:[Check Equiparado]]="Sí",IF(DATOS!BF$5="Sí",(1/DATOS_[[% anualiz]:[% anualiz]]),1)*IF(DATOS!BF$4="Sí",1/DATOS_[[% normaliz]:[% normaliz]],1)*(DATOS_[Conc.Sal.28])))))))),
0)</f>
        <v>0</v>
      </c>
      <c r="AL79" s="111">
        <f t="array" ref="AL79">IFERROR(
(MEDIAN((IF(DATOS_[[Sexo]:[Sexo]]=$B79,IF(DATOS_[[AGRUP. VALOR. PTO.]:[AGRUP. VALOR. PTO.]]=$B78,IF(DATOS_[[Check Periodo Ref.]:[Check Periodo Ref.]]="Dentro",IF(DATOS_[[Check Equiparado]:[Check Equiparado]]="Sí",IF(DATOS!BG$5="Sí",(1/DATOS_[[% anualiz]:[% anualiz]]),1)*IF(DATOS!BG$4="Sí",1/DATOS_[[% normaliz]:[% normaliz]],1)*(DATOS_[Conc.Sal.29])))))))),
0)</f>
        <v>0</v>
      </c>
      <c r="AM79" s="111">
        <f t="array" ref="AM79">IFERROR(
(MEDIAN((IF(DATOS_[[Sexo]:[Sexo]]=$B79,IF(DATOS_[[AGRUP. VALOR. PTO.]:[AGRUP. VALOR. PTO.]]=$B78,IF(DATOS_[[Check Periodo Ref.]:[Check Periodo Ref.]]="Dentro",IF(DATOS_[[Check Equiparado]:[Check Equiparado]]="Sí",IF(DATOS!BH$5="Sí",(1/DATOS_[[% anualiz]:[% anualiz]]),1)*IF(DATOS!BH$4="Sí",1/DATOS_[[% normaliz]:[% normaliz]],1)*(DATOS_[Conc.Sal.30])))))))),
0)</f>
        <v>0</v>
      </c>
      <c r="AN79" s="112">
        <f t="array" ref="AN79">IFERROR(
MEDIAN(IF(DATOS_[Sexo]=$B79,IF(DATOS_[[AGRUP. VALOR. PTO.]:[AGRUP. VALOR. PTO.]]=$B78,IF(DATOS_[Check Equiparado]="Sí",IF(DATOS_[Check Periodo Ref.]="Dentro",DATOS_[Tot COMPL.SAL Eq],FALSE))))),
0)</f>
        <v>0</v>
      </c>
      <c r="AO79" s="113">
        <f t="array" ref="AO79">IFERROR(
MEDIAN(IF(DATOS_[Sexo]=$B79,IF(DATOS_[[AGRUP. VALOR. PTO.]:[AGRUP. VALOR. PTO.]]=$B78,IF(DATOS_[Check Equiparado]="Sí",IF(DATOS_[Check Periodo Ref.]="Dentro",DATOS_[TOTAL SALARIO Eq],FALSE))))),
0)</f>
        <v>0</v>
      </c>
      <c r="AP79" s="114">
        <f t="array" ref="AP79">IFERROR(
(MEDIAN((IF(DATOS_[[Sexo]:[Sexo]]=$B79,IF(DATOS_[[AGRUP. VALOR. PTO.]:[AGRUP. VALOR. PTO.]]=$B78,IF(DATOS_[[Check Periodo Ref.]:[Check Periodo Ref.]]="Dentro",IF(DATOS_[[Check Equiparado]:[Check Equiparado]]="Sí",IF(DATOS!BI$5="Sí",(1/DATOS_[[% anualiz]:[% anualiz]]),1)*IF(DATOS!BI$4="Sí",1/DATOS_[[% normaliz]:[% normaliz]],1)*(DATOS_[C.Extra.01])))))))),
0)</f>
        <v>0</v>
      </c>
      <c r="AQ79" s="114">
        <f t="array" ref="AQ79">IFERROR(
(MEDIAN((IF(DATOS_[[Sexo]:[Sexo]]=$B79,IF(DATOS_[[AGRUP. VALOR. PTO.]:[AGRUP. VALOR. PTO.]]=$B78,IF(DATOS_[[Check Periodo Ref.]:[Check Periodo Ref.]]="Dentro",IF(DATOS_[[Check Equiparado]:[Check Equiparado]]="Sí",IF(DATOS!BJ$5="Sí",(1/DATOS_[[% anualiz]:[% anualiz]]),1)*IF(DATOS!BJ$4="Sí",1/DATOS_[[% normaliz]:[% normaliz]],1)*(DATOS_[C.Extra.02])))))))),
0)</f>
        <v>0</v>
      </c>
      <c r="AR79" s="114">
        <f t="array" ref="AR79">IFERROR(
(MEDIAN((IF(DATOS_[[Sexo]:[Sexo]]=$B79,IF(DATOS_[[AGRUP. VALOR. PTO.]:[AGRUP. VALOR. PTO.]]=$B78,IF(DATOS_[[Check Periodo Ref.]:[Check Periodo Ref.]]="Dentro",IF(DATOS_[[Check Equiparado]:[Check Equiparado]]="Sí",IF(DATOS!BK$5="Sí",(1/DATOS_[[% anualiz]:[% anualiz]]),1)*IF(DATOS!BK$4="Sí",1/DATOS_[[% normaliz]:[% normaliz]],1)*(DATOS_[C.Extra.03])))))))),
0)</f>
        <v>0</v>
      </c>
      <c r="AS79" s="114">
        <f t="array" ref="AS79">IFERROR(
(MEDIAN((IF(DATOS_[[Sexo]:[Sexo]]=$B79,IF(DATOS_[[AGRUP. VALOR. PTO.]:[AGRUP. VALOR. PTO.]]=$B78,IF(DATOS_[[Check Periodo Ref.]:[Check Periodo Ref.]]="Dentro",IF(DATOS_[[Check Equiparado]:[Check Equiparado]]="Sí",IF(DATOS!BL$5="Sí",(1/DATOS_[[% anualiz]:[% anualiz]]),1)*IF(DATOS!BL$4="Sí",1/DATOS_[[% normaliz]:[% normaliz]],1)*(DATOS_[C.Extra.04])))))))),
0)</f>
        <v>0</v>
      </c>
      <c r="AT79" s="114">
        <f t="array" ref="AT79">IFERROR(
(MEDIAN((IF(DATOS_[[Sexo]:[Sexo]]=$B79,IF(DATOS_[[AGRUP. VALOR. PTO.]:[AGRUP. VALOR. PTO.]]=$B78,IF(DATOS_[[Check Periodo Ref.]:[Check Periodo Ref.]]="Dentro",IF(DATOS_[[Check Equiparado]:[Check Equiparado]]="Sí",IF(DATOS!BM$5="Sí",(1/DATOS_[[% anualiz]:[% anualiz]]),1)*IF(DATOS!BM$4="Sí",1/DATOS_[[% normaliz]:[% normaliz]],1)*(DATOS_[C.Extra.05])))))))),
0)</f>
        <v>0</v>
      </c>
      <c r="AU79" s="115">
        <f t="array" ref="AU79">IFERROR(
MEDIAN(IF(DATOS_[Sexo]=$B79,IF(DATOS_[[AGRUP. VALOR. PTO.]:[AGRUP. VALOR. PTO.]]=$B78,IF(DATOS_[Check Equiparado]="Sí",IF(DATOS_[Check Periodo Ref.]="Dentro",DATOS_[Tot Extrasalarial Eq],FALSE))))),
0)</f>
        <v>0</v>
      </c>
      <c r="AV79" s="116">
        <f t="array" ref="AV79">IFERROR(
MEDIAN(IF(DATOS_[Sexo]=$B79,IF(DATOS_[[AGRUP. VALOR. PTO.]:[AGRUP. VALOR. PTO.]]=$B78,IF(DATOS_[Check Equiparado]="Sí",IF(DATOS_[Check Periodo Ref.]="Dentro",DATOS_[TOTAL Retrib Eq],FALSE))))),
0)</f>
        <v>0</v>
      </c>
    </row>
    <row r="80" spans="1:48" hidden="1" x14ac:dyDescent="0.3">
      <c r="A80" s="42" t="str">
        <f t="shared" ref="A80" si="90">+A79</f>
        <v>[ocultar]</v>
      </c>
      <c r="B80" s="86" t="s">
        <v>163</v>
      </c>
      <c r="C80" s="33">
        <f t="array" ref="C80">SUM(IF($B80=DATOS_[Sexo],
IF($B78=DATOS_[AGRUP. VALOR. PTO.],
IF("Dentro"=DATOS_[Check Periodo Ref.],
1/(COUNTIFS(DATOS_[Sexo],$B80,DATOS_[AGRUP. VALOR. PTO.],$B78,DATOS_[Check Periodo Ref.],"Dentro",DATOS_[id],DATOS_[id]))))))</f>
        <v>0</v>
      </c>
      <c r="D80" s="35">
        <f>COUNTIFS(DATOS_[AGRUP. VALOR. PTO.],$B78,DATOS_[Sexo],$B80,DATOS_[Check Periodo Ref.],"Dentro")</f>
        <v>0</v>
      </c>
      <c r="E80" s="35">
        <f>COUNTIFS(DATOS_[AGRUP. VALOR. PTO.],$B78,DATOS_[Sexo],$B80,DATOS_[Check Periodo Ref.],"Dentro",DATOS_[Check Nº SC Norm],"Sí")</f>
        <v>0</v>
      </c>
      <c r="F80" s="35">
        <f>COUNTIFS(DATOS_[AGRUP. VALOR. PTO.],$B78,DATOS_[Sexo],$B80,DATOS_[Check Periodo Ref.],"Dentro",DATOS_[Check Nº SC Anualiz],"Sí")</f>
        <v>0</v>
      </c>
      <c r="G80" s="35">
        <f>COUNTIFS(DATOS_[AGRUP. VALOR. PTO.],$B78,DATOS_[Sexo],$B80,DATOS_[Check Periodo Ref.],"Dentro",DATOS_[Check Nº SC Norm y Anualiz],"Sí")</f>
        <v>0</v>
      </c>
      <c r="H80" s="35">
        <f>COUNTIFS(DATOS_[AGRUP. VALOR. PTO.],$B78,DATOS_[Sexo],$B80,DATOS_[Check Periodo Ref.],"Dentro",DATOS_[Check Equiparación],"Sí")</f>
        <v>0</v>
      </c>
      <c r="I80" s="110" cm="1">
        <f t="array" ref="I80">IFERROR(
MEDIAN(IF(DATOS_[Sexo]=$B80,IF(DATOS_[[AGRUP. VALOR. PTO.]:[AGRUP. VALOR. PTO.]]=$B78,IF(DATOS_[Check Equiparado]="Sí",IF(DATOS_[Check Periodo Ref.]="Dentro",DATOS_[SALARIO BASE Eq],FALSE))))),
0)</f>
        <v>0</v>
      </c>
      <c r="J80" s="111">
        <f t="array" ref="J80">IFERROR(
(MEDIAN((IF(DATOS_[[Sexo]:[Sexo]]=$B80,IF(DATOS_[[AGRUP. VALOR. PTO.]:[AGRUP. VALOR. PTO.]]=$B78,IF(DATOS_[[Check Periodo Ref.]:[Check Periodo Ref.]]="Dentro",IF(DATOS_[[Check Equiparado]:[Check Equiparado]]="Sí",IF(DATOS!AE$5="Sí",(1/DATOS_[[% anualiz]:[% anualiz]]),1)*IF(DATOS!AE$4="Sí",1/DATOS_[[% normaliz]:[% normaliz]],1)*(DATOS_[Conc.Sal.01])))))))),
0)</f>
        <v>0</v>
      </c>
      <c r="K80" s="111">
        <f t="array" ref="K80">IFERROR(
(MEDIAN((IF(DATOS_[[Sexo]:[Sexo]]=$B80,IF(DATOS_[[AGRUP. VALOR. PTO.]:[AGRUP. VALOR. PTO.]]=$B78,IF(DATOS_[[Check Periodo Ref.]:[Check Periodo Ref.]]="Dentro",IF(DATOS_[[Check Equiparado]:[Check Equiparado]]="Sí",IF(DATOS!AF$5="Sí",(1/DATOS_[[% anualiz]:[% anualiz]]),1)*IF(DATOS!AF$4="Sí",1/DATOS_[[% normaliz]:[% normaliz]],1)*(DATOS_[Conc.Sal.02])))))))),
0)</f>
        <v>0</v>
      </c>
      <c r="L80" s="111">
        <f t="array" ref="L80">IFERROR(
(MEDIAN((IF(DATOS_[[Sexo]:[Sexo]]=$B80,IF(DATOS_[[AGRUP. VALOR. PTO.]:[AGRUP. VALOR. PTO.]]=$B78,IF(DATOS_[[Check Periodo Ref.]:[Check Periodo Ref.]]="Dentro",IF(DATOS_[[Check Equiparado]:[Check Equiparado]]="Sí",IF(DATOS!AG$5="Sí",(1/DATOS_[[% anualiz]:[% anualiz]]),1)*IF(DATOS!AG$4="Sí",1/DATOS_[[% normaliz]:[% normaliz]],1)*(DATOS_[Conc.Sal.03])))))))),
0)</f>
        <v>0</v>
      </c>
      <c r="M80" s="111">
        <f t="array" ref="M80">IFERROR(
(MEDIAN((IF(DATOS_[[Sexo]:[Sexo]]=$B80,IF(DATOS_[[AGRUP. VALOR. PTO.]:[AGRUP. VALOR. PTO.]]=$B78,IF(DATOS_[[Check Periodo Ref.]:[Check Periodo Ref.]]="Dentro",IF(DATOS_[[Check Equiparado]:[Check Equiparado]]="Sí",IF(DATOS!AH$5="Sí",(1/DATOS_[[% anualiz]:[% anualiz]]),1)*IF(DATOS!AH$4="Sí",1/DATOS_[[% normaliz]:[% normaliz]],1)*(DATOS_[Conc.Sal.04])))))))),
0)</f>
        <v>0</v>
      </c>
      <c r="N80" s="111">
        <f t="array" ref="N80">IFERROR(
(MEDIAN((IF(DATOS_[[Sexo]:[Sexo]]=$B80,IF(DATOS_[[AGRUP. VALOR. PTO.]:[AGRUP. VALOR. PTO.]]=$B78,IF(DATOS_[[Check Periodo Ref.]:[Check Periodo Ref.]]="Dentro",IF(DATOS_[[Check Equiparado]:[Check Equiparado]]="Sí",IF(DATOS!AI$5="Sí",(1/DATOS_[[% anualiz]:[% anualiz]]),1)*IF(DATOS!AI$4="Sí",1/DATOS_[[% normaliz]:[% normaliz]],1)*(DATOS_[Conc.Sal.05])))))))),
0)</f>
        <v>0</v>
      </c>
      <c r="O80" s="111">
        <f t="array" ref="O80">IFERROR(
(MEDIAN((IF(DATOS_[[Sexo]:[Sexo]]=$B80,IF(DATOS_[[AGRUP. VALOR. PTO.]:[AGRUP. VALOR. PTO.]]=$B78,IF(DATOS_[[Check Periodo Ref.]:[Check Periodo Ref.]]="Dentro",IF(DATOS_[[Check Equiparado]:[Check Equiparado]]="Sí",IF(DATOS!AJ$5="Sí",(1/DATOS_[[% anualiz]:[% anualiz]]),1)*IF(DATOS!AJ$4="Sí",1/DATOS_[[% normaliz]:[% normaliz]],1)*(DATOS_[Conc.Sal.06])))))))),
0)</f>
        <v>0</v>
      </c>
      <c r="P80" s="111">
        <f t="array" ref="P80">IFERROR(
(MEDIAN((IF(DATOS_[[Sexo]:[Sexo]]=$B80,IF(DATOS_[[AGRUP. VALOR. PTO.]:[AGRUP. VALOR. PTO.]]=$B78,IF(DATOS_[[Check Periodo Ref.]:[Check Periodo Ref.]]="Dentro",IF(DATOS_[[Check Equiparado]:[Check Equiparado]]="Sí",IF(DATOS!AK$5="Sí",(1/DATOS_[[% anualiz]:[% anualiz]]),1)*IF(DATOS!AK$4="Sí",1/DATOS_[[% normaliz]:[% normaliz]],1)*(DATOS_[Conc.Sal.07])))))))),
0)</f>
        <v>0</v>
      </c>
      <c r="Q80" s="111">
        <f t="array" ref="Q80">IFERROR(
(MEDIAN((IF(DATOS_[[Sexo]:[Sexo]]=$B80,IF(DATOS_[[AGRUP. VALOR. PTO.]:[AGRUP. VALOR. PTO.]]=$B78,IF(DATOS_[[Check Periodo Ref.]:[Check Periodo Ref.]]="Dentro",IF(DATOS_[[Check Equiparado]:[Check Equiparado]]="Sí",IF(DATOS!AL$5="Sí",(1/DATOS_[[% anualiz]:[% anualiz]]),1)*IF(DATOS!AL$4="Sí",1/DATOS_[[% normaliz]:[% normaliz]],1)*(DATOS_[Conc.Sal.08])))))))),
0)</f>
        <v>0</v>
      </c>
      <c r="R80" s="111">
        <f t="array" ref="R80">IFERROR(
(MEDIAN((IF(DATOS_[[Sexo]:[Sexo]]=$B80,IF(DATOS_[[AGRUP. VALOR. PTO.]:[AGRUP. VALOR. PTO.]]=$B78,IF(DATOS_[[Check Periodo Ref.]:[Check Periodo Ref.]]="Dentro",IF(DATOS_[[Check Equiparado]:[Check Equiparado]]="Sí",IF(DATOS!AM$5="Sí",(1/DATOS_[[% anualiz]:[% anualiz]]),1)*IF(DATOS!AM$4="Sí",1/DATOS_[[% normaliz]:[% normaliz]],1)*(DATOS_[Conc.Sal.09])))))))),
0)</f>
        <v>0</v>
      </c>
      <c r="S80" s="111">
        <f t="array" ref="S80">IFERROR(
(MEDIAN((IF(DATOS_[[Sexo]:[Sexo]]=$B80,IF(DATOS_[[AGRUP. VALOR. PTO.]:[AGRUP. VALOR. PTO.]]=$B78,IF(DATOS_[[Check Periodo Ref.]:[Check Periodo Ref.]]="Dentro",IF(DATOS_[[Check Equiparado]:[Check Equiparado]]="Sí",IF(DATOS!AN$5="Sí",(1/DATOS_[[% anualiz]:[% anualiz]]),1)*IF(DATOS!AN$4="Sí",1/DATOS_[[% normaliz]:[% normaliz]],1)*(DATOS_[Conc.Sal.10])))))))),
0)</f>
        <v>0</v>
      </c>
      <c r="T80" s="111">
        <f t="array" ref="T80">IFERROR(
(MEDIAN((IF(DATOS_[[Sexo]:[Sexo]]=$B80,IF(DATOS_[[AGRUP. VALOR. PTO.]:[AGRUP. VALOR. PTO.]]=$B78,IF(DATOS_[[Check Periodo Ref.]:[Check Periodo Ref.]]="Dentro",IF(DATOS_[[Check Equiparado]:[Check Equiparado]]="Sí",IF(DATOS!AO$5="Sí",(1/DATOS_[[% anualiz]:[% anualiz]]),1)*IF(DATOS!AO$4="Sí",1/DATOS_[[% normaliz]:[% normaliz]],1)*(DATOS_[Conc.Sal.11])))))))),
0)</f>
        <v>0</v>
      </c>
      <c r="U80" s="111">
        <f t="array" ref="U80">IFERROR(
(MEDIAN((IF(DATOS_[[Sexo]:[Sexo]]=$B80,IF(DATOS_[[AGRUP. VALOR. PTO.]:[AGRUP. VALOR. PTO.]]=$B78,IF(DATOS_[[Check Periodo Ref.]:[Check Periodo Ref.]]="Dentro",IF(DATOS_[[Check Equiparado]:[Check Equiparado]]="Sí",IF(DATOS!AP$5="Sí",(1/DATOS_[[% anualiz]:[% anualiz]]),1)*IF(DATOS!AP$4="Sí",1/DATOS_[[% normaliz]:[% normaliz]],1)*(DATOS_[Conc.Sal.12])))))))),
0)</f>
        <v>0</v>
      </c>
      <c r="V80" s="111">
        <f t="array" ref="V80">IFERROR(
(MEDIAN((IF(DATOS_[[Sexo]:[Sexo]]=$B80,IF(DATOS_[[AGRUP. VALOR. PTO.]:[AGRUP. VALOR. PTO.]]=$B78,IF(DATOS_[[Check Periodo Ref.]:[Check Periodo Ref.]]="Dentro",IF(DATOS_[[Check Equiparado]:[Check Equiparado]]="Sí",IF(DATOS!AQ$5="Sí",(1/DATOS_[[% anualiz]:[% anualiz]]),1)*IF(DATOS!AQ$4="Sí",1/DATOS_[[% normaliz]:[% normaliz]],1)*(DATOS_[Conc.Sal.13])))))))),
0)</f>
        <v>0</v>
      </c>
      <c r="W80" s="111">
        <f t="array" ref="W80">IFERROR(
(MEDIAN((IF(DATOS_[[Sexo]:[Sexo]]=$B80,IF(DATOS_[[AGRUP. VALOR. PTO.]:[AGRUP. VALOR. PTO.]]=$B78,IF(DATOS_[[Check Periodo Ref.]:[Check Periodo Ref.]]="Dentro",IF(DATOS_[[Check Equiparado]:[Check Equiparado]]="Sí",IF(DATOS!AR$5="Sí",(1/DATOS_[[% anualiz]:[% anualiz]]),1)*IF(DATOS!AR$4="Sí",1/DATOS_[[% normaliz]:[% normaliz]],1)*(DATOS_[Conc.Sal.14])))))))),
0)</f>
        <v>0</v>
      </c>
      <c r="X80" s="111">
        <f t="array" ref="X80">IFERROR(
(MEDIAN((IF(DATOS_[[Sexo]:[Sexo]]=$B80,IF(DATOS_[[AGRUP. VALOR. PTO.]:[AGRUP. VALOR. PTO.]]=$B78,IF(DATOS_[[Check Periodo Ref.]:[Check Periodo Ref.]]="Dentro",IF(DATOS_[[Check Equiparado]:[Check Equiparado]]="Sí",IF(DATOS!AS$5="Sí",(1/DATOS_[[% anualiz]:[% anualiz]]),1)*IF(DATOS!AS$4="Sí",1/DATOS_[[% normaliz]:[% normaliz]],1)*(DATOS_[Conc.Sal.15])))))))),
0)</f>
        <v>0</v>
      </c>
      <c r="Y80" s="111">
        <f t="array" ref="Y80">IFERROR(
(MEDIAN((IF(DATOS_[[Sexo]:[Sexo]]=$B80,IF(DATOS_[[AGRUP. VALOR. PTO.]:[AGRUP. VALOR. PTO.]]=$B78,IF(DATOS_[[Check Periodo Ref.]:[Check Periodo Ref.]]="Dentro",IF(DATOS_[[Check Equiparado]:[Check Equiparado]]="Sí",IF(DATOS!AT$5="Sí",(1/DATOS_[[% anualiz]:[% anualiz]]),1)*IF(DATOS!AT$4="Sí",1/DATOS_[[% normaliz]:[% normaliz]],1)*(DATOS_[Conc.Sal.16])))))))),
0)</f>
        <v>0</v>
      </c>
      <c r="Z80" s="111">
        <f t="array" ref="Z80">IFERROR(
(MEDIAN((IF(DATOS_[[Sexo]:[Sexo]]=$B80,IF(DATOS_[[AGRUP. VALOR. PTO.]:[AGRUP. VALOR. PTO.]]=$B78,IF(DATOS_[[Check Periodo Ref.]:[Check Periodo Ref.]]="Dentro",IF(DATOS_[[Check Equiparado]:[Check Equiparado]]="Sí",IF(DATOS!AU$5="Sí",(1/DATOS_[[% anualiz]:[% anualiz]]),1)*IF(DATOS!AU$4="Sí",1/DATOS_[[% normaliz]:[% normaliz]],1)*(DATOS_[Conc.Sal.17])))))))),
0)</f>
        <v>0</v>
      </c>
      <c r="AA80" s="111">
        <f t="array" ref="AA80">IFERROR(
(MEDIAN((IF(DATOS_[[Sexo]:[Sexo]]=$B80,IF(DATOS_[[AGRUP. VALOR. PTO.]:[AGRUP. VALOR. PTO.]]=$B78,IF(DATOS_[[Check Periodo Ref.]:[Check Periodo Ref.]]="Dentro",IF(DATOS_[[Check Equiparado]:[Check Equiparado]]="Sí",IF(DATOS!AV$5="Sí",(1/DATOS_[[% anualiz]:[% anualiz]]),1)*IF(DATOS!AV$4="Sí",1/DATOS_[[% normaliz]:[% normaliz]],1)*(DATOS_[Conc.Sal.18])))))))),
0)</f>
        <v>0</v>
      </c>
      <c r="AB80" s="111">
        <f t="array" ref="AB80">IFERROR(
(MEDIAN((IF(DATOS_[[Sexo]:[Sexo]]=$B80,IF(DATOS_[[AGRUP. VALOR. PTO.]:[AGRUP. VALOR. PTO.]]=$B78,IF(DATOS_[[Check Periodo Ref.]:[Check Periodo Ref.]]="Dentro",IF(DATOS_[[Check Equiparado]:[Check Equiparado]]="Sí",IF(DATOS!AW$5="Sí",(1/DATOS_[[% anualiz]:[% anualiz]]),1)*IF(DATOS!AW$4="Sí",1/DATOS_[[% normaliz]:[% normaliz]],1)*(DATOS_[Conc.Sal.19])))))))),
0)</f>
        <v>0</v>
      </c>
      <c r="AC80" s="111">
        <f t="array" ref="AC80">IFERROR(
(MEDIAN((IF(DATOS_[[Sexo]:[Sexo]]=$B80,IF(DATOS_[[AGRUP. VALOR. PTO.]:[AGRUP. VALOR. PTO.]]=$B78,IF(DATOS_[[Check Periodo Ref.]:[Check Periodo Ref.]]="Dentro",IF(DATOS_[[Check Equiparado]:[Check Equiparado]]="Sí",IF(DATOS!AX$5="Sí",(1/DATOS_[[% anualiz]:[% anualiz]]),1)*IF(DATOS!AX$4="Sí",1/DATOS_[[% normaliz]:[% normaliz]],1)*(DATOS_[Conc.Sal.20])))))))),
0)</f>
        <v>0</v>
      </c>
      <c r="AD80" s="111">
        <f t="array" ref="AD80">IFERROR(
(MEDIAN((IF(DATOS_[[Sexo]:[Sexo]]=$B80,IF(DATOS_[[AGRUP. VALOR. PTO.]:[AGRUP. VALOR. PTO.]]=$B78,IF(DATOS_[[Check Periodo Ref.]:[Check Periodo Ref.]]="Dentro",IF(DATOS_[[Check Equiparado]:[Check Equiparado]]="Sí",IF(DATOS!AY$5="Sí",(1/DATOS_[[% anualiz]:[% anualiz]]),1)*IF(DATOS!AY$4="Sí",1/DATOS_[[% normaliz]:[% normaliz]],1)*(DATOS_[Conc.Sal.21])))))))),
0)</f>
        <v>0</v>
      </c>
      <c r="AE80" s="111">
        <f t="array" ref="AE80">IFERROR(
(MEDIAN((IF(DATOS_[[Sexo]:[Sexo]]=$B80,IF(DATOS_[[AGRUP. VALOR. PTO.]:[AGRUP. VALOR. PTO.]]=$B78,IF(DATOS_[[Check Periodo Ref.]:[Check Periodo Ref.]]="Dentro",IF(DATOS_[[Check Equiparado]:[Check Equiparado]]="Sí",IF(DATOS!AZ$5="Sí",(1/DATOS_[[% anualiz]:[% anualiz]]),1)*IF(DATOS!AZ$4="Sí",1/DATOS_[[% normaliz]:[% normaliz]],1)*(DATOS_[Conc.Sal.22])))))))),
0)</f>
        <v>0</v>
      </c>
      <c r="AF80" s="111">
        <f t="array" ref="AF80">IFERROR(
(MEDIAN((IF(DATOS_[[Sexo]:[Sexo]]=$B80,IF(DATOS_[[AGRUP. VALOR. PTO.]:[AGRUP. VALOR. PTO.]]=$B78,IF(DATOS_[[Check Periodo Ref.]:[Check Periodo Ref.]]="Dentro",IF(DATOS_[[Check Equiparado]:[Check Equiparado]]="Sí",IF(DATOS!BA$5="Sí",(1/DATOS_[[% anualiz]:[% anualiz]]),1)*IF(DATOS!BA$4="Sí",1/DATOS_[[% normaliz]:[% normaliz]],1)*(DATOS_[Conc.Sal.23])))))))),
0)</f>
        <v>0</v>
      </c>
      <c r="AG80" s="111">
        <f t="array" ref="AG80">IFERROR(
(MEDIAN((IF(DATOS_[[Sexo]:[Sexo]]=$B80,IF(DATOS_[[AGRUP. VALOR. PTO.]:[AGRUP. VALOR. PTO.]]=$B78,IF(DATOS_[[Check Periodo Ref.]:[Check Periodo Ref.]]="Dentro",IF(DATOS_[[Check Equiparado]:[Check Equiparado]]="Sí",IF(DATOS!BB$5="Sí",(1/DATOS_[[% anualiz]:[% anualiz]]),1)*IF(DATOS!BB$4="Sí",1/DATOS_[[% normaliz]:[% normaliz]],1)*(DATOS_[Conc.Sal.24])))))))),
0)</f>
        <v>0</v>
      </c>
      <c r="AH80" s="111">
        <f t="array" ref="AH80">IFERROR(
(MEDIAN((IF(DATOS_[[Sexo]:[Sexo]]=$B80,IF(DATOS_[[AGRUP. VALOR. PTO.]:[AGRUP. VALOR. PTO.]]=$B78,IF(DATOS_[[Check Periodo Ref.]:[Check Periodo Ref.]]="Dentro",IF(DATOS_[[Check Equiparado]:[Check Equiparado]]="Sí",IF(DATOS!BC$5="Sí",(1/DATOS_[[% anualiz]:[% anualiz]]),1)*IF(DATOS!BC$4="Sí",1/DATOS_[[% normaliz]:[% normaliz]],1)*(DATOS_[Conc.Sal.25])))))))),
0)</f>
        <v>0</v>
      </c>
      <c r="AI80" s="111">
        <f t="array" ref="AI80">IFERROR(
(MEDIAN((IF(DATOS_[[Sexo]:[Sexo]]=$B80,IF(DATOS_[[AGRUP. VALOR. PTO.]:[AGRUP. VALOR. PTO.]]=$B78,IF(DATOS_[[Check Periodo Ref.]:[Check Periodo Ref.]]="Dentro",IF(DATOS_[[Check Equiparado]:[Check Equiparado]]="Sí",IF(DATOS!BD$5="Sí",(1/DATOS_[[% anualiz]:[% anualiz]]),1)*IF(DATOS!BD$4="Sí",1/DATOS_[[% normaliz]:[% normaliz]],1)*(DATOS_[Conc.Sal.26])))))))),
0)</f>
        <v>0</v>
      </c>
      <c r="AJ80" s="111">
        <f t="array" ref="AJ80">IFERROR(
(MEDIAN((IF(DATOS_[[Sexo]:[Sexo]]=$B80,IF(DATOS_[[AGRUP. VALOR. PTO.]:[AGRUP. VALOR. PTO.]]=$B78,IF(DATOS_[[Check Periodo Ref.]:[Check Periodo Ref.]]="Dentro",IF(DATOS_[[Check Equiparado]:[Check Equiparado]]="Sí",IF(DATOS!BE$5="Sí",(1/DATOS_[[% anualiz]:[% anualiz]]),1)*IF(DATOS!BE$4="Sí",1/DATOS_[[% normaliz]:[% normaliz]],1)*(DATOS_[Conc.Sal.27])))))))),
0)</f>
        <v>0</v>
      </c>
      <c r="AK80" s="111">
        <f t="array" ref="AK80">IFERROR(
(MEDIAN((IF(DATOS_[[Sexo]:[Sexo]]=$B80,IF(DATOS_[[AGRUP. VALOR. PTO.]:[AGRUP. VALOR. PTO.]]=$B78,IF(DATOS_[[Check Periodo Ref.]:[Check Periodo Ref.]]="Dentro",IF(DATOS_[[Check Equiparado]:[Check Equiparado]]="Sí",IF(DATOS!BF$5="Sí",(1/DATOS_[[% anualiz]:[% anualiz]]),1)*IF(DATOS!BF$4="Sí",1/DATOS_[[% normaliz]:[% normaliz]],1)*(DATOS_[Conc.Sal.28])))))))),
0)</f>
        <v>0</v>
      </c>
      <c r="AL80" s="111">
        <f t="array" ref="AL80">IFERROR(
(MEDIAN((IF(DATOS_[[Sexo]:[Sexo]]=$B80,IF(DATOS_[[AGRUP. VALOR. PTO.]:[AGRUP. VALOR. PTO.]]=$B78,IF(DATOS_[[Check Periodo Ref.]:[Check Periodo Ref.]]="Dentro",IF(DATOS_[[Check Equiparado]:[Check Equiparado]]="Sí",IF(DATOS!BG$5="Sí",(1/DATOS_[[% anualiz]:[% anualiz]]),1)*IF(DATOS!BG$4="Sí",1/DATOS_[[% normaliz]:[% normaliz]],1)*(DATOS_[Conc.Sal.29])))))))),
0)</f>
        <v>0</v>
      </c>
      <c r="AM80" s="111">
        <f t="array" ref="AM80">IFERROR(
(MEDIAN((IF(DATOS_[[Sexo]:[Sexo]]=$B80,IF(DATOS_[[AGRUP. VALOR. PTO.]:[AGRUP. VALOR. PTO.]]=$B78,IF(DATOS_[[Check Periodo Ref.]:[Check Periodo Ref.]]="Dentro",IF(DATOS_[[Check Equiparado]:[Check Equiparado]]="Sí",IF(DATOS!BH$5="Sí",(1/DATOS_[[% anualiz]:[% anualiz]]),1)*IF(DATOS!BH$4="Sí",1/DATOS_[[% normaliz]:[% normaliz]],1)*(DATOS_[Conc.Sal.30])))))))),
0)</f>
        <v>0</v>
      </c>
      <c r="AN80" s="112">
        <f t="array" ref="AN80">IFERROR(
MEDIAN(IF(DATOS_[Sexo]=$B80,IF(DATOS_[[AGRUP. VALOR. PTO.]:[AGRUP. VALOR. PTO.]]=$B78,IF(DATOS_[Check Equiparado]="Sí",IF(DATOS_[Check Periodo Ref.]="Dentro",DATOS_[Tot COMPL.SAL Eq],FALSE))))),
0)</f>
        <v>0</v>
      </c>
      <c r="AO80" s="113">
        <f t="array" ref="AO80">IFERROR(
MEDIAN(IF(DATOS_[Sexo]=$B80,IF(DATOS_[[AGRUP. VALOR. PTO.]:[AGRUP. VALOR. PTO.]]=$B78,IF(DATOS_[Check Equiparado]="Sí",IF(DATOS_[Check Periodo Ref.]="Dentro",DATOS_[TOTAL SALARIO Eq],FALSE))))),
0)</f>
        <v>0</v>
      </c>
      <c r="AP80" s="114">
        <f t="array" ref="AP80">IFERROR(
(MEDIAN((IF(DATOS_[[Sexo]:[Sexo]]=$B80,IF(DATOS_[[AGRUP. VALOR. PTO.]:[AGRUP. VALOR. PTO.]]=$B79,IF(DATOS_[[Check Periodo Ref.]:[Check Periodo Ref.]]="Dentro",IF(DATOS_[[Check Equiparado]:[Check Equiparado]]="Sí",IF(DATOS!BI$5="Sí",(1/DATOS_[[% anualiz]:[% anualiz]]),1)*IF(DATOS!BI$4="Sí",1/DATOS_[[% normaliz]:[% normaliz]],1)*(DATOS_[C.Extra.01])))))))),
0)</f>
        <v>0</v>
      </c>
      <c r="AQ80" s="114">
        <f t="array" ref="AQ80">IFERROR(
(MEDIAN((IF(DATOS_[[Sexo]:[Sexo]]=$B80,IF(DATOS_[[AGRUP. VALOR. PTO.]:[AGRUP. VALOR. PTO.]]=$B79,IF(DATOS_[[Check Periodo Ref.]:[Check Periodo Ref.]]="Dentro",IF(DATOS_[[Check Equiparado]:[Check Equiparado]]="Sí",IF(DATOS!BJ$5="Sí",(1/DATOS_[[% anualiz]:[% anualiz]]),1)*IF(DATOS!BJ$4="Sí",1/DATOS_[[% normaliz]:[% normaliz]],1)*(DATOS_[C.Extra.02])))))))),
0)</f>
        <v>0</v>
      </c>
      <c r="AR80" s="114">
        <f t="array" ref="AR80">IFERROR(
(MEDIAN((IF(DATOS_[[Sexo]:[Sexo]]=$B80,IF(DATOS_[[AGRUP. VALOR. PTO.]:[AGRUP. VALOR. PTO.]]=$B79,IF(DATOS_[[Check Periodo Ref.]:[Check Periodo Ref.]]="Dentro",IF(DATOS_[[Check Equiparado]:[Check Equiparado]]="Sí",IF(DATOS!BK$5="Sí",(1/DATOS_[[% anualiz]:[% anualiz]]),1)*IF(DATOS!BK$4="Sí",1/DATOS_[[% normaliz]:[% normaliz]],1)*(DATOS_[C.Extra.03])))))))),
0)</f>
        <v>0</v>
      </c>
      <c r="AS80" s="114">
        <f t="array" ref="AS80">IFERROR(
(MEDIAN((IF(DATOS_[[Sexo]:[Sexo]]=$B80,IF(DATOS_[[AGRUP. VALOR. PTO.]:[AGRUP. VALOR. PTO.]]=$B79,IF(DATOS_[[Check Periodo Ref.]:[Check Periodo Ref.]]="Dentro",IF(DATOS_[[Check Equiparado]:[Check Equiparado]]="Sí",IF(DATOS!BL$5="Sí",(1/DATOS_[[% anualiz]:[% anualiz]]),1)*IF(DATOS!BL$4="Sí",1/DATOS_[[% normaliz]:[% normaliz]],1)*(DATOS_[C.Extra.04])))))))),
0)</f>
        <v>0</v>
      </c>
      <c r="AT80" s="114">
        <f t="array" ref="AT80">IFERROR(
(MEDIAN((IF(DATOS_[[Sexo]:[Sexo]]=$B80,IF(DATOS_[[AGRUP. VALOR. PTO.]:[AGRUP. VALOR. PTO.]]=$B79,IF(DATOS_[[Check Periodo Ref.]:[Check Periodo Ref.]]="Dentro",IF(DATOS_[[Check Equiparado]:[Check Equiparado]]="Sí",IF(DATOS!BM$5="Sí",(1/DATOS_[[% anualiz]:[% anualiz]]),1)*IF(DATOS!BM$4="Sí",1/DATOS_[[% normaliz]:[% normaliz]],1)*(DATOS_[C.Extra.05])))))))),
0)</f>
        <v>0</v>
      </c>
      <c r="AU80" s="115">
        <f t="array" ref="AU80">IFERROR(
MEDIAN(IF(DATOS_[Sexo]=$B80,IF(DATOS_[[AGRUP. VALOR. PTO.]:[AGRUP. VALOR. PTO.]]=$B78,IF(DATOS_[Check Equiparado]="Sí",IF(DATOS_[Check Periodo Ref.]="Dentro",DATOS_[Tot Extrasalarial Eq],FALSE))))),
0)</f>
        <v>0</v>
      </c>
      <c r="AV80" s="116">
        <f t="array" ref="AV80">IFERROR(
MEDIAN(IF(DATOS_[Sexo]=$B80,IF(DATOS_[[AGRUP. VALOR. PTO.]:[AGRUP. VALOR. PTO.]]=$B78,IF(DATOS_[Check Equiparado]="Sí",IF(DATOS_[Check Periodo Ref.]="Dentro",DATOS_[TOTAL Retrib Eq],FALSE))))),
0)</f>
        <v>0</v>
      </c>
    </row>
    <row r="81" spans="1:48" ht="17.25" hidden="1" thickBot="1" x14ac:dyDescent="0.35">
      <c r="A81" s="42" t="str">
        <f t="shared" ref="A81" si="91">+A82</f>
        <v>[ocultar]</v>
      </c>
      <c r="B81" s="90" t="s">
        <v>282</v>
      </c>
      <c r="C81" s="109"/>
      <c r="D81" s="41"/>
      <c r="E81" s="41"/>
      <c r="F81" s="41"/>
      <c r="G81" s="41"/>
      <c r="H81" s="41"/>
      <c r="I81" s="119" t="str">
        <f t="shared" ref="I81:AV81" si="92">IFERROR((I82-I83)/I82,"")</f>
        <v/>
      </c>
      <c r="J81" s="123" t="str">
        <f t="shared" si="92"/>
        <v/>
      </c>
      <c r="K81" s="123" t="str">
        <f t="shared" si="92"/>
        <v/>
      </c>
      <c r="L81" s="123" t="str">
        <f t="shared" si="92"/>
        <v/>
      </c>
      <c r="M81" s="123" t="str">
        <f t="shared" si="92"/>
        <v/>
      </c>
      <c r="N81" s="123" t="str">
        <f t="shared" si="92"/>
        <v/>
      </c>
      <c r="O81" s="123" t="str">
        <f t="shared" si="92"/>
        <v/>
      </c>
      <c r="P81" s="123" t="str">
        <f t="shared" si="92"/>
        <v/>
      </c>
      <c r="Q81" s="123" t="str">
        <f t="shared" si="92"/>
        <v/>
      </c>
      <c r="R81" s="123" t="str">
        <f t="shared" si="92"/>
        <v/>
      </c>
      <c r="S81" s="123" t="str">
        <f t="shared" si="92"/>
        <v/>
      </c>
      <c r="T81" s="123" t="str">
        <f t="shared" si="92"/>
        <v/>
      </c>
      <c r="U81" s="123" t="str">
        <f t="shared" si="92"/>
        <v/>
      </c>
      <c r="V81" s="123" t="str">
        <f t="shared" si="92"/>
        <v/>
      </c>
      <c r="W81" s="123" t="str">
        <f t="shared" si="92"/>
        <v/>
      </c>
      <c r="X81" s="123" t="str">
        <f t="shared" si="92"/>
        <v/>
      </c>
      <c r="Y81" s="123" t="str">
        <f t="shared" si="92"/>
        <v/>
      </c>
      <c r="Z81" s="122" t="str">
        <f t="shared" si="92"/>
        <v/>
      </c>
      <c r="AA81" s="122" t="str">
        <f t="shared" si="92"/>
        <v/>
      </c>
      <c r="AB81" s="122" t="str">
        <f t="shared" si="92"/>
        <v/>
      </c>
      <c r="AC81" s="122" t="str">
        <f t="shared" si="92"/>
        <v/>
      </c>
      <c r="AD81" s="122" t="str">
        <f t="shared" si="92"/>
        <v/>
      </c>
      <c r="AE81" s="122" t="str">
        <f t="shared" si="92"/>
        <v/>
      </c>
      <c r="AF81" s="122" t="str">
        <f t="shared" si="92"/>
        <v/>
      </c>
      <c r="AG81" s="122" t="str">
        <f t="shared" si="92"/>
        <v/>
      </c>
      <c r="AH81" s="122" t="str">
        <f t="shared" si="92"/>
        <v/>
      </c>
      <c r="AI81" s="122" t="str">
        <f t="shared" si="92"/>
        <v/>
      </c>
      <c r="AJ81" s="122" t="str">
        <f t="shared" si="92"/>
        <v/>
      </c>
      <c r="AK81" s="122" t="str">
        <f t="shared" si="92"/>
        <v/>
      </c>
      <c r="AL81" s="122" t="str">
        <f t="shared" si="92"/>
        <v/>
      </c>
      <c r="AM81" s="122" t="str">
        <f t="shared" si="92"/>
        <v/>
      </c>
      <c r="AN81" s="124" t="str">
        <f t="shared" si="92"/>
        <v/>
      </c>
      <c r="AO81" s="128" t="str">
        <f t="shared" si="92"/>
        <v/>
      </c>
      <c r="AP81" s="125" t="str">
        <f t="shared" si="92"/>
        <v/>
      </c>
      <c r="AQ81" s="125" t="str">
        <f t="shared" si="92"/>
        <v/>
      </c>
      <c r="AR81" s="125" t="str">
        <f t="shared" si="92"/>
        <v/>
      </c>
      <c r="AS81" s="125" t="str">
        <f t="shared" si="92"/>
        <v/>
      </c>
      <c r="AT81" s="125" t="str">
        <f t="shared" si="92"/>
        <v/>
      </c>
      <c r="AU81" s="126" t="str">
        <f t="shared" si="92"/>
        <v/>
      </c>
      <c r="AV81" s="127" t="str">
        <f t="shared" si="92"/>
        <v/>
      </c>
    </row>
    <row r="82" spans="1:48" hidden="1" x14ac:dyDescent="0.3">
      <c r="A82" s="42" t="str">
        <f t="shared" ref="A82" si="93">+IF(C82+C83=0,"[ocultar]","")</f>
        <v>[ocultar]</v>
      </c>
      <c r="B82" s="86" t="s">
        <v>162</v>
      </c>
      <c r="C82" s="33">
        <f t="array" ref="C82">SUM(IF($B82=DATOS_[Sexo],
IF($B81=DATOS_[AGRUP. VALOR. PTO.],
IF("Dentro"=DATOS_[Check Periodo Ref.],
1/(COUNTIFS(DATOS_[Sexo],$B82,DATOS_[AGRUP. VALOR. PTO.],$B81,DATOS_[Check Periodo Ref.],"Dentro",DATOS_[id],DATOS_[id]))))))</f>
        <v>0</v>
      </c>
      <c r="D82" s="35">
        <f>COUNTIFS(DATOS_[AGRUP. VALOR. PTO.],$B81,DATOS_[Sexo],$B82,DATOS_[Check Periodo Ref.],"Dentro")</f>
        <v>0</v>
      </c>
      <c r="E82" s="35">
        <f>COUNTIFS(DATOS_[AGRUP. VALOR. PTO.],$B81,DATOS_[Sexo],$B82,DATOS_[Check Periodo Ref.],"Dentro",DATOS_[Check Nº SC Norm],"Sí")</f>
        <v>0</v>
      </c>
      <c r="F82" s="35">
        <f>COUNTIFS(DATOS_[AGRUP. VALOR. PTO.],$B81,DATOS_[Sexo],$B82,DATOS_[Check Periodo Ref.],"Dentro",DATOS_[Check Nº SC Anualiz],"Sí")</f>
        <v>0</v>
      </c>
      <c r="G82" s="35">
        <f>COUNTIFS(DATOS_[AGRUP. VALOR. PTO.],$B81,DATOS_[Sexo],$B82,DATOS_[Check Periodo Ref.],"Dentro",DATOS_[Check Nº SC Norm y Anualiz],"Sí")</f>
        <v>0</v>
      </c>
      <c r="H82" s="35">
        <f>COUNTIFS(DATOS_[AGRUP. VALOR. PTO.],$B81,DATOS_[Sexo],$B82,DATOS_[Check Periodo Ref.],"Dentro",DATOS_[Check Equiparación],"Sí")</f>
        <v>0</v>
      </c>
      <c r="I82" s="110">
        <f t="array" ref="I82">IFERROR(
MEDIAN(IF(DATOS_[Sexo]=$B82,IF(DATOS_[[AGRUP. VALOR. PTO.]:[AGRUP. VALOR. PTO.]]=$B81,IF(DATOS_[Check Equiparado]="Sí",IF(DATOS_[Check Periodo Ref.]="Dentro",DATOS_[SALARIO BASE Eq],FALSE))))),
0)</f>
        <v>0</v>
      </c>
      <c r="J82" s="111">
        <f t="array" ref="J82">IFERROR(
(MEDIAN((IF(DATOS_[[Sexo]:[Sexo]]=$B82,IF(DATOS_[[AGRUP. VALOR. PTO.]:[AGRUP. VALOR. PTO.]]=$B81,IF(DATOS_[[Check Periodo Ref.]:[Check Periodo Ref.]]="Dentro",IF(DATOS_[[Check Equiparado]:[Check Equiparado]]="Sí",IF(DATOS!AE$5="Sí",(1/DATOS_[[% anualiz]:[% anualiz]]),1)*IF(DATOS!AE$4="Sí",1/DATOS_[[% normaliz]:[% normaliz]],1)*(DATOS_[Conc.Sal.01])))))))),
0)</f>
        <v>0</v>
      </c>
      <c r="K82" s="111">
        <f t="array" ref="K82">IFERROR(
(MEDIAN((IF(DATOS_[[Sexo]:[Sexo]]=$B82,IF(DATOS_[[AGRUP. VALOR. PTO.]:[AGRUP. VALOR. PTO.]]=$B81,IF(DATOS_[[Check Periodo Ref.]:[Check Periodo Ref.]]="Dentro",IF(DATOS_[[Check Equiparado]:[Check Equiparado]]="Sí",IF(DATOS!AF$5="Sí",(1/DATOS_[[% anualiz]:[% anualiz]]),1)*IF(DATOS!AF$4="Sí",1/DATOS_[[% normaliz]:[% normaliz]],1)*(DATOS_[Conc.Sal.02])))))))),
0)</f>
        <v>0</v>
      </c>
      <c r="L82" s="111">
        <f t="array" ref="L82">IFERROR(
(MEDIAN((IF(DATOS_[[Sexo]:[Sexo]]=$B82,IF(DATOS_[[AGRUP. VALOR. PTO.]:[AGRUP. VALOR. PTO.]]=$B81,IF(DATOS_[[Check Periodo Ref.]:[Check Periodo Ref.]]="Dentro",IF(DATOS_[[Check Equiparado]:[Check Equiparado]]="Sí",IF(DATOS!AG$5="Sí",(1/DATOS_[[% anualiz]:[% anualiz]]),1)*IF(DATOS!AG$4="Sí",1/DATOS_[[% normaliz]:[% normaliz]],1)*(DATOS_[Conc.Sal.03])))))))),
0)</f>
        <v>0</v>
      </c>
      <c r="M82" s="111">
        <f t="array" ref="M82">IFERROR(
(MEDIAN((IF(DATOS_[[Sexo]:[Sexo]]=$B82,IF(DATOS_[[AGRUP. VALOR. PTO.]:[AGRUP. VALOR. PTO.]]=$B81,IF(DATOS_[[Check Periodo Ref.]:[Check Periodo Ref.]]="Dentro",IF(DATOS_[[Check Equiparado]:[Check Equiparado]]="Sí",IF(DATOS!AH$5="Sí",(1/DATOS_[[% anualiz]:[% anualiz]]),1)*IF(DATOS!AH$4="Sí",1/DATOS_[[% normaliz]:[% normaliz]],1)*(DATOS_[Conc.Sal.04])))))))),
0)</f>
        <v>0</v>
      </c>
      <c r="N82" s="111">
        <f t="array" ref="N82">IFERROR(
(MEDIAN((IF(DATOS_[[Sexo]:[Sexo]]=$B82,IF(DATOS_[[AGRUP. VALOR. PTO.]:[AGRUP. VALOR. PTO.]]=$B81,IF(DATOS_[[Check Periodo Ref.]:[Check Periodo Ref.]]="Dentro",IF(DATOS_[[Check Equiparado]:[Check Equiparado]]="Sí",IF(DATOS!AI$5="Sí",(1/DATOS_[[% anualiz]:[% anualiz]]),1)*IF(DATOS!AI$4="Sí",1/DATOS_[[% normaliz]:[% normaliz]],1)*(DATOS_[Conc.Sal.05])))))))),
0)</f>
        <v>0</v>
      </c>
      <c r="O82" s="111">
        <f t="array" ref="O82">IFERROR(
(MEDIAN((IF(DATOS_[[Sexo]:[Sexo]]=$B82,IF(DATOS_[[AGRUP. VALOR. PTO.]:[AGRUP. VALOR. PTO.]]=$B81,IF(DATOS_[[Check Periodo Ref.]:[Check Periodo Ref.]]="Dentro",IF(DATOS_[[Check Equiparado]:[Check Equiparado]]="Sí",IF(DATOS!AJ$5="Sí",(1/DATOS_[[% anualiz]:[% anualiz]]),1)*IF(DATOS!AJ$4="Sí",1/DATOS_[[% normaliz]:[% normaliz]],1)*(DATOS_[Conc.Sal.06])))))))),
0)</f>
        <v>0</v>
      </c>
      <c r="P82" s="111">
        <f t="array" ref="P82">IFERROR(
(MEDIAN((IF(DATOS_[[Sexo]:[Sexo]]=$B82,IF(DATOS_[[AGRUP. VALOR. PTO.]:[AGRUP. VALOR. PTO.]]=$B81,IF(DATOS_[[Check Periodo Ref.]:[Check Periodo Ref.]]="Dentro",IF(DATOS_[[Check Equiparado]:[Check Equiparado]]="Sí",IF(DATOS!AK$5="Sí",(1/DATOS_[[% anualiz]:[% anualiz]]),1)*IF(DATOS!AK$4="Sí",1/DATOS_[[% normaliz]:[% normaliz]],1)*(DATOS_[Conc.Sal.07])))))))),
0)</f>
        <v>0</v>
      </c>
      <c r="Q82" s="111">
        <f t="array" ref="Q82">IFERROR(
(MEDIAN((IF(DATOS_[[Sexo]:[Sexo]]=$B82,IF(DATOS_[[AGRUP. VALOR. PTO.]:[AGRUP. VALOR. PTO.]]=$B81,IF(DATOS_[[Check Periodo Ref.]:[Check Periodo Ref.]]="Dentro",IF(DATOS_[[Check Equiparado]:[Check Equiparado]]="Sí",IF(DATOS!AL$5="Sí",(1/DATOS_[[% anualiz]:[% anualiz]]),1)*IF(DATOS!AL$4="Sí",1/DATOS_[[% normaliz]:[% normaliz]],1)*(DATOS_[Conc.Sal.08])))))))),
0)</f>
        <v>0</v>
      </c>
      <c r="R82" s="111">
        <f t="array" ref="R82">IFERROR(
(MEDIAN((IF(DATOS_[[Sexo]:[Sexo]]=$B82,IF(DATOS_[[AGRUP. VALOR. PTO.]:[AGRUP. VALOR. PTO.]]=$B81,IF(DATOS_[[Check Periodo Ref.]:[Check Periodo Ref.]]="Dentro",IF(DATOS_[[Check Equiparado]:[Check Equiparado]]="Sí",IF(DATOS!AM$5="Sí",(1/DATOS_[[% anualiz]:[% anualiz]]),1)*IF(DATOS!AM$4="Sí",1/DATOS_[[% normaliz]:[% normaliz]],1)*(DATOS_[Conc.Sal.09])))))))),
0)</f>
        <v>0</v>
      </c>
      <c r="S82" s="111">
        <f t="array" ref="S82">IFERROR(
(MEDIAN((IF(DATOS_[[Sexo]:[Sexo]]=$B82,IF(DATOS_[[AGRUP. VALOR. PTO.]:[AGRUP. VALOR. PTO.]]=$B81,IF(DATOS_[[Check Periodo Ref.]:[Check Periodo Ref.]]="Dentro",IF(DATOS_[[Check Equiparado]:[Check Equiparado]]="Sí",IF(DATOS!AN$5="Sí",(1/DATOS_[[% anualiz]:[% anualiz]]),1)*IF(DATOS!AN$4="Sí",1/DATOS_[[% normaliz]:[% normaliz]],1)*(DATOS_[Conc.Sal.10])))))))),
0)</f>
        <v>0</v>
      </c>
      <c r="T82" s="111">
        <f t="array" ref="T82">IFERROR(
(MEDIAN((IF(DATOS_[[Sexo]:[Sexo]]=$B82,IF(DATOS_[[AGRUP. VALOR. PTO.]:[AGRUP. VALOR. PTO.]]=$B81,IF(DATOS_[[Check Periodo Ref.]:[Check Periodo Ref.]]="Dentro",IF(DATOS_[[Check Equiparado]:[Check Equiparado]]="Sí",IF(DATOS!AO$5="Sí",(1/DATOS_[[% anualiz]:[% anualiz]]),1)*IF(DATOS!AO$4="Sí",1/DATOS_[[% normaliz]:[% normaliz]],1)*(DATOS_[Conc.Sal.11])))))))),
0)</f>
        <v>0</v>
      </c>
      <c r="U82" s="111">
        <f t="array" ref="U82">IFERROR(
(MEDIAN((IF(DATOS_[[Sexo]:[Sexo]]=$B82,IF(DATOS_[[AGRUP. VALOR. PTO.]:[AGRUP. VALOR. PTO.]]=$B81,IF(DATOS_[[Check Periodo Ref.]:[Check Periodo Ref.]]="Dentro",IF(DATOS_[[Check Equiparado]:[Check Equiparado]]="Sí",IF(DATOS!AP$5="Sí",(1/DATOS_[[% anualiz]:[% anualiz]]),1)*IF(DATOS!AP$4="Sí",1/DATOS_[[% normaliz]:[% normaliz]],1)*(DATOS_[Conc.Sal.12])))))))),
0)</f>
        <v>0</v>
      </c>
      <c r="V82" s="111">
        <f t="array" ref="V82">IFERROR(
(MEDIAN((IF(DATOS_[[Sexo]:[Sexo]]=$B82,IF(DATOS_[[AGRUP. VALOR. PTO.]:[AGRUP. VALOR. PTO.]]=$B81,IF(DATOS_[[Check Periodo Ref.]:[Check Periodo Ref.]]="Dentro",IF(DATOS_[[Check Equiparado]:[Check Equiparado]]="Sí",IF(DATOS!AQ$5="Sí",(1/DATOS_[[% anualiz]:[% anualiz]]),1)*IF(DATOS!AQ$4="Sí",1/DATOS_[[% normaliz]:[% normaliz]],1)*(DATOS_[Conc.Sal.13])))))))),
0)</f>
        <v>0</v>
      </c>
      <c r="W82" s="111">
        <f t="array" ref="W82">IFERROR(
(MEDIAN((IF(DATOS_[[Sexo]:[Sexo]]=$B82,IF(DATOS_[[AGRUP. VALOR. PTO.]:[AGRUP. VALOR. PTO.]]=$B81,IF(DATOS_[[Check Periodo Ref.]:[Check Periodo Ref.]]="Dentro",IF(DATOS_[[Check Equiparado]:[Check Equiparado]]="Sí",IF(DATOS!AR$5="Sí",(1/DATOS_[[% anualiz]:[% anualiz]]),1)*IF(DATOS!AR$4="Sí",1/DATOS_[[% normaliz]:[% normaliz]],1)*(DATOS_[Conc.Sal.14])))))))),
0)</f>
        <v>0</v>
      </c>
      <c r="X82" s="111">
        <f t="array" ref="X82">IFERROR(
(MEDIAN((IF(DATOS_[[Sexo]:[Sexo]]=$B82,IF(DATOS_[[AGRUP. VALOR. PTO.]:[AGRUP. VALOR. PTO.]]=$B81,IF(DATOS_[[Check Periodo Ref.]:[Check Periodo Ref.]]="Dentro",IF(DATOS_[[Check Equiparado]:[Check Equiparado]]="Sí",IF(DATOS!AS$5="Sí",(1/DATOS_[[% anualiz]:[% anualiz]]),1)*IF(DATOS!AS$4="Sí",1/DATOS_[[% normaliz]:[% normaliz]],1)*(DATOS_[Conc.Sal.15])))))))),
0)</f>
        <v>0</v>
      </c>
      <c r="Y82" s="111">
        <f t="array" ref="Y82">IFERROR(
(MEDIAN((IF(DATOS_[[Sexo]:[Sexo]]=$B82,IF(DATOS_[[AGRUP. VALOR. PTO.]:[AGRUP. VALOR. PTO.]]=$B81,IF(DATOS_[[Check Periodo Ref.]:[Check Periodo Ref.]]="Dentro",IF(DATOS_[[Check Equiparado]:[Check Equiparado]]="Sí",IF(DATOS!AT$5="Sí",(1/DATOS_[[% anualiz]:[% anualiz]]),1)*IF(DATOS!AT$4="Sí",1/DATOS_[[% normaliz]:[% normaliz]],1)*(DATOS_[Conc.Sal.16])))))))),
0)</f>
        <v>0</v>
      </c>
      <c r="Z82" s="111">
        <f t="array" ref="Z82">IFERROR(
(MEDIAN((IF(DATOS_[[Sexo]:[Sexo]]=$B82,IF(DATOS_[[AGRUP. VALOR. PTO.]:[AGRUP. VALOR. PTO.]]=$B81,IF(DATOS_[[Check Periodo Ref.]:[Check Periodo Ref.]]="Dentro",IF(DATOS_[[Check Equiparado]:[Check Equiparado]]="Sí",IF(DATOS!AU$5="Sí",(1/DATOS_[[% anualiz]:[% anualiz]]),1)*IF(DATOS!AU$4="Sí",1/DATOS_[[% normaliz]:[% normaliz]],1)*(DATOS_[Conc.Sal.17])))))))),
0)</f>
        <v>0</v>
      </c>
      <c r="AA82" s="111">
        <f t="array" ref="AA82">IFERROR(
(MEDIAN((IF(DATOS_[[Sexo]:[Sexo]]=$B82,IF(DATOS_[[AGRUP. VALOR. PTO.]:[AGRUP. VALOR. PTO.]]=$B81,IF(DATOS_[[Check Periodo Ref.]:[Check Periodo Ref.]]="Dentro",IF(DATOS_[[Check Equiparado]:[Check Equiparado]]="Sí",IF(DATOS!AV$5="Sí",(1/DATOS_[[% anualiz]:[% anualiz]]),1)*IF(DATOS!AV$4="Sí",1/DATOS_[[% normaliz]:[% normaliz]],1)*(DATOS_[Conc.Sal.18])))))))),
0)</f>
        <v>0</v>
      </c>
      <c r="AB82" s="111">
        <f t="array" ref="AB82">IFERROR(
(MEDIAN((IF(DATOS_[[Sexo]:[Sexo]]=$B82,IF(DATOS_[[AGRUP. VALOR. PTO.]:[AGRUP. VALOR. PTO.]]=$B81,IF(DATOS_[[Check Periodo Ref.]:[Check Periodo Ref.]]="Dentro",IF(DATOS_[[Check Equiparado]:[Check Equiparado]]="Sí",IF(DATOS!AW$5="Sí",(1/DATOS_[[% anualiz]:[% anualiz]]),1)*IF(DATOS!AW$4="Sí",1/DATOS_[[% normaliz]:[% normaliz]],1)*(DATOS_[Conc.Sal.19])))))))),
0)</f>
        <v>0</v>
      </c>
      <c r="AC82" s="111">
        <f t="array" ref="AC82">IFERROR(
(MEDIAN((IF(DATOS_[[Sexo]:[Sexo]]=$B82,IF(DATOS_[[AGRUP. VALOR. PTO.]:[AGRUP. VALOR. PTO.]]=$B81,IF(DATOS_[[Check Periodo Ref.]:[Check Periodo Ref.]]="Dentro",IF(DATOS_[[Check Equiparado]:[Check Equiparado]]="Sí",IF(DATOS!AX$5="Sí",(1/DATOS_[[% anualiz]:[% anualiz]]),1)*IF(DATOS!AX$4="Sí",1/DATOS_[[% normaliz]:[% normaliz]],1)*(DATOS_[Conc.Sal.20])))))))),
0)</f>
        <v>0</v>
      </c>
      <c r="AD82" s="111">
        <f t="array" ref="AD82">IFERROR(
(MEDIAN((IF(DATOS_[[Sexo]:[Sexo]]=$B82,IF(DATOS_[[AGRUP. VALOR. PTO.]:[AGRUP. VALOR. PTO.]]=$B81,IF(DATOS_[[Check Periodo Ref.]:[Check Periodo Ref.]]="Dentro",IF(DATOS_[[Check Equiparado]:[Check Equiparado]]="Sí",IF(DATOS!AY$5="Sí",(1/DATOS_[[% anualiz]:[% anualiz]]),1)*IF(DATOS!AY$4="Sí",1/DATOS_[[% normaliz]:[% normaliz]],1)*(DATOS_[Conc.Sal.21])))))))),
0)</f>
        <v>0</v>
      </c>
      <c r="AE82" s="111">
        <f t="array" ref="AE82">IFERROR(
(MEDIAN((IF(DATOS_[[Sexo]:[Sexo]]=$B82,IF(DATOS_[[AGRUP. VALOR. PTO.]:[AGRUP. VALOR. PTO.]]=$B81,IF(DATOS_[[Check Periodo Ref.]:[Check Periodo Ref.]]="Dentro",IF(DATOS_[[Check Equiparado]:[Check Equiparado]]="Sí",IF(DATOS!AZ$5="Sí",(1/DATOS_[[% anualiz]:[% anualiz]]),1)*IF(DATOS!AZ$4="Sí",1/DATOS_[[% normaliz]:[% normaliz]],1)*(DATOS_[Conc.Sal.22])))))))),
0)</f>
        <v>0</v>
      </c>
      <c r="AF82" s="111">
        <f t="array" ref="AF82">IFERROR(
(MEDIAN((IF(DATOS_[[Sexo]:[Sexo]]=$B82,IF(DATOS_[[AGRUP. VALOR. PTO.]:[AGRUP. VALOR. PTO.]]=$B81,IF(DATOS_[[Check Periodo Ref.]:[Check Periodo Ref.]]="Dentro",IF(DATOS_[[Check Equiparado]:[Check Equiparado]]="Sí",IF(DATOS!BA$5="Sí",(1/DATOS_[[% anualiz]:[% anualiz]]),1)*IF(DATOS!BA$4="Sí",1/DATOS_[[% normaliz]:[% normaliz]],1)*(DATOS_[Conc.Sal.23])))))))),
0)</f>
        <v>0</v>
      </c>
      <c r="AG82" s="111">
        <f t="array" ref="AG82">IFERROR(
(MEDIAN((IF(DATOS_[[Sexo]:[Sexo]]=$B82,IF(DATOS_[[AGRUP. VALOR. PTO.]:[AGRUP. VALOR. PTO.]]=$B81,IF(DATOS_[[Check Periodo Ref.]:[Check Periodo Ref.]]="Dentro",IF(DATOS_[[Check Equiparado]:[Check Equiparado]]="Sí",IF(DATOS!BB$5="Sí",(1/DATOS_[[% anualiz]:[% anualiz]]),1)*IF(DATOS!BB$4="Sí",1/DATOS_[[% normaliz]:[% normaliz]],1)*(DATOS_[Conc.Sal.24])))))))),
0)</f>
        <v>0</v>
      </c>
      <c r="AH82" s="111">
        <f t="array" ref="AH82">IFERROR(
(MEDIAN((IF(DATOS_[[Sexo]:[Sexo]]=$B82,IF(DATOS_[[AGRUP. VALOR. PTO.]:[AGRUP. VALOR. PTO.]]=$B81,IF(DATOS_[[Check Periodo Ref.]:[Check Periodo Ref.]]="Dentro",IF(DATOS_[[Check Equiparado]:[Check Equiparado]]="Sí",IF(DATOS!BC$5="Sí",(1/DATOS_[[% anualiz]:[% anualiz]]),1)*IF(DATOS!BC$4="Sí",1/DATOS_[[% normaliz]:[% normaliz]],1)*(DATOS_[Conc.Sal.25])))))))),
0)</f>
        <v>0</v>
      </c>
      <c r="AI82" s="111">
        <f t="array" ref="AI82">IFERROR(
(MEDIAN((IF(DATOS_[[Sexo]:[Sexo]]=$B82,IF(DATOS_[[AGRUP. VALOR. PTO.]:[AGRUP. VALOR. PTO.]]=$B81,IF(DATOS_[[Check Periodo Ref.]:[Check Periodo Ref.]]="Dentro",IF(DATOS_[[Check Equiparado]:[Check Equiparado]]="Sí",IF(DATOS!BD$5="Sí",(1/DATOS_[[% anualiz]:[% anualiz]]),1)*IF(DATOS!BD$4="Sí",1/DATOS_[[% normaliz]:[% normaliz]],1)*(DATOS_[Conc.Sal.26])))))))),
0)</f>
        <v>0</v>
      </c>
      <c r="AJ82" s="111">
        <f t="array" ref="AJ82">IFERROR(
(MEDIAN((IF(DATOS_[[Sexo]:[Sexo]]=$B82,IF(DATOS_[[AGRUP. VALOR. PTO.]:[AGRUP. VALOR. PTO.]]=$B81,IF(DATOS_[[Check Periodo Ref.]:[Check Periodo Ref.]]="Dentro",IF(DATOS_[[Check Equiparado]:[Check Equiparado]]="Sí",IF(DATOS!BE$5="Sí",(1/DATOS_[[% anualiz]:[% anualiz]]),1)*IF(DATOS!BE$4="Sí",1/DATOS_[[% normaliz]:[% normaliz]],1)*(DATOS_[Conc.Sal.27])))))))),
0)</f>
        <v>0</v>
      </c>
      <c r="AK82" s="111">
        <f t="array" ref="AK82">IFERROR(
(MEDIAN((IF(DATOS_[[Sexo]:[Sexo]]=$B82,IF(DATOS_[[AGRUP. VALOR. PTO.]:[AGRUP. VALOR. PTO.]]=$B81,IF(DATOS_[[Check Periodo Ref.]:[Check Periodo Ref.]]="Dentro",IF(DATOS_[[Check Equiparado]:[Check Equiparado]]="Sí",IF(DATOS!BF$5="Sí",(1/DATOS_[[% anualiz]:[% anualiz]]),1)*IF(DATOS!BF$4="Sí",1/DATOS_[[% normaliz]:[% normaliz]],1)*(DATOS_[Conc.Sal.28])))))))),
0)</f>
        <v>0</v>
      </c>
      <c r="AL82" s="111">
        <f t="array" ref="AL82">IFERROR(
(MEDIAN((IF(DATOS_[[Sexo]:[Sexo]]=$B82,IF(DATOS_[[AGRUP. VALOR. PTO.]:[AGRUP. VALOR. PTO.]]=$B81,IF(DATOS_[[Check Periodo Ref.]:[Check Periodo Ref.]]="Dentro",IF(DATOS_[[Check Equiparado]:[Check Equiparado]]="Sí",IF(DATOS!BG$5="Sí",(1/DATOS_[[% anualiz]:[% anualiz]]),1)*IF(DATOS!BG$4="Sí",1/DATOS_[[% normaliz]:[% normaliz]],1)*(DATOS_[Conc.Sal.29])))))))),
0)</f>
        <v>0</v>
      </c>
      <c r="AM82" s="111">
        <f t="array" ref="AM82">IFERROR(
(MEDIAN((IF(DATOS_[[Sexo]:[Sexo]]=$B82,IF(DATOS_[[AGRUP. VALOR. PTO.]:[AGRUP. VALOR. PTO.]]=$B81,IF(DATOS_[[Check Periodo Ref.]:[Check Periodo Ref.]]="Dentro",IF(DATOS_[[Check Equiparado]:[Check Equiparado]]="Sí",IF(DATOS!BH$5="Sí",(1/DATOS_[[% anualiz]:[% anualiz]]),1)*IF(DATOS!BH$4="Sí",1/DATOS_[[% normaliz]:[% normaliz]],1)*(DATOS_[Conc.Sal.30])))))))),
0)</f>
        <v>0</v>
      </c>
      <c r="AN82" s="112">
        <f t="array" ref="AN82">IFERROR(
MEDIAN(IF(DATOS_[Sexo]=$B82,IF(DATOS_[[AGRUP. VALOR. PTO.]:[AGRUP. VALOR. PTO.]]=$B81,IF(DATOS_[Check Equiparado]="Sí",IF(DATOS_[Check Periodo Ref.]="Dentro",DATOS_[Tot COMPL.SAL Eq],FALSE))))),
0)</f>
        <v>0</v>
      </c>
      <c r="AO82" s="113">
        <f t="array" ref="AO82">IFERROR(
MEDIAN(IF(DATOS_[Sexo]=$B82,IF(DATOS_[[AGRUP. VALOR. PTO.]:[AGRUP. VALOR. PTO.]]=$B81,IF(DATOS_[Check Equiparado]="Sí",IF(DATOS_[Check Periodo Ref.]="Dentro",DATOS_[TOTAL SALARIO Eq],FALSE))))),
0)</f>
        <v>0</v>
      </c>
      <c r="AP82" s="114">
        <f t="array" ref="AP82">IFERROR(
(MEDIAN((IF(DATOS_[[Sexo]:[Sexo]]=$B82,IF(DATOS_[[AGRUP. VALOR. PTO.]:[AGRUP. VALOR. PTO.]]=$B81,IF(DATOS_[[Check Periodo Ref.]:[Check Periodo Ref.]]="Dentro",IF(DATOS_[[Check Equiparado]:[Check Equiparado]]="Sí",IF(DATOS!BI$5="Sí",(1/DATOS_[[% anualiz]:[% anualiz]]),1)*IF(DATOS!BI$4="Sí",1/DATOS_[[% normaliz]:[% normaliz]],1)*(DATOS_[C.Extra.01])))))))),
0)</f>
        <v>0</v>
      </c>
      <c r="AQ82" s="114">
        <f t="array" ref="AQ82">IFERROR(
(MEDIAN((IF(DATOS_[[Sexo]:[Sexo]]=$B82,IF(DATOS_[[AGRUP. VALOR. PTO.]:[AGRUP. VALOR. PTO.]]=$B81,IF(DATOS_[[Check Periodo Ref.]:[Check Periodo Ref.]]="Dentro",IF(DATOS_[[Check Equiparado]:[Check Equiparado]]="Sí",IF(DATOS!BJ$5="Sí",(1/DATOS_[[% anualiz]:[% anualiz]]),1)*IF(DATOS!BJ$4="Sí",1/DATOS_[[% normaliz]:[% normaliz]],1)*(DATOS_[C.Extra.02])))))))),
0)</f>
        <v>0</v>
      </c>
      <c r="AR82" s="114">
        <f t="array" ref="AR82">IFERROR(
(MEDIAN((IF(DATOS_[[Sexo]:[Sexo]]=$B82,IF(DATOS_[[AGRUP. VALOR. PTO.]:[AGRUP. VALOR. PTO.]]=$B81,IF(DATOS_[[Check Periodo Ref.]:[Check Periodo Ref.]]="Dentro",IF(DATOS_[[Check Equiparado]:[Check Equiparado]]="Sí",IF(DATOS!BK$5="Sí",(1/DATOS_[[% anualiz]:[% anualiz]]),1)*IF(DATOS!BK$4="Sí",1/DATOS_[[% normaliz]:[% normaliz]],1)*(DATOS_[C.Extra.03])))))))),
0)</f>
        <v>0</v>
      </c>
      <c r="AS82" s="114">
        <f t="array" ref="AS82">IFERROR(
(MEDIAN((IF(DATOS_[[Sexo]:[Sexo]]=$B82,IF(DATOS_[[AGRUP. VALOR. PTO.]:[AGRUP. VALOR. PTO.]]=$B81,IF(DATOS_[[Check Periodo Ref.]:[Check Periodo Ref.]]="Dentro",IF(DATOS_[[Check Equiparado]:[Check Equiparado]]="Sí",IF(DATOS!BL$5="Sí",(1/DATOS_[[% anualiz]:[% anualiz]]),1)*IF(DATOS!BL$4="Sí",1/DATOS_[[% normaliz]:[% normaliz]],1)*(DATOS_[C.Extra.04])))))))),
0)</f>
        <v>0</v>
      </c>
      <c r="AT82" s="114">
        <f t="array" ref="AT82">IFERROR(
(MEDIAN((IF(DATOS_[[Sexo]:[Sexo]]=$B82,IF(DATOS_[[AGRUP. VALOR. PTO.]:[AGRUP. VALOR. PTO.]]=$B81,IF(DATOS_[[Check Periodo Ref.]:[Check Periodo Ref.]]="Dentro",IF(DATOS_[[Check Equiparado]:[Check Equiparado]]="Sí",IF(DATOS!BM$5="Sí",(1/DATOS_[[% anualiz]:[% anualiz]]),1)*IF(DATOS!BM$4="Sí",1/DATOS_[[% normaliz]:[% normaliz]],1)*(DATOS_[C.Extra.05])))))))),
0)</f>
        <v>0</v>
      </c>
      <c r="AU82" s="115">
        <f t="array" ref="AU82">IFERROR(
MEDIAN(IF(DATOS_[Sexo]=$B82,IF(DATOS_[[AGRUP. VALOR. PTO.]:[AGRUP. VALOR. PTO.]]=$B81,IF(DATOS_[Check Equiparado]="Sí",IF(DATOS_[Check Periodo Ref.]="Dentro",DATOS_[Tot Extrasalarial Eq],FALSE))))),
0)</f>
        <v>0</v>
      </c>
      <c r="AV82" s="116">
        <f t="array" ref="AV82">IFERROR(
MEDIAN(IF(DATOS_[Sexo]=$B82,IF(DATOS_[[AGRUP. VALOR. PTO.]:[AGRUP. VALOR. PTO.]]=$B81,IF(DATOS_[Check Equiparado]="Sí",IF(DATOS_[Check Periodo Ref.]="Dentro",DATOS_[TOTAL Retrib Eq],FALSE))))),
0)</f>
        <v>0</v>
      </c>
    </row>
    <row r="83" spans="1:48" hidden="1" x14ac:dyDescent="0.3">
      <c r="A83" s="42" t="str">
        <f t="shared" ref="A83" si="94">+A82</f>
        <v>[ocultar]</v>
      </c>
      <c r="B83" s="86" t="s">
        <v>163</v>
      </c>
      <c r="C83" s="33">
        <f t="array" ref="C83">SUM(IF($B83=DATOS_[Sexo],
IF($B81=DATOS_[AGRUP. VALOR. PTO.],
IF("Dentro"=DATOS_[Check Periodo Ref.],
1/(COUNTIFS(DATOS_[Sexo],$B83,DATOS_[AGRUP. VALOR. PTO.],$B81,DATOS_[Check Periodo Ref.],"Dentro",DATOS_[id],DATOS_[id]))))))</f>
        <v>0</v>
      </c>
      <c r="D83" s="35">
        <f>COUNTIFS(DATOS_[AGRUP. VALOR. PTO.],$B81,DATOS_[Sexo],$B83,DATOS_[Check Periodo Ref.],"Dentro")</f>
        <v>0</v>
      </c>
      <c r="E83" s="35">
        <f>COUNTIFS(DATOS_[AGRUP. VALOR. PTO.],$B81,DATOS_[Sexo],$B83,DATOS_[Check Periodo Ref.],"Dentro",DATOS_[Check Nº SC Norm],"Sí")</f>
        <v>0</v>
      </c>
      <c r="F83" s="35">
        <f>COUNTIFS(DATOS_[AGRUP. VALOR. PTO.],$B81,DATOS_[Sexo],$B83,DATOS_[Check Periodo Ref.],"Dentro",DATOS_[Check Nº SC Anualiz],"Sí")</f>
        <v>0</v>
      </c>
      <c r="G83" s="35">
        <f>COUNTIFS(DATOS_[AGRUP. VALOR. PTO.],$B81,DATOS_[Sexo],$B83,DATOS_[Check Periodo Ref.],"Dentro",DATOS_[Check Nº SC Norm y Anualiz],"Sí")</f>
        <v>0</v>
      </c>
      <c r="H83" s="35">
        <f>COUNTIFS(DATOS_[AGRUP. VALOR. PTO.],$B81,DATOS_[Sexo],$B83,DATOS_[Check Periodo Ref.],"Dentro",DATOS_[Check Equiparación],"Sí")</f>
        <v>0</v>
      </c>
      <c r="I83" s="110" cm="1">
        <f t="array" ref="I83">IFERROR(
MEDIAN(IF(DATOS_[Sexo]=$B83,IF(DATOS_[[AGRUP. VALOR. PTO.]:[AGRUP. VALOR. PTO.]]=$B81,IF(DATOS_[Check Equiparado]="Sí",IF(DATOS_[Check Periodo Ref.]="Dentro",DATOS_[SALARIO BASE Eq],FALSE))))),
0)</f>
        <v>0</v>
      </c>
      <c r="J83" s="111">
        <f t="array" ref="J83">IFERROR(
(MEDIAN((IF(DATOS_[[Sexo]:[Sexo]]=$B83,IF(DATOS_[[AGRUP. VALOR. PTO.]:[AGRUP. VALOR. PTO.]]=$B81,IF(DATOS_[[Check Periodo Ref.]:[Check Periodo Ref.]]="Dentro",IF(DATOS_[[Check Equiparado]:[Check Equiparado]]="Sí",IF(DATOS!AE$5="Sí",(1/DATOS_[[% anualiz]:[% anualiz]]),1)*IF(DATOS!AE$4="Sí",1/DATOS_[[% normaliz]:[% normaliz]],1)*(DATOS_[Conc.Sal.01])))))))),
0)</f>
        <v>0</v>
      </c>
      <c r="K83" s="111">
        <f t="array" ref="K83">IFERROR(
(MEDIAN((IF(DATOS_[[Sexo]:[Sexo]]=$B83,IF(DATOS_[[AGRUP. VALOR. PTO.]:[AGRUP. VALOR. PTO.]]=$B81,IF(DATOS_[[Check Periodo Ref.]:[Check Periodo Ref.]]="Dentro",IF(DATOS_[[Check Equiparado]:[Check Equiparado]]="Sí",IF(DATOS!AF$5="Sí",(1/DATOS_[[% anualiz]:[% anualiz]]),1)*IF(DATOS!AF$4="Sí",1/DATOS_[[% normaliz]:[% normaliz]],1)*(DATOS_[Conc.Sal.02])))))))),
0)</f>
        <v>0</v>
      </c>
      <c r="L83" s="111">
        <f t="array" ref="L83">IFERROR(
(MEDIAN((IF(DATOS_[[Sexo]:[Sexo]]=$B83,IF(DATOS_[[AGRUP. VALOR. PTO.]:[AGRUP. VALOR. PTO.]]=$B81,IF(DATOS_[[Check Periodo Ref.]:[Check Periodo Ref.]]="Dentro",IF(DATOS_[[Check Equiparado]:[Check Equiparado]]="Sí",IF(DATOS!AG$5="Sí",(1/DATOS_[[% anualiz]:[% anualiz]]),1)*IF(DATOS!AG$4="Sí",1/DATOS_[[% normaliz]:[% normaliz]],1)*(DATOS_[Conc.Sal.03])))))))),
0)</f>
        <v>0</v>
      </c>
      <c r="M83" s="111">
        <f t="array" ref="M83">IFERROR(
(MEDIAN((IF(DATOS_[[Sexo]:[Sexo]]=$B83,IF(DATOS_[[AGRUP. VALOR. PTO.]:[AGRUP. VALOR. PTO.]]=$B81,IF(DATOS_[[Check Periodo Ref.]:[Check Periodo Ref.]]="Dentro",IF(DATOS_[[Check Equiparado]:[Check Equiparado]]="Sí",IF(DATOS!AH$5="Sí",(1/DATOS_[[% anualiz]:[% anualiz]]),1)*IF(DATOS!AH$4="Sí",1/DATOS_[[% normaliz]:[% normaliz]],1)*(DATOS_[Conc.Sal.04])))))))),
0)</f>
        <v>0</v>
      </c>
      <c r="N83" s="111">
        <f t="array" ref="N83">IFERROR(
(MEDIAN((IF(DATOS_[[Sexo]:[Sexo]]=$B83,IF(DATOS_[[AGRUP. VALOR. PTO.]:[AGRUP. VALOR. PTO.]]=$B81,IF(DATOS_[[Check Periodo Ref.]:[Check Periodo Ref.]]="Dentro",IF(DATOS_[[Check Equiparado]:[Check Equiparado]]="Sí",IF(DATOS!AI$5="Sí",(1/DATOS_[[% anualiz]:[% anualiz]]),1)*IF(DATOS!AI$4="Sí",1/DATOS_[[% normaliz]:[% normaliz]],1)*(DATOS_[Conc.Sal.05])))))))),
0)</f>
        <v>0</v>
      </c>
      <c r="O83" s="111">
        <f t="array" ref="O83">IFERROR(
(MEDIAN((IF(DATOS_[[Sexo]:[Sexo]]=$B83,IF(DATOS_[[AGRUP. VALOR. PTO.]:[AGRUP. VALOR. PTO.]]=$B81,IF(DATOS_[[Check Periodo Ref.]:[Check Periodo Ref.]]="Dentro",IF(DATOS_[[Check Equiparado]:[Check Equiparado]]="Sí",IF(DATOS!AJ$5="Sí",(1/DATOS_[[% anualiz]:[% anualiz]]),1)*IF(DATOS!AJ$4="Sí",1/DATOS_[[% normaliz]:[% normaliz]],1)*(DATOS_[Conc.Sal.06])))))))),
0)</f>
        <v>0</v>
      </c>
      <c r="P83" s="111">
        <f t="array" ref="P83">IFERROR(
(MEDIAN((IF(DATOS_[[Sexo]:[Sexo]]=$B83,IF(DATOS_[[AGRUP. VALOR. PTO.]:[AGRUP. VALOR. PTO.]]=$B81,IF(DATOS_[[Check Periodo Ref.]:[Check Periodo Ref.]]="Dentro",IF(DATOS_[[Check Equiparado]:[Check Equiparado]]="Sí",IF(DATOS!AK$5="Sí",(1/DATOS_[[% anualiz]:[% anualiz]]),1)*IF(DATOS!AK$4="Sí",1/DATOS_[[% normaliz]:[% normaliz]],1)*(DATOS_[Conc.Sal.07])))))))),
0)</f>
        <v>0</v>
      </c>
      <c r="Q83" s="111">
        <f t="array" ref="Q83">IFERROR(
(MEDIAN((IF(DATOS_[[Sexo]:[Sexo]]=$B83,IF(DATOS_[[AGRUP. VALOR. PTO.]:[AGRUP. VALOR. PTO.]]=$B81,IF(DATOS_[[Check Periodo Ref.]:[Check Periodo Ref.]]="Dentro",IF(DATOS_[[Check Equiparado]:[Check Equiparado]]="Sí",IF(DATOS!AL$5="Sí",(1/DATOS_[[% anualiz]:[% anualiz]]),1)*IF(DATOS!AL$4="Sí",1/DATOS_[[% normaliz]:[% normaliz]],1)*(DATOS_[Conc.Sal.08])))))))),
0)</f>
        <v>0</v>
      </c>
      <c r="R83" s="111">
        <f t="array" ref="R83">IFERROR(
(MEDIAN((IF(DATOS_[[Sexo]:[Sexo]]=$B83,IF(DATOS_[[AGRUP. VALOR. PTO.]:[AGRUP. VALOR. PTO.]]=$B81,IF(DATOS_[[Check Periodo Ref.]:[Check Periodo Ref.]]="Dentro",IF(DATOS_[[Check Equiparado]:[Check Equiparado]]="Sí",IF(DATOS!AM$5="Sí",(1/DATOS_[[% anualiz]:[% anualiz]]),1)*IF(DATOS!AM$4="Sí",1/DATOS_[[% normaliz]:[% normaliz]],1)*(DATOS_[Conc.Sal.09])))))))),
0)</f>
        <v>0</v>
      </c>
      <c r="S83" s="111">
        <f t="array" ref="S83">IFERROR(
(MEDIAN((IF(DATOS_[[Sexo]:[Sexo]]=$B83,IF(DATOS_[[AGRUP. VALOR. PTO.]:[AGRUP. VALOR. PTO.]]=$B81,IF(DATOS_[[Check Periodo Ref.]:[Check Periodo Ref.]]="Dentro",IF(DATOS_[[Check Equiparado]:[Check Equiparado]]="Sí",IF(DATOS!AN$5="Sí",(1/DATOS_[[% anualiz]:[% anualiz]]),1)*IF(DATOS!AN$4="Sí",1/DATOS_[[% normaliz]:[% normaliz]],1)*(DATOS_[Conc.Sal.10])))))))),
0)</f>
        <v>0</v>
      </c>
      <c r="T83" s="111">
        <f t="array" ref="T83">IFERROR(
(MEDIAN((IF(DATOS_[[Sexo]:[Sexo]]=$B83,IF(DATOS_[[AGRUP. VALOR. PTO.]:[AGRUP. VALOR. PTO.]]=$B81,IF(DATOS_[[Check Periodo Ref.]:[Check Periodo Ref.]]="Dentro",IF(DATOS_[[Check Equiparado]:[Check Equiparado]]="Sí",IF(DATOS!AO$5="Sí",(1/DATOS_[[% anualiz]:[% anualiz]]),1)*IF(DATOS!AO$4="Sí",1/DATOS_[[% normaliz]:[% normaliz]],1)*(DATOS_[Conc.Sal.11])))))))),
0)</f>
        <v>0</v>
      </c>
      <c r="U83" s="111">
        <f t="array" ref="U83">IFERROR(
(MEDIAN((IF(DATOS_[[Sexo]:[Sexo]]=$B83,IF(DATOS_[[AGRUP. VALOR. PTO.]:[AGRUP. VALOR. PTO.]]=$B81,IF(DATOS_[[Check Periodo Ref.]:[Check Periodo Ref.]]="Dentro",IF(DATOS_[[Check Equiparado]:[Check Equiparado]]="Sí",IF(DATOS!AP$5="Sí",(1/DATOS_[[% anualiz]:[% anualiz]]),1)*IF(DATOS!AP$4="Sí",1/DATOS_[[% normaliz]:[% normaliz]],1)*(DATOS_[Conc.Sal.12])))))))),
0)</f>
        <v>0</v>
      </c>
      <c r="V83" s="111">
        <f t="array" ref="V83">IFERROR(
(MEDIAN((IF(DATOS_[[Sexo]:[Sexo]]=$B83,IF(DATOS_[[AGRUP. VALOR. PTO.]:[AGRUP. VALOR. PTO.]]=$B81,IF(DATOS_[[Check Periodo Ref.]:[Check Periodo Ref.]]="Dentro",IF(DATOS_[[Check Equiparado]:[Check Equiparado]]="Sí",IF(DATOS!AQ$5="Sí",(1/DATOS_[[% anualiz]:[% anualiz]]),1)*IF(DATOS!AQ$4="Sí",1/DATOS_[[% normaliz]:[% normaliz]],1)*(DATOS_[Conc.Sal.13])))))))),
0)</f>
        <v>0</v>
      </c>
      <c r="W83" s="111">
        <f t="array" ref="W83">IFERROR(
(MEDIAN((IF(DATOS_[[Sexo]:[Sexo]]=$B83,IF(DATOS_[[AGRUP. VALOR. PTO.]:[AGRUP. VALOR. PTO.]]=$B81,IF(DATOS_[[Check Periodo Ref.]:[Check Periodo Ref.]]="Dentro",IF(DATOS_[[Check Equiparado]:[Check Equiparado]]="Sí",IF(DATOS!AR$5="Sí",(1/DATOS_[[% anualiz]:[% anualiz]]),1)*IF(DATOS!AR$4="Sí",1/DATOS_[[% normaliz]:[% normaliz]],1)*(DATOS_[Conc.Sal.14])))))))),
0)</f>
        <v>0</v>
      </c>
      <c r="X83" s="111">
        <f t="array" ref="X83">IFERROR(
(MEDIAN((IF(DATOS_[[Sexo]:[Sexo]]=$B83,IF(DATOS_[[AGRUP. VALOR. PTO.]:[AGRUP. VALOR. PTO.]]=$B81,IF(DATOS_[[Check Periodo Ref.]:[Check Periodo Ref.]]="Dentro",IF(DATOS_[[Check Equiparado]:[Check Equiparado]]="Sí",IF(DATOS!AS$5="Sí",(1/DATOS_[[% anualiz]:[% anualiz]]),1)*IF(DATOS!AS$4="Sí",1/DATOS_[[% normaliz]:[% normaliz]],1)*(DATOS_[Conc.Sal.15])))))))),
0)</f>
        <v>0</v>
      </c>
      <c r="Y83" s="111">
        <f t="array" ref="Y83">IFERROR(
(MEDIAN((IF(DATOS_[[Sexo]:[Sexo]]=$B83,IF(DATOS_[[AGRUP. VALOR. PTO.]:[AGRUP. VALOR. PTO.]]=$B81,IF(DATOS_[[Check Periodo Ref.]:[Check Periodo Ref.]]="Dentro",IF(DATOS_[[Check Equiparado]:[Check Equiparado]]="Sí",IF(DATOS!AT$5="Sí",(1/DATOS_[[% anualiz]:[% anualiz]]),1)*IF(DATOS!AT$4="Sí",1/DATOS_[[% normaliz]:[% normaliz]],1)*(DATOS_[Conc.Sal.16])))))))),
0)</f>
        <v>0</v>
      </c>
      <c r="Z83" s="111">
        <f t="array" ref="Z83">IFERROR(
(MEDIAN((IF(DATOS_[[Sexo]:[Sexo]]=$B83,IF(DATOS_[[AGRUP. VALOR. PTO.]:[AGRUP. VALOR. PTO.]]=$B81,IF(DATOS_[[Check Periodo Ref.]:[Check Periodo Ref.]]="Dentro",IF(DATOS_[[Check Equiparado]:[Check Equiparado]]="Sí",IF(DATOS!AU$5="Sí",(1/DATOS_[[% anualiz]:[% anualiz]]),1)*IF(DATOS!AU$4="Sí",1/DATOS_[[% normaliz]:[% normaliz]],1)*(DATOS_[Conc.Sal.17])))))))),
0)</f>
        <v>0</v>
      </c>
      <c r="AA83" s="111">
        <f t="array" ref="AA83">IFERROR(
(MEDIAN((IF(DATOS_[[Sexo]:[Sexo]]=$B83,IF(DATOS_[[AGRUP. VALOR. PTO.]:[AGRUP. VALOR. PTO.]]=$B81,IF(DATOS_[[Check Periodo Ref.]:[Check Periodo Ref.]]="Dentro",IF(DATOS_[[Check Equiparado]:[Check Equiparado]]="Sí",IF(DATOS!AV$5="Sí",(1/DATOS_[[% anualiz]:[% anualiz]]),1)*IF(DATOS!AV$4="Sí",1/DATOS_[[% normaliz]:[% normaliz]],1)*(DATOS_[Conc.Sal.18])))))))),
0)</f>
        <v>0</v>
      </c>
      <c r="AB83" s="111">
        <f t="array" ref="AB83">IFERROR(
(MEDIAN((IF(DATOS_[[Sexo]:[Sexo]]=$B83,IF(DATOS_[[AGRUP. VALOR. PTO.]:[AGRUP. VALOR. PTO.]]=$B81,IF(DATOS_[[Check Periodo Ref.]:[Check Periodo Ref.]]="Dentro",IF(DATOS_[[Check Equiparado]:[Check Equiparado]]="Sí",IF(DATOS!AW$5="Sí",(1/DATOS_[[% anualiz]:[% anualiz]]),1)*IF(DATOS!AW$4="Sí",1/DATOS_[[% normaliz]:[% normaliz]],1)*(DATOS_[Conc.Sal.19])))))))),
0)</f>
        <v>0</v>
      </c>
      <c r="AC83" s="111">
        <f t="array" ref="AC83">IFERROR(
(MEDIAN((IF(DATOS_[[Sexo]:[Sexo]]=$B83,IF(DATOS_[[AGRUP. VALOR. PTO.]:[AGRUP. VALOR. PTO.]]=$B81,IF(DATOS_[[Check Periodo Ref.]:[Check Periodo Ref.]]="Dentro",IF(DATOS_[[Check Equiparado]:[Check Equiparado]]="Sí",IF(DATOS!AX$5="Sí",(1/DATOS_[[% anualiz]:[% anualiz]]),1)*IF(DATOS!AX$4="Sí",1/DATOS_[[% normaliz]:[% normaliz]],1)*(DATOS_[Conc.Sal.20])))))))),
0)</f>
        <v>0</v>
      </c>
      <c r="AD83" s="111">
        <f t="array" ref="AD83">IFERROR(
(MEDIAN((IF(DATOS_[[Sexo]:[Sexo]]=$B83,IF(DATOS_[[AGRUP. VALOR. PTO.]:[AGRUP. VALOR. PTO.]]=$B81,IF(DATOS_[[Check Periodo Ref.]:[Check Periodo Ref.]]="Dentro",IF(DATOS_[[Check Equiparado]:[Check Equiparado]]="Sí",IF(DATOS!AY$5="Sí",(1/DATOS_[[% anualiz]:[% anualiz]]),1)*IF(DATOS!AY$4="Sí",1/DATOS_[[% normaliz]:[% normaliz]],1)*(DATOS_[Conc.Sal.21])))))))),
0)</f>
        <v>0</v>
      </c>
      <c r="AE83" s="111">
        <f t="array" ref="AE83">IFERROR(
(MEDIAN((IF(DATOS_[[Sexo]:[Sexo]]=$B83,IF(DATOS_[[AGRUP. VALOR. PTO.]:[AGRUP. VALOR. PTO.]]=$B81,IF(DATOS_[[Check Periodo Ref.]:[Check Periodo Ref.]]="Dentro",IF(DATOS_[[Check Equiparado]:[Check Equiparado]]="Sí",IF(DATOS!AZ$5="Sí",(1/DATOS_[[% anualiz]:[% anualiz]]),1)*IF(DATOS!AZ$4="Sí",1/DATOS_[[% normaliz]:[% normaliz]],1)*(DATOS_[Conc.Sal.22])))))))),
0)</f>
        <v>0</v>
      </c>
      <c r="AF83" s="111">
        <f t="array" ref="AF83">IFERROR(
(MEDIAN((IF(DATOS_[[Sexo]:[Sexo]]=$B83,IF(DATOS_[[AGRUP. VALOR. PTO.]:[AGRUP. VALOR. PTO.]]=$B81,IF(DATOS_[[Check Periodo Ref.]:[Check Periodo Ref.]]="Dentro",IF(DATOS_[[Check Equiparado]:[Check Equiparado]]="Sí",IF(DATOS!BA$5="Sí",(1/DATOS_[[% anualiz]:[% anualiz]]),1)*IF(DATOS!BA$4="Sí",1/DATOS_[[% normaliz]:[% normaliz]],1)*(DATOS_[Conc.Sal.23])))))))),
0)</f>
        <v>0</v>
      </c>
      <c r="AG83" s="111">
        <f t="array" ref="AG83">IFERROR(
(MEDIAN((IF(DATOS_[[Sexo]:[Sexo]]=$B83,IF(DATOS_[[AGRUP. VALOR. PTO.]:[AGRUP. VALOR. PTO.]]=$B81,IF(DATOS_[[Check Periodo Ref.]:[Check Periodo Ref.]]="Dentro",IF(DATOS_[[Check Equiparado]:[Check Equiparado]]="Sí",IF(DATOS!BB$5="Sí",(1/DATOS_[[% anualiz]:[% anualiz]]),1)*IF(DATOS!BB$4="Sí",1/DATOS_[[% normaliz]:[% normaliz]],1)*(DATOS_[Conc.Sal.24])))))))),
0)</f>
        <v>0</v>
      </c>
      <c r="AH83" s="111">
        <f t="array" ref="AH83">IFERROR(
(MEDIAN((IF(DATOS_[[Sexo]:[Sexo]]=$B83,IF(DATOS_[[AGRUP. VALOR. PTO.]:[AGRUP. VALOR. PTO.]]=$B81,IF(DATOS_[[Check Periodo Ref.]:[Check Periodo Ref.]]="Dentro",IF(DATOS_[[Check Equiparado]:[Check Equiparado]]="Sí",IF(DATOS!BC$5="Sí",(1/DATOS_[[% anualiz]:[% anualiz]]),1)*IF(DATOS!BC$4="Sí",1/DATOS_[[% normaliz]:[% normaliz]],1)*(DATOS_[Conc.Sal.25])))))))),
0)</f>
        <v>0</v>
      </c>
      <c r="AI83" s="111">
        <f t="array" ref="AI83">IFERROR(
(MEDIAN((IF(DATOS_[[Sexo]:[Sexo]]=$B83,IF(DATOS_[[AGRUP. VALOR. PTO.]:[AGRUP. VALOR. PTO.]]=$B81,IF(DATOS_[[Check Periodo Ref.]:[Check Periodo Ref.]]="Dentro",IF(DATOS_[[Check Equiparado]:[Check Equiparado]]="Sí",IF(DATOS!BD$5="Sí",(1/DATOS_[[% anualiz]:[% anualiz]]),1)*IF(DATOS!BD$4="Sí",1/DATOS_[[% normaliz]:[% normaliz]],1)*(DATOS_[Conc.Sal.26])))))))),
0)</f>
        <v>0</v>
      </c>
      <c r="AJ83" s="111">
        <f t="array" ref="AJ83">IFERROR(
(MEDIAN((IF(DATOS_[[Sexo]:[Sexo]]=$B83,IF(DATOS_[[AGRUP. VALOR. PTO.]:[AGRUP. VALOR. PTO.]]=$B81,IF(DATOS_[[Check Periodo Ref.]:[Check Periodo Ref.]]="Dentro",IF(DATOS_[[Check Equiparado]:[Check Equiparado]]="Sí",IF(DATOS!BE$5="Sí",(1/DATOS_[[% anualiz]:[% anualiz]]),1)*IF(DATOS!BE$4="Sí",1/DATOS_[[% normaliz]:[% normaliz]],1)*(DATOS_[Conc.Sal.27])))))))),
0)</f>
        <v>0</v>
      </c>
      <c r="AK83" s="111">
        <f t="array" ref="AK83">IFERROR(
(MEDIAN((IF(DATOS_[[Sexo]:[Sexo]]=$B83,IF(DATOS_[[AGRUP. VALOR. PTO.]:[AGRUP. VALOR. PTO.]]=$B81,IF(DATOS_[[Check Periodo Ref.]:[Check Periodo Ref.]]="Dentro",IF(DATOS_[[Check Equiparado]:[Check Equiparado]]="Sí",IF(DATOS!BF$5="Sí",(1/DATOS_[[% anualiz]:[% anualiz]]),1)*IF(DATOS!BF$4="Sí",1/DATOS_[[% normaliz]:[% normaliz]],1)*(DATOS_[Conc.Sal.28])))))))),
0)</f>
        <v>0</v>
      </c>
      <c r="AL83" s="111">
        <f t="array" ref="AL83">IFERROR(
(MEDIAN((IF(DATOS_[[Sexo]:[Sexo]]=$B83,IF(DATOS_[[AGRUP. VALOR. PTO.]:[AGRUP. VALOR. PTO.]]=$B81,IF(DATOS_[[Check Periodo Ref.]:[Check Periodo Ref.]]="Dentro",IF(DATOS_[[Check Equiparado]:[Check Equiparado]]="Sí",IF(DATOS!BG$5="Sí",(1/DATOS_[[% anualiz]:[% anualiz]]),1)*IF(DATOS!BG$4="Sí",1/DATOS_[[% normaliz]:[% normaliz]],1)*(DATOS_[Conc.Sal.29])))))))),
0)</f>
        <v>0</v>
      </c>
      <c r="AM83" s="111">
        <f t="array" ref="AM83">IFERROR(
(MEDIAN((IF(DATOS_[[Sexo]:[Sexo]]=$B83,IF(DATOS_[[AGRUP. VALOR. PTO.]:[AGRUP. VALOR. PTO.]]=$B81,IF(DATOS_[[Check Periodo Ref.]:[Check Periodo Ref.]]="Dentro",IF(DATOS_[[Check Equiparado]:[Check Equiparado]]="Sí",IF(DATOS!BH$5="Sí",(1/DATOS_[[% anualiz]:[% anualiz]]),1)*IF(DATOS!BH$4="Sí",1/DATOS_[[% normaliz]:[% normaliz]],1)*(DATOS_[Conc.Sal.30])))))))),
0)</f>
        <v>0</v>
      </c>
      <c r="AN83" s="112">
        <f t="array" ref="AN83">IFERROR(
MEDIAN(IF(DATOS_[Sexo]=$B83,IF(DATOS_[[AGRUP. VALOR. PTO.]:[AGRUP. VALOR. PTO.]]=$B81,IF(DATOS_[Check Equiparado]="Sí",IF(DATOS_[Check Periodo Ref.]="Dentro",DATOS_[Tot COMPL.SAL Eq],FALSE))))),
0)</f>
        <v>0</v>
      </c>
      <c r="AO83" s="113">
        <f t="array" ref="AO83">IFERROR(
MEDIAN(IF(DATOS_[Sexo]=$B83,IF(DATOS_[[AGRUP. VALOR. PTO.]:[AGRUP. VALOR. PTO.]]=$B81,IF(DATOS_[Check Equiparado]="Sí",IF(DATOS_[Check Periodo Ref.]="Dentro",DATOS_[TOTAL SALARIO Eq],FALSE))))),
0)</f>
        <v>0</v>
      </c>
      <c r="AP83" s="114">
        <f t="array" ref="AP83">IFERROR(
(MEDIAN((IF(DATOS_[[Sexo]:[Sexo]]=$B83,IF(DATOS_[[AGRUP. VALOR. PTO.]:[AGRUP. VALOR. PTO.]]=$B82,IF(DATOS_[[Check Periodo Ref.]:[Check Periodo Ref.]]="Dentro",IF(DATOS_[[Check Equiparado]:[Check Equiparado]]="Sí",IF(DATOS!BI$5="Sí",(1/DATOS_[[% anualiz]:[% anualiz]]),1)*IF(DATOS!BI$4="Sí",1/DATOS_[[% normaliz]:[% normaliz]],1)*(DATOS_[C.Extra.01])))))))),
0)</f>
        <v>0</v>
      </c>
      <c r="AQ83" s="114">
        <f t="array" ref="AQ83">IFERROR(
(MEDIAN((IF(DATOS_[[Sexo]:[Sexo]]=$B83,IF(DATOS_[[AGRUP. VALOR. PTO.]:[AGRUP. VALOR. PTO.]]=$B82,IF(DATOS_[[Check Periodo Ref.]:[Check Periodo Ref.]]="Dentro",IF(DATOS_[[Check Equiparado]:[Check Equiparado]]="Sí",IF(DATOS!BJ$5="Sí",(1/DATOS_[[% anualiz]:[% anualiz]]),1)*IF(DATOS!BJ$4="Sí",1/DATOS_[[% normaliz]:[% normaliz]],1)*(DATOS_[C.Extra.02])))))))),
0)</f>
        <v>0</v>
      </c>
      <c r="AR83" s="114">
        <f t="array" ref="AR83">IFERROR(
(MEDIAN((IF(DATOS_[[Sexo]:[Sexo]]=$B83,IF(DATOS_[[AGRUP. VALOR. PTO.]:[AGRUP. VALOR. PTO.]]=$B82,IF(DATOS_[[Check Periodo Ref.]:[Check Periodo Ref.]]="Dentro",IF(DATOS_[[Check Equiparado]:[Check Equiparado]]="Sí",IF(DATOS!BK$5="Sí",(1/DATOS_[[% anualiz]:[% anualiz]]),1)*IF(DATOS!BK$4="Sí",1/DATOS_[[% normaliz]:[% normaliz]],1)*(DATOS_[C.Extra.03])))))))),
0)</f>
        <v>0</v>
      </c>
      <c r="AS83" s="114">
        <f t="array" ref="AS83">IFERROR(
(MEDIAN((IF(DATOS_[[Sexo]:[Sexo]]=$B83,IF(DATOS_[[AGRUP. VALOR. PTO.]:[AGRUP. VALOR. PTO.]]=$B82,IF(DATOS_[[Check Periodo Ref.]:[Check Periodo Ref.]]="Dentro",IF(DATOS_[[Check Equiparado]:[Check Equiparado]]="Sí",IF(DATOS!BL$5="Sí",(1/DATOS_[[% anualiz]:[% anualiz]]),1)*IF(DATOS!BL$4="Sí",1/DATOS_[[% normaliz]:[% normaliz]],1)*(DATOS_[C.Extra.04])))))))),
0)</f>
        <v>0</v>
      </c>
      <c r="AT83" s="114">
        <f t="array" ref="AT83">IFERROR(
(MEDIAN((IF(DATOS_[[Sexo]:[Sexo]]=$B83,IF(DATOS_[[AGRUP. VALOR. PTO.]:[AGRUP. VALOR. PTO.]]=$B82,IF(DATOS_[[Check Periodo Ref.]:[Check Periodo Ref.]]="Dentro",IF(DATOS_[[Check Equiparado]:[Check Equiparado]]="Sí",IF(DATOS!BM$5="Sí",(1/DATOS_[[% anualiz]:[% anualiz]]),1)*IF(DATOS!BM$4="Sí",1/DATOS_[[% normaliz]:[% normaliz]],1)*(DATOS_[C.Extra.05])))))))),
0)</f>
        <v>0</v>
      </c>
      <c r="AU83" s="115">
        <f t="array" ref="AU83">IFERROR(
MEDIAN(IF(DATOS_[Sexo]=$B83,IF(DATOS_[[AGRUP. VALOR. PTO.]:[AGRUP. VALOR. PTO.]]=$B81,IF(DATOS_[Check Equiparado]="Sí",IF(DATOS_[Check Periodo Ref.]="Dentro",DATOS_[Tot Extrasalarial Eq],FALSE))))),
0)</f>
        <v>0</v>
      </c>
      <c r="AV83" s="116">
        <f t="array" ref="AV83">IFERROR(
MEDIAN(IF(DATOS_[Sexo]=$B83,IF(DATOS_[[AGRUP. VALOR. PTO.]:[AGRUP. VALOR. PTO.]]=$B81,IF(DATOS_[Check Equiparado]="Sí",IF(DATOS_[Check Periodo Ref.]="Dentro",DATOS_[TOTAL Retrib Eq],FALSE))))),
0)</f>
        <v>0</v>
      </c>
    </row>
    <row r="84" spans="1:48" ht="17.25" hidden="1" thickBot="1" x14ac:dyDescent="0.35">
      <c r="A84" s="42" t="str">
        <f t="shared" ref="A84" si="95">+A85</f>
        <v>[ocultar]</v>
      </c>
      <c r="B84" s="90" t="s">
        <v>283</v>
      </c>
      <c r="C84" s="109"/>
      <c r="D84" s="41"/>
      <c r="E84" s="41"/>
      <c r="F84" s="41"/>
      <c r="G84" s="41"/>
      <c r="H84" s="41"/>
      <c r="I84" s="119" t="str">
        <f t="shared" ref="I84:AV84" si="96">IFERROR((I85-I86)/I85,"")</f>
        <v/>
      </c>
      <c r="J84" s="123" t="str">
        <f t="shared" si="96"/>
        <v/>
      </c>
      <c r="K84" s="123" t="str">
        <f t="shared" si="96"/>
        <v/>
      </c>
      <c r="L84" s="123" t="str">
        <f t="shared" si="96"/>
        <v/>
      </c>
      <c r="M84" s="123" t="str">
        <f t="shared" si="96"/>
        <v/>
      </c>
      <c r="N84" s="123" t="str">
        <f t="shared" si="96"/>
        <v/>
      </c>
      <c r="O84" s="123" t="str">
        <f t="shared" si="96"/>
        <v/>
      </c>
      <c r="P84" s="123" t="str">
        <f t="shared" si="96"/>
        <v/>
      </c>
      <c r="Q84" s="123" t="str">
        <f t="shared" si="96"/>
        <v/>
      </c>
      <c r="R84" s="123" t="str">
        <f t="shared" si="96"/>
        <v/>
      </c>
      <c r="S84" s="123" t="str">
        <f t="shared" si="96"/>
        <v/>
      </c>
      <c r="T84" s="123" t="str">
        <f t="shared" si="96"/>
        <v/>
      </c>
      <c r="U84" s="123" t="str">
        <f t="shared" si="96"/>
        <v/>
      </c>
      <c r="V84" s="123" t="str">
        <f t="shared" si="96"/>
        <v/>
      </c>
      <c r="W84" s="123" t="str">
        <f t="shared" si="96"/>
        <v/>
      </c>
      <c r="X84" s="123" t="str">
        <f t="shared" si="96"/>
        <v/>
      </c>
      <c r="Y84" s="123" t="str">
        <f t="shared" si="96"/>
        <v/>
      </c>
      <c r="Z84" s="122" t="str">
        <f t="shared" si="96"/>
        <v/>
      </c>
      <c r="AA84" s="122" t="str">
        <f t="shared" si="96"/>
        <v/>
      </c>
      <c r="AB84" s="122" t="str">
        <f t="shared" si="96"/>
        <v/>
      </c>
      <c r="AC84" s="122" t="str">
        <f t="shared" si="96"/>
        <v/>
      </c>
      <c r="AD84" s="122" t="str">
        <f t="shared" si="96"/>
        <v/>
      </c>
      <c r="AE84" s="122" t="str">
        <f t="shared" si="96"/>
        <v/>
      </c>
      <c r="AF84" s="122" t="str">
        <f t="shared" si="96"/>
        <v/>
      </c>
      <c r="AG84" s="122" t="str">
        <f t="shared" si="96"/>
        <v/>
      </c>
      <c r="AH84" s="122" t="str">
        <f t="shared" si="96"/>
        <v/>
      </c>
      <c r="AI84" s="122" t="str">
        <f t="shared" si="96"/>
        <v/>
      </c>
      <c r="AJ84" s="122" t="str">
        <f t="shared" si="96"/>
        <v/>
      </c>
      <c r="AK84" s="122" t="str">
        <f t="shared" si="96"/>
        <v/>
      </c>
      <c r="AL84" s="122" t="str">
        <f t="shared" si="96"/>
        <v/>
      </c>
      <c r="AM84" s="122" t="str">
        <f t="shared" si="96"/>
        <v/>
      </c>
      <c r="AN84" s="124" t="str">
        <f t="shared" si="96"/>
        <v/>
      </c>
      <c r="AO84" s="128" t="str">
        <f t="shared" si="96"/>
        <v/>
      </c>
      <c r="AP84" s="125" t="str">
        <f t="shared" si="96"/>
        <v/>
      </c>
      <c r="AQ84" s="125" t="str">
        <f t="shared" si="96"/>
        <v/>
      </c>
      <c r="AR84" s="125" t="str">
        <f t="shared" si="96"/>
        <v/>
      </c>
      <c r="AS84" s="125" t="str">
        <f t="shared" si="96"/>
        <v/>
      </c>
      <c r="AT84" s="125" t="str">
        <f t="shared" si="96"/>
        <v/>
      </c>
      <c r="AU84" s="126" t="str">
        <f t="shared" si="96"/>
        <v/>
      </c>
      <c r="AV84" s="127" t="str">
        <f t="shared" si="96"/>
        <v/>
      </c>
    </row>
    <row r="85" spans="1:48" hidden="1" x14ac:dyDescent="0.3">
      <c r="A85" s="42" t="str">
        <f t="shared" ref="A85" si="97">+IF(C85+C86=0,"[ocultar]","")</f>
        <v>[ocultar]</v>
      </c>
      <c r="B85" s="86" t="s">
        <v>162</v>
      </c>
      <c r="C85" s="33">
        <f t="array" ref="C85">SUM(IF($B85=DATOS_[Sexo],
IF($B84=DATOS_[AGRUP. VALOR. PTO.],
IF("Dentro"=DATOS_[Check Periodo Ref.],
1/(COUNTIFS(DATOS_[Sexo],$B85,DATOS_[AGRUP. VALOR. PTO.],$B84,DATOS_[Check Periodo Ref.],"Dentro",DATOS_[id],DATOS_[id]))))))</f>
        <v>0</v>
      </c>
      <c r="D85" s="35">
        <f>COUNTIFS(DATOS_[AGRUP. VALOR. PTO.],$B84,DATOS_[Sexo],$B85,DATOS_[Check Periodo Ref.],"Dentro")</f>
        <v>0</v>
      </c>
      <c r="E85" s="35">
        <f>COUNTIFS(DATOS_[AGRUP. VALOR. PTO.],$B84,DATOS_[Sexo],$B85,DATOS_[Check Periodo Ref.],"Dentro",DATOS_[Check Nº SC Norm],"Sí")</f>
        <v>0</v>
      </c>
      <c r="F85" s="35">
        <f>COUNTIFS(DATOS_[AGRUP. VALOR. PTO.],$B84,DATOS_[Sexo],$B85,DATOS_[Check Periodo Ref.],"Dentro",DATOS_[Check Nº SC Anualiz],"Sí")</f>
        <v>0</v>
      </c>
      <c r="G85" s="35">
        <f>COUNTIFS(DATOS_[AGRUP. VALOR. PTO.],$B84,DATOS_[Sexo],$B85,DATOS_[Check Periodo Ref.],"Dentro",DATOS_[Check Nº SC Norm y Anualiz],"Sí")</f>
        <v>0</v>
      </c>
      <c r="H85" s="35">
        <f>COUNTIFS(DATOS_[AGRUP. VALOR. PTO.],$B84,DATOS_[Sexo],$B85,DATOS_[Check Periodo Ref.],"Dentro",DATOS_[Check Equiparación],"Sí")</f>
        <v>0</v>
      </c>
      <c r="I85" s="110">
        <f t="array" ref="I85">IFERROR(
MEDIAN(IF(DATOS_[Sexo]=$B85,IF(DATOS_[[AGRUP. VALOR. PTO.]:[AGRUP. VALOR. PTO.]]=$B84,IF(DATOS_[Check Equiparado]="Sí",IF(DATOS_[Check Periodo Ref.]="Dentro",DATOS_[SALARIO BASE Eq],FALSE))))),
0)</f>
        <v>0</v>
      </c>
      <c r="J85" s="111">
        <f t="array" ref="J85">IFERROR(
(MEDIAN((IF(DATOS_[[Sexo]:[Sexo]]=$B85,IF(DATOS_[[AGRUP. VALOR. PTO.]:[AGRUP. VALOR. PTO.]]=$B84,IF(DATOS_[[Check Periodo Ref.]:[Check Periodo Ref.]]="Dentro",IF(DATOS_[[Check Equiparado]:[Check Equiparado]]="Sí",IF(DATOS!AE$5="Sí",(1/DATOS_[[% anualiz]:[% anualiz]]),1)*IF(DATOS!AE$4="Sí",1/DATOS_[[% normaliz]:[% normaliz]],1)*(DATOS_[Conc.Sal.01])))))))),
0)</f>
        <v>0</v>
      </c>
      <c r="K85" s="111">
        <f t="array" ref="K85">IFERROR(
(MEDIAN((IF(DATOS_[[Sexo]:[Sexo]]=$B85,IF(DATOS_[[AGRUP. VALOR. PTO.]:[AGRUP. VALOR. PTO.]]=$B84,IF(DATOS_[[Check Periodo Ref.]:[Check Periodo Ref.]]="Dentro",IF(DATOS_[[Check Equiparado]:[Check Equiparado]]="Sí",IF(DATOS!AF$5="Sí",(1/DATOS_[[% anualiz]:[% anualiz]]),1)*IF(DATOS!AF$4="Sí",1/DATOS_[[% normaliz]:[% normaliz]],1)*(DATOS_[Conc.Sal.02])))))))),
0)</f>
        <v>0</v>
      </c>
      <c r="L85" s="111">
        <f t="array" ref="L85">IFERROR(
(MEDIAN((IF(DATOS_[[Sexo]:[Sexo]]=$B85,IF(DATOS_[[AGRUP. VALOR. PTO.]:[AGRUP. VALOR. PTO.]]=$B84,IF(DATOS_[[Check Periodo Ref.]:[Check Periodo Ref.]]="Dentro",IF(DATOS_[[Check Equiparado]:[Check Equiparado]]="Sí",IF(DATOS!AG$5="Sí",(1/DATOS_[[% anualiz]:[% anualiz]]),1)*IF(DATOS!AG$4="Sí",1/DATOS_[[% normaliz]:[% normaliz]],1)*(DATOS_[Conc.Sal.03])))))))),
0)</f>
        <v>0</v>
      </c>
      <c r="M85" s="111">
        <f t="array" ref="M85">IFERROR(
(MEDIAN((IF(DATOS_[[Sexo]:[Sexo]]=$B85,IF(DATOS_[[AGRUP. VALOR. PTO.]:[AGRUP. VALOR. PTO.]]=$B84,IF(DATOS_[[Check Periodo Ref.]:[Check Periodo Ref.]]="Dentro",IF(DATOS_[[Check Equiparado]:[Check Equiparado]]="Sí",IF(DATOS!AH$5="Sí",(1/DATOS_[[% anualiz]:[% anualiz]]),1)*IF(DATOS!AH$4="Sí",1/DATOS_[[% normaliz]:[% normaliz]],1)*(DATOS_[Conc.Sal.04])))))))),
0)</f>
        <v>0</v>
      </c>
      <c r="N85" s="111">
        <f t="array" ref="N85">IFERROR(
(MEDIAN((IF(DATOS_[[Sexo]:[Sexo]]=$B85,IF(DATOS_[[AGRUP. VALOR. PTO.]:[AGRUP. VALOR. PTO.]]=$B84,IF(DATOS_[[Check Periodo Ref.]:[Check Periodo Ref.]]="Dentro",IF(DATOS_[[Check Equiparado]:[Check Equiparado]]="Sí",IF(DATOS!AI$5="Sí",(1/DATOS_[[% anualiz]:[% anualiz]]),1)*IF(DATOS!AI$4="Sí",1/DATOS_[[% normaliz]:[% normaliz]],1)*(DATOS_[Conc.Sal.05])))))))),
0)</f>
        <v>0</v>
      </c>
      <c r="O85" s="111">
        <f t="array" ref="O85">IFERROR(
(MEDIAN((IF(DATOS_[[Sexo]:[Sexo]]=$B85,IF(DATOS_[[AGRUP. VALOR. PTO.]:[AGRUP. VALOR. PTO.]]=$B84,IF(DATOS_[[Check Periodo Ref.]:[Check Periodo Ref.]]="Dentro",IF(DATOS_[[Check Equiparado]:[Check Equiparado]]="Sí",IF(DATOS!AJ$5="Sí",(1/DATOS_[[% anualiz]:[% anualiz]]),1)*IF(DATOS!AJ$4="Sí",1/DATOS_[[% normaliz]:[% normaliz]],1)*(DATOS_[Conc.Sal.06])))))))),
0)</f>
        <v>0</v>
      </c>
      <c r="P85" s="111">
        <f t="array" ref="P85">IFERROR(
(MEDIAN((IF(DATOS_[[Sexo]:[Sexo]]=$B85,IF(DATOS_[[AGRUP. VALOR. PTO.]:[AGRUP. VALOR. PTO.]]=$B84,IF(DATOS_[[Check Periodo Ref.]:[Check Periodo Ref.]]="Dentro",IF(DATOS_[[Check Equiparado]:[Check Equiparado]]="Sí",IF(DATOS!AK$5="Sí",(1/DATOS_[[% anualiz]:[% anualiz]]),1)*IF(DATOS!AK$4="Sí",1/DATOS_[[% normaliz]:[% normaliz]],1)*(DATOS_[Conc.Sal.07])))))))),
0)</f>
        <v>0</v>
      </c>
      <c r="Q85" s="111">
        <f t="array" ref="Q85">IFERROR(
(MEDIAN((IF(DATOS_[[Sexo]:[Sexo]]=$B85,IF(DATOS_[[AGRUP. VALOR. PTO.]:[AGRUP. VALOR. PTO.]]=$B84,IF(DATOS_[[Check Periodo Ref.]:[Check Periodo Ref.]]="Dentro",IF(DATOS_[[Check Equiparado]:[Check Equiparado]]="Sí",IF(DATOS!AL$5="Sí",(1/DATOS_[[% anualiz]:[% anualiz]]),1)*IF(DATOS!AL$4="Sí",1/DATOS_[[% normaliz]:[% normaliz]],1)*(DATOS_[Conc.Sal.08])))))))),
0)</f>
        <v>0</v>
      </c>
      <c r="R85" s="111">
        <f t="array" ref="R85">IFERROR(
(MEDIAN((IF(DATOS_[[Sexo]:[Sexo]]=$B85,IF(DATOS_[[AGRUP. VALOR. PTO.]:[AGRUP. VALOR. PTO.]]=$B84,IF(DATOS_[[Check Periodo Ref.]:[Check Periodo Ref.]]="Dentro",IF(DATOS_[[Check Equiparado]:[Check Equiparado]]="Sí",IF(DATOS!AM$5="Sí",(1/DATOS_[[% anualiz]:[% anualiz]]),1)*IF(DATOS!AM$4="Sí",1/DATOS_[[% normaliz]:[% normaliz]],1)*(DATOS_[Conc.Sal.09])))))))),
0)</f>
        <v>0</v>
      </c>
      <c r="S85" s="111">
        <f t="array" ref="S85">IFERROR(
(MEDIAN((IF(DATOS_[[Sexo]:[Sexo]]=$B85,IF(DATOS_[[AGRUP. VALOR. PTO.]:[AGRUP. VALOR. PTO.]]=$B84,IF(DATOS_[[Check Periodo Ref.]:[Check Periodo Ref.]]="Dentro",IF(DATOS_[[Check Equiparado]:[Check Equiparado]]="Sí",IF(DATOS!AN$5="Sí",(1/DATOS_[[% anualiz]:[% anualiz]]),1)*IF(DATOS!AN$4="Sí",1/DATOS_[[% normaliz]:[% normaliz]],1)*(DATOS_[Conc.Sal.10])))))))),
0)</f>
        <v>0</v>
      </c>
      <c r="T85" s="111">
        <f t="array" ref="T85">IFERROR(
(MEDIAN((IF(DATOS_[[Sexo]:[Sexo]]=$B85,IF(DATOS_[[AGRUP. VALOR. PTO.]:[AGRUP. VALOR. PTO.]]=$B84,IF(DATOS_[[Check Periodo Ref.]:[Check Periodo Ref.]]="Dentro",IF(DATOS_[[Check Equiparado]:[Check Equiparado]]="Sí",IF(DATOS!AO$5="Sí",(1/DATOS_[[% anualiz]:[% anualiz]]),1)*IF(DATOS!AO$4="Sí",1/DATOS_[[% normaliz]:[% normaliz]],1)*(DATOS_[Conc.Sal.11])))))))),
0)</f>
        <v>0</v>
      </c>
      <c r="U85" s="111">
        <f t="array" ref="U85">IFERROR(
(MEDIAN((IF(DATOS_[[Sexo]:[Sexo]]=$B85,IF(DATOS_[[AGRUP. VALOR. PTO.]:[AGRUP. VALOR. PTO.]]=$B84,IF(DATOS_[[Check Periodo Ref.]:[Check Periodo Ref.]]="Dentro",IF(DATOS_[[Check Equiparado]:[Check Equiparado]]="Sí",IF(DATOS!AP$5="Sí",(1/DATOS_[[% anualiz]:[% anualiz]]),1)*IF(DATOS!AP$4="Sí",1/DATOS_[[% normaliz]:[% normaliz]],1)*(DATOS_[Conc.Sal.12])))))))),
0)</f>
        <v>0</v>
      </c>
      <c r="V85" s="111">
        <f t="array" ref="V85">IFERROR(
(MEDIAN((IF(DATOS_[[Sexo]:[Sexo]]=$B85,IF(DATOS_[[AGRUP. VALOR. PTO.]:[AGRUP. VALOR. PTO.]]=$B84,IF(DATOS_[[Check Periodo Ref.]:[Check Periodo Ref.]]="Dentro",IF(DATOS_[[Check Equiparado]:[Check Equiparado]]="Sí",IF(DATOS!AQ$5="Sí",(1/DATOS_[[% anualiz]:[% anualiz]]),1)*IF(DATOS!AQ$4="Sí",1/DATOS_[[% normaliz]:[% normaliz]],1)*(DATOS_[Conc.Sal.13])))))))),
0)</f>
        <v>0</v>
      </c>
      <c r="W85" s="111">
        <f t="array" ref="W85">IFERROR(
(MEDIAN((IF(DATOS_[[Sexo]:[Sexo]]=$B85,IF(DATOS_[[AGRUP. VALOR. PTO.]:[AGRUP. VALOR. PTO.]]=$B84,IF(DATOS_[[Check Periodo Ref.]:[Check Periodo Ref.]]="Dentro",IF(DATOS_[[Check Equiparado]:[Check Equiparado]]="Sí",IF(DATOS!AR$5="Sí",(1/DATOS_[[% anualiz]:[% anualiz]]),1)*IF(DATOS!AR$4="Sí",1/DATOS_[[% normaliz]:[% normaliz]],1)*(DATOS_[Conc.Sal.14])))))))),
0)</f>
        <v>0</v>
      </c>
      <c r="X85" s="111">
        <f t="array" ref="X85">IFERROR(
(MEDIAN((IF(DATOS_[[Sexo]:[Sexo]]=$B85,IF(DATOS_[[AGRUP. VALOR. PTO.]:[AGRUP. VALOR. PTO.]]=$B84,IF(DATOS_[[Check Periodo Ref.]:[Check Periodo Ref.]]="Dentro",IF(DATOS_[[Check Equiparado]:[Check Equiparado]]="Sí",IF(DATOS!AS$5="Sí",(1/DATOS_[[% anualiz]:[% anualiz]]),1)*IF(DATOS!AS$4="Sí",1/DATOS_[[% normaliz]:[% normaliz]],1)*(DATOS_[Conc.Sal.15])))))))),
0)</f>
        <v>0</v>
      </c>
      <c r="Y85" s="111">
        <f t="array" ref="Y85">IFERROR(
(MEDIAN((IF(DATOS_[[Sexo]:[Sexo]]=$B85,IF(DATOS_[[AGRUP. VALOR. PTO.]:[AGRUP. VALOR. PTO.]]=$B84,IF(DATOS_[[Check Periodo Ref.]:[Check Periodo Ref.]]="Dentro",IF(DATOS_[[Check Equiparado]:[Check Equiparado]]="Sí",IF(DATOS!AT$5="Sí",(1/DATOS_[[% anualiz]:[% anualiz]]),1)*IF(DATOS!AT$4="Sí",1/DATOS_[[% normaliz]:[% normaliz]],1)*(DATOS_[Conc.Sal.16])))))))),
0)</f>
        <v>0</v>
      </c>
      <c r="Z85" s="111">
        <f t="array" ref="Z85">IFERROR(
(MEDIAN((IF(DATOS_[[Sexo]:[Sexo]]=$B85,IF(DATOS_[[AGRUP. VALOR. PTO.]:[AGRUP. VALOR. PTO.]]=$B84,IF(DATOS_[[Check Periodo Ref.]:[Check Periodo Ref.]]="Dentro",IF(DATOS_[[Check Equiparado]:[Check Equiparado]]="Sí",IF(DATOS!AU$5="Sí",(1/DATOS_[[% anualiz]:[% anualiz]]),1)*IF(DATOS!AU$4="Sí",1/DATOS_[[% normaliz]:[% normaliz]],1)*(DATOS_[Conc.Sal.17])))))))),
0)</f>
        <v>0</v>
      </c>
      <c r="AA85" s="111">
        <f t="array" ref="AA85">IFERROR(
(MEDIAN((IF(DATOS_[[Sexo]:[Sexo]]=$B85,IF(DATOS_[[AGRUP. VALOR. PTO.]:[AGRUP. VALOR. PTO.]]=$B84,IF(DATOS_[[Check Periodo Ref.]:[Check Periodo Ref.]]="Dentro",IF(DATOS_[[Check Equiparado]:[Check Equiparado]]="Sí",IF(DATOS!AV$5="Sí",(1/DATOS_[[% anualiz]:[% anualiz]]),1)*IF(DATOS!AV$4="Sí",1/DATOS_[[% normaliz]:[% normaliz]],1)*(DATOS_[Conc.Sal.18])))))))),
0)</f>
        <v>0</v>
      </c>
      <c r="AB85" s="111">
        <f t="array" ref="AB85">IFERROR(
(MEDIAN((IF(DATOS_[[Sexo]:[Sexo]]=$B85,IF(DATOS_[[AGRUP. VALOR. PTO.]:[AGRUP. VALOR. PTO.]]=$B84,IF(DATOS_[[Check Periodo Ref.]:[Check Periodo Ref.]]="Dentro",IF(DATOS_[[Check Equiparado]:[Check Equiparado]]="Sí",IF(DATOS!AW$5="Sí",(1/DATOS_[[% anualiz]:[% anualiz]]),1)*IF(DATOS!AW$4="Sí",1/DATOS_[[% normaliz]:[% normaliz]],1)*(DATOS_[Conc.Sal.19])))))))),
0)</f>
        <v>0</v>
      </c>
      <c r="AC85" s="111">
        <f t="array" ref="AC85">IFERROR(
(MEDIAN((IF(DATOS_[[Sexo]:[Sexo]]=$B85,IF(DATOS_[[AGRUP. VALOR. PTO.]:[AGRUP. VALOR. PTO.]]=$B84,IF(DATOS_[[Check Periodo Ref.]:[Check Periodo Ref.]]="Dentro",IF(DATOS_[[Check Equiparado]:[Check Equiparado]]="Sí",IF(DATOS!AX$5="Sí",(1/DATOS_[[% anualiz]:[% anualiz]]),1)*IF(DATOS!AX$4="Sí",1/DATOS_[[% normaliz]:[% normaliz]],1)*(DATOS_[Conc.Sal.20])))))))),
0)</f>
        <v>0</v>
      </c>
      <c r="AD85" s="111">
        <f t="array" ref="AD85">IFERROR(
(MEDIAN((IF(DATOS_[[Sexo]:[Sexo]]=$B85,IF(DATOS_[[AGRUP. VALOR. PTO.]:[AGRUP. VALOR. PTO.]]=$B84,IF(DATOS_[[Check Periodo Ref.]:[Check Periodo Ref.]]="Dentro",IF(DATOS_[[Check Equiparado]:[Check Equiparado]]="Sí",IF(DATOS!AY$5="Sí",(1/DATOS_[[% anualiz]:[% anualiz]]),1)*IF(DATOS!AY$4="Sí",1/DATOS_[[% normaliz]:[% normaliz]],1)*(DATOS_[Conc.Sal.21])))))))),
0)</f>
        <v>0</v>
      </c>
      <c r="AE85" s="111">
        <f t="array" ref="AE85">IFERROR(
(MEDIAN((IF(DATOS_[[Sexo]:[Sexo]]=$B85,IF(DATOS_[[AGRUP. VALOR. PTO.]:[AGRUP. VALOR. PTO.]]=$B84,IF(DATOS_[[Check Periodo Ref.]:[Check Periodo Ref.]]="Dentro",IF(DATOS_[[Check Equiparado]:[Check Equiparado]]="Sí",IF(DATOS!AZ$5="Sí",(1/DATOS_[[% anualiz]:[% anualiz]]),1)*IF(DATOS!AZ$4="Sí",1/DATOS_[[% normaliz]:[% normaliz]],1)*(DATOS_[Conc.Sal.22])))))))),
0)</f>
        <v>0</v>
      </c>
      <c r="AF85" s="111">
        <f t="array" ref="AF85">IFERROR(
(MEDIAN((IF(DATOS_[[Sexo]:[Sexo]]=$B85,IF(DATOS_[[AGRUP. VALOR. PTO.]:[AGRUP. VALOR. PTO.]]=$B84,IF(DATOS_[[Check Periodo Ref.]:[Check Periodo Ref.]]="Dentro",IF(DATOS_[[Check Equiparado]:[Check Equiparado]]="Sí",IF(DATOS!BA$5="Sí",(1/DATOS_[[% anualiz]:[% anualiz]]),1)*IF(DATOS!BA$4="Sí",1/DATOS_[[% normaliz]:[% normaliz]],1)*(DATOS_[Conc.Sal.23])))))))),
0)</f>
        <v>0</v>
      </c>
      <c r="AG85" s="111">
        <f t="array" ref="AG85">IFERROR(
(MEDIAN((IF(DATOS_[[Sexo]:[Sexo]]=$B85,IF(DATOS_[[AGRUP. VALOR. PTO.]:[AGRUP. VALOR. PTO.]]=$B84,IF(DATOS_[[Check Periodo Ref.]:[Check Periodo Ref.]]="Dentro",IF(DATOS_[[Check Equiparado]:[Check Equiparado]]="Sí",IF(DATOS!BB$5="Sí",(1/DATOS_[[% anualiz]:[% anualiz]]),1)*IF(DATOS!BB$4="Sí",1/DATOS_[[% normaliz]:[% normaliz]],1)*(DATOS_[Conc.Sal.24])))))))),
0)</f>
        <v>0</v>
      </c>
      <c r="AH85" s="111">
        <f t="array" ref="AH85">IFERROR(
(MEDIAN((IF(DATOS_[[Sexo]:[Sexo]]=$B85,IF(DATOS_[[AGRUP. VALOR. PTO.]:[AGRUP. VALOR. PTO.]]=$B84,IF(DATOS_[[Check Periodo Ref.]:[Check Periodo Ref.]]="Dentro",IF(DATOS_[[Check Equiparado]:[Check Equiparado]]="Sí",IF(DATOS!BC$5="Sí",(1/DATOS_[[% anualiz]:[% anualiz]]),1)*IF(DATOS!BC$4="Sí",1/DATOS_[[% normaliz]:[% normaliz]],1)*(DATOS_[Conc.Sal.25])))))))),
0)</f>
        <v>0</v>
      </c>
      <c r="AI85" s="111">
        <f t="array" ref="AI85">IFERROR(
(MEDIAN((IF(DATOS_[[Sexo]:[Sexo]]=$B85,IF(DATOS_[[AGRUP. VALOR. PTO.]:[AGRUP. VALOR. PTO.]]=$B84,IF(DATOS_[[Check Periodo Ref.]:[Check Periodo Ref.]]="Dentro",IF(DATOS_[[Check Equiparado]:[Check Equiparado]]="Sí",IF(DATOS!BD$5="Sí",(1/DATOS_[[% anualiz]:[% anualiz]]),1)*IF(DATOS!BD$4="Sí",1/DATOS_[[% normaliz]:[% normaliz]],1)*(DATOS_[Conc.Sal.26])))))))),
0)</f>
        <v>0</v>
      </c>
      <c r="AJ85" s="111">
        <f t="array" ref="AJ85">IFERROR(
(MEDIAN((IF(DATOS_[[Sexo]:[Sexo]]=$B85,IF(DATOS_[[AGRUP. VALOR. PTO.]:[AGRUP. VALOR. PTO.]]=$B84,IF(DATOS_[[Check Periodo Ref.]:[Check Periodo Ref.]]="Dentro",IF(DATOS_[[Check Equiparado]:[Check Equiparado]]="Sí",IF(DATOS!BE$5="Sí",(1/DATOS_[[% anualiz]:[% anualiz]]),1)*IF(DATOS!BE$4="Sí",1/DATOS_[[% normaliz]:[% normaliz]],1)*(DATOS_[Conc.Sal.27])))))))),
0)</f>
        <v>0</v>
      </c>
      <c r="AK85" s="111">
        <f t="array" ref="AK85">IFERROR(
(MEDIAN((IF(DATOS_[[Sexo]:[Sexo]]=$B85,IF(DATOS_[[AGRUP. VALOR. PTO.]:[AGRUP. VALOR. PTO.]]=$B84,IF(DATOS_[[Check Periodo Ref.]:[Check Periodo Ref.]]="Dentro",IF(DATOS_[[Check Equiparado]:[Check Equiparado]]="Sí",IF(DATOS!BF$5="Sí",(1/DATOS_[[% anualiz]:[% anualiz]]),1)*IF(DATOS!BF$4="Sí",1/DATOS_[[% normaliz]:[% normaliz]],1)*(DATOS_[Conc.Sal.28])))))))),
0)</f>
        <v>0</v>
      </c>
      <c r="AL85" s="111">
        <f t="array" ref="AL85">IFERROR(
(MEDIAN((IF(DATOS_[[Sexo]:[Sexo]]=$B85,IF(DATOS_[[AGRUP. VALOR. PTO.]:[AGRUP. VALOR. PTO.]]=$B84,IF(DATOS_[[Check Periodo Ref.]:[Check Periodo Ref.]]="Dentro",IF(DATOS_[[Check Equiparado]:[Check Equiparado]]="Sí",IF(DATOS!BG$5="Sí",(1/DATOS_[[% anualiz]:[% anualiz]]),1)*IF(DATOS!BG$4="Sí",1/DATOS_[[% normaliz]:[% normaliz]],1)*(DATOS_[Conc.Sal.29])))))))),
0)</f>
        <v>0</v>
      </c>
      <c r="AM85" s="111">
        <f t="array" ref="AM85">IFERROR(
(MEDIAN((IF(DATOS_[[Sexo]:[Sexo]]=$B85,IF(DATOS_[[AGRUP. VALOR. PTO.]:[AGRUP. VALOR. PTO.]]=$B84,IF(DATOS_[[Check Periodo Ref.]:[Check Periodo Ref.]]="Dentro",IF(DATOS_[[Check Equiparado]:[Check Equiparado]]="Sí",IF(DATOS!BH$5="Sí",(1/DATOS_[[% anualiz]:[% anualiz]]),1)*IF(DATOS!BH$4="Sí",1/DATOS_[[% normaliz]:[% normaliz]],1)*(DATOS_[Conc.Sal.30])))))))),
0)</f>
        <v>0</v>
      </c>
      <c r="AN85" s="112">
        <f t="array" ref="AN85">IFERROR(
MEDIAN(IF(DATOS_[Sexo]=$B85,IF(DATOS_[[AGRUP. VALOR. PTO.]:[AGRUP. VALOR. PTO.]]=$B84,IF(DATOS_[Check Equiparado]="Sí",IF(DATOS_[Check Periodo Ref.]="Dentro",DATOS_[Tot COMPL.SAL Eq],FALSE))))),
0)</f>
        <v>0</v>
      </c>
      <c r="AO85" s="113">
        <f t="array" ref="AO85">IFERROR(
MEDIAN(IF(DATOS_[Sexo]=$B85,IF(DATOS_[[AGRUP. VALOR. PTO.]:[AGRUP. VALOR. PTO.]]=$B84,IF(DATOS_[Check Equiparado]="Sí",IF(DATOS_[Check Periodo Ref.]="Dentro",DATOS_[TOTAL SALARIO Eq],FALSE))))),
0)</f>
        <v>0</v>
      </c>
      <c r="AP85" s="114">
        <f t="array" ref="AP85">IFERROR(
(MEDIAN((IF(DATOS_[[Sexo]:[Sexo]]=$B85,IF(DATOS_[[AGRUP. VALOR. PTO.]:[AGRUP. VALOR. PTO.]]=$B84,IF(DATOS_[[Check Periodo Ref.]:[Check Periodo Ref.]]="Dentro",IF(DATOS_[[Check Equiparado]:[Check Equiparado]]="Sí",IF(DATOS!BI$5="Sí",(1/DATOS_[[% anualiz]:[% anualiz]]),1)*IF(DATOS!BI$4="Sí",1/DATOS_[[% normaliz]:[% normaliz]],1)*(DATOS_[C.Extra.01])))))))),
0)</f>
        <v>0</v>
      </c>
      <c r="AQ85" s="114">
        <f t="array" ref="AQ85">IFERROR(
(MEDIAN((IF(DATOS_[[Sexo]:[Sexo]]=$B85,IF(DATOS_[[AGRUP. VALOR. PTO.]:[AGRUP. VALOR. PTO.]]=$B84,IF(DATOS_[[Check Periodo Ref.]:[Check Periodo Ref.]]="Dentro",IF(DATOS_[[Check Equiparado]:[Check Equiparado]]="Sí",IF(DATOS!BJ$5="Sí",(1/DATOS_[[% anualiz]:[% anualiz]]),1)*IF(DATOS!BJ$4="Sí",1/DATOS_[[% normaliz]:[% normaliz]],1)*(DATOS_[C.Extra.02])))))))),
0)</f>
        <v>0</v>
      </c>
      <c r="AR85" s="114">
        <f t="array" ref="AR85">IFERROR(
(MEDIAN((IF(DATOS_[[Sexo]:[Sexo]]=$B85,IF(DATOS_[[AGRUP. VALOR. PTO.]:[AGRUP. VALOR. PTO.]]=$B84,IF(DATOS_[[Check Periodo Ref.]:[Check Periodo Ref.]]="Dentro",IF(DATOS_[[Check Equiparado]:[Check Equiparado]]="Sí",IF(DATOS!BK$5="Sí",(1/DATOS_[[% anualiz]:[% anualiz]]),1)*IF(DATOS!BK$4="Sí",1/DATOS_[[% normaliz]:[% normaliz]],1)*(DATOS_[C.Extra.03])))))))),
0)</f>
        <v>0</v>
      </c>
      <c r="AS85" s="114">
        <f t="array" ref="AS85">IFERROR(
(MEDIAN((IF(DATOS_[[Sexo]:[Sexo]]=$B85,IF(DATOS_[[AGRUP. VALOR. PTO.]:[AGRUP. VALOR. PTO.]]=$B84,IF(DATOS_[[Check Periodo Ref.]:[Check Periodo Ref.]]="Dentro",IF(DATOS_[[Check Equiparado]:[Check Equiparado]]="Sí",IF(DATOS!BL$5="Sí",(1/DATOS_[[% anualiz]:[% anualiz]]),1)*IF(DATOS!BL$4="Sí",1/DATOS_[[% normaliz]:[% normaliz]],1)*(DATOS_[C.Extra.04])))))))),
0)</f>
        <v>0</v>
      </c>
      <c r="AT85" s="114">
        <f t="array" ref="AT85">IFERROR(
(MEDIAN((IF(DATOS_[[Sexo]:[Sexo]]=$B85,IF(DATOS_[[AGRUP. VALOR. PTO.]:[AGRUP. VALOR. PTO.]]=$B84,IF(DATOS_[[Check Periodo Ref.]:[Check Periodo Ref.]]="Dentro",IF(DATOS_[[Check Equiparado]:[Check Equiparado]]="Sí",IF(DATOS!BM$5="Sí",(1/DATOS_[[% anualiz]:[% anualiz]]),1)*IF(DATOS!BM$4="Sí",1/DATOS_[[% normaliz]:[% normaliz]],1)*(DATOS_[C.Extra.05])))))))),
0)</f>
        <v>0</v>
      </c>
      <c r="AU85" s="115">
        <f t="array" ref="AU85">IFERROR(
MEDIAN(IF(DATOS_[Sexo]=$B85,IF(DATOS_[[AGRUP. VALOR. PTO.]:[AGRUP. VALOR. PTO.]]=$B84,IF(DATOS_[Check Equiparado]="Sí",IF(DATOS_[Check Periodo Ref.]="Dentro",DATOS_[Tot Extrasalarial Eq],FALSE))))),
0)</f>
        <v>0</v>
      </c>
      <c r="AV85" s="116">
        <f t="array" ref="AV85">IFERROR(
MEDIAN(IF(DATOS_[Sexo]=$B85,IF(DATOS_[[AGRUP. VALOR. PTO.]:[AGRUP. VALOR. PTO.]]=$B84,IF(DATOS_[Check Equiparado]="Sí",IF(DATOS_[Check Periodo Ref.]="Dentro",DATOS_[TOTAL Retrib Eq],FALSE))))),
0)</f>
        <v>0</v>
      </c>
    </row>
    <row r="86" spans="1:48" hidden="1" x14ac:dyDescent="0.3">
      <c r="A86" s="42" t="str">
        <f t="shared" ref="A86" si="98">+A85</f>
        <v>[ocultar]</v>
      </c>
      <c r="B86" s="86" t="s">
        <v>163</v>
      </c>
      <c r="C86" s="33">
        <f t="array" ref="C86">SUM(IF($B86=DATOS_[Sexo],
IF($B84=DATOS_[AGRUP. VALOR. PTO.],
IF("Dentro"=DATOS_[Check Periodo Ref.],
1/(COUNTIFS(DATOS_[Sexo],$B86,DATOS_[AGRUP. VALOR. PTO.],$B84,DATOS_[Check Periodo Ref.],"Dentro",DATOS_[id],DATOS_[id]))))))</f>
        <v>0</v>
      </c>
      <c r="D86" s="35">
        <f>COUNTIFS(DATOS_[AGRUP. VALOR. PTO.],$B84,DATOS_[Sexo],$B86,DATOS_[Check Periodo Ref.],"Dentro")</f>
        <v>0</v>
      </c>
      <c r="E86" s="35">
        <f>COUNTIFS(DATOS_[AGRUP. VALOR. PTO.],$B84,DATOS_[Sexo],$B86,DATOS_[Check Periodo Ref.],"Dentro",DATOS_[Check Nº SC Norm],"Sí")</f>
        <v>0</v>
      </c>
      <c r="F86" s="35">
        <f>COUNTIFS(DATOS_[AGRUP. VALOR. PTO.],$B84,DATOS_[Sexo],$B86,DATOS_[Check Periodo Ref.],"Dentro",DATOS_[Check Nº SC Anualiz],"Sí")</f>
        <v>0</v>
      </c>
      <c r="G86" s="35">
        <f>COUNTIFS(DATOS_[AGRUP. VALOR. PTO.],$B84,DATOS_[Sexo],$B86,DATOS_[Check Periodo Ref.],"Dentro",DATOS_[Check Nº SC Norm y Anualiz],"Sí")</f>
        <v>0</v>
      </c>
      <c r="H86" s="35">
        <f>COUNTIFS(DATOS_[AGRUP. VALOR. PTO.],$B84,DATOS_[Sexo],$B86,DATOS_[Check Periodo Ref.],"Dentro",DATOS_[Check Equiparación],"Sí")</f>
        <v>0</v>
      </c>
      <c r="I86" s="110" cm="1">
        <f t="array" ref="I86">IFERROR(
MEDIAN(IF(DATOS_[Sexo]=$B86,IF(DATOS_[[AGRUP. VALOR. PTO.]:[AGRUP. VALOR. PTO.]]=$B84,IF(DATOS_[Check Equiparado]="Sí",IF(DATOS_[Check Periodo Ref.]="Dentro",DATOS_[SALARIO BASE Eq],FALSE))))),
0)</f>
        <v>0</v>
      </c>
      <c r="J86" s="111">
        <f t="array" ref="J86">IFERROR(
(MEDIAN((IF(DATOS_[[Sexo]:[Sexo]]=$B86,IF(DATOS_[[AGRUP. VALOR. PTO.]:[AGRUP. VALOR. PTO.]]=$B84,IF(DATOS_[[Check Periodo Ref.]:[Check Periodo Ref.]]="Dentro",IF(DATOS_[[Check Equiparado]:[Check Equiparado]]="Sí",IF(DATOS!AE$5="Sí",(1/DATOS_[[% anualiz]:[% anualiz]]),1)*IF(DATOS!AE$4="Sí",1/DATOS_[[% normaliz]:[% normaliz]],1)*(DATOS_[Conc.Sal.01])))))))),
0)</f>
        <v>0</v>
      </c>
      <c r="K86" s="111">
        <f t="array" ref="K86">IFERROR(
(MEDIAN((IF(DATOS_[[Sexo]:[Sexo]]=$B86,IF(DATOS_[[AGRUP. VALOR. PTO.]:[AGRUP. VALOR. PTO.]]=$B84,IF(DATOS_[[Check Periodo Ref.]:[Check Periodo Ref.]]="Dentro",IF(DATOS_[[Check Equiparado]:[Check Equiparado]]="Sí",IF(DATOS!AF$5="Sí",(1/DATOS_[[% anualiz]:[% anualiz]]),1)*IF(DATOS!AF$4="Sí",1/DATOS_[[% normaliz]:[% normaliz]],1)*(DATOS_[Conc.Sal.02])))))))),
0)</f>
        <v>0</v>
      </c>
      <c r="L86" s="111">
        <f t="array" ref="L86">IFERROR(
(MEDIAN((IF(DATOS_[[Sexo]:[Sexo]]=$B86,IF(DATOS_[[AGRUP. VALOR. PTO.]:[AGRUP. VALOR. PTO.]]=$B84,IF(DATOS_[[Check Periodo Ref.]:[Check Periodo Ref.]]="Dentro",IF(DATOS_[[Check Equiparado]:[Check Equiparado]]="Sí",IF(DATOS!AG$5="Sí",(1/DATOS_[[% anualiz]:[% anualiz]]),1)*IF(DATOS!AG$4="Sí",1/DATOS_[[% normaliz]:[% normaliz]],1)*(DATOS_[Conc.Sal.03])))))))),
0)</f>
        <v>0</v>
      </c>
      <c r="M86" s="111">
        <f t="array" ref="M86">IFERROR(
(MEDIAN((IF(DATOS_[[Sexo]:[Sexo]]=$B86,IF(DATOS_[[AGRUP. VALOR. PTO.]:[AGRUP. VALOR. PTO.]]=$B84,IF(DATOS_[[Check Periodo Ref.]:[Check Periodo Ref.]]="Dentro",IF(DATOS_[[Check Equiparado]:[Check Equiparado]]="Sí",IF(DATOS!AH$5="Sí",(1/DATOS_[[% anualiz]:[% anualiz]]),1)*IF(DATOS!AH$4="Sí",1/DATOS_[[% normaliz]:[% normaliz]],1)*(DATOS_[Conc.Sal.04])))))))),
0)</f>
        <v>0</v>
      </c>
      <c r="N86" s="111">
        <f t="array" ref="N86">IFERROR(
(MEDIAN((IF(DATOS_[[Sexo]:[Sexo]]=$B86,IF(DATOS_[[AGRUP. VALOR. PTO.]:[AGRUP. VALOR. PTO.]]=$B84,IF(DATOS_[[Check Periodo Ref.]:[Check Periodo Ref.]]="Dentro",IF(DATOS_[[Check Equiparado]:[Check Equiparado]]="Sí",IF(DATOS!AI$5="Sí",(1/DATOS_[[% anualiz]:[% anualiz]]),1)*IF(DATOS!AI$4="Sí",1/DATOS_[[% normaliz]:[% normaliz]],1)*(DATOS_[Conc.Sal.05])))))))),
0)</f>
        <v>0</v>
      </c>
      <c r="O86" s="111">
        <f t="array" ref="O86">IFERROR(
(MEDIAN((IF(DATOS_[[Sexo]:[Sexo]]=$B86,IF(DATOS_[[AGRUP. VALOR. PTO.]:[AGRUP. VALOR. PTO.]]=$B84,IF(DATOS_[[Check Periodo Ref.]:[Check Periodo Ref.]]="Dentro",IF(DATOS_[[Check Equiparado]:[Check Equiparado]]="Sí",IF(DATOS!AJ$5="Sí",(1/DATOS_[[% anualiz]:[% anualiz]]),1)*IF(DATOS!AJ$4="Sí",1/DATOS_[[% normaliz]:[% normaliz]],1)*(DATOS_[Conc.Sal.06])))))))),
0)</f>
        <v>0</v>
      </c>
      <c r="P86" s="111">
        <f t="array" ref="P86">IFERROR(
(MEDIAN((IF(DATOS_[[Sexo]:[Sexo]]=$B86,IF(DATOS_[[AGRUP. VALOR. PTO.]:[AGRUP. VALOR. PTO.]]=$B84,IF(DATOS_[[Check Periodo Ref.]:[Check Periodo Ref.]]="Dentro",IF(DATOS_[[Check Equiparado]:[Check Equiparado]]="Sí",IF(DATOS!AK$5="Sí",(1/DATOS_[[% anualiz]:[% anualiz]]),1)*IF(DATOS!AK$4="Sí",1/DATOS_[[% normaliz]:[% normaliz]],1)*(DATOS_[Conc.Sal.07])))))))),
0)</f>
        <v>0</v>
      </c>
      <c r="Q86" s="111">
        <f t="array" ref="Q86">IFERROR(
(MEDIAN((IF(DATOS_[[Sexo]:[Sexo]]=$B86,IF(DATOS_[[AGRUP. VALOR. PTO.]:[AGRUP. VALOR. PTO.]]=$B84,IF(DATOS_[[Check Periodo Ref.]:[Check Periodo Ref.]]="Dentro",IF(DATOS_[[Check Equiparado]:[Check Equiparado]]="Sí",IF(DATOS!AL$5="Sí",(1/DATOS_[[% anualiz]:[% anualiz]]),1)*IF(DATOS!AL$4="Sí",1/DATOS_[[% normaliz]:[% normaliz]],1)*(DATOS_[Conc.Sal.08])))))))),
0)</f>
        <v>0</v>
      </c>
      <c r="R86" s="111">
        <f t="array" ref="R86">IFERROR(
(MEDIAN((IF(DATOS_[[Sexo]:[Sexo]]=$B86,IF(DATOS_[[AGRUP. VALOR. PTO.]:[AGRUP. VALOR. PTO.]]=$B84,IF(DATOS_[[Check Periodo Ref.]:[Check Periodo Ref.]]="Dentro",IF(DATOS_[[Check Equiparado]:[Check Equiparado]]="Sí",IF(DATOS!AM$5="Sí",(1/DATOS_[[% anualiz]:[% anualiz]]),1)*IF(DATOS!AM$4="Sí",1/DATOS_[[% normaliz]:[% normaliz]],1)*(DATOS_[Conc.Sal.09])))))))),
0)</f>
        <v>0</v>
      </c>
      <c r="S86" s="111">
        <f t="array" ref="S86">IFERROR(
(MEDIAN((IF(DATOS_[[Sexo]:[Sexo]]=$B86,IF(DATOS_[[AGRUP. VALOR. PTO.]:[AGRUP. VALOR. PTO.]]=$B84,IF(DATOS_[[Check Periodo Ref.]:[Check Periodo Ref.]]="Dentro",IF(DATOS_[[Check Equiparado]:[Check Equiparado]]="Sí",IF(DATOS!AN$5="Sí",(1/DATOS_[[% anualiz]:[% anualiz]]),1)*IF(DATOS!AN$4="Sí",1/DATOS_[[% normaliz]:[% normaliz]],1)*(DATOS_[Conc.Sal.10])))))))),
0)</f>
        <v>0</v>
      </c>
      <c r="T86" s="111">
        <f t="array" ref="T86">IFERROR(
(MEDIAN((IF(DATOS_[[Sexo]:[Sexo]]=$B86,IF(DATOS_[[AGRUP. VALOR. PTO.]:[AGRUP. VALOR. PTO.]]=$B84,IF(DATOS_[[Check Periodo Ref.]:[Check Periodo Ref.]]="Dentro",IF(DATOS_[[Check Equiparado]:[Check Equiparado]]="Sí",IF(DATOS!AO$5="Sí",(1/DATOS_[[% anualiz]:[% anualiz]]),1)*IF(DATOS!AO$4="Sí",1/DATOS_[[% normaliz]:[% normaliz]],1)*(DATOS_[Conc.Sal.11])))))))),
0)</f>
        <v>0</v>
      </c>
      <c r="U86" s="111">
        <f t="array" ref="U86">IFERROR(
(MEDIAN((IF(DATOS_[[Sexo]:[Sexo]]=$B86,IF(DATOS_[[AGRUP. VALOR. PTO.]:[AGRUP. VALOR. PTO.]]=$B84,IF(DATOS_[[Check Periodo Ref.]:[Check Periodo Ref.]]="Dentro",IF(DATOS_[[Check Equiparado]:[Check Equiparado]]="Sí",IF(DATOS!AP$5="Sí",(1/DATOS_[[% anualiz]:[% anualiz]]),1)*IF(DATOS!AP$4="Sí",1/DATOS_[[% normaliz]:[% normaliz]],1)*(DATOS_[Conc.Sal.12])))))))),
0)</f>
        <v>0</v>
      </c>
      <c r="V86" s="111">
        <f t="array" ref="V86">IFERROR(
(MEDIAN((IF(DATOS_[[Sexo]:[Sexo]]=$B86,IF(DATOS_[[AGRUP. VALOR. PTO.]:[AGRUP. VALOR. PTO.]]=$B84,IF(DATOS_[[Check Periodo Ref.]:[Check Periodo Ref.]]="Dentro",IF(DATOS_[[Check Equiparado]:[Check Equiparado]]="Sí",IF(DATOS!AQ$5="Sí",(1/DATOS_[[% anualiz]:[% anualiz]]),1)*IF(DATOS!AQ$4="Sí",1/DATOS_[[% normaliz]:[% normaliz]],1)*(DATOS_[Conc.Sal.13])))))))),
0)</f>
        <v>0</v>
      </c>
      <c r="W86" s="111">
        <f t="array" ref="W86">IFERROR(
(MEDIAN((IF(DATOS_[[Sexo]:[Sexo]]=$B86,IF(DATOS_[[AGRUP. VALOR. PTO.]:[AGRUP. VALOR. PTO.]]=$B84,IF(DATOS_[[Check Periodo Ref.]:[Check Periodo Ref.]]="Dentro",IF(DATOS_[[Check Equiparado]:[Check Equiparado]]="Sí",IF(DATOS!AR$5="Sí",(1/DATOS_[[% anualiz]:[% anualiz]]),1)*IF(DATOS!AR$4="Sí",1/DATOS_[[% normaliz]:[% normaliz]],1)*(DATOS_[Conc.Sal.14])))))))),
0)</f>
        <v>0</v>
      </c>
      <c r="X86" s="111">
        <f t="array" ref="X86">IFERROR(
(MEDIAN((IF(DATOS_[[Sexo]:[Sexo]]=$B86,IF(DATOS_[[AGRUP. VALOR. PTO.]:[AGRUP. VALOR. PTO.]]=$B84,IF(DATOS_[[Check Periodo Ref.]:[Check Periodo Ref.]]="Dentro",IF(DATOS_[[Check Equiparado]:[Check Equiparado]]="Sí",IF(DATOS!AS$5="Sí",(1/DATOS_[[% anualiz]:[% anualiz]]),1)*IF(DATOS!AS$4="Sí",1/DATOS_[[% normaliz]:[% normaliz]],1)*(DATOS_[Conc.Sal.15])))))))),
0)</f>
        <v>0</v>
      </c>
      <c r="Y86" s="111">
        <f t="array" ref="Y86">IFERROR(
(MEDIAN((IF(DATOS_[[Sexo]:[Sexo]]=$B86,IF(DATOS_[[AGRUP. VALOR. PTO.]:[AGRUP. VALOR. PTO.]]=$B84,IF(DATOS_[[Check Periodo Ref.]:[Check Periodo Ref.]]="Dentro",IF(DATOS_[[Check Equiparado]:[Check Equiparado]]="Sí",IF(DATOS!AT$5="Sí",(1/DATOS_[[% anualiz]:[% anualiz]]),1)*IF(DATOS!AT$4="Sí",1/DATOS_[[% normaliz]:[% normaliz]],1)*(DATOS_[Conc.Sal.16])))))))),
0)</f>
        <v>0</v>
      </c>
      <c r="Z86" s="111">
        <f t="array" ref="Z86">IFERROR(
(MEDIAN((IF(DATOS_[[Sexo]:[Sexo]]=$B86,IF(DATOS_[[AGRUP. VALOR. PTO.]:[AGRUP. VALOR. PTO.]]=$B84,IF(DATOS_[[Check Periodo Ref.]:[Check Periodo Ref.]]="Dentro",IF(DATOS_[[Check Equiparado]:[Check Equiparado]]="Sí",IF(DATOS!AU$5="Sí",(1/DATOS_[[% anualiz]:[% anualiz]]),1)*IF(DATOS!AU$4="Sí",1/DATOS_[[% normaliz]:[% normaliz]],1)*(DATOS_[Conc.Sal.17])))))))),
0)</f>
        <v>0</v>
      </c>
      <c r="AA86" s="111">
        <f t="array" ref="AA86">IFERROR(
(MEDIAN((IF(DATOS_[[Sexo]:[Sexo]]=$B86,IF(DATOS_[[AGRUP. VALOR. PTO.]:[AGRUP. VALOR. PTO.]]=$B84,IF(DATOS_[[Check Periodo Ref.]:[Check Periodo Ref.]]="Dentro",IF(DATOS_[[Check Equiparado]:[Check Equiparado]]="Sí",IF(DATOS!AV$5="Sí",(1/DATOS_[[% anualiz]:[% anualiz]]),1)*IF(DATOS!AV$4="Sí",1/DATOS_[[% normaliz]:[% normaliz]],1)*(DATOS_[Conc.Sal.18])))))))),
0)</f>
        <v>0</v>
      </c>
      <c r="AB86" s="111">
        <f t="array" ref="AB86">IFERROR(
(MEDIAN((IF(DATOS_[[Sexo]:[Sexo]]=$B86,IF(DATOS_[[AGRUP. VALOR. PTO.]:[AGRUP. VALOR. PTO.]]=$B84,IF(DATOS_[[Check Periodo Ref.]:[Check Periodo Ref.]]="Dentro",IF(DATOS_[[Check Equiparado]:[Check Equiparado]]="Sí",IF(DATOS!AW$5="Sí",(1/DATOS_[[% anualiz]:[% anualiz]]),1)*IF(DATOS!AW$4="Sí",1/DATOS_[[% normaliz]:[% normaliz]],1)*(DATOS_[Conc.Sal.19])))))))),
0)</f>
        <v>0</v>
      </c>
      <c r="AC86" s="111">
        <f t="array" ref="AC86">IFERROR(
(MEDIAN((IF(DATOS_[[Sexo]:[Sexo]]=$B86,IF(DATOS_[[AGRUP. VALOR. PTO.]:[AGRUP. VALOR. PTO.]]=$B84,IF(DATOS_[[Check Periodo Ref.]:[Check Periodo Ref.]]="Dentro",IF(DATOS_[[Check Equiparado]:[Check Equiparado]]="Sí",IF(DATOS!AX$5="Sí",(1/DATOS_[[% anualiz]:[% anualiz]]),1)*IF(DATOS!AX$4="Sí",1/DATOS_[[% normaliz]:[% normaliz]],1)*(DATOS_[Conc.Sal.20])))))))),
0)</f>
        <v>0</v>
      </c>
      <c r="AD86" s="111">
        <f t="array" ref="AD86">IFERROR(
(MEDIAN((IF(DATOS_[[Sexo]:[Sexo]]=$B86,IF(DATOS_[[AGRUP. VALOR. PTO.]:[AGRUP. VALOR. PTO.]]=$B84,IF(DATOS_[[Check Periodo Ref.]:[Check Periodo Ref.]]="Dentro",IF(DATOS_[[Check Equiparado]:[Check Equiparado]]="Sí",IF(DATOS!AY$5="Sí",(1/DATOS_[[% anualiz]:[% anualiz]]),1)*IF(DATOS!AY$4="Sí",1/DATOS_[[% normaliz]:[% normaliz]],1)*(DATOS_[Conc.Sal.21])))))))),
0)</f>
        <v>0</v>
      </c>
      <c r="AE86" s="111">
        <f t="array" ref="AE86">IFERROR(
(MEDIAN((IF(DATOS_[[Sexo]:[Sexo]]=$B86,IF(DATOS_[[AGRUP. VALOR. PTO.]:[AGRUP. VALOR. PTO.]]=$B84,IF(DATOS_[[Check Periodo Ref.]:[Check Periodo Ref.]]="Dentro",IF(DATOS_[[Check Equiparado]:[Check Equiparado]]="Sí",IF(DATOS!AZ$5="Sí",(1/DATOS_[[% anualiz]:[% anualiz]]),1)*IF(DATOS!AZ$4="Sí",1/DATOS_[[% normaliz]:[% normaliz]],1)*(DATOS_[Conc.Sal.22])))))))),
0)</f>
        <v>0</v>
      </c>
      <c r="AF86" s="111">
        <f t="array" ref="AF86">IFERROR(
(MEDIAN((IF(DATOS_[[Sexo]:[Sexo]]=$B86,IF(DATOS_[[AGRUP. VALOR. PTO.]:[AGRUP. VALOR. PTO.]]=$B84,IF(DATOS_[[Check Periodo Ref.]:[Check Periodo Ref.]]="Dentro",IF(DATOS_[[Check Equiparado]:[Check Equiparado]]="Sí",IF(DATOS!BA$5="Sí",(1/DATOS_[[% anualiz]:[% anualiz]]),1)*IF(DATOS!BA$4="Sí",1/DATOS_[[% normaliz]:[% normaliz]],1)*(DATOS_[Conc.Sal.23])))))))),
0)</f>
        <v>0</v>
      </c>
      <c r="AG86" s="111">
        <f t="array" ref="AG86">IFERROR(
(MEDIAN((IF(DATOS_[[Sexo]:[Sexo]]=$B86,IF(DATOS_[[AGRUP. VALOR. PTO.]:[AGRUP. VALOR. PTO.]]=$B84,IF(DATOS_[[Check Periodo Ref.]:[Check Periodo Ref.]]="Dentro",IF(DATOS_[[Check Equiparado]:[Check Equiparado]]="Sí",IF(DATOS!BB$5="Sí",(1/DATOS_[[% anualiz]:[% anualiz]]),1)*IF(DATOS!BB$4="Sí",1/DATOS_[[% normaliz]:[% normaliz]],1)*(DATOS_[Conc.Sal.24])))))))),
0)</f>
        <v>0</v>
      </c>
      <c r="AH86" s="111">
        <f t="array" ref="AH86">IFERROR(
(MEDIAN((IF(DATOS_[[Sexo]:[Sexo]]=$B86,IF(DATOS_[[AGRUP. VALOR. PTO.]:[AGRUP. VALOR. PTO.]]=$B84,IF(DATOS_[[Check Periodo Ref.]:[Check Periodo Ref.]]="Dentro",IF(DATOS_[[Check Equiparado]:[Check Equiparado]]="Sí",IF(DATOS!BC$5="Sí",(1/DATOS_[[% anualiz]:[% anualiz]]),1)*IF(DATOS!BC$4="Sí",1/DATOS_[[% normaliz]:[% normaliz]],1)*(DATOS_[Conc.Sal.25])))))))),
0)</f>
        <v>0</v>
      </c>
      <c r="AI86" s="111">
        <f t="array" ref="AI86">IFERROR(
(MEDIAN((IF(DATOS_[[Sexo]:[Sexo]]=$B86,IF(DATOS_[[AGRUP. VALOR. PTO.]:[AGRUP. VALOR. PTO.]]=$B84,IF(DATOS_[[Check Periodo Ref.]:[Check Periodo Ref.]]="Dentro",IF(DATOS_[[Check Equiparado]:[Check Equiparado]]="Sí",IF(DATOS!BD$5="Sí",(1/DATOS_[[% anualiz]:[% anualiz]]),1)*IF(DATOS!BD$4="Sí",1/DATOS_[[% normaliz]:[% normaliz]],1)*(DATOS_[Conc.Sal.26])))))))),
0)</f>
        <v>0</v>
      </c>
      <c r="AJ86" s="111">
        <f t="array" ref="AJ86">IFERROR(
(MEDIAN((IF(DATOS_[[Sexo]:[Sexo]]=$B86,IF(DATOS_[[AGRUP. VALOR. PTO.]:[AGRUP. VALOR. PTO.]]=$B84,IF(DATOS_[[Check Periodo Ref.]:[Check Periodo Ref.]]="Dentro",IF(DATOS_[[Check Equiparado]:[Check Equiparado]]="Sí",IF(DATOS!BE$5="Sí",(1/DATOS_[[% anualiz]:[% anualiz]]),1)*IF(DATOS!BE$4="Sí",1/DATOS_[[% normaliz]:[% normaliz]],1)*(DATOS_[Conc.Sal.27])))))))),
0)</f>
        <v>0</v>
      </c>
      <c r="AK86" s="111">
        <f t="array" ref="AK86">IFERROR(
(MEDIAN((IF(DATOS_[[Sexo]:[Sexo]]=$B86,IF(DATOS_[[AGRUP. VALOR. PTO.]:[AGRUP. VALOR. PTO.]]=$B84,IF(DATOS_[[Check Periodo Ref.]:[Check Periodo Ref.]]="Dentro",IF(DATOS_[[Check Equiparado]:[Check Equiparado]]="Sí",IF(DATOS!BF$5="Sí",(1/DATOS_[[% anualiz]:[% anualiz]]),1)*IF(DATOS!BF$4="Sí",1/DATOS_[[% normaliz]:[% normaliz]],1)*(DATOS_[Conc.Sal.28])))))))),
0)</f>
        <v>0</v>
      </c>
      <c r="AL86" s="111">
        <f t="array" ref="AL86">IFERROR(
(MEDIAN((IF(DATOS_[[Sexo]:[Sexo]]=$B86,IF(DATOS_[[AGRUP. VALOR. PTO.]:[AGRUP. VALOR. PTO.]]=$B84,IF(DATOS_[[Check Periodo Ref.]:[Check Periodo Ref.]]="Dentro",IF(DATOS_[[Check Equiparado]:[Check Equiparado]]="Sí",IF(DATOS!BG$5="Sí",(1/DATOS_[[% anualiz]:[% anualiz]]),1)*IF(DATOS!BG$4="Sí",1/DATOS_[[% normaliz]:[% normaliz]],1)*(DATOS_[Conc.Sal.29])))))))),
0)</f>
        <v>0</v>
      </c>
      <c r="AM86" s="111">
        <f t="array" ref="AM86">IFERROR(
(MEDIAN((IF(DATOS_[[Sexo]:[Sexo]]=$B86,IF(DATOS_[[AGRUP. VALOR. PTO.]:[AGRUP. VALOR. PTO.]]=$B84,IF(DATOS_[[Check Periodo Ref.]:[Check Periodo Ref.]]="Dentro",IF(DATOS_[[Check Equiparado]:[Check Equiparado]]="Sí",IF(DATOS!BH$5="Sí",(1/DATOS_[[% anualiz]:[% anualiz]]),1)*IF(DATOS!BH$4="Sí",1/DATOS_[[% normaliz]:[% normaliz]],1)*(DATOS_[Conc.Sal.30])))))))),
0)</f>
        <v>0</v>
      </c>
      <c r="AN86" s="112">
        <f t="array" ref="AN86">IFERROR(
MEDIAN(IF(DATOS_[Sexo]=$B86,IF(DATOS_[[AGRUP. VALOR. PTO.]:[AGRUP. VALOR. PTO.]]=$B84,IF(DATOS_[Check Equiparado]="Sí",IF(DATOS_[Check Periodo Ref.]="Dentro",DATOS_[Tot COMPL.SAL Eq],FALSE))))),
0)</f>
        <v>0</v>
      </c>
      <c r="AO86" s="113">
        <f t="array" ref="AO86">IFERROR(
MEDIAN(IF(DATOS_[Sexo]=$B86,IF(DATOS_[[AGRUP. VALOR. PTO.]:[AGRUP. VALOR. PTO.]]=$B84,IF(DATOS_[Check Equiparado]="Sí",IF(DATOS_[Check Periodo Ref.]="Dentro",DATOS_[TOTAL SALARIO Eq],FALSE))))),
0)</f>
        <v>0</v>
      </c>
      <c r="AP86" s="114">
        <f t="array" ref="AP86">IFERROR(
(MEDIAN((IF(DATOS_[[Sexo]:[Sexo]]=$B86,IF(DATOS_[[AGRUP. VALOR. PTO.]:[AGRUP. VALOR. PTO.]]=$B85,IF(DATOS_[[Check Periodo Ref.]:[Check Periodo Ref.]]="Dentro",IF(DATOS_[[Check Equiparado]:[Check Equiparado]]="Sí",IF(DATOS!BI$5="Sí",(1/DATOS_[[% anualiz]:[% anualiz]]),1)*IF(DATOS!BI$4="Sí",1/DATOS_[[% normaliz]:[% normaliz]],1)*(DATOS_[C.Extra.01])))))))),
0)</f>
        <v>0</v>
      </c>
      <c r="AQ86" s="114">
        <f t="array" ref="AQ86">IFERROR(
(MEDIAN((IF(DATOS_[[Sexo]:[Sexo]]=$B86,IF(DATOS_[[AGRUP. VALOR. PTO.]:[AGRUP. VALOR. PTO.]]=$B85,IF(DATOS_[[Check Periodo Ref.]:[Check Periodo Ref.]]="Dentro",IF(DATOS_[[Check Equiparado]:[Check Equiparado]]="Sí",IF(DATOS!BJ$5="Sí",(1/DATOS_[[% anualiz]:[% anualiz]]),1)*IF(DATOS!BJ$4="Sí",1/DATOS_[[% normaliz]:[% normaliz]],1)*(DATOS_[C.Extra.02])))))))),
0)</f>
        <v>0</v>
      </c>
      <c r="AR86" s="114">
        <f t="array" ref="AR86">IFERROR(
(MEDIAN((IF(DATOS_[[Sexo]:[Sexo]]=$B86,IF(DATOS_[[AGRUP. VALOR. PTO.]:[AGRUP. VALOR. PTO.]]=$B85,IF(DATOS_[[Check Periodo Ref.]:[Check Periodo Ref.]]="Dentro",IF(DATOS_[[Check Equiparado]:[Check Equiparado]]="Sí",IF(DATOS!BK$5="Sí",(1/DATOS_[[% anualiz]:[% anualiz]]),1)*IF(DATOS!BK$4="Sí",1/DATOS_[[% normaliz]:[% normaliz]],1)*(DATOS_[C.Extra.03])))))))),
0)</f>
        <v>0</v>
      </c>
      <c r="AS86" s="114">
        <f t="array" ref="AS86">IFERROR(
(MEDIAN((IF(DATOS_[[Sexo]:[Sexo]]=$B86,IF(DATOS_[[AGRUP. VALOR. PTO.]:[AGRUP. VALOR. PTO.]]=$B85,IF(DATOS_[[Check Periodo Ref.]:[Check Periodo Ref.]]="Dentro",IF(DATOS_[[Check Equiparado]:[Check Equiparado]]="Sí",IF(DATOS!BL$5="Sí",(1/DATOS_[[% anualiz]:[% anualiz]]),1)*IF(DATOS!BL$4="Sí",1/DATOS_[[% normaliz]:[% normaliz]],1)*(DATOS_[C.Extra.04])))))))),
0)</f>
        <v>0</v>
      </c>
      <c r="AT86" s="114">
        <f t="array" ref="AT86">IFERROR(
(MEDIAN((IF(DATOS_[[Sexo]:[Sexo]]=$B86,IF(DATOS_[[AGRUP. VALOR. PTO.]:[AGRUP. VALOR. PTO.]]=$B85,IF(DATOS_[[Check Periodo Ref.]:[Check Periodo Ref.]]="Dentro",IF(DATOS_[[Check Equiparado]:[Check Equiparado]]="Sí",IF(DATOS!BM$5="Sí",(1/DATOS_[[% anualiz]:[% anualiz]]),1)*IF(DATOS!BM$4="Sí",1/DATOS_[[% normaliz]:[% normaliz]],1)*(DATOS_[C.Extra.05])))))))),
0)</f>
        <v>0</v>
      </c>
      <c r="AU86" s="115">
        <f t="array" ref="AU86">IFERROR(
MEDIAN(IF(DATOS_[Sexo]=$B86,IF(DATOS_[[AGRUP. VALOR. PTO.]:[AGRUP. VALOR. PTO.]]=$B84,IF(DATOS_[Check Equiparado]="Sí",IF(DATOS_[Check Periodo Ref.]="Dentro",DATOS_[Tot Extrasalarial Eq],FALSE))))),
0)</f>
        <v>0</v>
      </c>
      <c r="AV86" s="116">
        <f t="array" ref="AV86">IFERROR(
MEDIAN(IF(DATOS_[Sexo]=$B86,IF(DATOS_[[AGRUP. VALOR. PTO.]:[AGRUP. VALOR. PTO.]]=$B84,IF(DATOS_[Check Equiparado]="Sí",IF(DATOS_[Check Periodo Ref.]="Dentro",DATOS_[TOTAL Retrib Eq],FALSE))))),
0)</f>
        <v>0</v>
      </c>
    </row>
    <row r="87" spans="1:48" ht="17.25" hidden="1" thickBot="1" x14ac:dyDescent="0.35">
      <c r="A87" s="42" t="str">
        <f t="shared" ref="A87" si="99">+A88</f>
        <v>[ocultar]</v>
      </c>
      <c r="B87" s="90" t="s">
        <v>284</v>
      </c>
      <c r="C87" s="109"/>
      <c r="D87" s="41"/>
      <c r="E87" s="41"/>
      <c r="F87" s="41"/>
      <c r="G87" s="41"/>
      <c r="H87" s="41"/>
      <c r="I87" s="119" t="str">
        <f t="shared" ref="I87:AV87" si="100">IFERROR((I88-I89)/I88,"")</f>
        <v/>
      </c>
      <c r="J87" s="123" t="str">
        <f t="shared" si="100"/>
        <v/>
      </c>
      <c r="K87" s="123" t="str">
        <f t="shared" si="100"/>
        <v/>
      </c>
      <c r="L87" s="123" t="str">
        <f t="shared" si="100"/>
        <v/>
      </c>
      <c r="M87" s="123" t="str">
        <f t="shared" si="100"/>
        <v/>
      </c>
      <c r="N87" s="123" t="str">
        <f t="shared" si="100"/>
        <v/>
      </c>
      <c r="O87" s="123" t="str">
        <f t="shared" si="100"/>
        <v/>
      </c>
      <c r="P87" s="123" t="str">
        <f t="shared" si="100"/>
        <v/>
      </c>
      <c r="Q87" s="123" t="str">
        <f t="shared" si="100"/>
        <v/>
      </c>
      <c r="R87" s="123" t="str">
        <f t="shared" si="100"/>
        <v/>
      </c>
      <c r="S87" s="123" t="str">
        <f t="shared" si="100"/>
        <v/>
      </c>
      <c r="T87" s="123" t="str">
        <f t="shared" si="100"/>
        <v/>
      </c>
      <c r="U87" s="123" t="str">
        <f t="shared" si="100"/>
        <v/>
      </c>
      <c r="V87" s="123" t="str">
        <f t="shared" si="100"/>
        <v/>
      </c>
      <c r="W87" s="123" t="str">
        <f t="shared" si="100"/>
        <v/>
      </c>
      <c r="X87" s="123" t="str">
        <f t="shared" si="100"/>
        <v/>
      </c>
      <c r="Y87" s="123" t="str">
        <f t="shared" si="100"/>
        <v/>
      </c>
      <c r="Z87" s="122" t="str">
        <f t="shared" si="100"/>
        <v/>
      </c>
      <c r="AA87" s="122" t="str">
        <f t="shared" si="100"/>
        <v/>
      </c>
      <c r="AB87" s="122" t="str">
        <f t="shared" si="100"/>
        <v/>
      </c>
      <c r="AC87" s="122" t="str">
        <f t="shared" si="100"/>
        <v/>
      </c>
      <c r="AD87" s="122" t="str">
        <f t="shared" si="100"/>
        <v/>
      </c>
      <c r="AE87" s="122" t="str">
        <f t="shared" si="100"/>
        <v/>
      </c>
      <c r="AF87" s="122" t="str">
        <f t="shared" si="100"/>
        <v/>
      </c>
      <c r="AG87" s="122" t="str">
        <f t="shared" si="100"/>
        <v/>
      </c>
      <c r="AH87" s="122" t="str">
        <f t="shared" si="100"/>
        <v/>
      </c>
      <c r="AI87" s="122" t="str">
        <f t="shared" si="100"/>
        <v/>
      </c>
      <c r="AJ87" s="122" t="str">
        <f t="shared" si="100"/>
        <v/>
      </c>
      <c r="AK87" s="122" t="str">
        <f t="shared" si="100"/>
        <v/>
      </c>
      <c r="AL87" s="122" t="str">
        <f t="shared" si="100"/>
        <v/>
      </c>
      <c r="AM87" s="122" t="str">
        <f t="shared" si="100"/>
        <v/>
      </c>
      <c r="AN87" s="124" t="str">
        <f t="shared" si="100"/>
        <v/>
      </c>
      <c r="AO87" s="128" t="str">
        <f t="shared" si="100"/>
        <v/>
      </c>
      <c r="AP87" s="125" t="str">
        <f t="shared" si="100"/>
        <v/>
      </c>
      <c r="AQ87" s="125" t="str">
        <f t="shared" si="100"/>
        <v/>
      </c>
      <c r="AR87" s="125" t="str">
        <f t="shared" si="100"/>
        <v/>
      </c>
      <c r="AS87" s="125" t="str">
        <f t="shared" si="100"/>
        <v/>
      </c>
      <c r="AT87" s="125" t="str">
        <f t="shared" si="100"/>
        <v/>
      </c>
      <c r="AU87" s="126" t="str">
        <f t="shared" si="100"/>
        <v/>
      </c>
      <c r="AV87" s="127" t="str">
        <f t="shared" si="100"/>
        <v/>
      </c>
    </row>
    <row r="88" spans="1:48" hidden="1" x14ac:dyDescent="0.3">
      <c r="A88" s="42" t="str">
        <f t="shared" ref="A88" si="101">+IF(C88+C89=0,"[ocultar]","")</f>
        <v>[ocultar]</v>
      </c>
      <c r="B88" s="86" t="s">
        <v>162</v>
      </c>
      <c r="C88" s="33">
        <f t="array" ref="C88">SUM(IF($B88=DATOS_[Sexo],
IF($B87=DATOS_[AGRUP. VALOR. PTO.],
IF("Dentro"=DATOS_[Check Periodo Ref.],
1/(COUNTIFS(DATOS_[Sexo],$B88,DATOS_[AGRUP. VALOR. PTO.],$B87,DATOS_[Check Periodo Ref.],"Dentro",DATOS_[id],DATOS_[id]))))))</f>
        <v>0</v>
      </c>
      <c r="D88" s="35">
        <f>COUNTIFS(DATOS_[AGRUP. VALOR. PTO.],$B87,DATOS_[Sexo],$B88,DATOS_[Check Periodo Ref.],"Dentro")</f>
        <v>0</v>
      </c>
      <c r="E88" s="35">
        <f>COUNTIFS(DATOS_[AGRUP. VALOR. PTO.],$B87,DATOS_[Sexo],$B88,DATOS_[Check Periodo Ref.],"Dentro",DATOS_[Check Nº SC Norm],"Sí")</f>
        <v>0</v>
      </c>
      <c r="F88" s="35">
        <f>COUNTIFS(DATOS_[AGRUP. VALOR. PTO.],$B87,DATOS_[Sexo],$B88,DATOS_[Check Periodo Ref.],"Dentro",DATOS_[Check Nº SC Anualiz],"Sí")</f>
        <v>0</v>
      </c>
      <c r="G88" s="35">
        <f>COUNTIFS(DATOS_[AGRUP. VALOR. PTO.],$B87,DATOS_[Sexo],$B88,DATOS_[Check Periodo Ref.],"Dentro",DATOS_[Check Nº SC Norm y Anualiz],"Sí")</f>
        <v>0</v>
      </c>
      <c r="H88" s="35">
        <f>COUNTIFS(DATOS_[AGRUP. VALOR. PTO.],$B87,DATOS_[Sexo],$B88,DATOS_[Check Periodo Ref.],"Dentro",DATOS_[Check Equiparación],"Sí")</f>
        <v>0</v>
      </c>
      <c r="I88" s="110">
        <f t="array" ref="I88">IFERROR(
MEDIAN(IF(DATOS_[Sexo]=$B88,IF(DATOS_[[AGRUP. VALOR. PTO.]:[AGRUP. VALOR. PTO.]]=$B87,IF(DATOS_[Check Equiparado]="Sí",IF(DATOS_[Check Periodo Ref.]="Dentro",DATOS_[SALARIO BASE Eq],FALSE))))),
0)</f>
        <v>0</v>
      </c>
      <c r="J88" s="111">
        <f t="array" ref="J88">IFERROR(
(MEDIAN((IF(DATOS_[[Sexo]:[Sexo]]=$B88,IF(DATOS_[[AGRUP. VALOR. PTO.]:[AGRUP. VALOR. PTO.]]=$B87,IF(DATOS_[[Check Periodo Ref.]:[Check Periodo Ref.]]="Dentro",IF(DATOS_[[Check Equiparado]:[Check Equiparado]]="Sí",IF(DATOS!AE$5="Sí",(1/DATOS_[[% anualiz]:[% anualiz]]),1)*IF(DATOS!AE$4="Sí",1/DATOS_[[% normaliz]:[% normaliz]],1)*(DATOS_[Conc.Sal.01])))))))),
0)</f>
        <v>0</v>
      </c>
      <c r="K88" s="111">
        <f t="array" ref="K88">IFERROR(
(MEDIAN((IF(DATOS_[[Sexo]:[Sexo]]=$B88,IF(DATOS_[[AGRUP. VALOR. PTO.]:[AGRUP. VALOR. PTO.]]=$B87,IF(DATOS_[[Check Periodo Ref.]:[Check Periodo Ref.]]="Dentro",IF(DATOS_[[Check Equiparado]:[Check Equiparado]]="Sí",IF(DATOS!AF$5="Sí",(1/DATOS_[[% anualiz]:[% anualiz]]),1)*IF(DATOS!AF$4="Sí",1/DATOS_[[% normaliz]:[% normaliz]],1)*(DATOS_[Conc.Sal.02])))))))),
0)</f>
        <v>0</v>
      </c>
      <c r="L88" s="111">
        <f t="array" ref="L88">IFERROR(
(MEDIAN((IF(DATOS_[[Sexo]:[Sexo]]=$B88,IF(DATOS_[[AGRUP. VALOR. PTO.]:[AGRUP. VALOR. PTO.]]=$B87,IF(DATOS_[[Check Periodo Ref.]:[Check Periodo Ref.]]="Dentro",IF(DATOS_[[Check Equiparado]:[Check Equiparado]]="Sí",IF(DATOS!AG$5="Sí",(1/DATOS_[[% anualiz]:[% anualiz]]),1)*IF(DATOS!AG$4="Sí",1/DATOS_[[% normaliz]:[% normaliz]],1)*(DATOS_[Conc.Sal.03])))))))),
0)</f>
        <v>0</v>
      </c>
      <c r="M88" s="111">
        <f t="array" ref="M88">IFERROR(
(MEDIAN((IF(DATOS_[[Sexo]:[Sexo]]=$B88,IF(DATOS_[[AGRUP. VALOR. PTO.]:[AGRUP. VALOR. PTO.]]=$B87,IF(DATOS_[[Check Periodo Ref.]:[Check Periodo Ref.]]="Dentro",IF(DATOS_[[Check Equiparado]:[Check Equiparado]]="Sí",IF(DATOS!AH$5="Sí",(1/DATOS_[[% anualiz]:[% anualiz]]),1)*IF(DATOS!AH$4="Sí",1/DATOS_[[% normaliz]:[% normaliz]],1)*(DATOS_[Conc.Sal.04])))))))),
0)</f>
        <v>0</v>
      </c>
      <c r="N88" s="111">
        <f t="array" ref="N88">IFERROR(
(MEDIAN((IF(DATOS_[[Sexo]:[Sexo]]=$B88,IF(DATOS_[[AGRUP. VALOR. PTO.]:[AGRUP. VALOR. PTO.]]=$B87,IF(DATOS_[[Check Periodo Ref.]:[Check Periodo Ref.]]="Dentro",IF(DATOS_[[Check Equiparado]:[Check Equiparado]]="Sí",IF(DATOS!AI$5="Sí",(1/DATOS_[[% anualiz]:[% anualiz]]),1)*IF(DATOS!AI$4="Sí",1/DATOS_[[% normaliz]:[% normaliz]],1)*(DATOS_[Conc.Sal.05])))))))),
0)</f>
        <v>0</v>
      </c>
      <c r="O88" s="111">
        <f t="array" ref="O88">IFERROR(
(MEDIAN((IF(DATOS_[[Sexo]:[Sexo]]=$B88,IF(DATOS_[[AGRUP. VALOR. PTO.]:[AGRUP. VALOR. PTO.]]=$B87,IF(DATOS_[[Check Periodo Ref.]:[Check Periodo Ref.]]="Dentro",IF(DATOS_[[Check Equiparado]:[Check Equiparado]]="Sí",IF(DATOS!AJ$5="Sí",(1/DATOS_[[% anualiz]:[% anualiz]]),1)*IF(DATOS!AJ$4="Sí",1/DATOS_[[% normaliz]:[% normaliz]],1)*(DATOS_[Conc.Sal.06])))))))),
0)</f>
        <v>0</v>
      </c>
      <c r="P88" s="111">
        <f t="array" ref="P88">IFERROR(
(MEDIAN((IF(DATOS_[[Sexo]:[Sexo]]=$B88,IF(DATOS_[[AGRUP. VALOR. PTO.]:[AGRUP. VALOR. PTO.]]=$B87,IF(DATOS_[[Check Periodo Ref.]:[Check Periodo Ref.]]="Dentro",IF(DATOS_[[Check Equiparado]:[Check Equiparado]]="Sí",IF(DATOS!AK$5="Sí",(1/DATOS_[[% anualiz]:[% anualiz]]),1)*IF(DATOS!AK$4="Sí",1/DATOS_[[% normaliz]:[% normaliz]],1)*(DATOS_[Conc.Sal.07])))))))),
0)</f>
        <v>0</v>
      </c>
      <c r="Q88" s="111">
        <f t="array" ref="Q88">IFERROR(
(MEDIAN((IF(DATOS_[[Sexo]:[Sexo]]=$B88,IF(DATOS_[[AGRUP. VALOR. PTO.]:[AGRUP. VALOR. PTO.]]=$B87,IF(DATOS_[[Check Periodo Ref.]:[Check Periodo Ref.]]="Dentro",IF(DATOS_[[Check Equiparado]:[Check Equiparado]]="Sí",IF(DATOS!AL$5="Sí",(1/DATOS_[[% anualiz]:[% anualiz]]),1)*IF(DATOS!AL$4="Sí",1/DATOS_[[% normaliz]:[% normaliz]],1)*(DATOS_[Conc.Sal.08])))))))),
0)</f>
        <v>0</v>
      </c>
      <c r="R88" s="111">
        <f t="array" ref="R88">IFERROR(
(MEDIAN((IF(DATOS_[[Sexo]:[Sexo]]=$B88,IF(DATOS_[[AGRUP. VALOR. PTO.]:[AGRUP. VALOR. PTO.]]=$B87,IF(DATOS_[[Check Periodo Ref.]:[Check Periodo Ref.]]="Dentro",IF(DATOS_[[Check Equiparado]:[Check Equiparado]]="Sí",IF(DATOS!AM$5="Sí",(1/DATOS_[[% anualiz]:[% anualiz]]),1)*IF(DATOS!AM$4="Sí",1/DATOS_[[% normaliz]:[% normaliz]],1)*(DATOS_[Conc.Sal.09])))))))),
0)</f>
        <v>0</v>
      </c>
      <c r="S88" s="111">
        <f t="array" ref="S88">IFERROR(
(MEDIAN((IF(DATOS_[[Sexo]:[Sexo]]=$B88,IF(DATOS_[[AGRUP. VALOR. PTO.]:[AGRUP. VALOR. PTO.]]=$B87,IF(DATOS_[[Check Periodo Ref.]:[Check Periodo Ref.]]="Dentro",IF(DATOS_[[Check Equiparado]:[Check Equiparado]]="Sí",IF(DATOS!AN$5="Sí",(1/DATOS_[[% anualiz]:[% anualiz]]),1)*IF(DATOS!AN$4="Sí",1/DATOS_[[% normaliz]:[% normaliz]],1)*(DATOS_[Conc.Sal.10])))))))),
0)</f>
        <v>0</v>
      </c>
      <c r="T88" s="111">
        <f t="array" ref="T88">IFERROR(
(MEDIAN((IF(DATOS_[[Sexo]:[Sexo]]=$B88,IF(DATOS_[[AGRUP. VALOR. PTO.]:[AGRUP. VALOR. PTO.]]=$B87,IF(DATOS_[[Check Periodo Ref.]:[Check Periodo Ref.]]="Dentro",IF(DATOS_[[Check Equiparado]:[Check Equiparado]]="Sí",IF(DATOS!AO$5="Sí",(1/DATOS_[[% anualiz]:[% anualiz]]),1)*IF(DATOS!AO$4="Sí",1/DATOS_[[% normaliz]:[% normaliz]],1)*(DATOS_[Conc.Sal.11])))))))),
0)</f>
        <v>0</v>
      </c>
      <c r="U88" s="111">
        <f t="array" ref="U88">IFERROR(
(MEDIAN((IF(DATOS_[[Sexo]:[Sexo]]=$B88,IF(DATOS_[[AGRUP. VALOR. PTO.]:[AGRUP. VALOR. PTO.]]=$B87,IF(DATOS_[[Check Periodo Ref.]:[Check Periodo Ref.]]="Dentro",IF(DATOS_[[Check Equiparado]:[Check Equiparado]]="Sí",IF(DATOS!AP$5="Sí",(1/DATOS_[[% anualiz]:[% anualiz]]),1)*IF(DATOS!AP$4="Sí",1/DATOS_[[% normaliz]:[% normaliz]],1)*(DATOS_[Conc.Sal.12])))))))),
0)</f>
        <v>0</v>
      </c>
      <c r="V88" s="111">
        <f t="array" ref="V88">IFERROR(
(MEDIAN((IF(DATOS_[[Sexo]:[Sexo]]=$B88,IF(DATOS_[[AGRUP. VALOR. PTO.]:[AGRUP. VALOR. PTO.]]=$B87,IF(DATOS_[[Check Periodo Ref.]:[Check Periodo Ref.]]="Dentro",IF(DATOS_[[Check Equiparado]:[Check Equiparado]]="Sí",IF(DATOS!AQ$5="Sí",(1/DATOS_[[% anualiz]:[% anualiz]]),1)*IF(DATOS!AQ$4="Sí",1/DATOS_[[% normaliz]:[% normaliz]],1)*(DATOS_[Conc.Sal.13])))))))),
0)</f>
        <v>0</v>
      </c>
      <c r="W88" s="111">
        <f t="array" ref="W88">IFERROR(
(MEDIAN((IF(DATOS_[[Sexo]:[Sexo]]=$B88,IF(DATOS_[[AGRUP. VALOR. PTO.]:[AGRUP. VALOR. PTO.]]=$B87,IF(DATOS_[[Check Periodo Ref.]:[Check Periodo Ref.]]="Dentro",IF(DATOS_[[Check Equiparado]:[Check Equiparado]]="Sí",IF(DATOS!AR$5="Sí",(1/DATOS_[[% anualiz]:[% anualiz]]),1)*IF(DATOS!AR$4="Sí",1/DATOS_[[% normaliz]:[% normaliz]],1)*(DATOS_[Conc.Sal.14])))))))),
0)</f>
        <v>0</v>
      </c>
      <c r="X88" s="111">
        <f t="array" ref="X88">IFERROR(
(MEDIAN((IF(DATOS_[[Sexo]:[Sexo]]=$B88,IF(DATOS_[[AGRUP. VALOR. PTO.]:[AGRUP. VALOR. PTO.]]=$B87,IF(DATOS_[[Check Periodo Ref.]:[Check Periodo Ref.]]="Dentro",IF(DATOS_[[Check Equiparado]:[Check Equiparado]]="Sí",IF(DATOS!AS$5="Sí",(1/DATOS_[[% anualiz]:[% anualiz]]),1)*IF(DATOS!AS$4="Sí",1/DATOS_[[% normaliz]:[% normaliz]],1)*(DATOS_[Conc.Sal.15])))))))),
0)</f>
        <v>0</v>
      </c>
      <c r="Y88" s="111">
        <f t="array" ref="Y88">IFERROR(
(MEDIAN((IF(DATOS_[[Sexo]:[Sexo]]=$B88,IF(DATOS_[[AGRUP. VALOR. PTO.]:[AGRUP. VALOR. PTO.]]=$B87,IF(DATOS_[[Check Periodo Ref.]:[Check Periodo Ref.]]="Dentro",IF(DATOS_[[Check Equiparado]:[Check Equiparado]]="Sí",IF(DATOS!AT$5="Sí",(1/DATOS_[[% anualiz]:[% anualiz]]),1)*IF(DATOS!AT$4="Sí",1/DATOS_[[% normaliz]:[% normaliz]],1)*(DATOS_[Conc.Sal.16])))))))),
0)</f>
        <v>0</v>
      </c>
      <c r="Z88" s="111">
        <f t="array" ref="Z88">IFERROR(
(MEDIAN((IF(DATOS_[[Sexo]:[Sexo]]=$B88,IF(DATOS_[[AGRUP. VALOR. PTO.]:[AGRUP. VALOR. PTO.]]=$B87,IF(DATOS_[[Check Periodo Ref.]:[Check Periodo Ref.]]="Dentro",IF(DATOS_[[Check Equiparado]:[Check Equiparado]]="Sí",IF(DATOS!AU$5="Sí",(1/DATOS_[[% anualiz]:[% anualiz]]),1)*IF(DATOS!AU$4="Sí",1/DATOS_[[% normaliz]:[% normaliz]],1)*(DATOS_[Conc.Sal.17])))))))),
0)</f>
        <v>0</v>
      </c>
      <c r="AA88" s="111">
        <f t="array" ref="AA88">IFERROR(
(MEDIAN((IF(DATOS_[[Sexo]:[Sexo]]=$B88,IF(DATOS_[[AGRUP. VALOR. PTO.]:[AGRUP. VALOR. PTO.]]=$B87,IF(DATOS_[[Check Periodo Ref.]:[Check Periodo Ref.]]="Dentro",IF(DATOS_[[Check Equiparado]:[Check Equiparado]]="Sí",IF(DATOS!AV$5="Sí",(1/DATOS_[[% anualiz]:[% anualiz]]),1)*IF(DATOS!AV$4="Sí",1/DATOS_[[% normaliz]:[% normaliz]],1)*(DATOS_[Conc.Sal.18])))))))),
0)</f>
        <v>0</v>
      </c>
      <c r="AB88" s="111">
        <f t="array" ref="AB88">IFERROR(
(MEDIAN((IF(DATOS_[[Sexo]:[Sexo]]=$B88,IF(DATOS_[[AGRUP. VALOR. PTO.]:[AGRUP. VALOR. PTO.]]=$B87,IF(DATOS_[[Check Periodo Ref.]:[Check Periodo Ref.]]="Dentro",IF(DATOS_[[Check Equiparado]:[Check Equiparado]]="Sí",IF(DATOS!AW$5="Sí",(1/DATOS_[[% anualiz]:[% anualiz]]),1)*IF(DATOS!AW$4="Sí",1/DATOS_[[% normaliz]:[% normaliz]],1)*(DATOS_[Conc.Sal.19])))))))),
0)</f>
        <v>0</v>
      </c>
      <c r="AC88" s="111">
        <f t="array" ref="AC88">IFERROR(
(MEDIAN((IF(DATOS_[[Sexo]:[Sexo]]=$B88,IF(DATOS_[[AGRUP. VALOR. PTO.]:[AGRUP. VALOR. PTO.]]=$B87,IF(DATOS_[[Check Periodo Ref.]:[Check Periodo Ref.]]="Dentro",IF(DATOS_[[Check Equiparado]:[Check Equiparado]]="Sí",IF(DATOS!AX$5="Sí",(1/DATOS_[[% anualiz]:[% anualiz]]),1)*IF(DATOS!AX$4="Sí",1/DATOS_[[% normaliz]:[% normaliz]],1)*(DATOS_[Conc.Sal.20])))))))),
0)</f>
        <v>0</v>
      </c>
      <c r="AD88" s="111">
        <f t="array" ref="AD88">IFERROR(
(MEDIAN((IF(DATOS_[[Sexo]:[Sexo]]=$B88,IF(DATOS_[[AGRUP. VALOR. PTO.]:[AGRUP. VALOR. PTO.]]=$B87,IF(DATOS_[[Check Periodo Ref.]:[Check Periodo Ref.]]="Dentro",IF(DATOS_[[Check Equiparado]:[Check Equiparado]]="Sí",IF(DATOS!AY$5="Sí",(1/DATOS_[[% anualiz]:[% anualiz]]),1)*IF(DATOS!AY$4="Sí",1/DATOS_[[% normaliz]:[% normaliz]],1)*(DATOS_[Conc.Sal.21])))))))),
0)</f>
        <v>0</v>
      </c>
      <c r="AE88" s="111">
        <f t="array" ref="AE88">IFERROR(
(MEDIAN((IF(DATOS_[[Sexo]:[Sexo]]=$B88,IF(DATOS_[[AGRUP. VALOR. PTO.]:[AGRUP. VALOR. PTO.]]=$B87,IF(DATOS_[[Check Periodo Ref.]:[Check Periodo Ref.]]="Dentro",IF(DATOS_[[Check Equiparado]:[Check Equiparado]]="Sí",IF(DATOS!AZ$5="Sí",(1/DATOS_[[% anualiz]:[% anualiz]]),1)*IF(DATOS!AZ$4="Sí",1/DATOS_[[% normaliz]:[% normaliz]],1)*(DATOS_[Conc.Sal.22])))))))),
0)</f>
        <v>0</v>
      </c>
      <c r="AF88" s="111">
        <f t="array" ref="AF88">IFERROR(
(MEDIAN((IF(DATOS_[[Sexo]:[Sexo]]=$B88,IF(DATOS_[[AGRUP. VALOR. PTO.]:[AGRUP. VALOR. PTO.]]=$B87,IF(DATOS_[[Check Periodo Ref.]:[Check Periodo Ref.]]="Dentro",IF(DATOS_[[Check Equiparado]:[Check Equiparado]]="Sí",IF(DATOS!BA$5="Sí",(1/DATOS_[[% anualiz]:[% anualiz]]),1)*IF(DATOS!BA$4="Sí",1/DATOS_[[% normaliz]:[% normaliz]],1)*(DATOS_[Conc.Sal.23])))))))),
0)</f>
        <v>0</v>
      </c>
      <c r="AG88" s="111">
        <f t="array" ref="AG88">IFERROR(
(MEDIAN((IF(DATOS_[[Sexo]:[Sexo]]=$B88,IF(DATOS_[[AGRUP. VALOR. PTO.]:[AGRUP. VALOR. PTO.]]=$B87,IF(DATOS_[[Check Periodo Ref.]:[Check Periodo Ref.]]="Dentro",IF(DATOS_[[Check Equiparado]:[Check Equiparado]]="Sí",IF(DATOS!BB$5="Sí",(1/DATOS_[[% anualiz]:[% anualiz]]),1)*IF(DATOS!BB$4="Sí",1/DATOS_[[% normaliz]:[% normaliz]],1)*(DATOS_[Conc.Sal.24])))))))),
0)</f>
        <v>0</v>
      </c>
      <c r="AH88" s="111">
        <f t="array" ref="AH88">IFERROR(
(MEDIAN((IF(DATOS_[[Sexo]:[Sexo]]=$B88,IF(DATOS_[[AGRUP. VALOR. PTO.]:[AGRUP. VALOR. PTO.]]=$B87,IF(DATOS_[[Check Periodo Ref.]:[Check Periodo Ref.]]="Dentro",IF(DATOS_[[Check Equiparado]:[Check Equiparado]]="Sí",IF(DATOS!BC$5="Sí",(1/DATOS_[[% anualiz]:[% anualiz]]),1)*IF(DATOS!BC$4="Sí",1/DATOS_[[% normaliz]:[% normaliz]],1)*(DATOS_[Conc.Sal.25])))))))),
0)</f>
        <v>0</v>
      </c>
      <c r="AI88" s="111">
        <f t="array" ref="AI88">IFERROR(
(MEDIAN((IF(DATOS_[[Sexo]:[Sexo]]=$B88,IF(DATOS_[[AGRUP. VALOR. PTO.]:[AGRUP. VALOR. PTO.]]=$B87,IF(DATOS_[[Check Periodo Ref.]:[Check Periodo Ref.]]="Dentro",IF(DATOS_[[Check Equiparado]:[Check Equiparado]]="Sí",IF(DATOS!BD$5="Sí",(1/DATOS_[[% anualiz]:[% anualiz]]),1)*IF(DATOS!BD$4="Sí",1/DATOS_[[% normaliz]:[% normaliz]],1)*(DATOS_[Conc.Sal.26])))))))),
0)</f>
        <v>0</v>
      </c>
      <c r="AJ88" s="111">
        <f t="array" ref="AJ88">IFERROR(
(MEDIAN((IF(DATOS_[[Sexo]:[Sexo]]=$B88,IF(DATOS_[[AGRUP. VALOR. PTO.]:[AGRUP. VALOR. PTO.]]=$B87,IF(DATOS_[[Check Periodo Ref.]:[Check Periodo Ref.]]="Dentro",IF(DATOS_[[Check Equiparado]:[Check Equiparado]]="Sí",IF(DATOS!BE$5="Sí",(1/DATOS_[[% anualiz]:[% anualiz]]),1)*IF(DATOS!BE$4="Sí",1/DATOS_[[% normaliz]:[% normaliz]],1)*(DATOS_[Conc.Sal.27])))))))),
0)</f>
        <v>0</v>
      </c>
      <c r="AK88" s="111">
        <f t="array" ref="AK88">IFERROR(
(MEDIAN((IF(DATOS_[[Sexo]:[Sexo]]=$B88,IF(DATOS_[[AGRUP. VALOR. PTO.]:[AGRUP. VALOR. PTO.]]=$B87,IF(DATOS_[[Check Periodo Ref.]:[Check Periodo Ref.]]="Dentro",IF(DATOS_[[Check Equiparado]:[Check Equiparado]]="Sí",IF(DATOS!BF$5="Sí",(1/DATOS_[[% anualiz]:[% anualiz]]),1)*IF(DATOS!BF$4="Sí",1/DATOS_[[% normaliz]:[% normaliz]],1)*(DATOS_[Conc.Sal.28])))))))),
0)</f>
        <v>0</v>
      </c>
      <c r="AL88" s="111">
        <f t="array" ref="AL88">IFERROR(
(MEDIAN((IF(DATOS_[[Sexo]:[Sexo]]=$B88,IF(DATOS_[[AGRUP. VALOR. PTO.]:[AGRUP. VALOR. PTO.]]=$B87,IF(DATOS_[[Check Periodo Ref.]:[Check Periodo Ref.]]="Dentro",IF(DATOS_[[Check Equiparado]:[Check Equiparado]]="Sí",IF(DATOS!BG$5="Sí",(1/DATOS_[[% anualiz]:[% anualiz]]),1)*IF(DATOS!BG$4="Sí",1/DATOS_[[% normaliz]:[% normaliz]],1)*(DATOS_[Conc.Sal.29])))))))),
0)</f>
        <v>0</v>
      </c>
      <c r="AM88" s="111">
        <f t="array" ref="AM88">IFERROR(
(MEDIAN((IF(DATOS_[[Sexo]:[Sexo]]=$B88,IF(DATOS_[[AGRUP. VALOR. PTO.]:[AGRUP. VALOR. PTO.]]=$B87,IF(DATOS_[[Check Periodo Ref.]:[Check Periodo Ref.]]="Dentro",IF(DATOS_[[Check Equiparado]:[Check Equiparado]]="Sí",IF(DATOS!BH$5="Sí",(1/DATOS_[[% anualiz]:[% anualiz]]),1)*IF(DATOS!BH$4="Sí",1/DATOS_[[% normaliz]:[% normaliz]],1)*(DATOS_[Conc.Sal.30])))))))),
0)</f>
        <v>0</v>
      </c>
      <c r="AN88" s="112">
        <f t="array" ref="AN88">IFERROR(
MEDIAN(IF(DATOS_[Sexo]=$B88,IF(DATOS_[[AGRUP. VALOR. PTO.]:[AGRUP. VALOR. PTO.]]=$B87,IF(DATOS_[Check Equiparado]="Sí",IF(DATOS_[Check Periodo Ref.]="Dentro",DATOS_[Tot COMPL.SAL Eq],FALSE))))),
0)</f>
        <v>0</v>
      </c>
      <c r="AO88" s="113">
        <f t="array" ref="AO88">IFERROR(
MEDIAN(IF(DATOS_[Sexo]=$B88,IF(DATOS_[[AGRUP. VALOR. PTO.]:[AGRUP. VALOR. PTO.]]=$B87,IF(DATOS_[Check Equiparado]="Sí",IF(DATOS_[Check Periodo Ref.]="Dentro",DATOS_[TOTAL SALARIO Eq],FALSE))))),
0)</f>
        <v>0</v>
      </c>
      <c r="AP88" s="114">
        <f t="array" ref="AP88">IFERROR(
(MEDIAN((IF(DATOS_[[Sexo]:[Sexo]]=$B88,IF(DATOS_[[AGRUP. VALOR. PTO.]:[AGRUP. VALOR. PTO.]]=$B87,IF(DATOS_[[Check Periodo Ref.]:[Check Periodo Ref.]]="Dentro",IF(DATOS_[[Check Equiparado]:[Check Equiparado]]="Sí",IF(DATOS!BI$5="Sí",(1/DATOS_[[% anualiz]:[% anualiz]]),1)*IF(DATOS!BI$4="Sí",1/DATOS_[[% normaliz]:[% normaliz]],1)*(DATOS_[C.Extra.01])))))))),
0)</f>
        <v>0</v>
      </c>
      <c r="AQ88" s="114">
        <f t="array" ref="AQ88">IFERROR(
(MEDIAN((IF(DATOS_[[Sexo]:[Sexo]]=$B88,IF(DATOS_[[AGRUP. VALOR. PTO.]:[AGRUP. VALOR. PTO.]]=$B87,IF(DATOS_[[Check Periodo Ref.]:[Check Periodo Ref.]]="Dentro",IF(DATOS_[[Check Equiparado]:[Check Equiparado]]="Sí",IF(DATOS!BJ$5="Sí",(1/DATOS_[[% anualiz]:[% anualiz]]),1)*IF(DATOS!BJ$4="Sí",1/DATOS_[[% normaliz]:[% normaliz]],1)*(DATOS_[C.Extra.02])))))))),
0)</f>
        <v>0</v>
      </c>
      <c r="AR88" s="114">
        <f t="array" ref="AR88">IFERROR(
(MEDIAN((IF(DATOS_[[Sexo]:[Sexo]]=$B88,IF(DATOS_[[AGRUP. VALOR. PTO.]:[AGRUP. VALOR. PTO.]]=$B87,IF(DATOS_[[Check Periodo Ref.]:[Check Periodo Ref.]]="Dentro",IF(DATOS_[[Check Equiparado]:[Check Equiparado]]="Sí",IF(DATOS!BK$5="Sí",(1/DATOS_[[% anualiz]:[% anualiz]]),1)*IF(DATOS!BK$4="Sí",1/DATOS_[[% normaliz]:[% normaliz]],1)*(DATOS_[C.Extra.03])))))))),
0)</f>
        <v>0</v>
      </c>
      <c r="AS88" s="114">
        <f t="array" ref="AS88">IFERROR(
(MEDIAN((IF(DATOS_[[Sexo]:[Sexo]]=$B88,IF(DATOS_[[AGRUP. VALOR. PTO.]:[AGRUP. VALOR. PTO.]]=$B87,IF(DATOS_[[Check Periodo Ref.]:[Check Periodo Ref.]]="Dentro",IF(DATOS_[[Check Equiparado]:[Check Equiparado]]="Sí",IF(DATOS!BL$5="Sí",(1/DATOS_[[% anualiz]:[% anualiz]]),1)*IF(DATOS!BL$4="Sí",1/DATOS_[[% normaliz]:[% normaliz]],1)*(DATOS_[C.Extra.04])))))))),
0)</f>
        <v>0</v>
      </c>
      <c r="AT88" s="114">
        <f t="array" ref="AT88">IFERROR(
(MEDIAN((IF(DATOS_[[Sexo]:[Sexo]]=$B88,IF(DATOS_[[AGRUP. VALOR. PTO.]:[AGRUP. VALOR. PTO.]]=$B87,IF(DATOS_[[Check Periodo Ref.]:[Check Periodo Ref.]]="Dentro",IF(DATOS_[[Check Equiparado]:[Check Equiparado]]="Sí",IF(DATOS!BM$5="Sí",(1/DATOS_[[% anualiz]:[% anualiz]]),1)*IF(DATOS!BM$4="Sí",1/DATOS_[[% normaliz]:[% normaliz]],1)*(DATOS_[C.Extra.05])))))))),
0)</f>
        <v>0</v>
      </c>
      <c r="AU88" s="115">
        <f t="array" ref="AU88">IFERROR(
MEDIAN(IF(DATOS_[Sexo]=$B88,IF(DATOS_[[AGRUP. VALOR. PTO.]:[AGRUP. VALOR. PTO.]]=$B87,IF(DATOS_[Check Equiparado]="Sí",IF(DATOS_[Check Periodo Ref.]="Dentro",DATOS_[Tot Extrasalarial Eq],FALSE))))),
0)</f>
        <v>0</v>
      </c>
      <c r="AV88" s="116">
        <f t="array" ref="AV88">IFERROR(
MEDIAN(IF(DATOS_[Sexo]=$B88,IF(DATOS_[[AGRUP. VALOR. PTO.]:[AGRUP. VALOR. PTO.]]=$B87,IF(DATOS_[Check Equiparado]="Sí",IF(DATOS_[Check Periodo Ref.]="Dentro",DATOS_[TOTAL Retrib Eq],FALSE))))),
0)</f>
        <v>0</v>
      </c>
    </row>
    <row r="89" spans="1:48" hidden="1" x14ac:dyDescent="0.3">
      <c r="A89" s="42" t="str">
        <f t="shared" ref="A89" si="102">+A88</f>
        <v>[ocultar]</v>
      </c>
      <c r="B89" s="86" t="s">
        <v>163</v>
      </c>
      <c r="C89" s="33">
        <f t="array" ref="C89">SUM(IF($B89=DATOS_[Sexo],
IF($B87=DATOS_[AGRUP. VALOR. PTO.],
IF("Dentro"=DATOS_[Check Periodo Ref.],
1/(COUNTIFS(DATOS_[Sexo],$B89,DATOS_[AGRUP. VALOR. PTO.],$B87,DATOS_[Check Periodo Ref.],"Dentro",DATOS_[id],DATOS_[id]))))))</f>
        <v>0</v>
      </c>
      <c r="D89" s="35">
        <f>COUNTIFS(DATOS_[AGRUP. VALOR. PTO.],$B87,DATOS_[Sexo],$B89,DATOS_[Check Periodo Ref.],"Dentro")</f>
        <v>0</v>
      </c>
      <c r="E89" s="35">
        <f>COUNTIFS(DATOS_[AGRUP. VALOR. PTO.],$B87,DATOS_[Sexo],$B89,DATOS_[Check Periodo Ref.],"Dentro",DATOS_[Check Nº SC Norm],"Sí")</f>
        <v>0</v>
      </c>
      <c r="F89" s="35">
        <f>COUNTIFS(DATOS_[AGRUP. VALOR. PTO.],$B87,DATOS_[Sexo],$B89,DATOS_[Check Periodo Ref.],"Dentro",DATOS_[Check Nº SC Anualiz],"Sí")</f>
        <v>0</v>
      </c>
      <c r="G89" s="35">
        <f>COUNTIFS(DATOS_[AGRUP. VALOR. PTO.],$B87,DATOS_[Sexo],$B89,DATOS_[Check Periodo Ref.],"Dentro",DATOS_[Check Nº SC Norm y Anualiz],"Sí")</f>
        <v>0</v>
      </c>
      <c r="H89" s="35">
        <f>COUNTIFS(DATOS_[AGRUP. VALOR. PTO.],$B87,DATOS_[Sexo],$B89,DATOS_[Check Periodo Ref.],"Dentro",DATOS_[Check Equiparación],"Sí")</f>
        <v>0</v>
      </c>
      <c r="I89" s="110" cm="1">
        <f t="array" ref="I89">IFERROR(
MEDIAN(IF(DATOS_[Sexo]=$B89,IF(DATOS_[[AGRUP. VALOR. PTO.]:[AGRUP. VALOR. PTO.]]=$B87,IF(DATOS_[Check Equiparado]="Sí",IF(DATOS_[Check Periodo Ref.]="Dentro",DATOS_[SALARIO BASE Eq],FALSE))))),
0)</f>
        <v>0</v>
      </c>
      <c r="J89" s="111">
        <f t="array" ref="J89">IFERROR(
(MEDIAN((IF(DATOS_[[Sexo]:[Sexo]]=$B89,IF(DATOS_[[AGRUP. VALOR. PTO.]:[AGRUP. VALOR. PTO.]]=$B87,IF(DATOS_[[Check Periodo Ref.]:[Check Periodo Ref.]]="Dentro",IF(DATOS_[[Check Equiparado]:[Check Equiparado]]="Sí",IF(DATOS!AE$5="Sí",(1/DATOS_[[% anualiz]:[% anualiz]]),1)*IF(DATOS!AE$4="Sí",1/DATOS_[[% normaliz]:[% normaliz]],1)*(DATOS_[Conc.Sal.01])))))))),
0)</f>
        <v>0</v>
      </c>
      <c r="K89" s="111">
        <f t="array" ref="K89">IFERROR(
(MEDIAN((IF(DATOS_[[Sexo]:[Sexo]]=$B89,IF(DATOS_[[AGRUP. VALOR. PTO.]:[AGRUP. VALOR. PTO.]]=$B87,IF(DATOS_[[Check Periodo Ref.]:[Check Periodo Ref.]]="Dentro",IF(DATOS_[[Check Equiparado]:[Check Equiparado]]="Sí",IF(DATOS!AF$5="Sí",(1/DATOS_[[% anualiz]:[% anualiz]]),1)*IF(DATOS!AF$4="Sí",1/DATOS_[[% normaliz]:[% normaliz]],1)*(DATOS_[Conc.Sal.02])))))))),
0)</f>
        <v>0</v>
      </c>
      <c r="L89" s="111">
        <f t="array" ref="L89">IFERROR(
(MEDIAN((IF(DATOS_[[Sexo]:[Sexo]]=$B89,IF(DATOS_[[AGRUP. VALOR. PTO.]:[AGRUP. VALOR. PTO.]]=$B87,IF(DATOS_[[Check Periodo Ref.]:[Check Periodo Ref.]]="Dentro",IF(DATOS_[[Check Equiparado]:[Check Equiparado]]="Sí",IF(DATOS!AG$5="Sí",(1/DATOS_[[% anualiz]:[% anualiz]]),1)*IF(DATOS!AG$4="Sí",1/DATOS_[[% normaliz]:[% normaliz]],1)*(DATOS_[Conc.Sal.03])))))))),
0)</f>
        <v>0</v>
      </c>
      <c r="M89" s="111">
        <f t="array" ref="M89">IFERROR(
(MEDIAN((IF(DATOS_[[Sexo]:[Sexo]]=$B89,IF(DATOS_[[AGRUP. VALOR. PTO.]:[AGRUP. VALOR. PTO.]]=$B87,IF(DATOS_[[Check Periodo Ref.]:[Check Periodo Ref.]]="Dentro",IF(DATOS_[[Check Equiparado]:[Check Equiparado]]="Sí",IF(DATOS!AH$5="Sí",(1/DATOS_[[% anualiz]:[% anualiz]]),1)*IF(DATOS!AH$4="Sí",1/DATOS_[[% normaliz]:[% normaliz]],1)*(DATOS_[Conc.Sal.04])))))))),
0)</f>
        <v>0</v>
      </c>
      <c r="N89" s="111">
        <f t="array" ref="N89">IFERROR(
(MEDIAN((IF(DATOS_[[Sexo]:[Sexo]]=$B89,IF(DATOS_[[AGRUP. VALOR. PTO.]:[AGRUP. VALOR. PTO.]]=$B87,IF(DATOS_[[Check Periodo Ref.]:[Check Periodo Ref.]]="Dentro",IF(DATOS_[[Check Equiparado]:[Check Equiparado]]="Sí",IF(DATOS!AI$5="Sí",(1/DATOS_[[% anualiz]:[% anualiz]]),1)*IF(DATOS!AI$4="Sí",1/DATOS_[[% normaliz]:[% normaliz]],1)*(DATOS_[Conc.Sal.05])))))))),
0)</f>
        <v>0</v>
      </c>
      <c r="O89" s="111">
        <f t="array" ref="O89">IFERROR(
(MEDIAN((IF(DATOS_[[Sexo]:[Sexo]]=$B89,IF(DATOS_[[AGRUP. VALOR. PTO.]:[AGRUP. VALOR. PTO.]]=$B87,IF(DATOS_[[Check Periodo Ref.]:[Check Periodo Ref.]]="Dentro",IF(DATOS_[[Check Equiparado]:[Check Equiparado]]="Sí",IF(DATOS!AJ$5="Sí",(1/DATOS_[[% anualiz]:[% anualiz]]),1)*IF(DATOS!AJ$4="Sí",1/DATOS_[[% normaliz]:[% normaliz]],1)*(DATOS_[Conc.Sal.06])))))))),
0)</f>
        <v>0</v>
      </c>
      <c r="P89" s="111">
        <f t="array" ref="P89">IFERROR(
(MEDIAN((IF(DATOS_[[Sexo]:[Sexo]]=$B89,IF(DATOS_[[AGRUP. VALOR. PTO.]:[AGRUP. VALOR. PTO.]]=$B87,IF(DATOS_[[Check Periodo Ref.]:[Check Periodo Ref.]]="Dentro",IF(DATOS_[[Check Equiparado]:[Check Equiparado]]="Sí",IF(DATOS!AK$5="Sí",(1/DATOS_[[% anualiz]:[% anualiz]]),1)*IF(DATOS!AK$4="Sí",1/DATOS_[[% normaliz]:[% normaliz]],1)*(DATOS_[Conc.Sal.07])))))))),
0)</f>
        <v>0</v>
      </c>
      <c r="Q89" s="111">
        <f t="array" ref="Q89">IFERROR(
(MEDIAN((IF(DATOS_[[Sexo]:[Sexo]]=$B89,IF(DATOS_[[AGRUP. VALOR. PTO.]:[AGRUP. VALOR. PTO.]]=$B87,IF(DATOS_[[Check Periodo Ref.]:[Check Periodo Ref.]]="Dentro",IF(DATOS_[[Check Equiparado]:[Check Equiparado]]="Sí",IF(DATOS!AL$5="Sí",(1/DATOS_[[% anualiz]:[% anualiz]]),1)*IF(DATOS!AL$4="Sí",1/DATOS_[[% normaliz]:[% normaliz]],1)*(DATOS_[Conc.Sal.08])))))))),
0)</f>
        <v>0</v>
      </c>
      <c r="R89" s="111">
        <f t="array" ref="R89">IFERROR(
(MEDIAN((IF(DATOS_[[Sexo]:[Sexo]]=$B89,IF(DATOS_[[AGRUP. VALOR. PTO.]:[AGRUP. VALOR. PTO.]]=$B87,IF(DATOS_[[Check Periodo Ref.]:[Check Periodo Ref.]]="Dentro",IF(DATOS_[[Check Equiparado]:[Check Equiparado]]="Sí",IF(DATOS!AM$5="Sí",(1/DATOS_[[% anualiz]:[% anualiz]]),1)*IF(DATOS!AM$4="Sí",1/DATOS_[[% normaliz]:[% normaliz]],1)*(DATOS_[Conc.Sal.09])))))))),
0)</f>
        <v>0</v>
      </c>
      <c r="S89" s="111">
        <f t="array" ref="S89">IFERROR(
(MEDIAN((IF(DATOS_[[Sexo]:[Sexo]]=$B89,IF(DATOS_[[AGRUP. VALOR. PTO.]:[AGRUP. VALOR. PTO.]]=$B87,IF(DATOS_[[Check Periodo Ref.]:[Check Periodo Ref.]]="Dentro",IF(DATOS_[[Check Equiparado]:[Check Equiparado]]="Sí",IF(DATOS!AN$5="Sí",(1/DATOS_[[% anualiz]:[% anualiz]]),1)*IF(DATOS!AN$4="Sí",1/DATOS_[[% normaliz]:[% normaliz]],1)*(DATOS_[Conc.Sal.10])))))))),
0)</f>
        <v>0</v>
      </c>
      <c r="T89" s="111">
        <f t="array" ref="T89">IFERROR(
(MEDIAN((IF(DATOS_[[Sexo]:[Sexo]]=$B89,IF(DATOS_[[AGRUP. VALOR. PTO.]:[AGRUP. VALOR. PTO.]]=$B87,IF(DATOS_[[Check Periodo Ref.]:[Check Periodo Ref.]]="Dentro",IF(DATOS_[[Check Equiparado]:[Check Equiparado]]="Sí",IF(DATOS!AO$5="Sí",(1/DATOS_[[% anualiz]:[% anualiz]]),1)*IF(DATOS!AO$4="Sí",1/DATOS_[[% normaliz]:[% normaliz]],1)*(DATOS_[Conc.Sal.11])))))))),
0)</f>
        <v>0</v>
      </c>
      <c r="U89" s="111">
        <f t="array" ref="U89">IFERROR(
(MEDIAN((IF(DATOS_[[Sexo]:[Sexo]]=$B89,IF(DATOS_[[AGRUP. VALOR. PTO.]:[AGRUP. VALOR. PTO.]]=$B87,IF(DATOS_[[Check Periodo Ref.]:[Check Periodo Ref.]]="Dentro",IF(DATOS_[[Check Equiparado]:[Check Equiparado]]="Sí",IF(DATOS!AP$5="Sí",(1/DATOS_[[% anualiz]:[% anualiz]]),1)*IF(DATOS!AP$4="Sí",1/DATOS_[[% normaliz]:[% normaliz]],1)*(DATOS_[Conc.Sal.12])))))))),
0)</f>
        <v>0</v>
      </c>
      <c r="V89" s="111">
        <f t="array" ref="V89">IFERROR(
(MEDIAN((IF(DATOS_[[Sexo]:[Sexo]]=$B89,IF(DATOS_[[AGRUP. VALOR. PTO.]:[AGRUP. VALOR. PTO.]]=$B87,IF(DATOS_[[Check Periodo Ref.]:[Check Periodo Ref.]]="Dentro",IF(DATOS_[[Check Equiparado]:[Check Equiparado]]="Sí",IF(DATOS!AQ$5="Sí",(1/DATOS_[[% anualiz]:[% anualiz]]),1)*IF(DATOS!AQ$4="Sí",1/DATOS_[[% normaliz]:[% normaliz]],1)*(DATOS_[Conc.Sal.13])))))))),
0)</f>
        <v>0</v>
      </c>
      <c r="W89" s="111">
        <f t="array" ref="W89">IFERROR(
(MEDIAN((IF(DATOS_[[Sexo]:[Sexo]]=$B89,IF(DATOS_[[AGRUP. VALOR. PTO.]:[AGRUP. VALOR. PTO.]]=$B87,IF(DATOS_[[Check Periodo Ref.]:[Check Periodo Ref.]]="Dentro",IF(DATOS_[[Check Equiparado]:[Check Equiparado]]="Sí",IF(DATOS!AR$5="Sí",(1/DATOS_[[% anualiz]:[% anualiz]]),1)*IF(DATOS!AR$4="Sí",1/DATOS_[[% normaliz]:[% normaliz]],1)*(DATOS_[Conc.Sal.14])))))))),
0)</f>
        <v>0</v>
      </c>
      <c r="X89" s="111">
        <f t="array" ref="X89">IFERROR(
(MEDIAN((IF(DATOS_[[Sexo]:[Sexo]]=$B89,IF(DATOS_[[AGRUP. VALOR. PTO.]:[AGRUP. VALOR. PTO.]]=$B87,IF(DATOS_[[Check Periodo Ref.]:[Check Periodo Ref.]]="Dentro",IF(DATOS_[[Check Equiparado]:[Check Equiparado]]="Sí",IF(DATOS!AS$5="Sí",(1/DATOS_[[% anualiz]:[% anualiz]]),1)*IF(DATOS!AS$4="Sí",1/DATOS_[[% normaliz]:[% normaliz]],1)*(DATOS_[Conc.Sal.15])))))))),
0)</f>
        <v>0</v>
      </c>
      <c r="Y89" s="111">
        <f t="array" ref="Y89">IFERROR(
(MEDIAN((IF(DATOS_[[Sexo]:[Sexo]]=$B89,IF(DATOS_[[AGRUP. VALOR. PTO.]:[AGRUP. VALOR. PTO.]]=$B87,IF(DATOS_[[Check Periodo Ref.]:[Check Periodo Ref.]]="Dentro",IF(DATOS_[[Check Equiparado]:[Check Equiparado]]="Sí",IF(DATOS!AT$5="Sí",(1/DATOS_[[% anualiz]:[% anualiz]]),1)*IF(DATOS!AT$4="Sí",1/DATOS_[[% normaliz]:[% normaliz]],1)*(DATOS_[Conc.Sal.16])))))))),
0)</f>
        <v>0</v>
      </c>
      <c r="Z89" s="111">
        <f t="array" ref="Z89">IFERROR(
(MEDIAN((IF(DATOS_[[Sexo]:[Sexo]]=$B89,IF(DATOS_[[AGRUP. VALOR. PTO.]:[AGRUP. VALOR. PTO.]]=$B87,IF(DATOS_[[Check Periodo Ref.]:[Check Periodo Ref.]]="Dentro",IF(DATOS_[[Check Equiparado]:[Check Equiparado]]="Sí",IF(DATOS!AU$5="Sí",(1/DATOS_[[% anualiz]:[% anualiz]]),1)*IF(DATOS!AU$4="Sí",1/DATOS_[[% normaliz]:[% normaliz]],1)*(DATOS_[Conc.Sal.17])))))))),
0)</f>
        <v>0</v>
      </c>
      <c r="AA89" s="111">
        <f t="array" ref="AA89">IFERROR(
(MEDIAN((IF(DATOS_[[Sexo]:[Sexo]]=$B89,IF(DATOS_[[AGRUP. VALOR. PTO.]:[AGRUP. VALOR. PTO.]]=$B87,IF(DATOS_[[Check Periodo Ref.]:[Check Periodo Ref.]]="Dentro",IF(DATOS_[[Check Equiparado]:[Check Equiparado]]="Sí",IF(DATOS!AV$5="Sí",(1/DATOS_[[% anualiz]:[% anualiz]]),1)*IF(DATOS!AV$4="Sí",1/DATOS_[[% normaliz]:[% normaliz]],1)*(DATOS_[Conc.Sal.18])))))))),
0)</f>
        <v>0</v>
      </c>
      <c r="AB89" s="111">
        <f t="array" ref="AB89">IFERROR(
(MEDIAN((IF(DATOS_[[Sexo]:[Sexo]]=$B89,IF(DATOS_[[AGRUP. VALOR. PTO.]:[AGRUP. VALOR. PTO.]]=$B87,IF(DATOS_[[Check Periodo Ref.]:[Check Periodo Ref.]]="Dentro",IF(DATOS_[[Check Equiparado]:[Check Equiparado]]="Sí",IF(DATOS!AW$5="Sí",(1/DATOS_[[% anualiz]:[% anualiz]]),1)*IF(DATOS!AW$4="Sí",1/DATOS_[[% normaliz]:[% normaliz]],1)*(DATOS_[Conc.Sal.19])))))))),
0)</f>
        <v>0</v>
      </c>
      <c r="AC89" s="111">
        <f t="array" ref="AC89">IFERROR(
(MEDIAN((IF(DATOS_[[Sexo]:[Sexo]]=$B89,IF(DATOS_[[AGRUP. VALOR. PTO.]:[AGRUP. VALOR. PTO.]]=$B87,IF(DATOS_[[Check Periodo Ref.]:[Check Periodo Ref.]]="Dentro",IF(DATOS_[[Check Equiparado]:[Check Equiparado]]="Sí",IF(DATOS!AX$5="Sí",(1/DATOS_[[% anualiz]:[% anualiz]]),1)*IF(DATOS!AX$4="Sí",1/DATOS_[[% normaliz]:[% normaliz]],1)*(DATOS_[Conc.Sal.20])))))))),
0)</f>
        <v>0</v>
      </c>
      <c r="AD89" s="111">
        <f t="array" ref="AD89">IFERROR(
(MEDIAN((IF(DATOS_[[Sexo]:[Sexo]]=$B89,IF(DATOS_[[AGRUP. VALOR. PTO.]:[AGRUP. VALOR. PTO.]]=$B87,IF(DATOS_[[Check Periodo Ref.]:[Check Periodo Ref.]]="Dentro",IF(DATOS_[[Check Equiparado]:[Check Equiparado]]="Sí",IF(DATOS!AY$5="Sí",(1/DATOS_[[% anualiz]:[% anualiz]]),1)*IF(DATOS!AY$4="Sí",1/DATOS_[[% normaliz]:[% normaliz]],1)*(DATOS_[Conc.Sal.21])))))))),
0)</f>
        <v>0</v>
      </c>
      <c r="AE89" s="111">
        <f t="array" ref="AE89">IFERROR(
(MEDIAN((IF(DATOS_[[Sexo]:[Sexo]]=$B89,IF(DATOS_[[AGRUP. VALOR. PTO.]:[AGRUP. VALOR. PTO.]]=$B87,IF(DATOS_[[Check Periodo Ref.]:[Check Periodo Ref.]]="Dentro",IF(DATOS_[[Check Equiparado]:[Check Equiparado]]="Sí",IF(DATOS!AZ$5="Sí",(1/DATOS_[[% anualiz]:[% anualiz]]),1)*IF(DATOS!AZ$4="Sí",1/DATOS_[[% normaliz]:[% normaliz]],1)*(DATOS_[Conc.Sal.22])))))))),
0)</f>
        <v>0</v>
      </c>
      <c r="AF89" s="111">
        <f t="array" ref="AF89">IFERROR(
(MEDIAN((IF(DATOS_[[Sexo]:[Sexo]]=$B89,IF(DATOS_[[AGRUP. VALOR. PTO.]:[AGRUP. VALOR. PTO.]]=$B87,IF(DATOS_[[Check Periodo Ref.]:[Check Periodo Ref.]]="Dentro",IF(DATOS_[[Check Equiparado]:[Check Equiparado]]="Sí",IF(DATOS!BA$5="Sí",(1/DATOS_[[% anualiz]:[% anualiz]]),1)*IF(DATOS!BA$4="Sí",1/DATOS_[[% normaliz]:[% normaliz]],1)*(DATOS_[Conc.Sal.23])))))))),
0)</f>
        <v>0</v>
      </c>
      <c r="AG89" s="111">
        <f t="array" ref="AG89">IFERROR(
(MEDIAN((IF(DATOS_[[Sexo]:[Sexo]]=$B89,IF(DATOS_[[AGRUP. VALOR. PTO.]:[AGRUP. VALOR. PTO.]]=$B87,IF(DATOS_[[Check Periodo Ref.]:[Check Periodo Ref.]]="Dentro",IF(DATOS_[[Check Equiparado]:[Check Equiparado]]="Sí",IF(DATOS!BB$5="Sí",(1/DATOS_[[% anualiz]:[% anualiz]]),1)*IF(DATOS!BB$4="Sí",1/DATOS_[[% normaliz]:[% normaliz]],1)*(DATOS_[Conc.Sal.24])))))))),
0)</f>
        <v>0</v>
      </c>
      <c r="AH89" s="111">
        <f t="array" ref="AH89">IFERROR(
(MEDIAN((IF(DATOS_[[Sexo]:[Sexo]]=$B89,IF(DATOS_[[AGRUP. VALOR. PTO.]:[AGRUP. VALOR. PTO.]]=$B87,IF(DATOS_[[Check Periodo Ref.]:[Check Periodo Ref.]]="Dentro",IF(DATOS_[[Check Equiparado]:[Check Equiparado]]="Sí",IF(DATOS!BC$5="Sí",(1/DATOS_[[% anualiz]:[% anualiz]]),1)*IF(DATOS!BC$4="Sí",1/DATOS_[[% normaliz]:[% normaliz]],1)*(DATOS_[Conc.Sal.25])))))))),
0)</f>
        <v>0</v>
      </c>
      <c r="AI89" s="111">
        <f t="array" ref="AI89">IFERROR(
(MEDIAN((IF(DATOS_[[Sexo]:[Sexo]]=$B89,IF(DATOS_[[AGRUP. VALOR. PTO.]:[AGRUP. VALOR. PTO.]]=$B87,IF(DATOS_[[Check Periodo Ref.]:[Check Periodo Ref.]]="Dentro",IF(DATOS_[[Check Equiparado]:[Check Equiparado]]="Sí",IF(DATOS!BD$5="Sí",(1/DATOS_[[% anualiz]:[% anualiz]]),1)*IF(DATOS!BD$4="Sí",1/DATOS_[[% normaliz]:[% normaliz]],1)*(DATOS_[Conc.Sal.26])))))))),
0)</f>
        <v>0</v>
      </c>
      <c r="AJ89" s="111">
        <f t="array" ref="AJ89">IFERROR(
(MEDIAN((IF(DATOS_[[Sexo]:[Sexo]]=$B89,IF(DATOS_[[AGRUP. VALOR. PTO.]:[AGRUP. VALOR. PTO.]]=$B87,IF(DATOS_[[Check Periodo Ref.]:[Check Periodo Ref.]]="Dentro",IF(DATOS_[[Check Equiparado]:[Check Equiparado]]="Sí",IF(DATOS!BE$5="Sí",(1/DATOS_[[% anualiz]:[% anualiz]]),1)*IF(DATOS!BE$4="Sí",1/DATOS_[[% normaliz]:[% normaliz]],1)*(DATOS_[Conc.Sal.27])))))))),
0)</f>
        <v>0</v>
      </c>
      <c r="AK89" s="111">
        <f t="array" ref="AK89">IFERROR(
(MEDIAN((IF(DATOS_[[Sexo]:[Sexo]]=$B89,IF(DATOS_[[AGRUP. VALOR. PTO.]:[AGRUP. VALOR. PTO.]]=$B87,IF(DATOS_[[Check Periodo Ref.]:[Check Periodo Ref.]]="Dentro",IF(DATOS_[[Check Equiparado]:[Check Equiparado]]="Sí",IF(DATOS!BF$5="Sí",(1/DATOS_[[% anualiz]:[% anualiz]]),1)*IF(DATOS!BF$4="Sí",1/DATOS_[[% normaliz]:[% normaliz]],1)*(DATOS_[Conc.Sal.28])))))))),
0)</f>
        <v>0</v>
      </c>
      <c r="AL89" s="111">
        <f t="array" ref="AL89">IFERROR(
(MEDIAN((IF(DATOS_[[Sexo]:[Sexo]]=$B89,IF(DATOS_[[AGRUP. VALOR. PTO.]:[AGRUP. VALOR. PTO.]]=$B87,IF(DATOS_[[Check Periodo Ref.]:[Check Periodo Ref.]]="Dentro",IF(DATOS_[[Check Equiparado]:[Check Equiparado]]="Sí",IF(DATOS!BG$5="Sí",(1/DATOS_[[% anualiz]:[% anualiz]]),1)*IF(DATOS!BG$4="Sí",1/DATOS_[[% normaliz]:[% normaliz]],1)*(DATOS_[Conc.Sal.29])))))))),
0)</f>
        <v>0</v>
      </c>
      <c r="AM89" s="111">
        <f t="array" ref="AM89">IFERROR(
(MEDIAN((IF(DATOS_[[Sexo]:[Sexo]]=$B89,IF(DATOS_[[AGRUP. VALOR. PTO.]:[AGRUP. VALOR. PTO.]]=$B87,IF(DATOS_[[Check Periodo Ref.]:[Check Periodo Ref.]]="Dentro",IF(DATOS_[[Check Equiparado]:[Check Equiparado]]="Sí",IF(DATOS!BH$5="Sí",(1/DATOS_[[% anualiz]:[% anualiz]]),1)*IF(DATOS!BH$4="Sí",1/DATOS_[[% normaliz]:[% normaliz]],1)*(DATOS_[Conc.Sal.30])))))))),
0)</f>
        <v>0</v>
      </c>
      <c r="AN89" s="112">
        <f t="array" ref="AN89">IFERROR(
MEDIAN(IF(DATOS_[Sexo]=$B89,IF(DATOS_[[AGRUP. VALOR. PTO.]:[AGRUP. VALOR. PTO.]]=$B87,IF(DATOS_[Check Equiparado]="Sí",IF(DATOS_[Check Periodo Ref.]="Dentro",DATOS_[Tot COMPL.SAL Eq],FALSE))))),
0)</f>
        <v>0</v>
      </c>
      <c r="AO89" s="113">
        <f t="array" ref="AO89">IFERROR(
MEDIAN(IF(DATOS_[Sexo]=$B89,IF(DATOS_[[AGRUP. VALOR. PTO.]:[AGRUP. VALOR. PTO.]]=$B87,IF(DATOS_[Check Equiparado]="Sí",IF(DATOS_[Check Periodo Ref.]="Dentro",DATOS_[TOTAL SALARIO Eq],FALSE))))),
0)</f>
        <v>0</v>
      </c>
      <c r="AP89" s="114">
        <f t="array" ref="AP89">IFERROR(
(MEDIAN((IF(DATOS_[[Sexo]:[Sexo]]=$B89,IF(DATOS_[[AGRUP. VALOR. PTO.]:[AGRUP. VALOR. PTO.]]=$B88,IF(DATOS_[[Check Periodo Ref.]:[Check Periodo Ref.]]="Dentro",IF(DATOS_[[Check Equiparado]:[Check Equiparado]]="Sí",IF(DATOS!BI$5="Sí",(1/DATOS_[[% anualiz]:[% anualiz]]),1)*IF(DATOS!BI$4="Sí",1/DATOS_[[% normaliz]:[% normaliz]],1)*(DATOS_[C.Extra.01])))))))),
0)</f>
        <v>0</v>
      </c>
      <c r="AQ89" s="114">
        <f t="array" ref="AQ89">IFERROR(
(MEDIAN((IF(DATOS_[[Sexo]:[Sexo]]=$B89,IF(DATOS_[[AGRUP. VALOR. PTO.]:[AGRUP. VALOR. PTO.]]=$B88,IF(DATOS_[[Check Periodo Ref.]:[Check Periodo Ref.]]="Dentro",IF(DATOS_[[Check Equiparado]:[Check Equiparado]]="Sí",IF(DATOS!BJ$5="Sí",(1/DATOS_[[% anualiz]:[% anualiz]]),1)*IF(DATOS!BJ$4="Sí",1/DATOS_[[% normaliz]:[% normaliz]],1)*(DATOS_[C.Extra.02])))))))),
0)</f>
        <v>0</v>
      </c>
      <c r="AR89" s="114">
        <f t="array" ref="AR89">IFERROR(
(MEDIAN((IF(DATOS_[[Sexo]:[Sexo]]=$B89,IF(DATOS_[[AGRUP. VALOR. PTO.]:[AGRUP. VALOR. PTO.]]=$B88,IF(DATOS_[[Check Periodo Ref.]:[Check Periodo Ref.]]="Dentro",IF(DATOS_[[Check Equiparado]:[Check Equiparado]]="Sí",IF(DATOS!BK$5="Sí",(1/DATOS_[[% anualiz]:[% anualiz]]),1)*IF(DATOS!BK$4="Sí",1/DATOS_[[% normaliz]:[% normaliz]],1)*(DATOS_[C.Extra.03])))))))),
0)</f>
        <v>0</v>
      </c>
      <c r="AS89" s="114">
        <f t="array" ref="AS89">IFERROR(
(MEDIAN((IF(DATOS_[[Sexo]:[Sexo]]=$B89,IF(DATOS_[[AGRUP. VALOR. PTO.]:[AGRUP. VALOR. PTO.]]=$B88,IF(DATOS_[[Check Periodo Ref.]:[Check Periodo Ref.]]="Dentro",IF(DATOS_[[Check Equiparado]:[Check Equiparado]]="Sí",IF(DATOS!BL$5="Sí",(1/DATOS_[[% anualiz]:[% anualiz]]),1)*IF(DATOS!BL$4="Sí",1/DATOS_[[% normaliz]:[% normaliz]],1)*(DATOS_[C.Extra.04])))))))),
0)</f>
        <v>0</v>
      </c>
      <c r="AT89" s="114">
        <f t="array" ref="AT89">IFERROR(
(MEDIAN((IF(DATOS_[[Sexo]:[Sexo]]=$B89,IF(DATOS_[[AGRUP. VALOR. PTO.]:[AGRUP. VALOR. PTO.]]=$B88,IF(DATOS_[[Check Periodo Ref.]:[Check Periodo Ref.]]="Dentro",IF(DATOS_[[Check Equiparado]:[Check Equiparado]]="Sí",IF(DATOS!BM$5="Sí",(1/DATOS_[[% anualiz]:[% anualiz]]),1)*IF(DATOS!BM$4="Sí",1/DATOS_[[% normaliz]:[% normaliz]],1)*(DATOS_[C.Extra.05])))))))),
0)</f>
        <v>0</v>
      </c>
      <c r="AU89" s="115">
        <f t="array" ref="AU89">IFERROR(
MEDIAN(IF(DATOS_[Sexo]=$B89,IF(DATOS_[[AGRUP. VALOR. PTO.]:[AGRUP. VALOR. PTO.]]=$B87,IF(DATOS_[Check Equiparado]="Sí",IF(DATOS_[Check Periodo Ref.]="Dentro",DATOS_[Tot Extrasalarial Eq],FALSE))))),
0)</f>
        <v>0</v>
      </c>
      <c r="AV89" s="116">
        <f t="array" ref="AV89">IFERROR(
MEDIAN(IF(DATOS_[Sexo]=$B89,IF(DATOS_[[AGRUP. VALOR. PTO.]:[AGRUP. VALOR. PTO.]]=$B87,IF(DATOS_[Check Equiparado]="Sí",IF(DATOS_[Check Periodo Ref.]="Dentro",DATOS_[TOTAL Retrib Eq],FALSE))))),
0)</f>
        <v>0</v>
      </c>
    </row>
    <row r="90" spans="1:48" ht="17.25" hidden="1" thickBot="1" x14ac:dyDescent="0.35">
      <c r="A90" s="42" t="str">
        <f t="shared" ref="A90" si="103">+A91</f>
        <v>[ocultar]</v>
      </c>
      <c r="B90" s="90" t="s">
        <v>285</v>
      </c>
      <c r="C90" s="109"/>
      <c r="D90" s="41"/>
      <c r="E90" s="41"/>
      <c r="F90" s="41"/>
      <c r="G90" s="41"/>
      <c r="H90" s="41"/>
      <c r="I90" s="119" t="str">
        <f t="shared" ref="I90:AV90" si="104">IFERROR((I91-I92)/I91,"")</f>
        <v/>
      </c>
      <c r="J90" s="123" t="str">
        <f t="shared" si="104"/>
        <v/>
      </c>
      <c r="K90" s="123" t="str">
        <f t="shared" si="104"/>
        <v/>
      </c>
      <c r="L90" s="123" t="str">
        <f t="shared" si="104"/>
        <v/>
      </c>
      <c r="M90" s="123" t="str">
        <f t="shared" si="104"/>
        <v/>
      </c>
      <c r="N90" s="123" t="str">
        <f t="shared" si="104"/>
        <v/>
      </c>
      <c r="O90" s="123" t="str">
        <f t="shared" si="104"/>
        <v/>
      </c>
      <c r="P90" s="123" t="str">
        <f t="shared" si="104"/>
        <v/>
      </c>
      <c r="Q90" s="123" t="str">
        <f t="shared" si="104"/>
        <v/>
      </c>
      <c r="R90" s="123" t="str">
        <f t="shared" si="104"/>
        <v/>
      </c>
      <c r="S90" s="123" t="str">
        <f t="shared" si="104"/>
        <v/>
      </c>
      <c r="T90" s="123" t="str">
        <f t="shared" si="104"/>
        <v/>
      </c>
      <c r="U90" s="123" t="str">
        <f t="shared" si="104"/>
        <v/>
      </c>
      <c r="V90" s="123" t="str">
        <f t="shared" si="104"/>
        <v/>
      </c>
      <c r="W90" s="123" t="str">
        <f t="shared" si="104"/>
        <v/>
      </c>
      <c r="X90" s="123" t="str">
        <f t="shared" si="104"/>
        <v/>
      </c>
      <c r="Y90" s="123" t="str">
        <f t="shared" si="104"/>
        <v/>
      </c>
      <c r="Z90" s="122" t="str">
        <f t="shared" si="104"/>
        <v/>
      </c>
      <c r="AA90" s="122" t="str">
        <f t="shared" si="104"/>
        <v/>
      </c>
      <c r="AB90" s="122" t="str">
        <f t="shared" si="104"/>
        <v/>
      </c>
      <c r="AC90" s="122" t="str">
        <f t="shared" si="104"/>
        <v/>
      </c>
      <c r="AD90" s="122" t="str">
        <f t="shared" si="104"/>
        <v/>
      </c>
      <c r="AE90" s="122" t="str">
        <f t="shared" si="104"/>
        <v/>
      </c>
      <c r="AF90" s="122" t="str">
        <f t="shared" si="104"/>
        <v/>
      </c>
      <c r="AG90" s="122" t="str">
        <f t="shared" si="104"/>
        <v/>
      </c>
      <c r="AH90" s="122" t="str">
        <f t="shared" si="104"/>
        <v/>
      </c>
      <c r="AI90" s="122" t="str">
        <f t="shared" si="104"/>
        <v/>
      </c>
      <c r="AJ90" s="122" t="str">
        <f t="shared" si="104"/>
        <v/>
      </c>
      <c r="AK90" s="122" t="str">
        <f t="shared" si="104"/>
        <v/>
      </c>
      <c r="AL90" s="122" t="str">
        <f t="shared" si="104"/>
        <v/>
      </c>
      <c r="AM90" s="122" t="str">
        <f t="shared" si="104"/>
        <v/>
      </c>
      <c r="AN90" s="124" t="str">
        <f t="shared" si="104"/>
        <v/>
      </c>
      <c r="AO90" s="128" t="str">
        <f t="shared" si="104"/>
        <v/>
      </c>
      <c r="AP90" s="125" t="str">
        <f t="shared" si="104"/>
        <v/>
      </c>
      <c r="AQ90" s="125" t="str">
        <f t="shared" si="104"/>
        <v/>
      </c>
      <c r="AR90" s="125" t="str">
        <f t="shared" si="104"/>
        <v/>
      </c>
      <c r="AS90" s="125" t="str">
        <f t="shared" si="104"/>
        <v/>
      </c>
      <c r="AT90" s="125" t="str">
        <f t="shared" si="104"/>
        <v/>
      </c>
      <c r="AU90" s="126" t="str">
        <f t="shared" si="104"/>
        <v/>
      </c>
      <c r="AV90" s="127" t="str">
        <f t="shared" si="104"/>
        <v/>
      </c>
    </row>
    <row r="91" spans="1:48" hidden="1" x14ac:dyDescent="0.3">
      <c r="A91" s="42" t="str">
        <f t="shared" ref="A91" si="105">+IF(C91+C92=0,"[ocultar]","")</f>
        <v>[ocultar]</v>
      </c>
      <c r="B91" s="86" t="s">
        <v>162</v>
      </c>
      <c r="C91" s="33">
        <f t="array" ref="C91">SUM(IF($B91=DATOS_[Sexo],
IF($B90=DATOS_[AGRUP. VALOR. PTO.],
IF("Dentro"=DATOS_[Check Periodo Ref.],
1/(COUNTIFS(DATOS_[Sexo],$B91,DATOS_[AGRUP. VALOR. PTO.],$B90,DATOS_[Check Periodo Ref.],"Dentro",DATOS_[id],DATOS_[id]))))))</f>
        <v>0</v>
      </c>
      <c r="D91" s="35">
        <f>COUNTIFS(DATOS_[AGRUP. VALOR. PTO.],$B90,DATOS_[Sexo],$B91,DATOS_[Check Periodo Ref.],"Dentro")</f>
        <v>0</v>
      </c>
      <c r="E91" s="35">
        <f>COUNTIFS(DATOS_[AGRUP. VALOR. PTO.],$B90,DATOS_[Sexo],$B91,DATOS_[Check Periodo Ref.],"Dentro",DATOS_[Check Nº SC Norm],"Sí")</f>
        <v>0</v>
      </c>
      <c r="F91" s="35">
        <f>COUNTIFS(DATOS_[AGRUP. VALOR. PTO.],$B90,DATOS_[Sexo],$B91,DATOS_[Check Periodo Ref.],"Dentro",DATOS_[Check Nº SC Anualiz],"Sí")</f>
        <v>0</v>
      </c>
      <c r="G91" s="35">
        <f>COUNTIFS(DATOS_[AGRUP. VALOR. PTO.],$B90,DATOS_[Sexo],$B91,DATOS_[Check Periodo Ref.],"Dentro",DATOS_[Check Nº SC Norm y Anualiz],"Sí")</f>
        <v>0</v>
      </c>
      <c r="H91" s="35">
        <f>COUNTIFS(DATOS_[AGRUP. VALOR. PTO.],$B90,DATOS_[Sexo],$B91,DATOS_[Check Periodo Ref.],"Dentro",DATOS_[Check Equiparación],"Sí")</f>
        <v>0</v>
      </c>
      <c r="I91" s="110">
        <f t="array" ref="I91">IFERROR(
MEDIAN(IF(DATOS_[Sexo]=$B91,IF(DATOS_[[AGRUP. VALOR. PTO.]:[AGRUP. VALOR. PTO.]]=$B90,IF(DATOS_[Check Equiparado]="Sí",IF(DATOS_[Check Periodo Ref.]="Dentro",DATOS_[SALARIO BASE Eq],FALSE))))),
0)</f>
        <v>0</v>
      </c>
      <c r="J91" s="111">
        <f t="array" ref="J91">IFERROR(
(MEDIAN((IF(DATOS_[[Sexo]:[Sexo]]=$B91,IF(DATOS_[[AGRUP. VALOR. PTO.]:[AGRUP. VALOR. PTO.]]=$B90,IF(DATOS_[[Check Periodo Ref.]:[Check Periodo Ref.]]="Dentro",IF(DATOS_[[Check Equiparado]:[Check Equiparado]]="Sí",IF(DATOS!AE$5="Sí",(1/DATOS_[[% anualiz]:[% anualiz]]),1)*IF(DATOS!AE$4="Sí",1/DATOS_[[% normaliz]:[% normaliz]],1)*(DATOS_[Conc.Sal.01])))))))),
0)</f>
        <v>0</v>
      </c>
      <c r="K91" s="111">
        <f t="array" ref="K91">IFERROR(
(MEDIAN((IF(DATOS_[[Sexo]:[Sexo]]=$B91,IF(DATOS_[[AGRUP. VALOR. PTO.]:[AGRUP. VALOR. PTO.]]=$B90,IF(DATOS_[[Check Periodo Ref.]:[Check Periodo Ref.]]="Dentro",IF(DATOS_[[Check Equiparado]:[Check Equiparado]]="Sí",IF(DATOS!AF$5="Sí",(1/DATOS_[[% anualiz]:[% anualiz]]),1)*IF(DATOS!AF$4="Sí",1/DATOS_[[% normaliz]:[% normaliz]],1)*(DATOS_[Conc.Sal.02])))))))),
0)</f>
        <v>0</v>
      </c>
      <c r="L91" s="111">
        <f t="array" ref="L91">IFERROR(
(MEDIAN((IF(DATOS_[[Sexo]:[Sexo]]=$B91,IF(DATOS_[[AGRUP. VALOR. PTO.]:[AGRUP. VALOR. PTO.]]=$B90,IF(DATOS_[[Check Periodo Ref.]:[Check Periodo Ref.]]="Dentro",IF(DATOS_[[Check Equiparado]:[Check Equiparado]]="Sí",IF(DATOS!AG$5="Sí",(1/DATOS_[[% anualiz]:[% anualiz]]),1)*IF(DATOS!AG$4="Sí",1/DATOS_[[% normaliz]:[% normaliz]],1)*(DATOS_[Conc.Sal.03])))))))),
0)</f>
        <v>0</v>
      </c>
      <c r="M91" s="111">
        <f t="array" ref="M91">IFERROR(
(MEDIAN((IF(DATOS_[[Sexo]:[Sexo]]=$B91,IF(DATOS_[[AGRUP. VALOR. PTO.]:[AGRUP. VALOR. PTO.]]=$B90,IF(DATOS_[[Check Periodo Ref.]:[Check Periodo Ref.]]="Dentro",IF(DATOS_[[Check Equiparado]:[Check Equiparado]]="Sí",IF(DATOS!AH$5="Sí",(1/DATOS_[[% anualiz]:[% anualiz]]),1)*IF(DATOS!AH$4="Sí",1/DATOS_[[% normaliz]:[% normaliz]],1)*(DATOS_[Conc.Sal.04])))))))),
0)</f>
        <v>0</v>
      </c>
      <c r="N91" s="111">
        <f t="array" ref="N91">IFERROR(
(MEDIAN((IF(DATOS_[[Sexo]:[Sexo]]=$B91,IF(DATOS_[[AGRUP. VALOR. PTO.]:[AGRUP. VALOR. PTO.]]=$B90,IF(DATOS_[[Check Periodo Ref.]:[Check Periodo Ref.]]="Dentro",IF(DATOS_[[Check Equiparado]:[Check Equiparado]]="Sí",IF(DATOS!AI$5="Sí",(1/DATOS_[[% anualiz]:[% anualiz]]),1)*IF(DATOS!AI$4="Sí",1/DATOS_[[% normaliz]:[% normaliz]],1)*(DATOS_[Conc.Sal.05])))))))),
0)</f>
        <v>0</v>
      </c>
      <c r="O91" s="111">
        <f t="array" ref="O91">IFERROR(
(MEDIAN((IF(DATOS_[[Sexo]:[Sexo]]=$B91,IF(DATOS_[[AGRUP. VALOR. PTO.]:[AGRUP. VALOR. PTO.]]=$B90,IF(DATOS_[[Check Periodo Ref.]:[Check Periodo Ref.]]="Dentro",IF(DATOS_[[Check Equiparado]:[Check Equiparado]]="Sí",IF(DATOS!AJ$5="Sí",(1/DATOS_[[% anualiz]:[% anualiz]]),1)*IF(DATOS!AJ$4="Sí",1/DATOS_[[% normaliz]:[% normaliz]],1)*(DATOS_[Conc.Sal.06])))))))),
0)</f>
        <v>0</v>
      </c>
      <c r="P91" s="111">
        <f t="array" ref="P91">IFERROR(
(MEDIAN((IF(DATOS_[[Sexo]:[Sexo]]=$B91,IF(DATOS_[[AGRUP. VALOR. PTO.]:[AGRUP. VALOR. PTO.]]=$B90,IF(DATOS_[[Check Periodo Ref.]:[Check Periodo Ref.]]="Dentro",IF(DATOS_[[Check Equiparado]:[Check Equiparado]]="Sí",IF(DATOS!AK$5="Sí",(1/DATOS_[[% anualiz]:[% anualiz]]),1)*IF(DATOS!AK$4="Sí",1/DATOS_[[% normaliz]:[% normaliz]],1)*(DATOS_[Conc.Sal.07])))))))),
0)</f>
        <v>0</v>
      </c>
      <c r="Q91" s="111">
        <f t="array" ref="Q91">IFERROR(
(MEDIAN((IF(DATOS_[[Sexo]:[Sexo]]=$B91,IF(DATOS_[[AGRUP. VALOR. PTO.]:[AGRUP. VALOR. PTO.]]=$B90,IF(DATOS_[[Check Periodo Ref.]:[Check Periodo Ref.]]="Dentro",IF(DATOS_[[Check Equiparado]:[Check Equiparado]]="Sí",IF(DATOS!AL$5="Sí",(1/DATOS_[[% anualiz]:[% anualiz]]),1)*IF(DATOS!AL$4="Sí",1/DATOS_[[% normaliz]:[% normaliz]],1)*(DATOS_[Conc.Sal.08])))))))),
0)</f>
        <v>0</v>
      </c>
      <c r="R91" s="111">
        <f t="array" ref="R91">IFERROR(
(MEDIAN((IF(DATOS_[[Sexo]:[Sexo]]=$B91,IF(DATOS_[[AGRUP. VALOR. PTO.]:[AGRUP. VALOR. PTO.]]=$B90,IF(DATOS_[[Check Periodo Ref.]:[Check Periodo Ref.]]="Dentro",IF(DATOS_[[Check Equiparado]:[Check Equiparado]]="Sí",IF(DATOS!AM$5="Sí",(1/DATOS_[[% anualiz]:[% anualiz]]),1)*IF(DATOS!AM$4="Sí",1/DATOS_[[% normaliz]:[% normaliz]],1)*(DATOS_[Conc.Sal.09])))))))),
0)</f>
        <v>0</v>
      </c>
      <c r="S91" s="111">
        <f t="array" ref="S91">IFERROR(
(MEDIAN((IF(DATOS_[[Sexo]:[Sexo]]=$B91,IF(DATOS_[[AGRUP. VALOR. PTO.]:[AGRUP. VALOR. PTO.]]=$B90,IF(DATOS_[[Check Periodo Ref.]:[Check Periodo Ref.]]="Dentro",IF(DATOS_[[Check Equiparado]:[Check Equiparado]]="Sí",IF(DATOS!AN$5="Sí",(1/DATOS_[[% anualiz]:[% anualiz]]),1)*IF(DATOS!AN$4="Sí",1/DATOS_[[% normaliz]:[% normaliz]],1)*(DATOS_[Conc.Sal.10])))))))),
0)</f>
        <v>0</v>
      </c>
      <c r="T91" s="111">
        <f t="array" ref="T91">IFERROR(
(MEDIAN((IF(DATOS_[[Sexo]:[Sexo]]=$B91,IF(DATOS_[[AGRUP. VALOR. PTO.]:[AGRUP. VALOR. PTO.]]=$B90,IF(DATOS_[[Check Periodo Ref.]:[Check Periodo Ref.]]="Dentro",IF(DATOS_[[Check Equiparado]:[Check Equiparado]]="Sí",IF(DATOS!AO$5="Sí",(1/DATOS_[[% anualiz]:[% anualiz]]),1)*IF(DATOS!AO$4="Sí",1/DATOS_[[% normaliz]:[% normaliz]],1)*(DATOS_[Conc.Sal.11])))))))),
0)</f>
        <v>0</v>
      </c>
      <c r="U91" s="111">
        <f t="array" ref="U91">IFERROR(
(MEDIAN((IF(DATOS_[[Sexo]:[Sexo]]=$B91,IF(DATOS_[[AGRUP. VALOR. PTO.]:[AGRUP. VALOR. PTO.]]=$B90,IF(DATOS_[[Check Periodo Ref.]:[Check Periodo Ref.]]="Dentro",IF(DATOS_[[Check Equiparado]:[Check Equiparado]]="Sí",IF(DATOS!AP$5="Sí",(1/DATOS_[[% anualiz]:[% anualiz]]),1)*IF(DATOS!AP$4="Sí",1/DATOS_[[% normaliz]:[% normaliz]],1)*(DATOS_[Conc.Sal.12])))))))),
0)</f>
        <v>0</v>
      </c>
      <c r="V91" s="111">
        <f t="array" ref="V91">IFERROR(
(MEDIAN((IF(DATOS_[[Sexo]:[Sexo]]=$B91,IF(DATOS_[[AGRUP. VALOR. PTO.]:[AGRUP. VALOR. PTO.]]=$B90,IF(DATOS_[[Check Periodo Ref.]:[Check Periodo Ref.]]="Dentro",IF(DATOS_[[Check Equiparado]:[Check Equiparado]]="Sí",IF(DATOS!AQ$5="Sí",(1/DATOS_[[% anualiz]:[% anualiz]]),1)*IF(DATOS!AQ$4="Sí",1/DATOS_[[% normaliz]:[% normaliz]],1)*(DATOS_[Conc.Sal.13])))))))),
0)</f>
        <v>0</v>
      </c>
      <c r="W91" s="111">
        <f t="array" ref="W91">IFERROR(
(MEDIAN((IF(DATOS_[[Sexo]:[Sexo]]=$B91,IF(DATOS_[[AGRUP. VALOR. PTO.]:[AGRUP. VALOR. PTO.]]=$B90,IF(DATOS_[[Check Periodo Ref.]:[Check Periodo Ref.]]="Dentro",IF(DATOS_[[Check Equiparado]:[Check Equiparado]]="Sí",IF(DATOS!AR$5="Sí",(1/DATOS_[[% anualiz]:[% anualiz]]),1)*IF(DATOS!AR$4="Sí",1/DATOS_[[% normaliz]:[% normaliz]],1)*(DATOS_[Conc.Sal.14])))))))),
0)</f>
        <v>0</v>
      </c>
      <c r="X91" s="111">
        <f t="array" ref="X91">IFERROR(
(MEDIAN((IF(DATOS_[[Sexo]:[Sexo]]=$B91,IF(DATOS_[[AGRUP. VALOR. PTO.]:[AGRUP. VALOR. PTO.]]=$B90,IF(DATOS_[[Check Periodo Ref.]:[Check Periodo Ref.]]="Dentro",IF(DATOS_[[Check Equiparado]:[Check Equiparado]]="Sí",IF(DATOS!AS$5="Sí",(1/DATOS_[[% anualiz]:[% anualiz]]),1)*IF(DATOS!AS$4="Sí",1/DATOS_[[% normaliz]:[% normaliz]],1)*(DATOS_[Conc.Sal.15])))))))),
0)</f>
        <v>0</v>
      </c>
      <c r="Y91" s="111">
        <f t="array" ref="Y91">IFERROR(
(MEDIAN((IF(DATOS_[[Sexo]:[Sexo]]=$B91,IF(DATOS_[[AGRUP. VALOR. PTO.]:[AGRUP. VALOR. PTO.]]=$B90,IF(DATOS_[[Check Periodo Ref.]:[Check Periodo Ref.]]="Dentro",IF(DATOS_[[Check Equiparado]:[Check Equiparado]]="Sí",IF(DATOS!AT$5="Sí",(1/DATOS_[[% anualiz]:[% anualiz]]),1)*IF(DATOS!AT$4="Sí",1/DATOS_[[% normaliz]:[% normaliz]],1)*(DATOS_[Conc.Sal.16])))))))),
0)</f>
        <v>0</v>
      </c>
      <c r="Z91" s="111">
        <f t="array" ref="Z91">IFERROR(
(MEDIAN((IF(DATOS_[[Sexo]:[Sexo]]=$B91,IF(DATOS_[[AGRUP. VALOR. PTO.]:[AGRUP. VALOR. PTO.]]=$B90,IF(DATOS_[[Check Periodo Ref.]:[Check Periodo Ref.]]="Dentro",IF(DATOS_[[Check Equiparado]:[Check Equiparado]]="Sí",IF(DATOS!AU$5="Sí",(1/DATOS_[[% anualiz]:[% anualiz]]),1)*IF(DATOS!AU$4="Sí",1/DATOS_[[% normaliz]:[% normaliz]],1)*(DATOS_[Conc.Sal.17])))))))),
0)</f>
        <v>0</v>
      </c>
      <c r="AA91" s="111">
        <f t="array" ref="AA91">IFERROR(
(MEDIAN((IF(DATOS_[[Sexo]:[Sexo]]=$B91,IF(DATOS_[[AGRUP. VALOR. PTO.]:[AGRUP. VALOR. PTO.]]=$B90,IF(DATOS_[[Check Periodo Ref.]:[Check Periodo Ref.]]="Dentro",IF(DATOS_[[Check Equiparado]:[Check Equiparado]]="Sí",IF(DATOS!AV$5="Sí",(1/DATOS_[[% anualiz]:[% anualiz]]),1)*IF(DATOS!AV$4="Sí",1/DATOS_[[% normaliz]:[% normaliz]],1)*(DATOS_[Conc.Sal.18])))))))),
0)</f>
        <v>0</v>
      </c>
      <c r="AB91" s="111">
        <f t="array" ref="AB91">IFERROR(
(MEDIAN((IF(DATOS_[[Sexo]:[Sexo]]=$B91,IF(DATOS_[[AGRUP. VALOR. PTO.]:[AGRUP. VALOR. PTO.]]=$B90,IF(DATOS_[[Check Periodo Ref.]:[Check Periodo Ref.]]="Dentro",IF(DATOS_[[Check Equiparado]:[Check Equiparado]]="Sí",IF(DATOS!AW$5="Sí",(1/DATOS_[[% anualiz]:[% anualiz]]),1)*IF(DATOS!AW$4="Sí",1/DATOS_[[% normaliz]:[% normaliz]],1)*(DATOS_[Conc.Sal.19])))))))),
0)</f>
        <v>0</v>
      </c>
      <c r="AC91" s="111">
        <f t="array" ref="AC91">IFERROR(
(MEDIAN((IF(DATOS_[[Sexo]:[Sexo]]=$B91,IF(DATOS_[[AGRUP. VALOR. PTO.]:[AGRUP. VALOR. PTO.]]=$B90,IF(DATOS_[[Check Periodo Ref.]:[Check Periodo Ref.]]="Dentro",IF(DATOS_[[Check Equiparado]:[Check Equiparado]]="Sí",IF(DATOS!AX$5="Sí",(1/DATOS_[[% anualiz]:[% anualiz]]),1)*IF(DATOS!AX$4="Sí",1/DATOS_[[% normaliz]:[% normaliz]],1)*(DATOS_[Conc.Sal.20])))))))),
0)</f>
        <v>0</v>
      </c>
      <c r="AD91" s="111">
        <f t="array" ref="AD91">IFERROR(
(MEDIAN((IF(DATOS_[[Sexo]:[Sexo]]=$B91,IF(DATOS_[[AGRUP. VALOR. PTO.]:[AGRUP. VALOR. PTO.]]=$B90,IF(DATOS_[[Check Periodo Ref.]:[Check Periodo Ref.]]="Dentro",IF(DATOS_[[Check Equiparado]:[Check Equiparado]]="Sí",IF(DATOS!AY$5="Sí",(1/DATOS_[[% anualiz]:[% anualiz]]),1)*IF(DATOS!AY$4="Sí",1/DATOS_[[% normaliz]:[% normaliz]],1)*(DATOS_[Conc.Sal.21])))))))),
0)</f>
        <v>0</v>
      </c>
      <c r="AE91" s="111">
        <f t="array" ref="AE91">IFERROR(
(MEDIAN((IF(DATOS_[[Sexo]:[Sexo]]=$B91,IF(DATOS_[[AGRUP. VALOR. PTO.]:[AGRUP. VALOR. PTO.]]=$B90,IF(DATOS_[[Check Periodo Ref.]:[Check Periodo Ref.]]="Dentro",IF(DATOS_[[Check Equiparado]:[Check Equiparado]]="Sí",IF(DATOS!AZ$5="Sí",(1/DATOS_[[% anualiz]:[% anualiz]]),1)*IF(DATOS!AZ$4="Sí",1/DATOS_[[% normaliz]:[% normaliz]],1)*(DATOS_[Conc.Sal.22])))))))),
0)</f>
        <v>0</v>
      </c>
      <c r="AF91" s="111">
        <f t="array" ref="AF91">IFERROR(
(MEDIAN((IF(DATOS_[[Sexo]:[Sexo]]=$B91,IF(DATOS_[[AGRUP. VALOR. PTO.]:[AGRUP. VALOR. PTO.]]=$B90,IF(DATOS_[[Check Periodo Ref.]:[Check Periodo Ref.]]="Dentro",IF(DATOS_[[Check Equiparado]:[Check Equiparado]]="Sí",IF(DATOS!BA$5="Sí",(1/DATOS_[[% anualiz]:[% anualiz]]),1)*IF(DATOS!BA$4="Sí",1/DATOS_[[% normaliz]:[% normaliz]],1)*(DATOS_[Conc.Sal.23])))))))),
0)</f>
        <v>0</v>
      </c>
      <c r="AG91" s="111">
        <f t="array" ref="AG91">IFERROR(
(MEDIAN((IF(DATOS_[[Sexo]:[Sexo]]=$B91,IF(DATOS_[[AGRUP. VALOR. PTO.]:[AGRUP. VALOR. PTO.]]=$B90,IF(DATOS_[[Check Periodo Ref.]:[Check Periodo Ref.]]="Dentro",IF(DATOS_[[Check Equiparado]:[Check Equiparado]]="Sí",IF(DATOS!BB$5="Sí",(1/DATOS_[[% anualiz]:[% anualiz]]),1)*IF(DATOS!BB$4="Sí",1/DATOS_[[% normaliz]:[% normaliz]],1)*(DATOS_[Conc.Sal.24])))))))),
0)</f>
        <v>0</v>
      </c>
      <c r="AH91" s="111">
        <f t="array" ref="AH91">IFERROR(
(MEDIAN((IF(DATOS_[[Sexo]:[Sexo]]=$B91,IF(DATOS_[[AGRUP. VALOR. PTO.]:[AGRUP. VALOR. PTO.]]=$B90,IF(DATOS_[[Check Periodo Ref.]:[Check Periodo Ref.]]="Dentro",IF(DATOS_[[Check Equiparado]:[Check Equiparado]]="Sí",IF(DATOS!BC$5="Sí",(1/DATOS_[[% anualiz]:[% anualiz]]),1)*IF(DATOS!BC$4="Sí",1/DATOS_[[% normaliz]:[% normaliz]],1)*(DATOS_[Conc.Sal.25])))))))),
0)</f>
        <v>0</v>
      </c>
      <c r="AI91" s="111">
        <f t="array" ref="AI91">IFERROR(
(MEDIAN((IF(DATOS_[[Sexo]:[Sexo]]=$B91,IF(DATOS_[[AGRUP. VALOR. PTO.]:[AGRUP. VALOR. PTO.]]=$B90,IF(DATOS_[[Check Periodo Ref.]:[Check Periodo Ref.]]="Dentro",IF(DATOS_[[Check Equiparado]:[Check Equiparado]]="Sí",IF(DATOS!BD$5="Sí",(1/DATOS_[[% anualiz]:[% anualiz]]),1)*IF(DATOS!BD$4="Sí",1/DATOS_[[% normaliz]:[% normaliz]],1)*(DATOS_[Conc.Sal.26])))))))),
0)</f>
        <v>0</v>
      </c>
      <c r="AJ91" s="111">
        <f t="array" ref="AJ91">IFERROR(
(MEDIAN((IF(DATOS_[[Sexo]:[Sexo]]=$B91,IF(DATOS_[[AGRUP. VALOR. PTO.]:[AGRUP. VALOR. PTO.]]=$B90,IF(DATOS_[[Check Periodo Ref.]:[Check Periodo Ref.]]="Dentro",IF(DATOS_[[Check Equiparado]:[Check Equiparado]]="Sí",IF(DATOS!BE$5="Sí",(1/DATOS_[[% anualiz]:[% anualiz]]),1)*IF(DATOS!BE$4="Sí",1/DATOS_[[% normaliz]:[% normaliz]],1)*(DATOS_[Conc.Sal.27])))))))),
0)</f>
        <v>0</v>
      </c>
      <c r="AK91" s="111">
        <f t="array" ref="AK91">IFERROR(
(MEDIAN((IF(DATOS_[[Sexo]:[Sexo]]=$B91,IF(DATOS_[[AGRUP. VALOR. PTO.]:[AGRUP. VALOR. PTO.]]=$B90,IF(DATOS_[[Check Periodo Ref.]:[Check Periodo Ref.]]="Dentro",IF(DATOS_[[Check Equiparado]:[Check Equiparado]]="Sí",IF(DATOS!BF$5="Sí",(1/DATOS_[[% anualiz]:[% anualiz]]),1)*IF(DATOS!BF$4="Sí",1/DATOS_[[% normaliz]:[% normaliz]],1)*(DATOS_[Conc.Sal.28])))))))),
0)</f>
        <v>0</v>
      </c>
      <c r="AL91" s="111">
        <f t="array" ref="AL91">IFERROR(
(MEDIAN((IF(DATOS_[[Sexo]:[Sexo]]=$B91,IF(DATOS_[[AGRUP. VALOR. PTO.]:[AGRUP. VALOR. PTO.]]=$B90,IF(DATOS_[[Check Periodo Ref.]:[Check Periodo Ref.]]="Dentro",IF(DATOS_[[Check Equiparado]:[Check Equiparado]]="Sí",IF(DATOS!BG$5="Sí",(1/DATOS_[[% anualiz]:[% anualiz]]),1)*IF(DATOS!BG$4="Sí",1/DATOS_[[% normaliz]:[% normaliz]],1)*(DATOS_[Conc.Sal.29])))))))),
0)</f>
        <v>0</v>
      </c>
      <c r="AM91" s="111">
        <f t="array" ref="AM91">IFERROR(
(MEDIAN((IF(DATOS_[[Sexo]:[Sexo]]=$B91,IF(DATOS_[[AGRUP. VALOR. PTO.]:[AGRUP. VALOR. PTO.]]=$B90,IF(DATOS_[[Check Periodo Ref.]:[Check Periodo Ref.]]="Dentro",IF(DATOS_[[Check Equiparado]:[Check Equiparado]]="Sí",IF(DATOS!BH$5="Sí",(1/DATOS_[[% anualiz]:[% anualiz]]),1)*IF(DATOS!BH$4="Sí",1/DATOS_[[% normaliz]:[% normaliz]],1)*(DATOS_[Conc.Sal.30])))))))),
0)</f>
        <v>0</v>
      </c>
      <c r="AN91" s="112">
        <f t="array" ref="AN91">IFERROR(
MEDIAN(IF(DATOS_[Sexo]=$B91,IF(DATOS_[[AGRUP. VALOR. PTO.]:[AGRUP. VALOR. PTO.]]=$B90,IF(DATOS_[Check Equiparado]="Sí",IF(DATOS_[Check Periodo Ref.]="Dentro",DATOS_[Tot COMPL.SAL Eq],FALSE))))),
0)</f>
        <v>0</v>
      </c>
      <c r="AO91" s="113">
        <f t="array" ref="AO91">IFERROR(
MEDIAN(IF(DATOS_[Sexo]=$B91,IF(DATOS_[[AGRUP. VALOR. PTO.]:[AGRUP. VALOR. PTO.]]=$B90,IF(DATOS_[Check Equiparado]="Sí",IF(DATOS_[Check Periodo Ref.]="Dentro",DATOS_[TOTAL SALARIO Eq],FALSE))))),
0)</f>
        <v>0</v>
      </c>
      <c r="AP91" s="114">
        <f t="array" ref="AP91">IFERROR(
(MEDIAN((IF(DATOS_[[Sexo]:[Sexo]]=$B91,IF(DATOS_[[AGRUP. VALOR. PTO.]:[AGRUP. VALOR. PTO.]]=$B90,IF(DATOS_[[Check Periodo Ref.]:[Check Periodo Ref.]]="Dentro",IF(DATOS_[[Check Equiparado]:[Check Equiparado]]="Sí",IF(DATOS!BI$5="Sí",(1/DATOS_[[% anualiz]:[% anualiz]]),1)*IF(DATOS!BI$4="Sí",1/DATOS_[[% normaliz]:[% normaliz]],1)*(DATOS_[C.Extra.01])))))))),
0)</f>
        <v>0</v>
      </c>
      <c r="AQ91" s="114">
        <f t="array" ref="AQ91">IFERROR(
(MEDIAN((IF(DATOS_[[Sexo]:[Sexo]]=$B91,IF(DATOS_[[AGRUP. VALOR. PTO.]:[AGRUP. VALOR. PTO.]]=$B90,IF(DATOS_[[Check Periodo Ref.]:[Check Periodo Ref.]]="Dentro",IF(DATOS_[[Check Equiparado]:[Check Equiparado]]="Sí",IF(DATOS!BJ$5="Sí",(1/DATOS_[[% anualiz]:[% anualiz]]),1)*IF(DATOS!BJ$4="Sí",1/DATOS_[[% normaliz]:[% normaliz]],1)*(DATOS_[C.Extra.02])))))))),
0)</f>
        <v>0</v>
      </c>
      <c r="AR91" s="114">
        <f t="array" ref="AR91">IFERROR(
(MEDIAN((IF(DATOS_[[Sexo]:[Sexo]]=$B91,IF(DATOS_[[AGRUP. VALOR. PTO.]:[AGRUP. VALOR. PTO.]]=$B90,IF(DATOS_[[Check Periodo Ref.]:[Check Periodo Ref.]]="Dentro",IF(DATOS_[[Check Equiparado]:[Check Equiparado]]="Sí",IF(DATOS!BK$5="Sí",(1/DATOS_[[% anualiz]:[% anualiz]]),1)*IF(DATOS!BK$4="Sí",1/DATOS_[[% normaliz]:[% normaliz]],1)*(DATOS_[C.Extra.03])))))))),
0)</f>
        <v>0</v>
      </c>
      <c r="AS91" s="114">
        <f t="array" ref="AS91">IFERROR(
(MEDIAN((IF(DATOS_[[Sexo]:[Sexo]]=$B91,IF(DATOS_[[AGRUP. VALOR. PTO.]:[AGRUP. VALOR. PTO.]]=$B90,IF(DATOS_[[Check Periodo Ref.]:[Check Periodo Ref.]]="Dentro",IF(DATOS_[[Check Equiparado]:[Check Equiparado]]="Sí",IF(DATOS!BL$5="Sí",(1/DATOS_[[% anualiz]:[% anualiz]]),1)*IF(DATOS!BL$4="Sí",1/DATOS_[[% normaliz]:[% normaliz]],1)*(DATOS_[C.Extra.04])))))))),
0)</f>
        <v>0</v>
      </c>
      <c r="AT91" s="114">
        <f t="array" ref="AT91">IFERROR(
(MEDIAN((IF(DATOS_[[Sexo]:[Sexo]]=$B91,IF(DATOS_[[AGRUP. VALOR. PTO.]:[AGRUP. VALOR. PTO.]]=$B90,IF(DATOS_[[Check Periodo Ref.]:[Check Periodo Ref.]]="Dentro",IF(DATOS_[[Check Equiparado]:[Check Equiparado]]="Sí",IF(DATOS!BM$5="Sí",(1/DATOS_[[% anualiz]:[% anualiz]]),1)*IF(DATOS!BM$4="Sí",1/DATOS_[[% normaliz]:[% normaliz]],1)*(DATOS_[C.Extra.05])))))))),
0)</f>
        <v>0</v>
      </c>
      <c r="AU91" s="115">
        <f t="array" ref="AU91">IFERROR(
MEDIAN(IF(DATOS_[Sexo]=$B91,IF(DATOS_[[AGRUP. VALOR. PTO.]:[AGRUP. VALOR. PTO.]]=$B90,IF(DATOS_[Check Equiparado]="Sí",IF(DATOS_[Check Periodo Ref.]="Dentro",DATOS_[Tot Extrasalarial Eq],FALSE))))),
0)</f>
        <v>0</v>
      </c>
      <c r="AV91" s="116">
        <f t="array" ref="AV91">IFERROR(
MEDIAN(IF(DATOS_[Sexo]=$B91,IF(DATOS_[[AGRUP. VALOR. PTO.]:[AGRUP. VALOR. PTO.]]=$B90,IF(DATOS_[Check Equiparado]="Sí",IF(DATOS_[Check Periodo Ref.]="Dentro",DATOS_[TOTAL Retrib Eq],FALSE))))),
0)</f>
        <v>0</v>
      </c>
    </row>
    <row r="92" spans="1:48" hidden="1" x14ac:dyDescent="0.3">
      <c r="A92" s="42" t="str">
        <f t="shared" ref="A92" si="106">+A91</f>
        <v>[ocultar]</v>
      </c>
      <c r="B92" s="86" t="s">
        <v>163</v>
      </c>
      <c r="C92" s="33">
        <f t="array" ref="C92">SUM(IF($B92=DATOS_[Sexo],
IF($B90=DATOS_[AGRUP. VALOR. PTO.],
IF("Dentro"=DATOS_[Check Periodo Ref.],
1/(COUNTIFS(DATOS_[Sexo],$B92,DATOS_[AGRUP. VALOR. PTO.],$B90,DATOS_[Check Periodo Ref.],"Dentro",DATOS_[id],DATOS_[id]))))))</f>
        <v>0</v>
      </c>
      <c r="D92" s="35">
        <f>COUNTIFS(DATOS_[AGRUP. VALOR. PTO.],$B90,DATOS_[Sexo],$B92,DATOS_[Check Periodo Ref.],"Dentro")</f>
        <v>0</v>
      </c>
      <c r="E92" s="35">
        <f>COUNTIFS(DATOS_[AGRUP. VALOR. PTO.],$B90,DATOS_[Sexo],$B92,DATOS_[Check Periodo Ref.],"Dentro",DATOS_[Check Nº SC Norm],"Sí")</f>
        <v>0</v>
      </c>
      <c r="F92" s="35">
        <f>COUNTIFS(DATOS_[AGRUP. VALOR. PTO.],$B90,DATOS_[Sexo],$B92,DATOS_[Check Periodo Ref.],"Dentro",DATOS_[Check Nº SC Anualiz],"Sí")</f>
        <v>0</v>
      </c>
      <c r="G92" s="35">
        <f>COUNTIFS(DATOS_[AGRUP. VALOR. PTO.],$B90,DATOS_[Sexo],$B92,DATOS_[Check Periodo Ref.],"Dentro",DATOS_[Check Nº SC Norm y Anualiz],"Sí")</f>
        <v>0</v>
      </c>
      <c r="H92" s="35">
        <f>COUNTIFS(DATOS_[AGRUP. VALOR. PTO.],$B90,DATOS_[Sexo],$B92,DATOS_[Check Periodo Ref.],"Dentro",DATOS_[Check Equiparación],"Sí")</f>
        <v>0</v>
      </c>
      <c r="I92" s="110" cm="1">
        <f t="array" ref="I92">IFERROR(
MEDIAN(IF(DATOS_[Sexo]=$B92,IF(DATOS_[[AGRUP. VALOR. PTO.]:[AGRUP. VALOR. PTO.]]=$B90,IF(DATOS_[Check Equiparado]="Sí",IF(DATOS_[Check Periodo Ref.]="Dentro",DATOS_[SALARIO BASE Eq],FALSE))))),
0)</f>
        <v>0</v>
      </c>
      <c r="J92" s="111">
        <f t="array" ref="J92">IFERROR(
(MEDIAN((IF(DATOS_[[Sexo]:[Sexo]]=$B92,IF(DATOS_[[AGRUP. VALOR. PTO.]:[AGRUP. VALOR. PTO.]]=$B90,IF(DATOS_[[Check Periodo Ref.]:[Check Periodo Ref.]]="Dentro",IF(DATOS_[[Check Equiparado]:[Check Equiparado]]="Sí",IF(DATOS!AE$5="Sí",(1/DATOS_[[% anualiz]:[% anualiz]]),1)*IF(DATOS!AE$4="Sí",1/DATOS_[[% normaliz]:[% normaliz]],1)*(DATOS_[Conc.Sal.01])))))))),
0)</f>
        <v>0</v>
      </c>
      <c r="K92" s="111">
        <f t="array" ref="K92">IFERROR(
(MEDIAN((IF(DATOS_[[Sexo]:[Sexo]]=$B92,IF(DATOS_[[AGRUP. VALOR. PTO.]:[AGRUP. VALOR. PTO.]]=$B90,IF(DATOS_[[Check Periodo Ref.]:[Check Periodo Ref.]]="Dentro",IF(DATOS_[[Check Equiparado]:[Check Equiparado]]="Sí",IF(DATOS!AF$5="Sí",(1/DATOS_[[% anualiz]:[% anualiz]]),1)*IF(DATOS!AF$4="Sí",1/DATOS_[[% normaliz]:[% normaliz]],1)*(DATOS_[Conc.Sal.02])))))))),
0)</f>
        <v>0</v>
      </c>
      <c r="L92" s="111">
        <f t="array" ref="L92">IFERROR(
(MEDIAN((IF(DATOS_[[Sexo]:[Sexo]]=$B92,IF(DATOS_[[AGRUP. VALOR. PTO.]:[AGRUP. VALOR. PTO.]]=$B90,IF(DATOS_[[Check Periodo Ref.]:[Check Periodo Ref.]]="Dentro",IF(DATOS_[[Check Equiparado]:[Check Equiparado]]="Sí",IF(DATOS!AG$5="Sí",(1/DATOS_[[% anualiz]:[% anualiz]]),1)*IF(DATOS!AG$4="Sí",1/DATOS_[[% normaliz]:[% normaliz]],1)*(DATOS_[Conc.Sal.03])))))))),
0)</f>
        <v>0</v>
      </c>
      <c r="M92" s="111">
        <f t="array" ref="M92">IFERROR(
(MEDIAN((IF(DATOS_[[Sexo]:[Sexo]]=$B92,IF(DATOS_[[AGRUP. VALOR. PTO.]:[AGRUP. VALOR. PTO.]]=$B90,IF(DATOS_[[Check Periodo Ref.]:[Check Periodo Ref.]]="Dentro",IF(DATOS_[[Check Equiparado]:[Check Equiparado]]="Sí",IF(DATOS!AH$5="Sí",(1/DATOS_[[% anualiz]:[% anualiz]]),1)*IF(DATOS!AH$4="Sí",1/DATOS_[[% normaliz]:[% normaliz]],1)*(DATOS_[Conc.Sal.04])))))))),
0)</f>
        <v>0</v>
      </c>
      <c r="N92" s="111">
        <f t="array" ref="N92">IFERROR(
(MEDIAN((IF(DATOS_[[Sexo]:[Sexo]]=$B92,IF(DATOS_[[AGRUP. VALOR. PTO.]:[AGRUP. VALOR. PTO.]]=$B90,IF(DATOS_[[Check Periodo Ref.]:[Check Periodo Ref.]]="Dentro",IF(DATOS_[[Check Equiparado]:[Check Equiparado]]="Sí",IF(DATOS!AI$5="Sí",(1/DATOS_[[% anualiz]:[% anualiz]]),1)*IF(DATOS!AI$4="Sí",1/DATOS_[[% normaliz]:[% normaliz]],1)*(DATOS_[Conc.Sal.05])))))))),
0)</f>
        <v>0</v>
      </c>
      <c r="O92" s="111">
        <f t="array" ref="O92">IFERROR(
(MEDIAN((IF(DATOS_[[Sexo]:[Sexo]]=$B92,IF(DATOS_[[AGRUP. VALOR. PTO.]:[AGRUP. VALOR. PTO.]]=$B90,IF(DATOS_[[Check Periodo Ref.]:[Check Periodo Ref.]]="Dentro",IF(DATOS_[[Check Equiparado]:[Check Equiparado]]="Sí",IF(DATOS!AJ$5="Sí",(1/DATOS_[[% anualiz]:[% anualiz]]),1)*IF(DATOS!AJ$4="Sí",1/DATOS_[[% normaliz]:[% normaliz]],1)*(DATOS_[Conc.Sal.06])))))))),
0)</f>
        <v>0</v>
      </c>
      <c r="P92" s="111">
        <f t="array" ref="P92">IFERROR(
(MEDIAN((IF(DATOS_[[Sexo]:[Sexo]]=$B92,IF(DATOS_[[AGRUP. VALOR. PTO.]:[AGRUP. VALOR. PTO.]]=$B90,IF(DATOS_[[Check Periodo Ref.]:[Check Periodo Ref.]]="Dentro",IF(DATOS_[[Check Equiparado]:[Check Equiparado]]="Sí",IF(DATOS!AK$5="Sí",(1/DATOS_[[% anualiz]:[% anualiz]]),1)*IF(DATOS!AK$4="Sí",1/DATOS_[[% normaliz]:[% normaliz]],1)*(DATOS_[Conc.Sal.07])))))))),
0)</f>
        <v>0</v>
      </c>
      <c r="Q92" s="111">
        <f t="array" ref="Q92">IFERROR(
(MEDIAN((IF(DATOS_[[Sexo]:[Sexo]]=$B92,IF(DATOS_[[AGRUP. VALOR. PTO.]:[AGRUP. VALOR. PTO.]]=$B90,IF(DATOS_[[Check Periodo Ref.]:[Check Periodo Ref.]]="Dentro",IF(DATOS_[[Check Equiparado]:[Check Equiparado]]="Sí",IF(DATOS!AL$5="Sí",(1/DATOS_[[% anualiz]:[% anualiz]]),1)*IF(DATOS!AL$4="Sí",1/DATOS_[[% normaliz]:[% normaliz]],1)*(DATOS_[Conc.Sal.08])))))))),
0)</f>
        <v>0</v>
      </c>
      <c r="R92" s="111">
        <f t="array" ref="R92">IFERROR(
(MEDIAN((IF(DATOS_[[Sexo]:[Sexo]]=$B92,IF(DATOS_[[AGRUP. VALOR. PTO.]:[AGRUP. VALOR. PTO.]]=$B90,IF(DATOS_[[Check Periodo Ref.]:[Check Periodo Ref.]]="Dentro",IF(DATOS_[[Check Equiparado]:[Check Equiparado]]="Sí",IF(DATOS!AM$5="Sí",(1/DATOS_[[% anualiz]:[% anualiz]]),1)*IF(DATOS!AM$4="Sí",1/DATOS_[[% normaliz]:[% normaliz]],1)*(DATOS_[Conc.Sal.09])))))))),
0)</f>
        <v>0</v>
      </c>
      <c r="S92" s="111">
        <f t="array" ref="S92">IFERROR(
(MEDIAN((IF(DATOS_[[Sexo]:[Sexo]]=$B92,IF(DATOS_[[AGRUP. VALOR. PTO.]:[AGRUP. VALOR. PTO.]]=$B90,IF(DATOS_[[Check Periodo Ref.]:[Check Periodo Ref.]]="Dentro",IF(DATOS_[[Check Equiparado]:[Check Equiparado]]="Sí",IF(DATOS!AN$5="Sí",(1/DATOS_[[% anualiz]:[% anualiz]]),1)*IF(DATOS!AN$4="Sí",1/DATOS_[[% normaliz]:[% normaliz]],1)*(DATOS_[Conc.Sal.10])))))))),
0)</f>
        <v>0</v>
      </c>
      <c r="T92" s="111">
        <f t="array" ref="T92">IFERROR(
(MEDIAN((IF(DATOS_[[Sexo]:[Sexo]]=$B92,IF(DATOS_[[AGRUP. VALOR. PTO.]:[AGRUP. VALOR. PTO.]]=$B90,IF(DATOS_[[Check Periodo Ref.]:[Check Periodo Ref.]]="Dentro",IF(DATOS_[[Check Equiparado]:[Check Equiparado]]="Sí",IF(DATOS!AO$5="Sí",(1/DATOS_[[% anualiz]:[% anualiz]]),1)*IF(DATOS!AO$4="Sí",1/DATOS_[[% normaliz]:[% normaliz]],1)*(DATOS_[Conc.Sal.11])))))))),
0)</f>
        <v>0</v>
      </c>
      <c r="U92" s="111">
        <f t="array" ref="U92">IFERROR(
(MEDIAN((IF(DATOS_[[Sexo]:[Sexo]]=$B92,IF(DATOS_[[AGRUP. VALOR. PTO.]:[AGRUP. VALOR. PTO.]]=$B90,IF(DATOS_[[Check Periodo Ref.]:[Check Periodo Ref.]]="Dentro",IF(DATOS_[[Check Equiparado]:[Check Equiparado]]="Sí",IF(DATOS!AP$5="Sí",(1/DATOS_[[% anualiz]:[% anualiz]]),1)*IF(DATOS!AP$4="Sí",1/DATOS_[[% normaliz]:[% normaliz]],1)*(DATOS_[Conc.Sal.12])))))))),
0)</f>
        <v>0</v>
      </c>
      <c r="V92" s="111">
        <f t="array" ref="V92">IFERROR(
(MEDIAN((IF(DATOS_[[Sexo]:[Sexo]]=$B92,IF(DATOS_[[AGRUP. VALOR. PTO.]:[AGRUP. VALOR. PTO.]]=$B90,IF(DATOS_[[Check Periodo Ref.]:[Check Periodo Ref.]]="Dentro",IF(DATOS_[[Check Equiparado]:[Check Equiparado]]="Sí",IF(DATOS!AQ$5="Sí",(1/DATOS_[[% anualiz]:[% anualiz]]),1)*IF(DATOS!AQ$4="Sí",1/DATOS_[[% normaliz]:[% normaliz]],1)*(DATOS_[Conc.Sal.13])))))))),
0)</f>
        <v>0</v>
      </c>
      <c r="W92" s="111">
        <f t="array" ref="W92">IFERROR(
(MEDIAN((IF(DATOS_[[Sexo]:[Sexo]]=$B92,IF(DATOS_[[AGRUP. VALOR. PTO.]:[AGRUP. VALOR. PTO.]]=$B90,IF(DATOS_[[Check Periodo Ref.]:[Check Periodo Ref.]]="Dentro",IF(DATOS_[[Check Equiparado]:[Check Equiparado]]="Sí",IF(DATOS!AR$5="Sí",(1/DATOS_[[% anualiz]:[% anualiz]]),1)*IF(DATOS!AR$4="Sí",1/DATOS_[[% normaliz]:[% normaliz]],1)*(DATOS_[Conc.Sal.14])))))))),
0)</f>
        <v>0</v>
      </c>
      <c r="X92" s="111">
        <f t="array" ref="X92">IFERROR(
(MEDIAN((IF(DATOS_[[Sexo]:[Sexo]]=$B92,IF(DATOS_[[AGRUP. VALOR. PTO.]:[AGRUP. VALOR. PTO.]]=$B90,IF(DATOS_[[Check Periodo Ref.]:[Check Periodo Ref.]]="Dentro",IF(DATOS_[[Check Equiparado]:[Check Equiparado]]="Sí",IF(DATOS!AS$5="Sí",(1/DATOS_[[% anualiz]:[% anualiz]]),1)*IF(DATOS!AS$4="Sí",1/DATOS_[[% normaliz]:[% normaliz]],1)*(DATOS_[Conc.Sal.15])))))))),
0)</f>
        <v>0</v>
      </c>
      <c r="Y92" s="111">
        <f t="array" ref="Y92">IFERROR(
(MEDIAN((IF(DATOS_[[Sexo]:[Sexo]]=$B92,IF(DATOS_[[AGRUP. VALOR. PTO.]:[AGRUP. VALOR. PTO.]]=$B90,IF(DATOS_[[Check Periodo Ref.]:[Check Periodo Ref.]]="Dentro",IF(DATOS_[[Check Equiparado]:[Check Equiparado]]="Sí",IF(DATOS!AT$5="Sí",(1/DATOS_[[% anualiz]:[% anualiz]]),1)*IF(DATOS!AT$4="Sí",1/DATOS_[[% normaliz]:[% normaliz]],1)*(DATOS_[Conc.Sal.16])))))))),
0)</f>
        <v>0</v>
      </c>
      <c r="Z92" s="111">
        <f t="array" ref="Z92">IFERROR(
(MEDIAN((IF(DATOS_[[Sexo]:[Sexo]]=$B92,IF(DATOS_[[AGRUP. VALOR. PTO.]:[AGRUP. VALOR. PTO.]]=$B90,IF(DATOS_[[Check Periodo Ref.]:[Check Periodo Ref.]]="Dentro",IF(DATOS_[[Check Equiparado]:[Check Equiparado]]="Sí",IF(DATOS!AU$5="Sí",(1/DATOS_[[% anualiz]:[% anualiz]]),1)*IF(DATOS!AU$4="Sí",1/DATOS_[[% normaliz]:[% normaliz]],1)*(DATOS_[Conc.Sal.17])))))))),
0)</f>
        <v>0</v>
      </c>
      <c r="AA92" s="111">
        <f t="array" ref="AA92">IFERROR(
(MEDIAN((IF(DATOS_[[Sexo]:[Sexo]]=$B92,IF(DATOS_[[AGRUP. VALOR. PTO.]:[AGRUP. VALOR. PTO.]]=$B90,IF(DATOS_[[Check Periodo Ref.]:[Check Periodo Ref.]]="Dentro",IF(DATOS_[[Check Equiparado]:[Check Equiparado]]="Sí",IF(DATOS!AV$5="Sí",(1/DATOS_[[% anualiz]:[% anualiz]]),1)*IF(DATOS!AV$4="Sí",1/DATOS_[[% normaliz]:[% normaliz]],1)*(DATOS_[Conc.Sal.18])))))))),
0)</f>
        <v>0</v>
      </c>
      <c r="AB92" s="111">
        <f t="array" ref="AB92">IFERROR(
(MEDIAN((IF(DATOS_[[Sexo]:[Sexo]]=$B92,IF(DATOS_[[AGRUP. VALOR. PTO.]:[AGRUP. VALOR. PTO.]]=$B90,IF(DATOS_[[Check Periodo Ref.]:[Check Periodo Ref.]]="Dentro",IF(DATOS_[[Check Equiparado]:[Check Equiparado]]="Sí",IF(DATOS!AW$5="Sí",(1/DATOS_[[% anualiz]:[% anualiz]]),1)*IF(DATOS!AW$4="Sí",1/DATOS_[[% normaliz]:[% normaliz]],1)*(DATOS_[Conc.Sal.19])))))))),
0)</f>
        <v>0</v>
      </c>
      <c r="AC92" s="111">
        <f t="array" ref="AC92">IFERROR(
(MEDIAN((IF(DATOS_[[Sexo]:[Sexo]]=$B92,IF(DATOS_[[AGRUP. VALOR. PTO.]:[AGRUP. VALOR. PTO.]]=$B90,IF(DATOS_[[Check Periodo Ref.]:[Check Periodo Ref.]]="Dentro",IF(DATOS_[[Check Equiparado]:[Check Equiparado]]="Sí",IF(DATOS!AX$5="Sí",(1/DATOS_[[% anualiz]:[% anualiz]]),1)*IF(DATOS!AX$4="Sí",1/DATOS_[[% normaliz]:[% normaliz]],1)*(DATOS_[Conc.Sal.20])))))))),
0)</f>
        <v>0</v>
      </c>
      <c r="AD92" s="111">
        <f t="array" ref="AD92">IFERROR(
(MEDIAN((IF(DATOS_[[Sexo]:[Sexo]]=$B92,IF(DATOS_[[AGRUP. VALOR. PTO.]:[AGRUP. VALOR. PTO.]]=$B90,IF(DATOS_[[Check Periodo Ref.]:[Check Periodo Ref.]]="Dentro",IF(DATOS_[[Check Equiparado]:[Check Equiparado]]="Sí",IF(DATOS!AY$5="Sí",(1/DATOS_[[% anualiz]:[% anualiz]]),1)*IF(DATOS!AY$4="Sí",1/DATOS_[[% normaliz]:[% normaliz]],1)*(DATOS_[Conc.Sal.21])))))))),
0)</f>
        <v>0</v>
      </c>
      <c r="AE92" s="111">
        <f t="array" ref="AE92">IFERROR(
(MEDIAN((IF(DATOS_[[Sexo]:[Sexo]]=$B92,IF(DATOS_[[AGRUP. VALOR. PTO.]:[AGRUP. VALOR. PTO.]]=$B90,IF(DATOS_[[Check Periodo Ref.]:[Check Periodo Ref.]]="Dentro",IF(DATOS_[[Check Equiparado]:[Check Equiparado]]="Sí",IF(DATOS!AZ$5="Sí",(1/DATOS_[[% anualiz]:[% anualiz]]),1)*IF(DATOS!AZ$4="Sí",1/DATOS_[[% normaliz]:[% normaliz]],1)*(DATOS_[Conc.Sal.22])))))))),
0)</f>
        <v>0</v>
      </c>
      <c r="AF92" s="111">
        <f t="array" ref="AF92">IFERROR(
(MEDIAN((IF(DATOS_[[Sexo]:[Sexo]]=$B92,IF(DATOS_[[AGRUP. VALOR. PTO.]:[AGRUP. VALOR. PTO.]]=$B90,IF(DATOS_[[Check Periodo Ref.]:[Check Periodo Ref.]]="Dentro",IF(DATOS_[[Check Equiparado]:[Check Equiparado]]="Sí",IF(DATOS!BA$5="Sí",(1/DATOS_[[% anualiz]:[% anualiz]]),1)*IF(DATOS!BA$4="Sí",1/DATOS_[[% normaliz]:[% normaliz]],1)*(DATOS_[Conc.Sal.23])))))))),
0)</f>
        <v>0</v>
      </c>
      <c r="AG92" s="111">
        <f t="array" ref="AG92">IFERROR(
(MEDIAN((IF(DATOS_[[Sexo]:[Sexo]]=$B92,IF(DATOS_[[AGRUP. VALOR. PTO.]:[AGRUP. VALOR. PTO.]]=$B90,IF(DATOS_[[Check Periodo Ref.]:[Check Periodo Ref.]]="Dentro",IF(DATOS_[[Check Equiparado]:[Check Equiparado]]="Sí",IF(DATOS!BB$5="Sí",(1/DATOS_[[% anualiz]:[% anualiz]]),1)*IF(DATOS!BB$4="Sí",1/DATOS_[[% normaliz]:[% normaliz]],1)*(DATOS_[Conc.Sal.24])))))))),
0)</f>
        <v>0</v>
      </c>
      <c r="AH92" s="111">
        <f t="array" ref="AH92">IFERROR(
(MEDIAN((IF(DATOS_[[Sexo]:[Sexo]]=$B92,IF(DATOS_[[AGRUP. VALOR. PTO.]:[AGRUP. VALOR. PTO.]]=$B90,IF(DATOS_[[Check Periodo Ref.]:[Check Periodo Ref.]]="Dentro",IF(DATOS_[[Check Equiparado]:[Check Equiparado]]="Sí",IF(DATOS!BC$5="Sí",(1/DATOS_[[% anualiz]:[% anualiz]]),1)*IF(DATOS!BC$4="Sí",1/DATOS_[[% normaliz]:[% normaliz]],1)*(DATOS_[Conc.Sal.25])))))))),
0)</f>
        <v>0</v>
      </c>
      <c r="AI92" s="111">
        <f t="array" ref="AI92">IFERROR(
(MEDIAN((IF(DATOS_[[Sexo]:[Sexo]]=$B92,IF(DATOS_[[AGRUP. VALOR. PTO.]:[AGRUP. VALOR. PTO.]]=$B90,IF(DATOS_[[Check Periodo Ref.]:[Check Periodo Ref.]]="Dentro",IF(DATOS_[[Check Equiparado]:[Check Equiparado]]="Sí",IF(DATOS!BD$5="Sí",(1/DATOS_[[% anualiz]:[% anualiz]]),1)*IF(DATOS!BD$4="Sí",1/DATOS_[[% normaliz]:[% normaliz]],1)*(DATOS_[Conc.Sal.26])))))))),
0)</f>
        <v>0</v>
      </c>
      <c r="AJ92" s="111">
        <f t="array" ref="AJ92">IFERROR(
(MEDIAN((IF(DATOS_[[Sexo]:[Sexo]]=$B92,IF(DATOS_[[AGRUP. VALOR. PTO.]:[AGRUP. VALOR. PTO.]]=$B90,IF(DATOS_[[Check Periodo Ref.]:[Check Periodo Ref.]]="Dentro",IF(DATOS_[[Check Equiparado]:[Check Equiparado]]="Sí",IF(DATOS!BE$5="Sí",(1/DATOS_[[% anualiz]:[% anualiz]]),1)*IF(DATOS!BE$4="Sí",1/DATOS_[[% normaliz]:[% normaliz]],1)*(DATOS_[Conc.Sal.27])))))))),
0)</f>
        <v>0</v>
      </c>
      <c r="AK92" s="111">
        <f t="array" ref="AK92">IFERROR(
(MEDIAN((IF(DATOS_[[Sexo]:[Sexo]]=$B92,IF(DATOS_[[AGRUP. VALOR. PTO.]:[AGRUP. VALOR. PTO.]]=$B90,IF(DATOS_[[Check Periodo Ref.]:[Check Periodo Ref.]]="Dentro",IF(DATOS_[[Check Equiparado]:[Check Equiparado]]="Sí",IF(DATOS!BF$5="Sí",(1/DATOS_[[% anualiz]:[% anualiz]]),1)*IF(DATOS!BF$4="Sí",1/DATOS_[[% normaliz]:[% normaliz]],1)*(DATOS_[Conc.Sal.28])))))))),
0)</f>
        <v>0</v>
      </c>
      <c r="AL92" s="111">
        <f t="array" ref="AL92">IFERROR(
(MEDIAN((IF(DATOS_[[Sexo]:[Sexo]]=$B92,IF(DATOS_[[AGRUP. VALOR. PTO.]:[AGRUP. VALOR. PTO.]]=$B90,IF(DATOS_[[Check Periodo Ref.]:[Check Periodo Ref.]]="Dentro",IF(DATOS_[[Check Equiparado]:[Check Equiparado]]="Sí",IF(DATOS!BG$5="Sí",(1/DATOS_[[% anualiz]:[% anualiz]]),1)*IF(DATOS!BG$4="Sí",1/DATOS_[[% normaliz]:[% normaliz]],1)*(DATOS_[Conc.Sal.29])))))))),
0)</f>
        <v>0</v>
      </c>
      <c r="AM92" s="111">
        <f t="array" ref="AM92">IFERROR(
(MEDIAN((IF(DATOS_[[Sexo]:[Sexo]]=$B92,IF(DATOS_[[AGRUP. VALOR. PTO.]:[AGRUP. VALOR. PTO.]]=$B90,IF(DATOS_[[Check Periodo Ref.]:[Check Periodo Ref.]]="Dentro",IF(DATOS_[[Check Equiparado]:[Check Equiparado]]="Sí",IF(DATOS!BH$5="Sí",(1/DATOS_[[% anualiz]:[% anualiz]]),1)*IF(DATOS!BH$4="Sí",1/DATOS_[[% normaliz]:[% normaliz]],1)*(DATOS_[Conc.Sal.30])))))))),
0)</f>
        <v>0</v>
      </c>
      <c r="AN92" s="112">
        <f t="array" ref="AN92">IFERROR(
MEDIAN(IF(DATOS_[Sexo]=$B92,IF(DATOS_[[AGRUP. VALOR. PTO.]:[AGRUP. VALOR. PTO.]]=$B90,IF(DATOS_[Check Equiparado]="Sí",IF(DATOS_[Check Periodo Ref.]="Dentro",DATOS_[Tot COMPL.SAL Eq],FALSE))))),
0)</f>
        <v>0</v>
      </c>
      <c r="AO92" s="113">
        <f t="array" ref="AO92">IFERROR(
MEDIAN(IF(DATOS_[Sexo]=$B92,IF(DATOS_[[AGRUP. VALOR. PTO.]:[AGRUP. VALOR. PTO.]]=$B90,IF(DATOS_[Check Equiparado]="Sí",IF(DATOS_[Check Periodo Ref.]="Dentro",DATOS_[TOTAL SALARIO Eq],FALSE))))),
0)</f>
        <v>0</v>
      </c>
      <c r="AP92" s="114">
        <f t="array" ref="AP92">IFERROR(
(MEDIAN((IF(DATOS_[[Sexo]:[Sexo]]=$B92,IF(DATOS_[[AGRUP. VALOR. PTO.]:[AGRUP. VALOR. PTO.]]=$B91,IF(DATOS_[[Check Periodo Ref.]:[Check Periodo Ref.]]="Dentro",IF(DATOS_[[Check Equiparado]:[Check Equiparado]]="Sí",IF(DATOS!BI$5="Sí",(1/DATOS_[[% anualiz]:[% anualiz]]),1)*IF(DATOS!BI$4="Sí",1/DATOS_[[% normaliz]:[% normaliz]],1)*(DATOS_[C.Extra.01])))))))),
0)</f>
        <v>0</v>
      </c>
      <c r="AQ92" s="114">
        <f t="array" ref="AQ92">IFERROR(
(MEDIAN((IF(DATOS_[[Sexo]:[Sexo]]=$B92,IF(DATOS_[[AGRUP. VALOR. PTO.]:[AGRUP. VALOR. PTO.]]=$B91,IF(DATOS_[[Check Periodo Ref.]:[Check Periodo Ref.]]="Dentro",IF(DATOS_[[Check Equiparado]:[Check Equiparado]]="Sí",IF(DATOS!BJ$5="Sí",(1/DATOS_[[% anualiz]:[% anualiz]]),1)*IF(DATOS!BJ$4="Sí",1/DATOS_[[% normaliz]:[% normaliz]],1)*(DATOS_[C.Extra.02])))))))),
0)</f>
        <v>0</v>
      </c>
      <c r="AR92" s="114">
        <f t="array" ref="AR92">IFERROR(
(MEDIAN((IF(DATOS_[[Sexo]:[Sexo]]=$B92,IF(DATOS_[[AGRUP. VALOR. PTO.]:[AGRUP. VALOR. PTO.]]=$B91,IF(DATOS_[[Check Periodo Ref.]:[Check Periodo Ref.]]="Dentro",IF(DATOS_[[Check Equiparado]:[Check Equiparado]]="Sí",IF(DATOS!BK$5="Sí",(1/DATOS_[[% anualiz]:[% anualiz]]),1)*IF(DATOS!BK$4="Sí",1/DATOS_[[% normaliz]:[% normaliz]],1)*(DATOS_[C.Extra.03])))))))),
0)</f>
        <v>0</v>
      </c>
      <c r="AS92" s="114">
        <f t="array" ref="AS92">IFERROR(
(MEDIAN((IF(DATOS_[[Sexo]:[Sexo]]=$B92,IF(DATOS_[[AGRUP. VALOR. PTO.]:[AGRUP. VALOR. PTO.]]=$B91,IF(DATOS_[[Check Periodo Ref.]:[Check Periodo Ref.]]="Dentro",IF(DATOS_[[Check Equiparado]:[Check Equiparado]]="Sí",IF(DATOS!BL$5="Sí",(1/DATOS_[[% anualiz]:[% anualiz]]),1)*IF(DATOS!BL$4="Sí",1/DATOS_[[% normaliz]:[% normaliz]],1)*(DATOS_[C.Extra.04])))))))),
0)</f>
        <v>0</v>
      </c>
      <c r="AT92" s="114">
        <f t="array" ref="AT92">IFERROR(
(MEDIAN((IF(DATOS_[[Sexo]:[Sexo]]=$B92,IF(DATOS_[[AGRUP. VALOR. PTO.]:[AGRUP. VALOR. PTO.]]=$B91,IF(DATOS_[[Check Periodo Ref.]:[Check Periodo Ref.]]="Dentro",IF(DATOS_[[Check Equiparado]:[Check Equiparado]]="Sí",IF(DATOS!BM$5="Sí",(1/DATOS_[[% anualiz]:[% anualiz]]),1)*IF(DATOS!BM$4="Sí",1/DATOS_[[% normaliz]:[% normaliz]],1)*(DATOS_[C.Extra.05])))))))),
0)</f>
        <v>0</v>
      </c>
      <c r="AU92" s="115">
        <f t="array" ref="AU92">IFERROR(
MEDIAN(IF(DATOS_[Sexo]=$B92,IF(DATOS_[[AGRUP. VALOR. PTO.]:[AGRUP. VALOR. PTO.]]=$B90,IF(DATOS_[Check Equiparado]="Sí",IF(DATOS_[Check Periodo Ref.]="Dentro",DATOS_[Tot Extrasalarial Eq],FALSE))))),
0)</f>
        <v>0</v>
      </c>
      <c r="AV92" s="116">
        <f t="array" ref="AV92">IFERROR(
MEDIAN(IF(DATOS_[Sexo]=$B92,IF(DATOS_[[AGRUP. VALOR. PTO.]:[AGRUP. VALOR. PTO.]]=$B90,IF(DATOS_[Check Equiparado]="Sí",IF(DATOS_[Check Periodo Ref.]="Dentro",DATOS_[TOTAL Retrib Eq],FALSE))))),
0)</f>
        <v>0</v>
      </c>
    </row>
    <row r="93" spans="1:48" ht="17.25" hidden="1" thickBot="1" x14ac:dyDescent="0.35">
      <c r="A93" s="42" t="str">
        <f t="shared" ref="A93" si="107">+A94</f>
        <v>[ocultar]</v>
      </c>
      <c r="B93" s="90" t="s">
        <v>286</v>
      </c>
      <c r="C93" s="109"/>
      <c r="D93" s="41"/>
      <c r="E93" s="41"/>
      <c r="F93" s="41"/>
      <c r="G93" s="41"/>
      <c r="H93" s="41"/>
      <c r="I93" s="119" t="str">
        <f t="shared" ref="I93:AV93" si="108">IFERROR((I94-I95)/I94,"")</f>
        <v/>
      </c>
      <c r="J93" s="123" t="str">
        <f t="shared" si="108"/>
        <v/>
      </c>
      <c r="K93" s="123" t="str">
        <f t="shared" si="108"/>
        <v/>
      </c>
      <c r="L93" s="123" t="str">
        <f t="shared" si="108"/>
        <v/>
      </c>
      <c r="M93" s="123" t="str">
        <f t="shared" si="108"/>
        <v/>
      </c>
      <c r="N93" s="123" t="str">
        <f t="shared" si="108"/>
        <v/>
      </c>
      <c r="O93" s="123" t="str">
        <f t="shared" si="108"/>
        <v/>
      </c>
      <c r="P93" s="123" t="str">
        <f t="shared" si="108"/>
        <v/>
      </c>
      <c r="Q93" s="123" t="str">
        <f t="shared" si="108"/>
        <v/>
      </c>
      <c r="R93" s="123" t="str">
        <f t="shared" si="108"/>
        <v/>
      </c>
      <c r="S93" s="123" t="str">
        <f t="shared" si="108"/>
        <v/>
      </c>
      <c r="T93" s="123" t="str">
        <f t="shared" si="108"/>
        <v/>
      </c>
      <c r="U93" s="123" t="str">
        <f t="shared" si="108"/>
        <v/>
      </c>
      <c r="V93" s="123" t="str">
        <f t="shared" si="108"/>
        <v/>
      </c>
      <c r="W93" s="123" t="str">
        <f t="shared" si="108"/>
        <v/>
      </c>
      <c r="X93" s="123" t="str">
        <f t="shared" si="108"/>
        <v/>
      </c>
      <c r="Y93" s="123" t="str">
        <f t="shared" si="108"/>
        <v/>
      </c>
      <c r="Z93" s="122" t="str">
        <f t="shared" si="108"/>
        <v/>
      </c>
      <c r="AA93" s="122" t="str">
        <f t="shared" si="108"/>
        <v/>
      </c>
      <c r="AB93" s="122" t="str">
        <f t="shared" si="108"/>
        <v/>
      </c>
      <c r="AC93" s="122" t="str">
        <f t="shared" si="108"/>
        <v/>
      </c>
      <c r="AD93" s="122" t="str">
        <f t="shared" si="108"/>
        <v/>
      </c>
      <c r="AE93" s="122" t="str">
        <f t="shared" si="108"/>
        <v/>
      </c>
      <c r="AF93" s="122" t="str">
        <f t="shared" si="108"/>
        <v/>
      </c>
      <c r="AG93" s="122" t="str">
        <f t="shared" si="108"/>
        <v/>
      </c>
      <c r="AH93" s="122" t="str">
        <f t="shared" si="108"/>
        <v/>
      </c>
      <c r="AI93" s="122" t="str">
        <f t="shared" si="108"/>
        <v/>
      </c>
      <c r="AJ93" s="122" t="str">
        <f t="shared" si="108"/>
        <v/>
      </c>
      <c r="AK93" s="122" t="str">
        <f t="shared" si="108"/>
        <v/>
      </c>
      <c r="AL93" s="122" t="str">
        <f t="shared" si="108"/>
        <v/>
      </c>
      <c r="AM93" s="122" t="str">
        <f t="shared" si="108"/>
        <v/>
      </c>
      <c r="AN93" s="124" t="str">
        <f t="shared" si="108"/>
        <v/>
      </c>
      <c r="AO93" s="128" t="str">
        <f t="shared" si="108"/>
        <v/>
      </c>
      <c r="AP93" s="125" t="str">
        <f t="shared" si="108"/>
        <v/>
      </c>
      <c r="AQ93" s="125" t="str">
        <f t="shared" si="108"/>
        <v/>
      </c>
      <c r="AR93" s="125" t="str">
        <f t="shared" si="108"/>
        <v/>
      </c>
      <c r="AS93" s="125" t="str">
        <f t="shared" si="108"/>
        <v/>
      </c>
      <c r="AT93" s="125" t="str">
        <f t="shared" si="108"/>
        <v/>
      </c>
      <c r="AU93" s="126" t="str">
        <f t="shared" si="108"/>
        <v/>
      </c>
      <c r="AV93" s="127" t="str">
        <f t="shared" si="108"/>
        <v/>
      </c>
    </row>
    <row r="94" spans="1:48" hidden="1" x14ac:dyDescent="0.3">
      <c r="A94" s="42" t="str">
        <f t="shared" ref="A94" si="109">+IF(C94+C95=0,"[ocultar]","")</f>
        <v>[ocultar]</v>
      </c>
      <c r="B94" s="86" t="s">
        <v>162</v>
      </c>
      <c r="C94" s="33">
        <f t="array" ref="C94">SUM(IF($B94=DATOS_[Sexo],
IF($B93=DATOS_[AGRUP. VALOR. PTO.],
IF("Dentro"=DATOS_[Check Periodo Ref.],
1/(COUNTIFS(DATOS_[Sexo],$B94,DATOS_[AGRUP. VALOR. PTO.],$B93,DATOS_[Check Periodo Ref.],"Dentro",DATOS_[id],DATOS_[id]))))))</f>
        <v>0</v>
      </c>
      <c r="D94" s="35">
        <f>COUNTIFS(DATOS_[AGRUP. VALOR. PTO.],$B93,DATOS_[Sexo],$B94,DATOS_[Check Periodo Ref.],"Dentro")</f>
        <v>0</v>
      </c>
      <c r="E94" s="35">
        <f>COUNTIFS(DATOS_[AGRUP. VALOR. PTO.],$B93,DATOS_[Sexo],$B94,DATOS_[Check Periodo Ref.],"Dentro",DATOS_[Check Nº SC Norm],"Sí")</f>
        <v>0</v>
      </c>
      <c r="F94" s="35">
        <f>COUNTIFS(DATOS_[AGRUP. VALOR. PTO.],$B93,DATOS_[Sexo],$B94,DATOS_[Check Periodo Ref.],"Dentro",DATOS_[Check Nº SC Anualiz],"Sí")</f>
        <v>0</v>
      </c>
      <c r="G94" s="35">
        <f>COUNTIFS(DATOS_[AGRUP. VALOR. PTO.],$B93,DATOS_[Sexo],$B94,DATOS_[Check Periodo Ref.],"Dentro",DATOS_[Check Nº SC Norm y Anualiz],"Sí")</f>
        <v>0</v>
      </c>
      <c r="H94" s="35">
        <f>COUNTIFS(DATOS_[AGRUP. VALOR. PTO.],$B93,DATOS_[Sexo],$B94,DATOS_[Check Periodo Ref.],"Dentro",DATOS_[Check Equiparación],"Sí")</f>
        <v>0</v>
      </c>
      <c r="I94" s="110">
        <f t="array" ref="I94">IFERROR(
MEDIAN(IF(DATOS_[Sexo]=$B94,IF(DATOS_[[AGRUP. VALOR. PTO.]:[AGRUP. VALOR. PTO.]]=$B93,IF(DATOS_[Check Equiparado]="Sí",IF(DATOS_[Check Periodo Ref.]="Dentro",DATOS_[SALARIO BASE Eq],FALSE))))),
0)</f>
        <v>0</v>
      </c>
      <c r="J94" s="111">
        <f t="array" ref="J94">IFERROR(
(MEDIAN((IF(DATOS_[[Sexo]:[Sexo]]=$B94,IF(DATOS_[[AGRUP. VALOR. PTO.]:[AGRUP. VALOR. PTO.]]=$B93,IF(DATOS_[[Check Periodo Ref.]:[Check Periodo Ref.]]="Dentro",IF(DATOS_[[Check Equiparado]:[Check Equiparado]]="Sí",IF(DATOS!AE$5="Sí",(1/DATOS_[[% anualiz]:[% anualiz]]),1)*IF(DATOS!AE$4="Sí",1/DATOS_[[% normaliz]:[% normaliz]],1)*(DATOS_[Conc.Sal.01])))))))),
0)</f>
        <v>0</v>
      </c>
      <c r="K94" s="111">
        <f t="array" ref="K94">IFERROR(
(MEDIAN((IF(DATOS_[[Sexo]:[Sexo]]=$B94,IF(DATOS_[[AGRUP. VALOR. PTO.]:[AGRUP. VALOR. PTO.]]=$B93,IF(DATOS_[[Check Periodo Ref.]:[Check Periodo Ref.]]="Dentro",IF(DATOS_[[Check Equiparado]:[Check Equiparado]]="Sí",IF(DATOS!AF$5="Sí",(1/DATOS_[[% anualiz]:[% anualiz]]),1)*IF(DATOS!AF$4="Sí",1/DATOS_[[% normaliz]:[% normaliz]],1)*(DATOS_[Conc.Sal.02])))))))),
0)</f>
        <v>0</v>
      </c>
      <c r="L94" s="111">
        <f t="array" ref="L94">IFERROR(
(MEDIAN((IF(DATOS_[[Sexo]:[Sexo]]=$B94,IF(DATOS_[[AGRUP. VALOR. PTO.]:[AGRUP. VALOR. PTO.]]=$B93,IF(DATOS_[[Check Periodo Ref.]:[Check Periodo Ref.]]="Dentro",IF(DATOS_[[Check Equiparado]:[Check Equiparado]]="Sí",IF(DATOS!AG$5="Sí",(1/DATOS_[[% anualiz]:[% anualiz]]),1)*IF(DATOS!AG$4="Sí",1/DATOS_[[% normaliz]:[% normaliz]],1)*(DATOS_[Conc.Sal.03])))))))),
0)</f>
        <v>0</v>
      </c>
      <c r="M94" s="111">
        <f t="array" ref="M94">IFERROR(
(MEDIAN((IF(DATOS_[[Sexo]:[Sexo]]=$B94,IF(DATOS_[[AGRUP. VALOR. PTO.]:[AGRUP. VALOR. PTO.]]=$B93,IF(DATOS_[[Check Periodo Ref.]:[Check Periodo Ref.]]="Dentro",IF(DATOS_[[Check Equiparado]:[Check Equiparado]]="Sí",IF(DATOS!AH$5="Sí",(1/DATOS_[[% anualiz]:[% anualiz]]),1)*IF(DATOS!AH$4="Sí",1/DATOS_[[% normaliz]:[% normaliz]],1)*(DATOS_[Conc.Sal.04])))))))),
0)</f>
        <v>0</v>
      </c>
      <c r="N94" s="111">
        <f t="array" ref="N94">IFERROR(
(MEDIAN((IF(DATOS_[[Sexo]:[Sexo]]=$B94,IF(DATOS_[[AGRUP. VALOR. PTO.]:[AGRUP. VALOR. PTO.]]=$B93,IF(DATOS_[[Check Periodo Ref.]:[Check Periodo Ref.]]="Dentro",IF(DATOS_[[Check Equiparado]:[Check Equiparado]]="Sí",IF(DATOS!AI$5="Sí",(1/DATOS_[[% anualiz]:[% anualiz]]),1)*IF(DATOS!AI$4="Sí",1/DATOS_[[% normaliz]:[% normaliz]],1)*(DATOS_[Conc.Sal.05])))))))),
0)</f>
        <v>0</v>
      </c>
      <c r="O94" s="111">
        <f t="array" ref="O94">IFERROR(
(MEDIAN((IF(DATOS_[[Sexo]:[Sexo]]=$B94,IF(DATOS_[[AGRUP. VALOR. PTO.]:[AGRUP. VALOR. PTO.]]=$B93,IF(DATOS_[[Check Periodo Ref.]:[Check Periodo Ref.]]="Dentro",IF(DATOS_[[Check Equiparado]:[Check Equiparado]]="Sí",IF(DATOS!AJ$5="Sí",(1/DATOS_[[% anualiz]:[% anualiz]]),1)*IF(DATOS!AJ$4="Sí",1/DATOS_[[% normaliz]:[% normaliz]],1)*(DATOS_[Conc.Sal.06])))))))),
0)</f>
        <v>0</v>
      </c>
      <c r="P94" s="111">
        <f t="array" ref="P94">IFERROR(
(MEDIAN((IF(DATOS_[[Sexo]:[Sexo]]=$B94,IF(DATOS_[[AGRUP. VALOR. PTO.]:[AGRUP. VALOR. PTO.]]=$B93,IF(DATOS_[[Check Periodo Ref.]:[Check Periodo Ref.]]="Dentro",IF(DATOS_[[Check Equiparado]:[Check Equiparado]]="Sí",IF(DATOS!AK$5="Sí",(1/DATOS_[[% anualiz]:[% anualiz]]),1)*IF(DATOS!AK$4="Sí",1/DATOS_[[% normaliz]:[% normaliz]],1)*(DATOS_[Conc.Sal.07])))))))),
0)</f>
        <v>0</v>
      </c>
      <c r="Q94" s="111">
        <f t="array" ref="Q94">IFERROR(
(MEDIAN((IF(DATOS_[[Sexo]:[Sexo]]=$B94,IF(DATOS_[[AGRUP. VALOR. PTO.]:[AGRUP. VALOR. PTO.]]=$B93,IF(DATOS_[[Check Periodo Ref.]:[Check Periodo Ref.]]="Dentro",IF(DATOS_[[Check Equiparado]:[Check Equiparado]]="Sí",IF(DATOS!AL$5="Sí",(1/DATOS_[[% anualiz]:[% anualiz]]),1)*IF(DATOS!AL$4="Sí",1/DATOS_[[% normaliz]:[% normaliz]],1)*(DATOS_[Conc.Sal.08])))))))),
0)</f>
        <v>0</v>
      </c>
      <c r="R94" s="111">
        <f t="array" ref="R94">IFERROR(
(MEDIAN((IF(DATOS_[[Sexo]:[Sexo]]=$B94,IF(DATOS_[[AGRUP. VALOR. PTO.]:[AGRUP. VALOR. PTO.]]=$B93,IF(DATOS_[[Check Periodo Ref.]:[Check Periodo Ref.]]="Dentro",IF(DATOS_[[Check Equiparado]:[Check Equiparado]]="Sí",IF(DATOS!AM$5="Sí",(1/DATOS_[[% anualiz]:[% anualiz]]),1)*IF(DATOS!AM$4="Sí",1/DATOS_[[% normaliz]:[% normaliz]],1)*(DATOS_[Conc.Sal.09])))))))),
0)</f>
        <v>0</v>
      </c>
      <c r="S94" s="111">
        <f t="array" ref="S94">IFERROR(
(MEDIAN((IF(DATOS_[[Sexo]:[Sexo]]=$B94,IF(DATOS_[[AGRUP. VALOR. PTO.]:[AGRUP. VALOR. PTO.]]=$B93,IF(DATOS_[[Check Periodo Ref.]:[Check Periodo Ref.]]="Dentro",IF(DATOS_[[Check Equiparado]:[Check Equiparado]]="Sí",IF(DATOS!AN$5="Sí",(1/DATOS_[[% anualiz]:[% anualiz]]),1)*IF(DATOS!AN$4="Sí",1/DATOS_[[% normaliz]:[% normaliz]],1)*(DATOS_[Conc.Sal.10])))))))),
0)</f>
        <v>0</v>
      </c>
      <c r="T94" s="111">
        <f t="array" ref="T94">IFERROR(
(MEDIAN((IF(DATOS_[[Sexo]:[Sexo]]=$B94,IF(DATOS_[[AGRUP. VALOR. PTO.]:[AGRUP. VALOR. PTO.]]=$B93,IF(DATOS_[[Check Periodo Ref.]:[Check Periodo Ref.]]="Dentro",IF(DATOS_[[Check Equiparado]:[Check Equiparado]]="Sí",IF(DATOS!AO$5="Sí",(1/DATOS_[[% anualiz]:[% anualiz]]),1)*IF(DATOS!AO$4="Sí",1/DATOS_[[% normaliz]:[% normaliz]],1)*(DATOS_[Conc.Sal.11])))))))),
0)</f>
        <v>0</v>
      </c>
      <c r="U94" s="111">
        <f t="array" ref="U94">IFERROR(
(MEDIAN((IF(DATOS_[[Sexo]:[Sexo]]=$B94,IF(DATOS_[[AGRUP. VALOR. PTO.]:[AGRUP. VALOR. PTO.]]=$B93,IF(DATOS_[[Check Periodo Ref.]:[Check Periodo Ref.]]="Dentro",IF(DATOS_[[Check Equiparado]:[Check Equiparado]]="Sí",IF(DATOS!AP$5="Sí",(1/DATOS_[[% anualiz]:[% anualiz]]),1)*IF(DATOS!AP$4="Sí",1/DATOS_[[% normaliz]:[% normaliz]],1)*(DATOS_[Conc.Sal.12])))))))),
0)</f>
        <v>0</v>
      </c>
      <c r="V94" s="111">
        <f t="array" ref="V94">IFERROR(
(MEDIAN((IF(DATOS_[[Sexo]:[Sexo]]=$B94,IF(DATOS_[[AGRUP. VALOR. PTO.]:[AGRUP. VALOR. PTO.]]=$B93,IF(DATOS_[[Check Periodo Ref.]:[Check Periodo Ref.]]="Dentro",IF(DATOS_[[Check Equiparado]:[Check Equiparado]]="Sí",IF(DATOS!AQ$5="Sí",(1/DATOS_[[% anualiz]:[% anualiz]]),1)*IF(DATOS!AQ$4="Sí",1/DATOS_[[% normaliz]:[% normaliz]],1)*(DATOS_[Conc.Sal.13])))))))),
0)</f>
        <v>0</v>
      </c>
      <c r="W94" s="111">
        <f t="array" ref="W94">IFERROR(
(MEDIAN((IF(DATOS_[[Sexo]:[Sexo]]=$B94,IF(DATOS_[[AGRUP. VALOR. PTO.]:[AGRUP. VALOR. PTO.]]=$B93,IF(DATOS_[[Check Periodo Ref.]:[Check Periodo Ref.]]="Dentro",IF(DATOS_[[Check Equiparado]:[Check Equiparado]]="Sí",IF(DATOS!AR$5="Sí",(1/DATOS_[[% anualiz]:[% anualiz]]),1)*IF(DATOS!AR$4="Sí",1/DATOS_[[% normaliz]:[% normaliz]],1)*(DATOS_[Conc.Sal.14])))))))),
0)</f>
        <v>0</v>
      </c>
      <c r="X94" s="111">
        <f t="array" ref="X94">IFERROR(
(MEDIAN((IF(DATOS_[[Sexo]:[Sexo]]=$B94,IF(DATOS_[[AGRUP. VALOR. PTO.]:[AGRUP. VALOR. PTO.]]=$B93,IF(DATOS_[[Check Periodo Ref.]:[Check Periodo Ref.]]="Dentro",IF(DATOS_[[Check Equiparado]:[Check Equiparado]]="Sí",IF(DATOS!AS$5="Sí",(1/DATOS_[[% anualiz]:[% anualiz]]),1)*IF(DATOS!AS$4="Sí",1/DATOS_[[% normaliz]:[% normaliz]],1)*(DATOS_[Conc.Sal.15])))))))),
0)</f>
        <v>0</v>
      </c>
      <c r="Y94" s="111">
        <f t="array" ref="Y94">IFERROR(
(MEDIAN((IF(DATOS_[[Sexo]:[Sexo]]=$B94,IF(DATOS_[[AGRUP. VALOR. PTO.]:[AGRUP. VALOR. PTO.]]=$B93,IF(DATOS_[[Check Periodo Ref.]:[Check Periodo Ref.]]="Dentro",IF(DATOS_[[Check Equiparado]:[Check Equiparado]]="Sí",IF(DATOS!AT$5="Sí",(1/DATOS_[[% anualiz]:[% anualiz]]),1)*IF(DATOS!AT$4="Sí",1/DATOS_[[% normaliz]:[% normaliz]],1)*(DATOS_[Conc.Sal.16])))))))),
0)</f>
        <v>0</v>
      </c>
      <c r="Z94" s="111">
        <f t="array" ref="Z94">IFERROR(
(MEDIAN((IF(DATOS_[[Sexo]:[Sexo]]=$B94,IF(DATOS_[[AGRUP. VALOR. PTO.]:[AGRUP. VALOR. PTO.]]=$B93,IF(DATOS_[[Check Periodo Ref.]:[Check Periodo Ref.]]="Dentro",IF(DATOS_[[Check Equiparado]:[Check Equiparado]]="Sí",IF(DATOS!AU$5="Sí",(1/DATOS_[[% anualiz]:[% anualiz]]),1)*IF(DATOS!AU$4="Sí",1/DATOS_[[% normaliz]:[% normaliz]],1)*(DATOS_[Conc.Sal.17])))))))),
0)</f>
        <v>0</v>
      </c>
      <c r="AA94" s="111">
        <f t="array" ref="AA94">IFERROR(
(MEDIAN((IF(DATOS_[[Sexo]:[Sexo]]=$B94,IF(DATOS_[[AGRUP. VALOR. PTO.]:[AGRUP. VALOR. PTO.]]=$B93,IF(DATOS_[[Check Periodo Ref.]:[Check Periodo Ref.]]="Dentro",IF(DATOS_[[Check Equiparado]:[Check Equiparado]]="Sí",IF(DATOS!AV$5="Sí",(1/DATOS_[[% anualiz]:[% anualiz]]),1)*IF(DATOS!AV$4="Sí",1/DATOS_[[% normaliz]:[% normaliz]],1)*(DATOS_[Conc.Sal.18])))))))),
0)</f>
        <v>0</v>
      </c>
      <c r="AB94" s="111">
        <f t="array" ref="AB94">IFERROR(
(MEDIAN((IF(DATOS_[[Sexo]:[Sexo]]=$B94,IF(DATOS_[[AGRUP. VALOR. PTO.]:[AGRUP. VALOR. PTO.]]=$B93,IF(DATOS_[[Check Periodo Ref.]:[Check Periodo Ref.]]="Dentro",IF(DATOS_[[Check Equiparado]:[Check Equiparado]]="Sí",IF(DATOS!AW$5="Sí",(1/DATOS_[[% anualiz]:[% anualiz]]),1)*IF(DATOS!AW$4="Sí",1/DATOS_[[% normaliz]:[% normaliz]],1)*(DATOS_[Conc.Sal.19])))))))),
0)</f>
        <v>0</v>
      </c>
      <c r="AC94" s="111">
        <f t="array" ref="AC94">IFERROR(
(MEDIAN((IF(DATOS_[[Sexo]:[Sexo]]=$B94,IF(DATOS_[[AGRUP. VALOR. PTO.]:[AGRUP. VALOR. PTO.]]=$B93,IF(DATOS_[[Check Periodo Ref.]:[Check Periodo Ref.]]="Dentro",IF(DATOS_[[Check Equiparado]:[Check Equiparado]]="Sí",IF(DATOS!AX$5="Sí",(1/DATOS_[[% anualiz]:[% anualiz]]),1)*IF(DATOS!AX$4="Sí",1/DATOS_[[% normaliz]:[% normaliz]],1)*(DATOS_[Conc.Sal.20])))))))),
0)</f>
        <v>0</v>
      </c>
      <c r="AD94" s="111">
        <f t="array" ref="AD94">IFERROR(
(MEDIAN((IF(DATOS_[[Sexo]:[Sexo]]=$B94,IF(DATOS_[[AGRUP. VALOR. PTO.]:[AGRUP. VALOR. PTO.]]=$B93,IF(DATOS_[[Check Periodo Ref.]:[Check Periodo Ref.]]="Dentro",IF(DATOS_[[Check Equiparado]:[Check Equiparado]]="Sí",IF(DATOS!AY$5="Sí",(1/DATOS_[[% anualiz]:[% anualiz]]),1)*IF(DATOS!AY$4="Sí",1/DATOS_[[% normaliz]:[% normaliz]],1)*(DATOS_[Conc.Sal.21])))))))),
0)</f>
        <v>0</v>
      </c>
      <c r="AE94" s="111">
        <f t="array" ref="AE94">IFERROR(
(MEDIAN((IF(DATOS_[[Sexo]:[Sexo]]=$B94,IF(DATOS_[[AGRUP. VALOR. PTO.]:[AGRUP. VALOR. PTO.]]=$B93,IF(DATOS_[[Check Periodo Ref.]:[Check Periodo Ref.]]="Dentro",IF(DATOS_[[Check Equiparado]:[Check Equiparado]]="Sí",IF(DATOS!AZ$5="Sí",(1/DATOS_[[% anualiz]:[% anualiz]]),1)*IF(DATOS!AZ$4="Sí",1/DATOS_[[% normaliz]:[% normaliz]],1)*(DATOS_[Conc.Sal.22])))))))),
0)</f>
        <v>0</v>
      </c>
      <c r="AF94" s="111">
        <f t="array" ref="AF94">IFERROR(
(MEDIAN((IF(DATOS_[[Sexo]:[Sexo]]=$B94,IF(DATOS_[[AGRUP. VALOR. PTO.]:[AGRUP. VALOR. PTO.]]=$B93,IF(DATOS_[[Check Periodo Ref.]:[Check Periodo Ref.]]="Dentro",IF(DATOS_[[Check Equiparado]:[Check Equiparado]]="Sí",IF(DATOS!BA$5="Sí",(1/DATOS_[[% anualiz]:[% anualiz]]),1)*IF(DATOS!BA$4="Sí",1/DATOS_[[% normaliz]:[% normaliz]],1)*(DATOS_[Conc.Sal.23])))))))),
0)</f>
        <v>0</v>
      </c>
      <c r="AG94" s="111">
        <f t="array" ref="AG94">IFERROR(
(MEDIAN((IF(DATOS_[[Sexo]:[Sexo]]=$B94,IF(DATOS_[[AGRUP. VALOR. PTO.]:[AGRUP. VALOR. PTO.]]=$B93,IF(DATOS_[[Check Periodo Ref.]:[Check Periodo Ref.]]="Dentro",IF(DATOS_[[Check Equiparado]:[Check Equiparado]]="Sí",IF(DATOS!BB$5="Sí",(1/DATOS_[[% anualiz]:[% anualiz]]),1)*IF(DATOS!BB$4="Sí",1/DATOS_[[% normaliz]:[% normaliz]],1)*(DATOS_[Conc.Sal.24])))))))),
0)</f>
        <v>0</v>
      </c>
      <c r="AH94" s="111">
        <f t="array" ref="AH94">IFERROR(
(MEDIAN((IF(DATOS_[[Sexo]:[Sexo]]=$B94,IF(DATOS_[[AGRUP. VALOR. PTO.]:[AGRUP. VALOR. PTO.]]=$B93,IF(DATOS_[[Check Periodo Ref.]:[Check Periodo Ref.]]="Dentro",IF(DATOS_[[Check Equiparado]:[Check Equiparado]]="Sí",IF(DATOS!BC$5="Sí",(1/DATOS_[[% anualiz]:[% anualiz]]),1)*IF(DATOS!BC$4="Sí",1/DATOS_[[% normaliz]:[% normaliz]],1)*(DATOS_[Conc.Sal.25])))))))),
0)</f>
        <v>0</v>
      </c>
      <c r="AI94" s="111">
        <f t="array" ref="AI94">IFERROR(
(MEDIAN((IF(DATOS_[[Sexo]:[Sexo]]=$B94,IF(DATOS_[[AGRUP. VALOR. PTO.]:[AGRUP. VALOR. PTO.]]=$B93,IF(DATOS_[[Check Periodo Ref.]:[Check Periodo Ref.]]="Dentro",IF(DATOS_[[Check Equiparado]:[Check Equiparado]]="Sí",IF(DATOS!BD$5="Sí",(1/DATOS_[[% anualiz]:[% anualiz]]),1)*IF(DATOS!BD$4="Sí",1/DATOS_[[% normaliz]:[% normaliz]],1)*(DATOS_[Conc.Sal.26])))))))),
0)</f>
        <v>0</v>
      </c>
      <c r="AJ94" s="111">
        <f t="array" ref="AJ94">IFERROR(
(MEDIAN((IF(DATOS_[[Sexo]:[Sexo]]=$B94,IF(DATOS_[[AGRUP. VALOR. PTO.]:[AGRUP. VALOR. PTO.]]=$B93,IF(DATOS_[[Check Periodo Ref.]:[Check Periodo Ref.]]="Dentro",IF(DATOS_[[Check Equiparado]:[Check Equiparado]]="Sí",IF(DATOS!BE$5="Sí",(1/DATOS_[[% anualiz]:[% anualiz]]),1)*IF(DATOS!BE$4="Sí",1/DATOS_[[% normaliz]:[% normaliz]],1)*(DATOS_[Conc.Sal.27])))))))),
0)</f>
        <v>0</v>
      </c>
      <c r="AK94" s="111">
        <f t="array" ref="AK94">IFERROR(
(MEDIAN((IF(DATOS_[[Sexo]:[Sexo]]=$B94,IF(DATOS_[[AGRUP. VALOR. PTO.]:[AGRUP. VALOR. PTO.]]=$B93,IF(DATOS_[[Check Periodo Ref.]:[Check Periodo Ref.]]="Dentro",IF(DATOS_[[Check Equiparado]:[Check Equiparado]]="Sí",IF(DATOS!BF$5="Sí",(1/DATOS_[[% anualiz]:[% anualiz]]),1)*IF(DATOS!BF$4="Sí",1/DATOS_[[% normaliz]:[% normaliz]],1)*(DATOS_[Conc.Sal.28])))))))),
0)</f>
        <v>0</v>
      </c>
      <c r="AL94" s="111">
        <f t="array" ref="AL94">IFERROR(
(MEDIAN((IF(DATOS_[[Sexo]:[Sexo]]=$B94,IF(DATOS_[[AGRUP. VALOR. PTO.]:[AGRUP. VALOR. PTO.]]=$B93,IF(DATOS_[[Check Periodo Ref.]:[Check Periodo Ref.]]="Dentro",IF(DATOS_[[Check Equiparado]:[Check Equiparado]]="Sí",IF(DATOS!BG$5="Sí",(1/DATOS_[[% anualiz]:[% anualiz]]),1)*IF(DATOS!BG$4="Sí",1/DATOS_[[% normaliz]:[% normaliz]],1)*(DATOS_[Conc.Sal.29])))))))),
0)</f>
        <v>0</v>
      </c>
      <c r="AM94" s="111">
        <f t="array" ref="AM94">IFERROR(
(MEDIAN((IF(DATOS_[[Sexo]:[Sexo]]=$B94,IF(DATOS_[[AGRUP. VALOR. PTO.]:[AGRUP. VALOR. PTO.]]=$B93,IF(DATOS_[[Check Periodo Ref.]:[Check Periodo Ref.]]="Dentro",IF(DATOS_[[Check Equiparado]:[Check Equiparado]]="Sí",IF(DATOS!BH$5="Sí",(1/DATOS_[[% anualiz]:[% anualiz]]),1)*IF(DATOS!BH$4="Sí",1/DATOS_[[% normaliz]:[% normaliz]],1)*(DATOS_[Conc.Sal.30])))))))),
0)</f>
        <v>0</v>
      </c>
      <c r="AN94" s="112">
        <f t="array" ref="AN94">IFERROR(
MEDIAN(IF(DATOS_[Sexo]=$B94,IF(DATOS_[[AGRUP. VALOR. PTO.]:[AGRUP. VALOR. PTO.]]=$B93,IF(DATOS_[Check Equiparado]="Sí",IF(DATOS_[Check Periodo Ref.]="Dentro",DATOS_[Tot COMPL.SAL Eq],FALSE))))),
0)</f>
        <v>0</v>
      </c>
      <c r="AO94" s="113">
        <f t="array" ref="AO94">IFERROR(
MEDIAN(IF(DATOS_[Sexo]=$B94,IF(DATOS_[[AGRUP. VALOR. PTO.]:[AGRUP. VALOR. PTO.]]=$B93,IF(DATOS_[Check Equiparado]="Sí",IF(DATOS_[Check Periodo Ref.]="Dentro",DATOS_[TOTAL SALARIO Eq],FALSE))))),
0)</f>
        <v>0</v>
      </c>
      <c r="AP94" s="114">
        <f t="array" ref="AP94">IFERROR(
(MEDIAN((IF(DATOS_[[Sexo]:[Sexo]]=$B94,IF(DATOS_[[AGRUP. VALOR. PTO.]:[AGRUP. VALOR. PTO.]]=$B93,IF(DATOS_[[Check Periodo Ref.]:[Check Periodo Ref.]]="Dentro",IF(DATOS_[[Check Equiparado]:[Check Equiparado]]="Sí",IF(DATOS!BI$5="Sí",(1/DATOS_[[% anualiz]:[% anualiz]]),1)*IF(DATOS!BI$4="Sí",1/DATOS_[[% normaliz]:[% normaliz]],1)*(DATOS_[C.Extra.01])))))))),
0)</f>
        <v>0</v>
      </c>
      <c r="AQ94" s="114">
        <f t="array" ref="AQ94">IFERROR(
(MEDIAN((IF(DATOS_[[Sexo]:[Sexo]]=$B94,IF(DATOS_[[AGRUP. VALOR. PTO.]:[AGRUP. VALOR. PTO.]]=$B93,IF(DATOS_[[Check Periodo Ref.]:[Check Periodo Ref.]]="Dentro",IF(DATOS_[[Check Equiparado]:[Check Equiparado]]="Sí",IF(DATOS!BJ$5="Sí",(1/DATOS_[[% anualiz]:[% anualiz]]),1)*IF(DATOS!BJ$4="Sí",1/DATOS_[[% normaliz]:[% normaliz]],1)*(DATOS_[C.Extra.02])))))))),
0)</f>
        <v>0</v>
      </c>
      <c r="AR94" s="114">
        <f t="array" ref="AR94">IFERROR(
(MEDIAN((IF(DATOS_[[Sexo]:[Sexo]]=$B94,IF(DATOS_[[AGRUP. VALOR. PTO.]:[AGRUP. VALOR. PTO.]]=$B93,IF(DATOS_[[Check Periodo Ref.]:[Check Periodo Ref.]]="Dentro",IF(DATOS_[[Check Equiparado]:[Check Equiparado]]="Sí",IF(DATOS!BK$5="Sí",(1/DATOS_[[% anualiz]:[% anualiz]]),1)*IF(DATOS!BK$4="Sí",1/DATOS_[[% normaliz]:[% normaliz]],1)*(DATOS_[C.Extra.03])))))))),
0)</f>
        <v>0</v>
      </c>
      <c r="AS94" s="114">
        <f t="array" ref="AS94">IFERROR(
(MEDIAN((IF(DATOS_[[Sexo]:[Sexo]]=$B94,IF(DATOS_[[AGRUP. VALOR. PTO.]:[AGRUP. VALOR. PTO.]]=$B93,IF(DATOS_[[Check Periodo Ref.]:[Check Periodo Ref.]]="Dentro",IF(DATOS_[[Check Equiparado]:[Check Equiparado]]="Sí",IF(DATOS!BL$5="Sí",(1/DATOS_[[% anualiz]:[% anualiz]]),1)*IF(DATOS!BL$4="Sí",1/DATOS_[[% normaliz]:[% normaliz]],1)*(DATOS_[C.Extra.04])))))))),
0)</f>
        <v>0</v>
      </c>
      <c r="AT94" s="114">
        <f t="array" ref="AT94">IFERROR(
(MEDIAN((IF(DATOS_[[Sexo]:[Sexo]]=$B94,IF(DATOS_[[AGRUP. VALOR. PTO.]:[AGRUP. VALOR. PTO.]]=$B93,IF(DATOS_[[Check Periodo Ref.]:[Check Periodo Ref.]]="Dentro",IF(DATOS_[[Check Equiparado]:[Check Equiparado]]="Sí",IF(DATOS!BM$5="Sí",(1/DATOS_[[% anualiz]:[% anualiz]]),1)*IF(DATOS!BM$4="Sí",1/DATOS_[[% normaliz]:[% normaliz]],1)*(DATOS_[C.Extra.05])))))))),
0)</f>
        <v>0</v>
      </c>
      <c r="AU94" s="115">
        <f t="array" ref="AU94">IFERROR(
MEDIAN(IF(DATOS_[Sexo]=$B94,IF(DATOS_[[AGRUP. VALOR. PTO.]:[AGRUP. VALOR. PTO.]]=$B93,IF(DATOS_[Check Equiparado]="Sí",IF(DATOS_[Check Periodo Ref.]="Dentro",DATOS_[Tot Extrasalarial Eq],FALSE))))),
0)</f>
        <v>0</v>
      </c>
      <c r="AV94" s="116">
        <f t="array" ref="AV94">IFERROR(
MEDIAN(IF(DATOS_[Sexo]=$B94,IF(DATOS_[[AGRUP. VALOR. PTO.]:[AGRUP. VALOR. PTO.]]=$B93,IF(DATOS_[Check Equiparado]="Sí",IF(DATOS_[Check Periodo Ref.]="Dentro",DATOS_[TOTAL Retrib Eq],FALSE))))),
0)</f>
        <v>0</v>
      </c>
    </row>
    <row r="95" spans="1:48" hidden="1" x14ac:dyDescent="0.3">
      <c r="A95" s="42" t="str">
        <f t="shared" ref="A95" si="110">+A94</f>
        <v>[ocultar]</v>
      </c>
      <c r="B95" s="86" t="s">
        <v>163</v>
      </c>
      <c r="C95" s="33">
        <f t="array" ref="C95">SUM(IF($B95=DATOS_[Sexo],
IF($B93=DATOS_[AGRUP. VALOR. PTO.],
IF("Dentro"=DATOS_[Check Periodo Ref.],
1/(COUNTIFS(DATOS_[Sexo],$B95,DATOS_[AGRUP. VALOR. PTO.],$B93,DATOS_[Check Periodo Ref.],"Dentro",DATOS_[id],DATOS_[id]))))))</f>
        <v>0</v>
      </c>
      <c r="D95" s="35">
        <f>COUNTIFS(DATOS_[AGRUP. VALOR. PTO.],$B93,DATOS_[Sexo],$B95,DATOS_[Check Periodo Ref.],"Dentro")</f>
        <v>0</v>
      </c>
      <c r="E95" s="35">
        <f>COUNTIFS(DATOS_[AGRUP. VALOR. PTO.],$B93,DATOS_[Sexo],$B95,DATOS_[Check Periodo Ref.],"Dentro",DATOS_[Check Nº SC Norm],"Sí")</f>
        <v>0</v>
      </c>
      <c r="F95" s="35">
        <f>COUNTIFS(DATOS_[AGRUP. VALOR. PTO.],$B93,DATOS_[Sexo],$B95,DATOS_[Check Periodo Ref.],"Dentro",DATOS_[Check Nº SC Anualiz],"Sí")</f>
        <v>0</v>
      </c>
      <c r="G95" s="35">
        <f>COUNTIFS(DATOS_[AGRUP. VALOR. PTO.],$B93,DATOS_[Sexo],$B95,DATOS_[Check Periodo Ref.],"Dentro",DATOS_[Check Nº SC Norm y Anualiz],"Sí")</f>
        <v>0</v>
      </c>
      <c r="H95" s="35">
        <f>COUNTIFS(DATOS_[AGRUP. VALOR. PTO.],$B93,DATOS_[Sexo],$B95,DATOS_[Check Periodo Ref.],"Dentro",DATOS_[Check Equiparación],"Sí")</f>
        <v>0</v>
      </c>
      <c r="I95" s="110" cm="1">
        <f t="array" ref="I95">IFERROR(
MEDIAN(IF(DATOS_[Sexo]=$B95,IF(DATOS_[[AGRUP. VALOR. PTO.]:[AGRUP. VALOR. PTO.]]=$B93,IF(DATOS_[Check Equiparado]="Sí",IF(DATOS_[Check Periodo Ref.]="Dentro",DATOS_[SALARIO BASE Eq],FALSE))))),
0)</f>
        <v>0</v>
      </c>
      <c r="J95" s="111">
        <f t="array" ref="J95">IFERROR(
(MEDIAN((IF(DATOS_[[Sexo]:[Sexo]]=$B95,IF(DATOS_[[AGRUP. VALOR. PTO.]:[AGRUP. VALOR. PTO.]]=$B93,IF(DATOS_[[Check Periodo Ref.]:[Check Periodo Ref.]]="Dentro",IF(DATOS_[[Check Equiparado]:[Check Equiparado]]="Sí",IF(DATOS!AE$5="Sí",(1/DATOS_[[% anualiz]:[% anualiz]]),1)*IF(DATOS!AE$4="Sí",1/DATOS_[[% normaliz]:[% normaliz]],1)*(DATOS_[Conc.Sal.01])))))))),
0)</f>
        <v>0</v>
      </c>
      <c r="K95" s="111">
        <f t="array" ref="K95">IFERROR(
(MEDIAN((IF(DATOS_[[Sexo]:[Sexo]]=$B95,IF(DATOS_[[AGRUP. VALOR. PTO.]:[AGRUP. VALOR. PTO.]]=$B93,IF(DATOS_[[Check Periodo Ref.]:[Check Periodo Ref.]]="Dentro",IF(DATOS_[[Check Equiparado]:[Check Equiparado]]="Sí",IF(DATOS!AF$5="Sí",(1/DATOS_[[% anualiz]:[% anualiz]]),1)*IF(DATOS!AF$4="Sí",1/DATOS_[[% normaliz]:[% normaliz]],1)*(DATOS_[Conc.Sal.02])))))))),
0)</f>
        <v>0</v>
      </c>
      <c r="L95" s="111">
        <f t="array" ref="L95">IFERROR(
(MEDIAN((IF(DATOS_[[Sexo]:[Sexo]]=$B95,IF(DATOS_[[AGRUP. VALOR. PTO.]:[AGRUP. VALOR. PTO.]]=$B93,IF(DATOS_[[Check Periodo Ref.]:[Check Periodo Ref.]]="Dentro",IF(DATOS_[[Check Equiparado]:[Check Equiparado]]="Sí",IF(DATOS!AG$5="Sí",(1/DATOS_[[% anualiz]:[% anualiz]]),1)*IF(DATOS!AG$4="Sí",1/DATOS_[[% normaliz]:[% normaliz]],1)*(DATOS_[Conc.Sal.03])))))))),
0)</f>
        <v>0</v>
      </c>
      <c r="M95" s="111">
        <f t="array" ref="M95">IFERROR(
(MEDIAN((IF(DATOS_[[Sexo]:[Sexo]]=$B95,IF(DATOS_[[AGRUP. VALOR. PTO.]:[AGRUP. VALOR. PTO.]]=$B93,IF(DATOS_[[Check Periodo Ref.]:[Check Periodo Ref.]]="Dentro",IF(DATOS_[[Check Equiparado]:[Check Equiparado]]="Sí",IF(DATOS!AH$5="Sí",(1/DATOS_[[% anualiz]:[% anualiz]]),1)*IF(DATOS!AH$4="Sí",1/DATOS_[[% normaliz]:[% normaliz]],1)*(DATOS_[Conc.Sal.04])))))))),
0)</f>
        <v>0</v>
      </c>
      <c r="N95" s="111">
        <f t="array" ref="N95">IFERROR(
(MEDIAN((IF(DATOS_[[Sexo]:[Sexo]]=$B95,IF(DATOS_[[AGRUP. VALOR. PTO.]:[AGRUP. VALOR. PTO.]]=$B93,IF(DATOS_[[Check Periodo Ref.]:[Check Periodo Ref.]]="Dentro",IF(DATOS_[[Check Equiparado]:[Check Equiparado]]="Sí",IF(DATOS!AI$5="Sí",(1/DATOS_[[% anualiz]:[% anualiz]]),1)*IF(DATOS!AI$4="Sí",1/DATOS_[[% normaliz]:[% normaliz]],1)*(DATOS_[Conc.Sal.05])))))))),
0)</f>
        <v>0</v>
      </c>
      <c r="O95" s="111">
        <f t="array" ref="O95">IFERROR(
(MEDIAN((IF(DATOS_[[Sexo]:[Sexo]]=$B95,IF(DATOS_[[AGRUP. VALOR. PTO.]:[AGRUP. VALOR. PTO.]]=$B93,IF(DATOS_[[Check Periodo Ref.]:[Check Periodo Ref.]]="Dentro",IF(DATOS_[[Check Equiparado]:[Check Equiparado]]="Sí",IF(DATOS!AJ$5="Sí",(1/DATOS_[[% anualiz]:[% anualiz]]),1)*IF(DATOS!AJ$4="Sí",1/DATOS_[[% normaliz]:[% normaliz]],1)*(DATOS_[Conc.Sal.06])))))))),
0)</f>
        <v>0</v>
      </c>
      <c r="P95" s="111">
        <f t="array" ref="P95">IFERROR(
(MEDIAN((IF(DATOS_[[Sexo]:[Sexo]]=$B95,IF(DATOS_[[AGRUP. VALOR. PTO.]:[AGRUP. VALOR. PTO.]]=$B93,IF(DATOS_[[Check Periodo Ref.]:[Check Periodo Ref.]]="Dentro",IF(DATOS_[[Check Equiparado]:[Check Equiparado]]="Sí",IF(DATOS!AK$5="Sí",(1/DATOS_[[% anualiz]:[% anualiz]]),1)*IF(DATOS!AK$4="Sí",1/DATOS_[[% normaliz]:[% normaliz]],1)*(DATOS_[Conc.Sal.07])))))))),
0)</f>
        <v>0</v>
      </c>
      <c r="Q95" s="111">
        <f t="array" ref="Q95">IFERROR(
(MEDIAN((IF(DATOS_[[Sexo]:[Sexo]]=$B95,IF(DATOS_[[AGRUP. VALOR. PTO.]:[AGRUP. VALOR. PTO.]]=$B93,IF(DATOS_[[Check Periodo Ref.]:[Check Periodo Ref.]]="Dentro",IF(DATOS_[[Check Equiparado]:[Check Equiparado]]="Sí",IF(DATOS!AL$5="Sí",(1/DATOS_[[% anualiz]:[% anualiz]]),1)*IF(DATOS!AL$4="Sí",1/DATOS_[[% normaliz]:[% normaliz]],1)*(DATOS_[Conc.Sal.08])))))))),
0)</f>
        <v>0</v>
      </c>
      <c r="R95" s="111">
        <f t="array" ref="R95">IFERROR(
(MEDIAN((IF(DATOS_[[Sexo]:[Sexo]]=$B95,IF(DATOS_[[AGRUP. VALOR. PTO.]:[AGRUP. VALOR. PTO.]]=$B93,IF(DATOS_[[Check Periodo Ref.]:[Check Periodo Ref.]]="Dentro",IF(DATOS_[[Check Equiparado]:[Check Equiparado]]="Sí",IF(DATOS!AM$5="Sí",(1/DATOS_[[% anualiz]:[% anualiz]]),1)*IF(DATOS!AM$4="Sí",1/DATOS_[[% normaliz]:[% normaliz]],1)*(DATOS_[Conc.Sal.09])))))))),
0)</f>
        <v>0</v>
      </c>
      <c r="S95" s="111">
        <f t="array" ref="S95">IFERROR(
(MEDIAN((IF(DATOS_[[Sexo]:[Sexo]]=$B95,IF(DATOS_[[AGRUP. VALOR. PTO.]:[AGRUP. VALOR. PTO.]]=$B93,IF(DATOS_[[Check Periodo Ref.]:[Check Periodo Ref.]]="Dentro",IF(DATOS_[[Check Equiparado]:[Check Equiparado]]="Sí",IF(DATOS!AN$5="Sí",(1/DATOS_[[% anualiz]:[% anualiz]]),1)*IF(DATOS!AN$4="Sí",1/DATOS_[[% normaliz]:[% normaliz]],1)*(DATOS_[Conc.Sal.10])))))))),
0)</f>
        <v>0</v>
      </c>
      <c r="T95" s="111">
        <f t="array" ref="T95">IFERROR(
(MEDIAN((IF(DATOS_[[Sexo]:[Sexo]]=$B95,IF(DATOS_[[AGRUP. VALOR. PTO.]:[AGRUP. VALOR. PTO.]]=$B93,IF(DATOS_[[Check Periodo Ref.]:[Check Periodo Ref.]]="Dentro",IF(DATOS_[[Check Equiparado]:[Check Equiparado]]="Sí",IF(DATOS!AO$5="Sí",(1/DATOS_[[% anualiz]:[% anualiz]]),1)*IF(DATOS!AO$4="Sí",1/DATOS_[[% normaliz]:[% normaliz]],1)*(DATOS_[Conc.Sal.11])))))))),
0)</f>
        <v>0</v>
      </c>
      <c r="U95" s="111">
        <f t="array" ref="U95">IFERROR(
(MEDIAN((IF(DATOS_[[Sexo]:[Sexo]]=$B95,IF(DATOS_[[AGRUP. VALOR. PTO.]:[AGRUP. VALOR. PTO.]]=$B93,IF(DATOS_[[Check Periodo Ref.]:[Check Periodo Ref.]]="Dentro",IF(DATOS_[[Check Equiparado]:[Check Equiparado]]="Sí",IF(DATOS!AP$5="Sí",(1/DATOS_[[% anualiz]:[% anualiz]]),1)*IF(DATOS!AP$4="Sí",1/DATOS_[[% normaliz]:[% normaliz]],1)*(DATOS_[Conc.Sal.12])))))))),
0)</f>
        <v>0</v>
      </c>
      <c r="V95" s="111">
        <f t="array" ref="V95">IFERROR(
(MEDIAN((IF(DATOS_[[Sexo]:[Sexo]]=$B95,IF(DATOS_[[AGRUP. VALOR. PTO.]:[AGRUP. VALOR. PTO.]]=$B93,IF(DATOS_[[Check Periodo Ref.]:[Check Periodo Ref.]]="Dentro",IF(DATOS_[[Check Equiparado]:[Check Equiparado]]="Sí",IF(DATOS!AQ$5="Sí",(1/DATOS_[[% anualiz]:[% anualiz]]),1)*IF(DATOS!AQ$4="Sí",1/DATOS_[[% normaliz]:[% normaliz]],1)*(DATOS_[Conc.Sal.13])))))))),
0)</f>
        <v>0</v>
      </c>
      <c r="W95" s="111">
        <f t="array" ref="W95">IFERROR(
(MEDIAN((IF(DATOS_[[Sexo]:[Sexo]]=$B95,IF(DATOS_[[AGRUP. VALOR. PTO.]:[AGRUP. VALOR. PTO.]]=$B93,IF(DATOS_[[Check Periodo Ref.]:[Check Periodo Ref.]]="Dentro",IF(DATOS_[[Check Equiparado]:[Check Equiparado]]="Sí",IF(DATOS!AR$5="Sí",(1/DATOS_[[% anualiz]:[% anualiz]]),1)*IF(DATOS!AR$4="Sí",1/DATOS_[[% normaliz]:[% normaliz]],1)*(DATOS_[Conc.Sal.14])))))))),
0)</f>
        <v>0</v>
      </c>
      <c r="X95" s="111">
        <f t="array" ref="X95">IFERROR(
(MEDIAN((IF(DATOS_[[Sexo]:[Sexo]]=$B95,IF(DATOS_[[AGRUP. VALOR. PTO.]:[AGRUP. VALOR. PTO.]]=$B93,IF(DATOS_[[Check Periodo Ref.]:[Check Periodo Ref.]]="Dentro",IF(DATOS_[[Check Equiparado]:[Check Equiparado]]="Sí",IF(DATOS!AS$5="Sí",(1/DATOS_[[% anualiz]:[% anualiz]]),1)*IF(DATOS!AS$4="Sí",1/DATOS_[[% normaliz]:[% normaliz]],1)*(DATOS_[Conc.Sal.15])))))))),
0)</f>
        <v>0</v>
      </c>
      <c r="Y95" s="111">
        <f t="array" ref="Y95">IFERROR(
(MEDIAN((IF(DATOS_[[Sexo]:[Sexo]]=$B95,IF(DATOS_[[AGRUP. VALOR. PTO.]:[AGRUP. VALOR. PTO.]]=$B93,IF(DATOS_[[Check Periodo Ref.]:[Check Periodo Ref.]]="Dentro",IF(DATOS_[[Check Equiparado]:[Check Equiparado]]="Sí",IF(DATOS!AT$5="Sí",(1/DATOS_[[% anualiz]:[% anualiz]]),1)*IF(DATOS!AT$4="Sí",1/DATOS_[[% normaliz]:[% normaliz]],1)*(DATOS_[Conc.Sal.16])))))))),
0)</f>
        <v>0</v>
      </c>
      <c r="Z95" s="111">
        <f t="array" ref="Z95">IFERROR(
(MEDIAN((IF(DATOS_[[Sexo]:[Sexo]]=$B95,IF(DATOS_[[AGRUP. VALOR. PTO.]:[AGRUP. VALOR. PTO.]]=$B93,IF(DATOS_[[Check Periodo Ref.]:[Check Periodo Ref.]]="Dentro",IF(DATOS_[[Check Equiparado]:[Check Equiparado]]="Sí",IF(DATOS!AU$5="Sí",(1/DATOS_[[% anualiz]:[% anualiz]]),1)*IF(DATOS!AU$4="Sí",1/DATOS_[[% normaliz]:[% normaliz]],1)*(DATOS_[Conc.Sal.17])))))))),
0)</f>
        <v>0</v>
      </c>
      <c r="AA95" s="111">
        <f t="array" ref="AA95">IFERROR(
(MEDIAN((IF(DATOS_[[Sexo]:[Sexo]]=$B95,IF(DATOS_[[AGRUP. VALOR. PTO.]:[AGRUP. VALOR. PTO.]]=$B93,IF(DATOS_[[Check Periodo Ref.]:[Check Periodo Ref.]]="Dentro",IF(DATOS_[[Check Equiparado]:[Check Equiparado]]="Sí",IF(DATOS!AV$5="Sí",(1/DATOS_[[% anualiz]:[% anualiz]]),1)*IF(DATOS!AV$4="Sí",1/DATOS_[[% normaliz]:[% normaliz]],1)*(DATOS_[Conc.Sal.18])))))))),
0)</f>
        <v>0</v>
      </c>
      <c r="AB95" s="111">
        <f t="array" ref="AB95">IFERROR(
(MEDIAN((IF(DATOS_[[Sexo]:[Sexo]]=$B95,IF(DATOS_[[AGRUP. VALOR. PTO.]:[AGRUP. VALOR. PTO.]]=$B93,IF(DATOS_[[Check Periodo Ref.]:[Check Periodo Ref.]]="Dentro",IF(DATOS_[[Check Equiparado]:[Check Equiparado]]="Sí",IF(DATOS!AW$5="Sí",(1/DATOS_[[% anualiz]:[% anualiz]]),1)*IF(DATOS!AW$4="Sí",1/DATOS_[[% normaliz]:[% normaliz]],1)*(DATOS_[Conc.Sal.19])))))))),
0)</f>
        <v>0</v>
      </c>
      <c r="AC95" s="111">
        <f t="array" ref="AC95">IFERROR(
(MEDIAN((IF(DATOS_[[Sexo]:[Sexo]]=$B95,IF(DATOS_[[AGRUP. VALOR. PTO.]:[AGRUP. VALOR. PTO.]]=$B93,IF(DATOS_[[Check Periodo Ref.]:[Check Periodo Ref.]]="Dentro",IF(DATOS_[[Check Equiparado]:[Check Equiparado]]="Sí",IF(DATOS!AX$5="Sí",(1/DATOS_[[% anualiz]:[% anualiz]]),1)*IF(DATOS!AX$4="Sí",1/DATOS_[[% normaliz]:[% normaliz]],1)*(DATOS_[Conc.Sal.20])))))))),
0)</f>
        <v>0</v>
      </c>
      <c r="AD95" s="111">
        <f t="array" ref="AD95">IFERROR(
(MEDIAN((IF(DATOS_[[Sexo]:[Sexo]]=$B95,IF(DATOS_[[AGRUP. VALOR. PTO.]:[AGRUP. VALOR. PTO.]]=$B93,IF(DATOS_[[Check Periodo Ref.]:[Check Periodo Ref.]]="Dentro",IF(DATOS_[[Check Equiparado]:[Check Equiparado]]="Sí",IF(DATOS!AY$5="Sí",(1/DATOS_[[% anualiz]:[% anualiz]]),1)*IF(DATOS!AY$4="Sí",1/DATOS_[[% normaliz]:[% normaliz]],1)*(DATOS_[Conc.Sal.21])))))))),
0)</f>
        <v>0</v>
      </c>
      <c r="AE95" s="111">
        <f t="array" ref="AE95">IFERROR(
(MEDIAN((IF(DATOS_[[Sexo]:[Sexo]]=$B95,IF(DATOS_[[AGRUP. VALOR. PTO.]:[AGRUP. VALOR. PTO.]]=$B93,IF(DATOS_[[Check Periodo Ref.]:[Check Periodo Ref.]]="Dentro",IF(DATOS_[[Check Equiparado]:[Check Equiparado]]="Sí",IF(DATOS!AZ$5="Sí",(1/DATOS_[[% anualiz]:[% anualiz]]),1)*IF(DATOS!AZ$4="Sí",1/DATOS_[[% normaliz]:[% normaliz]],1)*(DATOS_[Conc.Sal.22])))))))),
0)</f>
        <v>0</v>
      </c>
      <c r="AF95" s="111">
        <f t="array" ref="AF95">IFERROR(
(MEDIAN((IF(DATOS_[[Sexo]:[Sexo]]=$B95,IF(DATOS_[[AGRUP. VALOR. PTO.]:[AGRUP. VALOR. PTO.]]=$B93,IF(DATOS_[[Check Periodo Ref.]:[Check Periodo Ref.]]="Dentro",IF(DATOS_[[Check Equiparado]:[Check Equiparado]]="Sí",IF(DATOS!BA$5="Sí",(1/DATOS_[[% anualiz]:[% anualiz]]),1)*IF(DATOS!BA$4="Sí",1/DATOS_[[% normaliz]:[% normaliz]],1)*(DATOS_[Conc.Sal.23])))))))),
0)</f>
        <v>0</v>
      </c>
      <c r="AG95" s="111">
        <f t="array" ref="AG95">IFERROR(
(MEDIAN((IF(DATOS_[[Sexo]:[Sexo]]=$B95,IF(DATOS_[[AGRUP. VALOR. PTO.]:[AGRUP. VALOR. PTO.]]=$B93,IF(DATOS_[[Check Periodo Ref.]:[Check Periodo Ref.]]="Dentro",IF(DATOS_[[Check Equiparado]:[Check Equiparado]]="Sí",IF(DATOS!BB$5="Sí",(1/DATOS_[[% anualiz]:[% anualiz]]),1)*IF(DATOS!BB$4="Sí",1/DATOS_[[% normaliz]:[% normaliz]],1)*(DATOS_[Conc.Sal.24])))))))),
0)</f>
        <v>0</v>
      </c>
      <c r="AH95" s="111">
        <f t="array" ref="AH95">IFERROR(
(MEDIAN((IF(DATOS_[[Sexo]:[Sexo]]=$B95,IF(DATOS_[[AGRUP. VALOR. PTO.]:[AGRUP. VALOR. PTO.]]=$B93,IF(DATOS_[[Check Periodo Ref.]:[Check Periodo Ref.]]="Dentro",IF(DATOS_[[Check Equiparado]:[Check Equiparado]]="Sí",IF(DATOS!BC$5="Sí",(1/DATOS_[[% anualiz]:[% anualiz]]),1)*IF(DATOS!BC$4="Sí",1/DATOS_[[% normaliz]:[% normaliz]],1)*(DATOS_[Conc.Sal.25])))))))),
0)</f>
        <v>0</v>
      </c>
      <c r="AI95" s="111">
        <f t="array" ref="AI95">IFERROR(
(MEDIAN((IF(DATOS_[[Sexo]:[Sexo]]=$B95,IF(DATOS_[[AGRUP. VALOR. PTO.]:[AGRUP. VALOR. PTO.]]=$B93,IF(DATOS_[[Check Periodo Ref.]:[Check Periodo Ref.]]="Dentro",IF(DATOS_[[Check Equiparado]:[Check Equiparado]]="Sí",IF(DATOS!BD$5="Sí",(1/DATOS_[[% anualiz]:[% anualiz]]),1)*IF(DATOS!BD$4="Sí",1/DATOS_[[% normaliz]:[% normaliz]],1)*(DATOS_[Conc.Sal.26])))))))),
0)</f>
        <v>0</v>
      </c>
      <c r="AJ95" s="111">
        <f t="array" ref="AJ95">IFERROR(
(MEDIAN((IF(DATOS_[[Sexo]:[Sexo]]=$B95,IF(DATOS_[[AGRUP. VALOR. PTO.]:[AGRUP. VALOR. PTO.]]=$B93,IF(DATOS_[[Check Periodo Ref.]:[Check Periodo Ref.]]="Dentro",IF(DATOS_[[Check Equiparado]:[Check Equiparado]]="Sí",IF(DATOS!BE$5="Sí",(1/DATOS_[[% anualiz]:[% anualiz]]),1)*IF(DATOS!BE$4="Sí",1/DATOS_[[% normaliz]:[% normaliz]],1)*(DATOS_[Conc.Sal.27])))))))),
0)</f>
        <v>0</v>
      </c>
      <c r="AK95" s="111">
        <f t="array" ref="AK95">IFERROR(
(MEDIAN((IF(DATOS_[[Sexo]:[Sexo]]=$B95,IF(DATOS_[[AGRUP. VALOR. PTO.]:[AGRUP. VALOR. PTO.]]=$B93,IF(DATOS_[[Check Periodo Ref.]:[Check Periodo Ref.]]="Dentro",IF(DATOS_[[Check Equiparado]:[Check Equiparado]]="Sí",IF(DATOS!BF$5="Sí",(1/DATOS_[[% anualiz]:[% anualiz]]),1)*IF(DATOS!BF$4="Sí",1/DATOS_[[% normaliz]:[% normaliz]],1)*(DATOS_[Conc.Sal.28])))))))),
0)</f>
        <v>0</v>
      </c>
      <c r="AL95" s="111">
        <f t="array" ref="AL95">IFERROR(
(MEDIAN((IF(DATOS_[[Sexo]:[Sexo]]=$B95,IF(DATOS_[[AGRUP. VALOR. PTO.]:[AGRUP. VALOR. PTO.]]=$B93,IF(DATOS_[[Check Periodo Ref.]:[Check Periodo Ref.]]="Dentro",IF(DATOS_[[Check Equiparado]:[Check Equiparado]]="Sí",IF(DATOS!BG$5="Sí",(1/DATOS_[[% anualiz]:[% anualiz]]),1)*IF(DATOS!BG$4="Sí",1/DATOS_[[% normaliz]:[% normaliz]],1)*(DATOS_[Conc.Sal.29])))))))),
0)</f>
        <v>0</v>
      </c>
      <c r="AM95" s="111">
        <f t="array" ref="AM95">IFERROR(
(MEDIAN((IF(DATOS_[[Sexo]:[Sexo]]=$B95,IF(DATOS_[[AGRUP. VALOR. PTO.]:[AGRUP. VALOR. PTO.]]=$B93,IF(DATOS_[[Check Periodo Ref.]:[Check Periodo Ref.]]="Dentro",IF(DATOS_[[Check Equiparado]:[Check Equiparado]]="Sí",IF(DATOS!BH$5="Sí",(1/DATOS_[[% anualiz]:[% anualiz]]),1)*IF(DATOS!BH$4="Sí",1/DATOS_[[% normaliz]:[% normaliz]],1)*(DATOS_[Conc.Sal.30])))))))),
0)</f>
        <v>0</v>
      </c>
      <c r="AN95" s="112">
        <f t="array" ref="AN95">IFERROR(
MEDIAN(IF(DATOS_[Sexo]=$B95,IF(DATOS_[[AGRUP. VALOR. PTO.]:[AGRUP. VALOR. PTO.]]=$B93,IF(DATOS_[Check Equiparado]="Sí",IF(DATOS_[Check Periodo Ref.]="Dentro",DATOS_[Tot COMPL.SAL Eq],FALSE))))),
0)</f>
        <v>0</v>
      </c>
      <c r="AO95" s="113">
        <f t="array" ref="AO95">IFERROR(
MEDIAN(IF(DATOS_[Sexo]=$B95,IF(DATOS_[[AGRUP. VALOR. PTO.]:[AGRUP. VALOR. PTO.]]=$B93,IF(DATOS_[Check Equiparado]="Sí",IF(DATOS_[Check Periodo Ref.]="Dentro",DATOS_[TOTAL SALARIO Eq],FALSE))))),
0)</f>
        <v>0</v>
      </c>
      <c r="AP95" s="114">
        <f t="array" ref="AP95">IFERROR(
(MEDIAN((IF(DATOS_[[Sexo]:[Sexo]]=$B95,IF(DATOS_[[AGRUP. VALOR. PTO.]:[AGRUP. VALOR. PTO.]]=$B94,IF(DATOS_[[Check Periodo Ref.]:[Check Periodo Ref.]]="Dentro",IF(DATOS_[[Check Equiparado]:[Check Equiparado]]="Sí",IF(DATOS!BI$5="Sí",(1/DATOS_[[% anualiz]:[% anualiz]]),1)*IF(DATOS!BI$4="Sí",1/DATOS_[[% normaliz]:[% normaliz]],1)*(DATOS_[C.Extra.01])))))))),
0)</f>
        <v>0</v>
      </c>
      <c r="AQ95" s="114">
        <f t="array" ref="AQ95">IFERROR(
(MEDIAN((IF(DATOS_[[Sexo]:[Sexo]]=$B95,IF(DATOS_[[AGRUP. VALOR. PTO.]:[AGRUP. VALOR. PTO.]]=$B94,IF(DATOS_[[Check Periodo Ref.]:[Check Periodo Ref.]]="Dentro",IF(DATOS_[[Check Equiparado]:[Check Equiparado]]="Sí",IF(DATOS!BJ$5="Sí",(1/DATOS_[[% anualiz]:[% anualiz]]),1)*IF(DATOS!BJ$4="Sí",1/DATOS_[[% normaliz]:[% normaliz]],1)*(DATOS_[C.Extra.02])))))))),
0)</f>
        <v>0</v>
      </c>
      <c r="AR95" s="114">
        <f t="array" ref="AR95">IFERROR(
(MEDIAN((IF(DATOS_[[Sexo]:[Sexo]]=$B95,IF(DATOS_[[AGRUP. VALOR. PTO.]:[AGRUP. VALOR. PTO.]]=$B94,IF(DATOS_[[Check Periodo Ref.]:[Check Periodo Ref.]]="Dentro",IF(DATOS_[[Check Equiparado]:[Check Equiparado]]="Sí",IF(DATOS!BK$5="Sí",(1/DATOS_[[% anualiz]:[% anualiz]]),1)*IF(DATOS!BK$4="Sí",1/DATOS_[[% normaliz]:[% normaliz]],1)*(DATOS_[C.Extra.03])))))))),
0)</f>
        <v>0</v>
      </c>
      <c r="AS95" s="114">
        <f t="array" ref="AS95">IFERROR(
(MEDIAN((IF(DATOS_[[Sexo]:[Sexo]]=$B95,IF(DATOS_[[AGRUP. VALOR. PTO.]:[AGRUP. VALOR. PTO.]]=$B94,IF(DATOS_[[Check Periodo Ref.]:[Check Periodo Ref.]]="Dentro",IF(DATOS_[[Check Equiparado]:[Check Equiparado]]="Sí",IF(DATOS!BL$5="Sí",(1/DATOS_[[% anualiz]:[% anualiz]]),1)*IF(DATOS!BL$4="Sí",1/DATOS_[[% normaliz]:[% normaliz]],1)*(DATOS_[C.Extra.04])))))))),
0)</f>
        <v>0</v>
      </c>
      <c r="AT95" s="114">
        <f t="array" ref="AT95">IFERROR(
(MEDIAN((IF(DATOS_[[Sexo]:[Sexo]]=$B95,IF(DATOS_[[AGRUP. VALOR. PTO.]:[AGRUP. VALOR. PTO.]]=$B94,IF(DATOS_[[Check Periodo Ref.]:[Check Periodo Ref.]]="Dentro",IF(DATOS_[[Check Equiparado]:[Check Equiparado]]="Sí",IF(DATOS!BM$5="Sí",(1/DATOS_[[% anualiz]:[% anualiz]]),1)*IF(DATOS!BM$4="Sí",1/DATOS_[[% normaliz]:[% normaliz]],1)*(DATOS_[C.Extra.05])))))))),
0)</f>
        <v>0</v>
      </c>
      <c r="AU95" s="115">
        <f t="array" ref="AU95">IFERROR(
MEDIAN(IF(DATOS_[Sexo]=$B95,IF(DATOS_[[AGRUP. VALOR. PTO.]:[AGRUP. VALOR. PTO.]]=$B93,IF(DATOS_[Check Equiparado]="Sí",IF(DATOS_[Check Periodo Ref.]="Dentro",DATOS_[Tot Extrasalarial Eq],FALSE))))),
0)</f>
        <v>0</v>
      </c>
      <c r="AV95" s="116">
        <f t="array" ref="AV95">IFERROR(
MEDIAN(IF(DATOS_[Sexo]=$B95,IF(DATOS_[[AGRUP. VALOR. PTO.]:[AGRUP. VALOR. PTO.]]=$B93,IF(DATOS_[Check Equiparado]="Sí",IF(DATOS_[Check Periodo Ref.]="Dentro",DATOS_[TOTAL Retrib Eq],FALSE))))),
0)</f>
        <v>0</v>
      </c>
    </row>
    <row r="96" spans="1:48" ht="17.25" hidden="1" thickBot="1" x14ac:dyDescent="0.35">
      <c r="A96" s="42" t="str">
        <f t="shared" ref="A96" si="111">+A97</f>
        <v>[ocultar]</v>
      </c>
      <c r="B96" s="90" t="s">
        <v>287</v>
      </c>
      <c r="C96" s="109"/>
      <c r="D96" s="41"/>
      <c r="E96" s="41"/>
      <c r="F96" s="41"/>
      <c r="G96" s="41"/>
      <c r="H96" s="41"/>
      <c r="I96" s="119" t="str">
        <f t="shared" ref="I96:AV96" si="112">IFERROR((I97-I98)/I97,"")</f>
        <v/>
      </c>
      <c r="J96" s="123" t="str">
        <f t="shared" si="112"/>
        <v/>
      </c>
      <c r="K96" s="123" t="str">
        <f t="shared" si="112"/>
        <v/>
      </c>
      <c r="L96" s="123" t="str">
        <f t="shared" si="112"/>
        <v/>
      </c>
      <c r="M96" s="123" t="str">
        <f t="shared" si="112"/>
        <v/>
      </c>
      <c r="N96" s="123" t="str">
        <f t="shared" si="112"/>
        <v/>
      </c>
      <c r="O96" s="123" t="str">
        <f t="shared" si="112"/>
        <v/>
      </c>
      <c r="P96" s="123" t="str">
        <f t="shared" si="112"/>
        <v/>
      </c>
      <c r="Q96" s="123" t="str">
        <f t="shared" si="112"/>
        <v/>
      </c>
      <c r="R96" s="123" t="str">
        <f t="shared" si="112"/>
        <v/>
      </c>
      <c r="S96" s="123" t="str">
        <f t="shared" si="112"/>
        <v/>
      </c>
      <c r="T96" s="123" t="str">
        <f t="shared" si="112"/>
        <v/>
      </c>
      <c r="U96" s="123" t="str">
        <f t="shared" si="112"/>
        <v/>
      </c>
      <c r="V96" s="123" t="str">
        <f t="shared" si="112"/>
        <v/>
      </c>
      <c r="W96" s="123" t="str">
        <f t="shared" si="112"/>
        <v/>
      </c>
      <c r="X96" s="123" t="str">
        <f t="shared" si="112"/>
        <v/>
      </c>
      <c r="Y96" s="123" t="str">
        <f t="shared" si="112"/>
        <v/>
      </c>
      <c r="Z96" s="122" t="str">
        <f t="shared" si="112"/>
        <v/>
      </c>
      <c r="AA96" s="122" t="str">
        <f t="shared" si="112"/>
        <v/>
      </c>
      <c r="AB96" s="122" t="str">
        <f t="shared" si="112"/>
        <v/>
      </c>
      <c r="AC96" s="122" t="str">
        <f t="shared" si="112"/>
        <v/>
      </c>
      <c r="AD96" s="122" t="str">
        <f t="shared" si="112"/>
        <v/>
      </c>
      <c r="AE96" s="122" t="str">
        <f t="shared" si="112"/>
        <v/>
      </c>
      <c r="AF96" s="122" t="str">
        <f t="shared" si="112"/>
        <v/>
      </c>
      <c r="AG96" s="122" t="str">
        <f t="shared" si="112"/>
        <v/>
      </c>
      <c r="AH96" s="122" t="str">
        <f t="shared" si="112"/>
        <v/>
      </c>
      <c r="AI96" s="122" t="str">
        <f t="shared" si="112"/>
        <v/>
      </c>
      <c r="AJ96" s="122" t="str">
        <f t="shared" si="112"/>
        <v/>
      </c>
      <c r="AK96" s="122" t="str">
        <f t="shared" si="112"/>
        <v/>
      </c>
      <c r="AL96" s="122" t="str">
        <f t="shared" si="112"/>
        <v/>
      </c>
      <c r="AM96" s="122" t="str">
        <f t="shared" si="112"/>
        <v/>
      </c>
      <c r="AN96" s="124" t="str">
        <f t="shared" si="112"/>
        <v/>
      </c>
      <c r="AO96" s="128" t="str">
        <f t="shared" si="112"/>
        <v/>
      </c>
      <c r="AP96" s="125" t="str">
        <f t="shared" si="112"/>
        <v/>
      </c>
      <c r="AQ96" s="125" t="str">
        <f t="shared" si="112"/>
        <v/>
      </c>
      <c r="AR96" s="125" t="str">
        <f t="shared" si="112"/>
        <v/>
      </c>
      <c r="AS96" s="125" t="str">
        <f t="shared" si="112"/>
        <v/>
      </c>
      <c r="AT96" s="125" t="str">
        <f t="shared" si="112"/>
        <v/>
      </c>
      <c r="AU96" s="126" t="str">
        <f t="shared" si="112"/>
        <v/>
      </c>
      <c r="AV96" s="127" t="str">
        <f t="shared" si="112"/>
        <v/>
      </c>
    </row>
    <row r="97" spans="1:48" hidden="1" x14ac:dyDescent="0.3">
      <c r="A97" s="42" t="str">
        <f t="shared" ref="A97" si="113">+IF(C97+C98=0,"[ocultar]","")</f>
        <v>[ocultar]</v>
      </c>
      <c r="B97" s="86" t="s">
        <v>162</v>
      </c>
      <c r="C97" s="33">
        <f t="array" ref="C97">SUM(IF($B97=DATOS_[Sexo],
IF($B96=DATOS_[AGRUP. VALOR. PTO.],
IF("Dentro"=DATOS_[Check Periodo Ref.],
1/(COUNTIFS(DATOS_[Sexo],$B97,DATOS_[AGRUP. VALOR. PTO.],$B96,DATOS_[Check Periodo Ref.],"Dentro",DATOS_[id],DATOS_[id]))))))</f>
        <v>0</v>
      </c>
      <c r="D97" s="35">
        <f>COUNTIFS(DATOS_[AGRUP. VALOR. PTO.],$B96,DATOS_[Sexo],$B97,DATOS_[Check Periodo Ref.],"Dentro")</f>
        <v>0</v>
      </c>
      <c r="E97" s="35">
        <f>COUNTIFS(DATOS_[AGRUP. VALOR. PTO.],$B96,DATOS_[Sexo],$B97,DATOS_[Check Periodo Ref.],"Dentro",DATOS_[Check Nº SC Norm],"Sí")</f>
        <v>0</v>
      </c>
      <c r="F97" s="35">
        <f>COUNTIFS(DATOS_[AGRUP. VALOR. PTO.],$B96,DATOS_[Sexo],$B97,DATOS_[Check Periodo Ref.],"Dentro",DATOS_[Check Nº SC Anualiz],"Sí")</f>
        <v>0</v>
      </c>
      <c r="G97" s="35">
        <f>COUNTIFS(DATOS_[AGRUP. VALOR. PTO.],$B96,DATOS_[Sexo],$B97,DATOS_[Check Periodo Ref.],"Dentro",DATOS_[Check Nº SC Norm y Anualiz],"Sí")</f>
        <v>0</v>
      </c>
      <c r="H97" s="35">
        <f>COUNTIFS(DATOS_[AGRUP. VALOR. PTO.],$B96,DATOS_[Sexo],$B97,DATOS_[Check Periodo Ref.],"Dentro",DATOS_[Check Equiparación],"Sí")</f>
        <v>0</v>
      </c>
      <c r="I97" s="110">
        <f t="array" ref="I97">IFERROR(
MEDIAN(IF(DATOS_[Sexo]=$B97,IF(DATOS_[[AGRUP. VALOR. PTO.]:[AGRUP. VALOR. PTO.]]=$B96,IF(DATOS_[Check Equiparado]="Sí",IF(DATOS_[Check Periodo Ref.]="Dentro",DATOS_[SALARIO BASE Eq],FALSE))))),
0)</f>
        <v>0</v>
      </c>
      <c r="J97" s="111">
        <f t="array" ref="J97">IFERROR(
(MEDIAN((IF(DATOS_[[Sexo]:[Sexo]]=$B97,IF(DATOS_[[AGRUP. VALOR. PTO.]:[AGRUP. VALOR. PTO.]]=$B96,IF(DATOS_[[Check Periodo Ref.]:[Check Periodo Ref.]]="Dentro",IF(DATOS_[[Check Equiparado]:[Check Equiparado]]="Sí",IF(DATOS!AE$5="Sí",(1/DATOS_[[% anualiz]:[% anualiz]]),1)*IF(DATOS!AE$4="Sí",1/DATOS_[[% normaliz]:[% normaliz]],1)*(DATOS_[Conc.Sal.01])))))))),
0)</f>
        <v>0</v>
      </c>
      <c r="K97" s="111">
        <f t="array" ref="K97">IFERROR(
(MEDIAN((IF(DATOS_[[Sexo]:[Sexo]]=$B97,IF(DATOS_[[AGRUP. VALOR. PTO.]:[AGRUP. VALOR. PTO.]]=$B96,IF(DATOS_[[Check Periodo Ref.]:[Check Periodo Ref.]]="Dentro",IF(DATOS_[[Check Equiparado]:[Check Equiparado]]="Sí",IF(DATOS!AF$5="Sí",(1/DATOS_[[% anualiz]:[% anualiz]]),1)*IF(DATOS!AF$4="Sí",1/DATOS_[[% normaliz]:[% normaliz]],1)*(DATOS_[Conc.Sal.02])))))))),
0)</f>
        <v>0</v>
      </c>
      <c r="L97" s="111">
        <f t="array" ref="L97">IFERROR(
(MEDIAN((IF(DATOS_[[Sexo]:[Sexo]]=$B97,IF(DATOS_[[AGRUP. VALOR. PTO.]:[AGRUP. VALOR. PTO.]]=$B96,IF(DATOS_[[Check Periodo Ref.]:[Check Periodo Ref.]]="Dentro",IF(DATOS_[[Check Equiparado]:[Check Equiparado]]="Sí",IF(DATOS!AG$5="Sí",(1/DATOS_[[% anualiz]:[% anualiz]]),1)*IF(DATOS!AG$4="Sí",1/DATOS_[[% normaliz]:[% normaliz]],1)*(DATOS_[Conc.Sal.03])))))))),
0)</f>
        <v>0</v>
      </c>
      <c r="M97" s="111">
        <f t="array" ref="M97">IFERROR(
(MEDIAN((IF(DATOS_[[Sexo]:[Sexo]]=$B97,IF(DATOS_[[AGRUP. VALOR. PTO.]:[AGRUP. VALOR. PTO.]]=$B96,IF(DATOS_[[Check Periodo Ref.]:[Check Periodo Ref.]]="Dentro",IF(DATOS_[[Check Equiparado]:[Check Equiparado]]="Sí",IF(DATOS!AH$5="Sí",(1/DATOS_[[% anualiz]:[% anualiz]]),1)*IF(DATOS!AH$4="Sí",1/DATOS_[[% normaliz]:[% normaliz]],1)*(DATOS_[Conc.Sal.04])))))))),
0)</f>
        <v>0</v>
      </c>
      <c r="N97" s="111">
        <f t="array" ref="N97">IFERROR(
(MEDIAN((IF(DATOS_[[Sexo]:[Sexo]]=$B97,IF(DATOS_[[AGRUP. VALOR. PTO.]:[AGRUP. VALOR. PTO.]]=$B96,IF(DATOS_[[Check Periodo Ref.]:[Check Periodo Ref.]]="Dentro",IF(DATOS_[[Check Equiparado]:[Check Equiparado]]="Sí",IF(DATOS!AI$5="Sí",(1/DATOS_[[% anualiz]:[% anualiz]]),1)*IF(DATOS!AI$4="Sí",1/DATOS_[[% normaliz]:[% normaliz]],1)*(DATOS_[Conc.Sal.05])))))))),
0)</f>
        <v>0</v>
      </c>
      <c r="O97" s="111">
        <f t="array" ref="O97">IFERROR(
(MEDIAN((IF(DATOS_[[Sexo]:[Sexo]]=$B97,IF(DATOS_[[AGRUP. VALOR. PTO.]:[AGRUP. VALOR. PTO.]]=$B96,IF(DATOS_[[Check Periodo Ref.]:[Check Periodo Ref.]]="Dentro",IF(DATOS_[[Check Equiparado]:[Check Equiparado]]="Sí",IF(DATOS!AJ$5="Sí",(1/DATOS_[[% anualiz]:[% anualiz]]),1)*IF(DATOS!AJ$4="Sí",1/DATOS_[[% normaliz]:[% normaliz]],1)*(DATOS_[Conc.Sal.06])))))))),
0)</f>
        <v>0</v>
      </c>
      <c r="P97" s="111">
        <f t="array" ref="P97">IFERROR(
(MEDIAN((IF(DATOS_[[Sexo]:[Sexo]]=$B97,IF(DATOS_[[AGRUP. VALOR. PTO.]:[AGRUP. VALOR. PTO.]]=$B96,IF(DATOS_[[Check Periodo Ref.]:[Check Periodo Ref.]]="Dentro",IF(DATOS_[[Check Equiparado]:[Check Equiparado]]="Sí",IF(DATOS!AK$5="Sí",(1/DATOS_[[% anualiz]:[% anualiz]]),1)*IF(DATOS!AK$4="Sí",1/DATOS_[[% normaliz]:[% normaliz]],1)*(DATOS_[Conc.Sal.07])))))))),
0)</f>
        <v>0</v>
      </c>
      <c r="Q97" s="111">
        <f t="array" ref="Q97">IFERROR(
(MEDIAN((IF(DATOS_[[Sexo]:[Sexo]]=$B97,IF(DATOS_[[AGRUP. VALOR. PTO.]:[AGRUP. VALOR. PTO.]]=$B96,IF(DATOS_[[Check Periodo Ref.]:[Check Periodo Ref.]]="Dentro",IF(DATOS_[[Check Equiparado]:[Check Equiparado]]="Sí",IF(DATOS!AL$5="Sí",(1/DATOS_[[% anualiz]:[% anualiz]]),1)*IF(DATOS!AL$4="Sí",1/DATOS_[[% normaliz]:[% normaliz]],1)*(DATOS_[Conc.Sal.08])))))))),
0)</f>
        <v>0</v>
      </c>
      <c r="R97" s="111">
        <f t="array" ref="R97">IFERROR(
(MEDIAN((IF(DATOS_[[Sexo]:[Sexo]]=$B97,IF(DATOS_[[AGRUP. VALOR. PTO.]:[AGRUP. VALOR. PTO.]]=$B96,IF(DATOS_[[Check Periodo Ref.]:[Check Periodo Ref.]]="Dentro",IF(DATOS_[[Check Equiparado]:[Check Equiparado]]="Sí",IF(DATOS!AM$5="Sí",(1/DATOS_[[% anualiz]:[% anualiz]]),1)*IF(DATOS!AM$4="Sí",1/DATOS_[[% normaliz]:[% normaliz]],1)*(DATOS_[Conc.Sal.09])))))))),
0)</f>
        <v>0</v>
      </c>
      <c r="S97" s="111">
        <f t="array" ref="S97">IFERROR(
(MEDIAN((IF(DATOS_[[Sexo]:[Sexo]]=$B97,IF(DATOS_[[AGRUP. VALOR. PTO.]:[AGRUP. VALOR. PTO.]]=$B96,IF(DATOS_[[Check Periodo Ref.]:[Check Periodo Ref.]]="Dentro",IF(DATOS_[[Check Equiparado]:[Check Equiparado]]="Sí",IF(DATOS!AN$5="Sí",(1/DATOS_[[% anualiz]:[% anualiz]]),1)*IF(DATOS!AN$4="Sí",1/DATOS_[[% normaliz]:[% normaliz]],1)*(DATOS_[Conc.Sal.10])))))))),
0)</f>
        <v>0</v>
      </c>
      <c r="T97" s="111">
        <f t="array" ref="T97">IFERROR(
(MEDIAN((IF(DATOS_[[Sexo]:[Sexo]]=$B97,IF(DATOS_[[AGRUP. VALOR. PTO.]:[AGRUP. VALOR. PTO.]]=$B96,IF(DATOS_[[Check Periodo Ref.]:[Check Periodo Ref.]]="Dentro",IF(DATOS_[[Check Equiparado]:[Check Equiparado]]="Sí",IF(DATOS!AO$5="Sí",(1/DATOS_[[% anualiz]:[% anualiz]]),1)*IF(DATOS!AO$4="Sí",1/DATOS_[[% normaliz]:[% normaliz]],1)*(DATOS_[Conc.Sal.11])))))))),
0)</f>
        <v>0</v>
      </c>
      <c r="U97" s="111">
        <f t="array" ref="U97">IFERROR(
(MEDIAN((IF(DATOS_[[Sexo]:[Sexo]]=$B97,IF(DATOS_[[AGRUP. VALOR. PTO.]:[AGRUP. VALOR. PTO.]]=$B96,IF(DATOS_[[Check Periodo Ref.]:[Check Periodo Ref.]]="Dentro",IF(DATOS_[[Check Equiparado]:[Check Equiparado]]="Sí",IF(DATOS!AP$5="Sí",(1/DATOS_[[% anualiz]:[% anualiz]]),1)*IF(DATOS!AP$4="Sí",1/DATOS_[[% normaliz]:[% normaliz]],1)*(DATOS_[Conc.Sal.12])))))))),
0)</f>
        <v>0</v>
      </c>
      <c r="V97" s="111">
        <f t="array" ref="V97">IFERROR(
(MEDIAN((IF(DATOS_[[Sexo]:[Sexo]]=$B97,IF(DATOS_[[AGRUP. VALOR. PTO.]:[AGRUP. VALOR. PTO.]]=$B96,IF(DATOS_[[Check Periodo Ref.]:[Check Periodo Ref.]]="Dentro",IF(DATOS_[[Check Equiparado]:[Check Equiparado]]="Sí",IF(DATOS!AQ$5="Sí",(1/DATOS_[[% anualiz]:[% anualiz]]),1)*IF(DATOS!AQ$4="Sí",1/DATOS_[[% normaliz]:[% normaliz]],1)*(DATOS_[Conc.Sal.13])))))))),
0)</f>
        <v>0</v>
      </c>
      <c r="W97" s="111">
        <f t="array" ref="W97">IFERROR(
(MEDIAN((IF(DATOS_[[Sexo]:[Sexo]]=$B97,IF(DATOS_[[AGRUP. VALOR. PTO.]:[AGRUP. VALOR. PTO.]]=$B96,IF(DATOS_[[Check Periodo Ref.]:[Check Periodo Ref.]]="Dentro",IF(DATOS_[[Check Equiparado]:[Check Equiparado]]="Sí",IF(DATOS!AR$5="Sí",(1/DATOS_[[% anualiz]:[% anualiz]]),1)*IF(DATOS!AR$4="Sí",1/DATOS_[[% normaliz]:[% normaliz]],1)*(DATOS_[Conc.Sal.14])))))))),
0)</f>
        <v>0</v>
      </c>
      <c r="X97" s="111">
        <f t="array" ref="X97">IFERROR(
(MEDIAN((IF(DATOS_[[Sexo]:[Sexo]]=$B97,IF(DATOS_[[AGRUP. VALOR. PTO.]:[AGRUP. VALOR. PTO.]]=$B96,IF(DATOS_[[Check Periodo Ref.]:[Check Periodo Ref.]]="Dentro",IF(DATOS_[[Check Equiparado]:[Check Equiparado]]="Sí",IF(DATOS!AS$5="Sí",(1/DATOS_[[% anualiz]:[% anualiz]]),1)*IF(DATOS!AS$4="Sí",1/DATOS_[[% normaliz]:[% normaliz]],1)*(DATOS_[Conc.Sal.15])))))))),
0)</f>
        <v>0</v>
      </c>
      <c r="Y97" s="111">
        <f t="array" ref="Y97">IFERROR(
(MEDIAN((IF(DATOS_[[Sexo]:[Sexo]]=$B97,IF(DATOS_[[AGRUP. VALOR. PTO.]:[AGRUP. VALOR. PTO.]]=$B96,IF(DATOS_[[Check Periodo Ref.]:[Check Periodo Ref.]]="Dentro",IF(DATOS_[[Check Equiparado]:[Check Equiparado]]="Sí",IF(DATOS!AT$5="Sí",(1/DATOS_[[% anualiz]:[% anualiz]]),1)*IF(DATOS!AT$4="Sí",1/DATOS_[[% normaliz]:[% normaliz]],1)*(DATOS_[Conc.Sal.16])))))))),
0)</f>
        <v>0</v>
      </c>
      <c r="Z97" s="111">
        <f t="array" ref="Z97">IFERROR(
(MEDIAN((IF(DATOS_[[Sexo]:[Sexo]]=$B97,IF(DATOS_[[AGRUP. VALOR. PTO.]:[AGRUP. VALOR. PTO.]]=$B96,IF(DATOS_[[Check Periodo Ref.]:[Check Periodo Ref.]]="Dentro",IF(DATOS_[[Check Equiparado]:[Check Equiparado]]="Sí",IF(DATOS!AU$5="Sí",(1/DATOS_[[% anualiz]:[% anualiz]]),1)*IF(DATOS!AU$4="Sí",1/DATOS_[[% normaliz]:[% normaliz]],1)*(DATOS_[Conc.Sal.17])))))))),
0)</f>
        <v>0</v>
      </c>
      <c r="AA97" s="111">
        <f t="array" ref="AA97">IFERROR(
(MEDIAN((IF(DATOS_[[Sexo]:[Sexo]]=$B97,IF(DATOS_[[AGRUP. VALOR. PTO.]:[AGRUP. VALOR. PTO.]]=$B96,IF(DATOS_[[Check Periodo Ref.]:[Check Periodo Ref.]]="Dentro",IF(DATOS_[[Check Equiparado]:[Check Equiparado]]="Sí",IF(DATOS!AV$5="Sí",(1/DATOS_[[% anualiz]:[% anualiz]]),1)*IF(DATOS!AV$4="Sí",1/DATOS_[[% normaliz]:[% normaliz]],1)*(DATOS_[Conc.Sal.18])))))))),
0)</f>
        <v>0</v>
      </c>
      <c r="AB97" s="111">
        <f t="array" ref="AB97">IFERROR(
(MEDIAN((IF(DATOS_[[Sexo]:[Sexo]]=$B97,IF(DATOS_[[AGRUP. VALOR. PTO.]:[AGRUP. VALOR. PTO.]]=$B96,IF(DATOS_[[Check Periodo Ref.]:[Check Periodo Ref.]]="Dentro",IF(DATOS_[[Check Equiparado]:[Check Equiparado]]="Sí",IF(DATOS!AW$5="Sí",(1/DATOS_[[% anualiz]:[% anualiz]]),1)*IF(DATOS!AW$4="Sí",1/DATOS_[[% normaliz]:[% normaliz]],1)*(DATOS_[Conc.Sal.19])))))))),
0)</f>
        <v>0</v>
      </c>
      <c r="AC97" s="111">
        <f t="array" ref="AC97">IFERROR(
(MEDIAN((IF(DATOS_[[Sexo]:[Sexo]]=$B97,IF(DATOS_[[AGRUP. VALOR. PTO.]:[AGRUP. VALOR. PTO.]]=$B96,IF(DATOS_[[Check Periodo Ref.]:[Check Periodo Ref.]]="Dentro",IF(DATOS_[[Check Equiparado]:[Check Equiparado]]="Sí",IF(DATOS!AX$5="Sí",(1/DATOS_[[% anualiz]:[% anualiz]]),1)*IF(DATOS!AX$4="Sí",1/DATOS_[[% normaliz]:[% normaliz]],1)*(DATOS_[Conc.Sal.20])))))))),
0)</f>
        <v>0</v>
      </c>
      <c r="AD97" s="111">
        <f t="array" ref="AD97">IFERROR(
(MEDIAN((IF(DATOS_[[Sexo]:[Sexo]]=$B97,IF(DATOS_[[AGRUP. VALOR. PTO.]:[AGRUP. VALOR. PTO.]]=$B96,IF(DATOS_[[Check Periodo Ref.]:[Check Periodo Ref.]]="Dentro",IF(DATOS_[[Check Equiparado]:[Check Equiparado]]="Sí",IF(DATOS!AY$5="Sí",(1/DATOS_[[% anualiz]:[% anualiz]]),1)*IF(DATOS!AY$4="Sí",1/DATOS_[[% normaliz]:[% normaliz]],1)*(DATOS_[Conc.Sal.21])))))))),
0)</f>
        <v>0</v>
      </c>
      <c r="AE97" s="111">
        <f t="array" ref="AE97">IFERROR(
(MEDIAN((IF(DATOS_[[Sexo]:[Sexo]]=$B97,IF(DATOS_[[AGRUP. VALOR. PTO.]:[AGRUP. VALOR. PTO.]]=$B96,IF(DATOS_[[Check Periodo Ref.]:[Check Periodo Ref.]]="Dentro",IF(DATOS_[[Check Equiparado]:[Check Equiparado]]="Sí",IF(DATOS!AZ$5="Sí",(1/DATOS_[[% anualiz]:[% anualiz]]),1)*IF(DATOS!AZ$4="Sí",1/DATOS_[[% normaliz]:[% normaliz]],1)*(DATOS_[Conc.Sal.22])))))))),
0)</f>
        <v>0</v>
      </c>
      <c r="AF97" s="111">
        <f t="array" ref="AF97">IFERROR(
(MEDIAN((IF(DATOS_[[Sexo]:[Sexo]]=$B97,IF(DATOS_[[AGRUP. VALOR. PTO.]:[AGRUP. VALOR. PTO.]]=$B96,IF(DATOS_[[Check Periodo Ref.]:[Check Periodo Ref.]]="Dentro",IF(DATOS_[[Check Equiparado]:[Check Equiparado]]="Sí",IF(DATOS!BA$5="Sí",(1/DATOS_[[% anualiz]:[% anualiz]]),1)*IF(DATOS!BA$4="Sí",1/DATOS_[[% normaliz]:[% normaliz]],1)*(DATOS_[Conc.Sal.23])))))))),
0)</f>
        <v>0</v>
      </c>
      <c r="AG97" s="111">
        <f t="array" ref="AG97">IFERROR(
(MEDIAN((IF(DATOS_[[Sexo]:[Sexo]]=$B97,IF(DATOS_[[AGRUP. VALOR. PTO.]:[AGRUP. VALOR. PTO.]]=$B96,IF(DATOS_[[Check Periodo Ref.]:[Check Periodo Ref.]]="Dentro",IF(DATOS_[[Check Equiparado]:[Check Equiparado]]="Sí",IF(DATOS!BB$5="Sí",(1/DATOS_[[% anualiz]:[% anualiz]]),1)*IF(DATOS!BB$4="Sí",1/DATOS_[[% normaliz]:[% normaliz]],1)*(DATOS_[Conc.Sal.24])))))))),
0)</f>
        <v>0</v>
      </c>
      <c r="AH97" s="111">
        <f t="array" ref="AH97">IFERROR(
(MEDIAN((IF(DATOS_[[Sexo]:[Sexo]]=$B97,IF(DATOS_[[AGRUP. VALOR. PTO.]:[AGRUP. VALOR. PTO.]]=$B96,IF(DATOS_[[Check Periodo Ref.]:[Check Periodo Ref.]]="Dentro",IF(DATOS_[[Check Equiparado]:[Check Equiparado]]="Sí",IF(DATOS!BC$5="Sí",(1/DATOS_[[% anualiz]:[% anualiz]]),1)*IF(DATOS!BC$4="Sí",1/DATOS_[[% normaliz]:[% normaliz]],1)*(DATOS_[Conc.Sal.25])))))))),
0)</f>
        <v>0</v>
      </c>
      <c r="AI97" s="111">
        <f t="array" ref="AI97">IFERROR(
(MEDIAN((IF(DATOS_[[Sexo]:[Sexo]]=$B97,IF(DATOS_[[AGRUP. VALOR. PTO.]:[AGRUP. VALOR. PTO.]]=$B96,IF(DATOS_[[Check Periodo Ref.]:[Check Periodo Ref.]]="Dentro",IF(DATOS_[[Check Equiparado]:[Check Equiparado]]="Sí",IF(DATOS!BD$5="Sí",(1/DATOS_[[% anualiz]:[% anualiz]]),1)*IF(DATOS!BD$4="Sí",1/DATOS_[[% normaliz]:[% normaliz]],1)*(DATOS_[Conc.Sal.26])))))))),
0)</f>
        <v>0</v>
      </c>
      <c r="AJ97" s="111">
        <f t="array" ref="AJ97">IFERROR(
(MEDIAN((IF(DATOS_[[Sexo]:[Sexo]]=$B97,IF(DATOS_[[AGRUP. VALOR. PTO.]:[AGRUP. VALOR. PTO.]]=$B96,IF(DATOS_[[Check Periodo Ref.]:[Check Periodo Ref.]]="Dentro",IF(DATOS_[[Check Equiparado]:[Check Equiparado]]="Sí",IF(DATOS!BE$5="Sí",(1/DATOS_[[% anualiz]:[% anualiz]]),1)*IF(DATOS!BE$4="Sí",1/DATOS_[[% normaliz]:[% normaliz]],1)*(DATOS_[Conc.Sal.27])))))))),
0)</f>
        <v>0</v>
      </c>
      <c r="AK97" s="111">
        <f t="array" ref="AK97">IFERROR(
(MEDIAN((IF(DATOS_[[Sexo]:[Sexo]]=$B97,IF(DATOS_[[AGRUP. VALOR. PTO.]:[AGRUP. VALOR. PTO.]]=$B96,IF(DATOS_[[Check Periodo Ref.]:[Check Periodo Ref.]]="Dentro",IF(DATOS_[[Check Equiparado]:[Check Equiparado]]="Sí",IF(DATOS!BF$5="Sí",(1/DATOS_[[% anualiz]:[% anualiz]]),1)*IF(DATOS!BF$4="Sí",1/DATOS_[[% normaliz]:[% normaliz]],1)*(DATOS_[Conc.Sal.28])))))))),
0)</f>
        <v>0</v>
      </c>
      <c r="AL97" s="111">
        <f t="array" ref="AL97">IFERROR(
(MEDIAN((IF(DATOS_[[Sexo]:[Sexo]]=$B97,IF(DATOS_[[AGRUP. VALOR. PTO.]:[AGRUP. VALOR. PTO.]]=$B96,IF(DATOS_[[Check Periodo Ref.]:[Check Periodo Ref.]]="Dentro",IF(DATOS_[[Check Equiparado]:[Check Equiparado]]="Sí",IF(DATOS!BG$5="Sí",(1/DATOS_[[% anualiz]:[% anualiz]]),1)*IF(DATOS!BG$4="Sí",1/DATOS_[[% normaliz]:[% normaliz]],1)*(DATOS_[Conc.Sal.29])))))))),
0)</f>
        <v>0</v>
      </c>
      <c r="AM97" s="111">
        <f t="array" ref="AM97">IFERROR(
(MEDIAN((IF(DATOS_[[Sexo]:[Sexo]]=$B97,IF(DATOS_[[AGRUP. VALOR. PTO.]:[AGRUP. VALOR. PTO.]]=$B96,IF(DATOS_[[Check Periodo Ref.]:[Check Periodo Ref.]]="Dentro",IF(DATOS_[[Check Equiparado]:[Check Equiparado]]="Sí",IF(DATOS!BH$5="Sí",(1/DATOS_[[% anualiz]:[% anualiz]]),1)*IF(DATOS!BH$4="Sí",1/DATOS_[[% normaliz]:[% normaliz]],1)*(DATOS_[Conc.Sal.30])))))))),
0)</f>
        <v>0</v>
      </c>
      <c r="AN97" s="112">
        <f t="array" ref="AN97">IFERROR(
MEDIAN(IF(DATOS_[Sexo]=$B97,IF(DATOS_[[AGRUP. VALOR. PTO.]:[AGRUP. VALOR. PTO.]]=$B96,IF(DATOS_[Check Equiparado]="Sí",IF(DATOS_[Check Periodo Ref.]="Dentro",DATOS_[Tot COMPL.SAL Eq],FALSE))))),
0)</f>
        <v>0</v>
      </c>
      <c r="AO97" s="113">
        <f t="array" ref="AO97">IFERROR(
MEDIAN(IF(DATOS_[Sexo]=$B97,IF(DATOS_[[AGRUP. VALOR. PTO.]:[AGRUP. VALOR. PTO.]]=$B96,IF(DATOS_[Check Equiparado]="Sí",IF(DATOS_[Check Periodo Ref.]="Dentro",DATOS_[TOTAL SALARIO Eq],FALSE))))),
0)</f>
        <v>0</v>
      </c>
      <c r="AP97" s="114">
        <f t="array" ref="AP97">IFERROR(
(MEDIAN((IF(DATOS_[[Sexo]:[Sexo]]=$B97,IF(DATOS_[[AGRUP. VALOR. PTO.]:[AGRUP. VALOR. PTO.]]=$B96,IF(DATOS_[[Check Periodo Ref.]:[Check Periodo Ref.]]="Dentro",IF(DATOS_[[Check Equiparado]:[Check Equiparado]]="Sí",IF(DATOS!BI$5="Sí",(1/DATOS_[[% anualiz]:[% anualiz]]),1)*IF(DATOS!BI$4="Sí",1/DATOS_[[% normaliz]:[% normaliz]],1)*(DATOS_[C.Extra.01])))))))),
0)</f>
        <v>0</v>
      </c>
      <c r="AQ97" s="114">
        <f t="array" ref="AQ97">IFERROR(
(MEDIAN((IF(DATOS_[[Sexo]:[Sexo]]=$B97,IF(DATOS_[[AGRUP. VALOR. PTO.]:[AGRUP. VALOR. PTO.]]=$B96,IF(DATOS_[[Check Periodo Ref.]:[Check Periodo Ref.]]="Dentro",IF(DATOS_[[Check Equiparado]:[Check Equiparado]]="Sí",IF(DATOS!BJ$5="Sí",(1/DATOS_[[% anualiz]:[% anualiz]]),1)*IF(DATOS!BJ$4="Sí",1/DATOS_[[% normaliz]:[% normaliz]],1)*(DATOS_[C.Extra.02])))))))),
0)</f>
        <v>0</v>
      </c>
      <c r="AR97" s="114">
        <f t="array" ref="AR97">IFERROR(
(MEDIAN((IF(DATOS_[[Sexo]:[Sexo]]=$B97,IF(DATOS_[[AGRUP. VALOR. PTO.]:[AGRUP. VALOR. PTO.]]=$B96,IF(DATOS_[[Check Periodo Ref.]:[Check Periodo Ref.]]="Dentro",IF(DATOS_[[Check Equiparado]:[Check Equiparado]]="Sí",IF(DATOS!BK$5="Sí",(1/DATOS_[[% anualiz]:[% anualiz]]),1)*IF(DATOS!BK$4="Sí",1/DATOS_[[% normaliz]:[% normaliz]],1)*(DATOS_[C.Extra.03])))))))),
0)</f>
        <v>0</v>
      </c>
      <c r="AS97" s="114">
        <f t="array" ref="AS97">IFERROR(
(MEDIAN((IF(DATOS_[[Sexo]:[Sexo]]=$B97,IF(DATOS_[[AGRUP. VALOR. PTO.]:[AGRUP. VALOR. PTO.]]=$B96,IF(DATOS_[[Check Periodo Ref.]:[Check Periodo Ref.]]="Dentro",IF(DATOS_[[Check Equiparado]:[Check Equiparado]]="Sí",IF(DATOS!BL$5="Sí",(1/DATOS_[[% anualiz]:[% anualiz]]),1)*IF(DATOS!BL$4="Sí",1/DATOS_[[% normaliz]:[% normaliz]],1)*(DATOS_[C.Extra.04])))))))),
0)</f>
        <v>0</v>
      </c>
      <c r="AT97" s="114">
        <f t="array" ref="AT97">IFERROR(
(MEDIAN((IF(DATOS_[[Sexo]:[Sexo]]=$B97,IF(DATOS_[[AGRUP. VALOR. PTO.]:[AGRUP. VALOR. PTO.]]=$B96,IF(DATOS_[[Check Periodo Ref.]:[Check Periodo Ref.]]="Dentro",IF(DATOS_[[Check Equiparado]:[Check Equiparado]]="Sí",IF(DATOS!BM$5="Sí",(1/DATOS_[[% anualiz]:[% anualiz]]),1)*IF(DATOS!BM$4="Sí",1/DATOS_[[% normaliz]:[% normaliz]],1)*(DATOS_[C.Extra.05])))))))),
0)</f>
        <v>0</v>
      </c>
      <c r="AU97" s="115">
        <f t="array" ref="AU97">IFERROR(
MEDIAN(IF(DATOS_[Sexo]=$B97,IF(DATOS_[[AGRUP. VALOR. PTO.]:[AGRUP. VALOR. PTO.]]=$B96,IF(DATOS_[Check Equiparado]="Sí",IF(DATOS_[Check Periodo Ref.]="Dentro",DATOS_[Tot Extrasalarial Eq],FALSE))))),
0)</f>
        <v>0</v>
      </c>
      <c r="AV97" s="116">
        <f t="array" ref="AV97">IFERROR(
MEDIAN(IF(DATOS_[Sexo]=$B97,IF(DATOS_[[AGRUP. VALOR. PTO.]:[AGRUP. VALOR. PTO.]]=$B96,IF(DATOS_[Check Equiparado]="Sí",IF(DATOS_[Check Periodo Ref.]="Dentro",DATOS_[TOTAL Retrib Eq],FALSE))))),
0)</f>
        <v>0</v>
      </c>
    </row>
    <row r="98" spans="1:48" hidden="1" x14ac:dyDescent="0.3">
      <c r="A98" s="42" t="str">
        <f t="shared" ref="A98" si="114">+A97</f>
        <v>[ocultar]</v>
      </c>
      <c r="B98" s="86" t="s">
        <v>163</v>
      </c>
      <c r="C98" s="33">
        <f t="array" ref="C98">SUM(IF($B98=DATOS_[Sexo],
IF($B96=DATOS_[AGRUP. VALOR. PTO.],
IF("Dentro"=DATOS_[Check Periodo Ref.],
1/(COUNTIFS(DATOS_[Sexo],$B98,DATOS_[AGRUP. VALOR. PTO.],$B96,DATOS_[Check Periodo Ref.],"Dentro",DATOS_[id],DATOS_[id]))))))</f>
        <v>0</v>
      </c>
      <c r="D98" s="35">
        <f>COUNTIFS(DATOS_[AGRUP. VALOR. PTO.],$B96,DATOS_[Sexo],$B98,DATOS_[Check Periodo Ref.],"Dentro")</f>
        <v>0</v>
      </c>
      <c r="E98" s="35">
        <f>COUNTIFS(DATOS_[AGRUP. VALOR. PTO.],$B96,DATOS_[Sexo],$B98,DATOS_[Check Periodo Ref.],"Dentro",DATOS_[Check Nº SC Norm],"Sí")</f>
        <v>0</v>
      </c>
      <c r="F98" s="35">
        <f>COUNTIFS(DATOS_[AGRUP. VALOR. PTO.],$B96,DATOS_[Sexo],$B98,DATOS_[Check Periodo Ref.],"Dentro",DATOS_[Check Nº SC Anualiz],"Sí")</f>
        <v>0</v>
      </c>
      <c r="G98" s="35">
        <f>COUNTIFS(DATOS_[AGRUP. VALOR. PTO.],$B96,DATOS_[Sexo],$B98,DATOS_[Check Periodo Ref.],"Dentro",DATOS_[Check Nº SC Norm y Anualiz],"Sí")</f>
        <v>0</v>
      </c>
      <c r="H98" s="35">
        <f>COUNTIFS(DATOS_[AGRUP. VALOR. PTO.],$B96,DATOS_[Sexo],$B98,DATOS_[Check Periodo Ref.],"Dentro",DATOS_[Check Equiparación],"Sí")</f>
        <v>0</v>
      </c>
      <c r="I98" s="110" cm="1">
        <f t="array" ref="I98">IFERROR(
MEDIAN(IF(DATOS_[Sexo]=$B98,IF(DATOS_[[AGRUP. VALOR. PTO.]:[AGRUP. VALOR. PTO.]]=$B96,IF(DATOS_[Check Equiparado]="Sí",IF(DATOS_[Check Periodo Ref.]="Dentro",DATOS_[SALARIO BASE Eq],FALSE))))),
0)</f>
        <v>0</v>
      </c>
      <c r="J98" s="111">
        <f t="array" ref="J98">IFERROR(
(MEDIAN((IF(DATOS_[[Sexo]:[Sexo]]=$B98,IF(DATOS_[[AGRUP. VALOR. PTO.]:[AGRUP. VALOR. PTO.]]=$B96,IF(DATOS_[[Check Periodo Ref.]:[Check Periodo Ref.]]="Dentro",IF(DATOS_[[Check Equiparado]:[Check Equiparado]]="Sí",IF(DATOS!AE$5="Sí",(1/DATOS_[[% anualiz]:[% anualiz]]),1)*IF(DATOS!AE$4="Sí",1/DATOS_[[% normaliz]:[% normaliz]],1)*(DATOS_[Conc.Sal.01])))))))),
0)</f>
        <v>0</v>
      </c>
      <c r="K98" s="111">
        <f t="array" ref="K98">IFERROR(
(MEDIAN((IF(DATOS_[[Sexo]:[Sexo]]=$B98,IF(DATOS_[[AGRUP. VALOR. PTO.]:[AGRUP. VALOR. PTO.]]=$B96,IF(DATOS_[[Check Periodo Ref.]:[Check Periodo Ref.]]="Dentro",IF(DATOS_[[Check Equiparado]:[Check Equiparado]]="Sí",IF(DATOS!AF$5="Sí",(1/DATOS_[[% anualiz]:[% anualiz]]),1)*IF(DATOS!AF$4="Sí",1/DATOS_[[% normaliz]:[% normaliz]],1)*(DATOS_[Conc.Sal.02])))))))),
0)</f>
        <v>0</v>
      </c>
      <c r="L98" s="111">
        <f t="array" ref="L98">IFERROR(
(MEDIAN((IF(DATOS_[[Sexo]:[Sexo]]=$B98,IF(DATOS_[[AGRUP. VALOR. PTO.]:[AGRUP. VALOR. PTO.]]=$B96,IF(DATOS_[[Check Periodo Ref.]:[Check Periodo Ref.]]="Dentro",IF(DATOS_[[Check Equiparado]:[Check Equiparado]]="Sí",IF(DATOS!AG$5="Sí",(1/DATOS_[[% anualiz]:[% anualiz]]),1)*IF(DATOS!AG$4="Sí",1/DATOS_[[% normaliz]:[% normaliz]],1)*(DATOS_[Conc.Sal.03])))))))),
0)</f>
        <v>0</v>
      </c>
      <c r="M98" s="111">
        <f t="array" ref="M98">IFERROR(
(MEDIAN((IF(DATOS_[[Sexo]:[Sexo]]=$B98,IF(DATOS_[[AGRUP. VALOR. PTO.]:[AGRUP. VALOR. PTO.]]=$B96,IF(DATOS_[[Check Periodo Ref.]:[Check Periodo Ref.]]="Dentro",IF(DATOS_[[Check Equiparado]:[Check Equiparado]]="Sí",IF(DATOS!AH$5="Sí",(1/DATOS_[[% anualiz]:[% anualiz]]),1)*IF(DATOS!AH$4="Sí",1/DATOS_[[% normaliz]:[% normaliz]],1)*(DATOS_[Conc.Sal.04])))))))),
0)</f>
        <v>0</v>
      </c>
      <c r="N98" s="111">
        <f t="array" ref="N98">IFERROR(
(MEDIAN((IF(DATOS_[[Sexo]:[Sexo]]=$B98,IF(DATOS_[[AGRUP. VALOR. PTO.]:[AGRUP. VALOR. PTO.]]=$B96,IF(DATOS_[[Check Periodo Ref.]:[Check Periodo Ref.]]="Dentro",IF(DATOS_[[Check Equiparado]:[Check Equiparado]]="Sí",IF(DATOS!AI$5="Sí",(1/DATOS_[[% anualiz]:[% anualiz]]),1)*IF(DATOS!AI$4="Sí",1/DATOS_[[% normaliz]:[% normaliz]],1)*(DATOS_[Conc.Sal.05])))))))),
0)</f>
        <v>0</v>
      </c>
      <c r="O98" s="111">
        <f t="array" ref="O98">IFERROR(
(MEDIAN((IF(DATOS_[[Sexo]:[Sexo]]=$B98,IF(DATOS_[[AGRUP. VALOR. PTO.]:[AGRUP. VALOR. PTO.]]=$B96,IF(DATOS_[[Check Periodo Ref.]:[Check Periodo Ref.]]="Dentro",IF(DATOS_[[Check Equiparado]:[Check Equiparado]]="Sí",IF(DATOS!AJ$5="Sí",(1/DATOS_[[% anualiz]:[% anualiz]]),1)*IF(DATOS!AJ$4="Sí",1/DATOS_[[% normaliz]:[% normaliz]],1)*(DATOS_[Conc.Sal.06])))))))),
0)</f>
        <v>0</v>
      </c>
      <c r="P98" s="111">
        <f t="array" ref="P98">IFERROR(
(MEDIAN((IF(DATOS_[[Sexo]:[Sexo]]=$B98,IF(DATOS_[[AGRUP. VALOR. PTO.]:[AGRUP. VALOR. PTO.]]=$B96,IF(DATOS_[[Check Periodo Ref.]:[Check Periodo Ref.]]="Dentro",IF(DATOS_[[Check Equiparado]:[Check Equiparado]]="Sí",IF(DATOS!AK$5="Sí",(1/DATOS_[[% anualiz]:[% anualiz]]),1)*IF(DATOS!AK$4="Sí",1/DATOS_[[% normaliz]:[% normaliz]],1)*(DATOS_[Conc.Sal.07])))))))),
0)</f>
        <v>0</v>
      </c>
      <c r="Q98" s="111">
        <f t="array" ref="Q98">IFERROR(
(MEDIAN((IF(DATOS_[[Sexo]:[Sexo]]=$B98,IF(DATOS_[[AGRUP. VALOR. PTO.]:[AGRUP. VALOR. PTO.]]=$B96,IF(DATOS_[[Check Periodo Ref.]:[Check Periodo Ref.]]="Dentro",IF(DATOS_[[Check Equiparado]:[Check Equiparado]]="Sí",IF(DATOS!AL$5="Sí",(1/DATOS_[[% anualiz]:[% anualiz]]),1)*IF(DATOS!AL$4="Sí",1/DATOS_[[% normaliz]:[% normaliz]],1)*(DATOS_[Conc.Sal.08])))))))),
0)</f>
        <v>0</v>
      </c>
      <c r="R98" s="111">
        <f t="array" ref="R98">IFERROR(
(MEDIAN((IF(DATOS_[[Sexo]:[Sexo]]=$B98,IF(DATOS_[[AGRUP. VALOR. PTO.]:[AGRUP. VALOR. PTO.]]=$B96,IF(DATOS_[[Check Periodo Ref.]:[Check Periodo Ref.]]="Dentro",IF(DATOS_[[Check Equiparado]:[Check Equiparado]]="Sí",IF(DATOS!AM$5="Sí",(1/DATOS_[[% anualiz]:[% anualiz]]),1)*IF(DATOS!AM$4="Sí",1/DATOS_[[% normaliz]:[% normaliz]],1)*(DATOS_[Conc.Sal.09])))))))),
0)</f>
        <v>0</v>
      </c>
      <c r="S98" s="111">
        <f t="array" ref="S98">IFERROR(
(MEDIAN((IF(DATOS_[[Sexo]:[Sexo]]=$B98,IF(DATOS_[[AGRUP. VALOR. PTO.]:[AGRUP. VALOR. PTO.]]=$B96,IF(DATOS_[[Check Periodo Ref.]:[Check Periodo Ref.]]="Dentro",IF(DATOS_[[Check Equiparado]:[Check Equiparado]]="Sí",IF(DATOS!AN$5="Sí",(1/DATOS_[[% anualiz]:[% anualiz]]),1)*IF(DATOS!AN$4="Sí",1/DATOS_[[% normaliz]:[% normaliz]],1)*(DATOS_[Conc.Sal.10])))))))),
0)</f>
        <v>0</v>
      </c>
      <c r="T98" s="111">
        <f t="array" ref="T98">IFERROR(
(MEDIAN((IF(DATOS_[[Sexo]:[Sexo]]=$B98,IF(DATOS_[[AGRUP. VALOR. PTO.]:[AGRUP. VALOR. PTO.]]=$B96,IF(DATOS_[[Check Periodo Ref.]:[Check Periodo Ref.]]="Dentro",IF(DATOS_[[Check Equiparado]:[Check Equiparado]]="Sí",IF(DATOS!AO$5="Sí",(1/DATOS_[[% anualiz]:[% anualiz]]),1)*IF(DATOS!AO$4="Sí",1/DATOS_[[% normaliz]:[% normaliz]],1)*(DATOS_[Conc.Sal.11])))))))),
0)</f>
        <v>0</v>
      </c>
      <c r="U98" s="111">
        <f t="array" ref="U98">IFERROR(
(MEDIAN((IF(DATOS_[[Sexo]:[Sexo]]=$B98,IF(DATOS_[[AGRUP. VALOR. PTO.]:[AGRUP. VALOR. PTO.]]=$B96,IF(DATOS_[[Check Periodo Ref.]:[Check Periodo Ref.]]="Dentro",IF(DATOS_[[Check Equiparado]:[Check Equiparado]]="Sí",IF(DATOS!AP$5="Sí",(1/DATOS_[[% anualiz]:[% anualiz]]),1)*IF(DATOS!AP$4="Sí",1/DATOS_[[% normaliz]:[% normaliz]],1)*(DATOS_[Conc.Sal.12])))))))),
0)</f>
        <v>0</v>
      </c>
      <c r="V98" s="111">
        <f t="array" ref="V98">IFERROR(
(MEDIAN((IF(DATOS_[[Sexo]:[Sexo]]=$B98,IF(DATOS_[[AGRUP. VALOR. PTO.]:[AGRUP. VALOR. PTO.]]=$B96,IF(DATOS_[[Check Periodo Ref.]:[Check Periodo Ref.]]="Dentro",IF(DATOS_[[Check Equiparado]:[Check Equiparado]]="Sí",IF(DATOS!AQ$5="Sí",(1/DATOS_[[% anualiz]:[% anualiz]]),1)*IF(DATOS!AQ$4="Sí",1/DATOS_[[% normaliz]:[% normaliz]],1)*(DATOS_[Conc.Sal.13])))))))),
0)</f>
        <v>0</v>
      </c>
      <c r="W98" s="111">
        <f t="array" ref="W98">IFERROR(
(MEDIAN((IF(DATOS_[[Sexo]:[Sexo]]=$B98,IF(DATOS_[[AGRUP. VALOR. PTO.]:[AGRUP. VALOR. PTO.]]=$B96,IF(DATOS_[[Check Periodo Ref.]:[Check Periodo Ref.]]="Dentro",IF(DATOS_[[Check Equiparado]:[Check Equiparado]]="Sí",IF(DATOS!AR$5="Sí",(1/DATOS_[[% anualiz]:[% anualiz]]),1)*IF(DATOS!AR$4="Sí",1/DATOS_[[% normaliz]:[% normaliz]],1)*(DATOS_[Conc.Sal.14])))))))),
0)</f>
        <v>0</v>
      </c>
      <c r="X98" s="111">
        <f t="array" ref="X98">IFERROR(
(MEDIAN((IF(DATOS_[[Sexo]:[Sexo]]=$B98,IF(DATOS_[[AGRUP. VALOR. PTO.]:[AGRUP. VALOR. PTO.]]=$B96,IF(DATOS_[[Check Periodo Ref.]:[Check Periodo Ref.]]="Dentro",IF(DATOS_[[Check Equiparado]:[Check Equiparado]]="Sí",IF(DATOS!AS$5="Sí",(1/DATOS_[[% anualiz]:[% anualiz]]),1)*IF(DATOS!AS$4="Sí",1/DATOS_[[% normaliz]:[% normaliz]],1)*(DATOS_[Conc.Sal.15])))))))),
0)</f>
        <v>0</v>
      </c>
      <c r="Y98" s="111">
        <f t="array" ref="Y98">IFERROR(
(MEDIAN((IF(DATOS_[[Sexo]:[Sexo]]=$B98,IF(DATOS_[[AGRUP. VALOR. PTO.]:[AGRUP. VALOR. PTO.]]=$B96,IF(DATOS_[[Check Periodo Ref.]:[Check Periodo Ref.]]="Dentro",IF(DATOS_[[Check Equiparado]:[Check Equiparado]]="Sí",IF(DATOS!AT$5="Sí",(1/DATOS_[[% anualiz]:[% anualiz]]),1)*IF(DATOS!AT$4="Sí",1/DATOS_[[% normaliz]:[% normaliz]],1)*(DATOS_[Conc.Sal.16])))))))),
0)</f>
        <v>0</v>
      </c>
      <c r="Z98" s="111">
        <f t="array" ref="Z98">IFERROR(
(MEDIAN((IF(DATOS_[[Sexo]:[Sexo]]=$B98,IF(DATOS_[[AGRUP. VALOR. PTO.]:[AGRUP. VALOR. PTO.]]=$B96,IF(DATOS_[[Check Periodo Ref.]:[Check Periodo Ref.]]="Dentro",IF(DATOS_[[Check Equiparado]:[Check Equiparado]]="Sí",IF(DATOS!AU$5="Sí",(1/DATOS_[[% anualiz]:[% anualiz]]),1)*IF(DATOS!AU$4="Sí",1/DATOS_[[% normaliz]:[% normaliz]],1)*(DATOS_[Conc.Sal.17])))))))),
0)</f>
        <v>0</v>
      </c>
      <c r="AA98" s="111">
        <f t="array" ref="AA98">IFERROR(
(MEDIAN((IF(DATOS_[[Sexo]:[Sexo]]=$B98,IF(DATOS_[[AGRUP. VALOR. PTO.]:[AGRUP. VALOR. PTO.]]=$B96,IF(DATOS_[[Check Periodo Ref.]:[Check Periodo Ref.]]="Dentro",IF(DATOS_[[Check Equiparado]:[Check Equiparado]]="Sí",IF(DATOS!AV$5="Sí",(1/DATOS_[[% anualiz]:[% anualiz]]),1)*IF(DATOS!AV$4="Sí",1/DATOS_[[% normaliz]:[% normaliz]],1)*(DATOS_[Conc.Sal.18])))))))),
0)</f>
        <v>0</v>
      </c>
      <c r="AB98" s="111">
        <f t="array" ref="AB98">IFERROR(
(MEDIAN((IF(DATOS_[[Sexo]:[Sexo]]=$B98,IF(DATOS_[[AGRUP. VALOR. PTO.]:[AGRUP. VALOR. PTO.]]=$B96,IF(DATOS_[[Check Periodo Ref.]:[Check Periodo Ref.]]="Dentro",IF(DATOS_[[Check Equiparado]:[Check Equiparado]]="Sí",IF(DATOS!AW$5="Sí",(1/DATOS_[[% anualiz]:[% anualiz]]),1)*IF(DATOS!AW$4="Sí",1/DATOS_[[% normaliz]:[% normaliz]],1)*(DATOS_[Conc.Sal.19])))))))),
0)</f>
        <v>0</v>
      </c>
      <c r="AC98" s="111">
        <f t="array" ref="AC98">IFERROR(
(MEDIAN((IF(DATOS_[[Sexo]:[Sexo]]=$B98,IF(DATOS_[[AGRUP. VALOR. PTO.]:[AGRUP. VALOR. PTO.]]=$B96,IF(DATOS_[[Check Periodo Ref.]:[Check Periodo Ref.]]="Dentro",IF(DATOS_[[Check Equiparado]:[Check Equiparado]]="Sí",IF(DATOS!AX$5="Sí",(1/DATOS_[[% anualiz]:[% anualiz]]),1)*IF(DATOS!AX$4="Sí",1/DATOS_[[% normaliz]:[% normaliz]],1)*(DATOS_[Conc.Sal.20])))))))),
0)</f>
        <v>0</v>
      </c>
      <c r="AD98" s="111">
        <f t="array" ref="AD98">IFERROR(
(MEDIAN((IF(DATOS_[[Sexo]:[Sexo]]=$B98,IF(DATOS_[[AGRUP. VALOR. PTO.]:[AGRUP. VALOR. PTO.]]=$B96,IF(DATOS_[[Check Periodo Ref.]:[Check Periodo Ref.]]="Dentro",IF(DATOS_[[Check Equiparado]:[Check Equiparado]]="Sí",IF(DATOS!AY$5="Sí",(1/DATOS_[[% anualiz]:[% anualiz]]),1)*IF(DATOS!AY$4="Sí",1/DATOS_[[% normaliz]:[% normaliz]],1)*(DATOS_[Conc.Sal.21])))))))),
0)</f>
        <v>0</v>
      </c>
      <c r="AE98" s="111">
        <f t="array" ref="AE98">IFERROR(
(MEDIAN((IF(DATOS_[[Sexo]:[Sexo]]=$B98,IF(DATOS_[[AGRUP. VALOR. PTO.]:[AGRUP. VALOR. PTO.]]=$B96,IF(DATOS_[[Check Periodo Ref.]:[Check Periodo Ref.]]="Dentro",IF(DATOS_[[Check Equiparado]:[Check Equiparado]]="Sí",IF(DATOS!AZ$5="Sí",(1/DATOS_[[% anualiz]:[% anualiz]]),1)*IF(DATOS!AZ$4="Sí",1/DATOS_[[% normaliz]:[% normaliz]],1)*(DATOS_[Conc.Sal.22])))))))),
0)</f>
        <v>0</v>
      </c>
      <c r="AF98" s="111">
        <f t="array" ref="AF98">IFERROR(
(MEDIAN((IF(DATOS_[[Sexo]:[Sexo]]=$B98,IF(DATOS_[[AGRUP. VALOR. PTO.]:[AGRUP. VALOR. PTO.]]=$B96,IF(DATOS_[[Check Periodo Ref.]:[Check Periodo Ref.]]="Dentro",IF(DATOS_[[Check Equiparado]:[Check Equiparado]]="Sí",IF(DATOS!BA$5="Sí",(1/DATOS_[[% anualiz]:[% anualiz]]),1)*IF(DATOS!BA$4="Sí",1/DATOS_[[% normaliz]:[% normaliz]],1)*(DATOS_[Conc.Sal.23])))))))),
0)</f>
        <v>0</v>
      </c>
      <c r="AG98" s="111">
        <f t="array" ref="AG98">IFERROR(
(MEDIAN((IF(DATOS_[[Sexo]:[Sexo]]=$B98,IF(DATOS_[[AGRUP. VALOR. PTO.]:[AGRUP. VALOR. PTO.]]=$B96,IF(DATOS_[[Check Periodo Ref.]:[Check Periodo Ref.]]="Dentro",IF(DATOS_[[Check Equiparado]:[Check Equiparado]]="Sí",IF(DATOS!BB$5="Sí",(1/DATOS_[[% anualiz]:[% anualiz]]),1)*IF(DATOS!BB$4="Sí",1/DATOS_[[% normaliz]:[% normaliz]],1)*(DATOS_[Conc.Sal.24])))))))),
0)</f>
        <v>0</v>
      </c>
      <c r="AH98" s="111">
        <f t="array" ref="AH98">IFERROR(
(MEDIAN((IF(DATOS_[[Sexo]:[Sexo]]=$B98,IF(DATOS_[[AGRUP. VALOR. PTO.]:[AGRUP. VALOR. PTO.]]=$B96,IF(DATOS_[[Check Periodo Ref.]:[Check Periodo Ref.]]="Dentro",IF(DATOS_[[Check Equiparado]:[Check Equiparado]]="Sí",IF(DATOS!BC$5="Sí",(1/DATOS_[[% anualiz]:[% anualiz]]),1)*IF(DATOS!BC$4="Sí",1/DATOS_[[% normaliz]:[% normaliz]],1)*(DATOS_[Conc.Sal.25])))))))),
0)</f>
        <v>0</v>
      </c>
      <c r="AI98" s="111">
        <f t="array" ref="AI98">IFERROR(
(MEDIAN((IF(DATOS_[[Sexo]:[Sexo]]=$B98,IF(DATOS_[[AGRUP. VALOR. PTO.]:[AGRUP. VALOR. PTO.]]=$B96,IF(DATOS_[[Check Periodo Ref.]:[Check Periodo Ref.]]="Dentro",IF(DATOS_[[Check Equiparado]:[Check Equiparado]]="Sí",IF(DATOS!BD$5="Sí",(1/DATOS_[[% anualiz]:[% anualiz]]),1)*IF(DATOS!BD$4="Sí",1/DATOS_[[% normaliz]:[% normaliz]],1)*(DATOS_[Conc.Sal.26])))))))),
0)</f>
        <v>0</v>
      </c>
      <c r="AJ98" s="111">
        <f t="array" ref="AJ98">IFERROR(
(MEDIAN((IF(DATOS_[[Sexo]:[Sexo]]=$B98,IF(DATOS_[[AGRUP. VALOR. PTO.]:[AGRUP. VALOR. PTO.]]=$B96,IF(DATOS_[[Check Periodo Ref.]:[Check Periodo Ref.]]="Dentro",IF(DATOS_[[Check Equiparado]:[Check Equiparado]]="Sí",IF(DATOS!BE$5="Sí",(1/DATOS_[[% anualiz]:[% anualiz]]),1)*IF(DATOS!BE$4="Sí",1/DATOS_[[% normaliz]:[% normaliz]],1)*(DATOS_[Conc.Sal.27])))))))),
0)</f>
        <v>0</v>
      </c>
      <c r="AK98" s="111">
        <f t="array" ref="AK98">IFERROR(
(MEDIAN((IF(DATOS_[[Sexo]:[Sexo]]=$B98,IF(DATOS_[[AGRUP. VALOR. PTO.]:[AGRUP. VALOR. PTO.]]=$B96,IF(DATOS_[[Check Periodo Ref.]:[Check Periodo Ref.]]="Dentro",IF(DATOS_[[Check Equiparado]:[Check Equiparado]]="Sí",IF(DATOS!BF$5="Sí",(1/DATOS_[[% anualiz]:[% anualiz]]),1)*IF(DATOS!BF$4="Sí",1/DATOS_[[% normaliz]:[% normaliz]],1)*(DATOS_[Conc.Sal.28])))))))),
0)</f>
        <v>0</v>
      </c>
      <c r="AL98" s="111">
        <f t="array" ref="AL98">IFERROR(
(MEDIAN((IF(DATOS_[[Sexo]:[Sexo]]=$B98,IF(DATOS_[[AGRUP. VALOR. PTO.]:[AGRUP. VALOR. PTO.]]=$B96,IF(DATOS_[[Check Periodo Ref.]:[Check Periodo Ref.]]="Dentro",IF(DATOS_[[Check Equiparado]:[Check Equiparado]]="Sí",IF(DATOS!BG$5="Sí",(1/DATOS_[[% anualiz]:[% anualiz]]),1)*IF(DATOS!BG$4="Sí",1/DATOS_[[% normaliz]:[% normaliz]],1)*(DATOS_[Conc.Sal.29])))))))),
0)</f>
        <v>0</v>
      </c>
      <c r="AM98" s="111">
        <f t="array" ref="AM98">IFERROR(
(MEDIAN((IF(DATOS_[[Sexo]:[Sexo]]=$B98,IF(DATOS_[[AGRUP. VALOR. PTO.]:[AGRUP. VALOR. PTO.]]=$B96,IF(DATOS_[[Check Periodo Ref.]:[Check Periodo Ref.]]="Dentro",IF(DATOS_[[Check Equiparado]:[Check Equiparado]]="Sí",IF(DATOS!BH$5="Sí",(1/DATOS_[[% anualiz]:[% anualiz]]),1)*IF(DATOS!BH$4="Sí",1/DATOS_[[% normaliz]:[% normaliz]],1)*(DATOS_[Conc.Sal.30])))))))),
0)</f>
        <v>0</v>
      </c>
      <c r="AN98" s="112">
        <f t="array" ref="AN98">IFERROR(
MEDIAN(IF(DATOS_[Sexo]=$B98,IF(DATOS_[[AGRUP. VALOR. PTO.]:[AGRUP. VALOR. PTO.]]=$B96,IF(DATOS_[Check Equiparado]="Sí",IF(DATOS_[Check Periodo Ref.]="Dentro",DATOS_[Tot COMPL.SAL Eq],FALSE))))),
0)</f>
        <v>0</v>
      </c>
      <c r="AO98" s="113">
        <f t="array" ref="AO98">IFERROR(
MEDIAN(IF(DATOS_[Sexo]=$B98,IF(DATOS_[[AGRUP. VALOR. PTO.]:[AGRUP. VALOR. PTO.]]=$B96,IF(DATOS_[Check Equiparado]="Sí",IF(DATOS_[Check Periodo Ref.]="Dentro",DATOS_[TOTAL SALARIO Eq],FALSE))))),
0)</f>
        <v>0</v>
      </c>
      <c r="AP98" s="114">
        <f t="array" ref="AP98">IFERROR(
(MEDIAN((IF(DATOS_[[Sexo]:[Sexo]]=$B98,IF(DATOS_[[AGRUP. VALOR. PTO.]:[AGRUP. VALOR. PTO.]]=$B97,IF(DATOS_[[Check Periodo Ref.]:[Check Periodo Ref.]]="Dentro",IF(DATOS_[[Check Equiparado]:[Check Equiparado]]="Sí",IF(DATOS!BI$5="Sí",(1/DATOS_[[% anualiz]:[% anualiz]]),1)*IF(DATOS!BI$4="Sí",1/DATOS_[[% normaliz]:[% normaliz]],1)*(DATOS_[C.Extra.01])))))))),
0)</f>
        <v>0</v>
      </c>
      <c r="AQ98" s="114">
        <f t="array" ref="AQ98">IFERROR(
(MEDIAN((IF(DATOS_[[Sexo]:[Sexo]]=$B98,IF(DATOS_[[AGRUP. VALOR. PTO.]:[AGRUP. VALOR. PTO.]]=$B97,IF(DATOS_[[Check Periodo Ref.]:[Check Periodo Ref.]]="Dentro",IF(DATOS_[[Check Equiparado]:[Check Equiparado]]="Sí",IF(DATOS!BJ$5="Sí",(1/DATOS_[[% anualiz]:[% anualiz]]),1)*IF(DATOS!BJ$4="Sí",1/DATOS_[[% normaliz]:[% normaliz]],1)*(DATOS_[C.Extra.02])))))))),
0)</f>
        <v>0</v>
      </c>
      <c r="AR98" s="114">
        <f t="array" ref="AR98">IFERROR(
(MEDIAN((IF(DATOS_[[Sexo]:[Sexo]]=$B98,IF(DATOS_[[AGRUP. VALOR. PTO.]:[AGRUP. VALOR. PTO.]]=$B97,IF(DATOS_[[Check Periodo Ref.]:[Check Periodo Ref.]]="Dentro",IF(DATOS_[[Check Equiparado]:[Check Equiparado]]="Sí",IF(DATOS!BK$5="Sí",(1/DATOS_[[% anualiz]:[% anualiz]]),1)*IF(DATOS!BK$4="Sí",1/DATOS_[[% normaliz]:[% normaliz]],1)*(DATOS_[C.Extra.03])))))))),
0)</f>
        <v>0</v>
      </c>
      <c r="AS98" s="114">
        <f t="array" ref="AS98">IFERROR(
(MEDIAN((IF(DATOS_[[Sexo]:[Sexo]]=$B98,IF(DATOS_[[AGRUP. VALOR. PTO.]:[AGRUP. VALOR. PTO.]]=$B97,IF(DATOS_[[Check Periodo Ref.]:[Check Periodo Ref.]]="Dentro",IF(DATOS_[[Check Equiparado]:[Check Equiparado]]="Sí",IF(DATOS!BL$5="Sí",(1/DATOS_[[% anualiz]:[% anualiz]]),1)*IF(DATOS!BL$4="Sí",1/DATOS_[[% normaliz]:[% normaliz]],1)*(DATOS_[C.Extra.04])))))))),
0)</f>
        <v>0</v>
      </c>
      <c r="AT98" s="114">
        <f t="array" ref="AT98">IFERROR(
(MEDIAN((IF(DATOS_[[Sexo]:[Sexo]]=$B98,IF(DATOS_[[AGRUP. VALOR. PTO.]:[AGRUP. VALOR. PTO.]]=$B97,IF(DATOS_[[Check Periodo Ref.]:[Check Periodo Ref.]]="Dentro",IF(DATOS_[[Check Equiparado]:[Check Equiparado]]="Sí",IF(DATOS!BM$5="Sí",(1/DATOS_[[% anualiz]:[% anualiz]]),1)*IF(DATOS!BM$4="Sí",1/DATOS_[[% normaliz]:[% normaliz]],1)*(DATOS_[C.Extra.05])))))))),
0)</f>
        <v>0</v>
      </c>
      <c r="AU98" s="115">
        <f t="array" ref="AU98">IFERROR(
MEDIAN(IF(DATOS_[Sexo]=$B98,IF(DATOS_[[AGRUP. VALOR. PTO.]:[AGRUP. VALOR. PTO.]]=$B96,IF(DATOS_[Check Equiparado]="Sí",IF(DATOS_[Check Periodo Ref.]="Dentro",DATOS_[Tot Extrasalarial Eq],FALSE))))),
0)</f>
        <v>0</v>
      </c>
      <c r="AV98" s="116">
        <f t="array" ref="AV98">IFERROR(
MEDIAN(IF(DATOS_[Sexo]=$B98,IF(DATOS_[[AGRUP. VALOR. PTO.]:[AGRUP. VALOR. PTO.]]=$B96,IF(DATOS_[Check Equiparado]="Sí",IF(DATOS_[Check Periodo Ref.]="Dentro",DATOS_[TOTAL Retrib Eq],FALSE))))),
0)</f>
        <v>0</v>
      </c>
    </row>
    <row r="99" spans="1:48" ht="17.25" hidden="1" thickBot="1" x14ac:dyDescent="0.35">
      <c r="A99" s="42" t="str">
        <f t="shared" ref="A99" si="115">+A100</f>
        <v>[ocultar]</v>
      </c>
      <c r="B99" s="90" t="s">
        <v>288</v>
      </c>
      <c r="C99" s="109"/>
      <c r="D99" s="41"/>
      <c r="E99" s="41"/>
      <c r="F99" s="41"/>
      <c r="G99" s="41"/>
      <c r="H99" s="41"/>
      <c r="I99" s="119" t="str">
        <f t="shared" ref="I99:AV99" si="116">IFERROR((I100-I101)/I100,"")</f>
        <v/>
      </c>
      <c r="J99" s="123" t="str">
        <f t="shared" si="116"/>
        <v/>
      </c>
      <c r="K99" s="123" t="str">
        <f t="shared" si="116"/>
        <v/>
      </c>
      <c r="L99" s="123" t="str">
        <f t="shared" si="116"/>
        <v/>
      </c>
      <c r="M99" s="123" t="str">
        <f t="shared" si="116"/>
        <v/>
      </c>
      <c r="N99" s="123" t="str">
        <f t="shared" si="116"/>
        <v/>
      </c>
      <c r="O99" s="123" t="str">
        <f t="shared" si="116"/>
        <v/>
      </c>
      <c r="P99" s="123" t="str">
        <f t="shared" si="116"/>
        <v/>
      </c>
      <c r="Q99" s="123" t="str">
        <f t="shared" si="116"/>
        <v/>
      </c>
      <c r="R99" s="123" t="str">
        <f t="shared" si="116"/>
        <v/>
      </c>
      <c r="S99" s="123" t="str">
        <f t="shared" si="116"/>
        <v/>
      </c>
      <c r="T99" s="123" t="str">
        <f t="shared" si="116"/>
        <v/>
      </c>
      <c r="U99" s="123" t="str">
        <f t="shared" si="116"/>
        <v/>
      </c>
      <c r="V99" s="123" t="str">
        <f t="shared" si="116"/>
        <v/>
      </c>
      <c r="W99" s="123" t="str">
        <f t="shared" si="116"/>
        <v/>
      </c>
      <c r="X99" s="123" t="str">
        <f t="shared" si="116"/>
        <v/>
      </c>
      <c r="Y99" s="123" t="str">
        <f t="shared" si="116"/>
        <v/>
      </c>
      <c r="Z99" s="122" t="str">
        <f t="shared" si="116"/>
        <v/>
      </c>
      <c r="AA99" s="122" t="str">
        <f t="shared" si="116"/>
        <v/>
      </c>
      <c r="AB99" s="122" t="str">
        <f t="shared" si="116"/>
        <v/>
      </c>
      <c r="AC99" s="122" t="str">
        <f t="shared" si="116"/>
        <v/>
      </c>
      <c r="AD99" s="122" t="str">
        <f t="shared" si="116"/>
        <v/>
      </c>
      <c r="AE99" s="122" t="str">
        <f t="shared" si="116"/>
        <v/>
      </c>
      <c r="AF99" s="122" t="str">
        <f t="shared" si="116"/>
        <v/>
      </c>
      <c r="AG99" s="122" t="str">
        <f t="shared" si="116"/>
        <v/>
      </c>
      <c r="AH99" s="122" t="str">
        <f t="shared" si="116"/>
        <v/>
      </c>
      <c r="AI99" s="122" t="str">
        <f t="shared" si="116"/>
        <v/>
      </c>
      <c r="AJ99" s="122" t="str">
        <f t="shared" si="116"/>
        <v/>
      </c>
      <c r="AK99" s="122" t="str">
        <f t="shared" si="116"/>
        <v/>
      </c>
      <c r="AL99" s="122" t="str">
        <f t="shared" si="116"/>
        <v/>
      </c>
      <c r="AM99" s="122" t="str">
        <f t="shared" si="116"/>
        <v/>
      </c>
      <c r="AN99" s="124" t="str">
        <f t="shared" si="116"/>
        <v/>
      </c>
      <c r="AO99" s="128" t="str">
        <f t="shared" si="116"/>
        <v/>
      </c>
      <c r="AP99" s="125" t="str">
        <f t="shared" si="116"/>
        <v/>
      </c>
      <c r="AQ99" s="125" t="str">
        <f t="shared" si="116"/>
        <v/>
      </c>
      <c r="AR99" s="125" t="str">
        <f t="shared" si="116"/>
        <v/>
      </c>
      <c r="AS99" s="125" t="str">
        <f t="shared" si="116"/>
        <v/>
      </c>
      <c r="AT99" s="125" t="str">
        <f t="shared" si="116"/>
        <v/>
      </c>
      <c r="AU99" s="126" t="str">
        <f t="shared" si="116"/>
        <v/>
      </c>
      <c r="AV99" s="127" t="str">
        <f t="shared" si="116"/>
        <v/>
      </c>
    </row>
    <row r="100" spans="1:48" hidden="1" x14ac:dyDescent="0.3">
      <c r="A100" s="42" t="str">
        <f t="shared" ref="A100" si="117">+IF(C100+C101=0,"[ocultar]","")</f>
        <v>[ocultar]</v>
      </c>
      <c r="B100" s="86" t="s">
        <v>162</v>
      </c>
      <c r="C100" s="33">
        <f t="array" ref="C100">SUM(IF($B100=DATOS_[Sexo],
IF($B99=DATOS_[AGRUP. VALOR. PTO.],
IF("Dentro"=DATOS_[Check Periodo Ref.],
1/(COUNTIFS(DATOS_[Sexo],$B100,DATOS_[AGRUP. VALOR. PTO.],$B99,DATOS_[Check Periodo Ref.],"Dentro",DATOS_[id],DATOS_[id]))))))</f>
        <v>0</v>
      </c>
      <c r="D100" s="35">
        <f>COUNTIFS(DATOS_[AGRUP. VALOR. PTO.],$B99,DATOS_[Sexo],$B100,DATOS_[Check Periodo Ref.],"Dentro")</f>
        <v>0</v>
      </c>
      <c r="E100" s="35">
        <f>COUNTIFS(DATOS_[AGRUP. VALOR. PTO.],$B99,DATOS_[Sexo],$B100,DATOS_[Check Periodo Ref.],"Dentro",DATOS_[Check Nº SC Norm],"Sí")</f>
        <v>0</v>
      </c>
      <c r="F100" s="35">
        <f>COUNTIFS(DATOS_[AGRUP. VALOR. PTO.],$B99,DATOS_[Sexo],$B100,DATOS_[Check Periodo Ref.],"Dentro",DATOS_[Check Nº SC Anualiz],"Sí")</f>
        <v>0</v>
      </c>
      <c r="G100" s="35">
        <f>COUNTIFS(DATOS_[AGRUP. VALOR. PTO.],$B99,DATOS_[Sexo],$B100,DATOS_[Check Periodo Ref.],"Dentro",DATOS_[Check Nº SC Norm y Anualiz],"Sí")</f>
        <v>0</v>
      </c>
      <c r="H100" s="35">
        <f>COUNTIFS(DATOS_[AGRUP. VALOR. PTO.],$B99,DATOS_[Sexo],$B100,DATOS_[Check Periodo Ref.],"Dentro",DATOS_[Check Equiparación],"Sí")</f>
        <v>0</v>
      </c>
      <c r="I100" s="110">
        <f t="array" ref="I100">IFERROR(
MEDIAN(IF(DATOS_[Sexo]=$B100,IF(DATOS_[[AGRUP. VALOR. PTO.]:[AGRUP. VALOR. PTO.]]=$B99,IF(DATOS_[Check Equiparado]="Sí",IF(DATOS_[Check Periodo Ref.]="Dentro",DATOS_[SALARIO BASE Eq],FALSE))))),
0)</f>
        <v>0</v>
      </c>
      <c r="J100" s="111">
        <f t="array" ref="J100">IFERROR(
(MEDIAN((IF(DATOS_[[Sexo]:[Sexo]]=$B100,IF(DATOS_[[AGRUP. VALOR. PTO.]:[AGRUP. VALOR. PTO.]]=$B99,IF(DATOS_[[Check Periodo Ref.]:[Check Periodo Ref.]]="Dentro",IF(DATOS_[[Check Equiparado]:[Check Equiparado]]="Sí",IF(DATOS!AE$5="Sí",(1/DATOS_[[% anualiz]:[% anualiz]]),1)*IF(DATOS!AE$4="Sí",1/DATOS_[[% normaliz]:[% normaliz]],1)*(DATOS_[Conc.Sal.01])))))))),
0)</f>
        <v>0</v>
      </c>
      <c r="K100" s="111">
        <f t="array" ref="K100">IFERROR(
(MEDIAN((IF(DATOS_[[Sexo]:[Sexo]]=$B100,IF(DATOS_[[AGRUP. VALOR. PTO.]:[AGRUP. VALOR. PTO.]]=$B99,IF(DATOS_[[Check Periodo Ref.]:[Check Periodo Ref.]]="Dentro",IF(DATOS_[[Check Equiparado]:[Check Equiparado]]="Sí",IF(DATOS!AF$5="Sí",(1/DATOS_[[% anualiz]:[% anualiz]]),1)*IF(DATOS!AF$4="Sí",1/DATOS_[[% normaliz]:[% normaliz]],1)*(DATOS_[Conc.Sal.02])))))))),
0)</f>
        <v>0</v>
      </c>
      <c r="L100" s="111">
        <f t="array" ref="L100">IFERROR(
(MEDIAN((IF(DATOS_[[Sexo]:[Sexo]]=$B100,IF(DATOS_[[AGRUP. VALOR. PTO.]:[AGRUP. VALOR. PTO.]]=$B99,IF(DATOS_[[Check Periodo Ref.]:[Check Periodo Ref.]]="Dentro",IF(DATOS_[[Check Equiparado]:[Check Equiparado]]="Sí",IF(DATOS!AG$5="Sí",(1/DATOS_[[% anualiz]:[% anualiz]]),1)*IF(DATOS!AG$4="Sí",1/DATOS_[[% normaliz]:[% normaliz]],1)*(DATOS_[Conc.Sal.03])))))))),
0)</f>
        <v>0</v>
      </c>
      <c r="M100" s="111">
        <f t="array" ref="M100">IFERROR(
(MEDIAN((IF(DATOS_[[Sexo]:[Sexo]]=$B100,IF(DATOS_[[AGRUP. VALOR. PTO.]:[AGRUP. VALOR. PTO.]]=$B99,IF(DATOS_[[Check Periodo Ref.]:[Check Periodo Ref.]]="Dentro",IF(DATOS_[[Check Equiparado]:[Check Equiparado]]="Sí",IF(DATOS!AH$5="Sí",(1/DATOS_[[% anualiz]:[% anualiz]]),1)*IF(DATOS!AH$4="Sí",1/DATOS_[[% normaliz]:[% normaliz]],1)*(DATOS_[Conc.Sal.04])))))))),
0)</f>
        <v>0</v>
      </c>
      <c r="N100" s="111">
        <f t="array" ref="N100">IFERROR(
(MEDIAN((IF(DATOS_[[Sexo]:[Sexo]]=$B100,IF(DATOS_[[AGRUP. VALOR. PTO.]:[AGRUP. VALOR. PTO.]]=$B99,IF(DATOS_[[Check Periodo Ref.]:[Check Periodo Ref.]]="Dentro",IF(DATOS_[[Check Equiparado]:[Check Equiparado]]="Sí",IF(DATOS!AI$5="Sí",(1/DATOS_[[% anualiz]:[% anualiz]]),1)*IF(DATOS!AI$4="Sí",1/DATOS_[[% normaliz]:[% normaliz]],1)*(DATOS_[Conc.Sal.05])))))))),
0)</f>
        <v>0</v>
      </c>
      <c r="O100" s="111">
        <f t="array" ref="O100">IFERROR(
(MEDIAN((IF(DATOS_[[Sexo]:[Sexo]]=$B100,IF(DATOS_[[AGRUP. VALOR. PTO.]:[AGRUP. VALOR. PTO.]]=$B99,IF(DATOS_[[Check Periodo Ref.]:[Check Periodo Ref.]]="Dentro",IF(DATOS_[[Check Equiparado]:[Check Equiparado]]="Sí",IF(DATOS!AJ$5="Sí",(1/DATOS_[[% anualiz]:[% anualiz]]),1)*IF(DATOS!AJ$4="Sí",1/DATOS_[[% normaliz]:[% normaliz]],1)*(DATOS_[Conc.Sal.06])))))))),
0)</f>
        <v>0</v>
      </c>
      <c r="P100" s="111">
        <f t="array" ref="P100">IFERROR(
(MEDIAN((IF(DATOS_[[Sexo]:[Sexo]]=$B100,IF(DATOS_[[AGRUP. VALOR. PTO.]:[AGRUP. VALOR. PTO.]]=$B99,IF(DATOS_[[Check Periodo Ref.]:[Check Periodo Ref.]]="Dentro",IF(DATOS_[[Check Equiparado]:[Check Equiparado]]="Sí",IF(DATOS!AK$5="Sí",(1/DATOS_[[% anualiz]:[% anualiz]]),1)*IF(DATOS!AK$4="Sí",1/DATOS_[[% normaliz]:[% normaliz]],1)*(DATOS_[Conc.Sal.07])))))))),
0)</f>
        <v>0</v>
      </c>
      <c r="Q100" s="111">
        <f t="array" ref="Q100">IFERROR(
(MEDIAN((IF(DATOS_[[Sexo]:[Sexo]]=$B100,IF(DATOS_[[AGRUP. VALOR. PTO.]:[AGRUP. VALOR. PTO.]]=$B99,IF(DATOS_[[Check Periodo Ref.]:[Check Periodo Ref.]]="Dentro",IF(DATOS_[[Check Equiparado]:[Check Equiparado]]="Sí",IF(DATOS!AL$5="Sí",(1/DATOS_[[% anualiz]:[% anualiz]]),1)*IF(DATOS!AL$4="Sí",1/DATOS_[[% normaliz]:[% normaliz]],1)*(DATOS_[Conc.Sal.08])))))))),
0)</f>
        <v>0</v>
      </c>
      <c r="R100" s="111">
        <f t="array" ref="R100">IFERROR(
(MEDIAN((IF(DATOS_[[Sexo]:[Sexo]]=$B100,IF(DATOS_[[AGRUP. VALOR. PTO.]:[AGRUP. VALOR. PTO.]]=$B99,IF(DATOS_[[Check Periodo Ref.]:[Check Periodo Ref.]]="Dentro",IF(DATOS_[[Check Equiparado]:[Check Equiparado]]="Sí",IF(DATOS!AM$5="Sí",(1/DATOS_[[% anualiz]:[% anualiz]]),1)*IF(DATOS!AM$4="Sí",1/DATOS_[[% normaliz]:[% normaliz]],1)*(DATOS_[Conc.Sal.09])))))))),
0)</f>
        <v>0</v>
      </c>
      <c r="S100" s="111">
        <f t="array" ref="S100">IFERROR(
(MEDIAN((IF(DATOS_[[Sexo]:[Sexo]]=$B100,IF(DATOS_[[AGRUP. VALOR. PTO.]:[AGRUP. VALOR. PTO.]]=$B99,IF(DATOS_[[Check Periodo Ref.]:[Check Periodo Ref.]]="Dentro",IF(DATOS_[[Check Equiparado]:[Check Equiparado]]="Sí",IF(DATOS!AN$5="Sí",(1/DATOS_[[% anualiz]:[% anualiz]]),1)*IF(DATOS!AN$4="Sí",1/DATOS_[[% normaliz]:[% normaliz]],1)*(DATOS_[Conc.Sal.10])))))))),
0)</f>
        <v>0</v>
      </c>
      <c r="T100" s="111">
        <f t="array" ref="T100">IFERROR(
(MEDIAN((IF(DATOS_[[Sexo]:[Sexo]]=$B100,IF(DATOS_[[AGRUP. VALOR. PTO.]:[AGRUP. VALOR. PTO.]]=$B99,IF(DATOS_[[Check Periodo Ref.]:[Check Periodo Ref.]]="Dentro",IF(DATOS_[[Check Equiparado]:[Check Equiparado]]="Sí",IF(DATOS!AO$5="Sí",(1/DATOS_[[% anualiz]:[% anualiz]]),1)*IF(DATOS!AO$4="Sí",1/DATOS_[[% normaliz]:[% normaliz]],1)*(DATOS_[Conc.Sal.11])))))))),
0)</f>
        <v>0</v>
      </c>
      <c r="U100" s="111">
        <f t="array" ref="U100">IFERROR(
(MEDIAN((IF(DATOS_[[Sexo]:[Sexo]]=$B100,IF(DATOS_[[AGRUP. VALOR. PTO.]:[AGRUP. VALOR. PTO.]]=$B99,IF(DATOS_[[Check Periodo Ref.]:[Check Periodo Ref.]]="Dentro",IF(DATOS_[[Check Equiparado]:[Check Equiparado]]="Sí",IF(DATOS!AP$5="Sí",(1/DATOS_[[% anualiz]:[% anualiz]]),1)*IF(DATOS!AP$4="Sí",1/DATOS_[[% normaliz]:[% normaliz]],1)*(DATOS_[Conc.Sal.12])))))))),
0)</f>
        <v>0</v>
      </c>
      <c r="V100" s="111">
        <f t="array" ref="V100">IFERROR(
(MEDIAN((IF(DATOS_[[Sexo]:[Sexo]]=$B100,IF(DATOS_[[AGRUP. VALOR. PTO.]:[AGRUP. VALOR. PTO.]]=$B99,IF(DATOS_[[Check Periodo Ref.]:[Check Periodo Ref.]]="Dentro",IF(DATOS_[[Check Equiparado]:[Check Equiparado]]="Sí",IF(DATOS!AQ$5="Sí",(1/DATOS_[[% anualiz]:[% anualiz]]),1)*IF(DATOS!AQ$4="Sí",1/DATOS_[[% normaliz]:[% normaliz]],1)*(DATOS_[Conc.Sal.13])))))))),
0)</f>
        <v>0</v>
      </c>
      <c r="W100" s="111">
        <f t="array" ref="W100">IFERROR(
(MEDIAN((IF(DATOS_[[Sexo]:[Sexo]]=$B100,IF(DATOS_[[AGRUP. VALOR. PTO.]:[AGRUP. VALOR. PTO.]]=$B99,IF(DATOS_[[Check Periodo Ref.]:[Check Periodo Ref.]]="Dentro",IF(DATOS_[[Check Equiparado]:[Check Equiparado]]="Sí",IF(DATOS!AR$5="Sí",(1/DATOS_[[% anualiz]:[% anualiz]]),1)*IF(DATOS!AR$4="Sí",1/DATOS_[[% normaliz]:[% normaliz]],1)*(DATOS_[Conc.Sal.14])))))))),
0)</f>
        <v>0</v>
      </c>
      <c r="X100" s="111">
        <f t="array" ref="X100">IFERROR(
(MEDIAN((IF(DATOS_[[Sexo]:[Sexo]]=$B100,IF(DATOS_[[AGRUP. VALOR. PTO.]:[AGRUP. VALOR. PTO.]]=$B99,IF(DATOS_[[Check Periodo Ref.]:[Check Periodo Ref.]]="Dentro",IF(DATOS_[[Check Equiparado]:[Check Equiparado]]="Sí",IF(DATOS!AS$5="Sí",(1/DATOS_[[% anualiz]:[% anualiz]]),1)*IF(DATOS!AS$4="Sí",1/DATOS_[[% normaliz]:[% normaliz]],1)*(DATOS_[Conc.Sal.15])))))))),
0)</f>
        <v>0</v>
      </c>
      <c r="Y100" s="111">
        <f t="array" ref="Y100">IFERROR(
(MEDIAN((IF(DATOS_[[Sexo]:[Sexo]]=$B100,IF(DATOS_[[AGRUP. VALOR. PTO.]:[AGRUP. VALOR. PTO.]]=$B99,IF(DATOS_[[Check Periodo Ref.]:[Check Periodo Ref.]]="Dentro",IF(DATOS_[[Check Equiparado]:[Check Equiparado]]="Sí",IF(DATOS!AT$5="Sí",(1/DATOS_[[% anualiz]:[% anualiz]]),1)*IF(DATOS!AT$4="Sí",1/DATOS_[[% normaliz]:[% normaliz]],1)*(DATOS_[Conc.Sal.16])))))))),
0)</f>
        <v>0</v>
      </c>
      <c r="Z100" s="111">
        <f t="array" ref="Z100">IFERROR(
(MEDIAN((IF(DATOS_[[Sexo]:[Sexo]]=$B100,IF(DATOS_[[AGRUP. VALOR. PTO.]:[AGRUP. VALOR. PTO.]]=$B99,IF(DATOS_[[Check Periodo Ref.]:[Check Periodo Ref.]]="Dentro",IF(DATOS_[[Check Equiparado]:[Check Equiparado]]="Sí",IF(DATOS!AU$5="Sí",(1/DATOS_[[% anualiz]:[% anualiz]]),1)*IF(DATOS!AU$4="Sí",1/DATOS_[[% normaliz]:[% normaliz]],1)*(DATOS_[Conc.Sal.17])))))))),
0)</f>
        <v>0</v>
      </c>
      <c r="AA100" s="111">
        <f t="array" ref="AA100">IFERROR(
(MEDIAN((IF(DATOS_[[Sexo]:[Sexo]]=$B100,IF(DATOS_[[AGRUP. VALOR. PTO.]:[AGRUP. VALOR. PTO.]]=$B99,IF(DATOS_[[Check Periodo Ref.]:[Check Periodo Ref.]]="Dentro",IF(DATOS_[[Check Equiparado]:[Check Equiparado]]="Sí",IF(DATOS!AV$5="Sí",(1/DATOS_[[% anualiz]:[% anualiz]]),1)*IF(DATOS!AV$4="Sí",1/DATOS_[[% normaliz]:[% normaliz]],1)*(DATOS_[Conc.Sal.18])))))))),
0)</f>
        <v>0</v>
      </c>
      <c r="AB100" s="111">
        <f t="array" ref="AB100">IFERROR(
(MEDIAN((IF(DATOS_[[Sexo]:[Sexo]]=$B100,IF(DATOS_[[AGRUP. VALOR. PTO.]:[AGRUP. VALOR. PTO.]]=$B99,IF(DATOS_[[Check Periodo Ref.]:[Check Periodo Ref.]]="Dentro",IF(DATOS_[[Check Equiparado]:[Check Equiparado]]="Sí",IF(DATOS!AW$5="Sí",(1/DATOS_[[% anualiz]:[% anualiz]]),1)*IF(DATOS!AW$4="Sí",1/DATOS_[[% normaliz]:[% normaliz]],1)*(DATOS_[Conc.Sal.19])))))))),
0)</f>
        <v>0</v>
      </c>
      <c r="AC100" s="111">
        <f t="array" ref="AC100">IFERROR(
(MEDIAN((IF(DATOS_[[Sexo]:[Sexo]]=$B100,IF(DATOS_[[AGRUP. VALOR. PTO.]:[AGRUP. VALOR. PTO.]]=$B99,IF(DATOS_[[Check Periodo Ref.]:[Check Periodo Ref.]]="Dentro",IF(DATOS_[[Check Equiparado]:[Check Equiparado]]="Sí",IF(DATOS!AX$5="Sí",(1/DATOS_[[% anualiz]:[% anualiz]]),1)*IF(DATOS!AX$4="Sí",1/DATOS_[[% normaliz]:[% normaliz]],1)*(DATOS_[Conc.Sal.20])))))))),
0)</f>
        <v>0</v>
      </c>
      <c r="AD100" s="111">
        <f t="array" ref="AD100">IFERROR(
(MEDIAN((IF(DATOS_[[Sexo]:[Sexo]]=$B100,IF(DATOS_[[AGRUP. VALOR. PTO.]:[AGRUP. VALOR. PTO.]]=$B99,IF(DATOS_[[Check Periodo Ref.]:[Check Periodo Ref.]]="Dentro",IF(DATOS_[[Check Equiparado]:[Check Equiparado]]="Sí",IF(DATOS!AY$5="Sí",(1/DATOS_[[% anualiz]:[% anualiz]]),1)*IF(DATOS!AY$4="Sí",1/DATOS_[[% normaliz]:[% normaliz]],1)*(DATOS_[Conc.Sal.21])))))))),
0)</f>
        <v>0</v>
      </c>
      <c r="AE100" s="111">
        <f t="array" ref="AE100">IFERROR(
(MEDIAN((IF(DATOS_[[Sexo]:[Sexo]]=$B100,IF(DATOS_[[AGRUP. VALOR. PTO.]:[AGRUP. VALOR. PTO.]]=$B99,IF(DATOS_[[Check Periodo Ref.]:[Check Periodo Ref.]]="Dentro",IF(DATOS_[[Check Equiparado]:[Check Equiparado]]="Sí",IF(DATOS!AZ$5="Sí",(1/DATOS_[[% anualiz]:[% anualiz]]),1)*IF(DATOS!AZ$4="Sí",1/DATOS_[[% normaliz]:[% normaliz]],1)*(DATOS_[Conc.Sal.22])))))))),
0)</f>
        <v>0</v>
      </c>
      <c r="AF100" s="111">
        <f t="array" ref="AF100">IFERROR(
(MEDIAN((IF(DATOS_[[Sexo]:[Sexo]]=$B100,IF(DATOS_[[AGRUP. VALOR. PTO.]:[AGRUP. VALOR. PTO.]]=$B99,IF(DATOS_[[Check Periodo Ref.]:[Check Periodo Ref.]]="Dentro",IF(DATOS_[[Check Equiparado]:[Check Equiparado]]="Sí",IF(DATOS!BA$5="Sí",(1/DATOS_[[% anualiz]:[% anualiz]]),1)*IF(DATOS!BA$4="Sí",1/DATOS_[[% normaliz]:[% normaliz]],1)*(DATOS_[Conc.Sal.23])))))))),
0)</f>
        <v>0</v>
      </c>
      <c r="AG100" s="111">
        <f t="array" ref="AG100">IFERROR(
(MEDIAN((IF(DATOS_[[Sexo]:[Sexo]]=$B100,IF(DATOS_[[AGRUP. VALOR. PTO.]:[AGRUP. VALOR. PTO.]]=$B99,IF(DATOS_[[Check Periodo Ref.]:[Check Periodo Ref.]]="Dentro",IF(DATOS_[[Check Equiparado]:[Check Equiparado]]="Sí",IF(DATOS!BB$5="Sí",(1/DATOS_[[% anualiz]:[% anualiz]]),1)*IF(DATOS!BB$4="Sí",1/DATOS_[[% normaliz]:[% normaliz]],1)*(DATOS_[Conc.Sal.24])))))))),
0)</f>
        <v>0</v>
      </c>
      <c r="AH100" s="111">
        <f t="array" ref="AH100">IFERROR(
(MEDIAN((IF(DATOS_[[Sexo]:[Sexo]]=$B100,IF(DATOS_[[AGRUP. VALOR. PTO.]:[AGRUP. VALOR. PTO.]]=$B99,IF(DATOS_[[Check Periodo Ref.]:[Check Periodo Ref.]]="Dentro",IF(DATOS_[[Check Equiparado]:[Check Equiparado]]="Sí",IF(DATOS!BC$5="Sí",(1/DATOS_[[% anualiz]:[% anualiz]]),1)*IF(DATOS!BC$4="Sí",1/DATOS_[[% normaliz]:[% normaliz]],1)*(DATOS_[Conc.Sal.25])))))))),
0)</f>
        <v>0</v>
      </c>
      <c r="AI100" s="111">
        <f t="array" ref="AI100">IFERROR(
(MEDIAN((IF(DATOS_[[Sexo]:[Sexo]]=$B100,IF(DATOS_[[AGRUP. VALOR. PTO.]:[AGRUP. VALOR. PTO.]]=$B99,IF(DATOS_[[Check Periodo Ref.]:[Check Periodo Ref.]]="Dentro",IF(DATOS_[[Check Equiparado]:[Check Equiparado]]="Sí",IF(DATOS!BD$5="Sí",(1/DATOS_[[% anualiz]:[% anualiz]]),1)*IF(DATOS!BD$4="Sí",1/DATOS_[[% normaliz]:[% normaliz]],1)*(DATOS_[Conc.Sal.26])))))))),
0)</f>
        <v>0</v>
      </c>
      <c r="AJ100" s="111">
        <f t="array" ref="AJ100">IFERROR(
(MEDIAN((IF(DATOS_[[Sexo]:[Sexo]]=$B100,IF(DATOS_[[AGRUP. VALOR. PTO.]:[AGRUP. VALOR. PTO.]]=$B99,IF(DATOS_[[Check Periodo Ref.]:[Check Periodo Ref.]]="Dentro",IF(DATOS_[[Check Equiparado]:[Check Equiparado]]="Sí",IF(DATOS!BE$5="Sí",(1/DATOS_[[% anualiz]:[% anualiz]]),1)*IF(DATOS!BE$4="Sí",1/DATOS_[[% normaliz]:[% normaliz]],1)*(DATOS_[Conc.Sal.27])))))))),
0)</f>
        <v>0</v>
      </c>
      <c r="AK100" s="111">
        <f t="array" ref="AK100">IFERROR(
(MEDIAN((IF(DATOS_[[Sexo]:[Sexo]]=$B100,IF(DATOS_[[AGRUP. VALOR. PTO.]:[AGRUP. VALOR. PTO.]]=$B99,IF(DATOS_[[Check Periodo Ref.]:[Check Periodo Ref.]]="Dentro",IF(DATOS_[[Check Equiparado]:[Check Equiparado]]="Sí",IF(DATOS!BF$5="Sí",(1/DATOS_[[% anualiz]:[% anualiz]]),1)*IF(DATOS!BF$4="Sí",1/DATOS_[[% normaliz]:[% normaliz]],1)*(DATOS_[Conc.Sal.28])))))))),
0)</f>
        <v>0</v>
      </c>
      <c r="AL100" s="111">
        <f t="array" ref="AL100">IFERROR(
(MEDIAN((IF(DATOS_[[Sexo]:[Sexo]]=$B100,IF(DATOS_[[AGRUP. VALOR. PTO.]:[AGRUP. VALOR. PTO.]]=$B99,IF(DATOS_[[Check Periodo Ref.]:[Check Periodo Ref.]]="Dentro",IF(DATOS_[[Check Equiparado]:[Check Equiparado]]="Sí",IF(DATOS!BG$5="Sí",(1/DATOS_[[% anualiz]:[% anualiz]]),1)*IF(DATOS!BG$4="Sí",1/DATOS_[[% normaliz]:[% normaliz]],1)*(DATOS_[Conc.Sal.29])))))))),
0)</f>
        <v>0</v>
      </c>
      <c r="AM100" s="111">
        <f t="array" ref="AM100">IFERROR(
(MEDIAN((IF(DATOS_[[Sexo]:[Sexo]]=$B100,IF(DATOS_[[AGRUP. VALOR. PTO.]:[AGRUP. VALOR. PTO.]]=$B99,IF(DATOS_[[Check Periodo Ref.]:[Check Periodo Ref.]]="Dentro",IF(DATOS_[[Check Equiparado]:[Check Equiparado]]="Sí",IF(DATOS!BH$5="Sí",(1/DATOS_[[% anualiz]:[% anualiz]]),1)*IF(DATOS!BH$4="Sí",1/DATOS_[[% normaliz]:[% normaliz]],1)*(DATOS_[Conc.Sal.30])))))))),
0)</f>
        <v>0</v>
      </c>
      <c r="AN100" s="112">
        <f t="array" ref="AN100">IFERROR(
MEDIAN(IF(DATOS_[Sexo]=$B100,IF(DATOS_[[AGRUP. VALOR. PTO.]:[AGRUP. VALOR. PTO.]]=$B99,IF(DATOS_[Check Equiparado]="Sí",IF(DATOS_[Check Periodo Ref.]="Dentro",DATOS_[Tot COMPL.SAL Eq],FALSE))))),
0)</f>
        <v>0</v>
      </c>
      <c r="AO100" s="113">
        <f t="array" ref="AO100">IFERROR(
MEDIAN(IF(DATOS_[Sexo]=$B100,IF(DATOS_[[AGRUP. VALOR. PTO.]:[AGRUP. VALOR. PTO.]]=$B99,IF(DATOS_[Check Equiparado]="Sí",IF(DATOS_[Check Periodo Ref.]="Dentro",DATOS_[TOTAL SALARIO Eq],FALSE))))),
0)</f>
        <v>0</v>
      </c>
      <c r="AP100" s="114">
        <f t="array" ref="AP100">IFERROR(
(MEDIAN((IF(DATOS_[[Sexo]:[Sexo]]=$B100,IF(DATOS_[[AGRUP. VALOR. PTO.]:[AGRUP. VALOR. PTO.]]=$B99,IF(DATOS_[[Check Periodo Ref.]:[Check Periodo Ref.]]="Dentro",IF(DATOS_[[Check Equiparado]:[Check Equiparado]]="Sí",IF(DATOS!BI$5="Sí",(1/DATOS_[[% anualiz]:[% anualiz]]),1)*IF(DATOS!BI$4="Sí",1/DATOS_[[% normaliz]:[% normaliz]],1)*(DATOS_[C.Extra.01])))))))),
0)</f>
        <v>0</v>
      </c>
      <c r="AQ100" s="114">
        <f t="array" ref="AQ100">IFERROR(
(MEDIAN((IF(DATOS_[[Sexo]:[Sexo]]=$B100,IF(DATOS_[[AGRUP. VALOR. PTO.]:[AGRUP. VALOR. PTO.]]=$B99,IF(DATOS_[[Check Periodo Ref.]:[Check Periodo Ref.]]="Dentro",IF(DATOS_[[Check Equiparado]:[Check Equiparado]]="Sí",IF(DATOS!BJ$5="Sí",(1/DATOS_[[% anualiz]:[% anualiz]]),1)*IF(DATOS!BJ$4="Sí",1/DATOS_[[% normaliz]:[% normaliz]],1)*(DATOS_[C.Extra.02])))))))),
0)</f>
        <v>0</v>
      </c>
      <c r="AR100" s="114">
        <f t="array" ref="AR100">IFERROR(
(MEDIAN((IF(DATOS_[[Sexo]:[Sexo]]=$B100,IF(DATOS_[[AGRUP. VALOR. PTO.]:[AGRUP. VALOR. PTO.]]=$B99,IF(DATOS_[[Check Periodo Ref.]:[Check Periodo Ref.]]="Dentro",IF(DATOS_[[Check Equiparado]:[Check Equiparado]]="Sí",IF(DATOS!BK$5="Sí",(1/DATOS_[[% anualiz]:[% anualiz]]),1)*IF(DATOS!BK$4="Sí",1/DATOS_[[% normaliz]:[% normaliz]],1)*(DATOS_[C.Extra.03])))))))),
0)</f>
        <v>0</v>
      </c>
      <c r="AS100" s="114">
        <f t="array" ref="AS100">IFERROR(
(MEDIAN((IF(DATOS_[[Sexo]:[Sexo]]=$B100,IF(DATOS_[[AGRUP. VALOR. PTO.]:[AGRUP. VALOR. PTO.]]=$B99,IF(DATOS_[[Check Periodo Ref.]:[Check Periodo Ref.]]="Dentro",IF(DATOS_[[Check Equiparado]:[Check Equiparado]]="Sí",IF(DATOS!BL$5="Sí",(1/DATOS_[[% anualiz]:[% anualiz]]),1)*IF(DATOS!BL$4="Sí",1/DATOS_[[% normaliz]:[% normaliz]],1)*(DATOS_[C.Extra.04])))))))),
0)</f>
        <v>0</v>
      </c>
      <c r="AT100" s="114">
        <f t="array" ref="AT100">IFERROR(
(MEDIAN((IF(DATOS_[[Sexo]:[Sexo]]=$B100,IF(DATOS_[[AGRUP. VALOR. PTO.]:[AGRUP. VALOR. PTO.]]=$B99,IF(DATOS_[[Check Periodo Ref.]:[Check Periodo Ref.]]="Dentro",IF(DATOS_[[Check Equiparado]:[Check Equiparado]]="Sí",IF(DATOS!BM$5="Sí",(1/DATOS_[[% anualiz]:[% anualiz]]),1)*IF(DATOS!BM$4="Sí",1/DATOS_[[% normaliz]:[% normaliz]],1)*(DATOS_[C.Extra.05])))))))),
0)</f>
        <v>0</v>
      </c>
      <c r="AU100" s="115">
        <f t="array" ref="AU100">IFERROR(
MEDIAN(IF(DATOS_[Sexo]=$B100,IF(DATOS_[[AGRUP. VALOR. PTO.]:[AGRUP. VALOR. PTO.]]=$B99,IF(DATOS_[Check Equiparado]="Sí",IF(DATOS_[Check Periodo Ref.]="Dentro",DATOS_[Tot Extrasalarial Eq],FALSE))))),
0)</f>
        <v>0</v>
      </c>
      <c r="AV100" s="116">
        <f t="array" ref="AV100">IFERROR(
MEDIAN(IF(DATOS_[Sexo]=$B100,IF(DATOS_[[AGRUP. VALOR. PTO.]:[AGRUP. VALOR. PTO.]]=$B99,IF(DATOS_[Check Equiparado]="Sí",IF(DATOS_[Check Periodo Ref.]="Dentro",DATOS_[TOTAL Retrib Eq],FALSE))))),
0)</f>
        <v>0</v>
      </c>
    </row>
    <row r="101" spans="1:48" hidden="1" x14ac:dyDescent="0.3">
      <c r="A101" s="42" t="str">
        <f t="shared" ref="A101" si="118">+A100</f>
        <v>[ocultar]</v>
      </c>
      <c r="B101" s="86" t="s">
        <v>163</v>
      </c>
      <c r="C101" s="33">
        <f t="array" ref="C101">SUM(IF($B101=DATOS_[Sexo],
IF($B99=DATOS_[AGRUP. VALOR. PTO.],
IF("Dentro"=DATOS_[Check Periodo Ref.],
1/(COUNTIFS(DATOS_[Sexo],$B101,DATOS_[AGRUP. VALOR. PTO.],$B99,DATOS_[Check Periodo Ref.],"Dentro",DATOS_[id],DATOS_[id]))))))</f>
        <v>0</v>
      </c>
      <c r="D101" s="35">
        <f>COUNTIFS(DATOS_[AGRUP. VALOR. PTO.],$B99,DATOS_[Sexo],$B101,DATOS_[Check Periodo Ref.],"Dentro")</f>
        <v>0</v>
      </c>
      <c r="E101" s="35">
        <f>COUNTIFS(DATOS_[AGRUP. VALOR. PTO.],$B99,DATOS_[Sexo],$B101,DATOS_[Check Periodo Ref.],"Dentro",DATOS_[Check Nº SC Norm],"Sí")</f>
        <v>0</v>
      </c>
      <c r="F101" s="35">
        <f>COUNTIFS(DATOS_[AGRUP. VALOR. PTO.],$B99,DATOS_[Sexo],$B101,DATOS_[Check Periodo Ref.],"Dentro",DATOS_[Check Nº SC Anualiz],"Sí")</f>
        <v>0</v>
      </c>
      <c r="G101" s="35">
        <f>COUNTIFS(DATOS_[AGRUP. VALOR. PTO.],$B99,DATOS_[Sexo],$B101,DATOS_[Check Periodo Ref.],"Dentro",DATOS_[Check Nº SC Norm y Anualiz],"Sí")</f>
        <v>0</v>
      </c>
      <c r="H101" s="35">
        <f>COUNTIFS(DATOS_[AGRUP. VALOR. PTO.],$B99,DATOS_[Sexo],$B101,DATOS_[Check Periodo Ref.],"Dentro",DATOS_[Check Equiparación],"Sí")</f>
        <v>0</v>
      </c>
      <c r="I101" s="110" cm="1">
        <f t="array" ref="I101">IFERROR(
MEDIAN(IF(DATOS_[Sexo]=$B101,IF(DATOS_[[AGRUP. VALOR. PTO.]:[AGRUP. VALOR. PTO.]]=$B99,IF(DATOS_[Check Equiparado]="Sí",IF(DATOS_[Check Periodo Ref.]="Dentro",DATOS_[SALARIO BASE Eq],FALSE))))),
0)</f>
        <v>0</v>
      </c>
      <c r="J101" s="111">
        <f t="array" ref="J101">IFERROR(
(MEDIAN((IF(DATOS_[[Sexo]:[Sexo]]=$B101,IF(DATOS_[[AGRUP. VALOR. PTO.]:[AGRUP. VALOR. PTO.]]=$B99,IF(DATOS_[[Check Periodo Ref.]:[Check Periodo Ref.]]="Dentro",IF(DATOS_[[Check Equiparado]:[Check Equiparado]]="Sí",IF(DATOS!AE$5="Sí",(1/DATOS_[[% anualiz]:[% anualiz]]),1)*IF(DATOS!AE$4="Sí",1/DATOS_[[% normaliz]:[% normaliz]],1)*(DATOS_[Conc.Sal.01])))))))),
0)</f>
        <v>0</v>
      </c>
      <c r="K101" s="111">
        <f t="array" ref="K101">IFERROR(
(MEDIAN((IF(DATOS_[[Sexo]:[Sexo]]=$B101,IF(DATOS_[[AGRUP. VALOR. PTO.]:[AGRUP. VALOR. PTO.]]=$B99,IF(DATOS_[[Check Periodo Ref.]:[Check Periodo Ref.]]="Dentro",IF(DATOS_[[Check Equiparado]:[Check Equiparado]]="Sí",IF(DATOS!AF$5="Sí",(1/DATOS_[[% anualiz]:[% anualiz]]),1)*IF(DATOS!AF$4="Sí",1/DATOS_[[% normaliz]:[% normaliz]],1)*(DATOS_[Conc.Sal.02])))))))),
0)</f>
        <v>0</v>
      </c>
      <c r="L101" s="111">
        <f t="array" ref="L101">IFERROR(
(MEDIAN((IF(DATOS_[[Sexo]:[Sexo]]=$B101,IF(DATOS_[[AGRUP. VALOR. PTO.]:[AGRUP. VALOR. PTO.]]=$B99,IF(DATOS_[[Check Periodo Ref.]:[Check Periodo Ref.]]="Dentro",IF(DATOS_[[Check Equiparado]:[Check Equiparado]]="Sí",IF(DATOS!AG$5="Sí",(1/DATOS_[[% anualiz]:[% anualiz]]),1)*IF(DATOS!AG$4="Sí",1/DATOS_[[% normaliz]:[% normaliz]],1)*(DATOS_[Conc.Sal.03])))))))),
0)</f>
        <v>0</v>
      </c>
      <c r="M101" s="111">
        <f t="array" ref="M101">IFERROR(
(MEDIAN((IF(DATOS_[[Sexo]:[Sexo]]=$B101,IF(DATOS_[[AGRUP. VALOR. PTO.]:[AGRUP. VALOR. PTO.]]=$B99,IF(DATOS_[[Check Periodo Ref.]:[Check Periodo Ref.]]="Dentro",IF(DATOS_[[Check Equiparado]:[Check Equiparado]]="Sí",IF(DATOS!AH$5="Sí",(1/DATOS_[[% anualiz]:[% anualiz]]),1)*IF(DATOS!AH$4="Sí",1/DATOS_[[% normaliz]:[% normaliz]],1)*(DATOS_[Conc.Sal.04])))))))),
0)</f>
        <v>0</v>
      </c>
      <c r="N101" s="111">
        <f t="array" ref="N101">IFERROR(
(MEDIAN((IF(DATOS_[[Sexo]:[Sexo]]=$B101,IF(DATOS_[[AGRUP. VALOR. PTO.]:[AGRUP. VALOR. PTO.]]=$B99,IF(DATOS_[[Check Periodo Ref.]:[Check Periodo Ref.]]="Dentro",IF(DATOS_[[Check Equiparado]:[Check Equiparado]]="Sí",IF(DATOS!AI$5="Sí",(1/DATOS_[[% anualiz]:[% anualiz]]),1)*IF(DATOS!AI$4="Sí",1/DATOS_[[% normaliz]:[% normaliz]],1)*(DATOS_[Conc.Sal.05])))))))),
0)</f>
        <v>0</v>
      </c>
      <c r="O101" s="111">
        <f t="array" ref="O101">IFERROR(
(MEDIAN((IF(DATOS_[[Sexo]:[Sexo]]=$B101,IF(DATOS_[[AGRUP. VALOR. PTO.]:[AGRUP. VALOR. PTO.]]=$B99,IF(DATOS_[[Check Periodo Ref.]:[Check Periodo Ref.]]="Dentro",IF(DATOS_[[Check Equiparado]:[Check Equiparado]]="Sí",IF(DATOS!AJ$5="Sí",(1/DATOS_[[% anualiz]:[% anualiz]]),1)*IF(DATOS!AJ$4="Sí",1/DATOS_[[% normaliz]:[% normaliz]],1)*(DATOS_[Conc.Sal.06])))))))),
0)</f>
        <v>0</v>
      </c>
      <c r="P101" s="111">
        <f t="array" ref="P101">IFERROR(
(MEDIAN((IF(DATOS_[[Sexo]:[Sexo]]=$B101,IF(DATOS_[[AGRUP. VALOR. PTO.]:[AGRUP. VALOR. PTO.]]=$B99,IF(DATOS_[[Check Periodo Ref.]:[Check Periodo Ref.]]="Dentro",IF(DATOS_[[Check Equiparado]:[Check Equiparado]]="Sí",IF(DATOS!AK$5="Sí",(1/DATOS_[[% anualiz]:[% anualiz]]),1)*IF(DATOS!AK$4="Sí",1/DATOS_[[% normaliz]:[% normaliz]],1)*(DATOS_[Conc.Sal.07])))))))),
0)</f>
        <v>0</v>
      </c>
      <c r="Q101" s="111">
        <f t="array" ref="Q101">IFERROR(
(MEDIAN((IF(DATOS_[[Sexo]:[Sexo]]=$B101,IF(DATOS_[[AGRUP. VALOR. PTO.]:[AGRUP. VALOR. PTO.]]=$B99,IF(DATOS_[[Check Periodo Ref.]:[Check Periodo Ref.]]="Dentro",IF(DATOS_[[Check Equiparado]:[Check Equiparado]]="Sí",IF(DATOS!AL$5="Sí",(1/DATOS_[[% anualiz]:[% anualiz]]),1)*IF(DATOS!AL$4="Sí",1/DATOS_[[% normaliz]:[% normaliz]],1)*(DATOS_[Conc.Sal.08])))))))),
0)</f>
        <v>0</v>
      </c>
      <c r="R101" s="111">
        <f t="array" ref="R101">IFERROR(
(MEDIAN((IF(DATOS_[[Sexo]:[Sexo]]=$B101,IF(DATOS_[[AGRUP. VALOR. PTO.]:[AGRUP. VALOR. PTO.]]=$B99,IF(DATOS_[[Check Periodo Ref.]:[Check Periodo Ref.]]="Dentro",IF(DATOS_[[Check Equiparado]:[Check Equiparado]]="Sí",IF(DATOS!AM$5="Sí",(1/DATOS_[[% anualiz]:[% anualiz]]),1)*IF(DATOS!AM$4="Sí",1/DATOS_[[% normaliz]:[% normaliz]],1)*(DATOS_[Conc.Sal.09])))))))),
0)</f>
        <v>0</v>
      </c>
      <c r="S101" s="111">
        <f t="array" ref="S101">IFERROR(
(MEDIAN((IF(DATOS_[[Sexo]:[Sexo]]=$B101,IF(DATOS_[[AGRUP. VALOR. PTO.]:[AGRUP. VALOR. PTO.]]=$B99,IF(DATOS_[[Check Periodo Ref.]:[Check Periodo Ref.]]="Dentro",IF(DATOS_[[Check Equiparado]:[Check Equiparado]]="Sí",IF(DATOS!AN$5="Sí",(1/DATOS_[[% anualiz]:[% anualiz]]),1)*IF(DATOS!AN$4="Sí",1/DATOS_[[% normaliz]:[% normaliz]],1)*(DATOS_[Conc.Sal.10])))))))),
0)</f>
        <v>0</v>
      </c>
      <c r="T101" s="111">
        <f t="array" ref="T101">IFERROR(
(MEDIAN((IF(DATOS_[[Sexo]:[Sexo]]=$B101,IF(DATOS_[[AGRUP. VALOR. PTO.]:[AGRUP. VALOR. PTO.]]=$B99,IF(DATOS_[[Check Periodo Ref.]:[Check Periodo Ref.]]="Dentro",IF(DATOS_[[Check Equiparado]:[Check Equiparado]]="Sí",IF(DATOS!AO$5="Sí",(1/DATOS_[[% anualiz]:[% anualiz]]),1)*IF(DATOS!AO$4="Sí",1/DATOS_[[% normaliz]:[% normaliz]],1)*(DATOS_[Conc.Sal.11])))))))),
0)</f>
        <v>0</v>
      </c>
      <c r="U101" s="111">
        <f t="array" ref="U101">IFERROR(
(MEDIAN((IF(DATOS_[[Sexo]:[Sexo]]=$B101,IF(DATOS_[[AGRUP. VALOR. PTO.]:[AGRUP. VALOR. PTO.]]=$B99,IF(DATOS_[[Check Periodo Ref.]:[Check Periodo Ref.]]="Dentro",IF(DATOS_[[Check Equiparado]:[Check Equiparado]]="Sí",IF(DATOS!AP$5="Sí",(1/DATOS_[[% anualiz]:[% anualiz]]),1)*IF(DATOS!AP$4="Sí",1/DATOS_[[% normaliz]:[% normaliz]],1)*(DATOS_[Conc.Sal.12])))))))),
0)</f>
        <v>0</v>
      </c>
      <c r="V101" s="111">
        <f t="array" ref="V101">IFERROR(
(MEDIAN((IF(DATOS_[[Sexo]:[Sexo]]=$B101,IF(DATOS_[[AGRUP. VALOR. PTO.]:[AGRUP. VALOR. PTO.]]=$B99,IF(DATOS_[[Check Periodo Ref.]:[Check Periodo Ref.]]="Dentro",IF(DATOS_[[Check Equiparado]:[Check Equiparado]]="Sí",IF(DATOS!AQ$5="Sí",(1/DATOS_[[% anualiz]:[% anualiz]]),1)*IF(DATOS!AQ$4="Sí",1/DATOS_[[% normaliz]:[% normaliz]],1)*(DATOS_[Conc.Sal.13])))))))),
0)</f>
        <v>0</v>
      </c>
      <c r="W101" s="111">
        <f t="array" ref="W101">IFERROR(
(MEDIAN((IF(DATOS_[[Sexo]:[Sexo]]=$B101,IF(DATOS_[[AGRUP. VALOR. PTO.]:[AGRUP. VALOR. PTO.]]=$B99,IF(DATOS_[[Check Periodo Ref.]:[Check Periodo Ref.]]="Dentro",IF(DATOS_[[Check Equiparado]:[Check Equiparado]]="Sí",IF(DATOS!AR$5="Sí",(1/DATOS_[[% anualiz]:[% anualiz]]),1)*IF(DATOS!AR$4="Sí",1/DATOS_[[% normaliz]:[% normaliz]],1)*(DATOS_[Conc.Sal.14])))))))),
0)</f>
        <v>0</v>
      </c>
      <c r="X101" s="111">
        <f t="array" ref="X101">IFERROR(
(MEDIAN((IF(DATOS_[[Sexo]:[Sexo]]=$B101,IF(DATOS_[[AGRUP. VALOR. PTO.]:[AGRUP. VALOR. PTO.]]=$B99,IF(DATOS_[[Check Periodo Ref.]:[Check Periodo Ref.]]="Dentro",IF(DATOS_[[Check Equiparado]:[Check Equiparado]]="Sí",IF(DATOS!AS$5="Sí",(1/DATOS_[[% anualiz]:[% anualiz]]),1)*IF(DATOS!AS$4="Sí",1/DATOS_[[% normaliz]:[% normaliz]],1)*(DATOS_[Conc.Sal.15])))))))),
0)</f>
        <v>0</v>
      </c>
      <c r="Y101" s="111">
        <f t="array" ref="Y101">IFERROR(
(MEDIAN((IF(DATOS_[[Sexo]:[Sexo]]=$B101,IF(DATOS_[[AGRUP. VALOR. PTO.]:[AGRUP. VALOR. PTO.]]=$B99,IF(DATOS_[[Check Periodo Ref.]:[Check Periodo Ref.]]="Dentro",IF(DATOS_[[Check Equiparado]:[Check Equiparado]]="Sí",IF(DATOS!AT$5="Sí",(1/DATOS_[[% anualiz]:[% anualiz]]),1)*IF(DATOS!AT$4="Sí",1/DATOS_[[% normaliz]:[% normaliz]],1)*(DATOS_[Conc.Sal.16])))))))),
0)</f>
        <v>0</v>
      </c>
      <c r="Z101" s="111">
        <f t="array" ref="Z101">IFERROR(
(MEDIAN((IF(DATOS_[[Sexo]:[Sexo]]=$B101,IF(DATOS_[[AGRUP. VALOR. PTO.]:[AGRUP. VALOR. PTO.]]=$B99,IF(DATOS_[[Check Periodo Ref.]:[Check Periodo Ref.]]="Dentro",IF(DATOS_[[Check Equiparado]:[Check Equiparado]]="Sí",IF(DATOS!AU$5="Sí",(1/DATOS_[[% anualiz]:[% anualiz]]),1)*IF(DATOS!AU$4="Sí",1/DATOS_[[% normaliz]:[% normaliz]],1)*(DATOS_[Conc.Sal.17])))))))),
0)</f>
        <v>0</v>
      </c>
      <c r="AA101" s="111">
        <f t="array" ref="AA101">IFERROR(
(MEDIAN((IF(DATOS_[[Sexo]:[Sexo]]=$B101,IF(DATOS_[[AGRUP. VALOR. PTO.]:[AGRUP. VALOR. PTO.]]=$B99,IF(DATOS_[[Check Periodo Ref.]:[Check Periodo Ref.]]="Dentro",IF(DATOS_[[Check Equiparado]:[Check Equiparado]]="Sí",IF(DATOS!AV$5="Sí",(1/DATOS_[[% anualiz]:[% anualiz]]),1)*IF(DATOS!AV$4="Sí",1/DATOS_[[% normaliz]:[% normaliz]],1)*(DATOS_[Conc.Sal.18])))))))),
0)</f>
        <v>0</v>
      </c>
      <c r="AB101" s="111">
        <f t="array" ref="AB101">IFERROR(
(MEDIAN((IF(DATOS_[[Sexo]:[Sexo]]=$B101,IF(DATOS_[[AGRUP. VALOR. PTO.]:[AGRUP. VALOR. PTO.]]=$B99,IF(DATOS_[[Check Periodo Ref.]:[Check Periodo Ref.]]="Dentro",IF(DATOS_[[Check Equiparado]:[Check Equiparado]]="Sí",IF(DATOS!AW$5="Sí",(1/DATOS_[[% anualiz]:[% anualiz]]),1)*IF(DATOS!AW$4="Sí",1/DATOS_[[% normaliz]:[% normaliz]],1)*(DATOS_[Conc.Sal.19])))))))),
0)</f>
        <v>0</v>
      </c>
      <c r="AC101" s="111">
        <f t="array" ref="AC101">IFERROR(
(MEDIAN((IF(DATOS_[[Sexo]:[Sexo]]=$B101,IF(DATOS_[[AGRUP. VALOR. PTO.]:[AGRUP. VALOR. PTO.]]=$B99,IF(DATOS_[[Check Periodo Ref.]:[Check Periodo Ref.]]="Dentro",IF(DATOS_[[Check Equiparado]:[Check Equiparado]]="Sí",IF(DATOS!AX$5="Sí",(1/DATOS_[[% anualiz]:[% anualiz]]),1)*IF(DATOS!AX$4="Sí",1/DATOS_[[% normaliz]:[% normaliz]],1)*(DATOS_[Conc.Sal.20])))))))),
0)</f>
        <v>0</v>
      </c>
      <c r="AD101" s="111">
        <f t="array" ref="AD101">IFERROR(
(MEDIAN((IF(DATOS_[[Sexo]:[Sexo]]=$B101,IF(DATOS_[[AGRUP. VALOR. PTO.]:[AGRUP. VALOR. PTO.]]=$B99,IF(DATOS_[[Check Periodo Ref.]:[Check Periodo Ref.]]="Dentro",IF(DATOS_[[Check Equiparado]:[Check Equiparado]]="Sí",IF(DATOS!AY$5="Sí",(1/DATOS_[[% anualiz]:[% anualiz]]),1)*IF(DATOS!AY$4="Sí",1/DATOS_[[% normaliz]:[% normaliz]],1)*(DATOS_[Conc.Sal.21])))))))),
0)</f>
        <v>0</v>
      </c>
      <c r="AE101" s="111">
        <f t="array" ref="AE101">IFERROR(
(MEDIAN((IF(DATOS_[[Sexo]:[Sexo]]=$B101,IF(DATOS_[[AGRUP. VALOR. PTO.]:[AGRUP. VALOR. PTO.]]=$B99,IF(DATOS_[[Check Periodo Ref.]:[Check Periodo Ref.]]="Dentro",IF(DATOS_[[Check Equiparado]:[Check Equiparado]]="Sí",IF(DATOS!AZ$5="Sí",(1/DATOS_[[% anualiz]:[% anualiz]]),1)*IF(DATOS!AZ$4="Sí",1/DATOS_[[% normaliz]:[% normaliz]],1)*(DATOS_[Conc.Sal.22])))))))),
0)</f>
        <v>0</v>
      </c>
      <c r="AF101" s="111">
        <f t="array" ref="AF101">IFERROR(
(MEDIAN((IF(DATOS_[[Sexo]:[Sexo]]=$B101,IF(DATOS_[[AGRUP. VALOR. PTO.]:[AGRUP. VALOR. PTO.]]=$B99,IF(DATOS_[[Check Periodo Ref.]:[Check Periodo Ref.]]="Dentro",IF(DATOS_[[Check Equiparado]:[Check Equiparado]]="Sí",IF(DATOS!BA$5="Sí",(1/DATOS_[[% anualiz]:[% anualiz]]),1)*IF(DATOS!BA$4="Sí",1/DATOS_[[% normaliz]:[% normaliz]],1)*(DATOS_[Conc.Sal.23])))))))),
0)</f>
        <v>0</v>
      </c>
      <c r="AG101" s="111">
        <f t="array" ref="AG101">IFERROR(
(MEDIAN((IF(DATOS_[[Sexo]:[Sexo]]=$B101,IF(DATOS_[[AGRUP. VALOR. PTO.]:[AGRUP. VALOR. PTO.]]=$B99,IF(DATOS_[[Check Periodo Ref.]:[Check Periodo Ref.]]="Dentro",IF(DATOS_[[Check Equiparado]:[Check Equiparado]]="Sí",IF(DATOS!BB$5="Sí",(1/DATOS_[[% anualiz]:[% anualiz]]),1)*IF(DATOS!BB$4="Sí",1/DATOS_[[% normaliz]:[% normaliz]],1)*(DATOS_[Conc.Sal.24])))))))),
0)</f>
        <v>0</v>
      </c>
      <c r="AH101" s="111">
        <f t="array" ref="AH101">IFERROR(
(MEDIAN((IF(DATOS_[[Sexo]:[Sexo]]=$B101,IF(DATOS_[[AGRUP. VALOR. PTO.]:[AGRUP. VALOR. PTO.]]=$B99,IF(DATOS_[[Check Periodo Ref.]:[Check Periodo Ref.]]="Dentro",IF(DATOS_[[Check Equiparado]:[Check Equiparado]]="Sí",IF(DATOS!BC$5="Sí",(1/DATOS_[[% anualiz]:[% anualiz]]),1)*IF(DATOS!BC$4="Sí",1/DATOS_[[% normaliz]:[% normaliz]],1)*(DATOS_[Conc.Sal.25])))))))),
0)</f>
        <v>0</v>
      </c>
      <c r="AI101" s="111">
        <f t="array" ref="AI101">IFERROR(
(MEDIAN((IF(DATOS_[[Sexo]:[Sexo]]=$B101,IF(DATOS_[[AGRUP. VALOR. PTO.]:[AGRUP. VALOR. PTO.]]=$B99,IF(DATOS_[[Check Periodo Ref.]:[Check Periodo Ref.]]="Dentro",IF(DATOS_[[Check Equiparado]:[Check Equiparado]]="Sí",IF(DATOS!BD$5="Sí",(1/DATOS_[[% anualiz]:[% anualiz]]),1)*IF(DATOS!BD$4="Sí",1/DATOS_[[% normaliz]:[% normaliz]],1)*(DATOS_[Conc.Sal.26])))))))),
0)</f>
        <v>0</v>
      </c>
      <c r="AJ101" s="111">
        <f t="array" ref="AJ101">IFERROR(
(MEDIAN((IF(DATOS_[[Sexo]:[Sexo]]=$B101,IF(DATOS_[[AGRUP. VALOR. PTO.]:[AGRUP. VALOR. PTO.]]=$B99,IF(DATOS_[[Check Periodo Ref.]:[Check Periodo Ref.]]="Dentro",IF(DATOS_[[Check Equiparado]:[Check Equiparado]]="Sí",IF(DATOS!BE$5="Sí",(1/DATOS_[[% anualiz]:[% anualiz]]),1)*IF(DATOS!BE$4="Sí",1/DATOS_[[% normaliz]:[% normaliz]],1)*(DATOS_[Conc.Sal.27])))))))),
0)</f>
        <v>0</v>
      </c>
      <c r="AK101" s="111">
        <f t="array" ref="AK101">IFERROR(
(MEDIAN((IF(DATOS_[[Sexo]:[Sexo]]=$B101,IF(DATOS_[[AGRUP. VALOR. PTO.]:[AGRUP. VALOR. PTO.]]=$B99,IF(DATOS_[[Check Periodo Ref.]:[Check Periodo Ref.]]="Dentro",IF(DATOS_[[Check Equiparado]:[Check Equiparado]]="Sí",IF(DATOS!BF$5="Sí",(1/DATOS_[[% anualiz]:[% anualiz]]),1)*IF(DATOS!BF$4="Sí",1/DATOS_[[% normaliz]:[% normaliz]],1)*(DATOS_[Conc.Sal.28])))))))),
0)</f>
        <v>0</v>
      </c>
      <c r="AL101" s="111">
        <f t="array" ref="AL101">IFERROR(
(MEDIAN((IF(DATOS_[[Sexo]:[Sexo]]=$B101,IF(DATOS_[[AGRUP. VALOR. PTO.]:[AGRUP. VALOR. PTO.]]=$B99,IF(DATOS_[[Check Periodo Ref.]:[Check Periodo Ref.]]="Dentro",IF(DATOS_[[Check Equiparado]:[Check Equiparado]]="Sí",IF(DATOS!BG$5="Sí",(1/DATOS_[[% anualiz]:[% anualiz]]),1)*IF(DATOS!BG$4="Sí",1/DATOS_[[% normaliz]:[% normaliz]],1)*(DATOS_[Conc.Sal.29])))))))),
0)</f>
        <v>0</v>
      </c>
      <c r="AM101" s="111">
        <f t="array" ref="AM101">IFERROR(
(MEDIAN((IF(DATOS_[[Sexo]:[Sexo]]=$B101,IF(DATOS_[[AGRUP. VALOR. PTO.]:[AGRUP. VALOR. PTO.]]=$B99,IF(DATOS_[[Check Periodo Ref.]:[Check Periodo Ref.]]="Dentro",IF(DATOS_[[Check Equiparado]:[Check Equiparado]]="Sí",IF(DATOS!BH$5="Sí",(1/DATOS_[[% anualiz]:[% anualiz]]),1)*IF(DATOS!BH$4="Sí",1/DATOS_[[% normaliz]:[% normaliz]],1)*(DATOS_[Conc.Sal.30])))))))),
0)</f>
        <v>0</v>
      </c>
      <c r="AN101" s="112">
        <f t="array" ref="AN101">IFERROR(
MEDIAN(IF(DATOS_[Sexo]=$B101,IF(DATOS_[[AGRUP. VALOR. PTO.]:[AGRUP. VALOR. PTO.]]=$B99,IF(DATOS_[Check Equiparado]="Sí",IF(DATOS_[Check Periodo Ref.]="Dentro",DATOS_[Tot COMPL.SAL Eq],FALSE))))),
0)</f>
        <v>0</v>
      </c>
      <c r="AO101" s="113">
        <f t="array" ref="AO101">IFERROR(
MEDIAN(IF(DATOS_[Sexo]=$B101,IF(DATOS_[[AGRUP. VALOR. PTO.]:[AGRUP. VALOR. PTO.]]=$B99,IF(DATOS_[Check Equiparado]="Sí",IF(DATOS_[Check Periodo Ref.]="Dentro",DATOS_[TOTAL SALARIO Eq],FALSE))))),
0)</f>
        <v>0</v>
      </c>
      <c r="AP101" s="114">
        <f t="array" ref="AP101">IFERROR(
(MEDIAN((IF(DATOS_[[Sexo]:[Sexo]]=$B101,IF(DATOS_[[AGRUP. VALOR. PTO.]:[AGRUP. VALOR. PTO.]]=$B100,IF(DATOS_[[Check Periodo Ref.]:[Check Periodo Ref.]]="Dentro",IF(DATOS_[[Check Equiparado]:[Check Equiparado]]="Sí",IF(DATOS!BI$5="Sí",(1/DATOS_[[% anualiz]:[% anualiz]]),1)*IF(DATOS!BI$4="Sí",1/DATOS_[[% normaliz]:[% normaliz]],1)*(DATOS_[C.Extra.01])))))))),
0)</f>
        <v>0</v>
      </c>
      <c r="AQ101" s="114">
        <f t="array" ref="AQ101">IFERROR(
(MEDIAN((IF(DATOS_[[Sexo]:[Sexo]]=$B101,IF(DATOS_[[AGRUP. VALOR. PTO.]:[AGRUP. VALOR. PTO.]]=$B100,IF(DATOS_[[Check Periodo Ref.]:[Check Periodo Ref.]]="Dentro",IF(DATOS_[[Check Equiparado]:[Check Equiparado]]="Sí",IF(DATOS!BJ$5="Sí",(1/DATOS_[[% anualiz]:[% anualiz]]),1)*IF(DATOS!BJ$4="Sí",1/DATOS_[[% normaliz]:[% normaliz]],1)*(DATOS_[C.Extra.02])))))))),
0)</f>
        <v>0</v>
      </c>
      <c r="AR101" s="114">
        <f t="array" ref="AR101">IFERROR(
(MEDIAN((IF(DATOS_[[Sexo]:[Sexo]]=$B101,IF(DATOS_[[AGRUP. VALOR. PTO.]:[AGRUP. VALOR. PTO.]]=$B100,IF(DATOS_[[Check Periodo Ref.]:[Check Periodo Ref.]]="Dentro",IF(DATOS_[[Check Equiparado]:[Check Equiparado]]="Sí",IF(DATOS!BK$5="Sí",(1/DATOS_[[% anualiz]:[% anualiz]]),1)*IF(DATOS!BK$4="Sí",1/DATOS_[[% normaliz]:[% normaliz]],1)*(DATOS_[C.Extra.03])))))))),
0)</f>
        <v>0</v>
      </c>
      <c r="AS101" s="114">
        <f t="array" ref="AS101">IFERROR(
(MEDIAN((IF(DATOS_[[Sexo]:[Sexo]]=$B101,IF(DATOS_[[AGRUP. VALOR. PTO.]:[AGRUP. VALOR. PTO.]]=$B100,IF(DATOS_[[Check Periodo Ref.]:[Check Periodo Ref.]]="Dentro",IF(DATOS_[[Check Equiparado]:[Check Equiparado]]="Sí",IF(DATOS!BL$5="Sí",(1/DATOS_[[% anualiz]:[% anualiz]]),1)*IF(DATOS!BL$4="Sí",1/DATOS_[[% normaliz]:[% normaliz]],1)*(DATOS_[C.Extra.04])))))))),
0)</f>
        <v>0</v>
      </c>
      <c r="AT101" s="114">
        <f t="array" ref="AT101">IFERROR(
(MEDIAN((IF(DATOS_[[Sexo]:[Sexo]]=$B101,IF(DATOS_[[AGRUP. VALOR. PTO.]:[AGRUP. VALOR. PTO.]]=$B100,IF(DATOS_[[Check Periodo Ref.]:[Check Periodo Ref.]]="Dentro",IF(DATOS_[[Check Equiparado]:[Check Equiparado]]="Sí",IF(DATOS!BM$5="Sí",(1/DATOS_[[% anualiz]:[% anualiz]]),1)*IF(DATOS!BM$4="Sí",1/DATOS_[[% normaliz]:[% normaliz]],1)*(DATOS_[C.Extra.05])))))))),
0)</f>
        <v>0</v>
      </c>
      <c r="AU101" s="115">
        <f t="array" ref="AU101">IFERROR(
MEDIAN(IF(DATOS_[Sexo]=$B101,IF(DATOS_[[AGRUP. VALOR. PTO.]:[AGRUP. VALOR. PTO.]]=$B99,IF(DATOS_[Check Equiparado]="Sí",IF(DATOS_[Check Periodo Ref.]="Dentro",DATOS_[Tot Extrasalarial Eq],FALSE))))),
0)</f>
        <v>0</v>
      </c>
      <c r="AV101" s="116">
        <f t="array" ref="AV101">IFERROR(
MEDIAN(IF(DATOS_[Sexo]=$B101,IF(DATOS_[[AGRUP. VALOR. PTO.]:[AGRUP. VALOR. PTO.]]=$B99,IF(DATOS_[Check Equiparado]="Sí",IF(DATOS_[Check Periodo Ref.]="Dentro",DATOS_[TOTAL Retrib Eq],FALSE))))),
0)</f>
        <v>0</v>
      </c>
    </row>
    <row r="102" spans="1:48" ht="17.25" hidden="1" thickBot="1" x14ac:dyDescent="0.35">
      <c r="A102" s="42" t="str">
        <f t="shared" ref="A102" si="119">+A103</f>
        <v>[ocultar]</v>
      </c>
      <c r="B102" s="90" t="s">
        <v>289</v>
      </c>
      <c r="C102" s="109"/>
      <c r="D102" s="41"/>
      <c r="E102" s="41"/>
      <c r="F102" s="41"/>
      <c r="G102" s="41"/>
      <c r="H102" s="41"/>
      <c r="I102" s="119" t="str">
        <f t="shared" ref="I102:AV102" si="120">IFERROR((I103-I104)/I103,"")</f>
        <v/>
      </c>
      <c r="J102" s="123" t="str">
        <f t="shared" si="120"/>
        <v/>
      </c>
      <c r="K102" s="123" t="str">
        <f t="shared" si="120"/>
        <v/>
      </c>
      <c r="L102" s="123" t="str">
        <f t="shared" si="120"/>
        <v/>
      </c>
      <c r="M102" s="123" t="str">
        <f t="shared" si="120"/>
        <v/>
      </c>
      <c r="N102" s="123" t="str">
        <f t="shared" si="120"/>
        <v/>
      </c>
      <c r="O102" s="123" t="str">
        <f t="shared" si="120"/>
        <v/>
      </c>
      <c r="P102" s="123" t="str">
        <f t="shared" si="120"/>
        <v/>
      </c>
      <c r="Q102" s="123" t="str">
        <f t="shared" si="120"/>
        <v/>
      </c>
      <c r="R102" s="123" t="str">
        <f t="shared" si="120"/>
        <v/>
      </c>
      <c r="S102" s="123" t="str">
        <f t="shared" si="120"/>
        <v/>
      </c>
      <c r="T102" s="123" t="str">
        <f t="shared" si="120"/>
        <v/>
      </c>
      <c r="U102" s="123" t="str">
        <f t="shared" si="120"/>
        <v/>
      </c>
      <c r="V102" s="123" t="str">
        <f t="shared" si="120"/>
        <v/>
      </c>
      <c r="W102" s="123" t="str">
        <f t="shared" si="120"/>
        <v/>
      </c>
      <c r="X102" s="123" t="str">
        <f t="shared" si="120"/>
        <v/>
      </c>
      <c r="Y102" s="123" t="str">
        <f t="shared" si="120"/>
        <v/>
      </c>
      <c r="Z102" s="122" t="str">
        <f t="shared" si="120"/>
        <v/>
      </c>
      <c r="AA102" s="122" t="str">
        <f t="shared" si="120"/>
        <v/>
      </c>
      <c r="AB102" s="122" t="str">
        <f t="shared" si="120"/>
        <v/>
      </c>
      <c r="AC102" s="122" t="str">
        <f t="shared" si="120"/>
        <v/>
      </c>
      <c r="AD102" s="122" t="str">
        <f t="shared" si="120"/>
        <v/>
      </c>
      <c r="AE102" s="122" t="str">
        <f t="shared" si="120"/>
        <v/>
      </c>
      <c r="AF102" s="122" t="str">
        <f t="shared" si="120"/>
        <v/>
      </c>
      <c r="AG102" s="122" t="str">
        <f t="shared" si="120"/>
        <v/>
      </c>
      <c r="AH102" s="122" t="str">
        <f t="shared" si="120"/>
        <v/>
      </c>
      <c r="AI102" s="122" t="str">
        <f t="shared" si="120"/>
        <v/>
      </c>
      <c r="AJ102" s="122" t="str">
        <f t="shared" si="120"/>
        <v/>
      </c>
      <c r="AK102" s="122" t="str">
        <f t="shared" si="120"/>
        <v/>
      </c>
      <c r="AL102" s="122" t="str">
        <f t="shared" si="120"/>
        <v/>
      </c>
      <c r="AM102" s="122" t="str">
        <f t="shared" si="120"/>
        <v/>
      </c>
      <c r="AN102" s="124" t="str">
        <f t="shared" si="120"/>
        <v/>
      </c>
      <c r="AO102" s="128" t="str">
        <f t="shared" si="120"/>
        <v/>
      </c>
      <c r="AP102" s="125" t="str">
        <f t="shared" si="120"/>
        <v/>
      </c>
      <c r="AQ102" s="125" t="str">
        <f t="shared" si="120"/>
        <v/>
      </c>
      <c r="AR102" s="125" t="str">
        <f t="shared" si="120"/>
        <v/>
      </c>
      <c r="AS102" s="125" t="str">
        <f t="shared" si="120"/>
        <v/>
      </c>
      <c r="AT102" s="125" t="str">
        <f t="shared" si="120"/>
        <v/>
      </c>
      <c r="AU102" s="126" t="str">
        <f t="shared" si="120"/>
        <v/>
      </c>
      <c r="AV102" s="127" t="str">
        <f t="shared" si="120"/>
        <v/>
      </c>
    </row>
    <row r="103" spans="1:48" hidden="1" x14ac:dyDescent="0.3">
      <c r="A103" s="42" t="str">
        <f t="shared" ref="A103" si="121">+IF(C103+C104=0,"[ocultar]","")</f>
        <v>[ocultar]</v>
      </c>
      <c r="B103" s="86" t="s">
        <v>162</v>
      </c>
      <c r="C103" s="33">
        <f t="array" ref="C103">SUM(IF($B103=DATOS_[Sexo],
IF($B102=DATOS_[AGRUP. VALOR. PTO.],
IF("Dentro"=DATOS_[Check Periodo Ref.],
1/(COUNTIFS(DATOS_[Sexo],$B103,DATOS_[AGRUP. VALOR. PTO.],$B102,DATOS_[Check Periodo Ref.],"Dentro",DATOS_[id],DATOS_[id]))))))</f>
        <v>0</v>
      </c>
      <c r="D103" s="35">
        <f>COUNTIFS(DATOS_[AGRUP. VALOR. PTO.],$B102,DATOS_[Sexo],$B103,DATOS_[Check Periodo Ref.],"Dentro")</f>
        <v>0</v>
      </c>
      <c r="E103" s="35">
        <f>COUNTIFS(DATOS_[AGRUP. VALOR. PTO.],$B102,DATOS_[Sexo],$B103,DATOS_[Check Periodo Ref.],"Dentro",DATOS_[Check Nº SC Norm],"Sí")</f>
        <v>0</v>
      </c>
      <c r="F103" s="35">
        <f>COUNTIFS(DATOS_[AGRUP. VALOR. PTO.],$B102,DATOS_[Sexo],$B103,DATOS_[Check Periodo Ref.],"Dentro",DATOS_[Check Nº SC Anualiz],"Sí")</f>
        <v>0</v>
      </c>
      <c r="G103" s="35">
        <f>COUNTIFS(DATOS_[AGRUP. VALOR. PTO.],$B102,DATOS_[Sexo],$B103,DATOS_[Check Periodo Ref.],"Dentro",DATOS_[Check Nº SC Norm y Anualiz],"Sí")</f>
        <v>0</v>
      </c>
      <c r="H103" s="35">
        <f>COUNTIFS(DATOS_[AGRUP. VALOR. PTO.],$B102,DATOS_[Sexo],$B103,DATOS_[Check Periodo Ref.],"Dentro",DATOS_[Check Equiparación],"Sí")</f>
        <v>0</v>
      </c>
      <c r="I103" s="110">
        <f t="array" ref="I103">IFERROR(
MEDIAN(IF(DATOS_[Sexo]=$B103,IF(DATOS_[[AGRUP. VALOR. PTO.]:[AGRUP. VALOR. PTO.]]=$B102,IF(DATOS_[Check Equiparado]="Sí",IF(DATOS_[Check Periodo Ref.]="Dentro",DATOS_[SALARIO BASE Eq],FALSE))))),
0)</f>
        <v>0</v>
      </c>
      <c r="J103" s="111">
        <f t="array" ref="J103">IFERROR(
(MEDIAN((IF(DATOS_[[Sexo]:[Sexo]]=$B103,IF(DATOS_[[AGRUP. VALOR. PTO.]:[AGRUP. VALOR. PTO.]]=$B102,IF(DATOS_[[Check Periodo Ref.]:[Check Periodo Ref.]]="Dentro",IF(DATOS_[[Check Equiparado]:[Check Equiparado]]="Sí",IF(DATOS!AE$5="Sí",(1/DATOS_[[% anualiz]:[% anualiz]]),1)*IF(DATOS!AE$4="Sí",1/DATOS_[[% normaliz]:[% normaliz]],1)*(DATOS_[Conc.Sal.01])))))))),
0)</f>
        <v>0</v>
      </c>
      <c r="K103" s="111">
        <f t="array" ref="K103">IFERROR(
(MEDIAN((IF(DATOS_[[Sexo]:[Sexo]]=$B103,IF(DATOS_[[AGRUP. VALOR. PTO.]:[AGRUP. VALOR. PTO.]]=$B102,IF(DATOS_[[Check Periodo Ref.]:[Check Periodo Ref.]]="Dentro",IF(DATOS_[[Check Equiparado]:[Check Equiparado]]="Sí",IF(DATOS!AF$5="Sí",(1/DATOS_[[% anualiz]:[% anualiz]]),1)*IF(DATOS!AF$4="Sí",1/DATOS_[[% normaliz]:[% normaliz]],1)*(DATOS_[Conc.Sal.02])))))))),
0)</f>
        <v>0</v>
      </c>
      <c r="L103" s="111">
        <f t="array" ref="L103">IFERROR(
(MEDIAN((IF(DATOS_[[Sexo]:[Sexo]]=$B103,IF(DATOS_[[AGRUP. VALOR. PTO.]:[AGRUP. VALOR. PTO.]]=$B102,IF(DATOS_[[Check Periodo Ref.]:[Check Periodo Ref.]]="Dentro",IF(DATOS_[[Check Equiparado]:[Check Equiparado]]="Sí",IF(DATOS!AG$5="Sí",(1/DATOS_[[% anualiz]:[% anualiz]]),1)*IF(DATOS!AG$4="Sí",1/DATOS_[[% normaliz]:[% normaliz]],1)*(DATOS_[Conc.Sal.03])))))))),
0)</f>
        <v>0</v>
      </c>
      <c r="M103" s="111">
        <f t="array" ref="M103">IFERROR(
(MEDIAN((IF(DATOS_[[Sexo]:[Sexo]]=$B103,IF(DATOS_[[AGRUP. VALOR. PTO.]:[AGRUP. VALOR. PTO.]]=$B102,IF(DATOS_[[Check Periodo Ref.]:[Check Periodo Ref.]]="Dentro",IF(DATOS_[[Check Equiparado]:[Check Equiparado]]="Sí",IF(DATOS!AH$5="Sí",(1/DATOS_[[% anualiz]:[% anualiz]]),1)*IF(DATOS!AH$4="Sí",1/DATOS_[[% normaliz]:[% normaliz]],1)*(DATOS_[Conc.Sal.04])))))))),
0)</f>
        <v>0</v>
      </c>
      <c r="N103" s="111">
        <f t="array" ref="N103">IFERROR(
(MEDIAN((IF(DATOS_[[Sexo]:[Sexo]]=$B103,IF(DATOS_[[AGRUP. VALOR. PTO.]:[AGRUP. VALOR. PTO.]]=$B102,IF(DATOS_[[Check Periodo Ref.]:[Check Periodo Ref.]]="Dentro",IF(DATOS_[[Check Equiparado]:[Check Equiparado]]="Sí",IF(DATOS!AI$5="Sí",(1/DATOS_[[% anualiz]:[% anualiz]]),1)*IF(DATOS!AI$4="Sí",1/DATOS_[[% normaliz]:[% normaliz]],1)*(DATOS_[Conc.Sal.05])))))))),
0)</f>
        <v>0</v>
      </c>
      <c r="O103" s="111">
        <f t="array" ref="O103">IFERROR(
(MEDIAN((IF(DATOS_[[Sexo]:[Sexo]]=$B103,IF(DATOS_[[AGRUP. VALOR. PTO.]:[AGRUP. VALOR. PTO.]]=$B102,IF(DATOS_[[Check Periodo Ref.]:[Check Periodo Ref.]]="Dentro",IF(DATOS_[[Check Equiparado]:[Check Equiparado]]="Sí",IF(DATOS!AJ$5="Sí",(1/DATOS_[[% anualiz]:[% anualiz]]),1)*IF(DATOS!AJ$4="Sí",1/DATOS_[[% normaliz]:[% normaliz]],1)*(DATOS_[Conc.Sal.06])))))))),
0)</f>
        <v>0</v>
      </c>
      <c r="P103" s="111">
        <f t="array" ref="P103">IFERROR(
(MEDIAN((IF(DATOS_[[Sexo]:[Sexo]]=$B103,IF(DATOS_[[AGRUP. VALOR. PTO.]:[AGRUP. VALOR. PTO.]]=$B102,IF(DATOS_[[Check Periodo Ref.]:[Check Periodo Ref.]]="Dentro",IF(DATOS_[[Check Equiparado]:[Check Equiparado]]="Sí",IF(DATOS!AK$5="Sí",(1/DATOS_[[% anualiz]:[% anualiz]]),1)*IF(DATOS!AK$4="Sí",1/DATOS_[[% normaliz]:[% normaliz]],1)*(DATOS_[Conc.Sal.07])))))))),
0)</f>
        <v>0</v>
      </c>
      <c r="Q103" s="111">
        <f t="array" ref="Q103">IFERROR(
(MEDIAN((IF(DATOS_[[Sexo]:[Sexo]]=$B103,IF(DATOS_[[AGRUP. VALOR. PTO.]:[AGRUP. VALOR. PTO.]]=$B102,IF(DATOS_[[Check Periodo Ref.]:[Check Periodo Ref.]]="Dentro",IF(DATOS_[[Check Equiparado]:[Check Equiparado]]="Sí",IF(DATOS!AL$5="Sí",(1/DATOS_[[% anualiz]:[% anualiz]]),1)*IF(DATOS!AL$4="Sí",1/DATOS_[[% normaliz]:[% normaliz]],1)*(DATOS_[Conc.Sal.08])))))))),
0)</f>
        <v>0</v>
      </c>
      <c r="R103" s="111">
        <f t="array" ref="R103">IFERROR(
(MEDIAN((IF(DATOS_[[Sexo]:[Sexo]]=$B103,IF(DATOS_[[AGRUP. VALOR. PTO.]:[AGRUP. VALOR. PTO.]]=$B102,IF(DATOS_[[Check Periodo Ref.]:[Check Periodo Ref.]]="Dentro",IF(DATOS_[[Check Equiparado]:[Check Equiparado]]="Sí",IF(DATOS!AM$5="Sí",(1/DATOS_[[% anualiz]:[% anualiz]]),1)*IF(DATOS!AM$4="Sí",1/DATOS_[[% normaliz]:[% normaliz]],1)*(DATOS_[Conc.Sal.09])))))))),
0)</f>
        <v>0</v>
      </c>
      <c r="S103" s="111">
        <f t="array" ref="S103">IFERROR(
(MEDIAN((IF(DATOS_[[Sexo]:[Sexo]]=$B103,IF(DATOS_[[AGRUP. VALOR. PTO.]:[AGRUP. VALOR. PTO.]]=$B102,IF(DATOS_[[Check Periodo Ref.]:[Check Periodo Ref.]]="Dentro",IF(DATOS_[[Check Equiparado]:[Check Equiparado]]="Sí",IF(DATOS!AN$5="Sí",(1/DATOS_[[% anualiz]:[% anualiz]]),1)*IF(DATOS!AN$4="Sí",1/DATOS_[[% normaliz]:[% normaliz]],1)*(DATOS_[Conc.Sal.10])))))))),
0)</f>
        <v>0</v>
      </c>
      <c r="T103" s="111">
        <f t="array" ref="T103">IFERROR(
(MEDIAN((IF(DATOS_[[Sexo]:[Sexo]]=$B103,IF(DATOS_[[AGRUP. VALOR. PTO.]:[AGRUP. VALOR. PTO.]]=$B102,IF(DATOS_[[Check Periodo Ref.]:[Check Periodo Ref.]]="Dentro",IF(DATOS_[[Check Equiparado]:[Check Equiparado]]="Sí",IF(DATOS!AO$5="Sí",(1/DATOS_[[% anualiz]:[% anualiz]]),1)*IF(DATOS!AO$4="Sí",1/DATOS_[[% normaliz]:[% normaliz]],1)*(DATOS_[Conc.Sal.11])))))))),
0)</f>
        <v>0</v>
      </c>
      <c r="U103" s="111">
        <f t="array" ref="U103">IFERROR(
(MEDIAN((IF(DATOS_[[Sexo]:[Sexo]]=$B103,IF(DATOS_[[AGRUP. VALOR. PTO.]:[AGRUP. VALOR. PTO.]]=$B102,IF(DATOS_[[Check Periodo Ref.]:[Check Periodo Ref.]]="Dentro",IF(DATOS_[[Check Equiparado]:[Check Equiparado]]="Sí",IF(DATOS!AP$5="Sí",(1/DATOS_[[% anualiz]:[% anualiz]]),1)*IF(DATOS!AP$4="Sí",1/DATOS_[[% normaliz]:[% normaliz]],1)*(DATOS_[Conc.Sal.12])))))))),
0)</f>
        <v>0</v>
      </c>
      <c r="V103" s="111">
        <f t="array" ref="V103">IFERROR(
(MEDIAN((IF(DATOS_[[Sexo]:[Sexo]]=$B103,IF(DATOS_[[AGRUP. VALOR. PTO.]:[AGRUP. VALOR. PTO.]]=$B102,IF(DATOS_[[Check Periodo Ref.]:[Check Periodo Ref.]]="Dentro",IF(DATOS_[[Check Equiparado]:[Check Equiparado]]="Sí",IF(DATOS!AQ$5="Sí",(1/DATOS_[[% anualiz]:[% anualiz]]),1)*IF(DATOS!AQ$4="Sí",1/DATOS_[[% normaliz]:[% normaliz]],1)*(DATOS_[Conc.Sal.13])))))))),
0)</f>
        <v>0</v>
      </c>
      <c r="W103" s="111">
        <f t="array" ref="W103">IFERROR(
(MEDIAN((IF(DATOS_[[Sexo]:[Sexo]]=$B103,IF(DATOS_[[AGRUP. VALOR. PTO.]:[AGRUP. VALOR. PTO.]]=$B102,IF(DATOS_[[Check Periodo Ref.]:[Check Periodo Ref.]]="Dentro",IF(DATOS_[[Check Equiparado]:[Check Equiparado]]="Sí",IF(DATOS!AR$5="Sí",(1/DATOS_[[% anualiz]:[% anualiz]]),1)*IF(DATOS!AR$4="Sí",1/DATOS_[[% normaliz]:[% normaliz]],1)*(DATOS_[Conc.Sal.14])))))))),
0)</f>
        <v>0</v>
      </c>
      <c r="X103" s="111">
        <f t="array" ref="X103">IFERROR(
(MEDIAN((IF(DATOS_[[Sexo]:[Sexo]]=$B103,IF(DATOS_[[AGRUP. VALOR. PTO.]:[AGRUP. VALOR. PTO.]]=$B102,IF(DATOS_[[Check Periodo Ref.]:[Check Periodo Ref.]]="Dentro",IF(DATOS_[[Check Equiparado]:[Check Equiparado]]="Sí",IF(DATOS!AS$5="Sí",(1/DATOS_[[% anualiz]:[% anualiz]]),1)*IF(DATOS!AS$4="Sí",1/DATOS_[[% normaliz]:[% normaliz]],1)*(DATOS_[Conc.Sal.15])))))))),
0)</f>
        <v>0</v>
      </c>
      <c r="Y103" s="111">
        <f t="array" ref="Y103">IFERROR(
(MEDIAN((IF(DATOS_[[Sexo]:[Sexo]]=$B103,IF(DATOS_[[AGRUP. VALOR. PTO.]:[AGRUP. VALOR. PTO.]]=$B102,IF(DATOS_[[Check Periodo Ref.]:[Check Periodo Ref.]]="Dentro",IF(DATOS_[[Check Equiparado]:[Check Equiparado]]="Sí",IF(DATOS!AT$5="Sí",(1/DATOS_[[% anualiz]:[% anualiz]]),1)*IF(DATOS!AT$4="Sí",1/DATOS_[[% normaliz]:[% normaliz]],1)*(DATOS_[Conc.Sal.16])))))))),
0)</f>
        <v>0</v>
      </c>
      <c r="Z103" s="111">
        <f t="array" ref="Z103">IFERROR(
(MEDIAN((IF(DATOS_[[Sexo]:[Sexo]]=$B103,IF(DATOS_[[AGRUP. VALOR. PTO.]:[AGRUP. VALOR. PTO.]]=$B102,IF(DATOS_[[Check Periodo Ref.]:[Check Periodo Ref.]]="Dentro",IF(DATOS_[[Check Equiparado]:[Check Equiparado]]="Sí",IF(DATOS!AU$5="Sí",(1/DATOS_[[% anualiz]:[% anualiz]]),1)*IF(DATOS!AU$4="Sí",1/DATOS_[[% normaliz]:[% normaliz]],1)*(DATOS_[Conc.Sal.17])))))))),
0)</f>
        <v>0</v>
      </c>
      <c r="AA103" s="111">
        <f t="array" ref="AA103">IFERROR(
(MEDIAN((IF(DATOS_[[Sexo]:[Sexo]]=$B103,IF(DATOS_[[AGRUP. VALOR. PTO.]:[AGRUP. VALOR. PTO.]]=$B102,IF(DATOS_[[Check Periodo Ref.]:[Check Periodo Ref.]]="Dentro",IF(DATOS_[[Check Equiparado]:[Check Equiparado]]="Sí",IF(DATOS!AV$5="Sí",(1/DATOS_[[% anualiz]:[% anualiz]]),1)*IF(DATOS!AV$4="Sí",1/DATOS_[[% normaliz]:[% normaliz]],1)*(DATOS_[Conc.Sal.18])))))))),
0)</f>
        <v>0</v>
      </c>
      <c r="AB103" s="111">
        <f t="array" ref="AB103">IFERROR(
(MEDIAN((IF(DATOS_[[Sexo]:[Sexo]]=$B103,IF(DATOS_[[AGRUP. VALOR. PTO.]:[AGRUP. VALOR. PTO.]]=$B102,IF(DATOS_[[Check Periodo Ref.]:[Check Periodo Ref.]]="Dentro",IF(DATOS_[[Check Equiparado]:[Check Equiparado]]="Sí",IF(DATOS!AW$5="Sí",(1/DATOS_[[% anualiz]:[% anualiz]]),1)*IF(DATOS!AW$4="Sí",1/DATOS_[[% normaliz]:[% normaliz]],1)*(DATOS_[Conc.Sal.19])))))))),
0)</f>
        <v>0</v>
      </c>
      <c r="AC103" s="111">
        <f t="array" ref="AC103">IFERROR(
(MEDIAN((IF(DATOS_[[Sexo]:[Sexo]]=$B103,IF(DATOS_[[AGRUP. VALOR. PTO.]:[AGRUP. VALOR. PTO.]]=$B102,IF(DATOS_[[Check Periodo Ref.]:[Check Periodo Ref.]]="Dentro",IF(DATOS_[[Check Equiparado]:[Check Equiparado]]="Sí",IF(DATOS!AX$5="Sí",(1/DATOS_[[% anualiz]:[% anualiz]]),1)*IF(DATOS!AX$4="Sí",1/DATOS_[[% normaliz]:[% normaliz]],1)*(DATOS_[Conc.Sal.20])))))))),
0)</f>
        <v>0</v>
      </c>
      <c r="AD103" s="111">
        <f t="array" ref="AD103">IFERROR(
(MEDIAN((IF(DATOS_[[Sexo]:[Sexo]]=$B103,IF(DATOS_[[AGRUP. VALOR. PTO.]:[AGRUP. VALOR. PTO.]]=$B102,IF(DATOS_[[Check Periodo Ref.]:[Check Periodo Ref.]]="Dentro",IF(DATOS_[[Check Equiparado]:[Check Equiparado]]="Sí",IF(DATOS!AY$5="Sí",(1/DATOS_[[% anualiz]:[% anualiz]]),1)*IF(DATOS!AY$4="Sí",1/DATOS_[[% normaliz]:[% normaliz]],1)*(DATOS_[Conc.Sal.21])))))))),
0)</f>
        <v>0</v>
      </c>
      <c r="AE103" s="111">
        <f t="array" ref="AE103">IFERROR(
(MEDIAN((IF(DATOS_[[Sexo]:[Sexo]]=$B103,IF(DATOS_[[AGRUP. VALOR. PTO.]:[AGRUP. VALOR. PTO.]]=$B102,IF(DATOS_[[Check Periodo Ref.]:[Check Periodo Ref.]]="Dentro",IF(DATOS_[[Check Equiparado]:[Check Equiparado]]="Sí",IF(DATOS!AZ$5="Sí",(1/DATOS_[[% anualiz]:[% anualiz]]),1)*IF(DATOS!AZ$4="Sí",1/DATOS_[[% normaliz]:[% normaliz]],1)*(DATOS_[Conc.Sal.22])))))))),
0)</f>
        <v>0</v>
      </c>
      <c r="AF103" s="111">
        <f t="array" ref="AF103">IFERROR(
(MEDIAN((IF(DATOS_[[Sexo]:[Sexo]]=$B103,IF(DATOS_[[AGRUP. VALOR. PTO.]:[AGRUP. VALOR. PTO.]]=$B102,IF(DATOS_[[Check Periodo Ref.]:[Check Periodo Ref.]]="Dentro",IF(DATOS_[[Check Equiparado]:[Check Equiparado]]="Sí",IF(DATOS!BA$5="Sí",(1/DATOS_[[% anualiz]:[% anualiz]]),1)*IF(DATOS!BA$4="Sí",1/DATOS_[[% normaliz]:[% normaliz]],1)*(DATOS_[Conc.Sal.23])))))))),
0)</f>
        <v>0</v>
      </c>
      <c r="AG103" s="111">
        <f t="array" ref="AG103">IFERROR(
(MEDIAN((IF(DATOS_[[Sexo]:[Sexo]]=$B103,IF(DATOS_[[AGRUP. VALOR. PTO.]:[AGRUP. VALOR. PTO.]]=$B102,IF(DATOS_[[Check Periodo Ref.]:[Check Periodo Ref.]]="Dentro",IF(DATOS_[[Check Equiparado]:[Check Equiparado]]="Sí",IF(DATOS!BB$5="Sí",(1/DATOS_[[% anualiz]:[% anualiz]]),1)*IF(DATOS!BB$4="Sí",1/DATOS_[[% normaliz]:[% normaliz]],1)*(DATOS_[Conc.Sal.24])))))))),
0)</f>
        <v>0</v>
      </c>
      <c r="AH103" s="111">
        <f t="array" ref="AH103">IFERROR(
(MEDIAN((IF(DATOS_[[Sexo]:[Sexo]]=$B103,IF(DATOS_[[AGRUP. VALOR. PTO.]:[AGRUP. VALOR. PTO.]]=$B102,IF(DATOS_[[Check Periodo Ref.]:[Check Periodo Ref.]]="Dentro",IF(DATOS_[[Check Equiparado]:[Check Equiparado]]="Sí",IF(DATOS!BC$5="Sí",(1/DATOS_[[% anualiz]:[% anualiz]]),1)*IF(DATOS!BC$4="Sí",1/DATOS_[[% normaliz]:[% normaliz]],1)*(DATOS_[Conc.Sal.25])))))))),
0)</f>
        <v>0</v>
      </c>
      <c r="AI103" s="111">
        <f t="array" ref="AI103">IFERROR(
(MEDIAN((IF(DATOS_[[Sexo]:[Sexo]]=$B103,IF(DATOS_[[AGRUP. VALOR. PTO.]:[AGRUP. VALOR. PTO.]]=$B102,IF(DATOS_[[Check Periodo Ref.]:[Check Periodo Ref.]]="Dentro",IF(DATOS_[[Check Equiparado]:[Check Equiparado]]="Sí",IF(DATOS!BD$5="Sí",(1/DATOS_[[% anualiz]:[% anualiz]]),1)*IF(DATOS!BD$4="Sí",1/DATOS_[[% normaliz]:[% normaliz]],1)*(DATOS_[Conc.Sal.26])))))))),
0)</f>
        <v>0</v>
      </c>
      <c r="AJ103" s="111">
        <f t="array" ref="AJ103">IFERROR(
(MEDIAN((IF(DATOS_[[Sexo]:[Sexo]]=$B103,IF(DATOS_[[AGRUP. VALOR. PTO.]:[AGRUP. VALOR. PTO.]]=$B102,IF(DATOS_[[Check Periodo Ref.]:[Check Periodo Ref.]]="Dentro",IF(DATOS_[[Check Equiparado]:[Check Equiparado]]="Sí",IF(DATOS!BE$5="Sí",(1/DATOS_[[% anualiz]:[% anualiz]]),1)*IF(DATOS!BE$4="Sí",1/DATOS_[[% normaliz]:[% normaliz]],1)*(DATOS_[Conc.Sal.27])))))))),
0)</f>
        <v>0</v>
      </c>
      <c r="AK103" s="111">
        <f t="array" ref="AK103">IFERROR(
(MEDIAN((IF(DATOS_[[Sexo]:[Sexo]]=$B103,IF(DATOS_[[AGRUP. VALOR. PTO.]:[AGRUP. VALOR. PTO.]]=$B102,IF(DATOS_[[Check Periodo Ref.]:[Check Periodo Ref.]]="Dentro",IF(DATOS_[[Check Equiparado]:[Check Equiparado]]="Sí",IF(DATOS!BF$5="Sí",(1/DATOS_[[% anualiz]:[% anualiz]]),1)*IF(DATOS!BF$4="Sí",1/DATOS_[[% normaliz]:[% normaliz]],1)*(DATOS_[Conc.Sal.28])))))))),
0)</f>
        <v>0</v>
      </c>
      <c r="AL103" s="111">
        <f t="array" ref="AL103">IFERROR(
(MEDIAN((IF(DATOS_[[Sexo]:[Sexo]]=$B103,IF(DATOS_[[AGRUP. VALOR. PTO.]:[AGRUP. VALOR. PTO.]]=$B102,IF(DATOS_[[Check Periodo Ref.]:[Check Periodo Ref.]]="Dentro",IF(DATOS_[[Check Equiparado]:[Check Equiparado]]="Sí",IF(DATOS!BG$5="Sí",(1/DATOS_[[% anualiz]:[% anualiz]]),1)*IF(DATOS!BG$4="Sí",1/DATOS_[[% normaliz]:[% normaliz]],1)*(DATOS_[Conc.Sal.29])))))))),
0)</f>
        <v>0</v>
      </c>
      <c r="AM103" s="111">
        <f t="array" ref="AM103">IFERROR(
(MEDIAN((IF(DATOS_[[Sexo]:[Sexo]]=$B103,IF(DATOS_[[AGRUP. VALOR. PTO.]:[AGRUP. VALOR. PTO.]]=$B102,IF(DATOS_[[Check Periodo Ref.]:[Check Periodo Ref.]]="Dentro",IF(DATOS_[[Check Equiparado]:[Check Equiparado]]="Sí",IF(DATOS!BH$5="Sí",(1/DATOS_[[% anualiz]:[% anualiz]]),1)*IF(DATOS!BH$4="Sí",1/DATOS_[[% normaliz]:[% normaliz]],1)*(DATOS_[Conc.Sal.30])))))))),
0)</f>
        <v>0</v>
      </c>
      <c r="AN103" s="112">
        <f t="array" ref="AN103">IFERROR(
MEDIAN(IF(DATOS_[Sexo]=$B103,IF(DATOS_[[AGRUP. VALOR. PTO.]:[AGRUP. VALOR. PTO.]]=$B102,IF(DATOS_[Check Equiparado]="Sí",IF(DATOS_[Check Periodo Ref.]="Dentro",DATOS_[Tot COMPL.SAL Eq],FALSE))))),
0)</f>
        <v>0</v>
      </c>
      <c r="AO103" s="113">
        <f t="array" ref="AO103">IFERROR(
MEDIAN(IF(DATOS_[Sexo]=$B103,IF(DATOS_[[AGRUP. VALOR. PTO.]:[AGRUP. VALOR. PTO.]]=$B102,IF(DATOS_[Check Equiparado]="Sí",IF(DATOS_[Check Periodo Ref.]="Dentro",DATOS_[TOTAL SALARIO Eq],FALSE))))),
0)</f>
        <v>0</v>
      </c>
      <c r="AP103" s="114">
        <f t="array" ref="AP103">IFERROR(
(MEDIAN((IF(DATOS_[[Sexo]:[Sexo]]=$B103,IF(DATOS_[[AGRUP. VALOR. PTO.]:[AGRUP. VALOR. PTO.]]=$B102,IF(DATOS_[[Check Periodo Ref.]:[Check Periodo Ref.]]="Dentro",IF(DATOS_[[Check Equiparado]:[Check Equiparado]]="Sí",IF(DATOS!BI$5="Sí",(1/DATOS_[[% anualiz]:[% anualiz]]),1)*IF(DATOS!BI$4="Sí",1/DATOS_[[% normaliz]:[% normaliz]],1)*(DATOS_[C.Extra.01])))))))),
0)</f>
        <v>0</v>
      </c>
      <c r="AQ103" s="114">
        <f t="array" ref="AQ103">IFERROR(
(MEDIAN((IF(DATOS_[[Sexo]:[Sexo]]=$B103,IF(DATOS_[[AGRUP. VALOR. PTO.]:[AGRUP. VALOR. PTO.]]=$B102,IF(DATOS_[[Check Periodo Ref.]:[Check Periodo Ref.]]="Dentro",IF(DATOS_[[Check Equiparado]:[Check Equiparado]]="Sí",IF(DATOS!BJ$5="Sí",(1/DATOS_[[% anualiz]:[% anualiz]]),1)*IF(DATOS!BJ$4="Sí",1/DATOS_[[% normaliz]:[% normaliz]],1)*(DATOS_[C.Extra.02])))))))),
0)</f>
        <v>0</v>
      </c>
      <c r="AR103" s="114">
        <f t="array" ref="AR103">IFERROR(
(MEDIAN((IF(DATOS_[[Sexo]:[Sexo]]=$B103,IF(DATOS_[[AGRUP. VALOR. PTO.]:[AGRUP. VALOR. PTO.]]=$B102,IF(DATOS_[[Check Periodo Ref.]:[Check Periodo Ref.]]="Dentro",IF(DATOS_[[Check Equiparado]:[Check Equiparado]]="Sí",IF(DATOS!BK$5="Sí",(1/DATOS_[[% anualiz]:[% anualiz]]),1)*IF(DATOS!BK$4="Sí",1/DATOS_[[% normaliz]:[% normaliz]],1)*(DATOS_[C.Extra.03])))))))),
0)</f>
        <v>0</v>
      </c>
      <c r="AS103" s="114">
        <f t="array" ref="AS103">IFERROR(
(MEDIAN((IF(DATOS_[[Sexo]:[Sexo]]=$B103,IF(DATOS_[[AGRUP. VALOR. PTO.]:[AGRUP. VALOR. PTO.]]=$B102,IF(DATOS_[[Check Periodo Ref.]:[Check Periodo Ref.]]="Dentro",IF(DATOS_[[Check Equiparado]:[Check Equiparado]]="Sí",IF(DATOS!BL$5="Sí",(1/DATOS_[[% anualiz]:[% anualiz]]),1)*IF(DATOS!BL$4="Sí",1/DATOS_[[% normaliz]:[% normaliz]],1)*(DATOS_[C.Extra.04])))))))),
0)</f>
        <v>0</v>
      </c>
      <c r="AT103" s="114">
        <f t="array" ref="AT103">IFERROR(
(MEDIAN((IF(DATOS_[[Sexo]:[Sexo]]=$B103,IF(DATOS_[[AGRUP. VALOR. PTO.]:[AGRUP. VALOR. PTO.]]=$B102,IF(DATOS_[[Check Periodo Ref.]:[Check Periodo Ref.]]="Dentro",IF(DATOS_[[Check Equiparado]:[Check Equiparado]]="Sí",IF(DATOS!BM$5="Sí",(1/DATOS_[[% anualiz]:[% anualiz]]),1)*IF(DATOS!BM$4="Sí",1/DATOS_[[% normaliz]:[% normaliz]],1)*(DATOS_[C.Extra.05])))))))),
0)</f>
        <v>0</v>
      </c>
      <c r="AU103" s="115">
        <f t="array" ref="AU103">IFERROR(
MEDIAN(IF(DATOS_[Sexo]=$B103,IF(DATOS_[[AGRUP. VALOR. PTO.]:[AGRUP. VALOR. PTO.]]=$B102,IF(DATOS_[Check Equiparado]="Sí",IF(DATOS_[Check Periodo Ref.]="Dentro",DATOS_[Tot Extrasalarial Eq],FALSE))))),
0)</f>
        <v>0</v>
      </c>
      <c r="AV103" s="116">
        <f t="array" ref="AV103">IFERROR(
MEDIAN(IF(DATOS_[Sexo]=$B103,IF(DATOS_[[AGRUP. VALOR. PTO.]:[AGRUP. VALOR. PTO.]]=$B102,IF(DATOS_[Check Equiparado]="Sí",IF(DATOS_[Check Periodo Ref.]="Dentro",DATOS_[TOTAL Retrib Eq],FALSE))))),
0)</f>
        <v>0</v>
      </c>
    </row>
    <row r="104" spans="1:48" hidden="1" x14ac:dyDescent="0.3">
      <c r="A104" s="42" t="str">
        <f t="shared" ref="A104" si="122">+A103</f>
        <v>[ocultar]</v>
      </c>
      <c r="B104" s="86" t="s">
        <v>163</v>
      </c>
      <c r="C104" s="33">
        <f t="array" ref="C104">SUM(IF($B104=DATOS_[Sexo],
IF($B102=DATOS_[AGRUP. VALOR. PTO.],
IF("Dentro"=DATOS_[Check Periodo Ref.],
1/(COUNTIFS(DATOS_[Sexo],$B104,DATOS_[AGRUP. VALOR. PTO.],$B102,DATOS_[Check Periodo Ref.],"Dentro",DATOS_[id],DATOS_[id]))))))</f>
        <v>0</v>
      </c>
      <c r="D104" s="35">
        <f>COUNTIFS(DATOS_[AGRUP. VALOR. PTO.],$B102,DATOS_[Sexo],$B104,DATOS_[Check Periodo Ref.],"Dentro")</f>
        <v>0</v>
      </c>
      <c r="E104" s="35">
        <f>COUNTIFS(DATOS_[AGRUP. VALOR. PTO.],$B102,DATOS_[Sexo],$B104,DATOS_[Check Periodo Ref.],"Dentro",DATOS_[Check Nº SC Norm],"Sí")</f>
        <v>0</v>
      </c>
      <c r="F104" s="35">
        <f>COUNTIFS(DATOS_[AGRUP. VALOR. PTO.],$B102,DATOS_[Sexo],$B104,DATOS_[Check Periodo Ref.],"Dentro",DATOS_[Check Nº SC Anualiz],"Sí")</f>
        <v>0</v>
      </c>
      <c r="G104" s="35">
        <f>COUNTIFS(DATOS_[AGRUP. VALOR. PTO.],$B102,DATOS_[Sexo],$B104,DATOS_[Check Periodo Ref.],"Dentro",DATOS_[Check Nº SC Norm y Anualiz],"Sí")</f>
        <v>0</v>
      </c>
      <c r="H104" s="35">
        <f>COUNTIFS(DATOS_[AGRUP. VALOR. PTO.],$B102,DATOS_[Sexo],$B104,DATOS_[Check Periodo Ref.],"Dentro",DATOS_[Check Equiparación],"Sí")</f>
        <v>0</v>
      </c>
      <c r="I104" s="110" cm="1">
        <f t="array" ref="I104">IFERROR(
MEDIAN(IF(DATOS_[Sexo]=$B104,IF(DATOS_[[AGRUP. VALOR. PTO.]:[AGRUP. VALOR. PTO.]]=$B102,IF(DATOS_[Check Equiparado]="Sí",IF(DATOS_[Check Periodo Ref.]="Dentro",DATOS_[SALARIO BASE Eq],FALSE))))),
0)</f>
        <v>0</v>
      </c>
      <c r="J104" s="111">
        <f t="array" ref="J104">IFERROR(
(MEDIAN((IF(DATOS_[[Sexo]:[Sexo]]=$B104,IF(DATOS_[[AGRUP. VALOR. PTO.]:[AGRUP. VALOR. PTO.]]=$B102,IF(DATOS_[[Check Periodo Ref.]:[Check Periodo Ref.]]="Dentro",IF(DATOS_[[Check Equiparado]:[Check Equiparado]]="Sí",IF(DATOS!AE$5="Sí",(1/DATOS_[[% anualiz]:[% anualiz]]),1)*IF(DATOS!AE$4="Sí",1/DATOS_[[% normaliz]:[% normaliz]],1)*(DATOS_[Conc.Sal.01])))))))),
0)</f>
        <v>0</v>
      </c>
      <c r="K104" s="111">
        <f t="array" ref="K104">IFERROR(
(MEDIAN((IF(DATOS_[[Sexo]:[Sexo]]=$B104,IF(DATOS_[[AGRUP. VALOR. PTO.]:[AGRUP. VALOR. PTO.]]=$B102,IF(DATOS_[[Check Periodo Ref.]:[Check Periodo Ref.]]="Dentro",IF(DATOS_[[Check Equiparado]:[Check Equiparado]]="Sí",IF(DATOS!AF$5="Sí",(1/DATOS_[[% anualiz]:[% anualiz]]),1)*IF(DATOS!AF$4="Sí",1/DATOS_[[% normaliz]:[% normaliz]],1)*(DATOS_[Conc.Sal.02])))))))),
0)</f>
        <v>0</v>
      </c>
      <c r="L104" s="111">
        <f t="array" ref="L104">IFERROR(
(MEDIAN((IF(DATOS_[[Sexo]:[Sexo]]=$B104,IF(DATOS_[[AGRUP. VALOR. PTO.]:[AGRUP. VALOR. PTO.]]=$B102,IF(DATOS_[[Check Periodo Ref.]:[Check Periodo Ref.]]="Dentro",IF(DATOS_[[Check Equiparado]:[Check Equiparado]]="Sí",IF(DATOS!AG$5="Sí",(1/DATOS_[[% anualiz]:[% anualiz]]),1)*IF(DATOS!AG$4="Sí",1/DATOS_[[% normaliz]:[% normaliz]],1)*(DATOS_[Conc.Sal.03])))))))),
0)</f>
        <v>0</v>
      </c>
      <c r="M104" s="111">
        <f t="array" ref="M104">IFERROR(
(MEDIAN((IF(DATOS_[[Sexo]:[Sexo]]=$B104,IF(DATOS_[[AGRUP. VALOR. PTO.]:[AGRUP. VALOR. PTO.]]=$B102,IF(DATOS_[[Check Periodo Ref.]:[Check Periodo Ref.]]="Dentro",IF(DATOS_[[Check Equiparado]:[Check Equiparado]]="Sí",IF(DATOS!AH$5="Sí",(1/DATOS_[[% anualiz]:[% anualiz]]),1)*IF(DATOS!AH$4="Sí",1/DATOS_[[% normaliz]:[% normaliz]],1)*(DATOS_[Conc.Sal.04])))))))),
0)</f>
        <v>0</v>
      </c>
      <c r="N104" s="111">
        <f t="array" ref="N104">IFERROR(
(MEDIAN((IF(DATOS_[[Sexo]:[Sexo]]=$B104,IF(DATOS_[[AGRUP. VALOR. PTO.]:[AGRUP. VALOR. PTO.]]=$B102,IF(DATOS_[[Check Periodo Ref.]:[Check Periodo Ref.]]="Dentro",IF(DATOS_[[Check Equiparado]:[Check Equiparado]]="Sí",IF(DATOS!AI$5="Sí",(1/DATOS_[[% anualiz]:[% anualiz]]),1)*IF(DATOS!AI$4="Sí",1/DATOS_[[% normaliz]:[% normaliz]],1)*(DATOS_[Conc.Sal.05])))))))),
0)</f>
        <v>0</v>
      </c>
      <c r="O104" s="111">
        <f t="array" ref="O104">IFERROR(
(MEDIAN((IF(DATOS_[[Sexo]:[Sexo]]=$B104,IF(DATOS_[[AGRUP. VALOR. PTO.]:[AGRUP. VALOR. PTO.]]=$B102,IF(DATOS_[[Check Periodo Ref.]:[Check Periodo Ref.]]="Dentro",IF(DATOS_[[Check Equiparado]:[Check Equiparado]]="Sí",IF(DATOS!AJ$5="Sí",(1/DATOS_[[% anualiz]:[% anualiz]]),1)*IF(DATOS!AJ$4="Sí",1/DATOS_[[% normaliz]:[% normaliz]],1)*(DATOS_[Conc.Sal.06])))))))),
0)</f>
        <v>0</v>
      </c>
      <c r="P104" s="111">
        <f t="array" ref="P104">IFERROR(
(MEDIAN((IF(DATOS_[[Sexo]:[Sexo]]=$B104,IF(DATOS_[[AGRUP. VALOR. PTO.]:[AGRUP. VALOR. PTO.]]=$B102,IF(DATOS_[[Check Periodo Ref.]:[Check Periodo Ref.]]="Dentro",IF(DATOS_[[Check Equiparado]:[Check Equiparado]]="Sí",IF(DATOS!AK$5="Sí",(1/DATOS_[[% anualiz]:[% anualiz]]),1)*IF(DATOS!AK$4="Sí",1/DATOS_[[% normaliz]:[% normaliz]],1)*(DATOS_[Conc.Sal.07])))))))),
0)</f>
        <v>0</v>
      </c>
      <c r="Q104" s="111">
        <f t="array" ref="Q104">IFERROR(
(MEDIAN((IF(DATOS_[[Sexo]:[Sexo]]=$B104,IF(DATOS_[[AGRUP. VALOR. PTO.]:[AGRUP. VALOR. PTO.]]=$B102,IF(DATOS_[[Check Periodo Ref.]:[Check Periodo Ref.]]="Dentro",IF(DATOS_[[Check Equiparado]:[Check Equiparado]]="Sí",IF(DATOS!AL$5="Sí",(1/DATOS_[[% anualiz]:[% anualiz]]),1)*IF(DATOS!AL$4="Sí",1/DATOS_[[% normaliz]:[% normaliz]],1)*(DATOS_[Conc.Sal.08])))))))),
0)</f>
        <v>0</v>
      </c>
      <c r="R104" s="111">
        <f t="array" ref="R104">IFERROR(
(MEDIAN((IF(DATOS_[[Sexo]:[Sexo]]=$B104,IF(DATOS_[[AGRUP. VALOR. PTO.]:[AGRUP. VALOR. PTO.]]=$B102,IF(DATOS_[[Check Periodo Ref.]:[Check Periodo Ref.]]="Dentro",IF(DATOS_[[Check Equiparado]:[Check Equiparado]]="Sí",IF(DATOS!AM$5="Sí",(1/DATOS_[[% anualiz]:[% anualiz]]),1)*IF(DATOS!AM$4="Sí",1/DATOS_[[% normaliz]:[% normaliz]],1)*(DATOS_[Conc.Sal.09])))))))),
0)</f>
        <v>0</v>
      </c>
      <c r="S104" s="111">
        <f t="array" ref="S104">IFERROR(
(MEDIAN((IF(DATOS_[[Sexo]:[Sexo]]=$B104,IF(DATOS_[[AGRUP. VALOR. PTO.]:[AGRUP. VALOR. PTO.]]=$B102,IF(DATOS_[[Check Periodo Ref.]:[Check Periodo Ref.]]="Dentro",IF(DATOS_[[Check Equiparado]:[Check Equiparado]]="Sí",IF(DATOS!AN$5="Sí",(1/DATOS_[[% anualiz]:[% anualiz]]),1)*IF(DATOS!AN$4="Sí",1/DATOS_[[% normaliz]:[% normaliz]],1)*(DATOS_[Conc.Sal.10])))))))),
0)</f>
        <v>0</v>
      </c>
      <c r="T104" s="111">
        <f t="array" ref="T104">IFERROR(
(MEDIAN((IF(DATOS_[[Sexo]:[Sexo]]=$B104,IF(DATOS_[[AGRUP. VALOR. PTO.]:[AGRUP. VALOR. PTO.]]=$B102,IF(DATOS_[[Check Periodo Ref.]:[Check Periodo Ref.]]="Dentro",IF(DATOS_[[Check Equiparado]:[Check Equiparado]]="Sí",IF(DATOS!AO$5="Sí",(1/DATOS_[[% anualiz]:[% anualiz]]),1)*IF(DATOS!AO$4="Sí",1/DATOS_[[% normaliz]:[% normaliz]],1)*(DATOS_[Conc.Sal.11])))))))),
0)</f>
        <v>0</v>
      </c>
      <c r="U104" s="111">
        <f t="array" ref="U104">IFERROR(
(MEDIAN((IF(DATOS_[[Sexo]:[Sexo]]=$B104,IF(DATOS_[[AGRUP. VALOR. PTO.]:[AGRUP. VALOR. PTO.]]=$B102,IF(DATOS_[[Check Periodo Ref.]:[Check Periodo Ref.]]="Dentro",IF(DATOS_[[Check Equiparado]:[Check Equiparado]]="Sí",IF(DATOS!AP$5="Sí",(1/DATOS_[[% anualiz]:[% anualiz]]),1)*IF(DATOS!AP$4="Sí",1/DATOS_[[% normaliz]:[% normaliz]],1)*(DATOS_[Conc.Sal.12])))))))),
0)</f>
        <v>0</v>
      </c>
      <c r="V104" s="111">
        <f t="array" ref="V104">IFERROR(
(MEDIAN((IF(DATOS_[[Sexo]:[Sexo]]=$B104,IF(DATOS_[[AGRUP. VALOR. PTO.]:[AGRUP. VALOR. PTO.]]=$B102,IF(DATOS_[[Check Periodo Ref.]:[Check Periodo Ref.]]="Dentro",IF(DATOS_[[Check Equiparado]:[Check Equiparado]]="Sí",IF(DATOS!AQ$5="Sí",(1/DATOS_[[% anualiz]:[% anualiz]]),1)*IF(DATOS!AQ$4="Sí",1/DATOS_[[% normaliz]:[% normaliz]],1)*(DATOS_[Conc.Sal.13])))))))),
0)</f>
        <v>0</v>
      </c>
      <c r="W104" s="111">
        <f t="array" ref="W104">IFERROR(
(MEDIAN((IF(DATOS_[[Sexo]:[Sexo]]=$B104,IF(DATOS_[[AGRUP. VALOR. PTO.]:[AGRUP. VALOR. PTO.]]=$B102,IF(DATOS_[[Check Periodo Ref.]:[Check Periodo Ref.]]="Dentro",IF(DATOS_[[Check Equiparado]:[Check Equiparado]]="Sí",IF(DATOS!AR$5="Sí",(1/DATOS_[[% anualiz]:[% anualiz]]),1)*IF(DATOS!AR$4="Sí",1/DATOS_[[% normaliz]:[% normaliz]],1)*(DATOS_[Conc.Sal.14])))))))),
0)</f>
        <v>0</v>
      </c>
      <c r="X104" s="111">
        <f t="array" ref="X104">IFERROR(
(MEDIAN((IF(DATOS_[[Sexo]:[Sexo]]=$B104,IF(DATOS_[[AGRUP. VALOR. PTO.]:[AGRUP. VALOR. PTO.]]=$B102,IF(DATOS_[[Check Periodo Ref.]:[Check Periodo Ref.]]="Dentro",IF(DATOS_[[Check Equiparado]:[Check Equiparado]]="Sí",IF(DATOS!AS$5="Sí",(1/DATOS_[[% anualiz]:[% anualiz]]),1)*IF(DATOS!AS$4="Sí",1/DATOS_[[% normaliz]:[% normaliz]],1)*(DATOS_[Conc.Sal.15])))))))),
0)</f>
        <v>0</v>
      </c>
      <c r="Y104" s="111">
        <f t="array" ref="Y104">IFERROR(
(MEDIAN((IF(DATOS_[[Sexo]:[Sexo]]=$B104,IF(DATOS_[[AGRUP. VALOR. PTO.]:[AGRUP. VALOR. PTO.]]=$B102,IF(DATOS_[[Check Periodo Ref.]:[Check Periodo Ref.]]="Dentro",IF(DATOS_[[Check Equiparado]:[Check Equiparado]]="Sí",IF(DATOS!AT$5="Sí",(1/DATOS_[[% anualiz]:[% anualiz]]),1)*IF(DATOS!AT$4="Sí",1/DATOS_[[% normaliz]:[% normaliz]],1)*(DATOS_[Conc.Sal.16])))))))),
0)</f>
        <v>0</v>
      </c>
      <c r="Z104" s="111">
        <f t="array" ref="Z104">IFERROR(
(MEDIAN((IF(DATOS_[[Sexo]:[Sexo]]=$B104,IF(DATOS_[[AGRUP. VALOR. PTO.]:[AGRUP. VALOR. PTO.]]=$B102,IF(DATOS_[[Check Periodo Ref.]:[Check Periodo Ref.]]="Dentro",IF(DATOS_[[Check Equiparado]:[Check Equiparado]]="Sí",IF(DATOS!AU$5="Sí",(1/DATOS_[[% anualiz]:[% anualiz]]),1)*IF(DATOS!AU$4="Sí",1/DATOS_[[% normaliz]:[% normaliz]],1)*(DATOS_[Conc.Sal.17])))))))),
0)</f>
        <v>0</v>
      </c>
      <c r="AA104" s="111">
        <f t="array" ref="AA104">IFERROR(
(MEDIAN((IF(DATOS_[[Sexo]:[Sexo]]=$B104,IF(DATOS_[[AGRUP. VALOR. PTO.]:[AGRUP. VALOR. PTO.]]=$B102,IF(DATOS_[[Check Periodo Ref.]:[Check Periodo Ref.]]="Dentro",IF(DATOS_[[Check Equiparado]:[Check Equiparado]]="Sí",IF(DATOS!AV$5="Sí",(1/DATOS_[[% anualiz]:[% anualiz]]),1)*IF(DATOS!AV$4="Sí",1/DATOS_[[% normaliz]:[% normaliz]],1)*(DATOS_[Conc.Sal.18])))))))),
0)</f>
        <v>0</v>
      </c>
      <c r="AB104" s="111">
        <f t="array" ref="AB104">IFERROR(
(MEDIAN((IF(DATOS_[[Sexo]:[Sexo]]=$B104,IF(DATOS_[[AGRUP. VALOR. PTO.]:[AGRUP. VALOR. PTO.]]=$B102,IF(DATOS_[[Check Periodo Ref.]:[Check Periodo Ref.]]="Dentro",IF(DATOS_[[Check Equiparado]:[Check Equiparado]]="Sí",IF(DATOS!AW$5="Sí",(1/DATOS_[[% anualiz]:[% anualiz]]),1)*IF(DATOS!AW$4="Sí",1/DATOS_[[% normaliz]:[% normaliz]],1)*(DATOS_[Conc.Sal.19])))))))),
0)</f>
        <v>0</v>
      </c>
      <c r="AC104" s="111">
        <f t="array" ref="AC104">IFERROR(
(MEDIAN((IF(DATOS_[[Sexo]:[Sexo]]=$B104,IF(DATOS_[[AGRUP. VALOR. PTO.]:[AGRUP. VALOR. PTO.]]=$B102,IF(DATOS_[[Check Periodo Ref.]:[Check Periodo Ref.]]="Dentro",IF(DATOS_[[Check Equiparado]:[Check Equiparado]]="Sí",IF(DATOS!AX$5="Sí",(1/DATOS_[[% anualiz]:[% anualiz]]),1)*IF(DATOS!AX$4="Sí",1/DATOS_[[% normaliz]:[% normaliz]],1)*(DATOS_[Conc.Sal.20])))))))),
0)</f>
        <v>0</v>
      </c>
      <c r="AD104" s="111">
        <f t="array" ref="AD104">IFERROR(
(MEDIAN((IF(DATOS_[[Sexo]:[Sexo]]=$B104,IF(DATOS_[[AGRUP. VALOR. PTO.]:[AGRUP. VALOR. PTO.]]=$B102,IF(DATOS_[[Check Periodo Ref.]:[Check Periodo Ref.]]="Dentro",IF(DATOS_[[Check Equiparado]:[Check Equiparado]]="Sí",IF(DATOS!AY$5="Sí",(1/DATOS_[[% anualiz]:[% anualiz]]),1)*IF(DATOS!AY$4="Sí",1/DATOS_[[% normaliz]:[% normaliz]],1)*(DATOS_[Conc.Sal.21])))))))),
0)</f>
        <v>0</v>
      </c>
      <c r="AE104" s="111">
        <f t="array" ref="AE104">IFERROR(
(MEDIAN((IF(DATOS_[[Sexo]:[Sexo]]=$B104,IF(DATOS_[[AGRUP. VALOR. PTO.]:[AGRUP. VALOR. PTO.]]=$B102,IF(DATOS_[[Check Periodo Ref.]:[Check Periodo Ref.]]="Dentro",IF(DATOS_[[Check Equiparado]:[Check Equiparado]]="Sí",IF(DATOS!AZ$5="Sí",(1/DATOS_[[% anualiz]:[% anualiz]]),1)*IF(DATOS!AZ$4="Sí",1/DATOS_[[% normaliz]:[% normaliz]],1)*(DATOS_[Conc.Sal.22])))))))),
0)</f>
        <v>0</v>
      </c>
      <c r="AF104" s="111">
        <f t="array" ref="AF104">IFERROR(
(MEDIAN((IF(DATOS_[[Sexo]:[Sexo]]=$B104,IF(DATOS_[[AGRUP. VALOR. PTO.]:[AGRUP. VALOR. PTO.]]=$B102,IF(DATOS_[[Check Periodo Ref.]:[Check Periodo Ref.]]="Dentro",IF(DATOS_[[Check Equiparado]:[Check Equiparado]]="Sí",IF(DATOS!BA$5="Sí",(1/DATOS_[[% anualiz]:[% anualiz]]),1)*IF(DATOS!BA$4="Sí",1/DATOS_[[% normaliz]:[% normaliz]],1)*(DATOS_[Conc.Sal.23])))))))),
0)</f>
        <v>0</v>
      </c>
      <c r="AG104" s="111">
        <f t="array" ref="AG104">IFERROR(
(MEDIAN((IF(DATOS_[[Sexo]:[Sexo]]=$B104,IF(DATOS_[[AGRUP. VALOR. PTO.]:[AGRUP. VALOR. PTO.]]=$B102,IF(DATOS_[[Check Periodo Ref.]:[Check Periodo Ref.]]="Dentro",IF(DATOS_[[Check Equiparado]:[Check Equiparado]]="Sí",IF(DATOS!BB$5="Sí",(1/DATOS_[[% anualiz]:[% anualiz]]),1)*IF(DATOS!BB$4="Sí",1/DATOS_[[% normaliz]:[% normaliz]],1)*(DATOS_[Conc.Sal.24])))))))),
0)</f>
        <v>0</v>
      </c>
      <c r="AH104" s="111">
        <f t="array" ref="AH104">IFERROR(
(MEDIAN((IF(DATOS_[[Sexo]:[Sexo]]=$B104,IF(DATOS_[[AGRUP. VALOR. PTO.]:[AGRUP. VALOR. PTO.]]=$B102,IF(DATOS_[[Check Periodo Ref.]:[Check Periodo Ref.]]="Dentro",IF(DATOS_[[Check Equiparado]:[Check Equiparado]]="Sí",IF(DATOS!BC$5="Sí",(1/DATOS_[[% anualiz]:[% anualiz]]),1)*IF(DATOS!BC$4="Sí",1/DATOS_[[% normaliz]:[% normaliz]],1)*(DATOS_[Conc.Sal.25])))))))),
0)</f>
        <v>0</v>
      </c>
      <c r="AI104" s="111">
        <f t="array" ref="AI104">IFERROR(
(MEDIAN((IF(DATOS_[[Sexo]:[Sexo]]=$B104,IF(DATOS_[[AGRUP. VALOR. PTO.]:[AGRUP. VALOR. PTO.]]=$B102,IF(DATOS_[[Check Periodo Ref.]:[Check Periodo Ref.]]="Dentro",IF(DATOS_[[Check Equiparado]:[Check Equiparado]]="Sí",IF(DATOS!BD$5="Sí",(1/DATOS_[[% anualiz]:[% anualiz]]),1)*IF(DATOS!BD$4="Sí",1/DATOS_[[% normaliz]:[% normaliz]],1)*(DATOS_[Conc.Sal.26])))))))),
0)</f>
        <v>0</v>
      </c>
      <c r="AJ104" s="111">
        <f t="array" ref="AJ104">IFERROR(
(MEDIAN((IF(DATOS_[[Sexo]:[Sexo]]=$B104,IF(DATOS_[[AGRUP. VALOR. PTO.]:[AGRUP. VALOR. PTO.]]=$B102,IF(DATOS_[[Check Periodo Ref.]:[Check Periodo Ref.]]="Dentro",IF(DATOS_[[Check Equiparado]:[Check Equiparado]]="Sí",IF(DATOS!BE$5="Sí",(1/DATOS_[[% anualiz]:[% anualiz]]),1)*IF(DATOS!BE$4="Sí",1/DATOS_[[% normaliz]:[% normaliz]],1)*(DATOS_[Conc.Sal.27])))))))),
0)</f>
        <v>0</v>
      </c>
      <c r="AK104" s="111">
        <f t="array" ref="AK104">IFERROR(
(MEDIAN((IF(DATOS_[[Sexo]:[Sexo]]=$B104,IF(DATOS_[[AGRUP. VALOR. PTO.]:[AGRUP. VALOR. PTO.]]=$B102,IF(DATOS_[[Check Periodo Ref.]:[Check Periodo Ref.]]="Dentro",IF(DATOS_[[Check Equiparado]:[Check Equiparado]]="Sí",IF(DATOS!BF$5="Sí",(1/DATOS_[[% anualiz]:[% anualiz]]),1)*IF(DATOS!BF$4="Sí",1/DATOS_[[% normaliz]:[% normaliz]],1)*(DATOS_[Conc.Sal.28])))))))),
0)</f>
        <v>0</v>
      </c>
      <c r="AL104" s="111">
        <f t="array" ref="AL104">IFERROR(
(MEDIAN((IF(DATOS_[[Sexo]:[Sexo]]=$B104,IF(DATOS_[[AGRUP. VALOR. PTO.]:[AGRUP. VALOR. PTO.]]=$B102,IF(DATOS_[[Check Periodo Ref.]:[Check Periodo Ref.]]="Dentro",IF(DATOS_[[Check Equiparado]:[Check Equiparado]]="Sí",IF(DATOS!BG$5="Sí",(1/DATOS_[[% anualiz]:[% anualiz]]),1)*IF(DATOS!BG$4="Sí",1/DATOS_[[% normaliz]:[% normaliz]],1)*(DATOS_[Conc.Sal.29])))))))),
0)</f>
        <v>0</v>
      </c>
      <c r="AM104" s="111">
        <f t="array" ref="AM104">IFERROR(
(MEDIAN((IF(DATOS_[[Sexo]:[Sexo]]=$B104,IF(DATOS_[[AGRUP. VALOR. PTO.]:[AGRUP. VALOR. PTO.]]=$B102,IF(DATOS_[[Check Periodo Ref.]:[Check Periodo Ref.]]="Dentro",IF(DATOS_[[Check Equiparado]:[Check Equiparado]]="Sí",IF(DATOS!BH$5="Sí",(1/DATOS_[[% anualiz]:[% anualiz]]),1)*IF(DATOS!BH$4="Sí",1/DATOS_[[% normaliz]:[% normaliz]],1)*(DATOS_[Conc.Sal.30])))))))),
0)</f>
        <v>0</v>
      </c>
      <c r="AN104" s="112">
        <f t="array" ref="AN104">IFERROR(
MEDIAN(IF(DATOS_[Sexo]=$B104,IF(DATOS_[[AGRUP. VALOR. PTO.]:[AGRUP. VALOR. PTO.]]=$B102,IF(DATOS_[Check Equiparado]="Sí",IF(DATOS_[Check Periodo Ref.]="Dentro",DATOS_[Tot COMPL.SAL Eq],FALSE))))),
0)</f>
        <v>0</v>
      </c>
      <c r="AO104" s="113">
        <f t="array" ref="AO104">IFERROR(
MEDIAN(IF(DATOS_[Sexo]=$B104,IF(DATOS_[[AGRUP. VALOR. PTO.]:[AGRUP. VALOR. PTO.]]=$B102,IF(DATOS_[Check Equiparado]="Sí",IF(DATOS_[Check Periodo Ref.]="Dentro",DATOS_[TOTAL SALARIO Eq],FALSE))))),
0)</f>
        <v>0</v>
      </c>
      <c r="AP104" s="114">
        <f t="array" ref="AP104">IFERROR(
(MEDIAN((IF(DATOS_[[Sexo]:[Sexo]]=$B104,IF(DATOS_[[AGRUP. VALOR. PTO.]:[AGRUP. VALOR. PTO.]]=$B103,IF(DATOS_[[Check Periodo Ref.]:[Check Periodo Ref.]]="Dentro",IF(DATOS_[[Check Equiparado]:[Check Equiparado]]="Sí",IF(DATOS!BI$5="Sí",(1/DATOS_[[% anualiz]:[% anualiz]]),1)*IF(DATOS!BI$4="Sí",1/DATOS_[[% normaliz]:[% normaliz]],1)*(DATOS_[C.Extra.01])))))))),
0)</f>
        <v>0</v>
      </c>
      <c r="AQ104" s="114">
        <f t="array" ref="AQ104">IFERROR(
(MEDIAN((IF(DATOS_[[Sexo]:[Sexo]]=$B104,IF(DATOS_[[AGRUP. VALOR. PTO.]:[AGRUP. VALOR. PTO.]]=$B103,IF(DATOS_[[Check Periodo Ref.]:[Check Periodo Ref.]]="Dentro",IF(DATOS_[[Check Equiparado]:[Check Equiparado]]="Sí",IF(DATOS!BJ$5="Sí",(1/DATOS_[[% anualiz]:[% anualiz]]),1)*IF(DATOS!BJ$4="Sí",1/DATOS_[[% normaliz]:[% normaliz]],1)*(DATOS_[C.Extra.02])))))))),
0)</f>
        <v>0</v>
      </c>
      <c r="AR104" s="114">
        <f t="array" ref="AR104">IFERROR(
(MEDIAN((IF(DATOS_[[Sexo]:[Sexo]]=$B104,IF(DATOS_[[AGRUP. VALOR. PTO.]:[AGRUP. VALOR. PTO.]]=$B103,IF(DATOS_[[Check Periodo Ref.]:[Check Periodo Ref.]]="Dentro",IF(DATOS_[[Check Equiparado]:[Check Equiparado]]="Sí",IF(DATOS!BK$5="Sí",(1/DATOS_[[% anualiz]:[% anualiz]]),1)*IF(DATOS!BK$4="Sí",1/DATOS_[[% normaliz]:[% normaliz]],1)*(DATOS_[C.Extra.03])))))))),
0)</f>
        <v>0</v>
      </c>
      <c r="AS104" s="114">
        <f t="array" ref="AS104">IFERROR(
(MEDIAN((IF(DATOS_[[Sexo]:[Sexo]]=$B104,IF(DATOS_[[AGRUP. VALOR. PTO.]:[AGRUP. VALOR. PTO.]]=$B103,IF(DATOS_[[Check Periodo Ref.]:[Check Periodo Ref.]]="Dentro",IF(DATOS_[[Check Equiparado]:[Check Equiparado]]="Sí",IF(DATOS!BL$5="Sí",(1/DATOS_[[% anualiz]:[% anualiz]]),1)*IF(DATOS!BL$4="Sí",1/DATOS_[[% normaliz]:[% normaliz]],1)*(DATOS_[C.Extra.04])))))))),
0)</f>
        <v>0</v>
      </c>
      <c r="AT104" s="114">
        <f t="array" ref="AT104">IFERROR(
(MEDIAN((IF(DATOS_[[Sexo]:[Sexo]]=$B104,IF(DATOS_[[AGRUP. VALOR. PTO.]:[AGRUP. VALOR. PTO.]]=$B103,IF(DATOS_[[Check Periodo Ref.]:[Check Periodo Ref.]]="Dentro",IF(DATOS_[[Check Equiparado]:[Check Equiparado]]="Sí",IF(DATOS!BM$5="Sí",(1/DATOS_[[% anualiz]:[% anualiz]]),1)*IF(DATOS!BM$4="Sí",1/DATOS_[[% normaliz]:[% normaliz]],1)*(DATOS_[C.Extra.05])))))))),
0)</f>
        <v>0</v>
      </c>
      <c r="AU104" s="115">
        <f t="array" ref="AU104">IFERROR(
MEDIAN(IF(DATOS_[Sexo]=$B104,IF(DATOS_[[AGRUP. VALOR. PTO.]:[AGRUP. VALOR. PTO.]]=$B102,IF(DATOS_[Check Equiparado]="Sí",IF(DATOS_[Check Periodo Ref.]="Dentro",DATOS_[Tot Extrasalarial Eq],FALSE))))),
0)</f>
        <v>0</v>
      </c>
      <c r="AV104" s="116">
        <f t="array" ref="AV104">IFERROR(
MEDIAN(IF(DATOS_[Sexo]=$B104,IF(DATOS_[[AGRUP. VALOR. PTO.]:[AGRUP. VALOR. PTO.]]=$B102,IF(DATOS_[Check Equiparado]="Sí",IF(DATOS_[Check Periodo Ref.]="Dentro",DATOS_[TOTAL Retrib Eq],FALSE))))),
0)</f>
        <v>0</v>
      </c>
    </row>
  </sheetData>
  <sheetProtection algorithmName="SHA-512" hashValue="PvWCoj4swNjCKpDktPJ0XCcpWnzvupujfFzac1rWVScYAs3RXRoi9Z+1Q1DVG365pAjmQduOVL5cgaLW+xGL+g==" saltValue="Zf4iB0Yq21cB3emJlqH/NA==" spinCount="100000" sheet="1" objects="1" scenarios="1"/>
  <dataConsolidate/>
  <mergeCells count="1">
    <mergeCell ref="AW1:AW11"/>
  </mergeCells>
  <pageMargins left="0.25" right="0.25" top="0.75" bottom="0.75" header="0.3" footer="0.3"/>
  <pageSetup paperSize="9" scale="7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Estanislao Friedrik</cp:lastModifiedBy>
  <cp:lastPrinted>2021-10-19T21:09:07Z</cp:lastPrinted>
  <dcterms:created xsi:type="dcterms:W3CDTF">2015-06-05T18:19:34Z</dcterms:created>
  <dcterms:modified xsi:type="dcterms:W3CDTF">2025-03-31T06:29:42Z</dcterms:modified>
</cp:coreProperties>
</file>